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tables/table11.xml" ContentType="application/vnd.openxmlformats-officedocument.spreadsheetml.table+xml"/>
  <Override PartName="/xl/worksheets/sheet24.xml" ContentType="application/vnd.openxmlformats-officedocument.spreadsheetml.worksheet+xml"/>
  <Override PartName="/xl/tables/table12.xml" ContentType="application/vnd.openxmlformats-officedocument.spreadsheetml.table+xml"/>
  <Override PartName="/xl/worksheets/sheet25.xml" ContentType="application/vnd.openxmlformats-officedocument.spreadsheetml.worksheet+xml"/>
  <Override PartName="/xl/tables/table13.xml" ContentType="application/vnd.openxmlformats-officedocument.spreadsheetml.table+xml"/>
  <Override PartName="/xl/worksheets/sheet26.xml" ContentType="application/vnd.openxmlformats-officedocument.spreadsheetml.worksheet+xml"/>
  <Override PartName="/xl/tables/table14.xml" ContentType="application/vnd.openxmlformats-officedocument.spreadsheetml.table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tables/table16.xml" ContentType="application/vnd.openxmlformats-officedocument.spreadsheetml.table+xml"/>
  <Override PartName="/xl/worksheets/sheet29.xml" ContentType="application/vnd.openxmlformats-officedocument.spreadsheetml.worksheet+xml"/>
  <Override PartName="/xl/tables/table17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STRUCTIVO" sheetId="2" state="visible" r:id="rId2"/>
    <sheet name="PLAN_SEMANAL" sheetId="3" state="visible" r:id="rId3"/>
    <sheet name="ADHERENCIA" sheetId="4" state="visible" r:id="rId4"/>
    <sheet name="PERFIL_HH" sheetId="5" state="visible" r:id="rId5"/>
    <sheet name="BACKLOG" sheetId="6" state="visible" r:id="rId6"/>
    <sheet name="COSTOS" sheetId="7" state="visible" r:id="rId7"/>
    <sheet name="PRESUPUESTO" sheetId="8" state="visible" r:id="rId8"/>
    <sheet name="EQUIPOS_CRITICOS" sheetId="9" state="visible" r:id="rId9"/>
    <sheet name="SEGUIMIENTO_HH" sheetId="10" state="visible" r:id="rId10"/>
    <sheet name="SEGUIMIENTO_MENSUAL" sheetId="11" state="visible" r:id="rId11"/>
    <sheet name="EXPORTAR" sheetId="12" state="visible" r:id="rId12"/>
    <sheet name="ORDENES" sheetId="13" state="visible" r:id="rId13"/>
    <sheet name="ASIGNACIONES" sheetId="14" state="visible" r:id="rId14"/>
    <sheet name="AJUSTES" sheetId="15" state="visible" r:id="rId15"/>
    <sheet name="PLAN_VACACIONES" sheetId="16" state="visible" r:id="rId16"/>
    <sheet name="2_IMPORTAR_EJECUCION" sheetId="17" state="visible" r:id="rId17"/>
    <sheet name="TECNICOS" sheetId="18" state="visible" r:id="rId18"/>
    <sheet name="CALENDARIO" sheetId="19" state="visible" r:id="rId19"/>
    <sheet name="VALIDACION" sheetId="20" state="visible" r:id="rId20"/>
    <sheet name="PARAMETROS" sheetId="21" state="visible" r:id="rId21"/>
    <sheet name="CAT_CENTROS_COSTO" sheetId="22" state="hidden" r:id="rId22"/>
    <sheet name="CAT_PUESTOS" sheetId="23" state="hidden" r:id="rId23"/>
    <sheet name="CAT_ACTIVIDADES" sheetId="24" state="hidden" r:id="rId24"/>
    <sheet name="CAT_TIPOS_OT" sheetId="25" state="hidden" r:id="rId25"/>
    <sheet name="CAT_ESTADOS_ERP" sheetId="26" state="hidden" r:id="rId26"/>
    <sheet name="CAT_TURNOS" sheetId="27" state="hidden" r:id="rId27"/>
    <sheet name="CAT_SUPERVISORES" sheetId="28" state="hidden" r:id="rId28"/>
    <sheet name="CAT_MOTIVOS_AUSENCIA" sheetId="29" state="hidden" r:id="rId29"/>
    <sheet name="GUIA_IMPORTAR_ORDENES" sheetId="30" state="hidden" r:id="rId30"/>
    <sheet name="_COMPATIBILIDAD" sheetId="31" state="hidden" r:id="rId31"/>
  </sheets>
  <definedNames>
    <definedName name="p_moneda">PARAMETROS!$B$6</definedName>
    <definedName name="p_horas_jornada">PARAMETROS!$B$7</definedName>
    <definedName name="p_factor_productividad">PARAMETROS!$B$8</definedName>
    <definedName name="p_dias_backlog_max">PARAMETROS!$B$11</definedName>
    <definedName name="p_dias_backlog_min">PARAMETROS!$B$12</definedName>
    <definedName name="p_meta_adherencia">PARAMETROS!$B$13</definedName>
    <definedName name="p_meta_ratio_prev_corr">PARAMETROS!$B$14</definedName>
    <definedName name="p_ruta_base_checklists">PARAMETROS!$B$16</definedName>
    <definedName name="p_top_tareas">PARAMETROS!$B$17</definedName>
    <definedName name="p_nombre_empresa">PARAMETROS!$B$4</definedName>
    <definedName name="p_nombre_planta">PARAMETROS!$B$5</definedName>
    <definedName name="p_dias_laborables_base">PARAMETROS!$B$18</definedName>
    <definedName name="p_base_semanal_horas">PARAMETROS!$B$19</definedName>
    <definedName name="p_semana_referencia">PARAMETROS!$B$20</definedName>
    <definedName name="p_tolerancia_horas_bono">PARAMETROS!$B$21</definedName>
    <definedName name="p_anio_presupuesto">PARAMETROS!$B$22</definedName>
    <definedName name="p_tolerancia_desviacion_presupuesto">PARAMETROS!$B$23</definedName>
    <definedName name="p_fecha_datos">PARAMETROS!$B$24</definedName>
    <definedName name="p_meta_pct_predictivo">PARAMETROS!$B$25</definedName>
    <definedName name="p_meta_pct_preventivo">PARAMETROS!$B$26</definedName>
    <definedName name="p_meta_pct_correctivo_programado">PARAMETROS!$B$27</definedName>
    <definedName name="p_meta_pct_emergencia">PARAMETROS!$B$28</definedName>
    <definedName name="lista_no_disponible">PARAMETROS!$G$5:$G$6</definedName>
    <definedName name="lista_dias">PARAMETROS!$I$5:$I$11</definedName>
    <definedName name="lista_tecnicos">TECNICOS!$K$4:$K$19</definedName>
    <definedName name="patronHabil">CALENDARIO!$B$5:$B$11</definedName>
    <definedName name="cal_fechas">CALENDARIO!$I$5:$I$764</definedName>
    <definedName name="cal_habil">CALENDARIO!$J$5:$J$764</definedName>
    <definedName name="lista_semanas_plan">PLAN_SEMANAL!$X$3:$X$60</definedName>
    <definedName name="lista_turnos">CAT_TURNOS!$G$4:$G$9</definedName>
    <definedName name="lista_f_turno">PARAMETROS!$K$5:INDEX(PARAMETROS!$K$5:$K$24,MAX(1,COUNTIF(PARAMETROS!$K$5:$K$24,"?*")))</definedName>
    <definedName name="lista_f_area">PARAMETROS!$L$5:INDEX(PARAMETROS!$L$5:$L$30,MAX(1,COUNTIF(PARAMETROS!$L$5:$L$30,"?*")))</definedName>
    <definedName name="lista_areas">PARAMETROS!$M$5:INDEX(PARAMETROS!$M$5:$M$29,MAX(1,COUNTIF(PARAMETROS!$M$5:$M$29,"?*")))</definedName>
    <definedName name="lista_f_coordinador">PARAMETROS!$N$5:INDEX(PARAMETROS!$N$5:$N$30,MAX(1,COUNTIF(PARAMETROS!$N$5:$N$30,"?*")))</definedName>
    <definedName name="lista_f_subarea">PARAMETROS!$O$5:INDEX(PARAMETROS!$O$5:$O$30,MAX(1,COUNTIF(PARAMETROS!$O$5:$O$30,"?*")))</definedName>
    <definedName name="lista_subareas">PARAMETROS!$P$5:INDEX(PARAMETROS!$P$5:$P$29,MAX(1,COUNTIF(PARAMETROS!$P$5:$P$29,"?*")))</definedName>
    <definedName name="lista_f_especialidad">PARAMETROS!$Q$5:INDEX(PARAMETROS!$Q$5:$Q$25,MAX(1,COUNTIF(PARAMETROS!$Q$5:$Q$25,"?*")))</definedName>
    <definedName name="lista_esp_propias">PARAMETROS!$R$5:INDEX(PARAMETROS!$R$5:$R$24,MAX(1,COUNTIF(PARAMETROS!$R$5:$R$24,"?*")))</definedName>
    <definedName name="lista_ceco">PARAMETROS!$S$5:INDEX(PARAMETROS!$S$5:$S$29,MAX(1,COUNTIF(PARAMETROS!$S$5:$S$29,"?*")))</definedName>
    <definedName name="lista_puestos">PARAMETROS!$T$5:INDEX(PARAMETROS!$T$5:$T$24,MAX(1,COUNTIF(PARAMETROS!$T$5:$T$24,"?*")))</definedName>
    <definedName name="lista_actividades">PARAMETROS!$U$5:INDEX(PARAMETROS!$U$5:$U$27,MAX(1,COUNTIF(PARAMETROS!$U$5:$U$27,"?*")))</definedName>
    <definedName name="lista_tipos_ot">PARAMETROS!$V$5:INDEX(PARAMETROS!$V$5:$V$24,MAX(1,COUNTIF(PARAMETROS!$V$5:$V$24,"?*")))</definedName>
    <definedName name="lista_supervisores">PARAMETROS!$W$5:INDEX(PARAMETROS!$W$5:$W$22,MAX(1,COUNTIF(PARAMETROS!$W$5:$W$22,"?*")))</definedName>
    <definedName name="lista_motivos_ausencia">PARAMETROS!$X$5:INDEX(PARAMETROS!$X$5:$X$22,MAX(1,COUNTIF(PARAMETROS!$X$5:$X$22,"?*")))</definedName>
    <definedName name="lista_meses_dash">DASHBOARD!$X$3:$X$20</definedName>
    <definedName name="_xlnm._FilterDatabase" localSheetId="2" hidden="1">'PLAN_SEMANAL'!$A$25:$N$1225</definedName>
    <definedName name="_xlnm.Print_Area" localSheetId="2">'PLAN_SEMANAL'!$A$1:$N$33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0.0"/>
    <numFmt numFmtId="167" formatCode="+0.0;-0.0;0"/>
    <numFmt numFmtId="168" formatCode="+0.0;-0.0;0.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78"/>
      <sz val="10"/>
      <u val="single"/>
    </font>
    <font>
      <name val="Arial"/>
      <b val="1"/>
      <color rgb="001F4E78"/>
      <sz val="26"/>
    </font>
    <font>
      <name val="Arial"/>
      <color rgb="00595959"/>
      <sz val="9"/>
    </font>
    <font>
      <name val="Arial"/>
      <b val="1"/>
      <color rgb="00FFC7CE"/>
      <sz val="10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D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4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5" fontId="8" fillId="6" borderId="1" applyAlignment="1" pivotButton="0" quotePrefix="0" xfId="0">
      <alignment horizontal="center"/>
    </xf>
    <xf numFmtId="166" fontId="8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" fontId="2" fillId="0" borderId="0" pivotButton="0" quotePrefix="0" xfId="0"/>
    <xf numFmtId="0" fontId="5" fillId="3" borderId="0" pivotButton="0" quotePrefix="0" xfId="0"/>
    <xf numFmtId="165" fontId="3" fillId="0" borderId="0" pivotButton="0" quotePrefix="0" xfId="0"/>
    <xf numFmtId="168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0" fontId="7" fillId="4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4" borderId="0" pivotButton="0" quotePrefix="0" xfId="0"/>
    <xf numFmtId="0" fontId="10" fillId="3" borderId="0" pivotButton="0" quotePrefix="0" xfId="0"/>
    <xf numFmtId="0" fontId="3" fillId="7" borderId="0" pivotButton="0" quotePrefix="0" xfId="0"/>
    <xf numFmtId="166" fontId="3" fillId="7" borderId="0" pivotButton="0" quotePrefix="0" xfId="0"/>
    <xf numFmtId="1" fontId="3" fillId="7" borderId="0" pivotButton="0" quotePrefix="0" xfId="0"/>
    <xf numFmtId="165" fontId="3" fillId="7" borderId="0" pivotButton="0" quotePrefix="0" xfId="0"/>
    <xf numFmtId="9" fontId="3" fillId="7" borderId="0" pivotButton="0" quotePrefix="0" xfId="0"/>
    <xf numFmtId="0" fontId="2" fillId="7" borderId="0" pivotButton="0" quotePrefix="0" xfId="0"/>
    <xf numFmtId="164" fontId="3" fillId="7" borderId="0" pivotButton="0" quotePrefix="0" xfId="0"/>
    <xf numFmtId="0" fontId="1" fillId="7" borderId="0" pivotButton="0" quotePrefix="0" xfId="0"/>
    <xf numFmtId="3" fontId="3" fillId="7" borderId="0" pivotButton="0" quotePrefix="0" xfId="0"/>
    <xf numFmtId="3" fontId="6" fillId="0" borderId="0" pivotButton="0" quotePrefix="0" xfId="0"/>
    <xf numFmtId="0" fontId="3" fillId="7" borderId="0" applyAlignment="1" pivotButton="0" quotePrefix="0" xfId="0">
      <alignment vertical="top" wrapText="1"/>
    </xf>
    <xf numFmtId="0" fontId="3" fillId="5" borderId="0" pivotButton="0" quotePrefix="0" xfId="0"/>
    <xf numFmtId="164" fontId="3" fillId="5" borderId="0" pivotButton="0" quotePrefix="0" xfId="0"/>
    <xf numFmtId="3" fontId="3" fillId="5" borderId="0" pivotButton="0" quotePrefix="0" xfId="0"/>
    <xf numFmtId="1" fontId="3" fillId="5" borderId="0" pivotButton="0" quotePrefix="0" xfId="0"/>
    <xf numFmtId="0" fontId="6" fillId="5" borderId="0" pivotButton="0" quotePrefix="0" xfId="0"/>
    <xf numFmtId="2" fontId="3" fillId="5" borderId="0" pivotButton="0" quotePrefix="0" xfId="0"/>
    <xf numFmtId="164" fontId="3" fillId="0" borderId="0" pivotButton="0" quotePrefix="0" xfId="0"/>
    <xf numFmtId="2" fontId="3" fillId="7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7" fontId="3" fillId="7" borderId="0" pivotButton="0" quotePrefix="0" xfId="0"/>
    <xf numFmtId="164" fontId="6" fillId="5" borderId="0" pivotButton="0" quotePrefix="0" xfId="0"/>
    <xf numFmtId="2" fontId="6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 · Cumplimiento semanal del mes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'DASHBOARD'!B53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showVal val="1"/>
          </dLbls>
          <cat>
            <numRef>
              <f>'DASHBOARD'!$A$54:$A$59</f>
            </numRef>
          </cat>
          <val>
            <numRef>
              <f>'DASHBOARD'!$B$54:$B$59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'DASHBOARD'!C53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'DASHBOARD'!$A$54:$A$59</f>
            </numRef>
          </cat>
          <val>
            <numRef>
              <f>'DASHBOARD'!$C$54:$C$59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Adherencia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 · Carga vs capacidad productiva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'DASHBOARD'!$B$62:$B$64</f>
            </numRef>
          </val>
        </ser>
        <ser>
          <idx val="1"/>
          <order val="1"/>
          <tx>
            <strRef>
              <f>'DASHBOARD'!C61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'DASHBOARD'!$C$62:$C$64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Especialidad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 · Mix de mantenimiento: real (horas)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'DASHBOARD'!K34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'DASHBOARD'!$K$35:$K$39</f>
            </numRef>
          </val>
        </ser>
        <ser>
          <idx val="1"/>
          <order val="1"/>
          <tx>
            <strRef>
              <f>'DASHBOARD'!L34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'DASHBOARD'!$L$35:$L$39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Clase de mantenimiento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de las HH del mes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 · OPEX plan vs real por mes (fijo y variable)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'DASHBOARD'!B80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'DASHBOARD'!$B$81:$B$92</f>
            </numRef>
          </val>
        </ser>
        <ser>
          <idx val="1"/>
          <order val="1"/>
          <tx>
            <strRef>
              <f>'DASHBOARD'!C80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'DASHBOARD'!$C$81:$C$92</f>
            </numRef>
          </val>
        </ser>
        <ser>
          <idx val="2"/>
          <order val="2"/>
          <tx>
            <strRef>
              <f>'DASHBOARD'!D80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'DASHBOARD'!$D$81:$D$92</f>
            </numRef>
          </val>
        </ser>
        <ser>
          <idx val="3"/>
          <order val="3"/>
          <tx>
            <strRef>
              <f>'DASHBOARD'!E80</f>
            </strRef>
          </tx>
          <spPr>
            <a:solidFill>
              <a:srgbClr val="F4B183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'DASHBOARD'!$E$81:$E$92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=p_moneda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 · Lubricación por semana: programadas vs cerradas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'DASHBOARD'!B95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'DASHBOARD'!$A$96:$A$101</f>
            </numRef>
          </cat>
          <val>
            <numRef>
              <f>'DASHBOARD'!$B$96:$B$101</f>
            </numRef>
          </val>
        </ser>
        <ser>
          <idx val="1"/>
          <order val="1"/>
          <tx>
            <strRef>
              <f>'DASHBOARD'!C95</f>
            </strRef>
          </tx>
          <spPr>
            <a:solidFill>
              <a:srgbClr val="1F4E78"/>
            </a:solidFill>
            <a:ln>
              <a:prstDash val="solid"/>
            </a:ln>
          </spPr>
          <dLbls>
            <showVal val="1"/>
          </dLbls>
          <cat>
            <numRef>
              <f>'DASHBOARD'!$A$96:$A$101</f>
            </numRef>
          </cat>
          <val>
            <numRef>
              <f>'DASHBOARD'!$C$96:$C$101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Órdenes de lubricación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Carga por técnico vs capacidad (según selectores)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'PLAN_SEMANAL'!T3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'PLAN_SEMANAL'!$R$4:$R$19</f>
            </numRef>
          </cat>
          <val>
            <numRef>
              <f>'PLAN_SEMANAL'!$T$4:$T$19</f>
            </numRef>
          </val>
        </ser>
        <ser>
          <idx val="1"/>
          <order val="1"/>
          <tx>
            <strRef>
              <f>'PLAN_SEMANAL'!U3</f>
            </strRef>
          </tx>
          <spPr>
            <a:solidFill>
              <a:srgbClr val="F8696B"/>
            </a:solidFill>
            <a:ln>
              <a:prstDash val="solid"/>
            </a:ln>
          </spPr>
          <dLbls>
            <showVal val="1"/>
          </dLbls>
          <cat>
            <numRef>
              <f>'PLAN_SEMANAL'!$R$4:$R$19</f>
            </numRef>
          </cat>
          <val>
            <numRef>
              <f>'PLAN_SEMANAL'!$U$4:$U$19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'PLAN_SEMANAL'!V3</f>
            </strRef>
          </tx>
          <spPr>
            <a:ln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'PLAN_SEMANAL'!$R$4:$R$19</f>
            </numRef>
          </cat>
          <val>
            <numRef>
              <f>'PLAN_SEMANAL'!$V$4:$V$19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Técnico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Adherencia semanal vs meta</a:t>
            </a:r>
          </a:p>
        </rich>
      </tx>
    </title>
    <plotArea>
      <lineChart>
        <grouping val="standard"/>
        <ser>
          <idx val="0"/>
          <order val="0"/>
          <tx>
            <strRef>
              <f>'ADHERENCIA'!D4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'ADHERENCIA'!$D$5:$D$64</f>
            </numRef>
          </val>
        </ser>
        <ser>
          <idx val="1"/>
          <order val="1"/>
          <tx>
            <strRef>
              <f>'ADHERENCIA'!H4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'ADHERENCIA'!$H$5:$H$64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vs real por mes (todas las áreas)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</v>
          </tx>
          <spPr>
            <a:ln>
              <a:prstDash val="solid"/>
            </a:ln>
          </spPr>
          <cat>
            <numRef>
              <f>'COSTOS'!$B$5:$C$5</f>
            </numRef>
          </cat>
          <val>
            <numRef>
              <f>'COSTOS'!$B$9:$C$9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cat>
            <numRef>
              <f>'COSTOS'!$B$5:$C$5</f>
            </numRef>
          </cat>
          <val>
            <numRef>
              <f>'COSTOS'!$B$17:$C$17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33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17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08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gHH" displayName="tblSegHH" ref="A3:G67" headerRowCount="1">
  <autoFilter ref="A3:G67"/>
  <tableColumns count="7">
    <tableColumn id="1" name="tecnico"/>
    <tableColumn id="2" name="semana"/>
    <tableColumn id="3" name="especialidad"/>
    <tableColumn id="4" name="posicion"/>
    <tableColumn id="5" name="horas_reales"/>
    <tableColumn id="6" name="base_semanal"/>
    <tableColumn id="7" name="superavit_defic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egMes" displayName="tblSegMes" ref="A3:F35" headerRowCount="1">
  <autoFilter ref="A3:F35"/>
  <tableColumns count="6">
    <tableColumn id="1" name="tecnico"/>
    <tableColumn id="2" name="mes"/>
    <tableColumn id="3" name="horas_reales_mes"/>
    <tableColumn id="4" name="horas_requeridas_mes"/>
    <tableColumn id="5" name="cumple"/>
    <tableColumn id="6" name="brech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rdenes" displayName="tblOrdenes" ref="A3:AU1203" headerRowCount="1">
  <autoFilter ref="A3:AU1203"/>
  <tableColumns count="47">
    <tableColumn id="1" name="orden"/>
    <tableColumn id="2" name="operacion"/>
    <tableColumn id="3" name="descripcion_general"/>
    <tableColumn id="4" name="descripcion_operacion"/>
    <tableColumn id="5" name="equipo"/>
    <tableColumn id="6" name="centro_costo"/>
    <tableColumn id="7" name="puesto_trabajo"/>
    <tableColumn id="8" name="cod_actividad"/>
    <tableColumn id="9" name="tipo_ot"/>
    <tableColumn id="10" name="fecha_inicio"/>
    <tableColumn id="11" name="horas_estimadas"/>
    <tableColumn id="12" name="costo_plan"/>
    <tableColumn id="13" name="horas_efectivas"/>
    <tableColumn id="14" name="estado"/>
    <tableColumn id="15" name="semana"/>
    <tableColumn id="16" name="anio"/>
    <tableColumn id="17" name="mes"/>
    <tableColumn id="18" name="mes_clave"/>
    <tableColumn id="19" name="dia_semana"/>
    <tableColumn id="20" name="es_habil"/>
    <tableColumn id="21" name="clasificacion"/>
    <tableColumn id="22" name="clase_mantenimiento"/>
    <tableColumn id="23" name="rubro"/>
    <tableColumn id="24" name="linea"/>
    <tableColumn id="25" name="area"/>
    <tableColumn id="26" name="sub_area"/>
    <tableColumn id="27" name="coordinador"/>
    <tableColumn id="28" name="especialidad"/>
    <tableColumn id="29" name="actividad"/>
    <tableColumn id="30" name="backlog_dias"/>
    <tableColumn id="31" name="backlog_habiles"/>
    <tableColumn id="32" name="estado_backlog"/>
    <tableColumn id="33" name="en_plan"/>
    <tableColumn id="34" name="tecnico_asignado"/>
    <tableColumn id="35" name="turno_asignado"/>
    <tableColumn id="36" name="HHA"/>
    <tableColumn id="37" name="HHD"/>
    <tableColumn id="38" name="costo_servicio"/>
    <tableColumn id="39" name="costo_materiales"/>
    <tableColumn id="40" name="costo_total"/>
    <tableColumn id="41" name="categoria_presupuesto"/>
    <tableColumn id="42" name="permiso_requerido"/>
    <tableColumn id="43" name="bloqueo_energia"/>
    <tableColumn id="44" name="link_checklist"/>
    <tableColumn id="45" name="abrir_checklist"/>
    <tableColumn id="46" name="observaciones"/>
    <tableColumn id="47" name="id_ope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signaciones" displayName="tblAsignaciones" ref="A3:Q451" headerRowCount="1">
  <autoFilter ref="A3:Q451"/>
  <tableColumns count="17">
    <tableColumn id="1" name="semana"/>
    <tableColumn id="2" name="dia"/>
    <tableColumn id="3" name="tecnico"/>
    <tableColumn id="4" name="area"/>
    <tableColumn id="5" name="especialidad"/>
    <tableColumn id="6" name="n_ciclo"/>
    <tableColumn id="7" name="posicion_ciclo"/>
    <tableColumn id="8" name="en_vacaciones"/>
    <tableColumn id="9" name="turno_manual"/>
    <tableColumn id="10" name="turno"/>
    <tableColumn id="11" name="supervisor"/>
    <tableColumn id="12" name="fecha"/>
    <tableColumn id="13" name="horas_disponibles"/>
    <tableColumn id="14" name="clave"/>
    <tableColumn id="15" name="hora_inicio"/>
    <tableColumn id="16" name="hora_fin"/>
    <tableColumn id="17" name="trabaja_domin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justes" displayName="tblAjustes" ref="A3:G303" headerRowCount="1">
  <autoFilter ref="A3:G303"/>
  <tableColumns count="7">
    <tableColumn id="1" name="id_operacion"/>
    <tableColumn id="2" name="horas_ajustadas"/>
    <tableColumn id="3" name="motivo"/>
    <tableColumn id="4" name="fecha_ajuste"/>
    <tableColumn id="5" name="descripcion"/>
    <tableColumn id="6" name="estado_ajuste"/>
    <tableColumn id="7" name="desviacion_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Vacaciones" displayName="tblVacaciones" ref="A3:D103" headerRowCount="1">
  <autoFilter ref="A3:D103"/>
  <tableColumns count="4">
    <tableColumn id="1" name="tecnico"/>
    <tableColumn id="2" name="fecha_inicio"/>
    <tableColumn id="3" name="fecha_fin"/>
    <tableColumn id="4" name="mo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jecucion" displayName="tblEjecucion" ref="A8:J1208" headerRowCount="1">
  <autoFilter ref="A8:J1208"/>
  <tableColumns count="10">
    <tableColumn id="1" name="orden"/>
    <tableColumn id="2" name="operacion"/>
    <tableColumn id="3" name="estado_sistema"/>
    <tableColumn id="4" name="prioridad"/>
    <tableColumn id="5" name="estado_instalacion"/>
    <tableColumn id="6" name="precio"/>
    <tableColumn id="7" name="costo_real"/>
    <tableColumn id="8" name="costo_plan_total"/>
    <tableColumn id="9" name="estado_usuario"/>
    <tableColumn id="10" name="id_oper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ecnicos" displayName="tblTecnicos" ref="A3:H19" headerRowCount="1">
  <autoFilter ref="A3:H19"/>
  <tableColumns count="8">
    <tableColumn id="1" name="id"/>
    <tableColumn id="2" name="nombre"/>
    <tableColumn id="3" name="especialidad"/>
    <tableColumn id="4" name="area"/>
    <tableColumn id="5" name="supervisor"/>
    <tableColumn id="6" name="rotativo"/>
    <tableColumn id="7" name="orden_rotacion"/>
    <tableColumn id="8" name="ac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xcepciones" displayName="tblExcepciones" ref="A14:G214" headerRowCount="1">
  <autoFilter ref="A14:G214"/>
  <tableColumns count="7">
    <tableColumn id="1" name="fecha"/>
    <tableColumn id="2" name="tipo"/>
    <tableColumn id="3" name="habil"/>
    <tableColumn id="4" name="area"/>
    <tableColumn id="5" name="sub_area"/>
    <tableColumn id="6" name="motivo"/>
    <tableColumn id="7" name="cla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ECO" displayName="tblCECO" ref="A3:G28" headerRowCount="1">
  <autoFilter ref="A3:G28"/>
  <tableColumns count="7">
    <tableColumn id="1" name="codigo"/>
    <tableColumn id="2" name="descripcion"/>
    <tableColumn id="3" name="planta"/>
    <tableColumn id="4" name="area"/>
    <tableColumn id="5" name="sub_area"/>
    <tableColumn id="6" name="linea"/>
    <tableColumn id="7" name="coordinad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uestos" displayName="tblPuestos" ref="A3:D23" headerRowCount="1">
  <autoFilter ref="A3:D23"/>
  <tableColumns count="4">
    <tableColumn id="1" name="codigo"/>
    <tableColumn id="2" name="especialidad"/>
    <tableColumn id="3" name="descripcion"/>
    <tableColumn id="4" name="es_especialidad_propi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Actividades" displayName="tblActividades" ref="A3:F26" headerRowCount="1">
  <autoFilter ref="A3:F26"/>
  <tableColumns count="6">
    <tableColumn id="1" name="codigo"/>
    <tableColumn id="2" name="descripcion"/>
    <tableColumn id="3" name="tipo"/>
    <tableColumn id="4" name="categoria_presupuesto"/>
    <tableColumn id="5" name="clasificacion"/>
    <tableColumn id="6" name="rub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iposOT" displayName="tblTiposOT" ref="A3:D23" headerRowCount="1">
  <autoFilter ref="A3:D23"/>
  <tableColumns count="4">
    <tableColumn id="1" name="codigo"/>
    <tableColumn id="2" name="descripcion"/>
    <tableColumn id="3" name="clasificacion"/>
    <tableColumn id="4" name="clase_mantenimien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stados" displayName="tblEstados" ref="A3:B22" headerRowCount="1">
  <autoFilter ref="A3:B22"/>
  <tableColumns count="2">
    <tableColumn id="1" name="estado_sistema"/>
    <tableColumn id="2" name="estado_normaliz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Turnos" displayName="tblTurnos" ref="A3:E22" headerRowCount="1">
  <autoFilter ref="A3:E22"/>
  <tableColumns count="5">
    <tableColumn id="1" name="turno"/>
    <tableColumn id="2" name="nombre"/>
    <tableColumn id="3" name="hora_inicio"/>
    <tableColumn id="4" name="hora_fin"/>
    <tableColumn id="5" name="tip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upervisores" displayName="tblSupervisores" ref="A3:C21" headerRowCount="1">
  <autoFilter ref="A3:C21"/>
  <tableColumns count="3">
    <tableColumn id="1" name="codigo"/>
    <tableColumn id="2" name="nombre"/>
    <tableColumn id="3" name="especialida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Motivos" displayName="tblMotivos" ref="A3:A21" headerRowCount="1">
  <autoFilter ref="A3:A21"/>
  <tableColumns count="1">
    <tableColumn id="1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X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hidden="1" width="13" customWidth="1" min="24" max="24"/>
  </cols>
  <sheetData>
    <row r="1" ht="24" customHeight="1">
      <c r="A1" s="1">
        <f>"TABLERO DE MANTENIMIENTO — "&amp;p_nombre_planta&amp;" · "&amp;p_nombre_empresa</f>
        <v/>
      </c>
    </row>
    <row r="2">
      <c r="A2" s="2" t="inlineStr">
        <is>
          <t>Solo lectura: cada indicador se lee de su hoja de origen (botonera de abajo). El selector ofrece el calendario completo, no solo los meses con datos: un mes sin datos sale en BLANCO (blanco = no hay dato; cero = hubo trabajo y no se cumplió). Las metas de mix son convención de industria, NO una norma; se ajustan en PARAMETROS.</t>
        </is>
      </c>
      <c r="X2" s="2" t="inlineStr">
        <is>
          <t>meses con datos (validación) — no editar</t>
        </is>
      </c>
    </row>
    <row r="3">
      <c r="A3" s="3" t="inlineStr">
        <is>
          <t>Mes:</t>
        </is>
      </c>
      <c r="B3" s="4" t="inlineStr">
        <is>
          <t>2026-07</t>
        </is>
      </c>
      <c r="D3" s="3">
        <f>"Fecha de datos: "&amp;TEXT(p_fecha_datos,"yyyy-mm-dd")&amp;"   ·   "&amp;IF($B$3=YEAR(p_fecha_datos)&amp;"-"&amp;TEXT(MONTH(p_fecha_datos),"00"),"MES EN CURSO: incluye hasta el "&amp;TEXT(p_fecha_datos-1,"yyyy-mm-dd")&amp;" (ni el día de la fecha de datos ni los posteriores entran)",IF($B$3&lt;YEAR(p_fecha_datos)&amp;"-"&amp;TEXT(MONTH(p_fecha_datos),"00"),"mes cerrado: incluye el mes completo","mes futuro: muestra lo PLANIFICADO del mes completo"))</f>
        <v/>
      </c>
      <c r="X3" s="5" t="inlineStr">
        <is>
          <t>2025-10</t>
        </is>
      </c>
    </row>
    <row r="4">
      <c r="A4" s="6">
        <f>HYPERLINK("#PLAN_SEMANAL!A1","▸ PLAN SEMANAL")</f>
        <v/>
      </c>
      <c r="C4" s="6">
        <f>HYPERLINK("#ADHERENCIA!A1","▸ ADHERENCIA")</f>
        <v/>
      </c>
      <c r="E4" s="6">
        <f>HYPERLINK("#PERFIL_HH!A1","▸ PERFIL HH")</f>
        <v/>
      </c>
      <c r="G4" s="6">
        <f>HYPERLINK("#BACKLOG!A1","▸ BACKLOG")</f>
        <v/>
      </c>
      <c r="I4" s="6">
        <f>HYPERLINK("#PRESUPUESTO!A1","▸ PRESUPUESTO")</f>
        <v/>
      </c>
      <c r="K4" s="6">
        <f>HYPERLINK("#ORDENES!A1","▸ ORDENES")</f>
        <v/>
      </c>
      <c r="M4" s="6">
        <f>HYPERLINK("#VALIDACION!A1","▸ VALIDACION")</f>
        <v/>
      </c>
      <c r="X4" s="5" t="inlineStr">
        <is>
          <t>2025-11</t>
        </is>
      </c>
    </row>
    <row r="5">
      <c r="X5" s="5" t="inlineStr">
        <is>
          <t>2025-12</t>
        </is>
      </c>
    </row>
    <row r="6">
      <c r="A6" s="7" t="inlineStr">
        <is>
          <t>1 · ADHERENCIA AL PROGRAMA</t>
        </is>
      </c>
      <c r="B6" s="8" t="n"/>
      <c r="C6" s="8" t="n"/>
      <c r="D6" s="8" t="n"/>
      <c r="E6" s="8" t="n"/>
      <c r="G6" s="7" t="inlineStr">
        <is>
          <t>2 · % CARGA DE CAPACIDAD</t>
        </is>
      </c>
      <c r="H6" s="8" t="n"/>
      <c r="I6" s="8" t="n"/>
      <c r="J6" s="8" t="n"/>
      <c r="K6" s="8" t="n"/>
      <c r="M6" s="7" t="inlineStr">
        <is>
          <t>3 · SEMANAS DE BACKLOG</t>
        </is>
      </c>
      <c r="N6" s="8" t="n"/>
      <c r="O6" s="8" t="n"/>
      <c r="P6" s="8" t="n"/>
      <c r="Q6" s="8" t="n"/>
      <c r="X6" s="5" t="inlineStr">
        <is>
          <t>2026-01</t>
        </is>
      </c>
    </row>
    <row r="7" ht="26" customHeight="1">
      <c r="A7" s="9">
        <f>IFERROR(INDEX(ADHERENCIA!$E$134:$E$151,MATCH($B$3,ADHERENCIA!$A$134:$A$151,0)),"")</f>
        <v/>
      </c>
      <c r="B7" s="8" t="n"/>
      <c r="C7" s="8" t="n"/>
      <c r="D7" s="8" t="n"/>
      <c r="E7" s="8" t="n"/>
      <c r="G7" s="9">
        <f>IFERROR(INDEX(PERFIL_HH!$L$373:$L$390,MATCH($B$3,PERFIL_HH!$A$373:$A$390,0)),"")</f>
        <v/>
      </c>
      <c r="H7" s="8" t="n"/>
      <c r="I7" s="8" t="n"/>
      <c r="J7" s="8" t="n"/>
      <c r="K7" s="8" t="n"/>
      <c r="M7" s="10">
        <f>IFERROR(INDEX(BACKLOG!$F$34:$F$51,MATCH($B$3,BACKLOG!$A$34:$A$51,0)),"")</f>
        <v/>
      </c>
      <c r="N7" s="8" t="n"/>
      <c r="O7" s="8" t="n"/>
      <c r="P7" s="8" t="n"/>
      <c r="Q7" s="8" t="n"/>
      <c r="X7" s="5" t="inlineStr">
        <is>
          <t>2026-02</t>
        </is>
      </c>
    </row>
    <row r="8" ht="12" customHeight="1">
      <c r="A8" s="8" t="n"/>
      <c r="B8" s="8" t="n"/>
      <c r="C8" s="8" t="n"/>
      <c r="D8" s="8" t="n"/>
      <c r="E8" s="8" t="n"/>
      <c r="G8" s="8" t="n"/>
      <c r="H8" s="8" t="n"/>
      <c r="I8" s="8" t="n"/>
      <c r="J8" s="8" t="n"/>
      <c r="K8" s="8" t="n"/>
      <c r="M8" s="8" t="n"/>
      <c r="N8" s="8" t="n"/>
      <c r="O8" s="8" t="n"/>
      <c r="P8" s="8" t="n"/>
      <c r="Q8" s="8" t="n"/>
      <c r="X8" s="5" t="inlineStr">
        <is>
          <t>2026-03</t>
        </is>
      </c>
    </row>
    <row r="9">
      <c r="A9" s="11">
        <f>"meta "&amp;TEXT(p_meta_adherencia,"0%")&amp;"  ·  REGLA-7, solo días hábiles"</f>
        <v/>
      </c>
      <c r="B9" s="8" t="n"/>
      <c r="C9" s="8" t="n"/>
      <c r="D9" s="8" t="n"/>
      <c r="E9" s="8" t="n"/>
      <c r="G9" s="11">
        <f>"capacidad PRODUCTIVA = disponible × "&amp;TEXT(p_factor_productividad,"0%")&amp;"  ·  no es el 100 % del tiempo de presencia"</f>
        <v/>
      </c>
      <c r="H9" s="8" t="n"/>
      <c r="I9" s="8" t="n"/>
      <c r="J9" s="8" t="n"/>
      <c r="K9" s="8" t="n"/>
      <c r="M9" s="11" t="inlineStr">
        <is>
          <t>HH pendientes al corte ÷ capacidad productiva de una semana</t>
        </is>
      </c>
      <c r="N9" s="8" t="n"/>
      <c r="O9" s="8" t="n"/>
      <c r="P9" s="8" t="n"/>
      <c r="Q9" s="8" t="n"/>
      <c r="X9" s="5" t="inlineStr">
        <is>
          <t>2026-04</t>
        </is>
      </c>
    </row>
    <row r="10">
      <c r="A10" s="12" t="inlineStr">
        <is>
          <t>origen: ADHERENCIA › MES A MES</t>
        </is>
      </c>
      <c r="B10" s="8" t="n"/>
      <c r="C10" s="8" t="n"/>
      <c r="D10" s="8" t="n"/>
      <c r="E10" s="8" t="n"/>
      <c r="G10" s="12" t="inlineStr">
        <is>
          <t>origen: PERFIL_HH › MES A MES</t>
        </is>
      </c>
      <c r="H10" s="8" t="n"/>
      <c r="I10" s="8" t="n"/>
      <c r="J10" s="8" t="n"/>
      <c r="K10" s="8" t="n"/>
      <c r="M10" s="12" t="inlineStr">
        <is>
          <t>origen: BACKLOG › AL CORTE (el detalle por tramos, en la hoja)</t>
        </is>
      </c>
      <c r="N10" s="8" t="n"/>
      <c r="O10" s="8" t="n"/>
      <c r="P10" s="8" t="n"/>
      <c r="Q10" s="8" t="n"/>
      <c r="X10" s="5" t="inlineStr">
        <is>
          <t>2026-05</t>
        </is>
      </c>
    </row>
    <row r="11">
      <c r="X11" s="5" t="inlineStr">
        <is>
          <t>2026-06</t>
        </is>
      </c>
    </row>
    <row r="12">
      <c r="A12" s="7" t="inlineStr">
        <is>
          <t>4 · EJECUCIÓN OPEX (acumulada)</t>
        </is>
      </c>
      <c r="B12" s="8" t="n"/>
      <c r="C12" s="8" t="n"/>
      <c r="D12" s="8" t="n"/>
      <c r="E12" s="8" t="n"/>
      <c r="G12" s="7" t="inlineStr">
        <is>
          <t>5 · CUMPLIMIENTO DE LUBRICACIÓN</t>
        </is>
      </c>
      <c r="H12" s="8" t="n"/>
      <c r="I12" s="8" t="n"/>
      <c r="J12" s="8" t="n"/>
      <c r="K12" s="8" t="n"/>
      <c r="M12" s="7" t="inlineStr">
        <is>
          <t>6 · CUMPLIMIENTO DE CALIBRACIONES</t>
        </is>
      </c>
      <c r="N12" s="8" t="n"/>
      <c r="O12" s="8" t="n"/>
      <c r="P12" s="8" t="n"/>
      <c r="Q12" s="8" t="n"/>
      <c r="X12" s="5" t="inlineStr">
        <is>
          <t>2026-07</t>
        </is>
      </c>
    </row>
    <row r="13" ht="26" customHeight="1">
      <c r="A13" s="9">
        <f>IF(VALUE(LEFT($B$3,4))&lt;&gt;p_anio_presupuesto,"",IF(SUMPRODUCT(({1,2,3,4,5,6,7,8,9,10,11,12}&lt;=VALUE(RIGHT($B$3,2)))*(PRESUPUESTO!$C$43:$N$43))=0,"",SUMPRODUCT(({1,2,3,4,5,6,7,8,9,10,11,12}&lt;=VALUE(RIGHT($B$3,2)))*(PRESUPUESTO!$C$62:$N$62))/SUMPRODUCT(({1,2,3,4,5,6,7,8,9,10,11,12}&lt;=VALUE(RIGHT($B$3,2)))*(PRESUPUESTO!$C$43:$N$43))))</f>
        <v/>
      </c>
      <c r="B13" s="8" t="n"/>
      <c r="C13" s="8" t="n"/>
      <c r="D13" s="8" t="n"/>
      <c r="E13" s="8" t="n"/>
      <c r="G13" s="9">
        <f>IFERROR(INDEX(ADHERENCIA!$M$134:$M$151,MATCH($B$3,ADHERENCIA!$A$134:$A$151,0)),"")</f>
        <v/>
      </c>
      <c r="H13" s="8" t="n"/>
      <c r="I13" s="8" t="n"/>
      <c r="J13" s="8" t="n"/>
      <c r="K13" s="8" t="n"/>
      <c r="M13" s="9">
        <f>IFERROR(INDEX(ADHERENCIA!$I$134:$I$151,MATCH($B$3,ADHERENCIA!$A$134:$A$151,0)),"")</f>
        <v/>
      </c>
      <c r="N13" s="8" t="n"/>
      <c r="O13" s="8" t="n"/>
      <c r="P13" s="8" t="n"/>
      <c r="Q13" s="8" t="n"/>
      <c r="X13" s="5" t="inlineStr">
        <is>
          <t>2026-08</t>
        </is>
      </c>
    </row>
    <row r="14" ht="12" customHeight="1">
      <c r="A14" s="8" t="n"/>
      <c r="B14" s="8" t="n"/>
      <c r="C14" s="8" t="n"/>
      <c r="D14" s="8" t="n"/>
      <c r="E14" s="8" t="n"/>
      <c r="G14" s="8" t="n"/>
      <c r="H14" s="8" t="n"/>
      <c r="I14" s="8" t="n"/>
      <c r="J14" s="8" t="n"/>
      <c r="K14" s="8" t="n"/>
      <c r="M14" s="8" t="n"/>
      <c r="N14" s="8" t="n"/>
      <c r="O14" s="8" t="n"/>
      <c r="P14" s="8" t="n"/>
      <c r="Q14" s="8" t="n"/>
      <c r="X14" s="5" t="inlineStr">
        <is>
          <t>2026-09</t>
        </is>
      </c>
    </row>
    <row r="15">
      <c r="A15" s="11">
        <f>"real ÷ presupuesto, enero → mes elegido  ·  tolerancia "&amp;TEXT(p_tolerancia_desviacion_presupuesto,"0%")</f>
        <v/>
      </c>
      <c r="B15" s="8" t="n"/>
      <c r="C15" s="8" t="n"/>
      <c r="D15" s="8" t="n"/>
      <c r="E15" s="8" t="n"/>
      <c r="G15" s="11">
        <f>"lubricacion cerradas ÷ programadas del mes  ·  vencidas: "&amp;$G$17</f>
        <v/>
      </c>
      <c r="H15" s="8" t="n"/>
      <c r="I15" s="8" t="n"/>
      <c r="J15" s="8" t="n"/>
      <c r="K15" s="8" t="n"/>
      <c r="M15" s="11">
        <f>"calibracion cerradas ÷ programadas del mes  ·  vencidas: "&amp;$M$17</f>
        <v/>
      </c>
      <c r="N15" s="8" t="n"/>
      <c r="O15" s="8" t="n"/>
      <c r="P15" s="8" t="n"/>
      <c r="Q15" s="8" t="n"/>
      <c r="X15" s="5" t="inlineStr">
        <is>
          <t>2026-10</t>
        </is>
      </c>
    </row>
    <row r="16">
      <c r="A16" s="12" t="inlineStr">
        <is>
          <t>origen: PRESUPUESTO › filas TOTAL GENERAL</t>
        </is>
      </c>
      <c r="B16" s="8" t="n"/>
      <c r="C16" s="8" t="n"/>
      <c r="D16" s="8" t="n"/>
      <c r="E16" s="8" t="n"/>
      <c r="G16" s="12" t="inlineStr">
        <is>
          <t>origen: ADHERENCIA › MES A MES (rubro lubricacion)</t>
        </is>
      </c>
      <c r="H16" s="8" t="n"/>
      <c r="I16" s="8" t="n"/>
      <c r="J16" s="8" t="n"/>
      <c r="K16" s="8" t="n"/>
      <c r="M16" s="12" t="inlineStr">
        <is>
          <t>origen: ADHERENCIA › MES A MES (rubro calibracion)</t>
        </is>
      </c>
      <c r="N16" s="8" t="n"/>
      <c r="O16" s="8" t="n"/>
      <c r="P16" s="8" t="n"/>
      <c r="Q16" s="8" t="n"/>
      <c r="X16" s="5" t="inlineStr">
        <is>
          <t>2026-11</t>
        </is>
      </c>
    </row>
    <row r="17">
      <c r="G17" s="13">
        <f>IFERROR(INDEX(ADHERENCIA!$N$134:$N$151,MATCH($B$3,ADHERENCIA!$A$134:$A$151,0)),"")</f>
        <v/>
      </c>
      <c r="H17" s="2" t="inlineStr">
        <is>
          <t>← lubricacion vencidas al corte (celda de apoyo del semáforo)</t>
        </is>
      </c>
      <c r="M17" s="13">
        <f>IFERROR(INDEX(ADHERENCIA!$J$134:$J$151,MATCH($B$3,ADHERENCIA!$A$134:$A$151,0)),"")</f>
        <v/>
      </c>
      <c r="N17" s="2" t="inlineStr">
        <is>
          <t>← calibracion vencidas al corte (celda de apoyo del semáforo)</t>
        </is>
      </c>
      <c r="X17" s="5" t="inlineStr">
        <is>
          <t>2026-12</t>
        </is>
      </c>
    </row>
    <row r="18">
      <c r="X18" s="5" t="inlineStr">
        <is>
          <t>2027-01</t>
        </is>
      </c>
    </row>
    <row r="19">
      <c r="X19" s="5" t="inlineStr">
        <is>
          <t>2027-02</t>
        </is>
      </c>
    </row>
    <row r="20">
      <c r="X20" s="5" t="inlineStr">
        <is>
          <t>2027-03</t>
        </is>
      </c>
    </row>
    <row r="33">
      <c r="J33" s="3" t="inlineStr">
        <is>
          <t>C · MIX DE MANTENIMIENTO — real vs meta (la meta se compara contra el % por HORAS)</t>
        </is>
      </c>
    </row>
    <row r="34">
      <c r="J34" s="14" t="inlineStr">
        <is>
          <t>clase</t>
        </is>
      </c>
      <c r="K34" s="14" t="inlineStr">
        <is>
          <t>% real (horas)</t>
        </is>
      </c>
      <c r="L34" s="14" t="inlineStr">
        <is>
          <t>% meta</t>
        </is>
      </c>
      <c r="M34" s="14" t="inlineStr">
        <is>
          <t>desviación (pp)</t>
        </is>
      </c>
      <c r="N34" s="14" t="inlineStr">
        <is>
          <t>% real (conteo)</t>
        </is>
      </c>
      <c r="O34" s="14" t="inlineStr">
        <is>
          <t>horas</t>
        </is>
      </c>
      <c r="P34" s="14" t="inlineStr">
        <is>
          <t>órdenes</t>
        </is>
      </c>
    </row>
    <row r="35">
      <c r="J35" s="5" t="inlineStr">
        <is>
          <t>predictivo</t>
        </is>
      </c>
      <c r="K35" s="15">
        <f>IF(N(IFERROR(INDEX(ADHERENCIA!$AA$134:$AA$151,MATCH($B$3,ADHERENCIA!$A$134:$A$151,0)),""))=0,"",$O35/IFERROR(INDEX(ADHERENCIA!$AA$134:$AA$151,MATCH($B$3,ADHERENCIA!$A$134:$A$151,0)),""))</f>
        <v/>
      </c>
      <c r="L35" s="15">
        <f>p_meta_pct_predictivo/100</f>
        <v/>
      </c>
      <c r="M35" s="16">
        <f>IF($K35="","",($K35-$L35)*100)</f>
        <v/>
      </c>
      <c r="N35" s="15">
        <f>IF(N(IFERROR(INDEX(ADHERENCIA!$T$134:$T$151,MATCH($B$3,ADHERENCIA!$A$134:$A$151,0)),""))=0,"",$P35/IFERROR(INDEX(ADHERENCIA!$T$134:$T$151,MATCH($B$3,ADHERENCIA!$A$134:$A$151,0)),""))</f>
        <v/>
      </c>
      <c r="O35" s="17">
        <f>IFERROR(INDEX(ADHERENCIA!$V$134:$V$151,MATCH($B$3,ADHERENCIA!$A$134:$A$151,0)),"")</f>
        <v/>
      </c>
      <c r="P35" s="5">
        <f>IFERROR(INDEX(ADHERENCIA!$O$134:$O$151,MATCH($B$3,ADHERENCIA!$A$134:$A$151,0)),"")</f>
        <v/>
      </c>
    </row>
    <row r="36">
      <c r="J36" s="5" t="inlineStr">
        <is>
          <t>preventivo</t>
        </is>
      </c>
      <c r="K36" s="15">
        <f>IF(N(IFERROR(INDEX(ADHERENCIA!$AA$134:$AA$151,MATCH($B$3,ADHERENCIA!$A$134:$A$151,0)),""))=0,"",$O36/IFERROR(INDEX(ADHERENCIA!$AA$134:$AA$151,MATCH($B$3,ADHERENCIA!$A$134:$A$151,0)),""))</f>
        <v/>
      </c>
      <c r="L36" s="15">
        <f>p_meta_pct_preventivo/100</f>
        <v/>
      </c>
      <c r="M36" s="16">
        <f>IF($K36="","",($K36-$L36)*100)</f>
        <v/>
      </c>
      <c r="N36" s="15">
        <f>IF(N(IFERROR(INDEX(ADHERENCIA!$T$134:$T$151,MATCH($B$3,ADHERENCIA!$A$134:$A$151,0)),""))=0,"",$P36/IFERROR(INDEX(ADHERENCIA!$T$134:$T$151,MATCH($B$3,ADHERENCIA!$A$134:$A$151,0)),""))</f>
        <v/>
      </c>
      <c r="O36" s="17">
        <f>IFERROR(INDEX(ADHERENCIA!$W$134:$W$151,MATCH($B$3,ADHERENCIA!$A$134:$A$151,0)),"")</f>
        <v/>
      </c>
      <c r="P36" s="5">
        <f>IFERROR(INDEX(ADHERENCIA!$P$134:$P$151,MATCH($B$3,ADHERENCIA!$A$134:$A$151,0)),"")</f>
        <v/>
      </c>
    </row>
    <row r="37">
      <c r="J37" s="5" t="inlineStr">
        <is>
          <t>correctivo_programado</t>
        </is>
      </c>
      <c r="K37" s="15">
        <f>IF(N(IFERROR(INDEX(ADHERENCIA!$AA$134:$AA$151,MATCH($B$3,ADHERENCIA!$A$134:$A$151,0)),""))=0,"",$O37/IFERROR(INDEX(ADHERENCIA!$AA$134:$AA$151,MATCH($B$3,ADHERENCIA!$A$134:$A$151,0)),""))</f>
        <v/>
      </c>
      <c r="L37" s="15">
        <f>p_meta_pct_correctivo_programado/100</f>
        <v/>
      </c>
      <c r="M37" s="16">
        <f>IF($K37="","",($K37-$L37)*100)</f>
        <v/>
      </c>
      <c r="N37" s="15">
        <f>IF(N(IFERROR(INDEX(ADHERENCIA!$T$134:$T$151,MATCH($B$3,ADHERENCIA!$A$134:$A$151,0)),""))=0,"",$P37/IFERROR(INDEX(ADHERENCIA!$T$134:$T$151,MATCH($B$3,ADHERENCIA!$A$134:$A$151,0)),""))</f>
        <v/>
      </c>
      <c r="O37" s="17">
        <f>IFERROR(INDEX(ADHERENCIA!$X$134:$X$151,MATCH($B$3,ADHERENCIA!$A$134:$A$151,0)),"")</f>
        <v/>
      </c>
      <c r="P37" s="5">
        <f>IFERROR(INDEX(ADHERENCIA!$Q$134:$Q$151,MATCH($B$3,ADHERENCIA!$A$134:$A$151,0)),"")</f>
        <v/>
      </c>
    </row>
    <row r="38">
      <c r="J38" s="5" t="inlineStr">
        <is>
          <t>emergencia</t>
        </is>
      </c>
      <c r="K38" s="15">
        <f>IF(N(IFERROR(INDEX(ADHERENCIA!$AA$134:$AA$151,MATCH($B$3,ADHERENCIA!$A$134:$A$151,0)),""))=0,"",$O38/IFERROR(INDEX(ADHERENCIA!$AA$134:$AA$151,MATCH($B$3,ADHERENCIA!$A$134:$A$151,0)),""))</f>
        <v/>
      </c>
      <c r="L38" s="15">
        <f>p_meta_pct_emergencia/100</f>
        <v/>
      </c>
      <c r="M38" s="16">
        <f>IF($K38="","",($K38-$L38)*100)</f>
        <v/>
      </c>
      <c r="N38" s="15">
        <f>IF(N(IFERROR(INDEX(ADHERENCIA!$T$134:$T$151,MATCH($B$3,ADHERENCIA!$A$134:$A$151,0)),""))=0,"",$P38/IFERROR(INDEX(ADHERENCIA!$T$134:$T$151,MATCH($B$3,ADHERENCIA!$A$134:$A$151,0)),""))</f>
        <v/>
      </c>
      <c r="O38" s="17">
        <f>IFERROR(INDEX(ADHERENCIA!$Y$134:$Y$151,MATCH($B$3,ADHERENCIA!$A$134:$A$151,0)),"")</f>
        <v/>
      </c>
      <c r="P38" s="5">
        <f>IFERROR(INDEX(ADHERENCIA!$R$134:$R$151,MATCH($B$3,ADHERENCIA!$A$134:$A$151,0)),"")</f>
        <v/>
      </c>
    </row>
    <row r="39">
      <c r="J39" s="5" t="inlineStr">
        <is>
          <t>SIN CLASIFICAR</t>
        </is>
      </c>
      <c r="K39" s="15">
        <f>IF(N(IFERROR(INDEX(ADHERENCIA!$AA$134:$AA$151,MATCH($B$3,ADHERENCIA!$A$134:$A$151,0)),""))=0,"",$O39/IFERROR(INDEX(ADHERENCIA!$AA$134:$AA$151,MATCH($B$3,ADHERENCIA!$A$134:$A$151,0)),""))</f>
        <v/>
      </c>
      <c r="L39" s="15">
        <f>0</f>
        <v/>
      </c>
      <c r="M39" s="16">
        <f>IF($K39="","",($K39-$L39)*100)</f>
        <v/>
      </c>
      <c r="N39" s="15">
        <f>IF(N(IFERROR(INDEX(ADHERENCIA!$T$134:$T$151,MATCH($B$3,ADHERENCIA!$A$134:$A$151,0)),""))=0,"",$P39/IFERROR(INDEX(ADHERENCIA!$T$134:$T$151,MATCH($B$3,ADHERENCIA!$A$134:$A$151,0)),""))</f>
        <v/>
      </c>
      <c r="O39" s="17">
        <f>IFERROR(INDEX(ADHERENCIA!$Z$134:$Z$151,MATCH($B$3,ADHERENCIA!$A$134:$A$151,0)),"")</f>
        <v/>
      </c>
      <c r="P39" s="5">
        <f>IFERROR(INDEX(ADHERENCIA!$S$134:$S$151,MATCH($B$3,ADHERENCIA!$A$134:$A$151,0)),"")</f>
        <v/>
      </c>
    </row>
    <row r="40">
      <c r="J40" s="3" t="inlineStr">
        <is>
          <t>TOTAL (control)</t>
        </is>
      </c>
      <c r="K40" s="15">
        <f>IF(N(IFERROR(INDEX(ADHERENCIA!$AA$134:$AA$151,MATCH($B$3,ADHERENCIA!$A$134:$A$151,0)),""))=0,"",SUM($K$35:$K$39))</f>
        <v/>
      </c>
      <c r="L40" s="15">
        <f>SUM($L$35:$L$39)</f>
        <v/>
      </c>
      <c r="N40" s="15">
        <f>IF(N(IFERROR(INDEX(ADHERENCIA!$T$134:$T$151,MATCH($B$3,ADHERENCIA!$A$134:$A$151,0)),""))=0,"",SUM($N$35:$N$39))</f>
        <v/>
      </c>
      <c r="O40" s="17">
        <f>SUM($O$35:$O$39)</f>
        <v/>
      </c>
      <c r="P40" s="5">
        <f>SUM($P$35:$P$39)</f>
        <v/>
      </c>
    </row>
    <row r="41">
      <c r="J41" s="2" t="inlineStr">
        <is>
          <t>DIFERENCIA vs el mes (debe ser 0)</t>
        </is>
      </c>
      <c r="O41" s="17">
        <f>ROUND($O40-N(IFERROR(INDEX(ADHERENCIA!$AA$134:$AA$151,MATCH($B$3,ADHERENCIA!$A$134:$A$151,0)),"")),6)</f>
        <v/>
      </c>
      <c r="P41" s="5">
        <f>$P40-N(IFERROR(INDEX(ADHERENCIA!$T$134:$T$151,MATCH($B$3,ADHERENCIA!$A$134:$A$151,0)),""))</f>
        <v/>
      </c>
    </row>
    <row r="42">
      <c r="J42" s="2">
        <f>PARAMETROS!$B$29</f>
        <v/>
      </c>
    </row>
    <row r="43">
      <c r="J43" s="2" t="inlineStr">
        <is>
          <t>RUBRO (calibración, lubricación) es etiqueta transversal: NO entra en este mix, se mide en sus tarjetas.</t>
        </is>
      </c>
    </row>
    <row r="51">
      <c r="A51" s="3" t="inlineStr">
        <is>
          <t>BLOQUES DE DATOS DE LOS GRÁFICOS — se leen de las hojas fuente y responden al mes seleccionado. No editar.</t>
        </is>
      </c>
    </row>
    <row r="52">
      <c r="A52" s="2" t="inlineStr">
        <is>
          <t>A · cumplimiento semanal del mes elegido</t>
        </is>
      </c>
    </row>
    <row r="53">
      <c r="A53" s="14" t="inlineStr">
        <is>
          <t>semana</t>
        </is>
      </c>
      <c r="B53" s="14" t="inlineStr">
        <is>
          <t>adherencia</t>
        </is>
      </c>
      <c r="C53" s="14" t="inlineStr">
        <is>
          <t>meta</t>
        </is>
      </c>
    </row>
    <row r="54">
      <c r="A54" s="5">
        <f>IF((DATE(VALUE(LEFT($B$3,4)),VALUE(RIGHT($B$3,2)),1)-WEEKDAY(DATE(VALUE(LEFT($B$3,4)),VALUE(RIGHT($B$3,2)),1),2)+1+0)&gt;DATE(VALUE(LEFT($B$3,4)),VALUE(RIGHT($B$3,2))+1,0),"",YEAR((DATE(VALUE(LEFT($B$3,4)),VALUE(RIGHT($B$3,2)),1)-WEEKDAY(DATE(VALUE(LEFT($B$3,4)),VALUE(RIGHT($B$3,2)),1),2)+1+0)+4-WEEKDAY((DATE(VALUE(LEFT($B$3,4)),VALUE(RIGHT($B$3,2)),1)-WEEKDAY(DATE(VALUE(LEFT($B$3,4)),VALUE(RIGHT($B$3,2)),1),2)+1+0),2))&amp;"-S"&amp;TEXT(_xlfn.ISOWEEKNUM((DATE(VALUE(LEFT($B$3,4)),VALUE(RIGHT($B$3,2)),1)-WEEKDAY(DATE(VALUE(LEFT($B$3,4)),VALUE(RIGHT($B$3,2)),1),2)+1+0)),"00"))</f>
        <v/>
      </c>
      <c r="B54" s="15">
        <f>IF($A54="","",IFERROR(INDEX(ADHERENCIA!$D$5:$D$64,MATCH($A54,ADHERENCIA!$A$5:$A$64,0)),""))</f>
        <v/>
      </c>
      <c r="C54" s="15">
        <f>IF($A54="","",p_meta_adherencia)</f>
        <v/>
      </c>
    </row>
    <row r="55">
      <c r="A55" s="5">
        <f>IF((DATE(VALUE(LEFT($B$3,4)),VALUE(RIGHT($B$3,2)),1)-WEEKDAY(DATE(VALUE(LEFT($B$3,4)),VALUE(RIGHT($B$3,2)),1),2)+1+7)&gt;DATE(VALUE(LEFT($B$3,4)),VALUE(RIGHT($B$3,2))+1,0),"",YEAR((DATE(VALUE(LEFT($B$3,4)),VALUE(RIGHT($B$3,2)),1)-WEEKDAY(DATE(VALUE(LEFT($B$3,4)),VALUE(RIGHT($B$3,2)),1),2)+1+7)+4-WEEKDAY((DATE(VALUE(LEFT($B$3,4)),VALUE(RIGHT($B$3,2)),1)-WEEKDAY(DATE(VALUE(LEFT($B$3,4)),VALUE(RIGHT($B$3,2)),1),2)+1+7),2))&amp;"-S"&amp;TEXT(_xlfn.ISOWEEKNUM((DATE(VALUE(LEFT($B$3,4)),VALUE(RIGHT($B$3,2)),1)-WEEKDAY(DATE(VALUE(LEFT($B$3,4)),VALUE(RIGHT($B$3,2)),1),2)+1+7)),"00"))</f>
        <v/>
      </c>
      <c r="B55" s="15">
        <f>IF($A55="","",IFERROR(INDEX(ADHERENCIA!$D$5:$D$64,MATCH($A55,ADHERENCIA!$A$5:$A$64,0)),""))</f>
        <v/>
      </c>
      <c r="C55" s="15">
        <f>IF($A55="","",p_meta_adherencia)</f>
        <v/>
      </c>
    </row>
    <row r="56">
      <c r="A56" s="5">
        <f>IF((DATE(VALUE(LEFT($B$3,4)),VALUE(RIGHT($B$3,2)),1)-WEEKDAY(DATE(VALUE(LEFT($B$3,4)),VALUE(RIGHT($B$3,2)),1),2)+1+14)&gt;DATE(VALUE(LEFT($B$3,4)),VALUE(RIGHT($B$3,2))+1,0),"",YEAR((DATE(VALUE(LEFT($B$3,4)),VALUE(RIGHT($B$3,2)),1)-WEEKDAY(DATE(VALUE(LEFT($B$3,4)),VALUE(RIGHT($B$3,2)),1),2)+1+14)+4-WEEKDAY((DATE(VALUE(LEFT($B$3,4)),VALUE(RIGHT($B$3,2)),1)-WEEKDAY(DATE(VALUE(LEFT($B$3,4)),VALUE(RIGHT($B$3,2)),1),2)+1+14),2))&amp;"-S"&amp;TEXT(_xlfn.ISOWEEKNUM((DATE(VALUE(LEFT($B$3,4)),VALUE(RIGHT($B$3,2)),1)-WEEKDAY(DATE(VALUE(LEFT($B$3,4)),VALUE(RIGHT($B$3,2)),1),2)+1+14)),"00"))</f>
        <v/>
      </c>
      <c r="B56" s="15">
        <f>IF($A56="","",IFERROR(INDEX(ADHERENCIA!$D$5:$D$64,MATCH($A56,ADHERENCIA!$A$5:$A$64,0)),""))</f>
        <v/>
      </c>
      <c r="C56" s="15">
        <f>IF($A56="","",p_meta_adherencia)</f>
        <v/>
      </c>
    </row>
    <row r="57">
      <c r="A57" s="5">
        <f>IF((DATE(VALUE(LEFT($B$3,4)),VALUE(RIGHT($B$3,2)),1)-WEEKDAY(DATE(VALUE(LEFT($B$3,4)),VALUE(RIGHT($B$3,2)),1),2)+1+21)&gt;DATE(VALUE(LEFT($B$3,4)),VALUE(RIGHT($B$3,2))+1,0),"",YEAR((DATE(VALUE(LEFT($B$3,4)),VALUE(RIGHT($B$3,2)),1)-WEEKDAY(DATE(VALUE(LEFT($B$3,4)),VALUE(RIGHT($B$3,2)),1),2)+1+21)+4-WEEKDAY((DATE(VALUE(LEFT($B$3,4)),VALUE(RIGHT($B$3,2)),1)-WEEKDAY(DATE(VALUE(LEFT($B$3,4)),VALUE(RIGHT($B$3,2)),1),2)+1+21),2))&amp;"-S"&amp;TEXT(_xlfn.ISOWEEKNUM((DATE(VALUE(LEFT($B$3,4)),VALUE(RIGHT($B$3,2)),1)-WEEKDAY(DATE(VALUE(LEFT($B$3,4)),VALUE(RIGHT($B$3,2)),1),2)+1+21)),"00"))</f>
        <v/>
      </c>
      <c r="B57" s="15">
        <f>IF($A57="","",IFERROR(INDEX(ADHERENCIA!$D$5:$D$64,MATCH($A57,ADHERENCIA!$A$5:$A$64,0)),""))</f>
        <v/>
      </c>
      <c r="C57" s="15">
        <f>IF($A57="","",p_meta_adherencia)</f>
        <v/>
      </c>
    </row>
    <row r="58">
      <c r="A58" s="5">
        <f>IF((DATE(VALUE(LEFT($B$3,4)),VALUE(RIGHT($B$3,2)),1)-WEEKDAY(DATE(VALUE(LEFT($B$3,4)),VALUE(RIGHT($B$3,2)),1),2)+1+28)&gt;DATE(VALUE(LEFT($B$3,4)),VALUE(RIGHT($B$3,2))+1,0),"",YEAR((DATE(VALUE(LEFT($B$3,4)),VALUE(RIGHT($B$3,2)),1)-WEEKDAY(DATE(VALUE(LEFT($B$3,4)),VALUE(RIGHT($B$3,2)),1),2)+1+28)+4-WEEKDAY((DATE(VALUE(LEFT($B$3,4)),VALUE(RIGHT($B$3,2)),1)-WEEKDAY(DATE(VALUE(LEFT($B$3,4)),VALUE(RIGHT($B$3,2)),1),2)+1+28),2))&amp;"-S"&amp;TEXT(_xlfn.ISOWEEKNUM((DATE(VALUE(LEFT($B$3,4)),VALUE(RIGHT($B$3,2)),1)-WEEKDAY(DATE(VALUE(LEFT($B$3,4)),VALUE(RIGHT($B$3,2)),1),2)+1+28)),"00"))</f>
        <v/>
      </c>
      <c r="B58" s="15">
        <f>IF($A58="","",IFERROR(INDEX(ADHERENCIA!$D$5:$D$64,MATCH($A58,ADHERENCIA!$A$5:$A$64,0)),""))</f>
        <v/>
      </c>
      <c r="C58" s="15">
        <f>IF($A58="","",p_meta_adherencia)</f>
        <v/>
      </c>
    </row>
    <row r="59">
      <c r="A59" s="5">
        <f>IF((DATE(VALUE(LEFT($B$3,4)),VALUE(RIGHT($B$3,2)),1)-WEEKDAY(DATE(VALUE(LEFT($B$3,4)),VALUE(RIGHT($B$3,2)),1),2)+1+35)&gt;DATE(VALUE(LEFT($B$3,4)),VALUE(RIGHT($B$3,2))+1,0),"",YEAR((DATE(VALUE(LEFT($B$3,4)),VALUE(RIGHT($B$3,2)),1)-WEEKDAY(DATE(VALUE(LEFT($B$3,4)),VALUE(RIGHT($B$3,2)),1),2)+1+35)+4-WEEKDAY((DATE(VALUE(LEFT($B$3,4)),VALUE(RIGHT($B$3,2)),1)-WEEKDAY(DATE(VALUE(LEFT($B$3,4)),VALUE(RIGHT($B$3,2)),1),2)+1+35),2))&amp;"-S"&amp;TEXT(_xlfn.ISOWEEKNUM((DATE(VALUE(LEFT($B$3,4)),VALUE(RIGHT($B$3,2)),1)-WEEKDAY(DATE(VALUE(LEFT($B$3,4)),VALUE(RIGHT($B$3,2)),1),2)+1+35)),"00"))</f>
        <v/>
      </c>
      <c r="B59" s="15">
        <f>IF($A59="","",IFERROR(INDEX(ADHERENCIA!$D$5:$D$64,MATCH($A59,ADHERENCIA!$A$5:$A$64,0)),""))</f>
        <v/>
      </c>
      <c r="C59" s="15">
        <f>IF($A59="","",p_meta_adherencia)</f>
        <v/>
      </c>
    </row>
    <row r="60">
      <c r="A60" s="2" t="inlineStr">
        <is>
          <t>B · carga vs capacidad productiva por especialidad (agregado; el detalle individual vive en SEGUIMIENTO_HH)</t>
        </is>
      </c>
    </row>
    <row r="61">
      <c r="A61" s="14" t="inlineStr">
        <is>
          <t>especialidad</t>
        </is>
      </c>
      <c r="B61" s="14" t="inlineStr">
        <is>
          <t>planificada</t>
        </is>
      </c>
      <c r="C61" s="14" t="inlineStr">
        <is>
          <t>capacidad productiva</t>
        </is>
      </c>
    </row>
    <row r="62">
      <c r="A62" s="5" t="inlineStr">
        <is>
          <t>MEC</t>
        </is>
      </c>
      <c r="B62" s="17">
        <f>IFERROR(INDEX(PERFIL_HH!$D$373:$D$390,MATCH($B$3,PERFIL_HH!$A$373:$A$390,0)),"")</f>
        <v/>
      </c>
      <c r="C62" s="17">
        <f>IFERROR(INDEX(PERFIL_HH!$E$373:$E$390,MATCH($B$3,PERFIL_HH!$A$373:$A$390,0)),"")</f>
        <v/>
      </c>
    </row>
    <row r="63">
      <c r="A63" s="5" t="inlineStr">
        <is>
          <t>ELE</t>
        </is>
      </c>
      <c r="B63" s="17">
        <f>IFERROR(INDEX(PERFIL_HH!$F$373:$F$390,MATCH($B$3,PERFIL_HH!$A$373:$A$390,0)),"")</f>
        <v/>
      </c>
      <c r="C63" s="17">
        <f>IFERROR(INDEX(PERFIL_HH!$G$373:$G$390,MATCH($B$3,PERFIL_HH!$A$373:$A$390,0)),"")</f>
        <v/>
      </c>
    </row>
    <row r="64">
      <c r="A64" s="5" t="inlineStr">
        <is>
          <t>AUT</t>
        </is>
      </c>
      <c r="B64" s="17">
        <f>IFERROR(INDEX(PERFIL_HH!$H$373:$H$390,MATCH($B$3,PERFIL_HH!$A$373:$A$390,0)),"")</f>
        <v/>
      </c>
      <c r="C64" s="17">
        <f>IFERROR(INDEX(PERFIL_HH!$I$373:$I$390,MATCH($B$3,PERFIL_HH!$A$373:$A$390,0)),"")</f>
        <v/>
      </c>
    </row>
    <row r="79">
      <c r="A79" s="2" t="inlineStr">
        <is>
          <t>D · OPEX plan vs real por mes (fijo y variable) — hasta el mes elegido</t>
        </is>
      </c>
    </row>
    <row r="80">
      <c r="A80" s="14" t="inlineStr">
        <is>
          <t>mes</t>
        </is>
      </c>
      <c r="B80" s="14" t="inlineStr">
        <is>
          <t>plan fijo</t>
        </is>
      </c>
      <c r="C80" s="14" t="inlineStr">
        <is>
          <t>plan variable</t>
        </is>
      </c>
      <c r="D80" s="14" t="inlineStr">
        <is>
          <t>real fijo</t>
        </is>
      </c>
      <c r="E80" s="14" t="inlineStr">
        <is>
          <t>real variable</t>
        </is>
      </c>
    </row>
    <row r="81">
      <c r="A81" s="5" t="inlineStr">
        <is>
          <t>ene</t>
        </is>
      </c>
      <c r="B81" s="18">
        <f>IF(1&gt;VALUE(RIGHT($B$3,2)),"",PRESUPUESTO!$C$41)</f>
        <v/>
      </c>
      <c r="C81" s="18">
        <f>IF(1&gt;VALUE(RIGHT($B$3,2)),"",PRESUPUESTO!$C$42)</f>
        <v/>
      </c>
      <c r="D81" s="18">
        <f>IF(1&gt;VALUE(RIGHT($B$3,2)),"",PRESUPUESTO!$C$60)</f>
        <v/>
      </c>
      <c r="E81" s="18">
        <f>IF(1&gt;VALUE(RIGHT($B$3,2)),"",PRESUPUESTO!$C$61)</f>
        <v/>
      </c>
    </row>
    <row r="82">
      <c r="A82" s="5" t="inlineStr">
        <is>
          <t>feb</t>
        </is>
      </c>
      <c r="B82" s="18">
        <f>IF(2&gt;VALUE(RIGHT($B$3,2)),"",PRESUPUESTO!$D$41)</f>
        <v/>
      </c>
      <c r="C82" s="18">
        <f>IF(2&gt;VALUE(RIGHT($B$3,2)),"",PRESUPUESTO!$D$42)</f>
        <v/>
      </c>
      <c r="D82" s="18">
        <f>IF(2&gt;VALUE(RIGHT($B$3,2)),"",PRESUPUESTO!$D$60)</f>
        <v/>
      </c>
      <c r="E82" s="18">
        <f>IF(2&gt;VALUE(RIGHT($B$3,2)),"",PRESUPUESTO!$D$61)</f>
        <v/>
      </c>
    </row>
    <row r="83">
      <c r="A83" s="5" t="inlineStr">
        <is>
          <t>mar</t>
        </is>
      </c>
      <c r="B83" s="18">
        <f>IF(3&gt;VALUE(RIGHT($B$3,2)),"",PRESUPUESTO!$E$41)</f>
        <v/>
      </c>
      <c r="C83" s="18">
        <f>IF(3&gt;VALUE(RIGHT($B$3,2)),"",PRESUPUESTO!$E$42)</f>
        <v/>
      </c>
      <c r="D83" s="18">
        <f>IF(3&gt;VALUE(RIGHT($B$3,2)),"",PRESUPUESTO!$E$60)</f>
        <v/>
      </c>
      <c r="E83" s="18">
        <f>IF(3&gt;VALUE(RIGHT($B$3,2)),"",PRESUPUESTO!$E$61)</f>
        <v/>
      </c>
    </row>
    <row r="84">
      <c r="A84" s="5" t="inlineStr">
        <is>
          <t>abr</t>
        </is>
      </c>
      <c r="B84" s="18">
        <f>IF(4&gt;VALUE(RIGHT($B$3,2)),"",PRESUPUESTO!$F$41)</f>
        <v/>
      </c>
      <c r="C84" s="18">
        <f>IF(4&gt;VALUE(RIGHT($B$3,2)),"",PRESUPUESTO!$F$42)</f>
        <v/>
      </c>
      <c r="D84" s="18">
        <f>IF(4&gt;VALUE(RIGHT($B$3,2)),"",PRESUPUESTO!$F$60)</f>
        <v/>
      </c>
      <c r="E84" s="18">
        <f>IF(4&gt;VALUE(RIGHT($B$3,2)),"",PRESUPUESTO!$F$61)</f>
        <v/>
      </c>
    </row>
    <row r="85">
      <c r="A85" s="5" t="inlineStr">
        <is>
          <t>may</t>
        </is>
      </c>
      <c r="B85" s="18">
        <f>IF(5&gt;VALUE(RIGHT($B$3,2)),"",PRESUPUESTO!$G$41)</f>
        <v/>
      </c>
      <c r="C85" s="18">
        <f>IF(5&gt;VALUE(RIGHT($B$3,2)),"",PRESUPUESTO!$G$42)</f>
        <v/>
      </c>
      <c r="D85" s="18">
        <f>IF(5&gt;VALUE(RIGHT($B$3,2)),"",PRESUPUESTO!$G$60)</f>
        <v/>
      </c>
      <c r="E85" s="18">
        <f>IF(5&gt;VALUE(RIGHT($B$3,2)),"",PRESUPUESTO!$G$61)</f>
        <v/>
      </c>
    </row>
    <row r="86">
      <c r="A86" s="5" t="inlineStr">
        <is>
          <t>jun</t>
        </is>
      </c>
      <c r="B86" s="18">
        <f>IF(6&gt;VALUE(RIGHT($B$3,2)),"",PRESUPUESTO!$H$41)</f>
        <v/>
      </c>
      <c r="C86" s="18">
        <f>IF(6&gt;VALUE(RIGHT($B$3,2)),"",PRESUPUESTO!$H$42)</f>
        <v/>
      </c>
      <c r="D86" s="18">
        <f>IF(6&gt;VALUE(RIGHT($B$3,2)),"",PRESUPUESTO!$H$60)</f>
        <v/>
      </c>
      <c r="E86" s="18">
        <f>IF(6&gt;VALUE(RIGHT($B$3,2)),"",PRESUPUESTO!$H$61)</f>
        <v/>
      </c>
    </row>
    <row r="87">
      <c r="A87" s="5" t="inlineStr">
        <is>
          <t>jul</t>
        </is>
      </c>
      <c r="B87" s="18">
        <f>IF(7&gt;VALUE(RIGHT($B$3,2)),"",PRESUPUESTO!$I$41)</f>
        <v/>
      </c>
      <c r="C87" s="18">
        <f>IF(7&gt;VALUE(RIGHT($B$3,2)),"",PRESUPUESTO!$I$42)</f>
        <v/>
      </c>
      <c r="D87" s="18">
        <f>IF(7&gt;VALUE(RIGHT($B$3,2)),"",PRESUPUESTO!$I$60)</f>
        <v/>
      </c>
      <c r="E87" s="18">
        <f>IF(7&gt;VALUE(RIGHT($B$3,2)),"",PRESUPUESTO!$I$61)</f>
        <v/>
      </c>
    </row>
    <row r="88">
      <c r="A88" s="5" t="inlineStr">
        <is>
          <t>ago</t>
        </is>
      </c>
      <c r="B88" s="18">
        <f>IF(8&gt;VALUE(RIGHT($B$3,2)),"",PRESUPUESTO!$J$41)</f>
        <v/>
      </c>
      <c r="C88" s="18">
        <f>IF(8&gt;VALUE(RIGHT($B$3,2)),"",PRESUPUESTO!$J$42)</f>
        <v/>
      </c>
      <c r="D88" s="18">
        <f>IF(8&gt;VALUE(RIGHT($B$3,2)),"",PRESUPUESTO!$J$60)</f>
        <v/>
      </c>
      <c r="E88" s="18">
        <f>IF(8&gt;VALUE(RIGHT($B$3,2)),"",PRESUPUESTO!$J$61)</f>
        <v/>
      </c>
    </row>
    <row r="89">
      <c r="A89" s="5" t="inlineStr">
        <is>
          <t>sep</t>
        </is>
      </c>
      <c r="B89" s="18">
        <f>IF(9&gt;VALUE(RIGHT($B$3,2)),"",PRESUPUESTO!$K$41)</f>
        <v/>
      </c>
      <c r="C89" s="18">
        <f>IF(9&gt;VALUE(RIGHT($B$3,2)),"",PRESUPUESTO!$K$42)</f>
        <v/>
      </c>
      <c r="D89" s="18">
        <f>IF(9&gt;VALUE(RIGHT($B$3,2)),"",PRESUPUESTO!$K$60)</f>
        <v/>
      </c>
      <c r="E89" s="18">
        <f>IF(9&gt;VALUE(RIGHT($B$3,2)),"",PRESUPUESTO!$K$61)</f>
        <v/>
      </c>
    </row>
    <row r="90">
      <c r="A90" s="5" t="inlineStr">
        <is>
          <t>oct</t>
        </is>
      </c>
      <c r="B90" s="18">
        <f>IF(10&gt;VALUE(RIGHT($B$3,2)),"",PRESUPUESTO!$L$41)</f>
        <v/>
      </c>
      <c r="C90" s="18">
        <f>IF(10&gt;VALUE(RIGHT($B$3,2)),"",PRESUPUESTO!$L$42)</f>
        <v/>
      </c>
      <c r="D90" s="18">
        <f>IF(10&gt;VALUE(RIGHT($B$3,2)),"",PRESUPUESTO!$L$60)</f>
        <v/>
      </c>
      <c r="E90" s="18">
        <f>IF(10&gt;VALUE(RIGHT($B$3,2)),"",PRESUPUESTO!$L$61)</f>
        <v/>
      </c>
    </row>
    <row r="91">
      <c r="A91" s="5" t="inlineStr">
        <is>
          <t>nov</t>
        </is>
      </c>
      <c r="B91" s="18">
        <f>IF(11&gt;VALUE(RIGHT($B$3,2)),"",PRESUPUESTO!$M$41)</f>
        <v/>
      </c>
      <c r="C91" s="18">
        <f>IF(11&gt;VALUE(RIGHT($B$3,2)),"",PRESUPUESTO!$M$42)</f>
        <v/>
      </c>
      <c r="D91" s="18">
        <f>IF(11&gt;VALUE(RIGHT($B$3,2)),"",PRESUPUESTO!$M$60)</f>
        <v/>
      </c>
      <c r="E91" s="18">
        <f>IF(11&gt;VALUE(RIGHT($B$3,2)),"",PRESUPUESTO!$M$61)</f>
        <v/>
      </c>
    </row>
    <row r="92">
      <c r="A92" s="5" t="inlineStr">
        <is>
          <t>dic</t>
        </is>
      </c>
      <c r="B92" s="18">
        <f>IF(12&gt;VALUE(RIGHT($B$3,2)),"",PRESUPUESTO!$N$41)</f>
        <v/>
      </c>
      <c r="C92" s="18">
        <f>IF(12&gt;VALUE(RIGHT($B$3,2)),"",PRESUPUESTO!$N$42)</f>
        <v/>
      </c>
      <c r="D92" s="18">
        <f>IF(12&gt;VALUE(RIGHT($B$3,2)),"",PRESUPUESTO!$N$60)</f>
        <v/>
      </c>
      <c r="E92" s="18">
        <f>IF(12&gt;VALUE(RIGHT($B$3,2)),"",PRESUPUESTO!$N$61)</f>
        <v/>
      </c>
    </row>
    <row r="94">
      <c r="A94" s="2" t="inlineStr">
        <is>
          <t>E · lubricación por semana del mes elegido</t>
        </is>
      </c>
    </row>
    <row r="95">
      <c r="A95" s="14" t="inlineStr">
        <is>
          <t>semana</t>
        </is>
      </c>
      <c r="B95" s="14" t="inlineStr">
        <is>
          <t>programadas</t>
        </is>
      </c>
      <c r="C95" s="14" t="inlineStr">
        <is>
          <t>cerradas</t>
        </is>
      </c>
    </row>
    <row r="96">
      <c r="A96" s="5">
        <f>IF($A54="","",$A54)</f>
        <v/>
      </c>
      <c r="B96" s="5">
        <f>IF($A96="","",IFERROR(INDEX(ADHERENCIA!$D$155:$D$214,MATCH($A96,ADHERENCIA!$A$155:$A$214,0)),""))</f>
        <v/>
      </c>
      <c r="C96" s="5">
        <f>IF($A96="","",IFERROR(INDEX(ADHERENCIA!$E$155:$E$214,MATCH($A96,ADHERENCIA!$A$155:$A$214,0)),""))</f>
        <v/>
      </c>
    </row>
    <row r="97">
      <c r="A97" s="5">
        <f>IF($A55="","",$A55)</f>
        <v/>
      </c>
      <c r="B97" s="5">
        <f>IF($A97="","",IFERROR(INDEX(ADHERENCIA!$D$155:$D$214,MATCH($A97,ADHERENCIA!$A$155:$A$214,0)),""))</f>
        <v/>
      </c>
      <c r="C97" s="5">
        <f>IF($A97="","",IFERROR(INDEX(ADHERENCIA!$E$155:$E$214,MATCH($A97,ADHERENCIA!$A$155:$A$214,0)),""))</f>
        <v/>
      </c>
    </row>
    <row r="98">
      <c r="A98" s="5">
        <f>IF($A56="","",$A56)</f>
        <v/>
      </c>
      <c r="B98" s="5">
        <f>IF($A98="","",IFERROR(INDEX(ADHERENCIA!$D$155:$D$214,MATCH($A98,ADHERENCIA!$A$155:$A$214,0)),""))</f>
        <v/>
      </c>
      <c r="C98" s="5">
        <f>IF($A98="","",IFERROR(INDEX(ADHERENCIA!$E$155:$E$214,MATCH($A98,ADHERENCIA!$A$155:$A$214,0)),""))</f>
        <v/>
      </c>
    </row>
    <row r="99">
      <c r="A99" s="5">
        <f>IF($A57="","",$A57)</f>
        <v/>
      </c>
      <c r="B99" s="5">
        <f>IF($A99="","",IFERROR(INDEX(ADHERENCIA!$D$155:$D$214,MATCH($A99,ADHERENCIA!$A$155:$A$214,0)),""))</f>
        <v/>
      </c>
      <c r="C99" s="5">
        <f>IF($A99="","",IFERROR(INDEX(ADHERENCIA!$E$155:$E$214,MATCH($A99,ADHERENCIA!$A$155:$A$214,0)),""))</f>
        <v/>
      </c>
    </row>
    <row r="100">
      <c r="A100" s="5">
        <f>IF($A58="","",$A58)</f>
        <v/>
      </c>
      <c r="B100" s="5">
        <f>IF($A100="","",IFERROR(INDEX(ADHERENCIA!$D$155:$D$214,MATCH($A100,ADHERENCIA!$A$155:$A$214,0)),""))</f>
        <v/>
      </c>
      <c r="C100" s="5">
        <f>IF($A100="","",IFERROR(INDEX(ADHERENCIA!$E$155:$E$214,MATCH($A100,ADHERENCIA!$A$155:$A$214,0)),""))</f>
        <v/>
      </c>
    </row>
    <row r="101">
      <c r="A101" s="5">
        <f>IF($A59="","",$A59)</f>
        <v/>
      </c>
      <c r="B101" s="5">
        <f>IF($A101="","",IFERROR(INDEX(ADHERENCIA!$D$155:$D$214,MATCH($A101,ADHERENCIA!$A$155:$A$214,0)),""))</f>
        <v/>
      </c>
      <c r="C101" s="5">
        <f>IF($A101="","",IFERROR(INDEX(ADHERENCIA!$E$155:$E$214,MATCH($A101,ADHERENCIA!$A$155:$A$214,0)),""))</f>
        <v/>
      </c>
    </row>
  </sheetData>
  <mergeCells count="34">
    <mergeCell ref="G12:K12"/>
    <mergeCell ref="A15:E15"/>
    <mergeCell ref="M9:Q9"/>
    <mergeCell ref="A6:E6"/>
    <mergeCell ref="C4:D4"/>
    <mergeCell ref="A13:E14"/>
    <mergeCell ref="E4:F4"/>
    <mergeCell ref="A16:E16"/>
    <mergeCell ref="A2:R2"/>
    <mergeCell ref="G10:K10"/>
    <mergeCell ref="M10:Q10"/>
    <mergeCell ref="G6:K6"/>
    <mergeCell ref="D3:R3"/>
    <mergeCell ref="A12:E12"/>
    <mergeCell ref="M16:Q16"/>
    <mergeCell ref="M12:Q12"/>
    <mergeCell ref="G15:K15"/>
    <mergeCell ref="M15:Q15"/>
    <mergeCell ref="M6:Q6"/>
    <mergeCell ref="A4:B4"/>
    <mergeCell ref="G4:H4"/>
    <mergeCell ref="I4:J4"/>
    <mergeCell ref="G13:K14"/>
    <mergeCell ref="A7:E8"/>
    <mergeCell ref="G7:K8"/>
    <mergeCell ref="A10:E10"/>
    <mergeCell ref="G16:K16"/>
    <mergeCell ref="M7:Q8"/>
    <mergeCell ref="A1:R1"/>
    <mergeCell ref="K4:L4"/>
    <mergeCell ref="M4:N4"/>
    <mergeCell ref="A9:E9"/>
    <mergeCell ref="G9:K9"/>
    <mergeCell ref="M13:Q14"/>
  </mergeCells>
  <conditionalFormatting sqref="A7:E7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7:K7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M7:Q7">
    <cfRule type="expression" priority="7" dxfId="2">
      <formula>AND(ISNUMBER(M7),M7&lt;4)</formula>
    </cfRule>
    <cfRule type="expression" priority="8" dxfId="1">
      <formula>AND(ISNUMBER(M7),AND(M7&gt;=4,M7&lt;=8))</formula>
    </cfRule>
    <cfRule type="expression" priority="9" dxfId="0">
      <formula>AND(ISNUMBER(M7),M7&gt;8)</formula>
    </cfRule>
  </conditionalFormatting>
  <conditionalFormatting sqref="A13:E13">
    <cfRule type="expression" priority="10" dxfId="2">
      <formula>AND(ISNUMBER(A13),ABS(A13-1)&lt;=p_tolerancia_desviacion_presupuesto)</formula>
    </cfRule>
    <cfRule type="expression" priority="11" dxfId="0">
      <formula>AND(ISNUMBER(A13),A13&gt;1+p_tolerancia_desviacion_presupuesto)</formula>
    </cfRule>
    <cfRule type="expression" priority="12" dxfId="1">
      <formula>AND(ISNUMBER(A13),A13&lt;1-p_tolerancia_desviacion_presupuesto)</formula>
    </cfRule>
  </conditionalFormatting>
  <conditionalFormatting sqref="G13:K13">
    <cfRule type="expression" priority="13" dxfId="0">
      <formula>AND(ISNUMBER($G$17),$G$17&gt;0)</formula>
    </cfRule>
    <cfRule type="expression" priority="14" dxfId="2">
      <formula>AND(ISNUMBER(G13),G13&gt;=1)</formula>
    </cfRule>
    <cfRule type="expression" priority="15" dxfId="1">
      <formula>AND(ISNUMBER(G13),G13&lt;1)</formula>
    </cfRule>
  </conditionalFormatting>
  <conditionalFormatting sqref="M13:Q13">
    <cfRule type="expression" priority="16" dxfId="0">
      <formula>AND(ISNUMBER($M$17),$M$17&gt;0)</formula>
    </cfRule>
    <cfRule type="expression" priority="17" dxfId="2">
      <formula>AND(ISNUMBER(M13),M13&gt;=1)</formula>
    </cfRule>
    <cfRule type="expression" priority="18" dxfId="1">
      <formula>AND(ISNUMBER(M13),M13&lt;1)</formula>
    </cfRule>
  </conditionalFormatting>
  <conditionalFormatting sqref="O41">
    <cfRule type="cellIs" priority="19" operator="notEqual" dxfId="0">
      <formula>0</formula>
    </cfRule>
  </conditionalFormatting>
  <conditionalFormatting sqref="P41">
    <cfRule type="cellIs" priority="20" operator="notEqual" dxfId="0">
      <formula>0</formula>
    </cfRule>
  </conditionalFormatting>
  <conditionalFormatting sqref="M35:M39">
    <cfRule type="expression" priority="21" dxfId="2">
      <formula>AND(ISNUMBER($M35),ABS($M35)&lt;=5)</formula>
    </cfRule>
    <cfRule type="expression" priority="22" dxfId="1">
      <formula>AND(ISNUMBER($M35),AND(ABS($M35)&gt;5,ABS($M35)&lt;=10))</formula>
    </cfRule>
    <cfRule type="expression" priority="23" dxfId="0">
      <formula>AND(ISNUMBER($M35),ABS($M35)&gt;10)</formula>
    </cfRule>
  </conditionalFormatting>
  <dataValidations count="1">
    <dataValidation sqref="B3" showDropDown="0" showInputMessage="0" showErrorMessage="0" allowBlank="0" type="list">
      <formula1>lista_meses_dash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6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INSTRUCTIVO — cómo se usa MantPlan</t>
        </is>
      </c>
    </row>
    <row r="2">
      <c r="A2" s="19">
        <f>HYPERLINK("#DASHBOARD!A1","◂ VOLVER AL TABLERO")</f>
        <v/>
      </c>
    </row>
    <row r="3">
      <c r="A3" s="2" t="inlineStr">
        <is>
          <t>Versión 3.7.0 · generado 2026-07-27 · ARCHIVO DE PLANTILLA: trae 8 órdenes de EJEMPLO que hay que borrar.</t>
        </is>
      </c>
    </row>
    <row r="5">
      <c r="A5" s="5" t="inlineStr"/>
    </row>
    <row r="6">
      <c r="A6" s="3" t="inlineStr">
        <is>
          <t>A. QUÉ ES Y QUÉ NO ES</t>
        </is>
      </c>
    </row>
    <row r="7" ht="28" customHeight="1">
      <c r="A7" s="20" t="inlineStr">
        <is>
          <t>Sirve para PROGRAMAR y CONTROLAR la semana de mantenimiento: repartir el trabajo entre los técnicos, ver si la carga cabe en las horas disponibles, medir si se cumplió lo programado y seguir el gasto contra el presupuesto.</t>
        </is>
      </c>
    </row>
    <row r="8">
      <c r="A8" s="20" t="inlineStr">
        <is>
          <t>NO genera órdenes de trabajo: las órdenes salen de su ERP/CMMS y se pegan aquí.</t>
        </is>
      </c>
    </row>
    <row r="9">
      <c r="A9" s="20" t="inlineStr">
        <is>
          <t>NO sustituye al ERP/CMMS: no guarda historial, no cierra órdenes, no notifica.</t>
        </is>
      </c>
    </row>
    <row r="10">
      <c r="A10" s="20" t="inlineStr">
        <is>
          <t>NO analiza confiabilidad: no calcula MTBF, MTTR ni criticidad (ver el punto G).</t>
        </is>
      </c>
    </row>
    <row r="11">
      <c r="A11" s="20" t="inlineStr">
        <is>
          <t>NO gestiona almacén: no conoce stock, reservas ni consumo de repuestos.</t>
        </is>
      </c>
    </row>
    <row r="12">
      <c r="A12" s="5" t="inlineStr"/>
    </row>
    <row r="13">
      <c r="A13" s="3" t="inlineStr">
        <is>
          <t>B. ANTES DE EMPEZAR — configuración, una sola vez</t>
        </is>
      </c>
    </row>
    <row r="14" ht="28" customHeight="1">
      <c r="A14" s="20" t="inlineStr">
        <is>
          <t>1. PARAMETROS — nombre de empresa y planta, moneda, horas de jornada, factor de productividad, metas de adherencia y de mix, y la fecha de datos.</t>
        </is>
      </c>
    </row>
    <row r="15" ht="28" customHeight="1">
      <c r="A15" s="20" t="inlineStr">
        <is>
          <t>2. Catálogos (hojas CAT_*, ocultas: clic derecho en una pestaña → Mostrar) — mapee los códigos de SU ERP: centros de costo, puestos de trabajo, actividades, tipos de OT, estados del ERP, supervisores y turnos. Es lo único que hay que traducir.</t>
        </is>
      </c>
    </row>
    <row r="16" ht="28" customHeight="1">
      <c r="A16" s="20" t="inlineStr">
        <is>
          <t>3. TECNICOS — reemplace el roster de ejemplo por su gente. `rotativo` = sí si entra al ciclo de turnos; `orden_rotacion` = su posición de arranque (1..N, sin repetir dentro de la misma especialidad y área); `activo` = no lo saca de las listas, de la capacidad y del ciclo sin borrarlo.</t>
        </is>
      </c>
    </row>
    <row r="17">
      <c r="A17" s="20" t="inlineStr">
        <is>
          <t>4. CALENDARIO — marque el patrón semanal y cargue feriados y paros de planta.</t>
        </is>
      </c>
    </row>
    <row r="18">
      <c r="A18" s="20" t="inlineStr">
        <is>
          <t>5. PLAN_VACACIONES — periodos de vacaciones y permisos por técnico.</t>
        </is>
      </c>
    </row>
    <row r="19">
      <c r="A19" s="20" t="inlineStr">
        <is>
          <t>6. PRESUPUESTO — el plan de gasto por mes y categoría.</t>
        </is>
      </c>
    </row>
    <row r="20" ht="28" customHeight="1">
      <c r="A20" s="20" t="inlineStr">
        <is>
          <t>CÓMO AÑADIR UNA CATEGORÍA DE PRESUPUESTO: no se toca PRESUPUESTO. En CAT_ACTIVIDADES, escriba la categoría en la columna `categoria_presupuesto` de la actividad que corresponda y elija `clasificacion` = fijo o variable (hay desplegable: los subtotales suman por ese texto exacto). La fila aparece sola en el bloque de entrada Y en las cinco matrices del bloque de comparación, y ya puede escribir su plan mensual. Hay 12 filas de holgura; el rótulo bajo el bloque de entrada dice cuántas categorías activas hay y avisa si se agotan.</t>
        </is>
      </c>
    </row>
    <row r="21" ht="28" customHeight="1">
      <c r="A21" s="20" t="inlineStr">
        <is>
          <t>Las categorías se ordenan solas: primero las FIJAS y luego las VARIABLES, en el orden del catálogo. Si REORDENA las categorías del catálogo, las etiquetas se mueven pero los importes ya escritos NO: revise que cada importe siga en su fila.</t>
        </is>
      </c>
    </row>
    <row r="22" ht="30" customHeight="1">
      <c r="A22" s="21" t="inlineStr">
        <is>
          <t>ADVERTENCIA: BORRE TODAS LAS FILAS DE EJEMPLO ANTES DE CARGAR DATOS REALES. Si su exportación trae menos filas que el ejemplo, las sobrantes se quedan abajo y contaminan TODOS los reportes: seleccione las filas de datos completas y bórrelas, no basta con escribir encima.</t>
        </is>
      </c>
    </row>
    <row r="23">
      <c r="A23" s="5" t="inlineStr"/>
    </row>
    <row r="24">
      <c r="A24" s="3" t="inlineStr">
        <is>
          <t>C. USO SEMANAL — el ciclo</t>
        </is>
      </c>
    </row>
    <row r="25" ht="28" customHeight="1">
      <c r="A25" s="20" t="inlineStr">
        <is>
          <t>1. Pegue la exportación de órdenes en ORDENES!A4 (12 columnas, un bloque contiguo A:L). NO se pega en la hoja de guía: esa solo documenta el formato.</t>
        </is>
      </c>
    </row>
    <row r="26">
      <c r="A26" s="20" t="inlineStr">
        <is>
          <t>2. Pegue las notificaciones (estados y costos) en 2_IMPORTAR_EJECUCION.</t>
        </is>
      </c>
    </row>
    <row r="27" ht="28" customHeight="1">
      <c r="A27" s="20" t="inlineStr">
        <is>
          <t>3. Revise VALIDACION. Reporta, nunca bloquea: nada se pierde, pero lo que aparezca ahí hay que arreglarlo en el catálogo o en el origen.</t>
        </is>
      </c>
    </row>
    <row r="28" ht="28" customHeight="1">
      <c r="A28" s="20" t="inlineStr">
        <is>
          <t>4. Ajuste duraciones en AJUSTES si la hora estándar del ERP no es realista. Se guardan por id_operacion, así que sobreviven a la siguiente importación.</t>
        </is>
      </c>
    </row>
    <row r="29">
      <c r="A29" s="20" t="inlineStr">
        <is>
          <t>5. Asigne técnico en ORDENES (columna azul tecnico_asignado).</t>
        </is>
      </c>
    </row>
    <row r="30" ht="28" customHeight="1">
      <c r="A30" s="20" t="inlineStr">
        <is>
          <t>6. Revise la carga en PERFIL_HH y el reparto en PLAN_SEMANAL. Si una especialidad pasa del 100 % de su capacidad productiva, mueva trabajo antes de publicar.</t>
        </is>
      </c>
    </row>
    <row r="31">
      <c r="A31" s="20" t="inlineStr">
        <is>
          <t>7. Copie el correo ya redactado desde EXPORTAR y envíelo.</t>
        </is>
      </c>
    </row>
    <row r="32">
      <c r="A32" s="5" t="inlineStr"/>
    </row>
    <row r="33">
      <c r="A33" s="3" t="inlineStr">
        <is>
          <t>D. USO MENSUAL</t>
        </is>
      </c>
    </row>
    <row r="34" ht="28" customHeight="1">
      <c r="A34" s="20" t="inlineStr">
        <is>
          <t>Cargue el gasto real del mes (llega con las notificaciones), revise PRESUPUESTO —plan contra real por categoría— y abra el DASHBOARD con el mes elegido en el selector. El tablero corta el mes en curso hasta el día ANTERIOR a la fecha de datos, y lo dice en pantalla.</t>
        </is>
      </c>
    </row>
    <row r="35">
      <c r="A35" s="5" t="inlineStr"/>
    </row>
    <row r="36">
      <c r="A36" s="3" t="inlineStr">
        <is>
          <t>E. QUÉ NO TOCAR</t>
        </is>
      </c>
    </row>
    <row r="37" ht="30" customHeight="1">
      <c r="A37" s="21" t="inlineStr">
        <is>
          <t>DOS COLORES, DOS SIGNIFICADOS. AZUL = usted escribe aquí. ROJO MUY CLARO (relleno casi blanco, con el encabezado en rojo) = la celda se calcula sola: si escribe encima, borra la fórmula de esa fila y esa fila deja de actualizarse, en silencio. No hay un tercer color: lo que no es azul ni rojo claro es una etiqueta o un texto de apoyo.</t>
        </is>
      </c>
    </row>
    <row r="38" ht="28" customHeight="1">
      <c r="A38" s="20" t="inlineStr">
        <is>
          <t>Las hojas NO están protegidas a propósito: la señal es visual. Bloquear celdas rompería el pegado masivo del ERP y contradiría el principio de la herramienta, que avisa pero nunca bloquea.</t>
        </is>
      </c>
    </row>
    <row r="39" ht="28" customHeight="1">
      <c r="A39" s="20" t="inlineStr">
        <is>
          <t>No toque las hojas derivadas (PLAN_SEMANAL, ADHERENCIA, PERFIL_HH, BACKLOG, COSTOS, SEGUIMIENTO_*, EQUIPOS_CRITICOS, EXPORTAR, VALIDACION, DASHBOARD): se recalculan solas desde ORDENES, ASIGNACIONES y los catálogos. Cualquier cambio ahí se pierde al recalcular.</t>
        </is>
      </c>
    </row>
    <row r="40" ht="28" customHeight="1">
      <c r="A40" s="20" t="inlineStr">
        <is>
          <t>En esas hojas TODAS las columnas van en rojo claro, también las que muestran un texto fijo y no una fórmula (el nombre del técnico y la semana en SEGUIMIENTO_HH, el técnico y el mes en SEGUIMIENTO_MENSUAL, las etiquetas de fila de las matrices). Parecen escribibles y no lo son: las genera el libro, y lo que escriba encima desaparece en la siguiente regeneración. Por eso tampoco llevan desplegable.</t>
        </is>
      </c>
    </row>
    <row r="41" ht="28" customHeight="1">
      <c r="A41" s="20" t="inlineStr">
        <is>
          <t>En ASIGNACIONES, el turno se DERIVA de la rotación. Para una excepción puntual use turno_manual; al vaciarlo vuelve la rotación automática.</t>
        </is>
      </c>
    </row>
    <row r="42">
      <c r="A42" s="5" t="inlineStr"/>
    </row>
    <row r="43">
      <c r="A43" s="3" t="inlineStr">
        <is>
          <t>F. SI ALGO SALE MAL</t>
        </is>
      </c>
    </row>
    <row r="44" ht="28" customHeight="1">
      <c r="A44" s="20" t="inlineStr">
        <is>
          <t>Salen errores de nombre de función (NOMBRE en Excel español, NAME en inglés) en muchas celdas → su Excel es anterior a 2021 y no conoce XLOOKUP. Use el archivo _compatible.xlsx, que hace lo mismo con INDEX/MATCH.</t>
        </is>
      </c>
    </row>
    <row r="45" ht="28" customHeight="1">
      <c r="A45" s="20" t="inlineStr">
        <is>
          <t>VALIDACION reporta códigos desconocidos → falta mapear ese código en el catálogo correspondiente (CAT_CENTROS_COSTO, CAT_PUESTOS, CAT_ACTIVIDADES, CAT_TIPOS_OT).</t>
        </is>
      </c>
    </row>
    <row r="46" ht="28" customHeight="1">
      <c r="A46" s="20" t="inlineStr">
        <is>
          <t>Aparecen órdenes que no reconozco → quedaron filas de ejemplo, o filas de una importación anterior más larga. Bórrelas (ver la advertencia del punto B).</t>
        </is>
      </c>
    </row>
    <row r="47" ht="28" customHeight="1">
      <c r="A47" s="20" t="inlineStr">
        <is>
          <t>El tablero está casi vacío → no hay datos cargados del mes elegido en el selector, o el mes en curso todavía no tiene órdenes anteriores a la fecha de datos. El selector muestra el calendario completo (18 meses, y el año ISO entero en las semanas), no solo los meses con datos: así puede elegir su mes ANTES de cargarlo. Un mes sin datos sale en BLANCO — blanco significa «no hay dato», cero significa «hubo trabajo y no se cumplió», y no son lo mismo.</t>
        </is>
      </c>
    </row>
    <row r="48" ht="28" customHeight="1">
      <c r="A48" s="20" t="inlineStr">
        <is>
          <t>En PRESUPUESTO, la fila DIFERENCIA se pone en rojo → hay gasto que no llega al bloque de comparación. Casi siempre es que el catálogo define más categorías que filas disponibles: mire el rótulo «categorías activas» bajo el bloque de entrada.</t>
        </is>
      </c>
    </row>
    <row r="49" ht="28" customHeight="1">
      <c r="A49" s="20" t="inlineStr">
        <is>
          <t>Los desplegables aparecen vacíos o Excel avisa al abrir de que ha reparado el archivo quitando rangos con nombre → el archivo se generó con una versión anterior a la 3.7.0. Vuelva a generarlo; no es un problema de su Excel.</t>
        </is>
      </c>
    </row>
    <row r="50">
      <c r="A50" s="20" t="inlineStr">
        <is>
          <t>Un técnico no aparece en las listas → está marcado activo = no en TECNICOS.</t>
        </is>
      </c>
    </row>
    <row r="51" ht="28" customHeight="1">
      <c r="A51" s="20" t="inlineStr">
        <is>
          <t>Un técnico aparece sin turno y con 0 h → está de vacaciones (PLAN_VACACIONES) o inactivo. El hueco se deja a la vista a propósito.</t>
        </is>
      </c>
    </row>
    <row r="52">
      <c r="A52" s="5" t="inlineStr"/>
    </row>
    <row r="53">
      <c r="A53" s="3" t="inlineStr">
        <is>
          <t>G. LO QUE ESTA HERRAMIENTA NO PUEDE CALCULAR</t>
        </is>
      </c>
    </row>
    <row r="54" ht="28" customHeight="1">
      <c r="A54" s="20" t="inlineStr">
        <is>
          <t>MTBF y MTTR — harían falta las fechas de falla y de puesta en marcha de cada parada. Aquí no hay eventos de parada, solo órdenes.</t>
        </is>
      </c>
    </row>
    <row r="55" ht="28" customHeight="1">
      <c r="A55" s="20" t="inlineStr">
        <is>
          <t>Disponibilidad — requiere tiempo requerido de operación y tiempo fuera de servicio del equipo; ninguno de los dos entra en este libro.</t>
        </is>
      </c>
    </row>
    <row r="56">
      <c r="A56" s="20" t="inlineStr">
        <is>
          <t>OEE — necesita producción real, velocidad nominal y calidad; son datos de producción, no de mantenimiento.</t>
        </is>
      </c>
    </row>
    <row r="57" ht="28" customHeight="1">
      <c r="A57" s="20" t="inlineStr">
        <is>
          <t>Indicadores de repuestos (rotación de inventario, quiebres, inmovilizado) — requieren el stock y los movimientos de almacén.</t>
        </is>
      </c>
    </row>
    <row r="58" ht="28" customHeight="1">
      <c r="A58" s="20" t="inlineStr">
        <is>
          <t>Pedirle estos indicadores a este archivo daría números inventados. Se calculan donde están los datos: el ERP, el sistema de producción o el de almacén.</t>
        </is>
      </c>
    </row>
    <row r="59">
      <c r="A59" s="5" t="inlineStr"/>
    </row>
    <row r="60">
      <c r="A60" s="3" t="inlineStr">
        <is>
          <t>PRINCIPIO DE DISEÑO — por qué está hecho así</t>
        </is>
      </c>
    </row>
    <row r="61" ht="28" customHeight="1">
      <c r="A61" s="20" t="inlineStr">
        <is>
          <t>MOTOR: las 10 reglas de negocio viven en las fórmulas y no cambian entre empresas. CATÁLOGOS: lo que sí cambia. PARAMETROS: lo que se ajusta. Sin macros, sin enlaces externos y sin ningún código de empresa dentro de una fórmula: por eso adaptarlo a otra planta es editar catálogos, no programar. El detalle de cada decisión está en MANUAL.md, junto al archivo.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X12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4" customWidth="1" min="4" max="4"/>
    <col width="13" customWidth="1" min="5" max="5"/>
    <col width="12" customWidth="1" min="6" max="6"/>
    <col width="14" customWidth="1" min="7" max="7"/>
    <col width="13" customWidth="1" min="8" max="8"/>
    <col width="15" customWidth="1" min="9" max="9"/>
    <col width="30" customWidth="1" min="10" max="10"/>
    <col width="9" customWidth="1" min="11" max="11"/>
    <col width="7" customWidth="1" min="12" max="12"/>
    <col width="11" customWidth="1" min="13" max="13"/>
    <col width="9" customWidth="1" min="14" max="14"/>
    <col width="13" customWidth="1" min="16" max="16"/>
    <col width="12" customWidth="1" min="17" max="17"/>
    <col width="20" customWidth="1" min="18" max="18"/>
    <col width="13" customWidth="1" min="19" max="19"/>
    <col width="15" customWidth="1" min="20" max="20"/>
    <col width="15" customWidth="1" min="21" max="21"/>
    <col width="11" customWidth="1" min="22" max="22"/>
    <col hidden="1" width="13" customWidth="1" min="24" max="24"/>
  </cols>
  <sheetData>
    <row r="1">
      <c r="A1" s="3" t="inlineStr">
        <is>
          <t>PLAN SEMANAL — el gráfico de carga y la grilla responden a los mismos selectores. "(todos)" desactiva un criterio; "-" significa vacío.</t>
        </is>
      </c>
    </row>
    <row r="2">
      <c r="A2" s="19">
        <f>HYPERLINK("#DASHBOARD!A1","◂ VOLVER AL TABLERO")</f>
        <v/>
      </c>
      <c r="P2" s="2" t="inlineStr">
        <is>
          <t>datos del gráfico de carga — no editar</t>
        </is>
      </c>
      <c r="X2" s="2" t="inlineStr">
        <is>
          <t>semanas con datos (validación) — no editar</t>
        </is>
      </c>
    </row>
    <row r="3">
      <c r="A3" s="3" t="inlineStr">
        <is>
          <t>semana:</t>
        </is>
      </c>
      <c r="B3" s="22" t="inlineStr">
        <is>
          <t>2026-S31</t>
        </is>
      </c>
      <c r="C3" s="3" t="inlineStr">
        <is>
          <t>día:</t>
        </is>
      </c>
      <c r="D3" s="22" t="inlineStr">
        <is>
          <t>(todos)</t>
        </is>
      </c>
      <c r="E3" s="3" t="inlineStr">
        <is>
          <t>turno:</t>
        </is>
      </c>
      <c r="F3" s="22" t="inlineStr">
        <is>
          <t>(todos)</t>
        </is>
      </c>
      <c r="G3" s="3" t="inlineStr">
        <is>
          <t>coordinador:</t>
        </is>
      </c>
      <c r="H3" s="22" t="inlineStr">
        <is>
          <t>(todos)</t>
        </is>
      </c>
      <c r="I3" s="3" t="inlineStr">
        <is>
          <t>área:</t>
        </is>
      </c>
      <c r="J3" s="22" t="inlineStr">
        <is>
          <t>(todos)</t>
        </is>
      </c>
      <c r="K3" s="3" t="inlineStr">
        <is>
          <t>especialidad:</t>
        </is>
      </c>
      <c r="L3" s="22" t="inlineStr">
        <is>
          <t>(todos)</t>
        </is>
      </c>
      <c r="M3" s="3" t="inlineStr">
        <is>
          <t>sub-área:</t>
        </is>
      </c>
      <c r="N3" s="22" t="inlineStr">
        <is>
          <t>(todos)</t>
        </is>
      </c>
      <c r="P3" s="23" t="inlineStr">
        <is>
          <t>tecnico</t>
        </is>
      </c>
      <c r="Q3" s="23" t="inlineStr">
        <is>
          <t>especialidad</t>
        </is>
      </c>
      <c r="R3" s="23" t="inlineStr">
        <is>
          <t>etiqueta</t>
        </is>
      </c>
      <c r="S3" s="23" t="inlineStr">
        <is>
          <t>hha_seleccion</t>
        </is>
      </c>
      <c r="T3" s="23" t="inlineStr">
        <is>
          <t>dentro_capacidad</t>
        </is>
      </c>
      <c r="U3" s="23" t="inlineStr">
        <is>
          <t>sobreasignacion</t>
        </is>
      </c>
      <c r="V3" s="23" t="inlineStr">
        <is>
          <t>capacidad</t>
        </is>
      </c>
      <c r="X3" s="5" t="inlineStr">
        <is>
          <t>(todos)</t>
        </is>
      </c>
    </row>
    <row r="4">
      <c r="P4" s="24" t="inlineStr">
        <is>
          <t>Carlos Pérez</t>
        </is>
      </c>
      <c r="Q4" s="24" t="inlineStr">
        <is>
          <t>MEC</t>
        </is>
      </c>
      <c r="R4" s="24">
        <f>IF(OR($B$3="(todos)",$D$3="(todos)"),$P4,$P4&amp;" ("&amp;IFERROR(INDEX('ASIGNACIONES'!$J$4:$J$451,MATCH($B$3&amp;"|"&amp;$D$3&amp;"|"&amp;$P4,'ASIGNACIONES'!$N$4:$N$451,0)),"")&amp;")")</f>
        <v/>
      </c>
      <c r="S4" s="25">
        <f>IF(AND($L$3&lt;&gt;"(todos)",$Q4&lt;&gt;$L$3),NA(),SUMIFS('ORDENES'!$M$4:$M$1203,'ORDENES'!$AH$4:$AH$1203,$P4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4" s="25">
        <f>IF(ISNA($S4),NA(),MIN($S4,$V4))</f>
        <v/>
      </c>
      <c r="U4" s="25">
        <f>IF(ISNA($S4),NA(),MAX(0,$S4-$V4))</f>
        <v/>
      </c>
      <c r="V4" s="25">
        <f>IF(AND($L$3&lt;&gt;"(todos)",$Q4&lt;&gt;$L$3),NA(),p_factor_productividad*SUMIFS('ASIGNACIONES'!$M$4:$M$451,'ASIGNACIONES'!$C$4:$C$451,$P4,'ASIGNACIONES'!$A$4:$A$451,IF($B$3="(todos)","*",$B$3),'ASIGNACIONES'!$B$4:$B$451,IF($D$3="(todos)","*",$D$3)))</f>
        <v/>
      </c>
      <c r="X4" s="5" t="inlineStr">
        <is>
          <t>2025-S51</t>
        </is>
      </c>
    </row>
    <row r="5">
      <c r="A5" s="3" t="inlineStr">
        <is>
          <t>órdenes:</t>
        </is>
      </c>
      <c r="B5" s="24">
        <f>COUNTIFS(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C5" s="3" t="inlineStr">
        <is>
          <t>HH:</t>
        </is>
      </c>
      <c r="D5" s="25">
        <f>SUMIFS($L$26:$L$1225,$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P5" s="24" t="inlineStr">
        <is>
          <t>María Gómez</t>
        </is>
      </c>
      <c r="Q5" s="24" t="inlineStr">
        <is>
          <t>MEC</t>
        </is>
      </c>
      <c r="R5" s="24">
        <f>IF(OR($B$3="(todos)",$D$3="(todos)"),$P5,$P5&amp;" ("&amp;IFERROR(INDEX('ASIGNACIONES'!$J$4:$J$451,MATCH($B$3&amp;"|"&amp;$D$3&amp;"|"&amp;$P5,'ASIGNACIONES'!$N$4:$N$451,0)),"")&amp;")")</f>
        <v/>
      </c>
      <c r="S5" s="25">
        <f>IF(AND($L$3&lt;&gt;"(todos)",$Q5&lt;&gt;$L$3),NA(),SUMIFS('ORDENES'!$M$4:$M$1203,'ORDENES'!$AH$4:$AH$1203,$P5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5" s="25">
        <f>IF(ISNA($S5),NA(),MIN($S5,$V5))</f>
        <v/>
      </c>
      <c r="U5" s="25">
        <f>IF(ISNA($S5),NA(),MAX(0,$S5-$V5))</f>
        <v/>
      </c>
      <c r="V5" s="25">
        <f>IF(AND($L$3&lt;&gt;"(todos)",$Q5&lt;&gt;$L$3),NA(),p_factor_productividad*SUMIFS('ASIGNACIONES'!$M$4:$M$451,'ASIGNACIONES'!$C$4:$C$451,$P5,'ASIGNACIONES'!$A$4:$A$451,IF($B$3="(todos)","*",$B$3),'ASIGNACIONES'!$B$4:$B$451,IF($D$3="(todos)","*",$D$3)))</f>
        <v/>
      </c>
      <c r="X5" s="5" t="inlineStr">
        <is>
          <t>2025-S52</t>
        </is>
      </c>
    </row>
    <row r="6">
      <c r="P6" s="24" t="inlineStr">
        <is>
          <t>Luis Rodríguez</t>
        </is>
      </c>
      <c r="Q6" s="24" t="inlineStr">
        <is>
          <t>MEC</t>
        </is>
      </c>
      <c r="R6" s="24">
        <f>IF(OR($B$3="(todos)",$D$3="(todos)"),$P6,$P6&amp;" ("&amp;IFERROR(INDEX('ASIGNACIONES'!$J$4:$J$451,MATCH($B$3&amp;"|"&amp;$D$3&amp;"|"&amp;$P6,'ASIGNACIONES'!$N$4:$N$451,0)),"")&amp;")")</f>
        <v/>
      </c>
      <c r="S6" s="25">
        <f>IF(AND($L$3&lt;&gt;"(todos)",$Q6&lt;&gt;$L$3),NA(),SUMIFS('ORDENES'!$M$4:$M$1203,'ORDENES'!$AH$4:$AH$1203,$P6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6" s="25">
        <f>IF(ISNA($S6),NA(),MIN($S6,$V6))</f>
        <v/>
      </c>
      <c r="U6" s="25">
        <f>IF(ISNA($S6),NA(),MAX(0,$S6-$V6))</f>
        <v/>
      </c>
      <c r="V6" s="25">
        <f>IF(AND($L$3&lt;&gt;"(todos)",$Q6&lt;&gt;$L$3),NA(),p_factor_productividad*SUMIFS('ASIGNACIONES'!$M$4:$M$451,'ASIGNACIONES'!$C$4:$C$451,$P6,'ASIGNACIONES'!$A$4:$A$451,IF($B$3="(todos)","*",$B$3),'ASIGNACIONES'!$B$4:$B$451,IF($D$3="(todos)","*",$D$3)))</f>
        <v/>
      </c>
      <c r="X6" s="5" t="inlineStr">
        <is>
          <t>2026-S01</t>
        </is>
      </c>
    </row>
    <row r="7">
      <c r="P7" s="24" t="inlineStr">
        <is>
          <t>Miguel Martínez</t>
        </is>
      </c>
      <c r="Q7" s="24" t="inlineStr">
        <is>
          <t>MEC</t>
        </is>
      </c>
      <c r="R7" s="24">
        <f>IF(OR($B$3="(todos)",$D$3="(todos)"),$P7,$P7&amp;" ("&amp;IFERROR(INDEX('ASIGNACIONES'!$J$4:$J$451,MATCH($B$3&amp;"|"&amp;$D$3&amp;"|"&amp;$P7,'ASIGNACIONES'!$N$4:$N$451,0)),"")&amp;")")</f>
        <v/>
      </c>
      <c r="S7" s="25">
        <f>IF(AND($L$3&lt;&gt;"(todos)",$Q7&lt;&gt;$L$3),NA(),SUMIFS('ORDENES'!$M$4:$M$1203,'ORDENES'!$AH$4:$AH$1203,$P7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7" s="25">
        <f>IF(ISNA($S7),NA(),MIN($S7,$V7))</f>
        <v/>
      </c>
      <c r="U7" s="25">
        <f>IF(ISNA($S7),NA(),MAX(0,$S7-$V7))</f>
        <v/>
      </c>
      <c r="V7" s="25">
        <f>IF(AND($L$3&lt;&gt;"(todos)",$Q7&lt;&gt;$L$3),NA(),p_factor_productividad*SUMIFS('ASIGNACIONES'!$M$4:$M$451,'ASIGNACIONES'!$C$4:$C$451,$P7,'ASIGNACIONES'!$A$4:$A$451,IF($B$3="(todos)","*",$B$3),'ASIGNACIONES'!$B$4:$B$451,IF($D$3="(todos)","*",$D$3)))</f>
        <v/>
      </c>
      <c r="X7" s="5" t="inlineStr">
        <is>
          <t>2026-S02</t>
        </is>
      </c>
    </row>
    <row r="8">
      <c r="P8" s="24" t="inlineStr">
        <is>
          <t>Ana Sánchez</t>
        </is>
      </c>
      <c r="Q8" s="24" t="inlineStr">
        <is>
          <t>MEC</t>
        </is>
      </c>
      <c r="R8" s="24">
        <f>IF(OR($B$3="(todos)",$D$3="(todos)"),$P8,$P8&amp;" ("&amp;IFERROR(INDEX('ASIGNACIONES'!$J$4:$J$451,MATCH($B$3&amp;"|"&amp;$D$3&amp;"|"&amp;$P8,'ASIGNACIONES'!$N$4:$N$451,0)),"")&amp;")")</f>
        <v/>
      </c>
      <c r="S8" s="25">
        <f>IF(AND($L$3&lt;&gt;"(todos)",$Q8&lt;&gt;$L$3),NA(),SUMIFS('ORDENES'!$M$4:$M$1203,'ORDENES'!$AH$4:$AH$1203,$P8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8" s="25">
        <f>IF(ISNA($S8),NA(),MIN($S8,$V8))</f>
        <v/>
      </c>
      <c r="U8" s="25">
        <f>IF(ISNA($S8),NA(),MAX(0,$S8-$V8))</f>
        <v/>
      </c>
      <c r="V8" s="25">
        <f>IF(AND($L$3&lt;&gt;"(todos)",$Q8&lt;&gt;$L$3),NA(),p_factor_productividad*SUMIFS('ASIGNACIONES'!$M$4:$M$451,'ASIGNACIONES'!$C$4:$C$451,$P8,'ASIGNACIONES'!$A$4:$A$451,IF($B$3="(todos)","*",$B$3),'ASIGNACIONES'!$B$4:$B$451,IF($D$3="(todos)","*",$D$3)))</f>
        <v/>
      </c>
      <c r="X8" s="5" t="inlineStr">
        <is>
          <t>2026-S03</t>
        </is>
      </c>
    </row>
    <row r="9">
      <c r="P9" s="24" t="inlineStr">
        <is>
          <t>David Torres</t>
        </is>
      </c>
      <c r="Q9" s="24" t="inlineStr">
        <is>
          <t>MEC</t>
        </is>
      </c>
      <c r="R9" s="24">
        <f>IF(OR($B$3="(todos)",$D$3="(todos)"),$P9,$P9&amp;" ("&amp;IFERROR(INDEX('ASIGNACIONES'!$J$4:$J$451,MATCH($B$3&amp;"|"&amp;$D$3&amp;"|"&amp;$P9,'ASIGNACIONES'!$N$4:$N$451,0)),"")&amp;")")</f>
        <v/>
      </c>
      <c r="S9" s="25">
        <f>IF(AND($L$3&lt;&gt;"(todos)",$Q9&lt;&gt;$L$3),NA(),SUMIFS('ORDENES'!$M$4:$M$1203,'ORDENES'!$AH$4:$AH$1203,$P9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9" s="25">
        <f>IF(ISNA($S9),NA(),MIN($S9,$V9))</f>
        <v/>
      </c>
      <c r="U9" s="25">
        <f>IF(ISNA($S9),NA(),MAX(0,$S9-$V9))</f>
        <v/>
      </c>
      <c r="V9" s="25">
        <f>IF(AND($L$3&lt;&gt;"(todos)",$Q9&lt;&gt;$L$3),NA(),p_factor_productividad*SUMIFS('ASIGNACIONES'!$M$4:$M$451,'ASIGNACIONES'!$C$4:$C$451,$P9,'ASIGNACIONES'!$A$4:$A$451,IF($B$3="(todos)","*",$B$3),'ASIGNACIONES'!$B$4:$B$451,IF($D$3="(todos)","*",$D$3)))</f>
        <v/>
      </c>
      <c r="X9" s="5" t="inlineStr">
        <is>
          <t>2026-S04</t>
        </is>
      </c>
    </row>
    <row r="10">
      <c r="P10" s="24" t="inlineStr">
        <is>
          <t>Francisco Ramírez</t>
        </is>
      </c>
      <c r="Q10" s="24" t="inlineStr">
        <is>
          <t>MEC</t>
        </is>
      </c>
      <c r="R10" s="24">
        <f>IF(OR($B$3="(todos)",$D$3="(todos)"),$P10,$P10&amp;" ("&amp;IFERROR(INDEX('ASIGNACIONES'!$J$4:$J$451,MATCH($B$3&amp;"|"&amp;$D$3&amp;"|"&amp;$P10,'ASIGNACIONES'!$N$4:$N$451,0)),"")&amp;")")</f>
        <v/>
      </c>
      <c r="S10" s="25">
        <f>IF(AND($L$3&lt;&gt;"(todos)",$Q10&lt;&gt;$L$3),NA(),SUMIFS('ORDENES'!$M$4:$M$1203,'ORDENES'!$AH$4:$AH$1203,$P10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0" s="25">
        <f>IF(ISNA($S10),NA(),MIN($S10,$V10))</f>
        <v/>
      </c>
      <c r="U10" s="25">
        <f>IF(ISNA($S10),NA(),MAX(0,$S10-$V10))</f>
        <v/>
      </c>
      <c r="V10" s="25">
        <f>IF(AND($L$3&lt;&gt;"(todos)",$Q10&lt;&gt;$L$3),NA(),p_factor_productividad*SUMIFS('ASIGNACIONES'!$M$4:$M$451,'ASIGNACIONES'!$C$4:$C$451,$P10,'ASIGNACIONES'!$A$4:$A$451,IF($B$3="(todos)","*",$B$3),'ASIGNACIONES'!$B$4:$B$451,IF($D$3="(todos)","*",$D$3)))</f>
        <v/>
      </c>
      <c r="X10" s="5" t="inlineStr">
        <is>
          <t>2026-S05</t>
        </is>
      </c>
    </row>
    <row r="11">
      <c r="P11" s="24" t="inlineStr">
        <is>
          <t>Jorge Díaz</t>
        </is>
      </c>
      <c r="Q11" s="24" t="inlineStr">
        <is>
          <t>ELE</t>
        </is>
      </c>
      <c r="R11" s="24">
        <f>IF(OR($B$3="(todos)",$D$3="(todos)"),$P11,$P11&amp;" ("&amp;IFERROR(INDEX('ASIGNACIONES'!$J$4:$J$451,MATCH($B$3&amp;"|"&amp;$D$3&amp;"|"&amp;$P11,'ASIGNACIONES'!$N$4:$N$451,0)),"")&amp;")")</f>
        <v/>
      </c>
      <c r="S11" s="25">
        <f>IF(AND($L$3&lt;&gt;"(todos)",$Q11&lt;&gt;$L$3),NA(),SUMIFS('ORDENES'!$M$4:$M$1203,'ORDENES'!$AH$4:$AH$1203,$P11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1" s="25">
        <f>IF(ISNA($S11),NA(),MIN($S11,$V11))</f>
        <v/>
      </c>
      <c r="U11" s="25">
        <f>IF(ISNA($S11),NA(),MAX(0,$S11-$V11))</f>
        <v/>
      </c>
      <c r="V11" s="25">
        <f>IF(AND($L$3&lt;&gt;"(todos)",$Q11&lt;&gt;$L$3),NA(),p_factor_productividad*SUMIFS('ASIGNACIONES'!$M$4:$M$451,'ASIGNACIONES'!$C$4:$C$451,$P11,'ASIGNACIONES'!$A$4:$A$451,IF($B$3="(todos)","*",$B$3),'ASIGNACIONES'!$B$4:$B$451,IF($D$3="(todos)","*",$D$3)))</f>
        <v/>
      </c>
      <c r="X11" s="5" t="inlineStr">
        <is>
          <t>2026-S06</t>
        </is>
      </c>
    </row>
    <row r="12">
      <c r="P12" s="24" t="inlineStr">
        <is>
          <t>Roberto Castro</t>
        </is>
      </c>
      <c r="Q12" s="24" t="inlineStr">
        <is>
          <t>ELE</t>
        </is>
      </c>
      <c r="R12" s="24">
        <f>IF(OR($B$3="(todos)",$D$3="(todos)"),$P12,$P12&amp;" ("&amp;IFERROR(INDEX('ASIGNACIONES'!$J$4:$J$451,MATCH($B$3&amp;"|"&amp;$D$3&amp;"|"&amp;$P12,'ASIGNACIONES'!$N$4:$N$451,0)),"")&amp;")")</f>
        <v/>
      </c>
      <c r="S12" s="25">
        <f>IF(AND($L$3&lt;&gt;"(todos)",$Q12&lt;&gt;$L$3),NA(),SUMIFS('ORDENES'!$M$4:$M$1203,'ORDENES'!$AH$4:$AH$1203,$P12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2" s="25">
        <f>IF(ISNA($S12),NA(),MIN($S12,$V12))</f>
        <v/>
      </c>
      <c r="U12" s="25">
        <f>IF(ISNA($S12),NA(),MAX(0,$S12-$V12))</f>
        <v/>
      </c>
      <c r="V12" s="25">
        <f>IF(AND($L$3&lt;&gt;"(todos)",$Q12&lt;&gt;$L$3),NA(),p_factor_productividad*SUMIFS('ASIGNACIONES'!$M$4:$M$451,'ASIGNACIONES'!$C$4:$C$451,$P12,'ASIGNACIONES'!$A$4:$A$451,IF($B$3="(todos)","*",$B$3),'ASIGNACIONES'!$B$4:$B$451,IF($D$3="(todos)","*",$D$3)))</f>
        <v/>
      </c>
      <c r="X12" s="5" t="inlineStr">
        <is>
          <t>2026-S07</t>
        </is>
      </c>
    </row>
    <row r="13">
      <c r="P13" s="24" t="inlineStr">
        <is>
          <t>Laura Morales</t>
        </is>
      </c>
      <c r="Q13" s="24" t="inlineStr">
        <is>
          <t>ELE</t>
        </is>
      </c>
      <c r="R13" s="24">
        <f>IF(OR($B$3="(todos)",$D$3="(todos)"),$P13,$P13&amp;" ("&amp;IFERROR(INDEX('ASIGNACIONES'!$J$4:$J$451,MATCH($B$3&amp;"|"&amp;$D$3&amp;"|"&amp;$P13,'ASIGNACIONES'!$N$4:$N$451,0)),"")&amp;")")</f>
        <v/>
      </c>
      <c r="S13" s="25">
        <f>IF(AND($L$3&lt;&gt;"(todos)",$Q13&lt;&gt;$L$3),NA(),SUMIFS('ORDENES'!$M$4:$M$1203,'ORDENES'!$AH$4:$AH$1203,$P13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3" s="25">
        <f>IF(ISNA($S13),NA(),MIN($S13,$V13))</f>
        <v/>
      </c>
      <c r="U13" s="25">
        <f>IF(ISNA($S13),NA(),MAX(0,$S13-$V13))</f>
        <v/>
      </c>
      <c r="V13" s="25">
        <f>IF(AND($L$3&lt;&gt;"(todos)",$Q13&lt;&gt;$L$3),NA(),p_factor_productividad*SUMIFS('ASIGNACIONES'!$M$4:$M$451,'ASIGNACIONES'!$C$4:$C$451,$P13,'ASIGNACIONES'!$A$4:$A$451,IF($B$3="(todos)","*",$B$3),'ASIGNACIONES'!$B$4:$B$451,IF($D$3="(todos)","*",$D$3)))</f>
        <v/>
      </c>
      <c r="X13" s="5" t="inlineStr">
        <is>
          <t>2026-S08</t>
        </is>
      </c>
    </row>
    <row r="14">
      <c r="P14" s="24" t="inlineStr">
        <is>
          <t>Ricardo Ortiz</t>
        </is>
      </c>
      <c r="Q14" s="24" t="inlineStr">
        <is>
          <t>ELE</t>
        </is>
      </c>
      <c r="R14" s="24">
        <f>IF(OR($B$3="(todos)",$D$3="(todos)"),$P14,$P14&amp;" ("&amp;IFERROR(INDEX('ASIGNACIONES'!$J$4:$J$451,MATCH($B$3&amp;"|"&amp;$D$3&amp;"|"&amp;$P14,'ASIGNACIONES'!$N$4:$N$451,0)),"")&amp;")")</f>
        <v/>
      </c>
      <c r="S14" s="25">
        <f>IF(AND($L$3&lt;&gt;"(todos)",$Q14&lt;&gt;$L$3),NA(),SUMIFS('ORDENES'!$M$4:$M$1203,'ORDENES'!$AH$4:$AH$1203,$P14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4" s="25">
        <f>IF(ISNA($S14),NA(),MIN($S14,$V14))</f>
        <v/>
      </c>
      <c r="U14" s="25">
        <f>IF(ISNA($S14),NA(),MAX(0,$S14-$V14))</f>
        <v/>
      </c>
      <c r="V14" s="25">
        <f>IF(AND($L$3&lt;&gt;"(todos)",$Q14&lt;&gt;$L$3),NA(),p_factor_productividad*SUMIFS('ASIGNACIONES'!$M$4:$M$451,'ASIGNACIONES'!$C$4:$C$451,$P14,'ASIGNACIONES'!$A$4:$A$451,IF($B$3="(todos)","*",$B$3),'ASIGNACIONES'!$B$4:$B$451,IF($D$3="(todos)","*",$D$3)))</f>
        <v/>
      </c>
      <c r="X14" s="5" t="inlineStr">
        <is>
          <t>2026-S09</t>
        </is>
      </c>
    </row>
    <row r="15">
      <c r="P15" s="24" t="inlineStr">
        <is>
          <t>Eduardo Silva</t>
        </is>
      </c>
      <c r="Q15" s="24" t="inlineStr">
        <is>
          <t>ELE</t>
        </is>
      </c>
      <c r="R15" s="24">
        <f>IF(OR($B$3="(todos)",$D$3="(todos)"),$P15,$P15&amp;" ("&amp;IFERROR(INDEX('ASIGNACIONES'!$J$4:$J$451,MATCH($B$3&amp;"|"&amp;$D$3&amp;"|"&amp;$P15,'ASIGNACIONES'!$N$4:$N$451,0)),"")&amp;")")</f>
        <v/>
      </c>
      <c r="S15" s="25">
        <f>IF(AND($L$3&lt;&gt;"(todos)",$Q15&lt;&gt;$L$3),NA(),SUMIFS('ORDENES'!$M$4:$M$1203,'ORDENES'!$AH$4:$AH$1203,$P15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5" s="25">
        <f>IF(ISNA($S15),NA(),MIN($S15,$V15))</f>
        <v/>
      </c>
      <c r="U15" s="25">
        <f>IF(ISNA($S15),NA(),MAX(0,$S15-$V15))</f>
        <v/>
      </c>
      <c r="V15" s="25">
        <f>IF(AND($L$3&lt;&gt;"(todos)",$Q15&lt;&gt;$L$3),NA(),p_factor_productividad*SUMIFS('ASIGNACIONES'!$M$4:$M$451,'ASIGNACIONES'!$C$4:$C$451,$P15,'ASIGNACIONES'!$A$4:$A$451,IF($B$3="(todos)","*",$B$3),'ASIGNACIONES'!$B$4:$B$451,IF($D$3="(todos)","*",$D$3)))</f>
        <v/>
      </c>
      <c r="X15" s="5" t="inlineStr">
        <is>
          <t>2026-S10</t>
        </is>
      </c>
    </row>
    <row r="16">
      <c r="P16" s="24" t="inlineStr">
        <is>
          <t>Gabriela Rojas</t>
        </is>
      </c>
      <c r="Q16" s="24" t="inlineStr">
        <is>
          <t>ELE</t>
        </is>
      </c>
      <c r="R16" s="24">
        <f>IF(OR($B$3="(todos)",$D$3="(todos)"),$P16,$P16&amp;" ("&amp;IFERROR(INDEX('ASIGNACIONES'!$J$4:$J$451,MATCH($B$3&amp;"|"&amp;$D$3&amp;"|"&amp;$P16,'ASIGNACIONES'!$N$4:$N$451,0)),"")&amp;")")</f>
        <v/>
      </c>
      <c r="S16" s="25">
        <f>IF(AND($L$3&lt;&gt;"(todos)",$Q16&lt;&gt;$L$3),NA(),SUMIFS('ORDENES'!$M$4:$M$1203,'ORDENES'!$AH$4:$AH$1203,$P16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6" s="25">
        <f>IF(ISNA($S16),NA(),MIN($S16,$V16))</f>
        <v/>
      </c>
      <c r="U16" s="25">
        <f>IF(ISNA($S16),NA(),MAX(0,$S16-$V16))</f>
        <v/>
      </c>
      <c r="V16" s="25">
        <f>IF(AND($L$3&lt;&gt;"(todos)",$Q16&lt;&gt;$L$3),NA(),p_factor_productividad*SUMIFS('ASIGNACIONES'!$M$4:$M$451,'ASIGNACIONES'!$C$4:$C$451,$P16,'ASIGNACIONES'!$A$4:$A$451,IF($B$3="(todos)","*",$B$3),'ASIGNACIONES'!$B$4:$B$451,IF($D$3="(todos)","*",$D$3)))</f>
        <v/>
      </c>
      <c r="X16" s="5" t="inlineStr">
        <is>
          <t>2026-S11</t>
        </is>
      </c>
    </row>
    <row r="17">
      <c r="P17" s="24" t="inlineStr">
        <is>
          <t>Fernando Mendoza</t>
        </is>
      </c>
      <c r="Q17" s="24" t="inlineStr">
        <is>
          <t>ELE</t>
        </is>
      </c>
      <c r="R17" s="24">
        <f>IF(OR($B$3="(todos)",$D$3="(todos)"),$P17,$P17&amp;" ("&amp;IFERROR(INDEX('ASIGNACIONES'!$J$4:$J$451,MATCH($B$3&amp;"|"&amp;$D$3&amp;"|"&amp;$P17,'ASIGNACIONES'!$N$4:$N$451,0)),"")&amp;")")</f>
        <v/>
      </c>
      <c r="S17" s="25">
        <f>IF(AND($L$3&lt;&gt;"(todos)",$Q17&lt;&gt;$L$3),NA(),SUMIFS('ORDENES'!$M$4:$M$1203,'ORDENES'!$AH$4:$AH$1203,$P17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7" s="25">
        <f>IF(ISNA($S17),NA(),MIN($S17,$V17))</f>
        <v/>
      </c>
      <c r="U17" s="25">
        <f>IF(ISNA($S17),NA(),MAX(0,$S17-$V17))</f>
        <v/>
      </c>
      <c r="V17" s="25">
        <f>IF(AND($L$3&lt;&gt;"(todos)",$Q17&lt;&gt;$L$3),NA(),p_factor_productividad*SUMIFS('ASIGNACIONES'!$M$4:$M$451,'ASIGNACIONES'!$C$4:$C$451,$P17,'ASIGNACIONES'!$A$4:$A$451,IF($B$3="(todos)","*",$B$3),'ASIGNACIONES'!$B$4:$B$451,IF($D$3="(todos)","*",$D$3)))</f>
        <v/>
      </c>
      <c r="X17" s="5" t="inlineStr">
        <is>
          <t>2026-S12</t>
        </is>
      </c>
    </row>
    <row r="18">
      <c r="P18" s="24" t="inlineStr">
        <is>
          <t>Alberto Vargas</t>
        </is>
      </c>
      <c r="Q18" s="24" t="inlineStr">
        <is>
          <t>AUT</t>
        </is>
      </c>
      <c r="R18" s="24">
        <f>IF(OR($B$3="(todos)",$D$3="(todos)"),$P18,$P18&amp;" ("&amp;IFERROR(INDEX('ASIGNACIONES'!$J$4:$J$451,MATCH($B$3&amp;"|"&amp;$D$3&amp;"|"&amp;$P18,'ASIGNACIONES'!$N$4:$N$451,0)),"")&amp;")")</f>
        <v/>
      </c>
      <c r="S18" s="25">
        <f>IF(AND($L$3&lt;&gt;"(todos)",$Q18&lt;&gt;$L$3),NA(),SUMIFS('ORDENES'!$M$4:$M$1203,'ORDENES'!$AH$4:$AH$1203,$P18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8" s="25">
        <f>IF(ISNA($S18),NA(),MIN($S18,$V18))</f>
        <v/>
      </c>
      <c r="U18" s="25">
        <f>IF(ISNA($S18),NA(),MAX(0,$S18-$V18))</f>
        <v/>
      </c>
      <c r="V18" s="25">
        <f>IF(AND($L$3&lt;&gt;"(todos)",$Q18&lt;&gt;$L$3),NA(),p_factor_productividad*SUMIFS('ASIGNACIONES'!$M$4:$M$451,'ASIGNACIONES'!$C$4:$C$451,$P18,'ASIGNACIONES'!$A$4:$A$451,IF($B$3="(todos)","*",$B$3),'ASIGNACIONES'!$B$4:$B$451,IF($D$3="(todos)","*",$D$3)))</f>
        <v/>
      </c>
      <c r="X18" s="5" t="inlineStr">
        <is>
          <t>2026-S13</t>
        </is>
      </c>
    </row>
    <row r="19">
      <c r="P19" s="24" t="inlineStr">
        <is>
          <t>Daniela Medina</t>
        </is>
      </c>
      <c r="Q19" s="24" t="inlineStr">
        <is>
          <t>AUT</t>
        </is>
      </c>
      <c r="R19" s="24">
        <f>IF(OR($B$3="(todos)",$D$3="(todos)"),$P19,$P19&amp;" ("&amp;IFERROR(INDEX('ASIGNACIONES'!$J$4:$J$451,MATCH($B$3&amp;"|"&amp;$D$3&amp;"|"&amp;$P19,'ASIGNACIONES'!$N$4:$N$451,0)),"")&amp;")")</f>
        <v/>
      </c>
      <c r="S19" s="25">
        <f>IF(AND($L$3&lt;&gt;"(todos)",$Q19&lt;&gt;$L$3),NA(),SUMIFS('ORDENES'!$M$4:$M$1203,'ORDENES'!$AH$4:$AH$1203,$P19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9" s="25">
        <f>IF(ISNA($S19),NA(),MIN($S19,$V19))</f>
        <v/>
      </c>
      <c r="U19" s="25">
        <f>IF(ISNA($S19),NA(),MAX(0,$S19-$V19))</f>
        <v/>
      </c>
      <c r="V19" s="25">
        <f>IF(AND($L$3&lt;&gt;"(todos)",$Q19&lt;&gt;$L$3),NA(),p_factor_productividad*SUMIFS('ASIGNACIONES'!$M$4:$M$451,'ASIGNACIONES'!$C$4:$C$451,$P19,'ASIGNACIONES'!$A$4:$A$451,IF($B$3="(todos)","*",$B$3),'ASIGNACIONES'!$B$4:$B$451,IF($D$3="(todos)","*",$D$3)))</f>
        <v/>
      </c>
      <c r="X19" s="5" t="inlineStr">
        <is>
          <t>2026-S14</t>
        </is>
      </c>
    </row>
    <row r="20">
      <c r="X20" s="5" t="inlineStr">
        <is>
          <t>2026-S15</t>
        </is>
      </c>
    </row>
    <row r="21">
      <c r="X21" s="5" t="inlineStr">
        <is>
          <t>2026-S16</t>
        </is>
      </c>
    </row>
    <row r="22">
      <c r="X22" s="5" t="inlineStr">
        <is>
          <t>2026-S17</t>
        </is>
      </c>
    </row>
    <row r="23">
      <c r="X23" s="5" t="inlineStr">
        <is>
          <t>2026-S18</t>
        </is>
      </c>
    </row>
    <row r="24">
      <c r="X24" s="5" t="inlineStr">
        <is>
          <t>2026-S19</t>
        </is>
      </c>
    </row>
    <row r="25">
      <c r="A25" s="23" t="inlineStr">
        <is>
          <t>semana</t>
        </is>
      </c>
      <c r="B25" s="23" t="inlineStr">
        <is>
          <t>dia</t>
        </is>
      </c>
      <c r="C25" s="23" t="inlineStr">
        <is>
          <t>turno</t>
        </is>
      </c>
      <c r="D25" s="23" t="inlineStr">
        <is>
          <t>coordinador</t>
        </is>
      </c>
      <c r="E25" s="23" t="inlineStr">
        <is>
          <t>area</t>
        </is>
      </c>
      <c r="F25" s="23" t="inlineStr">
        <is>
          <t>especialidad</t>
        </is>
      </c>
      <c r="G25" s="23" t="inlineStr">
        <is>
          <t>sub_area</t>
        </is>
      </c>
      <c r="H25" s="23" t="inlineStr">
        <is>
          <t>tecnico</t>
        </is>
      </c>
      <c r="I25" s="23" t="inlineStr">
        <is>
          <t>id_operacion</t>
        </is>
      </c>
      <c r="J25" s="23" t="inlineStr">
        <is>
          <t>descripcion_operacion</t>
        </is>
      </c>
      <c r="K25" s="23" t="inlineStr">
        <is>
          <t>equipo</t>
        </is>
      </c>
      <c r="L25" s="23" t="inlineStr">
        <is>
          <t>horas</t>
        </is>
      </c>
      <c r="M25" s="23" t="inlineStr">
        <is>
          <t>estado</t>
        </is>
      </c>
      <c r="N25" s="23" t="inlineStr">
        <is>
          <t>en_plan</t>
        </is>
      </c>
      <c r="X25" s="5" t="inlineStr">
        <is>
          <t>2026-S20</t>
        </is>
      </c>
    </row>
    <row r="26">
      <c r="A26" s="24">
        <f>IF('ORDENES'!$A4="","",IF('ORDENES'!$O4="","-",'ORDENES'!$O4))</f>
        <v/>
      </c>
      <c r="B26" s="24">
        <f>IF('ORDENES'!$A4="","",IF('ORDENES'!$S4="","-",'ORDENES'!$S4))</f>
        <v/>
      </c>
      <c r="C26" s="24">
        <f>IF('ORDENES'!$A4="","",IF('ORDENES'!$AI4="","-",'ORDENES'!$AI4))</f>
        <v/>
      </c>
      <c r="D26" s="24">
        <f>IF('ORDENES'!$A4="","",IF('ORDENES'!$AA4="","-",'ORDENES'!$AA4))</f>
        <v/>
      </c>
      <c r="E26" s="24">
        <f>IF('ORDENES'!$A4="","",IF('ORDENES'!$Y4="","-",'ORDENES'!$Y4))</f>
        <v/>
      </c>
      <c r="F26" s="24">
        <f>IF('ORDENES'!$A4="","",IF('ORDENES'!$AB4="","-",'ORDENES'!$AB4))</f>
        <v/>
      </c>
      <c r="G26" s="24">
        <f>IF('ORDENES'!$A4="","",IF('ORDENES'!$Z4="","-",'ORDENES'!$Z4))</f>
        <v/>
      </c>
      <c r="H26" s="24">
        <f>IF('ORDENES'!$A4="","",IF('ORDENES'!$AH4="","-",'ORDENES'!$AH4))</f>
        <v/>
      </c>
      <c r="I26" s="24">
        <f>IF('ORDENES'!$A4="","",IF('ORDENES'!$AU4="","-",'ORDENES'!$AU4))</f>
        <v/>
      </c>
      <c r="J26" s="24">
        <f>IF('ORDENES'!$A4="","",IF('ORDENES'!$D4="","-",'ORDENES'!$D4))</f>
        <v/>
      </c>
      <c r="K26" s="24">
        <f>IF('ORDENES'!$A4="","",IF('ORDENES'!$E4="","-",'ORDENES'!$E4))</f>
        <v/>
      </c>
      <c r="L26" s="26">
        <f>IF('ORDENES'!$A4="","",IF('ORDENES'!$M4="",0,'ORDENES'!$M4))</f>
        <v/>
      </c>
      <c r="M26" s="24">
        <f>IF('ORDENES'!$A4="","",IF('ORDENES'!$N4="","-",'ORDENES'!$N4))</f>
        <v/>
      </c>
      <c r="N26" s="24">
        <f>IF('ORDENES'!$A4="","",'ORDENES'!$AG4)</f>
        <v/>
      </c>
      <c r="X26" s="5" t="inlineStr">
        <is>
          <t>2026-S21</t>
        </is>
      </c>
    </row>
    <row r="27">
      <c r="A27" s="24">
        <f>IF('ORDENES'!$A5="","",IF('ORDENES'!$O5="","-",'ORDENES'!$O5))</f>
        <v/>
      </c>
      <c r="B27" s="24">
        <f>IF('ORDENES'!$A5="","",IF('ORDENES'!$S5="","-",'ORDENES'!$S5))</f>
        <v/>
      </c>
      <c r="C27" s="24">
        <f>IF('ORDENES'!$A5="","",IF('ORDENES'!$AI5="","-",'ORDENES'!$AI5))</f>
        <v/>
      </c>
      <c r="D27" s="24">
        <f>IF('ORDENES'!$A5="","",IF('ORDENES'!$AA5="","-",'ORDENES'!$AA5))</f>
        <v/>
      </c>
      <c r="E27" s="24">
        <f>IF('ORDENES'!$A5="","",IF('ORDENES'!$Y5="","-",'ORDENES'!$Y5))</f>
        <v/>
      </c>
      <c r="F27" s="24">
        <f>IF('ORDENES'!$A5="","",IF('ORDENES'!$AB5="","-",'ORDENES'!$AB5))</f>
        <v/>
      </c>
      <c r="G27" s="24">
        <f>IF('ORDENES'!$A5="","",IF('ORDENES'!$Z5="","-",'ORDENES'!$Z5))</f>
        <v/>
      </c>
      <c r="H27" s="24">
        <f>IF('ORDENES'!$A5="","",IF('ORDENES'!$AH5="","-",'ORDENES'!$AH5))</f>
        <v/>
      </c>
      <c r="I27" s="24">
        <f>IF('ORDENES'!$A5="","",IF('ORDENES'!$AU5="","-",'ORDENES'!$AU5))</f>
        <v/>
      </c>
      <c r="J27" s="24">
        <f>IF('ORDENES'!$A5="","",IF('ORDENES'!$D5="","-",'ORDENES'!$D5))</f>
        <v/>
      </c>
      <c r="K27" s="24">
        <f>IF('ORDENES'!$A5="","",IF('ORDENES'!$E5="","-",'ORDENES'!$E5))</f>
        <v/>
      </c>
      <c r="L27" s="26">
        <f>IF('ORDENES'!$A5="","",IF('ORDENES'!$M5="",0,'ORDENES'!$M5))</f>
        <v/>
      </c>
      <c r="M27" s="24">
        <f>IF('ORDENES'!$A5="","",IF('ORDENES'!$N5="","-",'ORDENES'!$N5))</f>
        <v/>
      </c>
      <c r="N27" s="24">
        <f>IF('ORDENES'!$A5="","",'ORDENES'!$AG5)</f>
        <v/>
      </c>
      <c r="X27" s="5" t="inlineStr">
        <is>
          <t>2026-S22</t>
        </is>
      </c>
    </row>
    <row r="28">
      <c r="A28" s="24">
        <f>IF('ORDENES'!$A6="","",IF('ORDENES'!$O6="","-",'ORDENES'!$O6))</f>
        <v/>
      </c>
      <c r="B28" s="24">
        <f>IF('ORDENES'!$A6="","",IF('ORDENES'!$S6="","-",'ORDENES'!$S6))</f>
        <v/>
      </c>
      <c r="C28" s="24">
        <f>IF('ORDENES'!$A6="","",IF('ORDENES'!$AI6="","-",'ORDENES'!$AI6))</f>
        <v/>
      </c>
      <c r="D28" s="24">
        <f>IF('ORDENES'!$A6="","",IF('ORDENES'!$AA6="","-",'ORDENES'!$AA6))</f>
        <v/>
      </c>
      <c r="E28" s="24">
        <f>IF('ORDENES'!$A6="","",IF('ORDENES'!$Y6="","-",'ORDENES'!$Y6))</f>
        <v/>
      </c>
      <c r="F28" s="24">
        <f>IF('ORDENES'!$A6="","",IF('ORDENES'!$AB6="","-",'ORDENES'!$AB6))</f>
        <v/>
      </c>
      <c r="G28" s="24">
        <f>IF('ORDENES'!$A6="","",IF('ORDENES'!$Z6="","-",'ORDENES'!$Z6))</f>
        <v/>
      </c>
      <c r="H28" s="24">
        <f>IF('ORDENES'!$A6="","",IF('ORDENES'!$AH6="","-",'ORDENES'!$AH6))</f>
        <v/>
      </c>
      <c r="I28" s="24">
        <f>IF('ORDENES'!$A6="","",IF('ORDENES'!$AU6="","-",'ORDENES'!$AU6))</f>
        <v/>
      </c>
      <c r="J28" s="24">
        <f>IF('ORDENES'!$A6="","",IF('ORDENES'!$D6="","-",'ORDENES'!$D6))</f>
        <v/>
      </c>
      <c r="K28" s="24">
        <f>IF('ORDENES'!$A6="","",IF('ORDENES'!$E6="","-",'ORDENES'!$E6))</f>
        <v/>
      </c>
      <c r="L28" s="26">
        <f>IF('ORDENES'!$A6="","",IF('ORDENES'!$M6="",0,'ORDENES'!$M6))</f>
        <v/>
      </c>
      <c r="M28" s="24">
        <f>IF('ORDENES'!$A6="","",IF('ORDENES'!$N6="","-",'ORDENES'!$N6))</f>
        <v/>
      </c>
      <c r="N28" s="24">
        <f>IF('ORDENES'!$A6="","",'ORDENES'!$AG6)</f>
        <v/>
      </c>
      <c r="X28" s="5" t="inlineStr">
        <is>
          <t>2026-S23</t>
        </is>
      </c>
    </row>
    <row r="29">
      <c r="A29" s="24">
        <f>IF('ORDENES'!$A7="","",IF('ORDENES'!$O7="","-",'ORDENES'!$O7))</f>
        <v/>
      </c>
      <c r="B29" s="24">
        <f>IF('ORDENES'!$A7="","",IF('ORDENES'!$S7="","-",'ORDENES'!$S7))</f>
        <v/>
      </c>
      <c r="C29" s="24">
        <f>IF('ORDENES'!$A7="","",IF('ORDENES'!$AI7="","-",'ORDENES'!$AI7))</f>
        <v/>
      </c>
      <c r="D29" s="24">
        <f>IF('ORDENES'!$A7="","",IF('ORDENES'!$AA7="","-",'ORDENES'!$AA7))</f>
        <v/>
      </c>
      <c r="E29" s="24">
        <f>IF('ORDENES'!$A7="","",IF('ORDENES'!$Y7="","-",'ORDENES'!$Y7))</f>
        <v/>
      </c>
      <c r="F29" s="24">
        <f>IF('ORDENES'!$A7="","",IF('ORDENES'!$AB7="","-",'ORDENES'!$AB7))</f>
        <v/>
      </c>
      <c r="G29" s="24">
        <f>IF('ORDENES'!$A7="","",IF('ORDENES'!$Z7="","-",'ORDENES'!$Z7))</f>
        <v/>
      </c>
      <c r="H29" s="24">
        <f>IF('ORDENES'!$A7="","",IF('ORDENES'!$AH7="","-",'ORDENES'!$AH7))</f>
        <v/>
      </c>
      <c r="I29" s="24">
        <f>IF('ORDENES'!$A7="","",IF('ORDENES'!$AU7="","-",'ORDENES'!$AU7))</f>
        <v/>
      </c>
      <c r="J29" s="24">
        <f>IF('ORDENES'!$A7="","",IF('ORDENES'!$D7="","-",'ORDENES'!$D7))</f>
        <v/>
      </c>
      <c r="K29" s="24">
        <f>IF('ORDENES'!$A7="","",IF('ORDENES'!$E7="","-",'ORDENES'!$E7))</f>
        <v/>
      </c>
      <c r="L29" s="26">
        <f>IF('ORDENES'!$A7="","",IF('ORDENES'!$M7="",0,'ORDENES'!$M7))</f>
        <v/>
      </c>
      <c r="M29" s="24">
        <f>IF('ORDENES'!$A7="","",IF('ORDENES'!$N7="","-",'ORDENES'!$N7))</f>
        <v/>
      </c>
      <c r="N29" s="24">
        <f>IF('ORDENES'!$A7="","",'ORDENES'!$AG7)</f>
        <v/>
      </c>
      <c r="X29" s="5" t="inlineStr">
        <is>
          <t>2026-S24</t>
        </is>
      </c>
    </row>
    <row r="30">
      <c r="A30" s="24">
        <f>IF('ORDENES'!$A8="","",IF('ORDENES'!$O8="","-",'ORDENES'!$O8))</f>
        <v/>
      </c>
      <c r="B30" s="24">
        <f>IF('ORDENES'!$A8="","",IF('ORDENES'!$S8="","-",'ORDENES'!$S8))</f>
        <v/>
      </c>
      <c r="C30" s="24">
        <f>IF('ORDENES'!$A8="","",IF('ORDENES'!$AI8="","-",'ORDENES'!$AI8))</f>
        <v/>
      </c>
      <c r="D30" s="24">
        <f>IF('ORDENES'!$A8="","",IF('ORDENES'!$AA8="","-",'ORDENES'!$AA8))</f>
        <v/>
      </c>
      <c r="E30" s="24">
        <f>IF('ORDENES'!$A8="","",IF('ORDENES'!$Y8="","-",'ORDENES'!$Y8))</f>
        <v/>
      </c>
      <c r="F30" s="24">
        <f>IF('ORDENES'!$A8="","",IF('ORDENES'!$AB8="","-",'ORDENES'!$AB8))</f>
        <v/>
      </c>
      <c r="G30" s="24">
        <f>IF('ORDENES'!$A8="","",IF('ORDENES'!$Z8="","-",'ORDENES'!$Z8))</f>
        <v/>
      </c>
      <c r="H30" s="24">
        <f>IF('ORDENES'!$A8="","",IF('ORDENES'!$AH8="","-",'ORDENES'!$AH8))</f>
        <v/>
      </c>
      <c r="I30" s="24">
        <f>IF('ORDENES'!$A8="","",IF('ORDENES'!$AU8="","-",'ORDENES'!$AU8))</f>
        <v/>
      </c>
      <c r="J30" s="24">
        <f>IF('ORDENES'!$A8="","",IF('ORDENES'!$D8="","-",'ORDENES'!$D8))</f>
        <v/>
      </c>
      <c r="K30" s="24">
        <f>IF('ORDENES'!$A8="","",IF('ORDENES'!$E8="","-",'ORDENES'!$E8))</f>
        <v/>
      </c>
      <c r="L30" s="26">
        <f>IF('ORDENES'!$A8="","",IF('ORDENES'!$M8="",0,'ORDENES'!$M8))</f>
        <v/>
      </c>
      <c r="M30" s="24">
        <f>IF('ORDENES'!$A8="","",IF('ORDENES'!$N8="","-",'ORDENES'!$N8))</f>
        <v/>
      </c>
      <c r="N30" s="24">
        <f>IF('ORDENES'!$A8="","",'ORDENES'!$AG8)</f>
        <v/>
      </c>
      <c r="X30" s="5" t="inlineStr">
        <is>
          <t>2026-S25</t>
        </is>
      </c>
    </row>
    <row r="31">
      <c r="A31" s="24">
        <f>IF('ORDENES'!$A9="","",IF('ORDENES'!$O9="","-",'ORDENES'!$O9))</f>
        <v/>
      </c>
      <c r="B31" s="24">
        <f>IF('ORDENES'!$A9="","",IF('ORDENES'!$S9="","-",'ORDENES'!$S9))</f>
        <v/>
      </c>
      <c r="C31" s="24">
        <f>IF('ORDENES'!$A9="","",IF('ORDENES'!$AI9="","-",'ORDENES'!$AI9))</f>
        <v/>
      </c>
      <c r="D31" s="24">
        <f>IF('ORDENES'!$A9="","",IF('ORDENES'!$AA9="","-",'ORDENES'!$AA9))</f>
        <v/>
      </c>
      <c r="E31" s="24">
        <f>IF('ORDENES'!$A9="","",IF('ORDENES'!$Y9="","-",'ORDENES'!$Y9))</f>
        <v/>
      </c>
      <c r="F31" s="24">
        <f>IF('ORDENES'!$A9="","",IF('ORDENES'!$AB9="","-",'ORDENES'!$AB9))</f>
        <v/>
      </c>
      <c r="G31" s="24">
        <f>IF('ORDENES'!$A9="","",IF('ORDENES'!$Z9="","-",'ORDENES'!$Z9))</f>
        <v/>
      </c>
      <c r="H31" s="24">
        <f>IF('ORDENES'!$A9="","",IF('ORDENES'!$AH9="","-",'ORDENES'!$AH9))</f>
        <v/>
      </c>
      <c r="I31" s="24">
        <f>IF('ORDENES'!$A9="","",IF('ORDENES'!$AU9="","-",'ORDENES'!$AU9))</f>
        <v/>
      </c>
      <c r="J31" s="24">
        <f>IF('ORDENES'!$A9="","",IF('ORDENES'!$D9="","-",'ORDENES'!$D9))</f>
        <v/>
      </c>
      <c r="K31" s="24">
        <f>IF('ORDENES'!$A9="","",IF('ORDENES'!$E9="","-",'ORDENES'!$E9))</f>
        <v/>
      </c>
      <c r="L31" s="26">
        <f>IF('ORDENES'!$A9="","",IF('ORDENES'!$M9="",0,'ORDENES'!$M9))</f>
        <v/>
      </c>
      <c r="M31" s="24">
        <f>IF('ORDENES'!$A9="","",IF('ORDENES'!$N9="","-",'ORDENES'!$N9))</f>
        <v/>
      </c>
      <c r="N31" s="24">
        <f>IF('ORDENES'!$A9="","",'ORDENES'!$AG9)</f>
        <v/>
      </c>
      <c r="X31" s="5" t="inlineStr">
        <is>
          <t>2026-S26</t>
        </is>
      </c>
    </row>
    <row r="32">
      <c r="A32" s="24">
        <f>IF('ORDENES'!$A10="","",IF('ORDENES'!$O10="","-",'ORDENES'!$O10))</f>
        <v/>
      </c>
      <c r="B32" s="24">
        <f>IF('ORDENES'!$A10="","",IF('ORDENES'!$S10="","-",'ORDENES'!$S10))</f>
        <v/>
      </c>
      <c r="C32" s="24">
        <f>IF('ORDENES'!$A10="","",IF('ORDENES'!$AI10="","-",'ORDENES'!$AI10))</f>
        <v/>
      </c>
      <c r="D32" s="24">
        <f>IF('ORDENES'!$A10="","",IF('ORDENES'!$AA10="","-",'ORDENES'!$AA10))</f>
        <v/>
      </c>
      <c r="E32" s="24">
        <f>IF('ORDENES'!$A10="","",IF('ORDENES'!$Y10="","-",'ORDENES'!$Y10))</f>
        <v/>
      </c>
      <c r="F32" s="24">
        <f>IF('ORDENES'!$A10="","",IF('ORDENES'!$AB10="","-",'ORDENES'!$AB10))</f>
        <v/>
      </c>
      <c r="G32" s="24">
        <f>IF('ORDENES'!$A10="","",IF('ORDENES'!$Z10="","-",'ORDENES'!$Z10))</f>
        <v/>
      </c>
      <c r="H32" s="24">
        <f>IF('ORDENES'!$A10="","",IF('ORDENES'!$AH10="","-",'ORDENES'!$AH10))</f>
        <v/>
      </c>
      <c r="I32" s="24">
        <f>IF('ORDENES'!$A10="","",IF('ORDENES'!$AU10="","-",'ORDENES'!$AU10))</f>
        <v/>
      </c>
      <c r="J32" s="24">
        <f>IF('ORDENES'!$A10="","",IF('ORDENES'!$D10="","-",'ORDENES'!$D10))</f>
        <v/>
      </c>
      <c r="K32" s="24">
        <f>IF('ORDENES'!$A10="","",IF('ORDENES'!$E10="","-",'ORDENES'!$E10))</f>
        <v/>
      </c>
      <c r="L32" s="26">
        <f>IF('ORDENES'!$A10="","",IF('ORDENES'!$M10="",0,'ORDENES'!$M10))</f>
        <v/>
      </c>
      <c r="M32" s="24">
        <f>IF('ORDENES'!$A10="","",IF('ORDENES'!$N10="","-",'ORDENES'!$N10))</f>
        <v/>
      </c>
      <c r="N32" s="24">
        <f>IF('ORDENES'!$A10="","",'ORDENES'!$AG10)</f>
        <v/>
      </c>
      <c r="X32" s="5" t="inlineStr">
        <is>
          <t>2026-S27</t>
        </is>
      </c>
    </row>
    <row r="33">
      <c r="A33" s="24">
        <f>IF('ORDENES'!$A11="","",IF('ORDENES'!$O11="","-",'ORDENES'!$O11))</f>
        <v/>
      </c>
      <c r="B33" s="24">
        <f>IF('ORDENES'!$A11="","",IF('ORDENES'!$S11="","-",'ORDENES'!$S11))</f>
        <v/>
      </c>
      <c r="C33" s="24">
        <f>IF('ORDENES'!$A11="","",IF('ORDENES'!$AI11="","-",'ORDENES'!$AI11))</f>
        <v/>
      </c>
      <c r="D33" s="24">
        <f>IF('ORDENES'!$A11="","",IF('ORDENES'!$AA11="","-",'ORDENES'!$AA11))</f>
        <v/>
      </c>
      <c r="E33" s="24">
        <f>IF('ORDENES'!$A11="","",IF('ORDENES'!$Y11="","-",'ORDENES'!$Y11))</f>
        <v/>
      </c>
      <c r="F33" s="24">
        <f>IF('ORDENES'!$A11="","",IF('ORDENES'!$AB11="","-",'ORDENES'!$AB11))</f>
        <v/>
      </c>
      <c r="G33" s="24">
        <f>IF('ORDENES'!$A11="","",IF('ORDENES'!$Z11="","-",'ORDENES'!$Z11))</f>
        <v/>
      </c>
      <c r="H33" s="24">
        <f>IF('ORDENES'!$A11="","",IF('ORDENES'!$AH11="","-",'ORDENES'!$AH11))</f>
        <v/>
      </c>
      <c r="I33" s="24">
        <f>IF('ORDENES'!$A11="","",IF('ORDENES'!$AU11="","-",'ORDENES'!$AU11))</f>
        <v/>
      </c>
      <c r="J33" s="24">
        <f>IF('ORDENES'!$A11="","",IF('ORDENES'!$D11="","-",'ORDENES'!$D11))</f>
        <v/>
      </c>
      <c r="K33" s="24">
        <f>IF('ORDENES'!$A11="","",IF('ORDENES'!$E11="","-",'ORDENES'!$E11))</f>
        <v/>
      </c>
      <c r="L33" s="26">
        <f>IF('ORDENES'!$A11="","",IF('ORDENES'!$M11="",0,'ORDENES'!$M11))</f>
        <v/>
      </c>
      <c r="M33" s="24">
        <f>IF('ORDENES'!$A11="","",IF('ORDENES'!$N11="","-",'ORDENES'!$N11))</f>
        <v/>
      </c>
      <c r="N33" s="24">
        <f>IF('ORDENES'!$A11="","",'ORDENES'!$AG11)</f>
        <v/>
      </c>
      <c r="X33" s="5" t="inlineStr">
        <is>
          <t>2026-S28</t>
        </is>
      </c>
    </row>
    <row r="34">
      <c r="A34" s="24">
        <f>IF('ORDENES'!$A12="","",IF('ORDENES'!$O12="","-",'ORDENES'!$O12))</f>
        <v/>
      </c>
      <c r="B34" s="24">
        <f>IF('ORDENES'!$A12="","",IF('ORDENES'!$S12="","-",'ORDENES'!$S12))</f>
        <v/>
      </c>
      <c r="C34" s="24">
        <f>IF('ORDENES'!$A12="","",IF('ORDENES'!$AI12="","-",'ORDENES'!$AI12))</f>
        <v/>
      </c>
      <c r="D34" s="24">
        <f>IF('ORDENES'!$A12="","",IF('ORDENES'!$AA12="","-",'ORDENES'!$AA12))</f>
        <v/>
      </c>
      <c r="E34" s="24">
        <f>IF('ORDENES'!$A12="","",IF('ORDENES'!$Y12="","-",'ORDENES'!$Y12))</f>
        <v/>
      </c>
      <c r="F34" s="24">
        <f>IF('ORDENES'!$A12="","",IF('ORDENES'!$AB12="","-",'ORDENES'!$AB12))</f>
        <v/>
      </c>
      <c r="G34" s="24">
        <f>IF('ORDENES'!$A12="","",IF('ORDENES'!$Z12="","-",'ORDENES'!$Z12))</f>
        <v/>
      </c>
      <c r="H34" s="24">
        <f>IF('ORDENES'!$A12="","",IF('ORDENES'!$AH12="","-",'ORDENES'!$AH12))</f>
        <v/>
      </c>
      <c r="I34" s="24">
        <f>IF('ORDENES'!$A12="","",IF('ORDENES'!$AU12="","-",'ORDENES'!$AU12))</f>
        <v/>
      </c>
      <c r="J34" s="24">
        <f>IF('ORDENES'!$A12="","",IF('ORDENES'!$D12="","-",'ORDENES'!$D12))</f>
        <v/>
      </c>
      <c r="K34" s="24">
        <f>IF('ORDENES'!$A12="","",IF('ORDENES'!$E12="","-",'ORDENES'!$E12))</f>
        <v/>
      </c>
      <c r="L34" s="26">
        <f>IF('ORDENES'!$A12="","",IF('ORDENES'!$M12="",0,'ORDENES'!$M12))</f>
        <v/>
      </c>
      <c r="M34" s="24">
        <f>IF('ORDENES'!$A12="","",IF('ORDENES'!$N12="","-",'ORDENES'!$N12))</f>
        <v/>
      </c>
      <c r="N34" s="24">
        <f>IF('ORDENES'!$A12="","",'ORDENES'!$AG12)</f>
        <v/>
      </c>
      <c r="X34" s="5" t="inlineStr">
        <is>
          <t>2026-S29</t>
        </is>
      </c>
    </row>
    <row r="35">
      <c r="A35" s="24">
        <f>IF('ORDENES'!$A13="","",IF('ORDENES'!$O13="","-",'ORDENES'!$O13))</f>
        <v/>
      </c>
      <c r="B35" s="24">
        <f>IF('ORDENES'!$A13="","",IF('ORDENES'!$S13="","-",'ORDENES'!$S13))</f>
        <v/>
      </c>
      <c r="C35" s="24">
        <f>IF('ORDENES'!$A13="","",IF('ORDENES'!$AI13="","-",'ORDENES'!$AI13))</f>
        <v/>
      </c>
      <c r="D35" s="24">
        <f>IF('ORDENES'!$A13="","",IF('ORDENES'!$AA13="","-",'ORDENES'!$AA13))</f>
        <v/>
      </c>
      <c r="E35" s="24">
        <f>IF('ORDENES'!$A13="","",IF('ORDENES'!$Y13="","-",'ORDENES'!$Y13))</f>
        <v/>
      </c>
      <c r="F35" s="24">
        <f>IF('ORDENES'!$A13="","",IF('ORDENES'!$AB13="","-",'ORDENES'!$AB13))</f>
        <v/>
      </c>
      <c r="G35" s="24">
        <f>IF('ORDENES'!$A13="","",IF('ORDENES'!$Z13="","-",'ORDENES'!$Z13))</f>
        <v/>
      </c>
      <c r="H35" s="24">
        <f>IF('ORDENES'!$A13="","",IF('ORDENES'!$AH13="","-",'ORDENES'!$AH13))</f>
        <v/>
      </c>
      <c r="I35" s="24">
        <f>IF('ORDENES'!$A13="","",IF('ORDENES'!$AU13="","-",'ORDENES'!$AU13))</f>
        <v/>
      </c>
      <c r="J35" s="24">
        <f>IF('ORDENES'!$A13="","",IF('ORDENES'!$D13="","-",'ORDENES'!$D13))</f>
        <v/>
      </c>
      <c r="K35" s="24">
        <f>IF('ORDENES'!$A13="","",IF('ORDENES'!$E13="","-",'ORDENES'!$E13))</f>
        <v/>
      </c>
      <c r="L35" s="26">
        <f>IF('ORDENES'!$A13="","",IF('ORDENES'!$M13="",0,'ORDENES'!$M13))</f>
        <v/>
      </c>
      <c r="M35" s="24">
        <f>IF('ORDENES'!$A13="","",IF('ORDENES'!$N13="","-",'ORDENES'!$N13))</f>
        <v/>
      </c>
      <c r="N35" s="24">
        <f>IF('ORDENES'!$A13="","",'ORDENES'!$AG13)</f>
        <v/>
      </c>
      <c r="X35" s="5" t="inlineStr">
        <is>
          <t>2026-S30</t>
        </is>
      </c>
    </row>
    <row r="36">
      <c r="A36" s="24">
        <f>IF('ORDENES'!$A14="","",IF('ORDENES'!$O14="","-",'ORDENES'!$O14))</f>
        <v/>
      </c>
      <c r="B36" s="24">
        <f>IF('ORDENES'!$A14="","",IF('ORDENES'!$S14="","-",'ORDENES'!$S14))</f>
        <v/>
      </c>
      <c r="C36" s="24">
        <f>IF('ORDENES'!$A14="","",IF('ORDENES'!$AI14="","-",'ORDENES'!$AI14))</f>
        <v/>
      </c>
      <c r="D36" s="24">
        <f>IF('ORDENES'!$A14="","",IF('ORDENES'!$AA14="","-",'ORDENES'!$AA14))</f>
        <v/>
      </c>
      <c r="E36" s="24">
        <f>IF('ORDENES'!$A14="","",IF('ORDENES'!$Y14="","-",'ORDENES'!$Y14))</f>
        <v/>
      </c>
      <c r="F36" s="24">
        <f>IF('ORDENES'!$A14="","",IF('ORDENES'!$AB14="","-",'ORDENES'!$AB14))</f>
        <v/>
      </c>
      <c r="G36" s="24">
        <f>IF('ORDENES'!$A14="","",IF('ORDENES'!$Z14="","-",'ORDENES'!$Z14))</f>
        <v/>
      </c>
      <c r="H36" s="24">
        <f>IF('ORDENES'!$A14="","",IF('ORDENES'!$AH14="","-",'ORDENES'!$AH14))</f>
        <v/>
      </c>
      <c r="I36" s="24">
        <f>IF('ORDENES'!$A14="","",IF('ORDENES'!$AU14="","-",'ORDENES'!$AU14))</f>
        <v/>
      </c>
      <c r="J36" s="24">
        <f>IF('ORDENES'!$A14="","",IF('ORDENES'!$D14="","-",'ORDENES'!$D14))</f>
        <v/>
      </c>
      <c r="K36" s="24">
        <f>IF('ORDENES'!$A14="","",IF('ORDENES'!$E14="","-",'ORDENES'!$E14))</f>
        <v/>
      </c>
      <c r="L36" s="26">
        <f>IF('ORDENES'!$A14="","",IF('ORDENES'!$M14="",0,'ORDENES'!$M14))</f>
        <v/>
      </c>
      <c r="M36" s="24">
        <f>IF('ORDENES'!$A14="","",IF('ORDENES'!$N14="","-",'ORDENES'!$N14))</f>
        <v/>
      </c>
      <c r="N36" s="24">
        <f>IF('ORDENES'!$A14="","",'ORDENES'!$AG14)</f>
        <v/>
      </c>
      <c r="X36" s="5" t="inlineStr">
        <is>
          <t>2026-S31</t>
        </is>
      </c>
    </row>
    <row r="37">
      <c r="A37" s="24">
        <f>IF('ORDENES'!$A15="","",IF('ORDENES'!$O15="","-",'ORDENES'!$O15))</f>
        <v/>
      </c>
      <c r="B37" s="24">
        <f>IF('ORDENES'!$A15="","",IF('ORDENES'!$S15="","-",'ORDENES'!$S15))</f>
        <v/>
      </c>
      <c r="C37" s="24">
        <f>IF('ORDENES'!$A15="","",IF('ORDENES'!$AI15="","-",'ORDENES'!$AI15))</f>
        <v/>
      </c>
      <c r="D37" s="24">
        <f>IF('ORDENES'!$A15="","",IF('ORDENES'!$AA15="","-",'ORDENES'!$AA15))</f>
        <v/>
      </c>
      <c r="E37" s="24">
        <f>IF('ORDENES'!$A15="","",IF('ORDENES'!$Y15="","-",'ORDENES'!$Y15))</f>
        <v/>
      </c>
      <c r="F37" s="24">
        <f>IF('ORDENES'!$A15="","",IF('ORDENES'!$AB15="","-",'ORDENES'!$AB15))</f>
        <v/>
      </c>
      <c r="G37" s="24">
        <f>IF('ORDENES'!$A15="","",IF('ORDENES'!$Z15="","-",'ORDENES'!$Z15))</f>
        <v/>
      </c>
      <c r="H37" s="24">
        <f>IF('ORDENES'!$A15="","",IF('ORDENES'!$AH15="","-",'ORDENES'!$AH15))</f>
        <v/>
      </c>
      <c r="I37" s="24">
        <f>IF('ORDENES'!$A15="","",IF('ORDENES'!$AU15="","-",'ORDENES'!$AU15))</f>
        <v/>
      </c>
      <c r="J37" s="24">
        <f>IF('ORDENES'!$A15="","",IF('ORDENES'!$D15="","-",'ORDENES'!$D15))</f>
        <v/>
      </c>
      <c r="K37" s="24">
        <f>IF('ORDENES'!$A15="","",IF('ORDENES'!$E15="","-",'ORDENES'!$E15))</f>
        <v/>
      </c>
      <c r="L37" s="26">
        <f>IF('ORDENES'!$A15="","",IF('ORDENES'!$M15="",0,'ORDENES'!$M15))</f>
        <v/>
      </c>
      <c r="M37" s="24">
        <f>IF('ORDENES'!$A15="","",IF('ORDENES'!$N15="","-",'ORDENES'!$N15))</f>
        <v/>
      </c>
      <c r="N37" s="24">
        <f>IF('ORDENES'!$A15="","",'ORDENES'!$AG15)</f>
        <v/>
      </c>
      <c r="X37" s="5" t="inlineStr">
        <is>
          <t>2026-S32</t>
        </is>
      </c>
    </row>
    <row r="38">
      <c r="A38" s="24">
        <f>IF('ORDENES'!$A16="","",IF('ORDENES'!$O16="","-",'ORDENES'!$O16))</f>
        <v/>
      </c>
      <c r="B38" s="24">
        <f>IF('ORDENES'!$A16="","",IF('ORDENES'!$S16="","-",'ORDENES'!$S16))</f>
        <v/>
      </c>
      <c r="C38" s="24">
        <f>IF('ORDENES'!$A16="","",IF('ORDENES'!$AI16="","-",'ORDENES'!$AI16))</f>
        <v/>
      </c>
      <c r="D38" s="24">
        <f>IF('ORDENES'!$A16="","",IF('ORDENES'!$AA16="","-",'ORDENES'!$AA16))</f>
        <v/>
      </c>
      <c r="E38" s="24">
        <f>IF('ORDENES'!$A16="","",IF('ORDENES'!$Y16="","-",'ORDENES'!$Y16))</f>
        <v/>
      </c>
      <c r="F38" s="24">
        <f>IF('ORDENES'!$A16="","",IF('ORDENES'!$AB16="","-",'ORDENES'!$AB16))</f>
        <v/>
      </c>
      <c r="G38" s="24">
        <f>IF('ORDENES'!$A16="","",IF('ORDENES'!$Z16="","-",'ORDENES'!$Z16))</f>
        <v/>
      </c>
      <c r="H38" s="24">
        <f>IF('ORDENES'!$A16="","",IF('ORDENES'!$AH16="","-",'ORDENES'!$AH16))</f>
        <v/>
      </c>
      <c r="I38" s="24">
        <f>IF('ORDENES'!$A16="","",IF('ORDENES'!$AU16="","-",'ORDENES'!$AU16))</f>
        <v/>
      </c>
      <c r="J38" s="24">
        <f>IF('ORDENES'!$A16="","",IF('ORDENES'!$D16="","-",'ORDENES'!$D16))</f>
        <v/>
      </c>
      <c r="K38" s="24">
        <f>IF('ORDENES'!$A16="","",IF('ORDENES'!$E16="","-",'ORDENES'!$E16))</f>
        <v/>
      </c>
      <c r="L38" s="26">
        <f>IF('ORDENES'!$A16="","",IF('ORDENES'!$M16="",0,'ORDENES'!$M16))</f>
        <v/>
      </c>
      <c r="M38" s="24">
        <f>IF('ORDENES'!$A16="","",IF('ORDENES'!$N16="","-",'ORDENES'!$N16))</f>
        <v/>
      </c>
      <c r="N38" s="24">
        <f>IF('ORDENES'!$A16="","",'ORDENES'!$AG16)</f>
        <v/>
      </c>
      <c r="X38" s="5" t="inlineStr">
        <is>
          <t>2026-S33</t>
        </is>
      </c>
    </row>
    <row r="39">
      <c r="A39" s="24">
        <f>IF('ORDENES'!$A17="","",IF('ORDENES'!$O17="","-",'ORDENES'!$O17))</f>
        <v/>
      </c>
      <c r="B39" s="24">
        <f>IF('ORDENES'!$A17="","",IF('ORDENES'!$S17="","-",'ORDENES'!$S17))</f>
        <v/>
      </c>
      <c r="C39" s="24">
        <f>IF('ORDENES'!$A17="","",IF('ORDENES'!$AI17="","-",'ORDENES'!$AI17))</f>
        <v/>
      </c>
      <c r="D39" s="24">
        <f>IF('ORDENES'!$A17="","",IF('ORDENES'!$AA17="","-",'ORDENES'!$AA17))</f>
        <v/>
      </c>
      <c r="E39" s="24">
        <f>IF('ORDENES'!$A17="","",IF('ORDENES'!$Y17="","-",'ORDENES'!$Y17))</f>
        <v/>
      </c>
      <c r="F39" s="24">
        <f>IF('ORDENES'!$A17="","",IF('ORDENES'!$AB17="","-",'ORDENES'!$AB17))</f>
        <v/>
      </c>
      <c r="G39" s="24">
        <f>IF('ORDENES'!$A17="","",IF('ORDENES'!$Z17="","-",'ORDENES'!$Z17))</f>
        <v/>
      </c>
      <c r="H39" s="24">
        <f>IF('ORDENES'!$A17="","",IF('ORDENES'!$AH17="","-",'ORDENES'!$AH17))</f>
        <v/>
      </c>
      <c r="I39" s="24">
        <f>IF('ORDENES'!$A17="","",IF('ORDENES'!$AU17="","-",'ORDENES'!$AU17))</f>
        <v/>
      </c>
      <c r="J39" s="24">
        <f>IF('ORDENES'!$A17="","",IF('ORDENES'!$D17="","-",'ORDENES'!$D17))</f>
        <v/>
      </c>
      <c r="K39" s="24">
        <f>IF('ORDENES'!$A17="","",IF('ORDENES'!$E17="","-",'ORDENES'!$E17))</f>
        <v/>
      </c>
      <c r="L39" s="26">
        <f>IF('ORDENES'!$A17="","",IF('ORDENES'!$M17="",0,'ORDENES'!$M17))</f>
        <v/>
      </c>
      <c r="M39" s="24">
        <f>IF('ORDENES'!$A17="","",IF('ORDENES'!$N17="","-",'ORDENES'!$N17))</f>
        <v/>
      </c>
      <c r="N39" s="24">
        <f>IF('ORDENES'!$A17="","",'ORDENES'!$AG17)</f>
        <v/>
      </c>
      <c r="X39" s="5" t="inlineStr">
        <is>
          <t>2026-S34</t>
        </is>
      </c>
    </row>
    <row r="40">
      <c r="A40" s="24">
        <f>IF('ORDENES'!$A18="","",IF('ORDENES'!$O18="","-",'ORDENES'!$O18))</f>
        <v/>
      </c>
      <c r="B40" s="24">
        <f>IF('ORDENES'!$A18="","",IF('ORDENES'!$S18="","-",'ORDENES'!$S18))</f>
        <v/>
      </c>
      <c r="C40" s="24">
        <f>IF('ORDENES'!$A18="","",IF('ORDENES'!$AI18="","-",'ORDENES'!$AI18))</f>
        <v/>
      </c>
      <c r="D40" s="24">
        <f>IF('ORDENES'!$A18="","",IF('ORDENES'!$AA18="","-",'ORDENES'!$AA18))</f>
        <v/>
      </c>
      <c r="E40" s="24">
        <f>IF('ORDENES'!$A18="","",IF('ORDENES'!$Y18="","-",'ORDENES'!$Y18))</f>
        <v/>
      </c>
      <c r="F40" s="24">
        <f>IF('ORDENES'!$A18="","",IF('ORDENES'!$AB18="","-",'ORDENES'!$AB18))</f>
        <v/>
      </c>
      <c r="G40" s="24">
        <f>IF('ORDENES'!$A18="","",IF('ORDENES'!$Z18="","-",'ORDENES'!$Z18))</f>
        <v/>
      </c>
      <c r="H40" s="24">
        <f>IF('ORDENES'!$A18="","",IF('ORDENES'!$AH18="","-",'ORDENES'!$AH18))</f>
        <v/>
      </c>
      <c r="I40" s="24">
        <f>IF('ORDENES'!$A18="","",IF('ORDENES'!$AU18="","-",'ORDENES'!$AU18))</f>
        <v/>
      </c>
      <c r="J40" s="24">
        <f>IF('ORDENES'!$A18="","",IF('ORDENES'!$D18="","-",'ORDENES'!$D18))</f>
        <v/>
      </c>
      <c r="K40" s="24">
        <f>IF('ORDENES'!$A18="","",IF('ORDENES'!$E18="","-",'ORDENES'!$E18))</f>
        <v/>
      </c>
      <c r="L40" s="26">
        <f>IF('ORDENES'!$A18="","",IF('ORDENES'!$M18="",0,'ORDENES'!$M18))</f>
        <v/>
      </c>
      <c r="M40" s="24">
        <f>IF('ORDENES'!$A18="","",IF('ORDENES'!$N18="","-",'ORDENES'!$N18))</f>
        <v/>
      </c>
      <c r="N40" s="24">
        <f>IF('ORDENES'!$A18="","",'ORDENES'!$AG18)</f>
        <v/>
      </c>
      <c r="X40" s="5" t="inlineStr">
        <is>
          <t>2026-S35</t>
        </is>
      </c>
    </row>
    <row r="41">
      <c r="A41" s="24">
        <f>IF('ORDENES'!$A19="","",IF('ORDENES'!$O19="","-",'ORDENES'!$O19))</f>
        <v/>
      </c>
      <c r="B41" s="24">
        <f>IF('ORDENES'!$A19="","",IF('ORDENES'!$S19="","-",'ORDENES'!$S19))</f>
        <v/>
      </c>
      <c r="C41" s="24">
        <f>IF('ORDENES'!$A19="","",IF('ORDENES'!$AI19="","-",'ORDENES'!$AI19))</f>
        <v/>
      </c>
      <c r="D41" s="24">
        <f>IF('ORDENES'!$A19="","",IF('ORDENES'!$AA19="","-",'ORDENES'!$AA19))</f>
        <v/>
      </c>
      <c r="E41" s="24">
        <f>IF('ORDENES'!$A19="","",IF('ORDENES'!$Y19="","-",'ORDENES'!$Y19))</f>
        <v/>
      </c>
      <c r="F41" s="24">
        <f>IF('ORDENES'!$A19="","",IF('ORDENES'!$AB19="","-",'ORDENES'!$AB19))</f>
        <v/>
      </c>
      <c r="G41" s="24">
        <f>IF('ORDENES'!$A19="","",IF('ORDENES'!$Z19="","-",'ORDENES'!$Z19))</f>
        <v/>
      </c>
      <c r="H41" s="24">
        <f>IF('ORDENES'!$A19="","",IF('ORDENES'!$AH19="","-",'ORDENES'!$AH19))</f>
        <v/>
      </c>
      <c r="I41" s="24">
        <f>IF('ORDENES'!$A19="","",IF('ORDENES'!$AU19="","-",'ORDENES'!$AU19))</f>
        <v/>
      </c>
      <c r="J41" s="24">
        <f>IF('ORDENES'!$A19="","",IF('ORDENES'!$D19="","-",'ORDENES'!$D19))</f>
        <v/>
      </c>
      <c r="K41" s="24">
        <f>IF('ORDENES'!$A19="","",IF('ORDENES'!$E19="","-",'ORDENES'!$E19))</f>
        <v/>
      </c>
      <c r="L41" s="26">
        <f>IF('ORDENES'!$A19="","",IF('ORDENES'!$M19="",0,'ORDENES'!$M19))</f>
        <v/>
      </c>
      <c r="M41" s="24">
        <f>IF('ORDENES'!$A19="","",IF('ORDENES'!$N19="","-",'ORDENES'!$N19))</f>
        <v/>
      </c>
      <c r="N41" s="24">
        <f>IF('ORDENES'!$A19="","",'ORDENES'!$AG19)</f>
        <v/>
      </c>
      <c r="X41" s="5" t="inlineStr">
        <is>
          <t>2026-S36</t>
        </is>
      </c>
    </row>
    <row r="42">
      <c r="A42" s="24">
        <f>IF('ORDENES'!$A20="","",IF('ORDENES'!$O20="","-",'ORDENES'!$O20))</f>
        <v/>
      </c>
      <c r="B42" s="24">
        <f>IF('ORDENES'!$A20="","",IF('ORDENES'!$S20="","-",'ORDENES'!$S20))</f>
        <v/>
      </c>
      <c r="C42" s="24">
        <f>IF('ORDENES'!$A20="","",IF('ORDENES'!$AI20="","-",'ORDENES'!$AI20))</f>
        <v/>
      </c>
      <c r="D42" s="24">
        <f>IF('ORDENES'!$A20="","",IF('ORDENES'!$AA20="","-",'ORDENES'!$AA20))</f>
        <v/>
      </c>
      <c r="E42" s="24">
        <f>IF('ORDENES'!$A20="","",IF('ORDENES'!$Y20="","-",'ORDENES'!$Y20))</f>
        <v/>
      </c>
      <c r="F42" s="24">
        <f>IF('ORDENES'!$A20="","",IF('ORDENES'!$AB20="","-",'ORDENES'!$AB20))</f>
        <v/>
      </c>
      <c r="G42" s="24">
        <f>IF('ORDENES'!$A20="","",IF('ORDENES'!$Z20="","-",'ORDENES'!$Z20))</f>
        <v/>
      </c>
      <c r="H42" s="24">
        <f>IF('ORDENES'!$A20="","",IF('ORDENES'!$AH20="","-",'ORDENES'!$AH20))</f>
        <v/>
      </c>
      <c r="I42" s="24">
        <f>IF('ORDENES'!$A20="","",IF('ORDENES'!$AU20="","-",'ORDENES'!$AU20))</f>
        <v/>
      </c>
      <c r="J42" s="24">
        <f>IF('ORDENES'!$A20="","",IF('ORDENES'!$D20="","-",'ORDENES'!$D20))</f>
        <v/>
      </c>
      <c r="K42" s="24">
        <f>IF('ORDENES'!$A20="","",IF('ORDENES'!$E20="","-",'ORDENES'!$E20))</f>
        <v/>
      </c>
      <c r="L42" s="26">
        <f>IF('ORDENES'!$A20="","",IF('ORDENES'!$M20="",0,'ORDENES'!$M20))</f>
        <v/>
      </c>
      <c r="M42" s="24">
        <f>IF('ORDENES'!$A20="","",IF('ORDENES'!$N20="","-",'ORDENES'!$N20))</f>
        <v/>
      </c>
      <c r="N42" s="24">
        <f>IF('ORDENES'!$A20="","",'ORDENES'!$AG20)</f>
        <v/>
      </c>
      <c r="X42" s="5" t="inlineStr">
        <is>
          <t>2026-S37</t>
        </is>
      </c>
    </row>
    <row r="43">
      <c r="A43" s="24">
        <f>IF('ORDENES'!$A21="","",IF('ORDENES'!$O21="","-",'ORDENES'!$O21))</f>
        <v/>
      </c>
      <c r="B43" s="24">
        <f>IF('ORDENES'!$A21="","",IF('ORDENES'!$S21="","-",'ORDENES'!$S21))</f>
        <v/>
      </c>
      <c r="C43" s="24">
        <f>IF('ORDENES'!$A21="","",IF('ORDENES'!$AI21="","-",'ORDENES'!$AI21))</f>
        <v/>
      </c>
      <c r="D43" s="24">
        <f>IF('ORDENES'!$A21="","",IF('ORDENES'!$AA21="","-",'ORDENES'!$AA21))</f>
        <v/>
      </c>
      <c r="E43" s="24">
        <f>IF('ORDENES'!$A21="","",IF('ORDENES'!$Y21="","-",'ORDENES'!$Y21))</f>
        <v/>
      </c>
      <c r="F43" s="24">
        <f>IF('ORDENES'!$A21="","",IF('ORDENES'!$AB21="","-",'ORDENES'!$AB21))</f>
        <v/>
      </c>
      <c r="G43" s="24">
        <f>IF('ORDENES'!$A21="","",IF('ORDENES'!$Z21="","-",'ORDENES'!$Z21))</f>
        <v/>
      </c>
      <c r="H43" s="24">
        <f>IF('ORDENES'!$A21="","",IF('ORDENES'!$AH21="","-",'ORDENES'!$AH21))</f>
        <v/>
      </c>
      <c r="I43" s="24">
        <f>IF('ORDENES'!$A21="","",IF('ORDENES'!$AU21="","-",'ORDENES'!$AU21))</f>
        <v/>
      </c>
      <c r="J43" s="24">
        <f>IF('ORDENES'!$A21="","",IF('ORDENES'!$D21="","-",'ORDENES'!$D21))</f>
        <v/>
      </c>
      <c r="K43" s="24">
        <f>IF('ORDENES'!$A21="","",IF('ORDENES'!$E21="","-",'ORDENES'!$E21))</f>
        <v/>
      </c>
      <c r="L43" s="26">
        <f>IF('ORDENES'!$A21="","",IF('ORDENES'!$M21="",0,'ORDENES'!$M21))</f>
        <v/>
      </c>
      <c r="M43" s="24">
        <f>IF('ORDENES'!$A21="","",IF('ORDENES'!$N21="","-",'ORDENES'!$N21))</f>
        <v/>
      </c>
      <c r="N43" s="24">
        <f>IF('ORDENES'!$A21="","",'ORDENES'!$AG21)</f>
        <v/>
      </c>
      <c r="X43" s="5" t="inlineStr">
        <is>
          <t>2026-S38</t>
        </is>
      </c>
    </row>
    <row r="44">
      <c r="A44" s="24">
        <f>IF('ORDENES'!$A22="","",IF('ORDENES'!$O22="","-",'ORDENES'!$O22))</f>
        <v/>
      </c>
      <c r="B44" s="24">
        <f>IF('ORDENES'!$A22="","",IF('ORDENES'!$S22="","-",'ORDENES'!$S22))</f>
        <v/>
      </c>
      <c r="C44" s="24">
        <f>IF('ORDENES'!$A22="","",IF('ORDENES'!$AI22="","-",'ORDENES'!$AI22))</f>
        <v/>
      </c>
      <c r="D44" s="24">
        <f>IF('ORDENES'!$A22="","",IF('ORDENES'!$AA22="","-",'ORDENES'!$AA22))</f>
        <v/>
      </c>
      <c r="E44" s="24">
        <f>IF('ORDENES'!$A22="","",IF('ORDENES'!$Y22="","-",'ORDENES'!$Y22))</f>
        <v/>
      </c>
      <c r="F44" s="24">
        <f>IF('ORDENES'!$A22="","",IF('ORDENES'!$AB22="","-",'ORDENES'!$AB22))</f>
        <v/>
      </c>
      <c r="G44" s="24">
        <f>IF('ORDENES'!$A22="","",IF('ORDENES'!$Z22="","-",'ORDENES'!$Z22))</f>
        <v/>
      </c>
      <c r="H44" s="24">
        <f>IF('ORDENES'!$A22="","",IF('ORDENES'!$AH22="","-",'ORDENES'!$AH22))</f>
        <v/>
      </c>
      <c r="I44" s="24">
        <f>IF('ORDENES'!$A22="","",IF('ORDENES'!$AU22="","-",'ORDENES'!$AU22))</f>
        <v/>
      </c>
      <c r="J44" s="24">
        <f>IF('ORDENES'!$A22="","",IF('ORDENES'!$D22="","-",'ORDENES'!$D22))</f>
        <v/>
      </c>
      <c r="K44" s="24">
        <f>IF('ORDENES'!$A22="","",IF('ORDENES'!$E22="","-",'ORDENES'!$E22))</f>
        <v/>
      </c>
      <c r="L44" s="26">
        <f>IF('ORDENES'!$A22="","",IF('ORDENES'!$M22="",0,'ORDENES'!$M22))</f>
        <v/>
      </c>
      <c r="M44" s="24">
        <f>IF('ORDENES'!$A22="","",IF('ORDENES'!$N22="","-",'ORDENES'!$N22))</f>
        <v/>
      </c>
      <c r="N44" s="24">
        <f>IF('ORDENES'!$A22="","",'ORDENES'!$AG22)</f>
        <v/>
      </c>
      <c r="X44" s="5" t="inlineStr">
        <is>
          <t>2026-S39</t>
        </is>
      </c>
    </row>
    <row r="45">
      <c r="A45" s="24">
        <f>IF('ORDENES'!$A23="","",IF('ORDENES'!$O23="","-",'ORDENES'!$O23))</f>
        <v/>
      </c>
      <c r="B45" s="24">
        <f>IF('ORDENES'!$A23="","",IF('ORDENES'!$S23="","-",'ORDENES'!$S23))</f>
        <v/>
      </c>
      <c r="C45" s="24">
        <f>IF('ORDENES'!$A23="","",IF('ORDENES'!$AI23="","-",'ORDENES'!$AI23))</f>
        <v/>
      </c>
      <c r="D45" s="24">
        <f>IF('ORDENES'!$A23="","",IF('ORDENES'!$AA23="","-",'ORDENES'!$AA23))</f>
        <v/>
      </c>
      <c r="E45" s="24">
        <f>IF('ORDENES'!$A23="","",IF('ORDENES'!$Y23="","-",'ORDENES'!$Y23))</f>
        <v/>
      </c>
      <c r="F45" s="24">
        <f>IF('ORDENES'!$A23="","",IF('ORDENES'!$AB23="","-",'ORDENES'!$AB23))</f>
        <v/>
      </c>
      <c r="G45" s="24">
        <f>IF('ORDENES'!$A23="","",IF('ORDENES'!$Z23="","-",'ORDENES'!$Z23))</f>
        <v/>
      </c>
      <c r="H45" s="24">
        <f>IF('ORDENES'!$A23="","",IF('ORDENES'!$AH23="","-",'ORDENES'!$AH23))</f>
        <v/>
      </c>
      <c r="I45" s="24">
        <f>IF('ORDENES'!$A23="","",IF('ORDENES'!$AU23="","-",'ORDENES'!$AU23))</f>
        <v/>
      </c>
      <c r="J45" s="24">
        <f>IF('ORDENES'!$A23="","",IF('ORDENES'!$D23="","-",'ORDENES'!$D23))</f>
        <v/>
      </c>
      <c r="K45" s="24">
        <f>IF('ORDENES'!$A23="","",IF('ORDENES'!$E23="","-",'ORDENES'!$E23))</f>
        <v/>
      </c>
      <c r="L45" s="26">
        <f>IF('ORDENES'!$A23="","",IF('ORDENES'!$M23="",0,'ORDENES'!$M23))</f>
        <v/>
      </c>
      <c r="M45" s="24">
        <f>IF('ORDENES'!$A23="","",IF('ORDENES'!$N23="","-",'ORDENES'!$N23))</f>
        <v/>
      </c>
      <c r="N45" s="24">
        <f>IF('ORDENES'!$A23="","",'ORDENES'!$AG23)</f>
        <v/>
      </c>
      <c r="X45" s="5" t="inlineStr">
        <is>
          <t>2026-S40</t>
        </is>
      </c>
    </row>
    <row r="46">
      <c r="A46" s="24">
        <f>IF('ORDENES'!$A24="","",IF('ORDENES'!$O24="","-",'ORDENES'!$O24))</f>
        <v/>
      </c>
      <c r="B46" s="24">
        <f>IF('ORDENES'!$A24="","",IF('ORDENES'!$S24="","-",'ORDENES'!$S24))</f>
        <v/>
      </c>
      <c r="C46" s="24">
        <f>IF('ORDENES'!$A24="","",IF('ORDENES'!$AI24="","-",'ORDENES'!$AI24))</f>
        <v/>
      </c>
      <c r="D46" s="24">
        <f>IF('ORDENES'!$A24="","",IF('ORDENES'!$AA24="","-",'ORDENES'!$AA24))</f>
        <v/>
      </c>
      <c r="E46" s="24">
        <f>IF('ORDENES'!$A24="","",IF('ORDENES'!$Y24="","-",'ORDENES'!$Y24))</f>
        <v/>
      </c>
      <c r="F46" s="24">
        <f>IF('ORDENES'!$A24="","",IF('ORDENES'!$AB24="","-",'ORDENES'!$AB24))</f>
        <v/>
      </c>
      <c r="G46" s="24">
        <f>IF('ORDENES'!$A24="","",IF('ORDENES'!$Z24="","-",'ORDENES'!$Z24))</f>
        <v/>
      </c>
      <c r="H46" s="24">
        <f>IF('ORDENES'!$A24="","",IF('ORDENES'!$AH24="","-",'ORDENES'!$AH24))</f>
        <v/>
      </c>
      <c r="I46" s="24">
        <f>IF('ORDENES'!$A24="","",IF('ORDENES'!$AU24="","-",'ORDENES'!$AU24))</f>
        <v/>
      </c>
      <c r="J46" s="24">
        <f>IF('ORDENES'!$A24="","",IF('ORDENES'!$D24="","-",'ORDENES'!$D24))</f>
        <v/>
      </c>
      <c r="K46" s="24">
        <f>IF('ORDENES'!$A24="","",IF('ORDENES'!$E24="","-",'ORDENES'!$E24))</f>
        <v/>
      </c>
      <c r="L46" s="26">
        <f>IF('ORDENES'!$A24="","",IF('ORDENES'!$M24="",0,'ORDENES'!$M24))</f>
        <v/>
      </c>
      <c r="M46" s="24">
        <f>IF('ORDENES'!$A24="","",IF('ORDENES'!$N24="","-",'ORDENES'!$N24))</f>
        <v/>
      </c>
      <c r="N46" s="24">
        <f>IF('ORDENES'!$A24="","",'ORDENES'!$AG24)</f>
        <v/>
      </c>
      <c r="X46" s="5" t="inlineStr">
        <is>
          <t>2026-S41</t>
        </is>
      </c>
    </row>
    <row r="47">
      <c r="A47" s="24">
        <f>IF('ORDENES'!$A25="","",IF('ORDENES'!$O25="","-",'ORDENES'!$O25))</f>
        <v/>
      </c>
      <c r="B47" s="24">
        <f>IF('ORDENES'!$A25="","",IF('ORDENES'!$S25="","-",'ORDENES'!$S25))</f>
        <v/>
      </c>
      <c r="C47" s="24">
        <f>IF('ORDENES'!$A25="","",IF('ORDENES'!$AI25="","-",'ORDENES'!$AI25))</f>
        <v/>
      </c>
      <c r="D47" s="24">
        <f>IF('ORDENES'!$A25="","",IF('ORDENES'!$AA25="","-",'ORDENES'!$AA25))</f>
        <v/>
      </c>
      <c r="E47" s="24">
        <f>IF('ORDENES'!$A25="","",IF('ORDENES'!$Y25="","-",'ORDENES'!$Y25))</f>
        <v/>
      </c>
      <c r="F47" s="24">
        <f>IF('ORDENES'!$A25="","",IF('ORDENES'!$AB25="","-",'ORDENES'!$AB25))</f>
        <v/>
      </c>
      <c r="G47" s="24">
        <f>IF('ORDENES'!$A25="","",IF('ORDENES'!$Z25="","-",'ORDENES'!$Z25))</f>
        <v/>
      </c>
      <c r="H47" s="24">
        <f>IF('ORDENES'!$A25="","",IF('ORDENES'!$AH25="","-",'ORDENES'!$AH25))</f>
        <v/>
      </c>
      <c r="I47" s="24">
        <f>IF('ORDENES'!$A25="","",IF('ORDENES'!$AU25="","-",'ORDENES'!$AU25))</f>
        <v/>
      </c>
      <c r="J47" s="24">
        <f>IF('ORDENES'!$A25="","",IF('ORDENES'!$D25="","-",'ORDENES'!$D25))</f>
        <v/>
      </c>
      <c r="K47" s="24">
        <f>IF('ORDENES'!$A25="","",IF('ORDENES'!$E25="","-",'ORDENES'!$E25))</f>
        <v/>
      </c>
      <c r="L47" s="26">
        <f>IF('ORDENES'!$A25="","",IF('ORDENES'!$M25="",0,'ORDENES'!$M25))</f>
        <v/>
      </c>
      <c r="M47" s="24">
        <f>IF('ORDENES'!$A25="","",IF('ORDENES'!$N25="","-",'ORDENES'!$N25))</f>
        <v/>
      </c>
      <c r="N47" s="24">
        <f>IF('ORDENES'!$A25="","",'ORDENES'!$AG25)</f>
        <v/>
      </c>
      <c r="X47" s="5" t="inlineStr">
        <is>
          <t>2026-S42</t>
        </is>
      </c>
    </row>
    <row r="48">
      <c r="A48" s="24">
        <f>IF('ORDENES'!$A26="","",IF('ORDENES'!$O26="","-",'ORDENES'!$O26))</f>
        <v/>
      </c>
      <c r="B48" s="24">
        <f>IF('ORDENES'!$A26="","",IF('ORDENES'!$S26="","-",'ORDENES'!$S26))</f>
        <v/>
      </c>
      <c r="C48" s="24">
        <f>IF('ORDENES'!$A26="","",IF('ORDENES'!$AI26="","-",'ORDENES'!$AI26))</f>
        <v/>
      </c>
      <c r="D48" s="24">
        <f>IF('ORDENES'!$A26="","",IF('ORDENES'!$AA26="","-",'ORDENES'!$AA26))</f>
        <v/>
      </c>
      <c r="E48" s="24">
        <f>IF('ORDENES'!$A26="","",IF('ORDENES'!$Y26="","-",'ORDENES'!$Y26))</f>
        <v/>
      </c>
      <c r="F48" s="24">
        <f>IF('ORDENES'!$A26="","",IF('ORDENES'!$AB26="","-",'ORDENES'!$AB26))</f>
        <v/>
      </c>
      <c r="G48" s="24">
        <f>IF('ORDENES'!$A26="","",IF('ORDENES'!$Z26="","-",'ORDENES'!$Z26))</f>
        <v/>
      </c>
      <c r="H48" s="24">
        <f>IF('ORDENES'!$A26="","",IF('ORDENES'!$AH26="","-",'ORDENES'!$AH26))</f>
        <v/>
      </c>
      <c r="I48" s="24">
        <f>IF('ORDENES'!$A26="","",IF('ORDENES'!$AU26="","-",'ORDENES'!$AU26))</f>
        <v/>
      </c>
      <c r="J48" s="24">
        <f>IF('ORDENES'!$A26="","",IF('ORDENES'!$D26="","-",'ORDENES'!$D26))</f>
        <v/>
      </c>
      <c r="K48" s="24">
        <f>IF('ORDENES'!$A26="","",IF('ORDENES'!$E26="","-",'ORDENES'!$E26))</f>
        <v/>
      </c>
      <c r="L48" s="26">
        <f>IF('ORDENES'!$A26="","",IF('ORDENES'!$M26="",0,'ORDENES'!$M26))</f>
        <v/>
      </c>
      <c r="M48" s="24">
        <f>IF('ORDENES'!$A26="","",IF('ORDENES'!$N26="","-",'ORDENES'!$N26))</f>
        <v/>
      </c>
      <c r="N48" s="24">
        <f>IF('ORDENES'!$A26="","",'ORDENES'!$AG26)</f>
        <v/>
      </c>
      <c r="X48" s="5" t="inlineStr">
        <is>
          <t>2026-S43</t>
        </is>
      </c>
    </row>
    <row r="49">
      <c r="A49" s="24">
        <f>IF('ORDENES'!$A27="","",IF('ORDENES'!$O27="","-",'ORDENES'!$O27))</f>
        <v/>
      </c>
      <c r="B49" s="24">
        <f>IF('ORDENES'!$A27="","",IF('ORDENES'!$S27="","-",'ORDENES'!$S27))</f>
        <v/>
      </c>
      <c r="C49" s="24">
        <f>IF('ORDENES'!$A27="","",IF('ORDENES'!$AI27="","-",'ORDENES'!$AI27))</f>
        <v/>
      </c>
      <c r="D49" s="24">
        <f>IF('ORDENES'!$A27="","",IF('ORDENES'!$AA27="","-",'ORDENES'!$AA27))</f>
        <v/>
      </c>
      <c r="E49" s="24">
        <f>IF('ORDENES'!$A27="","",IF('ORDENES'!$Y27="","-",'ORDENES'!$Y27))</f>
        <v/>
      </c>
      <c r="F49" s="24">
        <f>IF('ORDENES'!$A27="","",IF('ORDENES'!$AB27="","-",'ORDENES'!$AB27))</f>
        <v/>
      </c>
      <c r="G49" s="24">
        <f>IF('ORDENES'!$A27="","",IF('ORDENES'!$Z27="","-",'ORDENES'!$Z27))</f>
        <v/>
      </c>
      <c r="H49" s="24">
        <f>IF('ORDENES'!$A27="","",IF('ORDENES'!$AH27="","-",'ORDENES'!$AH27))</f>
        <v/>
      </c>
      <c r="I49" s="24">
        <f>IF('ORDENES'!$A27="","",IF('ORDENES'!$AU27="","-",'ORDENES'!$AU27))</f>
        <v/>
      </c>
      <c r="J49" s="24">
        <f>IF('ORDENES'!$A27="","",IF('ORDENES'!$D27="","-",'ORDENES'!$D27))</f>
        <v/>
      </c>
      <c r="K49" s="24">
        <f>IF('ORDENES'!$A27="","",IF('ORDENES'!$E27="","-",'ORDENES'!$E27))</f>
        <v/>
      </c>
      <c r="L49" s="26">
        <f>IF('ORDENES'!$A27="","",IF('ORDENES'!$M27="",0,'ORDENES'!$M27))</f>
        <v/>
      </c>
      <c r="M49" s="24">
        <f>IF('ORDENES'!$A27="","",IF('ORDENES'!$N27="","-",'ORDENES'!$N27))</f>
        <v/>
      </c>
      <c r="N49" s="24">
        <f>IF('ORDENES'!$A27="","",'ORDENES'!$AG27)</f>
        <v/>
      </c>
      <c r="X49" s="5" t="inlineStr">
        <is>
          <t>2026-S44</t>
        </is>
      </c>
    </row>
    <row r="50">
      <c r="A50" s="24">
        <f>IF('ORDENES'!$A28="","",IF('ORDENES'!$O28="","-",'ORDENES'!$O28))</f>
        <v/>
      </c>
      <c r="B50" s="24">
        <f>IF('ORDENES'!$A28="","",IF('ORDENES'!$S28="","-",'ORDENES'!$S28))</f>
        <v/>
      </c>
      <c r="C50" s="24">
        <f>IF('ORDENES'!$A28="","",IF('ORDENES'!$AI28="","-",'ORDENES'!$AI28))</f>
        <v/>
      </c>
      <c r="D50" s="24">
        <f>IF('ORDENES'!$A28="","",IF('ORDENES'!$AA28="","-",'ORDENES'!$AA28))</f>
        <v/>
      </c>
      <c r="E50" s="24">
        <f>IF('ORDENES'!$A28="","",IF('ORDENES'!$Y28="","-",'ORDENES'!$Y28))</f>
        <v/>
      </c>
      <c r="F50" s="24">
        <f>IF('ORDENES'!$A28="","",IF('ORDENES'!$AB28="","-",'ORDENES'!$AB28))</f>
        <v/>
      </c>
      <c r="G50" s="24">
        <f>IF('ORDENES'!$A28="","",IF('ORDENES'!$Z28="","-",'ORDENES'!$Z28))</f>
        <v/>
      </c>
      <c r="H50" s="24">
        <f>IF('ORDENES'!$A28="","",IF('ORDENES'!$AH28="","-",'ORDENES'!$AH28))</f>
        <v/>
      </c>
      <c r="I50" s="24">
        <f>IF('ORDENES'!$A28="","",IF('ORDENES'!$AU28="","-",'ORDENES'!$AU28))</f>
        <v/>
      </c>
      <c r="J50" s="24">
        <f>IF('ORDENES'!$A28="","",IF('ORDENES'!$D28="","-",'ORDENES'!$D28))</f>
        <v/>
      </c>
      <c r="K50" s="24">
        <f>IF('ORDENES'!$A28="","",IF('ORDENES'!$E28="","-",'ORDENES'!$E28))</f>
        <v/>
      </c>
      <c r="L50" s="26">
        <f>IF('ORDENES'!$A28="","",IF('ORDENES'!$M28="",0,'ORDENES'!$M28))</f>
        <v/>
      </c>
      <c r="M50" s="24">
        <f>IF('ORDENES'!$A28="","",IF('ORDENES'!$N28="","-",'ORDENES'!$N28))</f>
        <v/>
      </c>
      <c r="N50" s="24">
        <f>IF('ORDENES'!$A28="","",'ORDENES'!$AG28)</f>
        <v/>
      </c>
      <c r="X50" s="5" t="inlineStr">
        <is>
          <t>2026-S45</t>
        </is>
      </c>
    </row>
    <row r="51">
      <c r="A51" s="24">
        <f>IF('ORDENES'!$A29="","",IF('ORDENES'!$O29="","-",'ORDENES'!$O29))</f>
        <v/>
      </c>
      <c r="B51" s="24">
        <f>IF('ORDENES'!$A29="","",IF('ORDENES'!$S29="","-",'ORDENES'!$S29))</f>
        <v/>
      </c>
      <c r="C51" s="24">
        <f>IF('ORDENES'!$A29="","",IF('ORDENES'!$AI29="","-",'ORDENES'!$AI29))</f>
        <v/>
      </c>
      <c r="D51" s="24">
        <f>IF('ORDENES'!$A29="","",IF('ORDENES'!$AA29="","-",'ORDENES'!$AA29))</f>
        <v/>
      </c>
      <c r="E51" s="24">
        <f>IF('ORDENES'!$A29="","",IF('ORDENES'!$Y29="","-",'ORDENES'!$Y29))</f>
        <v/>
      </c>
      <c r="F51" s="24">
        <f>IF('ORDENES'!$A29="","",IF('ORDENES'!$AB29="","-",'ORDENES'!$AB29))</f>
        <v/>
      </c>
      <c r="G51" s="24">
        <f>IF('ORDENES'!$A29="","",IF('ORDENES'!$Z29="","-",'ORDENES'!$Z29))</f>
        <v/>
      </c>
      <c r="H51" s="24">
        <f>IF('ORDENES'!$A29="","",IF('ORDENES'!$AH29="","-",'ORDENES'!$AH29))</f>
        <v/>
      </c>
      <c r="I51" s="24">
        <f>IF('ORDENES'!$A29="","",IF('ORDENES'!$AU29="","-",'ORDENES'!$AU29))</f>
        <v/>
      </c>
      <c r="J51" s="24">
        <f>IF('ORDENES'!$A29="","",IF('ORDENES'!$D29="","-",'ORDENES'!$D29))</f>
        <v/>
      </c>
      <c r="K51" s="24">
        <f>IF('ORDENES'!$A29="","",IF('ORDENES'!$E29="","-",'ORDENES'!$E29))</f>
        <v/>
      </c>
      <c r="L51" s="26">
        <f>IF('ORDENES'!$A29="","",IF('ORDENES'!$M29="",0,'ORDENES'!$M29))</f>
        <v/>
      </c>
      <c r="M51" s="24">
        <f>IF('ORDENES'!$A29="","",IF('ORDENES'!$N29="","-",'ORDENES'!$N29))</f>
        <v/>
      </c>
      <c r="N51" s="24">
        <f>IF('ORDENES'!$A29="","",'ORDENES'!$AG29)</f>
        <v/>
      </c>
      <c r="X51" s="5" t="inlineStr">
        <is>
          <t>2026-S46</t>
        </is>
      </c>
    </row>
    <row r="52">
      <c r="A52" s="24">
        <f>IF('ORDENES'!$A30="","",IF('ORDENES'!$O30="","-",'ORDENES'!$O30))</f>
        <v/>
      </c>
      <c r="B52" s="24">
        <f>IF('ORDENES'!$A30="","",IF('ORDENES'!$S30="","-",'ORDENES'!$S30))</f>
        <v/>
      </c>
      <c r="C52" s="24">
        <f>IF('ORDENES'!$A30="","",IF('ORDENES'!$AI30="","-",'ORDENES'!$AI30))</f>
        <v/>
      </c>
      <c r="D52" s="24">
        <f>IF('ORDENES'!$A30="","",IF('ORDENES'!$AA30="","-",'ORDENES'!$AA30))</f>
        <v/>
      </c>
      <c r="E52" s="24">
        <f>IF('ORDENES'!$A30="","",IF('ORDENES'!$Y30="","-",'ORDENES'!$Y30))</f>
        <v/>
      </c>
      <c r="F52" s="24">
        <f>IF('ORDENES'!$A30="","",IF('ORDENES'!$AB30="","-",'ORDENES'!$AB30))</f>
        <v/>
      </c>
      <c r="G52" s="24">
        <f>IF('ORDENES'!$A30="","",IF('ORDENES'!$Z30="","-",'ORDENES'!$Z30))</f>
        <v/>
      </c>
      <c r="H52" s="24">
        <f>IF('ORDENES'!$A30="","",IF('ORDENES'!$AH30="","-",'ORDENES'!$AH30))</f>
        <v/>
      </c>
      <c r="I52" s="24">
        <f>IF('ORDENES'!$A30="","",IF('ORDENES'!$AU30="","-",'ORDENES'!$AU30))</f>
        <v/>
      </c>
      <c r="J52" s="24">
        <f>IF('ORDENES'!$A30="","",IF('ORDENES'!$D30="","-",'ORDENES'!$D30))</f>
        <v/>
      </c>
      <c r="K52" s="24">
        <f>IF('ORDENES'!$A30="","",IF('ORDENES'!$E30="","-",'ORDENES'!$E30))</f>
        <v/>
      </c>
      <c r="L52" s="26">
        <f>IF('ORDENES'!$A30="","",IF('ORDENES'!$M30="",0,'ORDENES'!$M30))</f>
        <v/>
      </c>
      <c r="M52" s="24">
        <f>IF('ORDENES'!$A30="","",IF('ORDENES'!$N30="","-",'ORDENES'!$N30))</f>
        <v/>
      </c>
      <c r="N52" s="24">
        <f>IF('ORDENES'!$A30="","",'ORDENES'!$AG30)</f>
        <v/>
      </c>
      <c r="X52" s="5" t="inlineStr">
        <is>
          <t>2026-S47</t>
        </is>
      </c>
    </row>
    <row r="53">
      <c r="A53" s="24">
        <f>IF('ORDENES'!$A31="","",IF('ORDENES'!$O31="","-",'ORDENES'!$O31))</f>
        <v/>
      </c>
      <c r="B53" s="24">
        <f>IF('ORDENES'!$A31="","",IF('ORDENES'!$S31="","-",'ORDENES'!$S31))</f>
        <v/>
      </c>
      <c r="C53" s="24">
        <f>IF('ORDENES'!$A31="","",IF('ORDENES'!$AI31="","-",'ORDENES'!$AI31))</f>
        <v/>
      </c>
      <c r="D53" s="24">
        <f>IF('ORDENES'!$A31="","",IF('ORDENES'!$AA31="","-",'ORDENES'!$AA31))</f>
        <v/>
      </c>
      <c r="E53" s="24">
        <f>IF('ORDENES'!$A31="","",IF('ORDENES'!$Y31="","-",'ORDENES'!$Y31))</f>
        <v/>
      </c>
      <c r="F53" s="24">
        <f>IF('ORDENES'!$A31="","",IF('ORDENES'!$AB31="","-",'ORDENES'!$AB31))</f>
        <v/>
      </c>
      <c r="G53" s="24">
        <f>IF('ORDENES'!$A31="","",IF('ORDENES'!$Z31="","-",'ORDENES'!$Z31))</f>
        <v/>
      </c>
      <c r="H53" s="24">
        <f>IF('ORDENES'!$A31="","",IF('ORDENES'!$AH31="","-",'ORDENES'!$AH31))</f>
        <v/>
      </c>
      <c r="I53" s="24">
        <f>IF('ORDENES'!$A31="","",IF('ORDENES'!$AU31="","-",'ORDENES'!$AU31))</f>
        <v/>
      </c>
      <c r="J53" s="24">
        <f>IF('ORDENES'!$A31="","",IF('ORDENES'!$D31="","-",'ORDENES'!$D31))</f>
        <v/>
      </c>
      <c r="K53" s="24">
        <f>IF('ORDENES'!$A31="","",IF('ORDENES'!$E31="","-",'ORDENES'!$E31))</f>
        <v/>
      </c>
      <c r="L53" s="26">
        <f>IF('ORDENES'!$A31="","",IF('ORDENES'!$M31="",0,'ORDENES'!$M31))</f>
        <v/>
      </c>
      <c r="M53" s="24">
        <f>IF('ORDENES'!$A31="","",IF('ORDENES'!$N31="","-",'ORDENES'!$N31))</f>
        <v/>
      </c>
      <c r="N53" s="24">
        <f>IF('ORDENES'!$A31="","",'ORDENES'!$AG31)</f>
        <v/>
      </c>
      <c r="X53" s="5" t="inlineStr">
        <is>
          <t>2026-S48</t>
        </is>
      </c>
    </row>
    <row r="54">
      <c r="A54" s="24">
        <f>IF('ORDENES'!$A32="","",IF('ORDENES'!$O32="","-",'ORDENES'!$O32))</f>
        <v/>
      </c>
      <c r="B54" s="24">
        <f>IF('ORDENES'!$A32="","",IF('ORDENES'!$S32="","-",'ORDENES'!$S32))</f>
        <v/>
      </c>
      <c r="C54" s="24">
        <f>IF('ORDENES'!$A32="","",IF('ORDENES'!$AI32="","-",'ORDENES'!$AI32))</f>
        <v/>
      </c>
      <c r="D54" s="24">
        <f>IF('ORDENES'!$A32="","",IF('ORDENES'!$AA32="","-",'ORDENES'!$AA32))</f>
        <v/>
      </c>
      <c r="E54" s="24">
        <f>IF('ORDENES'!$A32="","",IF('ORDENES'!$Y32="","-",'ORDENES'!$Y32))</f>
        <v/>
      </c>
      <c r="F54" s="24">
        <f>IF('ORDENES'!$A32="","",IF('ORDENES'!$AB32="","-",'ORDENES'!$AB32))</f>
        <v/>
      </c>
      <c r="G54" s="24">
        <f>IF('ORDENES'!$A32="","",IF('ORDENES'!$Z32="","-",'ORDENES'!$Z32))</f>
        <v/>
      </c>
      <c r="H54" s="24">
        <f>IF('ORDENES'!$A32="","",IF('ORDENES'!$AH32="","-",'ORDENES'!$AH32))</f>
        <v/>
      </c>
      <c r="I54" s="24">
        <f>IF('ORDENES'!$A32="","",IF('ORDENES'!$AU32="","-",'ORDENES'!$AU32))</f>
        <v/>
      </c>
      <c r="J54" s="24">
        <f>IF('ORDENES'!$A32="","",IF('ORDENES'!$D32="","-",'ORDENES'!$D32))</f>
        <v/>
      </c>
      <c r="K54" s="24">
        <f>IF('ORDENES'!$A32="","",IF('ORDENES'!$E32="","-",'ORDENES'!$E32))</f>
        <v/>
      </c>
      <c r="L54" s="26">
        <f>IF('ORDENES'!$A32="","",IF('ORDENES'!$M32="",0,'ORDENES'!$M32))</f>
        <v/>
      </c>
      <c r="M54" s="24">
        <f>IF('ORDENES'!$A32="","",IF('ORDENES'!$N32="","-",'ORDENES'!$N32))</f>
        <v/>
      </c>
      <c r="N54" s="24">
        <f>IF('ORDENES'!$A32="","",'ORDENES'!$AG32)</f>
        <v/>
      </c>
      <c r="X54" s="5" t="inlineStr">
        <is>
          <t>2026-S49</t>
        </is>
      </c>
    </row>
    <row r="55">
      <c r="A55" s="24">
        <f>IF('ORDENES'!$A33="","",IF('ORDENES'!$O33="","-",'ORDENES'!$O33))</f>
        <v/>
      </c>
      <c r="B55" s="24">
        <f>IF('ORDENES'!$A33="","",IF('ORDENES'!$S33="","-",'ORDENES'!$S33))</f>
        <v/>
      </c>
      <c r="C55" s="24">
        <f>IF('ORDENES'!$A33="","",IF('ORDENES'!$AI33="","-",'ORDENES'!$AI33))</f>
        <v/>
      </c>
      <c r="D55" s="24">
        <f>IF('ORDENES'!$A33="","",IF('ORDENES'!$AA33="","-",'ORDENES'!$AA33))</f>
        <v/>
      </c>
      <c r="E55" s="24">
        <f>IF('ORDENES'!$A33="","",IF('ORDENES'!$Y33="","-",'ORDENES'!$Y33))</f>
        <v/>
      </c>
      <c r="F55" s="24">
        <f>IF('ORDENES'!$A33="","",IF('ORDENES'!$AB33="","-",'ORDENES'!$AB33))</f>
        <v/>
      </c>
      <c r="G55" s="24">
        <f>IF('ORDENES'!$A33="","",IF('ORDENES'!$Z33="","-",'ORDENES'!$Z33))</f>
        <v/>
      </c>
      <c r="H55" s="24">
        <f>IF('ORDENES'!$A33="","",IF('ORDENES'!$AH33="","-",'ORDENES'!$AH33))</f>
        <v/>
      </c>
      <c r="I55" s="24">
        <f>IF('ORDENES'!$A33="","",IF('ORDENES'!$AU33="","-",'ORDENES'!$AU33))</f>
        <v/>
      </c>
      <c r="J55" s="24">
        <f>IF('ORDENES'!$A33="","",IF('ORDENES'!$D33="","-",'ORDENES'!$D33))</f>
        <v/>
      </c>
      <c r="K55" s="24">
        <f>IF('ORDENES'!$A33="","",IF('ORDENES'!$E33="","-",'ORDENES'!$E33))</f>
        <v/>
      </c>
      <c r="L55" s="26">
        <f>IF('ORDENES'!$A33="","",IF('ORDENES'!$M33="",0,'ORDENES'!$M33))</f>
        <v/>
      </c>
      <c r="M55" s="24">
        <f>IF('ORDENES'!$A33="","",IF('ORDENES'!$N33="","-",'ORDENES'!$N33))</f>
        <v/>
      </c>
      <c r="N55" s="24">
        <f>IF('ORDENES'!$A33="","",'ORDENES'!$AG33)</f>
        <v/>
      </c>
      <c r="X55" s="5" t="inlineStr">
        <is>
          <t>2026-S50</t>
        </is>
      </c>
    </row>
    <row r="56">
      <c r="A56" s="24">
        <f>IF('ORDENES'!$A34="","",IF('ORDENES'!$O34="","-",'ORDENES'!$O34))</f>
        <v/>
      </c>
      <c r="B56" s="24">
        <f>IF('ORDENES'!$A34="","",IF('ORDENES'!$S34="","-",'ORDENES'!$S34))</f>
        <v/>
      </c>
      <c r="C56" s="24">
        <f>IF('ORDENES'!$A34="","",IF('ORDENES'!$AI34="","-",'ORDENES'!$AI34))</f>
        <v/>
      </c>
      <c r="D56" s="24">
        <f>IF('ORDENES'!$A34="","",IF('ORDENES'!$AA34="","-",'ORDENES'!$AA34))</f>
        <v/>
      </c>
      <c r="E56" s="24">
        <f>IF('ORDENES'!$A34="","",IF('ORDENES'!$Y34="","-",'ORDENES'!$Y34))</f>
        <v/>
      </c>
      <c r="F56" s="24">
        <f>IF('ORDENES'!$A34="","",IF('ORDENES'!$AB34="","-",'ORDENES'!$AB34))</f>
        <v/>
      </c>
      <c r="G56" s="24">
        <f>IF('ORDENES'!$A34="","",IF('ORDENES'!$Z34="","-",'ORDENES'!$Z34))</f>
        <v/>
      </c>
      <c r="H56" s="24">
        <f>IF('ORDENES'!$A34="","",IF('ORDENES'!$AH34="","-",'ORDENES'!$AH34))</f>
        <v/>
      </c>
      <c r="I56" s="24">
        <f>IF('ORDENES'!$A34="","",IF('ORDENES'!$AU34="","-",'ORDENES'!$AU34))</f>
        <v/>
      </c>
      <c r="J56" s="24">
        <f>IF('ORDENES'!$A34="","",IF('ORDENES'!$D34="","-",'ORDENES'!$D34))</f>
        <v/>
      </c>
      <c r="K56" s="24">
        <f>IF('ORDENES'!$A34="","",IF('ORDENES'!$E34="","-",'ORDENES'!$E34))</f>
        <v/>
      </c>
      <c r="L56" s="26">
        <f>IF('ORDENES'!$A34="","",IF('ORDENES'!$M34="",0,'ORDENES'!$M34))</f>
        <v/>
      </c>
      <c r="M56" s="24">
        <f>IF('ORDENES'!$A34="","",IF('ORDENES'!$N34="","-",'ORDENES'!$N34))</f>
        <v/>
      </c>
      <c r="N56" s="24">
        <f>IF('ORDENES'!$A34="","",'ORDENES'!$AG34)</f>
        <v/>
      </c>
      <c r="X56" s="5" t="inlineStr">
        <is>
          <t>2026-S51</t>
        </is>
      </c>
    </row>
    <row r="57">
      <c r="A57" s="24">
        <f>IF('ORDENES'!$A35="","",IF('ORDENES'!$O35="","-",'ORDENES'!$O35))</f>
        <v/>
      </c>
      <c r="B57" s="24">
        <f>IF('ORDENES'!$A35="","",IF('ORDENES'!$S35="","-",'ORDENES'!$S35))</f>
        <v/>
      </c>
      <c r="C57" s="24">
        <f>IF('ORDENES'!$A35="","",IF('ORDENES'!$AI35="","-",'ORDENES'!$AI35))</f>
        <v/>
      </c>
      <c r="D57" s="24">
        <f>IF('ORDENES'!$A35="","",IF('ORDENES'!$AA35="","-",'ORDENES'!$AA35))</f>
        <v/>
      </c>
      <c r="E57" s="24">
        <f>IF('ORDENES'!$A35="","",IF('ORDENES'!$Y35="","-",'ORDENES'!$Y35))</f>
        <v/>
      </c>
      <c r="F57" s="24">
        <f>IF('ORDENES'!$A35="","",IF('ORDENES'!$AB35="","-",'ORDENES'!$AB35))</f>
        <v/>
      </c>
      <c r="G57" s="24">
        <f>IF('ORDENES'!$A35="","",IF('ORDENES'!$Z35="","-",'ORDENES'!$Z35))</f>
        <v/>
      </c>
      <c r="H57" s="24">
        <f>IF('ORDENES'!$A35="","",IF('ORDENES'!$AH35="","-",'ORDENES'!$AH35))</f>
        <v/>
      </c>
      <c r="I57" s="24">
        <f>IF('ORDENES'!$A35="","",IF('ORDENES'!$AU35="","-",'ORDENES'!$AU35))</f>
        <v/>
      </c>
      <c r="J57" s="24">
        <f>IF('ORDENES'!$A35="","",IF('ORDENES'!$D35="","-",'ORDENES'!$D35))</f>
        <v/>
      </c>
      <c r="K57" s="24">
        <f>IF('ORDENES'!$A35="","",IF('ORDENES'!$E35="","-",'ORDENES'!$E35))</f>
        <v/>
      </c>
      <c r="L57" s="26">
        <f>IF('ORDENES'!$A35="","",IF('ORDENES'!$M35="",0,'ORDENES'!$M35))</f>
        <v/>
      </c>
      <c r="M57" s="24">
        <f>IF('ORDENES'!$A35="","",IF('ORDENES'!$N35="","-",'ORDENES'!$N35))</f>
        <v/>
      </c>
      <c r="N57" s="24">
        <f>IF('ORDENES'!$A35="","",'ORDENES'!$AG35)</f>
        <v/>
      </c>
      <c r="X57" s="5" t="inlineStr">
        <is>
          <t>2026-S52</t>
        </is>
      </c>
    </row>
    <row r="58">
      <c r="A58" s="24">
        <f>IF('ORDENES'!$A36="","",IF('ORDENES'!$O36="","-",'ORDENES'!$O36))</f>
        <v/>
      </c>
      <c r="B58" s="24">
        <f>IF('ORDENES'!$A36="","",IF('ORDENES'!$S36="","-",'ORDENES'!$S36))</f>
        <v/>
      </c>
      <c r="C58" s="24">
        <f>IF('ORDENES'!$A36="","",IF('ORDENES'!$AI36="","-",'ORDENES'!$AI36))</f>
        <v/>
      </c>
      <c r="D58" s="24">
        <f>IF('ORDENES'!$A36="","",IF('ORDENES'!$AA36="","-",'ORDENES'!$AA36))</f>
        <v/>
      </c>
      <c r="E58" s="24">
        <f>IF('ORDENES'!$A36="","",IF('ORDENES'!$Y36="","-",'ORDENES'!$Y36))</f>
        <v/>
      </c>
      <c r="F58" s="24">
        <f>IF('ORDENES'!$A36="","",IF('ORDENES'!$AB36="","-",'ORDENES'!$AB36))</f>
        <v/>
      </c>
      <c r="G58" s="24">
        <f>IF('ORDENES'!$A36="","",IF('ORDENES'!$Z36="","-",'ORDENES'!$Z36))</f>
        <v/>
      </c>
      <c r="H58" s="24">
        <f>IF('ORDENES'!$A36="","",IF('ORDENES'!$AH36="","-",'ORDENES'!$AH36))</f>
        <v/>
      </c>
      <c r="I58" s="24">
        <f>IF('ORDENES'!$A36="","",IF('ORDENES'!$AU36="","-",'ORDENES'!$AU36))</f>
        <v/>
      </c>
      <c r="J58" s="24">
        <f>IF('ORDENES'!$A36="","",IF('ORDENES'!$D36="","-",'ORDENES'!$D36))</f>
        <v/>
      </c>
      <c r="K58" s="24">
        <f>IF('ORDENES'!$A36="","",IF('ORDENES'!$E36="","-",'ORDENES'!$E36))</f>
        <v/>
      </c>
      <c r="L58" s="26">
        <f>IF('ORDENES'!$A36="","",IF('ORDENES'!$M36="",0,'ORDENES'!$M36))</f>
        <v/>
      </c>
      <c r="M58" s="24">
        <f>IF('ORDENES'!$A36="","",IF('ORDENES'!$N36="","-",'ORDENES'!$N36))</f>
        <v/>
      </c>
      <c r="N58" s="24">
        <f>IF('ORDENES'!$A36="","",'ORDENES'!$AG36)</f>
        <v/>
      </c>
      <c r="X58" s="5" t="inlineStr">
        <is>
          <t>2026-S53</t>
        </is>
      </c>
    </row>
    <row r="59">
      <c r="A59" s="24">
        <f>IF('ORDENES'!$A37="","",IF('ORDENES'!$O37="","-",'ORDENES'!$O37))</f>
        <v/>
      </c>
      <c r="B59" s="24">
        <f>IF('ORDENES'!$A37="","",IF('ORDENES'!$S37="","-",'ORDENES'!$S37))</f>
        <v/>
      </c>
      <c r="C59" s="24">
        <f>IF('ORDENES'!$A37="","",IF('ORDENES'!$AI37="","-",'ORDENES'!$AI37))</f>
        <v/>
      </c>
      <c r="D59" s="24">
        <f>IF('ORDENES'!$A37="","",IF('ORDENES'!$AA37="","-",'ORDENES'!$AA37))</f>
        <v/>
      </c>
      <c r="E59" s="24">
        <f>IF('ORDENES'!$A37="","",IF('ORDENES'!$Y37="","-",'ORDENES'!$Y37))</f>
        <v/>
      </c>
      <c r="F59" s="24">
        <f>IF('ORDENES'!$A37="","",IF('ORDENES'!$AB37="","-",'ORDENES'!$AB37))</f>
        <v/>
      </c>
      <c r="G59" s="24">
        <f>IF('ORDENES'!$A37="","",IF('ORDENES'!$Z37="","-",'ORDENES'!$Z37))</f>
        <v/>
      </c>
      <c r="H59" s="24">
        <f>IF('ORDENES'!$A37="","",IF('ORDENES'!$AH37="","-",'ORDENES'!$AH37))</f>
        <v/>
      </c>
      <c r="I59" s="24">
        <f>IF('ORDENES'!$A37="","",IF('ORDENES'!$AU37="","-",'ORDENES'!$AU37))</f>
        <v/>
      </c>
      <c r="J59" s="24">
        <f>IF('ORDENES'!$A37="","",IF('ORDENES'!$D37="","-",'ORDENES'!$D37))</f>
        <v/>
      </c>
      <c r="K59" s="24">
        <f>IF('ORDENES'!$A37="","",IF('ORDENES'!$E37="","-",'ORDENES'!$E37))</f>
        <v/>
      </c>
      <c r="L59" s="26">
        <f>IF('ORDENES'!$A37="","",IF('ORDENES'!$M37="",0,'ORDENES'!$M37))</f>
        <v/>
      </c>
      <c r="M59" s="24">
        <f>IF('ORDENES'!$A37="","",IF('ORDENES'!$N37="","-",'ORDENES'!$N37))</f>
        <v/>
      </c>
      <c r="N59" s="24">
        <f>IF('ORDENES'!$A37="","",'ORDENES'!$AG37)</f>
        <v/>
      </c>
      <c r="X59" s="5" t="inlineStr">
        <is>
          <t>2027-S01</t>
        </is>
      </c>
    </row>
    <row r="60">
      <c r="A60" s="24">
        <f>IF('ORDENES'!$A38="","",IF('ORDENES'!$O38="","-",'ORDENES'!$O38))</f>
        <v/>
      </c>
      <c r="B60" s="24">
        <f>IF('ORDENES'!$A38="","",IF('ORDENES'!$S38="","-",'ORDENES'!$S38))</f>
        <v/>
      </c>
      <c r="C60" s="24">
        <f>IF('ORDENES'!$A38="","",IF('ORDENES'!$AI38="","-",'ORDENES'!$AI38))</f>
        <v/>
      </c>
      <c r="D60" s="24">
        <f>IF('ORDENES'!$A38="","",IF('ORDENES'!$AA38="","-",'ORDENES'!$AA38))</f>
        <v/>
      </c>
      <c r="E60" s="24">
        <f>IF('ORDENES'!$A38="","",IF('ORDENES'!$Y38="","-",'ORDENES'!$Y38))</f>
        <v/>
      </c>
      <c r="F60" s="24">
        <f>IF('ORDENES'!$A38="","",IF('ORDENES'!$AB38="","-",'ORDENES'!$AB38))</f>
        <v/>
      </c>
      <c r="G60" s="24">
        <f>IF('ORDENES'!$A38="","",IF('ORDENES'!$Z38="","-",'ORDENES'!$Z38))</f>
        <v/>
      </c>
      <c r="H60" s="24">
        <f>IF('ORDENES'!$A38="","",IF('ORDENES'!$AH38="","-",'ORDENES'!$AH38))</f>
        <v/>
      </c>
      <c r="I60" s="24">
        <f>IF('ORDENES'!$A38="","",IF('ORDENES'!$AU38="","-",'ORDENES'!$AU38))</f>
        <v/>
      </c>
      <c r="J60" s="24">
        <f>IF('ORDENES'!$A38="","",IF('ORDENES'!$D38="","-",'ORDENES'!$D38))</f>
        <v/>
      </c>
      <c r="K60" s="24">
        <f>IF('ORDENES'!$A38="","",IF('ORDENES'!$E38="","-",'ORDENES'!$E38))</f>
        <v/>
      </c>
      <c r="L60" s="26">
        <f>IF('ORDENES'!$A38="","",IF('ORDENES'!$M38="",0,'ORDENES'!$M38))</f>
        <v/>
      </c>
      <c r="M60" s="24">
        <f>IF('ORDENES'!$A38="","",IF('ORDENES'!$N38="","-",'ORDENES'!$N38))</f>
        <v/>
      </c>
      <c r="N60" s="24">
        <f>IF('ORDENES'!$A38="","",'ORDENES'!$AG38)</f>
        <v/>
      </c>
      <c r="X60" s="5" t="inlineStr">
        <is>
          <t>2027-S02</t>
        </is>
      </c>
    </row>
    <row r="61">
      <c r="A61" s="24">
        <f>IF('ORDENES'!$A39="","",IF('ORDENES'!$O39="","-",'ORDENES'!$O39))</f>
        <v/>
      </c>
      <c r="B61" s="24">
        <f>IF('ORDENES'!$A39="","",IF('ORDENES'!$S39="","-",'ORDENES'!$S39))</f>
        <v/>
      </c>
      <c r="C61" s="24">
        <f>IF('ORDENES'!$A39="","",IF('ORDENES'!$AI39="","-",'ORDENES'!$AI39))</f>
        <v/>
      </c>
      <c r="D61" s="24">
        <f>IF('ORDENES'!$A39="","",IF('ORDENES'!$AA39="","-",'ORDENES'!$AA39))</f>
        <v/>
      </c>
      <c r="E61" s="24">
        <f>IF('ORDENES'!$A39="","",IF('ORDENES'!$Y39="","-",'ORDENES'!$Y39))</f>
        <v/>
      </c>
      <c r="F61" s="24">
        <f>IF('ORDENES'!$A39="","",IF('ORDENES'!$AB39="","-",'ORDENES'!$AB39))</f>
        <v/>
      </c>
      <c r="G61" s="24">
        <f>IF('ORDENES'!$A39="","",IF('ORDENES'!$Z39="","-",'ORDENES'!$Z39))</f>
        <v/>
      </c>
      <c r="H61" s="24">
        <f>IF('ORDENES'!$A39="","",IF('ORDENES'!$AH39="","-",'ORDENES'!$AH39))</f>
        <v/>
      </c>
      <c r="I61" s="24">
        <f>IF('ORDENES'!$A39="","",IF('ORDENES'!$AU39="","-",'ORDENES'!$AU39))</f>
        <v/>
      </c>
      <c r="J61" s="24">
        <f>IF('ORDENES'!$A39="","",IF('ORDENES'!$D39="","-",'ORDENES'!$D39))</f>
        <v/>
      </c>
      <c r="K61" s="24">
        <f>IF('ORDENES'!$A39="","",IF('ORDENES'!$E39="","-",'ORDENES'!$E39))</f>
        <v/>
      </c>
      <c r="L61" s="26">
        <f>IF('ORDENES'!$A39="","",IF('ORDENES'!$M39="",0,'ORDENES'!$M39))</f>
        <v/>
      </c>
      <c r="M61" s="24">
        <f>IF('ORDENES'!$A39="","",IF('ORDENES'!$N39="","-",'ORDENES'!$N39))</f>
        <v/>
      </c>
      <c r="N61" s="24">
        <f>IF('ORDENES'!$A39="","",'ORDENES'!$AG39)</f>
        <v/>
      </c>
    </row>
    <row r="62">
      <c r="A62" s="24">
        <f>IF('ORDENES'!$A40="","",IF('ORDENES'!$O40="","-",'ORDENES'!$O40))</f>
        <v/>
      </c>
      <c r="B62" s="24">
        <f>IF('ORDENES'!$A40="","",IF('ORDENES'!$S40="","-",'ORDENES'!$S40))</f>
        <v/>
      </c>
      <c r="C62" s="24">
        <f>IF('ORDENES'!$A40="","",IF('ORDENES'!$AI40="","-",'ORDENES'!$AI40))</f>
        <v/>
      </c>
      <c r="D62" s="24">
        <f>IF('ORDENES'!$A40="","",IF('ORDENES'!$AA40="","-",'ORDENES'!$AA40))</f>
        <v/>
      </c>
      <c r="E62" s="24">
        <f>IF('ORDENES'!$A40="","",IF('ORDENES'!$Y40="","-",'ORDENES'!$Y40))</f>
        <v/>
      </c>
      <c r="F62" s="24">
        <f>IF('ORDENES'!$A40="","",IF('ORDENES'!$AB40="","-",'ORDENES'!$AB40))</f>
        <v/>
      </c>
      <c r="G62" s="24">
        <f>IF('ORDENES'!$A40="","",IF('ORDENES'!$Z40="","-",'ORDENES'!$Z40))</f>
        <v/>
      </c>
      <c r="H62" s="24">
        <f>IF('ORDENES'!$A40="","",IF('ORDENES'!$AH40="","-",'ORDENES'!$AH40))</f>
        <v/>
      </c>
      <c r="I62" s="24">
        <f>IF('ORDENES'!$A40="","",IF('ORDENES'!$AU40="","-",'ORDENES'!$AU40))</f>
        <v/>
      </c>
      <c r="J62" s="24">
        <f>IF('ORDENES'!$A40="","",IF('ORDENES'!$D40="","-",'ORDENES'!$D40))</f>
        <v/>
      </c>
      <c r="K62" s="24">
        <f>IF('ORDENES'!$A40="","",IF('ORDENES'!$E40="","-",'ORDENES'!$E40))</f>
        <v/>
      </c>
      <c r="L62" s="26">
        <f>IF('ORDENES'!$A40="","",IF('ORDENES'!$M40="",0,'ORDENES'!$M40))</f>
        <v/>
      </c>
      <c r="M62" s="24">
        <f>IF('ORDENES'!$A40="","",IF('ORDENES'!$N40="","-",'ORDENES'!$N40))</f>
        <v/>
      </c>
      <c r="N62" s="24">
        <f>IF('ORDENES'!$A40="","",'ORDENES'!$AG40)</f>
        <v/>
      </c>
    </row>
    <row r="63">
      <c r="A63" s="24">
        <f>IF('ORDENES'!$A41="","",IF('ORDENES'!$O41="","-",'ORDENES'!$O41))</f>
        <v/>
      </c>
      <c r="B63" s="24">
        <f>IF('ORDENES'!$A41="","",IF('ORDENES'!$S41="","-",'ORDENES'!$S41))</f>
        <v/>
      </c>
      <c r="C63" s="24">
        <f>IF('ORDENES'!$A41="","",IF('ORDENES'!$AI41="","-",'ORDENES'!$AI41))</f>
        <v/>
      </c>
      <c r="D63" s="24">
        <f>IF('ORDENES'!$A41="","",IF('ORDENES'!$AA41="","-",'ORDENES'!$AA41))</f>
        <v/>
      </c>
      <c r="E63" s="24">
        <f>IF('ORDENES'!$A41="","",IF('ORDENES'!$Y41="","-",'ORDENES'!$Y41))</f>
        <v/>
      </c>
      <c r="F63" s="24">
        <f>IF('ORDENES'!$A41="","",IF('ORDENES'!$AB41="","-",'ORDENES'!$AB41))</f>
        <v/>
      </c>
      <c r="G63" s="24">
        <f>IF('ORDENES'!$A41="","",IF('ORDENES'!$Z41="","-",'ORDENES'!$Z41))</f>
        <v/>
      </c>
      <c r="H63" s="24">
        <f>IF('ORDENES'!$A41="","",IF('ORDENES'!$AH41="","-",'ORDENES'!$AH41))</f>
        <v/>
      </c>
      <c r="I63" s="24">
        <f>IF('ORDENES'!$A41="","",IF('ORDENES'!$AU41="","-",'ORDENES'!$AU41))</f>
        <v/>
      </c>
      <c r="J63" s="24">
        <f>IF('ORDENES'!$A41="","",IF('ORDENES'!$D41="","-",'ORDENES'!$D41))</f>
        <v/>
      </c>
      <c r="K63" s="24">
        <f>IF('ORDENES'!$A41="","",IF('ORDENES'!$E41="","-",'ORDENES'!$E41))</f>
        <v/>
      </c>
      <c r="L63" s="26">
        <f>IF('ORDENES'!$A41="","",IF('ORDENES'!$M41="",0,'ORDENES'!$M41))</f>
        <v/>
      </c>
      <c r="M63" s="24">
        <f>IF('ORDENES'!$A41="","",IF('ORDENES'!$N41="","-",'ORDENES'!$N41))</f>
        <v/>
      </c>
      <c r="N63" s="24">
        <f>IF('ORDENES'!$A41="","",'ORDENES'!$AG41)</f>
        <v/>
      </c>
    </row>
    <row r="64">
      <c r="A64" s="24">
        <f>IF('ORDENES'!$A42="","",IF('ORDENES'!$O42="","-",'ORDENES'!$O42))</f>
        <v/>
      </c>
      <c r="B64" s="24">
        <f>IF('ORDENES'!$A42="","",IF('ORDENES'!$S42="","-",'ORDENES'!$S42))</f>
        <v/>
      </c>
      <c r="C64" s="24">
        <f>IF('ORDENES'!$A42="","",IF('ORDENES'!$AI42="","-",'ORDENES'!$AI42))</f>
        <v/>
      </c>
      <c r="D64" s="24">
        <f>IF('ORDENES'!$A42="","",IF('ORDENES'!$AA42="","-",'ORDENES'!$AA42))</f>
        <v/>
      </c>
      <c r="E64" s="24">
        <f>IF('ORDENES'!$A42="","",IF('ORDENES'!$Y42="","-",'ORDENES'!$Y42))</f>
        <v/>
      </c>
      <c r="F64" s="24">
        <f>IF('ORDENES'!$A42="","",IF('ORDENES'!$AB42="","-",'ORDENES'!$AB42))</f>
        <v/>
      </c>
      <c r="G64" s="24">
        <f>IF('ORDENES'!$A42="","",IF('ORDENES'!$Z42="","-",'ORDENES'!$Z42))</f>
        <v/>
      </c>
      <c r="H64" s="24">
        <f>IF('ORDENES'!$A42="","",IF('ORDENES'!$AH42="","-",'ORDENES'!$AH42))</f>
        <v/>
      </c>
      <c r="I64" s="24">
        <f>IF('ORDENES'!$A42="","",IF('ORDENES'!$AU42="","-",'ORDENES'!$AU42))</f>
        <v/>
      </c>
      <c r="J64" s="24">
        <f>IF('ORDENES'!$A42="","",IF('ORDENES'!$D42="","-",'ORDENES'!$D42))</f>
        <v/>
      </c>
      <c r="K64" s="24">
        <f>IF('ORDENES'!$A42="","",IF('ORDENES'!$E42="","-",'ORDENES'!$E42))</f>
        <v/>
      </c>
      <c r="L64" s="26">
        <f>IF('ORDENES'!$A42="","",IF('ORDENES'!$M42="",0,'ORDENES'!$M42))</f>
        <v/>
      </c>
      <c r="M64" s="24">
        <f>IF('ORDENES'!$A42="","",IF('ORDENES'!$N42="","-",'ORDENES'!$N42))</f>
        <v/>
      </c>
      <c r="N64" s="24">
        <f>IF('ORDENES'!$A42="","",'ORDENES'!$AG42)</f>
        <v/>
      </c>
    </row>
    <row r="65">
      <c r="A65" s="24">
        <f>IF('ORDENES'!$A43="","",IF('ORDENES'!$O43="","-",'ORDENES'!$O43))</f>
        <v/>
      </c>
      <c r="B65" s="24">
        <f>IF('ORDENES'!$A43="","",IF('ORDENES'!$S43="","-",'ORDENES'!$S43))</f>
        <v/>
      </c>
      <c r="C65" s="24">
        <f>IF('ORDENES'!$A43="","",IF('ORDENES'!$AI43="","-",'ORDENES'!$AI43))</f>
        <v/>
      </c>
      <c r="D65" s="24">
        <f>IF('ORDENES'!$A43="","",IF('ORDENES'!$AA43="","-",'ORDENES'!$AA43))</f>
        <v/>
      </c>
      <c r="E65" s="24">
        <f>IF('ORDENES'!$A43="","",IF('ORDENES'!$Y43="","-",'ORDENES'!$Y43))</f>
        <v/>
      </c>
      <c r="F65" s="24">
        <f>IF('ORDENES'!$A43="","",IF('ORDENES'!$AB43="","-",'ORDENES'!$AB43))</f>
        <v/>
      </c>
      <c r="G65" s="24">
        <f>IF('ORDENES'!$A43="","",IF('ORDENES'!$Z43="","-",'ORDENES'!$Z43))</f>
        <v/>
      </c>
      <c r="H65" s="24">
        <f>IF('ORDENES'!$A43="","",IF('ORDENES'!$AH43="","-",'ORDENES'!$AH43))</f>
        <v/>
      </c>
      <c r="I65" s="24">
        <f>IF('ORDENES'!$A43="","",IF('ORDENES'!$AU43="","-",'ORDENES'!$AU43))</f>
        <v/>
      </c>
      <c r="J65" s="24">
        <f>IF('ORDENES'!$A43="","",IF('ORDENES'!$D43="","-",'ORDENES'!$D43))</f>
        <v/>
      </c>
      <c r="K65" s="24">
        <f>IF('ORDENES'!$A43="","",IF('ORDENES'!$E43="","-",'ORDENES'!$E43))</f>
        <v/>
      </c>
      <c r="L65" s="26">
        <f>IF('ORDENES'!$A43="","",IF('ORDENES'!$M43="",0,'ORDENES'!$M43))</f>
        <v/>
      </c>
      <c r="M65" s="24">
        <f>IF('ORDENES'!$A43="","",IF('ORDENES'!$N43="","-",'ORDENES'!$N43))</f>
        <v/>
      </c>
      <c r="N65" s="24">
        <f>IF('ORDENES'!$A43="","",'ORDENES'!$AG43)</f>
        <v/>
      </c>
    </row>
    <row r="66">
      <c r="A66" s="24">
        <f>IF('ORDENES'!$A44="","",IF('ORDENES'!$O44="","-",'ORDENES'!$O44))</f>
        <v/>
      </c>
      <c r="B66" s="24">
        <f>IF('ORDENES'!$A44="","",IF('ORDENES'!$S44="","-",'ORDENES'!$S44))</f>
        <v/>
      </c>
      <c r="C66" s="24">
        <f>IF('ORDENES'!$A44="","",IF('ORDENES'!$AI44="","-",'ORDENES'!$AI44))</f>
        <v/>
      </c>
      <c r="D66" s="24">
        <f>IF('ORDENES'!$A44="","",IF('ORDENES'!$AA44="","-",'ORDENES'!$AA44))</f>
        <v/>
      </c>
      <c r="E66" s="24">
        <f>IF('ORDENES'!$A44="","",IF('ORDENES'!$Y44="","-",'ORDENES'!$Y44))</f>
        <v/>
      </c>
      <c r="F66" s="24">
        <f>IF('ORDENES'!$A44="","",IF('ORDENES'!$AB44="","-",'ORDENES'!$AB44))</f>
        <v/>
      </c>
      <c r="G66" s="24">
        <f>IF('ORDENES'!$A44="","",IF('ORDENES'!$Z44="","-",'ORDENES'!$Z44))</f>
        <v/>
      </c>
      <c r="H66" s="24">
        <f>IF('ORDENES'!$A44="","",IF('ORDENES'!$AH44="","-",'ORDENES'!$AH44))</f>
        <v/>
      </c>
      <c r="I66" s="24">
        <f>IF('ORDENES'!$A44="","",IF('ORDENES'!$AU44="","-",'ORDENES'!$AU44))</f>
        <v/>
      </c>
      <c r="J66" s="24">
        <f>IF('ORDENES'!$A44="","",IF('ORDENES'!$D44="","-",'ORDENES'!$D44))</f>
        <v/>
      </c>
      <c r="K66" s="24">
        <f>IF('ORDENES'!$A44="","",IF('ORDENES'!$E44="","-",'ORDENES'!$E44))</f>
        <v/>
      </c>
      <c r="L66" s="26">
        <f>IF('ORDENES'!$A44="","",IF('ORDENES'!$M44="",0,'ORDENES'!$M44))</f>
        <v/>
      </c>
      <c r="M66" s="24">
        <f>IF('ORDENES'!$A44="","",IF('ORDENES'!$N44="","-",'ORDENES'!$N44))</f>
        <v/>
      </c>
      <c r="N66" s="24">
        <f>IF('ORDENES'!$A44="","",'ORDENES'!$AG44)</f>
        <v/>
      </c>
    </row>
    <row r="67">
      <c r="A67" s="24">
        <f>IF('ORDENES'!$A45="","",IF('ORDENES'!$O45="","-",'ORDENES'!$O45))</f>
        <v/>
      </c>
      <c r="B67" s="24">
        <f>IF('ORDENES'!$A45="","",IF('ORDENES'!$S45="","-",'ORDENES'!$S45))</f>
        <v/>
      </c>
      <c r="C67" s="24">
        <f>IF('ORDENES'!$A45="","",IF('ORDENES'!$AI45="","-",'ORDENES'!$AI45))</f>
        <v/>
      </c>
      <c r="D67" s="24">
        <f>IF('ORDENES'!$A45="","",IF('ORDENES'!$AA45="","-",'ORDENES'!$AA45))</f>
        <v/>
      </c>
      <c r="E67" s="24">
        <f>IF('ORDENES'!$A45="","",IF('ORDENES'!$Y45="","-",'ORDENES'!$Y45))</f>
        <v/>
      </c>
      <c r="F67" s="24">
        <f>IF('ORDENES'!$A45="","",IF('ORDENES'!$AB45="","-",'ORDENES'!$AB45))</f>
        <v/>
      </c>
      <c r="G67" s="24">
        <f>IF('ORDENES'!$A45="","",IF('ORDENES'!$Z45="","-",'ORDENES'!$Z45))</f>
        <v/>
      </c>
      <c r="H67" s="24">
        <f>IF('ORDENES'!$A45="","",IF('ORDENES'!$AH45="","-",'ORDENES'!$AH45))</f>
        <v/>
      </c>
      <c r="I67" s="24">
        <f>IF('ORDENES'!$A45="","",IF('ORDENES'!$AU45="","-",'ORDENES'!$AU45))</f>
        <v/>
      </c>
      <c r="J67" s="24">
        <f>IF('ORDENES'!$A45="","",IF('ORDENES'!$D45="","-",'ORDENES'!$D45))</f>
        <v/>
      </c>
      <c r="K67" s="24">
        <f>IF('ORDENES'!$A45="","",IF('ORDENES'!$E45="","-",'ORDENES'!$E45))</f>
        <v/>
      </c>
      <c r="L67" s="26">
        <f>IF('ORDENES'!$A45="","",IF('ORDENES'!$M45="",0,'ORDENES'!$M45))</f>
        <v/>
      </c>
      <c r="M67" s="24">
        <f>IF('ORDENES'!$A45="","",IF('ORDENES'!$N45="","-",'ORDENES'!$N45))</f>
        <v/>
      </c>
      <c r="N67" s="24">
        <f>IF('ORDENES'!$A45="","",'ORDENES'!$AG45)</f>
        <v/>
      </c>
    </row>
    <row r="68">
      <c r="A68" s="24">
        <f>IF('ORDENES'!$A46="","",IF('ORDENES'!$O46="","-",'ORDENES'!$O46))</f>
        <v/>
      </c>
      <c r="B68" s="24">
        <f>IF('ORDENES'!$A46="","",IF('ORDENES'!$S46="","-",'ORDENES'!$S46))</f>
        <v/>
      </c>
      <c r="C68" s="24">
        <f>IF('ORDENES'!$A46="","",IF('ORDENES'!$AI46="","-",'ORDENES'!$AI46))</f>
        <v/>
      </c>
      <c r="D68" s="24">
        <f>IF('ORDENES'!$A46="","",IF('ORDENES'!$AA46="","-",'ORDENES'!$AA46))</f>
        <v/>
      </c>
      <c r="E68" s="24">
        <f>IF('ORDENES'!$A46="","",IF('ORDENES'!$Y46="","-",'ORDENES'!$Y46))</f>
        <v/>
      </c>
      <c r="F68" s="24">
        <f>IF('ORDENES'!$A46="","",IF('ORDENES'!$AB46="","-",'ORDENES'!$AB46))</f>
        <v/>
      </c>
      <c r="G68" s="24">
        <f>IF('ORDENES'!$A46="","",IF('ORDENES'!$Z46="","-",'ORDENES'!$Z46))</f>
        <v/>
      </c>
      <c r="H68" s="24">
        <f>IF('ORDENES'!$A46="","",IF('ORDENES'!$AH46="","-",'ORDENES'!$AH46))</f>
        <v/>
      </c>
      <c r="I68" s="24">
        <f>IF('ORDENES'!$A46="","",IF('ORDENES'!$AU46="","-",'ORDENES'!$AU46))</f>
        <v/>
      </c>
      <c r="J68" s="24">
        <f>IF('ORDENES'!$A46="","",IF('ORDENES'!$D46="","-",'ORDENES'!$D46))</f>
        <v/>
      </c>
      <c r="K68" s="24">
        <f>IF('ORDENES'!$A46="","",IF('ORDENES'!$E46="","-",'ORDENES'!$E46))</f>
        <v/>
      </c>
      <c r="L68" s="26">
        <f>IF('ORDENES'!$A46="","",IF('ORDENES'!$M46="",0,'ORDENES'!$M46))</f>
        <v/>
      </c>
      <c r="M68" s="24">
        <f>IF('ORDENES'!$A46="","",IF('ORDENES'!$N46="","-",'ORDENES'!$N46))</f>
        <v/>
      </c>
      <c r="N68" s="24">
        <f>IF('ORDENES'!$A46="","",'ORDENES'!$AG46)</f>
        <v/>
      </c>
    </row>
    <row r="69">
      <c r="A69" s="24">
        <f>IF('ORDENES'!$A47="","",IF('ORDENES'!$O47="","-",'ORDENES'!$O47))</f>
        <v/>
      </c>
      <c r="B69" s="24">
        <f>IF('ORDENES'!$A47="","",IF('ORDENES'!$S47="","-",'ORDENES'!$S47))</f>
        <v/>
      </c>
      <c r="C69" s="24">
        <f>IF('ORDENES'!$A47="","",IF('ORDENES'!$AI47="","-",'ORDENES'!$AI47))</f>
        <v/>
      </c>
      <c r="D69" s="24">
        <f>IF('ORDENES'!$A47="","",IF('ORDENES'!$AA47="","-",'ORDENES'!$AA47))</f>
        <v/>
      </c>
      <c r="E69" s="24">
        <f>IF('ORDENES'!$A47="","",IF('ORDENES'!$Y47="","-",'ORDENES'!$Y47))</f>
        <v/>
      </c>
      <c r="F69" s="24">
        <f>IF('ORDENES'!$A47="","",IF('ORDENES'!$AB47="","-",'ORDENES'!$AB47))</f>
        <v/>
      </c>
      <c r="G69" s="24">
        <f>IF('ORDENES'!$A47="","",IF('ORDENES'!$Z47="","-",'ORDENES'!$Z47))</f>
        <v/>
      </c>
      <c r="H69" s="24">
        <f>IF('ORDENES'!$A47="","",IF('ORDENES'!$AH47="","-",'ORDENES'!$AH47))</f>
        <v/>
      </c>
      <c r="I69" s="24">
        <f>IF('ORDENES'!$A47="","",IF('ORDENES'!$AU47="","-",'ORDENES'!$AU47))</f>
        <v/>
      </c>
      <c r="J69" s="24">
        <f>IF('ORDENES'!$A47="","",IF('ORDENES'!$D47="","-",'ORDENES'!$D47))</f>
        <v/>
      </c>
      <c r="K69" s="24">
        <f>IF('ORDENES'!$A47="","",IF('ORDENES'!$E47="","-",'ORDENES'!$E47))</f>
        <v/>
      </c>
      <c r="L69" s="26">
        <f>IF('ORDENES'!$A47="","",IF('ORDENES'!$M47="",0,'ORDENES'!$M47))</f>
        <v/>
      </c>
      <c r="M69" s="24">
        <f>IF('ORDENES'!$A47="","",IF('ORDENES'!$N47="","-",'ORDENES'!$N47))</f>
        <v/>
      </c>
      <c r="N69" s="24">
        <f>IF('ORDENES'!$A47="","",'ORDENES'!$AG47)</f>
        <v/>
      </c>
    </row>
    <row r="70">
      <c r="A70" s="24">
        <f>IF('ORDENES'!$A48="","",IF('ORDENES'!$O48="","-",'ORDENES'!$O48))</f>
        <v/>
      </c>
      <c r="B70" s="24">
        <f>IF('ORDENES'!$A48="","",IF('ORDENES'!$S48="","-",'ORDENES'!$S48))</f>
        <v/>
      </c>
      <c r="C70" s="24">
        <f>IF('ORDENES'!$A48="","",IF('ORDENES'!$AI48="","-",'ORDENES'!$AI48))</f>
        <v/>
      </c>
      <c r="D70" s="24">
        <f>IF('ORDENES'!$A48="","",IF('ORDENES'!$AA48="","-",'ORDENES'!$AA48))</f>
        <v/>
      </c>
      <c r="E70" s="24">
        <f>IF('ORDENES'!$A48="","",IF('ORDENES'!$Y48="","-",'ORDENES'!$Y48))</f>
        <v/>
      </c>
      <c r="F70" s="24">
        <f>IF('ORDENES'!$A48="","",IF('ORDENES'!$AB48="","-",'ORDENES'!$AB48))</f>
        <v/>
      </c>
      <c r="G70" s="24">
        <f>IF('ORDENES'!$A48="","",IF('ORDENES'!$Z48="","-",'ORDENES'!$Z48))</f>
        <v/>
      </c>
      <c r="H70" s="24">
        <f>IF('ORDENES'!$A48="","",IF('ORDENES'!$AH48="","-",'ORDENES'!$AH48))</f>
        <v/>
      </c>
      <c r="I70" s="24">
        <f>IF('ORDENES'!$A48="","",IF('ORDENES'!$AU48="","-",'ORDENES'!$AU48))</f>
        <v/>
      </c>
      <c r="J70" s="24">
        <f>IF('ORDENES'!$A48="","",IF('ORDENES'!$D48="","-",'ORDENES'!$D48))</f>
        <v/>
      </c>
      <c r="K70" s="24">
        <f>IF('ORDENES'!$A48="","",IF('ORDENES'!$E48="","-",'ORDENES'!$E48))</f>
        <v/>
      </c>
      <c r="L70" s="26">
        <f>IF('ORDENES'!$A48="","",IF('ORDENES'!$M48="",0,'ORDENES'!$M48))</f>
        <v/>
      </c>
      <c r="M70" s="24">
        <f>IF('ORDENES'!$A48="","",IF('ORDENES'!$N48="","-",'ORDENES'!$N48))</f>
        <v/>
      </c>
      <c r="N70" s="24">
        <f>IF('ORDENES'!$A48="","",'ORDENES'!$AG48)</f>
        <v/>
      </c>
    </row>
    <row r="71">
      <c r="A71" s="24">
        <f>IF('ORDENES'!$A49="","",IF('ORDENES'!$O49="","-",'ORDENES'!$O49))</f>
        <v/>
      </c>
      <c r="B71" s="24">
        <f>IF('ORDENES'!$A49="","",IF('ORDENES'!$S49="","-",'ORDENES'!$S49))</f>
        <v/>
      </c>
      <c r="C71" s="24">
        <f>IF('ORDENES'!$A49="","",IF('ORDENES'!$AI49="","-",'ORDENES'!$AI49))</f>
        <v/>
      </c>
      <c r="D71" s="24">
        <f>IF('ORDENES'!$A49="","",IF('ORDENES'!$AA49="","-",'ORDENES'!$AA49))</f>
        <v/>
      </c>
      <c r="E71" s="24">
        <f>IF('ORDENES'!$A49="","",IF('ORDENES'!$Y49="","-",'ORDENES'!$Y49))</f>
        <v/>
      </c>
      <c r="F71" s="24">
        <f>IF('ORDENES'!$A49="","",IF('ORDENES'!$AB49="","-",'ORDENES'!$AB49))</f>
        <v/>
      </c>
      <c r="G71" s="24">
        <f>IF('ORDENES'!$A49="","",IF('ORDENES'!$Z49="","-",'ORDENES'!$Z49))</f>
        <v/>
      </c>
      <c r="H71" s="24">
        <f>IF('ORDENES'!$A49="","",IF('ORDENES'!$AH49="","-",'ORDENES'!$AH49))</f>
        <v/>
      </c>
      <c r="I71" s="24">
        <f>IF('ORDENES'!$A49="","",IF('ORDENES'!$AU49="","-",'ORDENES'!$AU49))</f>
        <v/>
      </c>
      <c r="J71" s="24">
        <f>IF('ORDENES'!$A49="","",IF('ORDENES'!$D49="","-",'ORDENES'!$D49))</f>
        <v/>
      </c>
      <c r="K71" s="24">
        <f>IF('ORDENES'!$A49="","",IF('ORDENES'!$E49="","-",'ORDENES'!$E49))</f>
        <v/>
      </c>
      <c r="L71" s="26">
        <f>IF('ORDENES'!$A49="","",IF('ORDENES'!$M49="",0,'ORDENES'!$M49))</f>
        <v/>
      </c>
      <c r="M71" s="24">
        <f>IF('ORDENES'!$A49="","",IF('ORDENES'!$N49="","-",'ORDENES'!$N49))</f>
        <v/>
      </c>
      <c r="N71" s="24">
        <f>IF('ORDENES'!$A49="","",'ORDENES'!$AG49)</f>
        <v/>
      </c>
    </row>
    <row r="72">
      <c r="A72" s="24">
        <f>IF('ORDENES'!$A50="","",IF('ORDENES'!$O50="","-",'ORDENES'!$O50))</f>
        <v/>
      </c>
      <c r="B72" s="24">
        <f>IF('ORDENES'!$A50="","",IF('ORDENES'!$S50="","-",'ORDENES'!$S50))</f>
        <v/>
      </c>
      <c r="C72" s="24">
        <f>IF('ORDENES'!$A50="","",IF('ORDENES'!$AI50="","-",'ORDENES'!$AI50))</f>
        <v/>
      </c>
      <c r="D72" s="24">
        <f>IF('ORDENES'!$A50="","",IF('ORDENES'!$AA50="","-",'ORDENES'!$AA50))</f>
        <v/>
      </c>
      <c r="E72" s="24">
        <f>IF('ORDENES'!$A50="","",IF('ORDENES'!$Y50="","-",'ORDENES'!$Y50))</f>
        <v/>
      </c>
      <c r="F72" s="24">
        <f>IF('ORDENES'!$A50="","",IF('ORDENES'!$AB50="","-",'ORDENES'!$AB50))</f>
        <v/>
      </c>
      <c r="G72" s="24">
        <f>IF('ORDENES'!$A50="","",IF('ORDENES'!$Z50="","-",'ORDENES'!$Z50))</f>
        <v/>
      </c>
      <c r="H72" s="24">
        <f>IF('ORDENES'!$A50="","",IF('ORDENES'!$AH50="","-",'ORDENES'!$AH50))</f>
        <v/>
      </c>
      <c r="I72" s="24">
        <f>IF('ORDENES'!$A50="","",IF('ORDENES'!$AU50="","-",'ORDENES'!$AU50))</f>
        <v/>
      </c>
      <c r="J72" s="24">
        <f>IF('ORDENES'!$A50="","",IF('ORDENES'!$D50="","-",'ORDENES'!$D50))</f>
        <v/>
      </c>
      <c r="K72" s="24">
        <f>IF('ORDENES'!$A50="","",IF('ORDENES'!$E50="","-",'ORDENES'!$E50))</f>
        <v/>
      </c>
      <c r="L72" s="26">
        <f>IF('ORDENES'!$A50="","",IF('ORDENES'!$M50="",0,'ORDENES'!$M50))</f>
        <v/>
      </c>
      <c r="M72" s="24">
        <f>IF('ORDENES'!$A50="","",IF('ORDENES'!$N50="","-",'ORDENES'!$N50))</f>
        <v/>
      </c>
      <c r="N72" s="24">
        <f>IF('ORDENES'!$A50="","",'ORDENES'!$AG50)</f>
        <v/>
      </c>
    </row>
    <row r="73">
      <c r="A73" s="24">
        <f>IF('ORDENES'!$A51="","",IF('ORDENES'!$O51="","-",'ORDENES'!$O51))</f>
        <v/>
      </c>
      <c r="B73" s="24">
        <f>IF('ORDENES'!$A51="","",IF('ORDENES'!$S51="","-",'ORDENES'!$S51))</f>
        <v/>
      </c>
      <c r="C73" s="24">
        <f>IF('ORDENES'!$A51="","",IF('ORDENES'!$AI51="","-",'ORDENES'!$AI51))</f>
        <v/>
      </c>
      <c r="D73" s="24">
        <f>IF('ORDENES'!$A51="","",IF('ORDENES'!$AA51="","-",'ORDENES'!$AA51))</f>
        <v/>
      </c>
      <c r="E73" s="24">
        <f>IF('ORDENES'!$A51="","",IF('ORDENES'!$Y51="","-",'ORDENES'!$Y51))</f>
        <v/>
      </c>
      <c r="F73" s="24">
        <f>IF('ORDENES'!$A51="","",IF('ORDENES'!$AB51="","-",'ORDENES'!$AB51))</f>
        <v/>
      </c>
      <c r="G73" s="24">
        <f>IF('ORDENES'!$A51="","",IF('ORDENES'!$Z51="","-",'ORDENES'!$Z51))</f>
        <v/>
      </c>
      <c r="H73" s="24">
        <f>IF('ORDENES'!$A51="","",IF('ORDENES'!$AH51="","-",'ORDENES'!$AH51))</f>
        <v/>
      </c>
      <c r="I73" s="24">
        <f>IF('ORDENES'!$A51="","",IF('ORDENES'!$AU51="","-",'ORDENES'!$AU51))</f>
        <v/>
      </c>
      <c r="J73" s="24">
        <f>IF('ORDENES'!$A51="","",IF('ORDENES'!$D51="","-",'ORDENES'!$D51))</f>
        <v/>
      </c>
      <c r="K73" s="24">
        <f>IF('ORDENES'!$A51="","",IF('ORDENES'!$E51="","-",'ORDENES'!$E51))</f>
        <v/>
      </c>
      <c r="L73" s="26">
        <f>IF('ORDENES'!$A51="","",IF('ORDENES'!$M51="",0,'ORDENES'!$M51))</f>
        <v/>
      </c>
      <c r="M73" s="24">
        <f>IF('ORDENES'!$A51="","",IF('ORDENES'!$N51="","-",'ORDENES'!$N51))</f>
        <v/>
      </c>
      <c r="N73" s="24">
        <f>IF('ORDENES'!$A51="","",'ORDENES'!$AG51)</f>
        <v/>
      </c>
    </row>
    <row r="74">
      <c r="A74" s="24">
        <f>IF('ORDENES'!$A52="","",IF('ORDENES'!$O52="","-",'ORDENES'!$O52))</f>
        <v/>
      </c>
      <c r="B74" s="24">
        <f>IF('ORDENES'!$A52="","",IF('ORDENES'!$S52="","-",'ORDENES'!$S52))</f>
        <v/>
      </c>
      <c r="C74" s="24">
        <f>IF('ORDENES'!$A52="","",IF('ORDENES'!$AI52="","-",'ORDENES'!$AI52))</f>
        <v/>
      </c>
      <c r="D74" s="24">
        <f>IF('ORDENES'!$A52="","",IF('ORDENES'!$AA52="","-",'ORDENES'!$AA52))</f>
        <v/>
      </c>
      <c r="E74" s="24">
        <f>IF('ORDENES'!$A52="","",IF('ORDENES'!$Y52="","-",'ORDENES'!$Y52))</f>
        <v/>
      </c>
      <c r="F74" s="24">
        <f>IF('ORDENES'!$A52="","",IF('ORDENES'!$AB52="","-",'ORDENES'!$AB52))</f>
        <v/>
      </c>
      <c r="G74" s="24">
        <f>IF('ORDENES'!$A52="","",IF('ORDENES'!$Z52="","-",'ORDENES'!$Z52))</f>
        <v/>
      </c>
      <c r="H74" s="24">
        <f>IF('ORDENES'!$A52="","",IF('ORDENES'!$AH52="","-",'ORDENES'!$AH52))</f>
        <v/>
      </c>
      <c r="I74" s="24">
        <f>IF('ORDENES'!$A52="","",IF('ORDENES'!$AU52="","-",'ORDENES'!$AU52))</f>
        <v/>
      </c>
      <c r="J74" s="24">
        <f>IF('ORDENES'!$A52="","",IF('ORDENES'!$D52="","-",'ORDENES'!$D52))</f>
        <v/>
      </c>
      <c r="K74" s="24">
        <f>IF('ORDENES'!$A52="","",IF('ORDENES'!$E52="","-",'ORDENES'!$E52))</f>
        <v/>
      </c>
      <c r="L74" s="26">
        <f>IF('ORDENES'!$A52="","",IF('ORDENES'!$M52="",0,'ORDENES'!$M52))</f>
        <v/>
      </c>
      <c r="M74" s="24">
        <f>IF('ORDENES'!$A52="","",IF('ORDENES'!$N52="","-",'ORDENES'!$N52))</f>
        <v/>
      </c>
      <c r="N74" s="24">
        <f>IF('ORDENES'!$A52="","",'ORDENES'!$AG52)</f>
        <v/>
      </c>
    </row>
    <row r="75">
      <c r="A75" s="24">
        <f>IF('ORDENES'!$A53="","",IF('ORDENES'!$O53="","-",'ORDENES'!$O53))</f>
        <v/>
      </c>
      <c r="B75" s="24">
        <f>IF('ORDENES'!$A53="","",IF('ORDENES'!$S53="","-",'ORDENES'!$S53))</f>
        <v/>
      </c>
      <c r="C75" s="24">
        <f>IF('ORDENES'!$A53="","",IF('ORDENES'!$AI53="","-",'ORDENES'!$AI53))</f>
        <v/>
      </c>
      <c r="D75" s="24">
        <f>IF('ORDENES'!$A53="","",IF('ORDENES'!$AA53="","-",'ORDENES'!$AA53))</f>
        <v/>
      </c>
      <c r="E75" s="24">
        <f>IF('ORDENES'!$A53="","",IF('ORDENES'!$Y53="","-",'ORDENES'!$Y53))</f>
        <v/>
      </c>
      <c r="F75" s="24">
        <f>IF('ORDENES'!$A53="","",IF('ORDENES'!$AB53="","-",'ORDENES'!$AB53))</f>
        <v/>
      </c>
      <c r="G75" s="24">
        <f>IF('ORDENES'!$A53="","",IF('ORDENES'!$Z53="","-",'ORDENES'!$Z53))</f>
        <v/>
      </c>
      <c r="H75" s="24">
        <f>IF('ORDENES'!$A53="","",IF('ORDENES'!$AH53="","-",'ORDENES'!$AH53))</f>
        <v/>
      </c>
      <c r="I75" s="24">
        <f>IF('ORDENES'!$A53="","",IF('ORDENES'!$AU53="","-",'ORDENES'!$AU53))</f>
        <v/>
      </c>
      <c r="J75" s="24">
        <f>IF('ORDENES'!$A53="","",IF('ORDENES'!$D53="","-",'ORDENES'!$D53))</f>
        <v/>
      </c>
      <c r="K75" s="24">
        <f>IF('ORDENES'!$A53="","",IF('ORDENES'!$E53="","-",'ORDENES'!$E53))</f>
        <v/>
      </c>
      <c r="L75" s="26">
        <f>IF('ORDENES'!$A53="","",IF('ORDENES'!$M53="",0,'ORDENES'!$M53))</f>
        <v/>
      </c>
      <c r="M75" s="24">
        <f>IF('ORDENES'!$A53="","",IF('ORDENES'!$N53="","-",'ORDENES'!$N53))</f>
        <v/>
      </c>
      <c r="N75" s="24">
        <f>IF('ORDENES'!$A53="","",'ORDENES'!$AG53)</f>
        <v/>
      </c>
    </row>
    <row r="76">
      <c r="A76" s="24">
        <f>IF('ORDENES'!$A54="","",IF('ORDENES'!$O54="","-",'ORDENES'!$O54))</f>
        <v/>
      </c>
      <c r="B76" s="24">
        <f>IF('ORDENES'!$A54="","",IF('ORDENES'!$S54="","-",'ORDENES'!$S54))</f>
        <v/>
      </c>
      <c r="C76" s="24">
        <f>IF('ORDENES'!$A54="","",IF('ORDENES'!$AI54="","-",'ORDENES'!$AI54))</f>
        <v/>
      </c>
      <c r="D76" s="24">
        <f>IF('ORDENES'!$A54="","",IF('ORDENES'!$AA54="","-",'ORDENES'!$AA54))</f>
        <v/>
      </c>
      <c r="E76" s="24">
        <f>IF('ORDENES'!$A54="","",IF('ORDENES'!$Y54="","-",'ORDENES'!$Y54))</f>
        <v/>
      </c>
      <c r="F76" s="24">
        <f>IF('ORDENES'!$A54="","",IF('ORDENES'!$AB54="","-",'ORDENES'!$AB54))</f>
        <v/>
      </c>
      <c r="G76" s="24">
        <f>IF('ORDENES'!$A54="","",IF('ORDENES'!$Z54="","-",'ORDENES'!$Z54))</f>
        <v/>
      </c>
      <c r="H76" s="24">
        <f>IF('ORDENES'!$A54="","",IF('ORDENES'!$AH54="","-",'ORDENES'!$AH54))</f>
        <v/>
      </c>
      <c r="I76" s="24">
        <f>IF('ORDENES'!$A54="","",IF('ORDENES'!$AU54="","-",'ORDENES'!$AU54))</f>
        <v/>
      </c>
      <c r="J76" s="24">
        <f>IF('ORDENES'!$A54="","",IF('ORDENES'!$D54="","-",'ORDENES'!$D54))</f>
        <v/>
      </c>
      <c r="K76" s="24">
        <f>IF('ORDENES'!$A54="","",IF('ORDENES'!$E54="","-",'ORDENES'!$E54))</f>
        <v/>
      </c>
      <c r="L76" s="26">
        <f>IF('ORDENES'!$A54="","",IF('ORDENES'!$M54="",0,'ORDENES'!$M54))</f>
        <v/>
      </c>
      <c r="M76" s="24">
        <f>IF('ORDENES'!$A54="","",IF('ORDENES'!$N54="","-",'ORDENES'!$N54))</f>
        <v/>
      </c>
      <c r="N76" s="24">
        <f>IF('ORDENES'!$A54="","",'ORDENES'!$AG54)</f>
        <v/>
      </c>
    </row>
    <row r="77">
      <c r="A77" s="24">
        <f>IF('ORDENES'!$A55="","",IF('ORDENES'!$O55="","-",'ORDENES'!$O55))</f>
        <v/>
      </c>
      <c r="B77" s="24">
        <f>IF('ORDENES'!$A55="","",IF('ORDENES'!$S55="","-",'ORDENES'!$S55))</f>
        <v/>
      </c>
      <c r="C77" s="24">
        <f>IF('ORDENES'!$A55="","",IF('ORDENES'!$AI55="","-",'ORDENES'!$AI55))</f>
        <v/>
      </c>
      <c r="D77" s="24">
        <f>IF('ORDENES'!$A55="","",IF('ORDENES'!$AA55="","-",'ORDENES'!$AA55))</f>
        <v/>
      </c>
      <c r="E77" s="24">
        <f>IF('ORDENES'!$A55="","",IF('ORDENES'!$Y55="","-",'ORDENES'!$Y55))</f>
        <v/>
      </c>
      <c r="F77" s="24">
        <f>IF('ORDENES'!$A55="","",IF('ORDENES'!$AB55="","-",'ORDENES'!$AB55))</f>
        <v/>
      </c>
      <c r="G77" s="24">
        <f>IF('ORDENES'!$A55="","",IF('ORDENES'!$Z55="","-",'ORDENES'!$Z55))</f>
        <v/>
      </c>
      <c r="H77" s="24">
        <f>IF('ORDENES'!$A55="","",IF('ORDENES'!$AH55="","-",'ORDENES'!$AH55))</f>
        <v/>
      </c>
      <c r="I77" s="24">
        <f>IF('ORDENES'!$A55="","",IF('ORDENES'!$AU55="","-",'ORDENES'!$AU55))</f>
        <v/>
      </c>
      <c r="J77" s="24">
        <f>IF('ORDENES'!$A55="","",IF('ORDENES'!$D55="","-",'ORDENES'!$D55))</f>
        <v/>
      </c>
      <c r="K77" s="24">
        <f>IF('ORDENES'!$A55="","",IF('ORDENES'!$E55="","-",'ORDENES'!$E55))</f>
        <v/>
      </c>
      <c r="L77" s="26">
        <f>IF('ORDENES'!$A55="","",IF('ORDENES'!$M55="",0,'ORDENES'!$M55))</f>
        <v/>
      </c>
      <c r="M77" s="24">
        <f>IF('ORDENES'!$A55="","",IF('ORDENES'!$N55="","-",'ORDENES'!$N55))</f>
        <v/>
      </c>
      <c r="N77" s="24">
        <f>IF('ORDENES'!$A55="","",'ORDENES'!$AG55)</f>
        <v/>
      </c>
    </row>
    <row r="78">
      <c r="A78" s="24">
        <f>IF('ORDENES'!$A56="","",IF('ORDENES'!$O56="","-",'ORDENES'!$O56))</f>
        <v/>
      </c>
      <c r="B78" s="24">
        <f>IF('ORDENES'!$A56="","",IF('ORDENES'!$S56="","-",'ORDENES'!$S56))</f>
        <v/>
      </c>
      <c r="C78" s="24">
        <f>IF('ORDENES'!$A56="","",IF('ORDENES'!$AI56="","-",'ORDENES'!$AI56))</f>
        <v/>
      </c>
      <c r="D78" s="24">
        <f>IF('ORDENES'!$A56="","",IF('ORDENES'!$AA56="","-",'ORDENES'!$AA56))</f>
        <v/>
      </c>
      <c r="E78" s="24">
        <f>IF('ORDENES'!$A56="","",IF('ORDENES'!$Y56="","-",'ORDENES'!$Y56))</f>
        <v/>
      </c>
      <c r="F78" s="24">
        <f>IF('ORDENES'!$A56="","",IF('ORDENES'!$AB56="","-",'ORDENES'!$AB56))</f>
        <v/>
      </c>
      <c r="G78" s="24">
        <f>IF('ORDENES'!$A56="","",IF('ORDENES'!$Z56="","-",'ORDENES'!$Z56))</f>
        <v/>
      </c>
      <c r="H78" s="24">
        <f>IF('ORDENES'!$A56="","",IF('ORDENES'!$AH56="","-",'ORDENES'!$AH56))</f>
        <v/>
      </c>
      <c r="I78" s="24">
        <f>IF('ORDENES'!$A56="","",IF('ORDENES'!$AU56="","-",'ORDENES'!$AU56))</f>
        <v/>
      </c>
      <c r="J78" s="24">
        <f>IF('ORDENES'!$A56="","",IF('ORDENES'!$D56="","-",'ORDENES'!$D56))</f>
        <v/>
      </c>
      <c r="K78" s="24">
        <f>IF('ORDENES'!$A56="","",IF('ORDENES'!$E56="","-",'ORDENES'!$E56))</f>
        <v/>
      </c>
      <c r="L78" s="26">
        <f>IF('ORDENES'!$A56="","",IF('ORDENES'!$M56="",0,'ORDENES'!$M56))</f>
        <v/>
      </c>
      <c r="M78" s="24">
        <f>IF('ORDENES'!$A56="","",IF('ORDENES'!$N56="","-",'ORDENES'!$N56))</f>
        <v/>
      </c>
      <c r="N78" s="24">
        <f>IF('ORDENES'!$A56="","",'ORDENES'!$AG56)</f>
        <v/>
      </c>
    </row>
    <row r="79">
      <c r="A79" s="24">
        <f>IF('ORDENES'!$A57="","",IF('ORDENES'!$O57="","-",'ORDENES'!$O57))</f>
        <v/>
      </c>
      <c r="B79" s="24">
        <f>IF('ORDENES'!$A57="","",IF('ORDENES'!$S57="","-",'ORDENES'!$S57))</f>
        <v/>
      </c>
      <c r="C79" s="24">
        <f>IF('ORDENES'!$A57="","",IF('ORDENES'!$AI57="","-",'ORDENES'!$AI57))</f>
        <v/>
      </c>
      <c r="D79" s="24">
        <f>IF('ORDENES'!$A57="","",IF('ORDENES'!$AA57="","-",'ORDENES'!$AA57))</f>
        <v/>
      </c>
      <c r="E79" s="24">
        <f>IF('ORDENES'!$A57="","",IF('ORDENES'!$Y57="","-",'ORDENES'!$Y57))</f>
        <v/>
      </c>
      <c r="F79" s="24">
        <f>IF('ORDENES'!$A57="","",IF('ORDENES'!$AB57="","-",'ORDENES'!$AB57))</f>
        <v/>
      </c>
      <c r="G79" s="24">
        <f>IF('ORDENES'!$A57="","",IF('ORDENES'!$Z57="","-",'ORDENES'!$Z57))</f>
        <v/>
      </c>
      <c r="H79" s="24">
        <f>IF('ORDENES'!$A57="","",IF('ORDENES'!$AH57="","-",'ORDENES'!$AH57))</f>
        <v/>
      </c>
      <c r="I79" s="24">
        <f>IF('ORDENES'!$A57="","",IF('ORDENES'!$AU57="","-",'ORDENES'!$AU57))</f>
        <v/>
      </c>
      <c r="J79" s="24">
        <f>IF('ORDENES'!$A57="","",IF('ORDENES'!$D57="","-",'ORDENES'!$D57))</f>
        <v/>
      </c>
      <c r="K79" s="24">
        <f>IF('ORDENES'!$A57="","",IF('ORDENES'!$E57="","-",'ORDENES'!$E57))</f>
        <v/>
      </c>
      <c r="L79" s="26">
        <f>IF('ORDENES'!$A57="","",IF('ORDENES'!$M57="",0,'ORDENES'!$M57))</f>
        <v/>
      </c>
      <c r="M79" s="24">
        <f>IF('ORDENES'!$A57="","",IF('ORDENES'!$N57="","-",'ORDENES'!$N57))</f>
        <v/>
      </c>
      <c r="N79" s="24">
        <f>IF('ORDENES'!$A57="","",'ORDENES'!$AG57)</f>
        <v/>
      </c>
    </row>
    <row r="80">
      <c r="A80" s="24">
        <f>IF('ORDENES'!$A58="","",IF('ORDENES'!$O58="","-",'ORDENES'!$O58))</f>
        <v/>
      </c>
      <c r="B80" s="24">
        <f>IF('ORDENES'!$A58="","",IF('ORDENES'!$S58="","-",'ORDENES'!$S58))</f>
        <v/>
      </c>
      <c r="C80" s="24">
        <f>IF('ORDENES'!$A58="","",IF('ORDENES'!$AI58="","-",'ORDENES'!$AI58))</f>
        <v/>
      </c>
      <c r="D80" s="24">
        <f>IF('ORDENES'!$A58="","",IF('ORDENES'!$AA58="","-",'ORDENES'!$AA58))</f>
        <v/>
      </c>
      <c r="E80" s="24">
        <f>IF('ORDENES'!$A58="","",IF('ORDENES'!$Y58="","-",'ORDENES'!$Y58))</f>
        <v/>
      </c>
      <c r="F80" s="24">
        <f>IF('ORDENES'!$A58="","",IF('ORDENES'!$AB58="","-",'ORDENES'!$AB58))</f>
        <v/>
      </c>
      <c r="G80" s="24">
        <f>IF('ORDENES'!$A58="","",IF('ORDENES'!$Z58="","-",'ORDENES'!$Z58))</f>
        <v/>
      </c>
      <c r="H80" s="24">
        <f>IF('ORDENES'!$A58="","",IF('ORDENES'!$AH58="","-",'ORDENES'!$AH58))</f>
        <v/>
      </c>
      <c r="I80" s="24">
        <f>IF('ORDENES'!$A58="","",IF('ORDENES'!$AU58="","-",'ORDENES'!$AU58))</f>
        <v/>
      </c>
      <c r="J80" s="24">
        <f>IF('ORDENES'!$A58="","",IF('ORDENES'!$D58="","-",'ORDENES'!$D58))</f>
        <v/>
      </c>
      <c r="K80" s="24">
        <f>IF('ORDENES'!$A58="","",IF('ORDENES'!$E58="","-",'ORDENES'!$E58))</f>
        <v/>
      </c>
      <c r="L80" s="26">
        <f>IF('ORDENES'!$A58="","",IF('ORDENES'!$M58="",0,'ORDENES'!$M58))</f>
        <v/>
      </c>
      <c r="M80" s="24">
        <f>IF('ORDENES'!$A58="","",IF('ORDENES'!$N58="","-",'ORDENES'!$N58))</f>
        <v/>
      </c>
      <c r="N80" s="24">
        <f>IF('ORDENES'!$A58="","",'ORDENES'!$AG58)</f>
        <v/>
      </c>
    </row>
    <row r="81">
      <c r="A81" s="24">
        <f>IF('ORDENES'!$A59="","",IF('ORDENES'!$O59="","-",'ORDENES'!$O59))</f>
        <v/>
      </c>
      <c r="B81" s="24">
        <f>IF('ORDENES'!$A59="","",IF('ORDENES'!$S59="","-",'ORDENES'!$S59))</f>
        <v/>
      </c>
      <c r="C81" s="24">
        <f>IF('ORDENES'!$A59="","",IF('ORDENES'!$AI59="","-",'ORDENES'!$AI59))</f>
        <v/>
      </c>
      <c r="D81" s="24">
        <f>IF('ORDENES'!$A59="","",IF('ORDENES'!$AA59="","-",'ORDENES'!$AA59))</f>
        <v/>
      </c>
      <c r="E81" s="24">
        <f>IF('ORDENES'!$A59="","",IF('ORDENES'!$Y59="","-",'ORDENES'!$Y59))</f>
        <v/>
      </c>
      <c r="F81" s="24">
        <f>IF('ORDENES'!$A59="","",IF('ORDENES'!$AB59="","-",'ORDENES'!$AB59))</f>
        <v/>
      </c>
      <c r="G81" s="24">
        <f>IF('ORDENES'!$A59="","",IF('ORDENES'!$Z59="","-",'ORDENES'!$Z59))</f>
        <v/>
      </c>
      <c r="H81" s="24">
        <f>IF('ORDENES'!$A59="","",IF('ORDENES'!$AH59="","-",'ORDENES'!$AH59))</f>
        <v/>
      </c>
      <c r="I81" s="24">
        <f>IF('ORDENES'!$A59="","",IF('ORDENES'!$AU59="","-",'ORDENES'!$AU59))</f>
        <v/>
      </c>
      <c r="J81" s="24">
        <f>IF('ORDENES'!$A59="","",IF('ORDENES'!$D59="","-",'ORDENES'!$D59))</f>
        <v/>
      </c>
      <c r="K81" s="24">
        <f>IF('ORDENES'!$A59="","",IF('ORDENES'!$E59="","-",'ORDENES'!$E59))</f>
        <v/>
      </c>
      <c r="L81" s="26">
        <f>IF('ORDENES'!$A59="","",IF('ORDENES'!$M59="",0,'ORDENES'!$M59))</f>
        <v/>
      </c>
      <c r="M81" s="24">
        <f>IF('ORDENES'!$A59="","",IF('ORDENES'!$N59="","-",'ORDENES'!$N59))</f>
        <v/>
      </c>
      <c r="N81" s="24">
        <f>IF('ORDENES'!$A59="","",'ORDENES'!$AG59)</f>
        <v/>
      </c>
    </row>
    <row r="82">
      <c r="A82" s="24">
        <f>IF('ORDENES'!$A60="","",IF('ORDENES'!$O60="","-",'ORDENES'!$O60))</f>
        <v/>
      </c>
      <c r="B82" s="24">
        <f>IF('ORDENES'!$A60="","",IF('ORDENES'!$S60="","-",'ORDENES'!$S60))</f>
        <v/>
      </c>
      <c r="C82" s="24">
        <f>IF('ORDENES'!$A60="","",IF('ORDENES'!$AI60="","-",'ORDENES'!$AI60))</f>
        <v/>
      </c>
      <c r="D82" s="24">
        <f>IF('ORDENES'!$A60="","",IF('ORDENES'!$AA60="","-",'ORDENES'!$AA60))</f>
        <v/>
      </c>
      <c r="E82" s="24">
        <f>IF('ORDENES'!$A60="","",IF('ORDENES'!$Y60="","-",'ORDENES'!$Y60))</f>
        <v/>
      </c>
      <c r="F82" s="24">
        <f>IF('ORDENES'!$A60="","",IF('ORDENES'!$AB60="","-",'ORDENES'!$AB60))</f>
        <v/>
      </c>
      <c r="G82" s="24">
        <f>IF('ORDENES'!$A60="","",IF('ORDENES'!$Z60="","-",'ORDENES'!$Z60))</f>
        <v/>
      </c>
      <c r="H82" s="24">
        <f>IF('ORDENES'!$A60="","",IF('ORDENES'!$AH60="","-",'ORDENES'!$AH60))</f>
        <v/>
      </c>
      <c r="I82" s="24">
        <f>IF('ORDENES'!$A60="","",IF('ORDENES'!$AU60="","-",'ORDENES'!$AU60))</f>
        <v/>
      </c>
      <c r="J82" s="24">
        <f>IF('ORDENES'!$A60="","",IF('ORDENES'!$D60="","-",'ORDENES'!$D60))</f>
        <v/>
      </c>
      <c r="K82" s="24">
        <f>IF('ORDENES'!$A60="","",IF('ORDENES'!$E60="","-",'ORDENES'!$E60))</f>
        <v/>
      </c>
      <c r="L82" s="26">
        <f>IF('ORDENES'!$A60="","",IF('ORDENES'!$M60="",0,'ORDENES'!$M60))</f>
        <v/>
      </c>
      <c r="M82" s="24">
        <f>IF('ORDENES'!$A60="","",IF('ORDENES'!$N60="","-",'ORDENES'!$N60))</f>
        <v/>
      </c>
      <c r="N82" s="24">
        <f>IF('ORDENES'!$A60="","",'ORDENES'!$AG60)</f>
        <v/>
      </c>
    </row>
    <row r="83">
      <c r="A83" s="24">
        <f>IF('ORDENES'!$A61="","",IF('ORDENES'!$O61="","-",'ORDENES'!$O61))</f>
        <v/>
      </c>
      <c r="B83" s="24">
        <f>IF('ORDENES'!$A61="","",IF('ORDENES'!$S61="","-",'ORDENES'!$S61))</f>
        <v/>
      </c>
      <c r="C83" s="24">
        <f>IF('ORDENES'!$A61="","",IF('ORDENES'!$AI61="","-",'ORDENES'!$AI61))</f>
        <v/>
      </c>
      <c r="D83" s="24">
        <f>IF('ORDENES'!$A61="","",IF('ORDENES'!$AA61="","-",'ORDENES'!$AA61))</f>
        <v/>
      </c>
      <c r="E83" s="24">
        <f>IF('ORDENES'!$A61="","",IF('ORDENES'!$Y61="","-",'ORDENES'!$Y61))</f>
        <v/>
      </c>
      <c r="F83" s="24">
        <f>IF('ORDENES'!$A61="","",IF('ORDENES'!$AB61="","-",'ORDENES'!$AB61))</f>
        <v/>
      </c>
      <c r="G83" s="24">
        <f>IF('ORDENES'!$A61="","",IF('ORDENES'!$Z61="","-",'ORDENES'!$Z61))</f>
        <v/>
      </c>
      <c r="H83" s="24">
        <f>IF('ORDENES'!$A61="","",IF('ORDENES'!$AH61="","-",'ORDENES'!$AH61))</f>
        <v/>
      </c>
      <c r="I83" s="24">
        <f>IF('ORDENES'!$A61="","",IF('ORDENES'!$AU61="","-",'ORDENES'!$AU61))</f>
        <v/>
      </c>
      <c r="J83" s="24">
        <f>IF('ORDENES'!$A61="","",IF('ORDENES'!$D61="","-",'ORDENES'!$D61))</f>
        <v/>
      </c>
      <c r="K83" s="24">
        <f>IF('ORDENES'!$A61="","",IF('ORDENES'!$E61="","-",'ORDENES'!$E61))</f>
        <v/>
      </c>
      <c r="L83" s="26">
        <f>IF('ORDENES'!$A61="","",IF('ORDENES'!$M61="",0,'ORDENES'!$M61))</f>
        <v/>
      </c>
      <c r="M83" s="24">
        <f>IF('ORDENES'!$A61="","",IF('ORDENES'!$N61="","-",'ORDENES'!$N61))</f>
        <v/>
      </c>
      <c r="N83" s="24">
        <f>IF('ORDENES'!$A61="","",'ORDENES'!$AG61)</f>
        <v/>
      </c>
    </row>
    <row r="84">
      <c r="A84" s="24">
        <f>IF('ORDENES'!$A62="","",IF('ORDENES'!$O62="","-",'ORDENES'!$O62))</f>
        <v/>
      </c>
      <c r="B84" s="24">
        <f>IF('ORDENES'!$A62="","",IF('ORDENES'!$S62="","-",'ORDENES'!$S62))</f>
        <v/>
      </c>
      <c r="C84" s="24">
        <f>IF('ORDENES'!$A62="","",IF('ORDENES'!$AI62="","-",'ORDENES'!$AI62))</f>
        <v/>
      </c>
      <c r="D84" s="24">
        <f>IF('ORDENES'!$A62="","",IF('ORDENES'!$AA62="","-",'ORDENES'!$AA62))</f>
        <v/>
      </c>
      <c r="E84" s="24">
        <f>IF('ORDENES'!$A62="","",IF('ORDENES'!$Y62="","-",'ORDENES'!$Y62))</f>
        <v/>
      </c>
      <c r="F84" s="24">
        <f>IF('ORDENES'!$A62="","",IF('ORDENES'!$AB62="","-",'ORDENES'!$AB62))</f>
        <v/>
      </c>
      <c r="G84" s="24">
        <f>IF('ORDENES'!$A62="","",IF('ORDENES'!$Z62="","-",'ORDENES'!$Z62))</f>
        <v/>
      </c>
      <c r="H84" s="24">
        <f>IF('ORDENES'!$A62="","",IF('ORDENES'!$AH62="","-",'ORDENES'!$AH62))</f>
        <v/>
      </c>
      <c r="I84" s="24">
        <f>IF('ORDENES'!$A62="","",IF('ORDENES'!$AU62="","-",'ORDENES'!$AU62))</f>
        <v/>
      </c>
      <c r="J84" s="24">
        <f>IF('ORDENES'!$A62="","",IF('ORDENES'!$D62="","-",'ORDENES'!$D62))</f>
        <v/>
      </c>
      <c r="K84" s="24">
        <f>IF('ORDENES'!$A62="","",IF('ORDENES'!$E62="","-",'ORDENES'!$E62))</f>
        <v/>
      </c>
      <c r="L84" s="26">
        <f>IF('ORDENES'!$A62="","",IF('ORDENES'!$M62="",0,'ORDENES'!$M62))</f>
        <v/>
      </c>
      <c r="M84" s="24">
        <f>IF('ORDENES'!$A62="","",IF('ORDENES'!$N62="","-",'ORDENES'!$N62))</f>
        <v/>
      </c>
      <c r="N84" s="24">
        <f>IF('ORDENES'!$A62="","",'ORDENES'!$AG62)</f>
        <v/>
      </c>
    </row>
    <row r="85">
      <c r="A85" s="24">
        <f>IF('ORDENES'!$A63="","",IF('ORDENES'!$O63="","-",'ORDENES'!$O63))</f>
        <v/>
      </c>
      <c r="B85" s="24">
        <f>IF('ORDENES'!$A63="","",IF('ORDENES'!$S63="","-",'ORDENES'!$S63))</f>
        <v/>
      </c>
      <c r="C85" s="24">
        <f>IF('ORDENES'!$A63="","",IF('ORDENES'!$AI63="","-",'ORDENES'!$AI63))</f>
        <v/>
      </c>
      <c r="D85" s="24">
        <f>IF('ORDENES'!$A63="","",IF('ORDENES'!$AA63="","-",'ORDENES'!$AA63))</f>
        <v/>
      </c>
      <c r="E85" s="24">
        <f>IF('ORDENES'!$A63="","",IF('ORDENES'!$Y63="","-",'ORDENES'!$Y63))</f>
        <v/>
      </c>
      <c r="F85" s="24">
        <f>IF('ORDENES'!$A63="","",IF('ORDENES'!$AB63="","-",'ORDENES'!$AB63))</f>
        <v/>
      </c>
      <c r="G85" s="24">
        <f>IF('ORDENES'!$A63="","",IF('ORDENES'!$Z63="","-",'ORDENES'!$Z63))</f>
        <v/>
      </c>
      <c r="H85" s="24">
        <f>IF('ORDENES'!$A63="","",IF('ORDENES'!$AH63="","-",'ORDENES'!$AH63))</f>
        <v/>
      </c>
      <c r="I85" s="24">
        <f>IF('ORDENES'!$A63="","",IF('ORDENES'!$AU63="","-",'ORDENES'!$AU63))</f>
        <v/>
      </c>
      <c r="J85" s="24">
        <f>IF('ORDENES'!$A63="","",IF('ORDENES'!$D63="","-",'ORDENES'!$D63))</f>
        <v/>
      </c>
      <c r="K85" s="24">
        <f>IF('ORDENES'!$A63="","",IF('ORDENES'!$E63="","-",'ORDENES'!$E63))</f>
        <v/>
      </c>
      <c r="L85" s="26">
        <f>IF('ORDENES'!$A63="","",IF('ORDENES'!$M63="",0,'ORDENES'!$M63))</f>
        <v/>
      </c>
      <c r="M85" s="24">
        <f>IF('ORDENES'!$A63="","",IF('ORDENES'!$N63="","-",'ORDENES'!$N63))</f>
        <v/>
      </c>
      <c r="N85" s="24">
        <f>IF('ORDENES'!$A63="","",'ORDENES'!$AG63)</f>
        <v/>
      </c>
    </row>
    <row r="86">
      <c r="A86" s="24">
        <f>IF('ORDENES'!$A64="","",IF('ORDENES'!$O64="","-",'ORDENES'!$O64))</f>
        <v/>
      </c>
      <c r="B86" s="24">
        <f>IF('ORDENES'!$A64="","",IF('ORDENES'!$S64="","-",'ORDENES'!$S64))</f>
        <v/>
      </c>
      <c r="C86" s="24">
        <f>IF('ORDENES'!$A64="","",IF('ORDENES'!$AI64="","-",'ORDENES'!$AI64))</f>
        <v/>
      </c>
      <c r="D86" s="24">
        <f>IF('ORDENES'!$A64="","",IF('ORDENES'!$AA64="","-",'ORDENES'!$AA64))</f>
        <v/>
      </c>
      <c r="E86" s="24">
        <f>IF('ORDENES'!$A64="","",IF('ORDENES'!$Y64="","-",'ORDENES'!$Y64))</f>
        <v/>
      </c>
      <c r="F86" s="24">
        <f>IF('ORDENES'!$A64="","",IF('ORDENES'!$AB64="","-",'ORDENES'!$AB64))</f>
        <v/>
      </c>
      <c r="G86" s="24">
        <f>IF('ORDENES'!$A64="","",IF('ORDENES'!$Z64="","-",'ORDENES'!$Z64))</f>
        <v/>
      </c>
      <c r="H86" s="24">
        <f>IF('ORDENES'!$A64="","",IF('ORDENES'!$AH64="","-",'ORDENES'!$AH64))</f>
        <v/>
      </c>
      <c r="I86" s="24">
        <f>IF('ORDENES'!$A64="","",IF('ORDENES'!$AU64="","-",'ORDENES'!$AU64))</f>
        <v/>
      </c>
      <c r="J86" s="24">
        <f>IF('ORDENES'!$A64="","",IF('ORDENES'!$D64="","-",'ORDENES'!$D64))</f>
        <v/>
      </c>
      <c r="K86" s="24">
        <f>IF('ORDENES'!$A64="","",IF('ORDENES'!$E64="","-",'ORDENES'!$E64))</f>
        <v/>
      </c>
      <c r="L86" s="26">
        <f>IF('ORDENES'!$A64="","",IF('ORDENES'!$M64="",0,'ORDENES'!$M64))</f>
        <v/>
      </c>
      <c r="M86" s="24">
        <f>IF('ORDENES'!$A64="","",IF('ORDENES'!$N64="","-",'ORDENES'!$N64))</f>
        <v/>
      </c>
      <c r="N86" s="24">
        <f>IF('ORDENES'!$A64="","",'ORDENES'!$AG64)</f>
        <v/>
      </c>
    </row>
    <row r="87">
      <c r="A87" s="24">
        <f>IF('ORDENES'!$A65="","",IF('ORDENES'!$O65="","-",'ORDENES'!$O65))</f>
        <v/>
      </c>
      <c r="B87" s="24">
        <f>IF('ORDENES'!$A65="","",IF('ORDENES'!$S65="","-",'ORDENES'!$S65))</f>
        <v/>
      </c>
      <c r="C87" s="24">
        <f>IF('ORDENES'!$A65="","",IF('ORDENES'!$AI65="","-",'ORDENES'!$AI65))</f>
        <v/>
      </c>
      <c r="D87" s="24">
        <f>IF('ORDENES'!$A65="","",IF('ORDENES'!$AA65="","-",'ORDENES'!$AA65))</f>
        <v/>
      </c>
      <c r="E87" s="24">
        <f>IF('ORDENES'!$A65="","",IF('ORDENES'!$Y65="","-",'ORDENES'!$Y65))</f>
        <v/>
      </c>
      <c r="F87" s="24">
        <f>IF('ORDENES'!$A65="","",IF('ORDENES'!$AB65="","-",'ORDENES'!$AB65))</f>
        <v/>
      </c>
      <c r="G87" s="24">
        <f>IF('ORDENES'!$A65="","",IF('ORDENES'!$Z65="","-",'ORDENES'!$Z65))</f>
        <v/>
      </c>
      <c r="H87" s="24">
        <f>IF('ORDENES'!$A65="","",IF('ORDENES'!$AH65="","-",'ORDENES'!$AH65))</f>
        <v/>
      </c>
      <c r="I87" s="24">
        <f>IF('ORDENES'!$A65="","",IF('ORDENES'!$AU65="","-",'ORDENES'!$AU65))</f>
        <v/>
      </c>
      <c r="J87" s="24">
        <f>IF('ORDENES'!$A65="","",IF('ORDENES'!$D65="","-",'ORDENES'!$D65))</f>
        <v/>
      </c>
      <c r="K87" s="24">
        <f>IF('ORDENES'!$A65="","",IF('ORDENES'!$E65="","-",'ORDENES'!$E65))</f>
        <v/>
      </c>
      <c r="L87" s="26">
        <f>IF('ORDENES'!$A65="","",IF('ORDENES'!$M65="",0,'ORDENES'!$M65))</f>
        <v/>
      </c>
      <c r="M87" s="24">
        <f>IF('ORDENES'!$A65="","",IF('ORDENES'!$N65="","-",'ORDENES'!$N65))</f>
        <v/>
      </c>
      <c r="N87" s="24">
        <f>IF('ORDENES'!$A65="","",'ORDENES'!$AG65)</f>
        <v/>
      </c>
    </row>
    <row r="88">
      <c r="A88" s="24">
        <f>IF('ORDENES'!$A66="","",IF('ORDENES'!$O66="","-",'ORDENES'!$O66))</f>
        <v/>
      </c>
      <c r="B88" s="24">
        <f>IF('ORDENES'!$A66="","",IF('ORDENES'!$S66="","-",'ORDENES'!$S66))</f>
        <v/>
      </c>
      <c r="C88" s="24">
        <f>IF('ORDENES'!$A66="","",IF('ORDENES'!$AI66="","-",'ORDENES'!$AI66))</f>
        <v/>
      </c>
      <c r="D88" s="24">
        <f>IF('ORDENES'!$A66="","",IF('ORDENES'!$AA66="","-",'ORDENES'!$AA66))</f>
        <v/>
      </c>
      <c r="E88" s="24">
        <f>IF('ORDENES'!$A66="","",IF('ORDENES'!$Y66="","-",'ORDENES'!$Y66))</f>
        <v/>
      </c>
      <c r="F88" s="24">
        <f>IF('ORDENES'!$A66="","",IF('ORDENES'!$AB66="","-",'ORDENES'!$AB66))</f>
        <v/>
      </c>
      <c r="G88" s="24">
        <f>IF('ORDENES'!$A66="","",IF('ORDENES'!$Z66="","-",'ORDENES'!$Z66))</f>
        <v/>
      </c>
      <c r="H88" s="24">
        <f>IF('ORDENES'!$A66="","",IF('ORDENES'!$AH66="","-",'ORDENES'!$AH66))</f>
        <v/>
      </c>
      <c r="I88" s="24">
        <f>IF('ORDENES'!$A66="","",IF('ORDENES'!$AU66="","-",'ORDENES'!$AU66))</f>
        <v/>
      </c>
      <c r="J88" s="24">
        <f>IF('ORDENES'!$A66="","",IF('ORDENES'!$D66="","-",'ORDENES'!$D66))</f>
        <v/>
      </c>
      <c r="K88" s="24">
        <f>IF('ORDENES'!$A66="","",IF('ORDENES'!$E66="","-",'ORDENES'!$E66))</f>
        <v/>
      </c>
      <c r="L88" s="26">
        <f>IF('ORDENES'!$A66="","",IF('ORDENES'!$M66="",0,'ORDENES'!$M66))</f>
        <v/>
      </c>
      <c r="M88" s="24">
        <f>IF('ORDENES'!$A66="","",IF('ORDENES'!$N66="","-",'ORDENES'!$N66))</f>
        <v/>
      </c>
      <c r="N88" s="24">
        <f>IF('ORDENES'!$A66="","",'ORDENES'!$AG66)</f>
        <v/>
      </c>
    </row>
    <row r="89">
      <c r="A89" s="24">
        <f>IF('ORDENES'!$A67="","",IF('ORDENES'!$O67="","-",'ORDENES'!$O67))</f>
        <v/>
      </c>
      <c r="B89" s="24">
        <f>IF('ORDENES'!$A67="","",IF('ORDENES'!$S67="","-",'ORDENES'!$S67))</f>
        <v/>
      </c>
      <c r="C89" s="24">
        <f>IF('ORDENES'!$A67="","",IF('ORDENES'!$AI67="","-",'ORDENES'!$AI67))</f>
        <v/>
      </c>
      <c r="D89" s="24">
        <f>IF('ORDENES'!$A67="","",IF('ORDENES'!$AA67="","-",'ORDENES'!$AA67))</f>
        <v/>
      </c>
      <c r="E89" s="24">
        <f>IF('ORDENES'!$A67="","",IF('ORDENES'!$Y67="","-",'ORDENES'!$Y67))</f>
        <v/>
      </c>
      <c r="F89" s="24">
        <f>IF('ORDENES'!$A67="","",IF('ORDENES'!$AB67="","-",'ORDENES'!$AB67))</f>
        <v/>
      </c>
      <c r="G89" s="24">
        <f>IF('ORDENES'!$A67="","",IF('ORDENES'!$Z67="","-",'ORDENES'!$Z67))</f>
        <v/>
      </c>
      <c r="H89" s="24">
        <f>IF('ORDENES'!$A67="","",IF('ORDENES'!$AH67="","-",'ORDENES'!$AH67))</f>
        <v/>
      </c>
      <c r="I89" s="24">
        <f>IF('ORDENES'!$A67="","",IF('ORDENES'!$AU67="","-",'ORDENES'!$AU67))</f>
        <v/>
      </c>
      <c r="J89" s="24">
        <f>IF('ORDENES'!$A67="","",IF('ORDENES'!$D67="","-",'ORDENES'!$D67))</f>
        <v/>
      </c>
      <c r="K89" s="24">
        <f>IF('ORDENES'!$A67="","",IF('ORDENES'!$E67="","-",'ORDENES'!$E67))</f>
        <v/>
      </c>
      <c r="L89" s="26">
        <f>IF('ORDENES'!$A67="","",IF('ORDENES'!$M67="",0,'ORDENES'!$M67))</f>
        <v/>
      </c>
      <c r="M89" s="24">
        <f>IF('ORDENES'!$A67="","",IF('ORDENES'!$N67="","-",'ORDENES'!$N67))</f>
        <v/>
      </c>
      <c r="N89" s="24">
        <f>IF('ORDENES'!$A67="","",'ORDENES'!$AG67)</f>
        <v/>
      </c>
    </row>
    <row r="90">
      <c r="A90" s="24">
        <f>IF('ORDENES'!$A68="","",IF('ORDENES'!$O68="","-",'ORDENES'!$O68))</f>
        <v/>
      </c>
      <c r="B90" s="24">
        <f>IF('ORDENES'!$A68="","",IF('ORDENES'!$S68="","-",'ORDENES'!$S68))</f>
        <v/>
      </c>
      <c r="C90" s="24">
        <f>IF('ORDENES'!$A68="","",IF('ORDENES'!$AI68="","-",'ORDENES'!$AI68))</f>
        <v/>
      </c>
      <c r="D90" s="24">
        <f>IF('ORDENES'!$A68="","",IF('ORDENES'!$AA68="","-",'ORDENES'!$AA68))</f>
        <v/>
      </c>
      <c r="E90" s="24">
        <f>IF('ORDENES'!$A68="","",IF('ORDENES'!$Y68="","-",'ORDENES'!$Y68))</f>
        <v/>
      </c>
      <c r="F90" s="24">
        <f>IF('ORDENES'!$A68="","",IF('ORDENES'!$AB68="","-",'ORDENES'!$AB68))</f>
        <v/>
      </c>
      <c r="G90" s="24">
        <f>IF('ORDENES'!$A68="","",IF('ORDENES'!$Z68="","-",'ORDENES'!$Z68))</f>
        <v/>
      </c>
      <c r="H90" s="24">
        <f>IF('ORDENES'!$A68="","",IF('ORDENES'!$AH68="","-",'ORDENES'!$AH68))</f>
        <v/>
      </c>
      <c r="I90" s="24">
        <f>IF('ORDENES'!$A68="","",IF('ORDENES'!$AU68="","-",'ORDENES'!$AU68))</f>
        <v/>
      </c>
      <c r="J90" s="24">
        <f>IF('ORDENES'!$A68="","",IF('ORDENES'!$D68="","-",'ORDENES'!$D68))</f>
        <v/>
      </c>
      <c r="K90" s="24">
        <f>IF('ORDENES'!$A68="","",IF('ORDENES'!$E68="","-",'ORDENES'!$E68))</f>
        <v/>
      </c>
      <c r="L90" s="26">
        <f>IF('ORDENES'!$A68="","",IF('ORDENES'!$M68="",0,'ORDENES'!$M68))</f>
        <v/>
      </c>
      <c r="M90" s="24">
        <f>IF('ORDENES'!$A68="","",IF('ORDENES'!$N68="","-",'ORDENES'!$N68))</f>
        <v/>
      </c>
      <c r="N90" s="24">
        <f>IF('ORDENES'!$A68="","",'ORDENES'!$AG68)</f>
        <v/>
      </c>
    </row>
    <row r="91">
      <c r="A91" s="24">
        <f>IF('ORDENES'!$A69="","",IF('ORDENES'!$O69="","-",'ORDENES'!$O69))</f>
        <v/>
      </c>
      <c r="B91" s="24">
        <f>IF('ORDENES'!$A69="","",IF('ORDENES'!$S69="","-",'ORDENES'!$S69))</f>
        <v/>
      </c>
      <c r="C91" s="24">
        <f>IF('ORDENES'!$A69="","",IF('ORDENES'!$AI69="","-",'ORDENES'!$AI69))</f>
        <v/>
      </c>
      <c r="D91" s="24">
        <f>IF('ORDENES'!$A69="","",IF('ORDENES'!$AA69="","-",'ORDENES'!$AA69))</f>
        <v/>
      </c>
      <c r="E91" s="24">
        <f>IF('ORDENES'!$A69="","",IF('ORDENES'!$Y69="","-",'ORDENES'!$Y69))</f>
        <v/>
      </c>
      <c r="F91" s="24">
        <f>IF('ORDENES'!$A69="","",IF('ORDENES'!$AB69="","-",'ORDENES'!$AB69))</f>
        <v/>
      </c>
      <c r="G91" s="24">
        <f>IF('ORDENES'!$A69="","",IF('ORDENES'!$Z69="","-",'ORDENES'!$Z69))</f>
        <v/>
      </c>
      <c r="H91" s="24">
        <f>IF('ORDENES'!$A69="","",IF('ORDENES'!$AH69="","-",'ORDENES'!$AH69))</f>
        <v/>
      </c>
      <c r="I91" s="24">
        <f>IF('ORDENES'!$A69="","",IF('ORDENES'!$AU69="","-",'ORDENES'!$AU69))</f>
        <v/>
      </c>
      <c r="J91" s="24">
        <f>IF('ORDENES'!$A69="","",IF('ORDENES'!$D69="","-",'ORDENES'!$D69))</f>
        <v/>
      </c>
      <c r="K91" s="24">
        <f>IF('ORDENES'!$A69="","",IF('ORDENES'!$E69="","-",'ORDENES'!$E69))</f>
        <v/>
      </c>
      <c r="L91" s="26">
        <f>IF('ORDENES'!$A69="","",IF('ORDENES'!$M69="",0,'ORDENES'!$M69))</f>
        <v/>
      </c>
      <c r="M91" s="24">
        <f>IF('ORDENES'!$A69="","",IF('ORDENES'!$N69="","-",'ORDENES'!$N69))</f>
        <v/>
      </c>
      <c r="N91" s="24">
        <f>IF('ORDENES'!$A69="","",'ORDENES'!$AG69)</f>
        <v/>
      </c>
    </row>
    <row r="92">
      <c r="A92" s="24">
        <f>IF('ORDENES'!$A70="","",IF('ORDENES'!$O70="","-",'ORDENES'!$O70))</f>
        <v/>
      </c>
      <c r="B92" s="24">
        <f>IF('ORDENES'!$A70="","",IF('ORDENES'!$S70="","-",'ORDENES'!$S70))</f>
        <v/>
      </c>
      <c r="C92" s="24">
        <f>IF('ORDENES'!$A70="","",IF('ORDENES'!$AI70="","-",'ORDENES'!$AI70))</f>
        <v/>
      </c>
      <c r="D92" s="24">
        <f>IF('ORDENES'!$A70="","",IF('ORDENES'!$AA70="","-",'ORDENES'!$AA70))</f>
        <v/>
      </c>
      <c r="E92" s="24">
        <f>IF('ORDENES'!$A70="","",IF('ORDENES'!$Y70="","-",'ORDENES'!$Y70))</f>
        <v/>
      </c>
      <c r="F92" s="24">
        <f>IF('ORDENES'!$A70="","",IF('ORDENES'!$AB70="","-",'ORDENES'!$AB70))</f>
        <v/>
      </c>
      <c r="G92" s="24">
        <f>IF('ORDENES'!$A70="","",IF('ORDENES'!$Z70="","-",'ORDENES'!$Z70))</f>
        <v/>
      </c>
      <c r="H92" s="24">
        <f>IF('ORDENES'!$A70="","",IF('ORDENES'!$AH70="","-",'ORDENES'!$AH70))</f>
        <v/>
      </c>
      <c r="I92" s="24">
        <f>IF('ORDENES'!$A70="","",IF('ORDENES'!$AU70="","-",'ORDENES'!$AU70))</f>
        <v/>
      </c>
      <c r="J92" s="24">
        <f>IF('ORDENES'!$A70="","",IF('ORDENES'!$D70="","-",'ORDENES'!$D70))</f>
        <v/>
      </c>
      <c r="K92" s="24">
        <f>IF('ORDENES'!$A70="","",IF('ORDENES'!$E70="","-",'ORDENES'!$E70))</f>
        <v/>
      </c>
      <c r="L92" s="26">
        <f>IF('ORDENES'!$A70="","",IF('ORDENES'!$M70="",0,'ORDENES'!$M70))</f>
        <v/>
      </c>
      <c r="M92" s="24">
        <f>IF('ORDENES'!$A70="","",IF('ORDENES'!$N70="","-",'ORDENES'!$N70))</f>
        <v/>
      </c>
      <c r="N92" s="24">
        <f>IF('ORDENES'!$A70="","",'ORDENES'!$AG70)</f>
        <v/>
      </c>
    </row>
    <row r="93">
      <c r="A93" s="24">
        <f>IF('ORDENES'!$A71="","",IF('ORDENES'!$O71="","-",'ORDENES'!$O71))</f>
        <v/>
      </c>
      <c r="B93" s="24">
        <f>IF('ORDENES'!$A71="","",IF('ORDENES'!$S71="","-",'ORDENES'!$S71))</f>
        <v/>
      </c>
      <c r="C93" s="24">
        <f>IF('ORDENES'!$A71="","",IF('ORDENES'!$AI71="","-",'ORDENES'!$AI71))</f>
        <v/>
      </c>
      <c r="D93" s="24">
        <f>IF('ORDENES'!$A71="","",IF('ORDENES'!$AA71="","-",'ORDENES'!$AA71))</f>
        <v/>
      </c>
      <c r="E93" s="24">
        <f>IF('ORDENES'!$A71="","",IF('ORDENES'!$Y71="","-",'ORDENES'!$Y71))</f>
        <v/>
      </c>
      <c r="F93" s="24">
        <f>IF('ORDENES'!$A71="","",IF('ORDENES'!$AB71="","-",'ORDENES'!$AB71))</f>
        <v/>
      </c>
      <c r="G93" s="24">
        <f>IF('ORDENES'!$A71="","",IF('ORDENES'!$Z71="","-",'ORDENES'!$Z71))</f>
        <v/>
      </c>
      <c r="H93" s="24">
        <f>IF('ORDENES'!$A71="","",IF('ORDENES'!$AH71="","-",'ORDENES'!$AH71))</f>
        <v/>
      </c>
      <c r="I93" s="24">
        <f>IF('ORDENES'!$A71="","",IF('ORDENES'!$AU71="","-",'ORDENES'!$AU71))</f>
        <v/>
      </c>
      <c r="J93" s="24">
        <f>IF('ORDENES'!$A71="","",IF('ORDENES'!$D71="","-",'ORDENES'!$D71))</f>
        <v/>
      </c>
      <c r="K93" s="24">
        <f>IF('ORDENES'!$A71="","",IF('ORDENES'!$E71="","-",'ORDENES'!$E71))</f>
        <v/>
      </c>
      <c r="L93" s="26">
        <f>IF('ORDENES'!$A71="","",IF('ORDENES'!$M71="",0,'ORDENES'!$M71))</f>
        <v/>
      </c>
      <c r="M93" s="24">
        <f>IF('ORDENES'!$A71="","",IF('ORDENES'!$N71="","-",'ORDENES'!$N71))</f>
        <v/>
      </c>
      <c r="N93" s="24">
        <f>IF('ORDENES'!$A71="","",'ORDENES'!$AG71)</f>
        <v/>
      </c>
    </row>
    <row r="94">
      <c r="A94" s="24">
        <f>IF('ORDENES'!$A72="","",IF('ORDENES'!$O72="","-",'ORDENES'!$O72))</f>
        <v/>
      </c>
      <c r="B94" s="24">
        <f>IF('ORDENES'!$A72="","",IF('ORDENES'!$S72="","-",'ORDENES'!$S72))</f>
        <v/>
      </c>
      <c r="C94" s="24">
        <f>IF('ORDENES'!$A72="","",IF('ORDENES'!$AI72="","-",'ORDENES'!$AI72))</f>
        <v/>
      </c>
      <c r="D94" s="24">
        <f>IF('ORDENES'!$A72="","",IF('ORDENES'!$AA72="","-",'ORDENES'!$AA72))</f>
        <v/>
      </c>
      <c r="E94" s="24">
        <f>IF('ORDENES'!$A72="","",IF('ORDENES'!$Y72="","-",'ORDENES'!$Y72))</f>
        <v/>
      </c>
      <c r="F94" s="24">
        <f>IF('ORDENES'!$A72="","",IF('ORDENES'!$AB72="","-",'ORDENES'!$AB72))</f>
        <v/>
      </c>
      <c r="G94" s="24">
        <f>IF('ORDENES'!$A72="","",IF('ORDENES'!$Z72="","-",'ORDENES'!$Z72))</f>
        <v/>
      </c>
      <c r="H94" s="24">
        <f>IF('ORDENES'!$A72="","",IF('ORDENES'!$AH72="","-",'ORDENES'!$AH72))</f>
        <v/>
      </c>
      <c r="I94" s="24">
        <f>IF('ORDENES'!$A72="","",IF('ORDENES'!$AU72="","-",'ORDENES'!$AU72))</f>
        <v/>
      </c>
      <c r="J94" s="24">
        <f>IF('ORDENES'!$A72="","",IF('ORDENES'!$D72="","-",'ORDENES'!$D72))</f>
        <v/>
      </c>
      <c r="K94" s="24">
        <f>IF('ORDENES'!$A72="","",IF('ORDENES'!$E72="","-",'ORDENES'!$E72))</f>
        <v/>
      </c>
      <c r="L94" s="26">
        <f>IF('ORDENES'!$A72="","",IF('ORDENES'!$M72="",0,'ORDENES'!$M72))</f>
        <v/>
      </c>
      <c r="M94" s="24">
        <f>IF('ORDENES'!$A72="","",IF('ORDENES'!$N72="","-",'ORDENES'!$N72))</f>
        <v/>
      </c>
      <c r="N94" s="24">
        <f>IF('ORDENES'!$A72="","",'ORDENES'!$AG72)</f>
        <v/>
      </c>
    </row>
    <row r="95">
      <c r="A95" s="24">
        <f>IF('ORDENES'!$A73="","",IF('ORDENES'!$O73="","-",'ORDENES'!$O73))</f>
        <v/>
      </c>
      <c r="B95" s="24">
        <f>IF('ORDENES'!$A73="","",IF('ORDENES'!$S73="","-",'ORDENES'!$S73))</f>
        <v/>
      </c>
      <c r="C95" s="24">
        <f>IF('ORDENES'!$A73="","",IF('ORDENES'!$AI73="","-",'ORDENES'!$AI73))</f>
        <v/>
      </c>
      <c r="D95" s="24">
        <f>IF('ORDENES'!$A73="","",IF('ORDENES'!$AA73="","-",'ORDENES'!$AA73))</f>
        <v/>
      </c>
      <c r="E95" s="24">
        <f>IF('ORDENES'!$A73="","",IF('ORDENES'!$Y73="","-",'ORDENES'!$Y73))</f>
        <v/>
      </c>
      <c r="F95" s="24">
        <f>IF('ORDENES'!$A73="","",IF('ORDENES'!$AB73="","-",'ORDENES'!$AB73))</f>
        <v/>
      </c>
      <c r="G95" s="24">
        <f>IF('ORDENES'!$A73="","",IF('ORDENES'!$Z73="","-",'ORDENES'!$Z73))</f>
        <v/>
      </c>
      <c r="H95" s="24">
        <f>IF('ORDENES'!$A73="","",IF('ORDENES'!$AH73="","-",'ORDENES'!$AH73))</f>
        <v/>
      </c>
      <c r="I95" s="24">
        <f>IF('ORDENES'!$A73="","",IF('ORDENES'!$AU73="","-",'ORDENES'!$AU73))</f>
        <v/>
      </c>
      <c r="J95" s="24">
        <f>IF('ORDENES'!$A73="","",IF('ORDENES'!$D73="","-",'ORDENES'!$D73))</f>
        <v/>
      </c>
      <c r="K95" s="24">
        <f>IF('ORDENES'!$A73="","",IF('ORDENES'!$E73="","-",'ORDENES'!$E73))</f>
        <v/>
      </c>
      <c r="L95" s="26">
        <f>IF('ORDENES'!$A73="","",IF('ORDENES'!$M73="",0,'ORDENES'!$M73))</f>
        <v/>
      </c>
      <c r="M95" s="24">
        <f>IF('ORDENES'!$A73="","",IF('ORDENES'!$N73="","-",'ORDENES'!$N73))</f>
        <v/>
      </c>
      <c r="N95" s="24">
        <f>IF('ORDENES'!$A73="","",'ORDENES'!$AG73)</f>
        <v/>
      </c>
    </row>
    <row r="96">
      <c r="A96" s="24">
        <f>IF('ORDENES'!$A74="","",IF('ORDENES'!$O74="","-",'ORDENES'!$O74))</f>
        <v/>
      </c>
      <c r="B96" s="24">
        <f>IF('ORDENES'!$A74="","",IF('ORDENES'!$S74="","-",'ORDENES'!$S74))</f>
        <v/>
      </c>
      <c r="C96" s="24">
        <f>IF('ORDENES'!$A74="","",IF('ORDENES'!$AI74="","-",'ORDENES'!$AI74))</f>
        <v/>
      </c>
      <c r="D96" s="24">
        <f>IF('ORDENES'!$A74="","",IF('ORDENES'!$AA74="","-",'ORDENES'!$AA74))</f>
        <v/>
      </c>
      <c r="E96" s="24">
        <f>IF('ORDENES'!$A74="","",IF('ORDENES'!$Y74="","-",'ORDENES'!$Y74))</f>
        <v/>
      </c>
      <c r="F96" s="24">
        <f>IF('ORDENES'!$A74="","",IF('ORDENES'!$AB74="","-",'ORDENES'!$AB74))</f>
        <v/>
      </c>
      <c r="G96" s="24">
        <f>IF('ORDENES'!$A74="","",IF('ORDENES'!$Z74="","-",'ORDENES'!$Z74))</f>
        <v/>
      </c>
      <c r="H96" s="24">
        <f>IF('ORDENES'!$A74="","",IF('ORDENES'!$AH74="","-",'ORDENES'!$AH74))</f>
        <v/>
      </c>
      <c r="I96" s="24">
        <f>IF('ORDENES'!$A74="","",IF('ORDENES'!$AU74="","-",'ORDENES'!$AU74))</f>
        <v/>
      </c>
      <c r="J96" s="24">
        <f>IF('ORDENES'!$A74="","",IF('ORDENES'!$D74="","-",'ORDENES'!$D74))</f>
        <v/>
      </c>
      <c r="K96" s="24">
        <f>IF('ORDENES'!$A74="","",IF('ORDENES'!$E74="","-",'ORDENES'!$E74))</f>
        <v/>
      </c>
      <c r="L96" s="26">
        <f>IF('ORDENES'!$A74="","",IF('ORDENES'!$M74="",0,'ORDENES'!$M74))</f>
        <v/>
      </c>
      <c r="M96" s="24">
        <f>IF('ORDENES'!$A74="","",IF('ORDENES'!$N74="","-",'ORDENES'!$N74))</f>
        <v/>
      </c>
      <c r="N96" s="24">
        <f>IF('ORDENES'!$A74="","",'ORDENES'!$AG74)</f>
        <v/>
      </c>
    </row>
    <row r="97">
      <c r="A97" s="24">
        <f>IF('ORDENES'!$A75="","",IF('ORDENES'!$O75="","-",'ORDENES'!$O75))</f>
        <v/>
      </c>
      <c r="B97" s="24">
        <f>IF('ORDENES'!$A75="","",IF('ORDENES'!$S75="","-",'ORDENES'!$S75))</f>
        <v/>
      </c>
      <c r="C97" s="24">
        <f>IF('ORDENES'!$A75="","",IF('ORDENES'!$AI75="","-",'ORDENES'!$AI75))</f>
        <v/>
      </c>
      <c r="D97" s="24">
        <f>IF('ORDENES'!$A75="","",IF('ORDENES'!$AA75="","-",'ORDENES'!$AA75))</f>
        <v/>
      </c>
      <c r="E97" s="24">
        <f>IF('ORDENES'!$A75="","",IF('ORDENES'!$Y75="","-",'ORDENES'!$Y75))</f>
        <v/>
      </c>
      <c r="F97" s="24">
        <f>IF('ORDENES'!$A75="","",IF('ORDENES'!$AB75="","-",'ORDENES'!$AB75))</f>
        <v/>
      </c>
      <c r="G97" s="24">
        <f>IF('ORDENES'!$A75="","",IF('ORDENES'!$Z75="","-",'ORDENES'!$Z75))</f>
        <v/>
      </c>
      <c r="H97" s="24">
        <f>IF('ORDENES'!$A75="","",IF('ORDENES'!$AH75="","-",'ORDENES'!$AH75))</f>
        <v/>
      </c>
      <c r="I97" s="24">
        <f>IF('ORDENES'!$A75="","",IF('ORDENES'!$AU75="","-",'ORDENES'!$AU75))</f>
        <v/>
      </c>
      <c r="J97" s="24">
        <f>IF('ORDENES'!$A75="","",IF('ORDENES'!$D75="","-",'ORDENES'!$D75))</f>
        <v/>
      </c>
      <c r="K97" s="24">
        <f>IF('ORDENES'!$A75="","",IF('ORDENES'!$E75="","-",'ORDENES'!$E75))</f>
        <v/>
      </c>
      <c r="L97" s="26">
        <f>IF('ORDENES'!$A75="","",IF('ORDENES'!$M75="",0,'ORDENES'!$M75))</f>
        <v/>
      </c>
      <c r="M97" s="24">
        <f>IF('ORDENES'!$A75="","",IF('ORDENES'!$N75="","-",'ORDENES'!$N75))</f>
        <v/>
      </c>
      <c r="N97" s="24">
        <f>IF('ORDENES'!$A75="","",'ORDENES'!$AG75)</f>
        <v/>
      </c>
    </row>
    <row r="98">
      <c r="A98" s="24">
        <f>IF('ORDENES'!$A76="","",IF('ORDENES'!$O76="","-",'ORDENES'!$O76))</f>
        <v/>
      </c>
      <c r="B98" s="24">
        <f>IF('ORDENES'!$A76="","",IF('ORDENES'!$S76="","-",'ORDENES'!$S76))</f>
        <v/>
      </c>
      <c r="C98" s="24">
        <f>IF('ORDENES'!$A76="","",IF('ORDENES'!$AI76="","-",'ORDENES'!$AI76))</f>
        <v/>
      </c>
      <c r="D98" s="24">
        <f>IF('ORDENES'!$A76="","",IF('ORDENES'!$AA76="","-",'ORDENES'!$AA76))</f>
        <v/>
      </c>
      <c r="E98" s="24">
        <f>IF('ORDENES'!$A76="","",IF('ORDENES'!$Y76="","-",'ORDENES'!$Y76))</f>
        <v/>
      </c>
      <c r="F98" s="24">
        <f>IF('ORDENES'!$A76="","",IF('ORDENES'!$AB76="","-",'ORDENES'!$AB76))</f>
        <v/>
      </c>
      <c r="G98" s="24">
        <f>IF('ORDENES'!$A76="","",IF('ORDENES'!$Z76="","-",'ORDENES'!$Z76))</f>
        <v/>
      </c>
      <c r="H98" s="24">
        <f>IF('ORDENES'!$A76="","",IF('ORDENES'!$AH76="","-",'ORDENES'!$AH76))</f>
        <v/>
      </c>
      <c r="I98" s="24">
        <f>IF('ORDENES'!$A76="","",IF('ORDENES'!$AU76="","-",'ORDENES'!$AU76))</f>
        <v/>
      </c>
      <c r="J98" s="24">
        <f>IF('ORDENES'!$A76="","",IF('ORDENES'!$D76="","-",'ORDENES'!$D76))</f>
        <v/>
      </c>
      <c r="K98" s="24">
        <f>IF('ORDENES'!$A76="","",IF('ORDENES'!$E76="","-",'ORDENES'!$E76))</f>
        <v/>
      </c>
      <c r="L98" s="26">
        <f>IF('ORDENES'!$A76="","",IF('ORDENES'!$M76="",0,'ORDENES'!$M76))</f>
        <v/>
      </c>
      <c r="M98" s="24">
        <f>IF('ORDENES'!$A76="","",IF('ORDENES'!$N76="","-",'ORDENES'!$N76))</f>
        <v/>
      </c>
      <c r="N98" s="24">
        <f>IF('ORDENES'!$A76="","",'ORDENES'!$AG76)</f>
        <v/>
      </c>
    </row>
    <row r="99">
      <c r="A99" s="24">
        <f>IF('ORDENES'!$A77="","",IF('ORDENES'!$O77="","-",'ORDENES'!$O77))</f>
        <v/>
      </c>
      <c r="B99" s="24">
        <f>IF('ORDENES'!$A77="","",IF('ORDENES'!$S77="","-",'ORDENES'!$S77))</f>
        <v/>
      </c>
      <c r="C99" s="24">
        <f>IF('ORDENES'!$A77="","",IF('ORDENES'!$AI77="","-",'ORDENES'!$AI77))</f>
        <v/>
      </c>
      <c r="D99" s="24">
        <f>IF('ORDENES'!$A77="","",IF('ORDENES'!$AA77="","-",'ORDENES'!$AA77))</f>
        <v/>
      </c>
      <c r="E99" s="24">
        <f>IF('ORDENES'!$A77="","",IF('ORDENES'!$Y77="","-",'ORDENES'!$Y77))</f>
        <v/>
      </c>
      <c r="F99" s="24">
        <f>IF('ORDENES'!$A77="","",IF('ORDENES'!$AB77="","-",'ORDENES'!$AB77))</f>
        <v/>
      </c>
      <c r="G99" s="24">
        <f>IF('ORDENES'!$A77="","",IF('ORDENES'!$Z77="","-",'ORDENES'!$Z77))</f>
        <v/>
      </c>
      <c r="H99" s="24">
        <f>IF('ORDENES'!$A77="","",IF('ORDENES'!$AH77="","-",'ORDENES'!$AH77))</f>
        <v/>
      </c>
      <c r="I99" s="24">
        <f>IF('ORDENES'!$A77="","",IF('ORDENES'!$AU77="","-",'ORDENES'!$AU77))</f>
        <v/>
      </c>
      <c r="J99" s="24">
        <f>IF('ORDENES'!$A77="","",IF('ORDENES'!$D77="","-",'ORDENES'!$D77))</f>
        <v/>
      </c>
      <c r="K99" s="24">
        <f>IF('ORDENES'!$A77="","",IF('ORDENES'!$E77="","-",'ORDENES'!$E77))</f>
        <v/>
      </c>
      <c r="L99" s="26">
        <f>IF('ORDENES'!$A77="","",IF('ORDENES'!$M77="",0,'ORDENES'!$M77))</f>
        <v/>
      </c>
      <c r="M99" s="24">
        <f>IF('ORDENES'!$A77="","",IF('ORDENES'!$N77="","-",'ORDENES'!$N77))</f>
        <v/>
      </c>
      <c r="N99" s="24">
        <f>IF('ORDENES'!$A77="","",'ORDENES'!$AG77)</f>
        <v/>
      </c>
    </row>
    <row r="100">
      <c r="A100" s="24">
        <f>IF('ORDENES'!$A78="","",IF('ORDENES'!$O78="","-",'ORDENES'!$O78))</f>
        <v/>
      </c>
      <c r="B100" s="24">
        <f>IF('ORDENES'!$A78="","",IF('ORDENES'!$S78="","-",'ORDENES'!$S78))</f>
        <v/>
      </c>
      <c r="C100" s="24">
        <f>IF('ORDENES'!$A78="","",IF('ORDENES'!$AI78="","-",'ORDENES'!$AI78))</f>
        <v/>
      </c>
      <c r="D100" s="24">
        <f>IF('ORDENES'!$A78="","",IF('ORDENES'!$AA78="","-",'ORDENES'!$AA78))</f>
        <v/>
      </c>
      <c r="E100" s="24">
        <f>IF('ORDENES'!$A78="","",IF('ORDENES'!$Y78="","-",'ORDENES'!$Y78))</f>
        <v/>
      </c>
      <c r="F100" s="24">
        <f>IF('ORDENES'!$A78="","",IF('ORDENES'!$AB78="","-",'ORDENES'!$AB78))</f>
        <v/>
      </c>
      <c r="G100" s="24">
        <f>IF('ORDENES'!$A78="","",IF('ORDENES'!$Z78="","-",'ORDENES'!$Z78))</f>
        <v/>
      </c>
      <c r="H100" s="24">
        <f>IF('ORDENES'!$A78="","",IF('ORDENES'!$AH78="","-",'ORDENES'!$AH78))</f>
        <v/>
      </c>
      <c r="I100" s="24">
        <f>IF('ORDENES'!$A78="","",IF('ORDENES'!$AU78="","-",'ORDENES'!$AU78))</f>
        <v/>
      </c>
      <c r="J100" s="24">
        <f>IF('ORDENES'!$A78="","",IF('ORDENES'!$D78="","-",'ORDENES'!$D78))</f>
        <v/>
      </c>
      <c r="K100" s="24">
        <f>IF('ORDENES'!$A78="","",IF('ORDENES'!$E78="","-",'ORDENES'!$E78))</f>
        <v/>
      </c>
      <c r="L100" s="26">
        <f>IF('ORDENES'!$A78="","",IF('ORDENES'!$M78="",0,'ORDENES'!$M78))</f>
        <v/>
      </c>
      <c r="M100" s="24">
        <f>IF('ORDENES'!$A78="","",IF('ORDENES'!$N78="","-",'ORDENES'!$N78))</f>
        <v/>
      </c>
      <c r="N100" s="24">
        <f>IF('ORDENES'!$A78="","",'ORDENES'!$AG78)</f>
        <v/>
      </c>
    </row>
    <row r="101">
      <c r="A101" s="24">
        <f>IF('ORDENES'!$A79="","",IF('ORDENES'!$O79="","-",'ORDENES'!$O79))</f>
        <v/>
      </c>
      <c r="B101" s="24">
        <f>IF('ORDENES'!$A79="","",IF('ORDENES'!$S79="","-",'ORDENES'!$S79))</f>
        <v/>
      </c>
      <c r="C101" s="24">
        <f>IF('ORDENES'!$A79="","",IF('ORDENES'!$AI79="","-",'ORDENES'!$AI79))</f>
        <v/>
      </c>
      <c r="D101" s="24">
        <f>IF('ORDENES'!$A79="","",IF('ORDENES'!$AA79="","-",'ORDENES'!$AA79))</f>
        <v/>
      </c>
      <c r="E101" s="24">
        <f>IF('ORDENES'!$A79="","",IF('ORDENES'!$Y79="","-",'ORDENES'!$Y79))</f>
        <v/>
      </c>
      <c r="F101" s="24">
        <f>IF('ORDENES'!$A79="","",IF('ORDENES'!$AB79="","-",'ORDENES'!$AB79))</f>
        <v/>
      </c>
      <c r="G101" s="24">
        <f>IF('ORDENES'!$A79="","",IF('ORDENES'!$Z79="","-",'ORDENES'!$Z79))</f>
        <v/>
      </c>
      <c r="H101" s="24">
        <f>IF('ORDENES'!$A79="","",IF('ORDENES'!$AH79="","-",'ORDENES'!$AH79))</f>
        <v/>
      </c>
      <c r="I101" s="24">
        <f>IF('ORDENES'!$A79="","",IF('ORDENES'!$AU79="","-",'ORDENES'!$AU79))</f>
        <v/>
      </c>
      <c r="J101" s="24">
        <f>IF('ORDENES'!$A79="","",IF('ORDENES'!$D79="","-",'ORDENES'!$D79))</f>
        <v/>
      </c>
      <c r="K101" s="24">
        <f>IF('ORDENES'!$A79="","",IF('ORDENES'!$E79="","-",'ORDENES'!$E79))</f>
        <v/>
      </c>
      <c r="L101" s="26">
        <f>IF('ORDENES'!$A79="","",IF('ORDENES'!$M79="",0,'ORDENES'!$M79))</f>
        <v/>
      </c>
      <c r="M101" s="24">
        <f>IF('ORDENES'!$A79="","",IF('ORDENES'!$N79="","-",'ORDENES'!$N79))</f>
        <v/>
      </c>
      <c r="N101" s="24">
        <f>IF('ORDENES'!$A79="","",'ORDENES'!$AG79)</f>
        <v/>
      </c>
    </row>
    <row r="102">
      <c r="A102" s="24">
        <f>IF('ORDENES'!$A80="","",IF('ORDENES'!$O80="","-",'ORDENES'!$O80))</f>
        <v/>
      </c>
      <c r="B102" s="24">
        <f>IF('ORDENES'!$A80="","",IF('ORDENES'!$S80="","-",'ORDENES'!$S80))</f>
        <v/>
      </c>
      <c r="C102" s="24">
        <f>IF('ORDENES'!$A80="","",IF('ORDENES'!$AI80="","-",'ORDENES'!$AI80))</f>
        <v/>
      </c>
      <c r="D102" s="24">
        <f>IF('ORDENES'!$A80="","",IF('ORDENES'!$AA80="","-",'ORDENES'!$AA80))</f>
        <v/>
      </c>
      <c r="E102" s="24">
        <f>IF('ORDENES'!$A80="","",IF('ORDENES'!$Y80="","-",'ORDENES'!$Y80))</f>
        <v/>
      </c>
      <c r="F102" s="24">
        <f>IF('ORDENES'!$A80="","",IF('ORDENES'!$AB80="","-",'ORDENES'!$AB80))</f>
        <v/>
      </c>
      <c r="G102" s="24">
        <f>IF('ORDENES'!$A80="","",IF('ORDENES'!$Z80="","-",'ORDENES'!$Z80))</f>
        <v/>
      </c>
      <c r="H102" s="24">
        <f>IF('ORDENES'!$A80="","",IF('ORDENES'!$AH80="","-",'ORDENES'!$AH80))</f>
        <v/>
      </c>
      <c r="I102" s="24">
        <f>IF('ORDENES'!$A80="","",IF('ORDENES'!$AU80="","-",'ORDENES'!$AU80))</f>
        <v/>
      </c>
      <c r="J102" s="24">
        <f>IF('ORDENES'!$A80="","",IF('ORDENES'!$D80="","-",'ORDENES'!$D80))</f>
        <v/>
      </c>
      <c r="K102" s="24">
        <f>IF('ORDENES'!$A80="","",IF('ORDENES'!$E80="","-",'ORDENES'!$E80))</f>
        <v/>
      </c>
      <c r="L102" s="26">
        <f>IF('ORDENES'!$A80="","",IF('ORDENES'!$M80="",0,'ORDENES'!$M80))</f>
        <v/>
      </c>
      <c r="M102" s="24">
        <f>IF('ORDENES'!$A80="","",IF('ORDENES'!$N80="","-",'ORDENES'!$N80))</f>
        <v/>
      </c>
      <c r="N102" s="24">
        <f>IF('ORDENES'!$A80="","",'ORDENES'!$AG80)</f>
        <v/>
      </c>
    </row>
    <row r="103">
      <c r="A103" s="24">
        <f>IF('ORDENES'!$A81="","",IF('ORDENES'!$O81="","-",'ORDENES'!$O81))</f>
        <v/>
      </c>
      <c r="B103" s="24">
        <f>IF('ORDENES'!$A81="","",IF('ORDENES'!$S81="","-",'ORDENES'!$S81))</f>
        <v/>
      </c>
      <c r="C103" s="24">
        <f>IF('ORDENES'!$A81="","",IF('ORDENES'!$AI81="","-",'ORDENES'!$AI81))</f>
        <v/>
      </c>
      <c r="D103" s="24">
        <f>IF('ORDENES'!$A81="","",IF('ORDENES'!$AA81="","-",'ORDENES'!$AA81))</f>
        <v/>
      </c>
      <c r="E103" s="24">
        <f>IF('ORDENES'!$A81="","",IF('ORDENES'!$Y81="","-",'ORDENES'!$Y81))</f>
        <v/>
      </c>
      <c r="F103" s="24">
        <f>IF('ORDENES'!$A81="","",IF('ORDENES'!$AB81="","-",'ORDENES'!$AB81))</f>
        <v/>
      </c>
      <c r="G103" s="24">
        <f>IF('ORDENES'!$A81="","",IF('ORDENES'!$Z81="","-",'ORDENES'!$Z81))</f>
        <v/>
      </c>
      <c r="H103" s="24">
        <f>IF('ORDENES'!$A81="","",IF('ORDENES'!$AH81="","-",'ORDENES'!$AH81))</f>
        <v/>
      </c>
      <c r="I103" s="24">
        <f>IF('ORDENES'!$A81="","",IF('ORDENES'!$AU81="","-",'ORDENES'!$AU81))</f>
        <v/>
      </c>
      <c r="J103" s="24">
        <f>IF('ORDENES'!$A81="","",IF('ORDENES'!$D81="","-",'ORDENES'!$D81))</f>
        <v/>
      </c>
      <c r="K103" s="24">
        <f>IF('ORDENES'!$A81="","",IF('ORDENES'!$E81="","-",'ORDENES'!$E81))</f>
        <v/>
      </c>
      <c r="L103" s="26">
        <f>IF('ORDENES'!$A81="","",IF('ORDENES'!$M81="",0,'ORDENES'!$M81))</f>
        <v/>
      </c>
      <c r="M103" s="24">
        <f>IF('ORDENES'!$A81="","",IF('ORDENES'!$N81="","-",'ORDENES'!$N81))</f>
        <v/>
      </c>
      <c r="N103" s="24">
        <f>IF('ORDENES'!$A81="","",'ORDENES'!$AG81)</f>
        <v/>
      </c>
    </row>
    <row r="104">
      <c r="A104" s="24">
        <f>IF('ORDENES'!$A82="","",IF('ORDENES'!$O82="","-",'ORDENES'!$O82))</f>
        <v/>
      </c>
      <c r="B104" s="24">
        <f>IF('ORDENES'!$A82="","",IF('ORDENES'!$S82="","-",'ORDENES'!$S82))</f>
        <v/>
      </c>
      <c r="C104" s="24">
        <f>IF('ORDENES'!$A82="","",IF('ORDENES'!$AI82="","-",'ORDENES'!$AI82))</f>
        <v/>
      </c>
      <c r="D104" s="24">
        <f>IF('ORDENES'!$A82="","",IF('ORDENES'!$AA82="","-",'ORDENES'!$AA82))</f>
        <v/>
      </c>
      <c r="E104" s="24">
        <f>IF('ORDENES'!$A82="","",IF('ORDENES'!$Y82="","-",'ORDENES'!$Y82))</f>
        <v/>
      </c>
      <c r="F104" s="24">
        <f>IF('ORDENES'!$A82="","",IF('ORDENES'!$AB82="","-",'ORDENES'!$AB82))</f>
        <v/>
      </c>
      <c r="G104" s="24">
        <f>IF('ORDENES'!$A82="","",IF('ORDENES'!$Z82="","-",'ORDENES'!$Z82))</f>
        <v/>
      </c>
      <c r="H104" s="24">
        <f>IF('ORDENES'!$A82="","",IF('ORDENES'!$AH82="","-",'ORDENES'!$AH82))</f>
        <v/>
      </c>
      <c r="I104" s="24">
        <f>IF('ORDENES'!$A82="","",IF('ORDENES'!$AU82="","-",'ORDENES'!$AU82))</f>
        <v/>
      </c>
      <c r="J104" s="24">
        <f>IF('ORDENES'!$A82="","",IF('ORDENES'!$D82="","-",'ORDENES'!$D82))</f>
        <v/>
      </c>
      <c r="K104" s="24">
        <f>IF('ORDENES'!$A82="","",IF('ORDENES'!$E82="","-",'ORDENES'!$E82))</f>
        <v/>
      </c>
      <c r="L104" s="26">
        <f>IF('ORDENES'!$A82="","",IF('ORDENES'!$M82="",0,'ORDENES'!$M82))</f>
        <v/>
      </c>
      <c r="M104" s="24">
        <f>IF('ORDENES'!$A82="","",IF('ORDENES'!$N82="","-",'ORDENES'!$N82))</f>
        <v/>
      </c>
      <c r="N104" s="24">
        <f>IF('ORDENES'!$A82="","",'ORDENES'!$AG82)</f>
        <v/>
      </c>
    </row>
    <row r="105">
      <c r="A105" s="24">
        <f>IF('ORDENES'!$A83="","",IF('ORDENES'!$O83="","-",'ORDENES'!$O83))</f>
        <v/>
      </c>
      <c r="B105" s="24">
        <f>IF('ORDENES'!$A83="","",IF('ORDENES'!$S83="","-",'ORDENES'!$S83))</f>
        <v/>
      </c>
      <c r="C105" s="24">
        <f>IF('ORDENES'!$A83="","",IF('ORDENES'!$AI83="","-",'ORDENES'!$AI83))</f>
        <v/>
      </c>
      <c r="D105" s="24">
        <f>IF('ORDENES'!$A83="","",IF('ORDENES'!$AA83="","-",'ORDENES'!$AA83))</f>
        <v/>
      </c>
      <c r="E105" s="24">
        <f>IF('ORDENES'!$A83="","",IF('ORDENES'!$Y83="","-",'ORDENES'!$Y83))</f>
        <v/>
      </c>
      <c r="F105" s="24">
        <f>IF('ORDENES'!$A83="","",IF('ORDENES'!$AB83="","-",'ORDENES'!$AB83))</f>
        <v/>
      </c>
      <c r="G105" s="24">
        <f>IF('ORDENES'!$A83="","",IF('ORDENES'!$Z83="","-",'ORDENES'!$Z83))</f>
        <v/>
      </c>
      <c r="H105" s="24">
        <f>IF('ORDENES'!$A83="","",IF('ORDENES'!$AH83="","-",'ORDENES'!$AH83))</f>
        <v/>
      </c>
      <c r="I105" s="24">
        <f>IF('ORDENES'!$A83="","",IF('ORDENES'!$AU83="","-",'ORDENES'!$AU83))</f>
        <v/>
      </c>
      <c r="J105" s="24">
        <f>IF('ORDENES'!$A83="","",IF('ORDENES'!$D83="","-",'ORDENES'!$D83))</f>
        <v/>
      </c>
      <c r="K105" s="24">
        <f>IF('ORDENES'!$A83="","",IF('ORDENES'!$E83="","-",'ORDENES'!$E83))</f>
        <v/>
      </c>
      <c r="L105" s="26">
        <f>IF('ORDENES'!$A83="","",IF('ORDENES'!$M83="",0,'ORDENES'!$M83))</f>
        <v/>
      </c>
      <c r="M105" s="24">
        <f>IF('ORDENES'!$A83="","",IF('ORDENES'!$N83="","-",'ORDENES'!$N83))</f>
        <v/>
      </c>
      <c r="N105" s="24">
        <f>IF('ORDENES'!$A83="","",'ORDENES'!$AG83)</f>
        <v/>
      </c>
    </row>
    <row r="106">
      <c r="A106" s="24">
        <f>IF('ORDENES'!$A84="","",IF('ORDENES'!$O84="","-",'ORDENES'!$O84))</f>
        <v/>
      </c>
      <c r="B106" s="24">
        <f>IF('ORDENES'!$A84="","",IF('ORDENES'!$S84="","-",'ORDENES'!$S84))</f>
        <v/>
      </c>
      <c r="C106" s="24">
        <f>IF('ORDENES'!$A84="","",IF('ORDENES'!$AI84="","-",'ORDENES'!$AI84))</f>
        <v/>
      </c>
      <c r="D106" s="24">
        <f>IF('ORDENES'!$A84="","",IF('ORDENES'!$AA84="","-",'ORDENES'!$AA84))</f>
        <v/>
      </c>
      <c r="E106" s="24">
        <f>IF('ORDENES'!$A84="","",IF('ORDENES'!$Y84="","-",'ORDENES'!$Y84))</f>
        <v/>
      </c>
      <c r="F106" s="24">
        <f>IF('ORDENES'!$A84="","",IF('ORDENES'!$AB84="","-",'ORDENES'!$AB84))</f>
        <v/>
      </c>
      <c r="G106" s="24">
        <f>IF('ORDENES'!$A84="","",IF('ORDENES'!$Z84="","-",'ORDENES'!$Z84))</f>
        <v/>
      </c>
      <c r="H106" s="24">
        <f>IF('ORDENES'!$A84="","",IF('ORDENES'!$AH84="","-",'ORDENES'!$AH84))</f>
        <v/>
      </c>
      <c r="I106" s="24">
        <f>IF('ORDENES'!$A84="","",IF('ORDENES'!$AU84="","-",'ORDENES'!$AU84))</f>
        <v/>
      </c>
      <c r="J106" s="24">
        <f>IF('ORDENES'!$A84="","",IF('ORDENES'!$D84="","-",'ORDENES'!$D84))</f>
        <v/>
      </c>
      <c r="K106" s="24">
        <f>IF('ORDENES'!$A84="","",IF('ORDENES'!$E84="","-",'ORDENES'!$E84))</f>
        <v/>
      </c>
      <c r="L106" s="26">
        <f>IF('ORDENES'!$A84="","",IF('ORDENES'!$M84="",0,'ORDENES'!$M84))</f>
        <v/>
      </c>
      <c r="M106" s="24">
        <f>IF('ORDENES'!$A84="","",IF('ORDENES'!$N84="","-",'ORDENES'!$N84))</f>
        <v/>
      </c>
      <c r="N106" s="24">
        <f>IF('ORDENES'!$A84="","",'ORDENES'!$AG84)</f>
        <v/>
      </c>
    </row>
    <row r="107">
      <c r="A107" s="24">
        <f>IF('ORDENES'!$A85="","",IF('ORDENES'!$O85="","-",'ORDENES'!$O85))</f>
        <v/>
      </c>
      <c r="B107" s="24">
        <f>IF('ORDENES'!$A85="","",IF('ORDENES'!$S85="","-",'ORDENES'!$S85))</f>
        <v/>
      </c>
      <c r="C107" s="24">
        <f>IF('ORDENES'!$A85="","",IF('ORDENES'!$AI85="","-",'ORDENES'!$AI85))</f>
        <v/>
      </c>
      <c r="D107" s="24">
        <f>IF('ORDENES'!$A85="","",IF('ORDENES'!$AA85="","-",'ORDENES'!$AA85))</f>
        <v/>
      </c>
      <c r="E107" s="24">
        <f>IF('ORDENES'!$A85="","",IF('ORDENES'!$Y85="","-",'ORDENES'!$Y85))</f>
        <v/>
      </c>
      <c r="F107" s="24">
        <f>IF('ORDENES'!$A85="","",IF('ORDENES'!$AB85="","-",'ORDENES'!$AB85))</f>
        <v/>
      </c>
      <c r="G107" s="24">
        <f>IF('ORDENES'!$A85="","",IF('ORDENES'!$Z85="","-",'ORDENES'!$Z85))</f>
        <v/>
      </c>
      <c r="H107" s="24">
        <f>IF('ORDENES'!$A85="","",IF('ORDENES'!$AH85="","-",'ORDENES'!$AH85))</f>
        <v/>
      </c>
      <c r="I107" s="24">
        <f>IF('ORDENES'!$A85="","",IF('ORDENES'!$AU85="","-",'ORDENES'!$AU85))</f>
        <v/>
      </c>
      <c r="J107" s="24">
        <f>IF('ORDENES'!$A85="","",IF('ORDENES'!$D85="","-",'ORDENES'!$D85))</f>
        <v/>
      </c>
      <c r="K107" s="24">
        <f>IF('ORDENES'!$A85="","",IF('ORDENES'!$E85="","-",'ORDENES'!$E85))</f>
        <v/>
      </c>
      <c r="L107" s="26">
        <f>IF('ORDENES'!$A85="","",IF('ORDENES'!$M85="",0,'ORDENES'!$M85))</f>
        <v/>
      </c>
      <c r="M107" s="24">
        <f>IF('ORDENES'!$A85="","",IF('ORDENES'!$N85="","-",'ORDENES'!$N85))</f>
        <v/>
      </c>
      <c r="N107" s="24">
        <f>IF('ORDENES'!$A85="","",'ORDENES'!$AG85)</f>
        <v/>
      </c>
    </row>
    <row r="108">
      <c r="A108" s="24">
        <f>IF('ORDENES'!$A86="","",IF('ORDENES'!$O86="","-",'ORDENES'!$O86))</f>
        <v/>
      </c>
      <c r="B108" s="24">
        <f>IF('ORDENES'!$A86="","",IF('ORDENES'!$S86="","-",'ORDENES'!$S86))</f>
        <v/>
      </c>
      <c r="C108" s="24">
        <f>IF('ORDENES'!$A86="","",IF('ORDENES'!$AI86="","-",'ORDENES'!$AI86))</f>
        <v/>
      </c>
      <c r="D108" s="24">
        <f>IF('ORDENES'!$A86="","",IF('ORDENES'!$AA86="","-",'ORDENES'!$AA86))</f>
        <v/>
      </c>
      <c r="E108" s="24">
        <f>IF('ORDENES'!$A86="","",IF('ORDENES'!$Y86="","-",'ORDENES'!$Y86))</f>
        <v/>
      </c>
      <c r="F108" s="24">
        <f>IF('ORDENES'!$A86="","",IF('ORDENES'!$AB86="","-",'ORDENES'!$AB86))</f>
        <v/>
      </c>
      <c r="G108" s="24">
        <f>IF('ORDENES'!$A86="","",IF('ORDENES'!$Z86="","-",'ORDENES'!$Z86))</f>
        <v/>
      </c>
      <c r="H108" s="24">
        <f>IF('ORDENES'!$A86="","",IF('ORDENES'!$AH86="","-",'ORDENES'!$AH86))</f>
        <v/>
      </c>
      <c r="I108" s="24">
        <f>IF('ORDENES'!$A86="","",IF('ORDENES'!$AU86="","-",'ORDENES'!$AU86))</f>
        <v/>
      </c>
      <c r="J108" s="24">
        <f>IF('ORDENES'!$A86="","",IF('ORDENES'!$D86="","-",'ORDENES'!$D86))</f>
        <v/>
      </c>
      <c r="K108" s="24">
        <f>IF('ORDENES'!$A86="","",IF('ORDENES'!$E86="","-",'ORDENES'!$E86))</f>
        <v/>
      </c>
      <c r="L108" s="26">
        <f>IF('ORDENES'!$A86="","",IF('ORDENES'!$M86="",0,'ORDENES'!$M86))</f>
        <v/>
      </c>
      <c r="M108" s="24">
        <f>IF('ORDENES'!$A86="","",IF('ORDENES'!$N86="","-",'ORDENES'!$N86))</f>
        <v/>
      </c>
      <c r="N108" s="24">
        <f>IF('ORDENES'!$A86="","",'ORDENES'!$AG86)</f>
        <v/>
      </c>
    </row>
    <row r="109">
      <c r="A109" s="24">
        <f>IF('ORDENES'!$A87="","",IF('ORDENES'!$O87="","-",'ORDENES'!$O87))</f>
        <v/>
      </c>
      <c r="B109" s="24">
        <f>IF('ORDENES'!$A87="","",IF('ORDENES'!$S87="","-",'ORDENES'!$S87))</f>
        <v/>
      </c>
      <c r="C109" s="24">
        <f>IF('ORDENES'!$A87="","",IF('ORDENES'!$AI87="","-",'ORDENES'!$AI87))</f>
        <v/>
      </c>
      <c r="D109" s="24">
        <f>IF('ORDENES'!$A87="","",IF('ORDENES'!$AA87="","-",'ORDENES'!$AA87))</f>
        <v/>
      </c>
      <c r="E109" s="24">
        <f>IF('ORDENES'!$A87="","",IF('ORDENES'!$Y87="","-",'ORDENES'!$Y87))</f>
        <v/>
      </c>
      <c r="F109" s="24">
        <f>IF('ORDENES'!$A87="","",IF('ORDENES'!$AB87="","-",'ORDENES'!$AB87))</f>
        <v/>
      </c>
      <c r="G109" s="24">
        <f>IF('ORDENES'!$A87="","",IF('ORDENES'!$Z87="","-",'ORDENES'!$Z87))</f>
        <v/>
      </c>
      <c r="H109" s="24">
        <f>IF('ORDENES'!$A87="","",IF('ORDENES'!$AH87="","-",'ORDENES'!$AH87))</f>
        <v/>
      </c>
      <c r="I109" s="24">
        <f>IF('ORDENES'!$A87="","",IF('ORDENES'!$AU87="","-",'ORDENES'!$AU87))</f>
        <v/>
      </c>
      <c r="J109" s="24">
        <f>IF('ORDENES'!$A87="","",IF('ORDENES'!$D87="","-",'ORDENES'!$D87))</f>
        <v/>
      </c>
      <c r="K109" s="24">
        <f>IF('ORDENES'!$A87="","",IF('ORDENES'!$E87="","-",'ORDENES'!$E87))</f>
        <v/>
      </c>
      <c r="L109" s="26">
        <f>IF('ORDENES'!$A87="","",IF('ORDENES'!$M87="",0,'ORDENES'!$M87))</f>
        <v/>
      </c>
      <c r="M109" s="24">
        <f>IF('ORDENES'!$A87="","",IF('ORDENES'!$N87="","-",'ORDENES'!$N87))</f>
        <v/>
      </c>
      <c r="N109" s="24">
        <f>IF('ORDENES'!$A87="","",'ORDENES'!$AG87)</f>
        <v/>
      </c>
    </row>
    <row r="110">
      <c r="A110" s="24">
        <f>IF('ORDENES'!$A88="","",IF('ORDENES'!$O88="","-",'ORDENES'!$O88))</f>
        <v/>
      </c>
      <c r="B110" s="24">
        <f>IF('ORDENES'!$A88="","",IF('ORDENES'!$S88="","-",'ORDENES'!$S88))</f>
        <v/>
      </c>
      <c r="C110" s="24">
        <f>IF('ORDENES'!$A88="","",IF('ORDENES'!$AI88="","-",'ORDENES'!$AI88))</f>
        <v/>
      </c>
      <c r="D110" s="24">
        <f>IF('ORDENES'!$A88="","",IF('ORDENES'!$AA88="","-",'ORDENES'!$AA88))</f>
        <v/>
      </c>
      <c r="E110" s="24">
        <f>IF('ORDENES'!$A88="","",IF('ORDENES'!$Y88="","-",'ORDENES'!$Y88))</f>
        <v/>
      </c>
      <c r="F110" s="24">
        <f>IF('ORDENES'!$A88="","",IF('ORDENES'!$AB88="","-",'ORDENES'!$AB88))</f>
        <v/>
      </c>
      <c r="G110" s="24">
        <f>IF('ORDENES'!$A88="","",IF('ORDENES'!$Z88="","-",'ORDENES'!$Z88))</f>
        <v/>
      </c>
      <c r="H110" s="24">
        <f>IF('ORDENES'!$A88="","",IF('ORDENES'!$AH88="","-",'ORDENES'!$AH88))</f>
        <v/>
      </c>
      <c r="I110" s="24">
        <f>IF('ORDENES'!$A88="","",IF('ORDENES'!$AU88="","-",'ORDENES'!$AU88))</f>
        <v/>
      </c>
      <c r="J110" s="24">
        <f>IF('ORDENES'!$A88="","",IF('ORDENES'!$D88="","-",'ORDENES'!$D88))</f>
        <v/>
      </c>
      <c r="K110" s="24">
        <f>IF('ORDENES'!$A88="","",IF('ORDENES'!$E88="","-",'ORDENES'!$E88))</f>
        <v/>
      </c>
      <c r="L110" s="26">
        <f>IF('ORDENES'!$A88="","",IF('ORDENES'!$M88="",0,'ORDENES'!$M88))</f>
        <v/>
      </c>
      <c r="M110" s="24">
        <f>IF('ORDENES'!$A88="","",IF('ORDENES'!$N88="","-",'ORDENES'!$N88))</f>
        <v/>
      </c>
      <c r="N110" s="24">
        <f>IF('ORDENES'!$A88="","",'ORDENES'!$AG88)</f>
        <v/>
      </c>
    </row>
    <row r="111">
      <c r="A111" s="24">
        <f>IF('ORDENES'!$A89="","",IF('ORDENES'!$O89="","-",'ORDENES'!$O89))</f>
        <v/>
      </c>
      <c r="B111" s="24">
        <f>IF('ORDENES'!$A89="","",IF('ORDENES'!$S89="","-",'ORDENES'!$S89))</f>
        <v/>
      </c>
      <c r="C111" s="24">
        <f>IF('ORDENES'!$A89="","",IF('ORDENES'!$AI89="","-",'ORDENES'!$AI89))</f>
        <v/>
      </c>
      <c r="D111" s="24">
        <f>IF('ORDENES'!$A89="","",IF('ORDENES'!$AA89="","-",'ORDENES'!$AA89))</f>
        <v/>
      </c>
      <c r="E111" s="24">
        <f>IF('ORDENES'!$A89="","",IF('ORDENES'!$Y89="","-",'ORDENES'!$Y89))</f>
        <v/>
      </c>
      <c r="F111" s="24">
        <f>IF('ORDENES'!$A89="","",IF('ORDENES'!$AB89="","-",'ORDENES'!$AB89))</f>
        <v/>
      </c>
      <c r="G111" s="24">
        <f>IF('ORDENES'!$A89="","",IF('ORDENES'!$Z89="","-",'ORDENES'!$Z89))</f>
        <v/>
      </c>
      <c r="H111" s="24">
        <f>IF('ORDENES'!$A89="","",IF('ORDENES'!$AH89="","-",'ORDENES'!$AH89))</f>
        <v/>
      </c>
      <c r="I111" s="24">
        <f>IF('ORDENES'!$A89="","",IF('ORDENES'!$AU89="","-",'ORDENES'!$AU89))</f>
        <v/>
      </c>
      <c r="J111" s="24">
        <f>IF('ORDENES'!$A89="","",IF('ORDENES'!$D89="","-",'ORDENES'!$D89))</f>
        <v/>
      </c>
      <c r="K111" s="24">
        <f>IF('ORDENES'!$A89="","",IF('ORDENES'!$E89="","-",'ORDENES'!$E89))</f>
        <v/>
      </c>
      <c r="L111" s="26">
        <f>IF('ORDENES'!$A89="","",IF('ORDENES'!$M89="",0,'ORDENES'!$M89))</f>
        <v/>
      </c>
      <c r="M111" s="24">
        <f>IF('ORDENES'!$A89="","",IF('ORDENES'!$N89="","-",'ORDENES'!$N89))</f>
        <v/>
      </c>
      <c r="N111" s="24">
        <f>IF('ORDENES'!$A89="","",'ORDENES'!$AG89)</f>
        <v/>
      </c>
    </row>
    <row r="112">
      <c r="A112" s="24">
        <f>IF('ORDENES'!$A90="","",IF('ORDENES'!$O90="","-",'ORDENES'!$O90))</f>
        <v/>
      </c>
      <c r="B112" s="24">
        <f>IF('ORDENES'!$A90="","",IF('ORDENES'!$S90="","-",'ORDENES'!$S90))</f>
        <v/>
      </c>
      <c r="C112" s="24">
        <f>IF('ORDENES'!$A90="","",IF('ORDENES'!$AI90="","-",'ORDENES'!$AI90))</f>
        <v/>
      </c>
      <c r="D112" s="24">
        <f>IF('ORDENES'!$A90="","",IF('ORDENES'!$AA90="","-",'ORDENES'!$AA90))</f>
        <v/>
      </c>
      <c r="E112" s="24">
        <f>IF('ORDENES'!$A90="","",IF('ORDENES'!$Y90="","-",'ORDENES'!$Y90))</f>
        <v/>
      </c>
      <c r="F112" s="24">
        <f>IF('ORDENES'!$A90="","",IF('ORDENES'!$AB90="","-",'ORDENES'!$AB90))</f>
        <v/>
      </c>
      <c r="G112" s="24">
        <f>IF('ORDENES'!$A90="","",IF('ORDENES'!$Z90="","-",'ORDENES'!$Z90))</f>
        <v/>
      </c>
      <c r="H112" s="24">
        <f>IF('ORDENES'!$A90="","",IF('ORDENES'!$AH90="","-",'ORDENES'!$AH90))</f>
        <v/>
      </c>
      <c r="I112" s="24">
        <f>IF('ORDENES'!$A90="","",IF('ORDENES'!$AU90="","-",'ORDENES'!$AU90))</f>
        <v/>
      </c>
      <c r="J112" s="24">
        <f>IF('ORDENES'!$A90="","",IF('ORDENES'!$D90="","-",'ORDENES'!$D90))</f>
        <v/>
      </c>
      <c r="K112" s="24">
        <f>IF('ORDENES'!$A90="","",IF('ORDENES'!$E90="","-",'ORDENES'!$E90))</f>
        <v/>
      </c>
      <c r="L112" s="26">
        <f>IF('ORDENES'!$A90="","",IF('ORDENES'!$M90="",0,'ORDENES'!$M90))</f>
        <v/>
      </c>
      <c r="M112" s="24">
        <f>IF('ORDENES'!$A90="","",IF('ORDENES'!$N90="","-",'ORDENES'!$N90))</f>
        <v/>
      </c>
      <c r="N112" s="24">
        <f>IF('ORDENES'!$A90="","",'ORDENES'!$AG90)</f>
        <v/>
      </c>
    </row>
    <row r="113">
      <c r="A113" s="24">
        <f>IF('ORDENES'!$A91="","",IF('ORDENES'!$O91="","-",'ORDENES'!$O91))</f>
        <v/>
      </c>
      <c r="B113" s="24">
        <f>IF('ORDENES'!$A91="","",IF('ORDENES'!$S91="","-",'ORDENES'!$S91))</f>
        <v/>
      </c>
      <c r="C113" s="24">
        <f>IF('ORDENES'!$A91="","",IF('ORDENES'!$AI91="","-",'ORDENES'!$AI91))</f>
        <v/>
      </c>
      <c r="D113" s="24">
        <f>IF('ORDENES'!$A91="","",IF('ORDENES'!$AA91="","-",'ORDENES'!$AA91))</f>
        <v/>
      </c>
      <c r="E113" s="24">
        <f>IF('ORDENES'!$A91="","",IF('ORDENES'!$Y91="","-",'ORDENES'!$Y91))</f>
        <v/>
      </c>
      <c r="F113" s="24">
        <f>IF('ORDENES'!$A91="","",IF('ORDENES'!$AB91="","-",'ORDENES'!$AB91))</f>
        <v/>
      </c>
      <c r="G113" s="24">
        <f>IF('ORDENES'!$A91="","",IF('ORDENES'!$Z91="","-",'ORDENES'!$Z91))</f>
        <v/>
      </c>
      <c r="H113" s="24">
        <f>IF('ORDENES'!$A91="","",IF('ORDENES'!$AH91="","-",'ORDENES'!$AH91))</f>
        <v/>
      </c>
      <c r="I113" s="24">
        <f>IF('ORDENES'!$A91="","",IF('ORDENES'!$AU91="","-",'ORDENES'!$AU91))</f>
        <v/>
      </c>
      <c r="J113" s="24">
        <f>IF('ORDENES'!$A91="","",IF('ORDENES'!$D91="","-",'ORDENES'!$D91))</f>
        <v/>
      </c>
      <c r="K113" s="24">
        <f>IF('ORDENES'!$A91="","",IF('ORDENES'!$E91="","-",'ORDENES'!$E91))</f>
        <v/>
      </c>
      <c r="L113" s="26">
        <f>IF('ORDENES'!$A91="","",IF('ORDENES'!$M91="",0,'ORDENES'!$M91))</f>
        <v/>
      </c>
      <c r="M113" s="24">
        <f>IF('ORDENES'!$A91="","",IF('ORDENES'!$N91="","-",'ORDENES'!$N91))</f>
        <v/>
      </c>
      <c r="N113" s="24">
        <f>IF('ORDENES'!$A91="","",'ORDENES'!$AG91)</f>
        <v/>
      </c>
    </row>
    <row r="114">
      <c r="A114" s="24">
        <f>IF('ORDENES'!$A92="","",IF('ORDENES'!$O92="","-",'ORDENES'!$O92))</f>
        <v/>
      </c>
      <c r="B114" s="24">
        <f>IF('ORDENES'!$A92="","",IF('ORDENES'!$S92="","-",'ORDENES'!$S92))</f>
        <v/>
      </c>
      <c r="C114" s="24">
        <f>IF('ORDENES'!$A92="","",IF('ORDENES'!$AI92="","-",'ORDENES'!$AI92))</f>
        <v/>
      </c>
      <c r="D114" s="24">
        <f>IF('ORDENES'!$A92="","",IF('ORDENES'!$AA92="","-",'ORDENES'!$AA92))</f>
        <v/>
      </c>
      <c r="E114" s="24">
        <f>IF('ORDENES'!$A92="","",IF('ORDENES'!$Y92="","-",'ORDENES'!$Y92))</f>
        <v/>
      </c>
      <c r="F114" s="24">
        <f>IF('ORDENES'!$A92="","",IF('ORDENES'!$AB92="","-",'ORDENES'!$AB92))</f>
        <v/>
      </c>
      <c r="G114" s="24">
        <f>IF('ORDENES'!$A92="","",IF('ORDENES'!$Z92="","-",'ORDENES'!$Z92))</f>
        <v/>
      </c>
      <c r="H114" s="24">
        <f>IF('ORDENES'!$A92="","",IF('ORDENES'!$AH92="","-",'ORDENES'!$AH92))</f>
        <v/>
      </c>
      <c r="I114" s="24">
        <f>IF('ORDENES'!$A92="","",IF('ORDENES'!$AU92="","-",'ORDENES'!$AU92))</f>
        <v/>
      </c>
      <c r="J114" s="24">
        <f>IF('ORDENES'!$A92="","",IF('ORDENES'!$D92="","-",'ORDENES'!$D92))</f>
        <v/>
      </c>
      <c r="K114" s="24">
        <f>IF('ORDENES'!$A92="","",IF('ORDENES'!$E92="","-",'ORDENES'!$E92))</f>
        <v/>
      </c>
      <c r="L114" s="26">
        <f>IF('ORDENES'!$A92="","",IF('ORDENES'!$M92="",0,'ORDENES'!$M92))</f>
        <v/>
      </c>
      <c r="M114" s="24">
        <f>IF('ORDENES'!$A92="","",IF('ORDENES'!$N92="","-",'ORDENES'!$N92))</f>
        <v/>
      </c>
      <c r="N114" s="24">
        <f>IF('ORDENES'!$A92="","",'ORDENES'!$AG92)</f>
        <v/>
      </c>
    </row>
    <row r="115">
      <c r="A115" s="24">
        <f>IF('ORDENES'!$A93="","",IF('ORDENES'!$O93="","-",'ORDENES'!$O93))</f>
        <v/>
      </c>
      <c r="B115" s="24">
        <f>IF('ORDENES'!$A93="","",IF('ORDENES'!$S93="","-",'ORDENES'!$S93))</f>
        <v/>
      </c>
      <c r="C115" s="24">
        <f>IF('ORDENES'!$A93="","",IF('ORDENES'!$AI93="","-",'ORDENES'!$AI93))</f>
        <v/>
      </c>
      <c r="D115" s="24">
        <f>IF('ORDENES'!$A93="","",IF('ORDENES'!$AA93="","-",'ORDENES'!$AA93))</f>
        <v/>
      </c>
      <c r="E115" s="24">
        <f>IF('ORDENES'!$A93="","",IF('ORDENES'!$Y93="","-",'ORDENES'!$Y93))</f>
        <v/>
      </c>
      <c r="F115" s="24">
        <f>IF('ORDENES'!$A93="","",IF('ORDENES'!$AB93="","-",'ORDENES'!$AB93))</f>
        <v/>
      </c>
      <c r="G115" s="24">
        <f>IF('ORDENES'!$A93="","",IF('ORDENES'!$Z93="","-",'ORDENES'!$Z93))</f>
        <v/>
      </c>
      <c r="H115" s="24">
        <f>IF('ORDENES'!$A93="","",IF('ORDENES'!$AH93="","-",'ORDENES'!$AH93))</f>
        <v/>
      </c>
      <c r="I115" s="24">
        <f>IF('ORDENES'!$A93="","",IF('ORDENES'!$AU93="","-",'ORDENES'!$AU93))</f>
        <v/>
      </c>
      <c r="J115" s="24">
        <f>IF('ORDENES'!$A93="","",IF('ORDENES'!$D93="","-",'ORDENES'!$D93))</f>
        <v/>
      </c>
      <c r="K115" s="24">
        <f>IF('ORDENES'!$A93="","",IF('ORDENES'!$E93="","-",'ORDENES'!$E93))</f>
        <v/>
      </c>
      <c r="L115" s="26">
        <f>IF('ORDENES'!$A93="","",IF('ORDENES'!$M93="",0,'ORDENES'!$M93))</f>
        <v/>
      </c>
      <c r="M115" s="24">
        <f>IF('ORDENES'!$A93="","",IF('ORDENES'!$N93="","-",'ORDENES'!$N93))</f>
        <v/>
      </c>
      <c r="N115" s="24">
        <f>IF('ORDENES'!$A93="","",'ORDENES'!$AG93)</f>
        <v/>
      </c>
    </row>
    <row r="116">
      <c r="A116" s="24">
        <f>IF('ORDENES'!$A94="","",IF('ORDENES'!$O94="","-",'ORDENES'!$O94))</f>
        <v/>
      </c>
      <c r="B116" s="24">
        <f>IF('ORDENES'!$A94="","",IF('ORDENES'!$S94="","-",'ORDENES'!$S94))</f>
        <v/>
      </c>
      <c r="C116" s="24">
        <f>IF('ORDENES'!$A94="","",IF('ORDENES'!$AI94="","-",'ORDENES'!$AI94))</f>
        <v/>
      </c>
      <c r="D116" s="24">
        <f>IF('ORDENES'!$A94="","",IF('ORDENES'!$AA94="","-",'ORDENES'!$AA94))</f>
        <v/>
      </c>
      <c r="E116" s="24">
        <f>IF('ORDENES'!$A94="","",IF('ORDENES'!$Y94="","-",'ORDENES'!$Y94))</f>
        <v/>
      </c>
      <c r="F116" s="24">
        <f>IF('ORDENES'!$A94="","",IF('ORDENES'!$AB94="","-",'ORDENES'!$AB94))</f>
        <v/>
      </c>
      <c r="G116" s="24">
        <f>IF('ORDENES'!$A94="","",IF('ORDENES'!$Z94="","-",'ORDENES'!$Z94))</f>
        <v/>
      </c>
      <c r="H116" s="24">
        <f>IF('ORDENES'!$A94="","",IF('ORDENES'!$AH94="","-",'ORDENES'!$AH94))</f>
        <v/>
      </c>
      <c r="I116" s="24">
        <f>IF('ORDENES'!$A94="","",IF('ORDENES'!$AU94="","-",'ORDENES'!$AU94))</f>
        <v/>
      </c>
      <c r="J116" s="24">
        <f>IF('ORDENES'!$A94="","",IF('ORDENES'!$D94="","-",'ORDENES'!$D94))</f>
        <v/>
      </c>
      <c r="K116" s="24">
        <f>IF('ORDENES'!$A94="","",IF('ORDENES'!$E94="","-",'ORDENES'!$E94))</f>
        <v/>
      </c>
      <c r="L116" s="26">
        <f>IF('ORDENES'!$A94="","",IF('ORDENES'!$M94="",0,'ORDENES'!$M94))</f>
        <v/>
      </c>
      <c r="M116" s="24">
        <f>IF('ORDENES'!$A94="","",IF('ORDENES'!$N94="","-",'ORDENES'!$N94))</f>
        <v/>
      </c>
      <c r="N116" s="24">
        <f>IF('ORDENES'!$A94="","",'ORDENES'!$AG94)</f>
        <v/>
      </c>
    </row>
    <row r="117">
      <c r="A117" s="24">
        <f>IF('ORDENES'!$A95="","",IF('ORDENES'!$O95="","-",'ORDENES'!$O95))</f>
        <v/>
      </c>
      <c r="B117" s="24">
        <f>IF('ORDENES'!$A95="","",IF('ORDENES'!$S95="","-",'ORDENES'!$S95))</f>
        <v/>
      </c>
      <c r="C117" s="24">
        <f>IF('ORDENES'!$A95="","",IF('ORDENES'!$AI95="","-",'ORDENES'!$AI95))</f>
        <v/>
      </c>
      <c r="D117" s="24">
        <f>IF('ORDENES'!$A95="","",IF('ORDENES'!$AA95="","-",'ORDENES'!$AA95))</f>
        <v/>
      </c>
      <c r="E117" s="24">
        <f>IF('ORDENES'!$A95="","",IF('ORDENES'!$Y95="","-",'ORDENES'!$Y95))</f>
        <v/>
      </c>
      <c r="F117" s="24">
        <f>IF('ORDENES'!$A95="","",IF('ORDENES'!$AB95="","-",'ORDENES'!$AB95))</f>
        <v/>
      </c>
      <c r="G117" s="24">
        <f>IF('ORDENES'!$A95="","",IF('ORDENES'!$Z95="","-",'ORDENES'!$Z95))</f>
        <v/>
      </c>
      <c r="H117" s="24">
        <f>IF('ORDENES'!$A95="","",IF('ORDENES'!$AH95="","-",'ORDENES'!$AH95))</f>
        <v/>
      </c>
      <c r="I117" s="24">
        <f>IF('ORDENES'!$A95="","",IF('ORDENES'!$AU95="","-",'ORDENES'!$AU95))</f>
        <v/>
      </c>
      <c r="J117" s="24">
        <f>IF('ORDENES'!$A95="","",IF('ORDENES'!$D95="","-",'ORDENES'!$D95))</f>
        <v/>
      </c>
      <c r="K117" s="24">
        <f>IF('ORDENES'!$A95="","",IF('ORDENES'!$E95="","-",'ORDENES'!$E95))</f>
        <v/>
      </c>
      <c r="L117" s="26">
        <f>IF('ORDENES'!$A95="","",IF('ORDENES'!$M95="",0,'ORDENES'!$M95))</f>
        <v/>
      </c>
      <c r="M117" s="24">
        <f>IF('ORDENES'!$A95="","",IF('ORDENES'!$N95="","-",'ORDENES'!$N95))</f>
        <v/>
      </c>
      <c r="N117" s="24">
        <f>IF('ORDENES'!$A95="","",'ORDENES'!$AG95)</f>
        <v/>
      </c>
    </row>
    <row r="118">
      <c r="A118" s="24">
        <f>IF('ORDENES'!$A96="","",IF('ORDENES'!$O96="","-",'ORDENES'!$O96))</f>
        <v/>
      </c>
      <c r="B118" s="24">
        <f>IF('ORDENES'!$A96="","",IF('ORDENES'!$S96="","-",'ORDENES'!$S96))</f>
        <v/>
      </c>
      <c r="C118" s="24">
        <f>IF('ORDENES'!$A96="","",IF('ORDENES'!$AI96="","-",'ORDENES'!$AI96))</f>
        <v/>
      </c>
      <c r="D118" s="24">
        <f>IF('ORDENES'!$A96="","",IF('ORDENES'!$AA96="","-",'ORDENES'!$AA96))</f>
        <v/>
      </c>
      <c r="E118" s="24">
        <f>IF('ORDENES'!$A96="","",IF('ORDENES'!$Y96="","-",'ORDENES'!$Y96))</f>
        <v/>
      </c>
      <c r="F118" s="24">
        <f>IF('ORDENES'!$A96="","",IF('ORDENES'!$AB96="","-",'ORDENES'!$AB96))</f>
        <v/>
      </c>
      <c r="G118" s="24">
        <f>IF('ORDENES'!$A96="","",IF('ORDENES'!$Z96="","-",'ORDENES'!$Z96))</f>
        <v/>
      </c>
      <c r="H118" s="24">
        <f>IF('ORDENES'!$A96="","",IF('ORDENES'!$AH96="","-",'ORDENES'!$AH96))</f>
        <v/>
      </c>
      <c r="I118" s="24">
        <f>IF('ORDENES'!$A96="","",IF('ORDENES'!$AU96="","-",'ORDENES'!$AU96))</f>
        <v/>
      </c>
      <c r="J118" s="24">
        <f>IF('ORDENES'!$A96="","",IF('ORDENES'!$D96="","-",'ORDENES'!$D96))</f>
        <v/>
      </c>
      <c r="K118" s="24">
        <f>IF('ORDENES'!$A96="","",IF('ORDENES'!$E96="","-",'ORDENES'!$E96))</f>
        <v/>
      </c>
      <c r="L118" s="26">
        <f>IF('ORDENES'!$A96="","",IF('ORDENES'!$M96="",0,'ORDENES'!$M96))</f>
        <v/>
      </c>
      <c r="M118" s="24">
        <f>IF('ORDENES'!$A96="","",IF('ORDENES'!$N96="","-",'ORDENES'!$N96))</f>
        <v/>
      </c>
      <c r="N118" s="24">
        <f>IF('ORDENES'!$A96="","",'ORDENES'!$AG96)</f>
        <v/>
      </c>
    </row>
    <row r="119">
      <c r="A119" s="24">
        <f>IF('ORDENES'!$A97="","",IF('ORDENES'!$O97="","-",'ORDENES'!$O97))</f>
        <v/>
      </c>
      <c r="B119" s="24">
        <f>IF('ORDENES'!$A97="","",IF('ORDENES'!$S97="","-",'ORDENES'!$S97))</f>
        <v/>
      </c>
      <c r="C119" s="24">
        <f>IF('ORDENES'!$A97="","",IF('ORDENES'!$AI97="","-",'ORDENES'!$AI97))</f>
        <v/>
      </c>
      <c r="D119" s="24">
        <f>IF('ORDENES'!$A97="","",IF('ORDENES'!$AA97="","-",'ORDENES'!$AA97))</f>
        <v/>
      </c>
      <c r="E119" s="24">
        <f>IF('ORDENES'!$A97="","",IF('ORDENES'!$Y97="","-",'ORDENES'!$Y97))</f>
        <v/>
      </c>
      <c r="F119" s="24">
        <f>IF('ORDENES'!$A97="","",IF('ORDENES'!$AB97="","-",'ORDENES'!$AB97))</f>
        <v/>
      </c>
      <c r="G119" s="24">
        <f>IF('ORDENES'!$A97="","",IF('ORDENES'!$Z97="","-",'ORDENES'!$Z97))</f>
        <v/>
      </c>
      <c r="H119" s="24">
        <f>IF('ORDENES'!$A97="","",IF('ORDENES'!$AH97="","-",'ORDENES'!$AH97))</f>
        <v/>
      </c>
      <c r="I119" s="24">
        <f>IF('ORDENES'!$A97="","",IF('ORDENES'!$AU97="","-",'ORDENES'!$AU97))</f>
        <v/>
      </c>
      <c r="J119" s="24">
        <f>IF('ORDENES'!$A97="","",IF('ORDENES'!$D97="","-",'ORDENES'!$D97))</f>
        <v/>
      </c>
      <c r="K119" s="24">
        <f>IF('ORDENES'!$A97="","",IF('ORDENES'!$E97="","-",'ORDENES'!$E97))</f>
        <v/>
      </c>
      <c r="L119" s="26">
        <f>IF('ORDENES'!$A97="","",IF('ORDENES'!$M97="",0,'ORDENES'!$M97))</f>
        <v/>
      </c>
      <c r="M119" s="24">
        <f>IF('ORDENES'!$A97="","",IF('ORDENES'!$N97="","-",'ORDENES'!$N97))</f>
        <v/>
      </c>
      <c r="N119" s="24">
        <f>IF('ORDENES'!$A97="","",'ORDENES'!$AG97)</f>
        <v/>
      </c>
    </row>
    <row r="120">
      <c r="A120" s="24">
        <f>IF('ORDENES'!$A98="","",IF('ORDENES'!$O98="","-",'ORDENES'!$O98))</f>
        <v/>
      </c>
      <c r="B120" s="24">
        <f>IF('ORDENES'!$A98="","",IF('ORDENES'!$S98="","-",'ORDENES'!$S98))</f>
        <v/>
      </c>
      <c r="C120" s="24">
        <f>IF('ORDENES'!$A98="","",IF('ORDENES'!$AI98="","-",'ORDENES'!$AI98))</f>
        <v/>
      </c>
      <c r="D120" s="24">
        <f>IF('ORDENES'!$A98="","",IF('ORDENES'!$AA98="","-",'ORDENES'!$AA98))</f>
        <v/>
      </c>
      <c r="E120" s="24">
        <f>IF('ORDENES'!$A98="","",IF('ORDENES'!$Y98="","-",'ORDENES'!$Y98))</f>
        <v/>
      </c>
      <c r="F120" s="24">
        <f>IF('ORDENES'!$A98="","",IF('ORDENES'!$AB98="","-",'ORDENES'!$AB98))</f>
        <v/>
      </c>
      <c r="G120" s="24">
        <f>IF('ORDENES'!$A98="","",IF('ORDENES'!$Z98="","-",'ORDENES'!$Z98))</f>
        <v/>
      </c>
      <c r="H120" s="24">
        <f>IF('ORDENES'!$A98="","",IF('ORDENES'!$AH98="","-",'ORDENES'!$AH98))</f>
        <v/>
      </c>
      <c r="I120" s="24">
        <f>IF('ORDENES'!$A98="","",IF('ORDENES'!$AU98="","-",'ORDENES'!$AU98))</f>
        <v/>
      </c>
      <c r="J120" s="24">
        <f>IF('ORDENES'!$A98="","",IF('ORDENES'!$D98="","-",'ORDENES'!$D98))</f>
        <v/>
      </c>
      <c r="K120" s="24">
        <f>IF('ORDENES'!$A98="","",IF('ORDENES'!$E98="","-",'ORDENES'!$E98))</f>
        <v/>
      </c>
      <c r="L120" s="26">
        <f>IF('ORDENES'!$A98="","",IF('ORDENES'!$M98="",0,'ORDENES'!$M98))</f>
        <v/>
      </c>
      <c r="M120" s="24">
        <f>IF('ORDENES'!$A98="","",IF('ORDENES'!$N98="","-",'ORDENES'!$N98))</f>
        <v/>
      </c>
      <c r="N120" s="24">
        <f>IF('ORDENES'!$A98="","",'ORDENES'!$AG98)</f>
        <v/>
      </c>
    </row>
    <row r="121">
      <c r="A121" s="24">
        <f>IF('ORDENES'!$A99="","",IF('ORDENES'!$O99="","-",'ORDENES'!$O99))</f>
        <v/>
      </c>
      <c r="B121" s="24">
        <f>IF('ORDENES'!$A99="","",IF('ORDENES'!$S99="","-",'ORDENES'!$S99))</f>
        <v/>
      </c>
      <c r="C121" s="24">
        <f>IF('ORDENES'!$A99="","",IF('ORDENES'!$AI99="","-",'ORDENES'!$AI99))</f>
        <v/>
      </c>
      <c r="D121" s="24">
        <f>IF('ORDENES'!$A99="","",IF('ORDENES'!$AA99="","-",'ORDENES'!$AA99))</f>
        <v/>
      </c>
      <c r="E121" s="24">
        <f>IF('ORDENES'!$A99="","",IF('ORDENES'!$Y99="","-",'ORDENES'!$Y99))</f>
        <v/>
      </c>
      <c r="F121" s="24">
        <f>IF('ORDENES'!$A99="","",IF('ORDENES'!$AB99="","-",'ORDENES'!$AB99))</f>
        <v/>
      </c>
      <c r="G121" s="24">
        <f>IF('ORDENES'!$A99="","",IF('ORDENES'!$Z99="","-",'ORDENES'!$Z99))</f>
        <v/>
      </c>
      <c r="H121" s="24">
        <f>IF('ORDENES'!$A99="","",IF('ORDENES'!$AH99="","-",'ORDENES'!$AH99))</f>
        <v/>
      </c>
      <c r="I121" s="24">
        <f>IF('ORDENES'!$A99="","",IF('ORDENES'!$AU99="","-",'ORDENES'!$AU99))</f>
        <v/>
      </c>
      <c r="J121" s="24">
        <f>IF('ORDENES'!$A99="","",IF('ORDENES'!$D99="","-",'ORDENES'!$D99))</f>
        <v/>
      </c>
      <c r="K121" s="24">
        <f>IF('ORDENES'!$A99="","",IF('ORDENES'!$E99="","-",'ORDENES'!$E99))</f>
        <v/>
      </c>
      <c r="L121" s="26">
        <f>IF('ORDENES'!$A99="","",IF('ORDENES'!$M99="",0,'ORDENES'!$M99))</f>
        <v/>
      </c>
      <c r="M121" s="24">
        <f>IF('ORDENES'!$A99="","",IF('ORDENES'!$N99="","-",'ORDENES'!$N99))</f>
        <v/>
      </c>
      <c r="N121" s="24">
        <f>IF('ORDENES'!$A99="","",'ORDENES'!$AG99)</f>
        <v/>
      </c>
    </row>
    <row r="122">
      <c r="A122" s="24">
        <f>IF('ORDENES'!$A100="","",IF('ORDENES'!$O100="","-",'ORDENES'!$O100))</f>
        <v/>
      </c>
      <c r="B122" s="24">
        <f>IF('ORDENES'!$A100="","",IF('ORDENES'!$S100="","-",'ORDENES'!$S100))</f>
        <v/>
      </c>
      <c r="C122" s="24">
        <f>IF('ORDENES'!$A100="","",IF('ORDENES'!$AI100="","-",'ORDENES'!$AI100))</f>
        <v/>
      </c>
      <c r="D122" s="24">
        <f>IF('ORDENES'!$A100="","",IF('ORDENES'!$AA100="","-",'ORDENES'!$AA100))</f>
        <v/>
      </c>
      <c r="E122" s="24">
        <f>IF('ORDENES'!$A100="","",IF('ORDENES'!$Y100="","-",'ORDENES'!$Y100))</f>
        <v/>
      </c>
      <c r="F122" s="24">
        <f>IF('ORDENES'!$A100="","",IF('ORDENES'!$AB100="","-",'ORDENES'!$AB100))</f>
        <v/>
      </c>
      <c r="G122" s="24">
        <f>IF('ORDENES'!$A100="","",IF('ORDENES'!$Z100="","-",'ORDENES'!$Z100))</f>
        <v/>
      </c>
      <c r="H122" s="24">
        <f>IF('ORDENES'!$A100="","",IF('ORDENES'!$AH100="","-",'ORDENES'!$AH100))</f>
        <v/>
      </c>
      <c r="I122" s="24">
        <f>IF('ORDENES'!$A100="","",IF('ORDENES'!$AU100="","-",'ORDENES'!$AU100))</f>
        <v/>
      </c>
      <c r="J122" s="24">
        <f>IF('ORDENES'!$A100="","",IF('ORDENES'!$D100="","-",'ORDENES'!$D100))</f>
        <v/>
      </c>
      <c r="K122" s="24">
        <f>IF('ORDENES'!$A100="","",IF('ORDENES'!$E100="","-",'ORDENES'!$E100))</f>
        <v/>
      </c>
      <c r="L122" s="26">
        <f>IF('ORDENES'!$A100="","",IF('ORDENES'!$M100="",0,'ORDENES'!$M100))</f>
        <v/>
      </c>
      <c r="M122" s="24">
        <f>IF('ORDENES'!$A100="","",IF('ORDENES'!$N100="","-",'ORDENES'!$N100))</f>
        <v/>
      </c>
      <c r="N122" s="24">
        <f>IF('ORDENES'!$A100="","",'ORDENES'!$AG100)</f>
        <v/>
      </c>
    </row>
    <row r="123">
      <c r="A123" s="24">
        <f>IF('ORDENES'!$A101="","",IF('ORDENES'!$O101="","-",'ORDENES'!$O101))</f>
        <v/>
      </c>
      <c r="B123" s="24">
        <f>IF('ORDENES'!$A101="","",IF('ORDENES'!$S101="","-",'ORDENES'!$S101))</f>
        <v/>
      </c>
      <c r="C123" s="24">
        <f>IF('ORDENES'!$A101="","",IF('ORDENES'!$AI101="","-",'ORDENES'!$AI101))</f>
        <v/>
      </c>
      <c r="D123" s="24">
        <f>IF('ORDENES'!$A101="","",IF('ORDENES'!$AA101="","-",'ORDENES'!$AA101))</f>
        <v/>
      </c>
      <c r="E123" s="24">
        <f>IF('ORDENES'!$A101="","",IF('ORDENES'!$Y101="","-",'ORDENES'!$Y101))</f>
        <v/>
      </c>
      <c r="F123" s="24">
        <f>IF('ORDENES'!$A101="","",IF('ORDENES'!$AB101="","-",'ORDENES'!$AB101))</f>
        <v/>
      </c>
      <c r="G123" s="24">
        <f>IF('ORDENES'!$A101="","",IF('ORDENES'!$Z101="","-",'ORDENES'!$Z101))</f>
        <v/>
      </c>
      <c r="H123" s="24">
        <f>IF('ORDENES'!$A101="","",IF('ORDENES'!$AH101="","-",'ORDENES'!$AH101))</f>
        <v/>
      </c>
      <c r="I123" s="24">
        <f>IF('ORDENES'!$A101="","",IF('ORDENES'!$AU101="","-",'ORDENES'!$AU101))</f>
        <v/>
      </c>
      <c r="J123" s="24">
        <f>IF('ORDENES'!$A101="","",IF('ORDENES'!$D101="","-",'ORDENES'!$D101))</f>
        <v/>
      </c>
      <c r="K123" s="24">
        <f>IF('ORDENES'!$A101="","",IF('ORDENES'!$E101="","-",'ORDENES'!$E101))</f>
        <v/>
      </c>
      <c r="L123" s="26">
        <f>IF('ORDENES'!$A101="","",IF('ORDENES'!$M101="",0,'ORDENES'!$M101))</f>
        <v/>
      </c>
      <c r="M123" s="24">
        <f>IF('ORDENES'!$A101="","",IF('ORDENES'!$N101="","-",'ORDENES'!$N101))</f>
        <v/>
      </c>
      <c r="N123" s="24">
        <f>IF('ORDENES'!$A101="","",'ORDENES'!$AG101)</f>
        <v/>
      </c>
    </row>
    <row r="124">
      <c r="A124" s="24">
        <f>IF('ORDENES'!$A102="","",IF('ORDENES'!$O102="","-",'ORDENES'!$O102))</f>
        <v/>
      </c>
      <c r="B124" s="24">
        <f>IF('ORDENES'!$A102="","",IF('ORDENES'!$S102="","-",'ORDENES'!$S102))</f>
        <v/>
      </c>
      <c r="C124" s="24">
        <f>IF('ORDENES'!$A102="","",IF('ORDENES'!$AI102="","-",'ORDENES'!$AI102))</f>
        <v/>
      </c>
      <c r="D124" s="24">
        <f>IF('ORDENES'!$A102="","",IF('ORDENES'!$AA102="","-",'ORDENES'!$AA102))</f>
        <v/>
      </c>
      <c r="E124" s="24">
        <f>IF('ORDENES'!$A102="","",IF('ORDENES'!$Y102="","-",'ORDENES'!$Y102))</f>
        <v/>
      </c>
      <c r="F124" s="24">
        <f>IF('ORDENES'!$A102="","",IF('ORDENES'!$AB102="","-",'ORDENES'!$AB102))</f>
        <v/>
      </c>
      <c r="G124" s="24">
        <f>IF('ORDENES'!$A102="","",IF('ORDENES'!$Z102="","-",'ORDENES'!$Z102))</f>
        <v/>
      </c>
      <c r="H124" s="24">
        <f>IF('ORDENES'!$A102="","",IF('ORDENES'!$AH102="","-",'ORDENES'!$AH102))</f>
        <v/>
      </c>
      <c r="I124" s="24">
        <f>IF('ORDENES'!$A102="","",IF('ORDENES'!$AU102="","-",'ORDENES'!$AU102))</f>
        <v/>
      </c>
      <c r="J124" s="24">
        <f>IF('ORDENES'!$A102="","",IF('ORDENES'!$D102="","-",'ORDENES'!$D102))</f>
        <v/>
      </c>
      <c r="K124" s="24">
        <f>IF('ORDENES'!$A102="","",IF('ORDENES'!$E102="","-",'ORDENES'!$E102))</f>
        <v/>
      </c>
      <c r="L124" s="26">
        <f>IF('ORDENES'!$A102="","",IF('ORDENES'!$M102="",0,'ORDENES'!$M102))</f>
        <v/>
      </c>
      <c r="M124" s="24">
        <f>IF('ORDENES'!$A102="","",IF('ORDENES'!$N102="","-",'ORDENES'!$N102))</f>
        <v/>
      </c>
      <c r="N124" s="24">
        <f>IF('ORDENES'!$A102="","",'ORDENES'!$AG102)</f>
        <v/>
      </c>
    </row>
    <row r="125">
      <c r="A125" s="24">
        <f>IF('ORDENES'!$A103="","",IF('ORDENES'!$O103="","-",'ORDENES'!$O103))</f>
        <v/>
      </c>
      <c r="B125" s="24">
        <f>IF('ORDENES'!$A103="","",IF('ORDENES'!$S103="","-",'ORDENES'!$S103))</f>
        <v/>
      </c>
      <c r="C125" s="24">
        <f>IF('ORDENES'!$A103="","",IF('ORDENES'!$AI103="","-",'ORDENES'!$AI103))</f>
        <v/>
      </c>
      <c r="D125" s="24">
        <f>IF('ORDENES'!$A103="","",IF('ORDENES'!$AA103="","-",'ORDENES'!$AA103))</f>
        <v/>
      </c>
      <c r="E125" s="24">
        <f>IF('ORDENES'!$A103="","",IF('ORDENES'!$Y103="","-",'ORDENES'!$Y103))</f>
        <v/>
      </c>
      <c r="F125" s="24">
        <f>IF('ORDENES'!$A103="","",IF('ORDENES'!$AB103="","-",'ORDENES'!$AB103))</f>
        <v/>
      </c>
      <c r="G125" s="24">
        <f>IF('ORDENES'!$A103="","",IF('ORDENES'!$Z103="","-",'ORDENES'!$Z103))</f>
        <v/>
      </c>
      <c r="H125" s="24">
        <f>IF('ORDENES'!$A103="","",IF('ORDENES'!$AH103="","-",'ORDENES'!$AH103))</f>
        <v/>
      </c>
      <c r="I125" s="24">
        <f>IF('ORDENES'!$A103="","",IF('ORDENES'!$AU103="","-",'ORDENES'!$AU103))</f>
        <v/>
      </c>
      <c r="J125" s="24">
        <f>IF('ORDENES'!$A103="","",IF('ORDENES'!$D103="","-",'ORDENES'!$D103))</f>
        <v/>
      </c>
      <c r="K125" s="24">
        <f>IF('ORDENES'!$A103="","",IF('ORDENES'!$E103="","-",'ORDENES'!$E103))</f>
        <v/>
      </c>
      <c r="L125" s="26">
        <f>IF('ORDENES'!$A103="","",IF('ORDENES'!$M103="",0,'ORDENES'!$M103))</f>
        <v/>
      </c>
      <c r="M125" s="24">
        <f>IF('ORDENES'!$A103="","",IF('ORDENES'!$N103="","-",'ORDENES'!$N103))</f>
        <v/>
      </c>
      <c r="N125" s="24">
        <f>IF('ORDENES'!$A103="","",'ORDENES'!$AG103)</f>
        <v/>
      </c>
    </row>
    <row r="126">
      <c r="A126" s="24">
        <f>IF('ORDENES'!$A104="","",IF('ORDENES'!$O104="","-",'ORDENES'!$O104))</f>
        <v/>
      </c>
      <c r="B126" s="24">
        <f>IF('ORDENES'!$A104="","",IF('ORDENES'!$S104="","-",'ORDENES'!$S104))</f>
        <v/>
      </c>
      <c r="C126" s="24">
        <f>IF('ORDENES'!$A104="","",IF('ORDENES'!$AI104="","-",'ORDENES'!$AI104))</f>
        <v/>
      </c>
      <c r="D126" s="24">
        <f>IF('ORDENES'!$A104="","",IF('ORDENES'!$AA104="","-",'ORDENES'!$AA104))</f>
        <v/>
      </c>
      <c r="E126" s="24">
        <f>IF('ORDENES'!$A104="","",IF('ORDENES'!$Y104="","-",'ORDENES'!$Y104))</f>
        <v/>
      </c>
      <c r="F126" s="24">
        <f>IF('ORDENES'!$A104="","",IF('ORDENES'!$AB104="","-",'ORDENES'!$AB104))</f>
        <v/>
      </c>
      <c r="G126" s="24">
        <f>IF('ORDENES'!$A104="","",IF('ORDENES'!$Z104="","-",'ORDENES'!$Z104))</f>
        <v/>
      </c>
      <c r="H126" s="24">
        <f>IF('ORDENES'!$A104="","",IF('ORDENES'!$AH104="","-",'ORDENES'!$AH104))</f>
        <v/>
      </c>
      <c r="I126" s="24">
        <f>IF('ORDENES'!$A104="","",IF('ORDENES'!$AU104="","-",'ORDENES'!$AU104))</f>
        <v/>
      </c>
      <c r="J126" s="24">
        <f>IF('ORDENES'!$A104="","",IF('ORDENES'!$D104="","-",'ORDENES'!$D104))</f>
        <v/>
      </c>
      <c r="K126" s="24">
        <f>IF('ORDENES'!$A104="","",IF('ORDENES'!$E104="","-",'ORDENES'!$E104))</f>
        <v/>
      </c>
      <c r="L126" s="26">
        <f>IF('ORDENES'!$A104="","",IF('ORDENES'!$M104="",0,'ORDENES'!$M104))</f>
        <v/>
      </c>
      <c r="M126" s="24">
        <f>IF('ORDENES'!$A104="","",IF('ORDENES'!$N104="","-",'ORDENES'!$N104))</f>
        <v/>
      </c>
      <c r="N126" s="24">
        <f>IF('ORDENES'!$A104="","",'ORDENES'!$AG104)</f>
        <v/>
      </c>
    </row>
    <row r="127">
      <c r="A127" s="24">
        <f>IF('ORDENES'!$A105="","",IF('ORDENES'!$O105="","-",'ORDENES'!$O105))</f>
        <v/>
      </c>
      <c r="B127" s="24">
        <f>IF('ORDENES'!$A105="","",IF('ORDENES'!$S105="","-",'ORDENES'!$S105))</f>
        <v/>
      </c>
      <c r="C127" s="24">
        <f>IF('ORDENES'!$A105="","",IF('ORDENES'!$AI105="","-",'ORDENES'!$AI105))</f>
        <v/>
      </c>
      <c r="D127" s="24">
        <f>IF('ORDENES'!$A105="","",IF('ORDENES'!$AA105="","-",'ORDENES'!$AA105))</f>
        <v/>
      </c>
      <c r="E127" s="24">
        <f>IF('ORDENES'!$A105="","",IF('ORDENES'!$Y105="","-",'ORDENES'!$Y105))</f>
        <v/>
      </c>
      <c r="F127" s="24">
        <f>IF('ORDENES'!$A105="","",IF('ORDENES'!$AB105="","-",'ORDENES'!$AB105))</f>
        <v/>
      </c>
      <c r="G127" s="24">
        <f>IF('ORDENES'!$A105="","",IF('ORDENES'!$Z105="","-",'ORDENES'!$Z105))</f>
        <v/>
      </c>
      <c r="H127" s="24">
        <f>IF('ORDENES'!$A105="","",IF('ORDENES'!$AH105="","-",'ORDENES'!$AH105))</f>
        <v/>
      </c>
      <c r="I127" s="24">
        <f>IF('ORDENES'!$A105="","",IF('ORDENES'!$AU105="","-",'ORDENES'!$AU105))</f>
        <v/>
      </c>
      <c r="J127" s="24">
        <f>IF('ORDENES'!$A105="","",IF('ORDENES'!$D105="","-",'ORDENES'!$D105))</f>
        <v/>
      </c>
      <c r="K127" s="24">
        <f>IF('ORDENES'!$A105="","",IF('ORDENES'!$E105="","-",'ORDENES'!$E105))</f>
        <v/>
      </c>
      <c r="L127" s="26">
        <f>IF('ORDENES'!$A105="","",IF('ORDENES'!$M105="",0,'ORDENES'!$M105))</f>
        <v/>
      </c>
      <c r="M127" s="24">
        <f>IF('ORDENES'!$A105="","",IF('ORDENES'!$N105="","-",'ORDENES'!$N105))</f>
        <v/>
      </c>
      <c r="N127" s="24">
        <f>IF('ORDENES'!$A105="","",'ORDENES'!$AG105)</f>
        <v/>
      </c>
    </row>
    <row r="128">
      <c r="A128" s="24">
        <f>IF('ORDENES'!$A106="","",IF('ORDENES'!$O106="","-",'ORDENES'!$O106))</f>
        <v/>
      </c>
      <c r="B128" s="24">
        <f>IF('ORDENES'!$A106="","",IF('ORDENES'!$S106="","-",'ORDENES'!$S106))</f>
        <v/>
      </c>
      <c r="C128" s="24">
        <f>IF('ORDENES'!$A106="","",IF('ORDENES'!$AI106="","-",'ORDENES'!$AI106))</f>
        <v/>
      </c>
      <c r="D128" s="24">
        <f>IF('ORDENES'!$A106="","",IF('ORDENES'!$AA106="","-",'ORDENES'!$AA106))</f>
        <v/>
      </c>
      <c r="E128" s="24">
        <f>IF('ORDENES'!$A106="","",IF('ORDENES'!$Y106="","-",'ORDENES'!$Y106))</f>
        <v/>
      </c>
      <c r="F128" s="24">
        <f>IF('ORDENES'!$A106="","",IF('ORDENES'!$AB106="","-",'ORDENES'!$AB106))</f>
        <v/>
      </c>
      <c r="G128" s="24">
        <f>IF('ORDENES'!$A106="","",IF('ORDENES'!$Z106="","-",'ORDENES'!$Z106))</f>
        <v/>
      </c>
      <c r="H128" s="24">
        <f>IF('ORDENES'!$A106="","",IF('ORDENES'!$AH106="","-",'ORDENES'!$AH106))</f>
        <v/>
      </c>
      <c r="I128" s="24">
        <f>IF('ORDENES'!$A106="","",IF('ORDENES'!$AU106="","-",'ORDENES'!$AU106))</f>
        <v/>
      </c>
      <c r="J128" s="24">
        <f>IF('ORDENES'!$A106="","",IF('ORDENES'!$D106="","-",'ORDENES'!$D106))</f>
        <v/>
      </c>
      <c r="K128" s="24">
        <f>IF('ORDENES'!$A106="","",IF('ORDENES'!$E106="","-",'ORDENES'!$E106))</f>
        <v/>
      </c>
      <c r="L128" s="26">
        <f>IF('ORDENES'!$A106="","",IF('ORDENES'!$M106="",0,'ORDENES'!$M106))</f>
        <v/>
      </c>
      <c r="M128" s="24">
        <f>IF('ORDENES'!$A106="","",IF('ORDENES'!$N106="","-",'ORDENES'!$N106))</f>
        <v/>
      </c>
      <c r="N128" s="24">
        <f>IF('ORDENES'!$A106="","",'ORDENES'!$AG106)</f>
        <v/>
      </c>
    </row>
    <row r="129">
      <c r="A129" s="24">
        <f>IF('ORDENES'!$A107="","",IF('ORDENES'!$O107="","-",'ORDENES'!$O107))</f>
        <v/>
      </c>
      <c r="B129" s="24">
        <f>IF('ORDENES'!$A107="","",IF('ORDENES'!$S107="","-",'ORDENES'!$S107))</f>
        <v/>
      </c>
      <c r="C129" s="24">
        <f>IF('ORDENES'!$A107="","",IF('ORDENES'!$AI107="","-",'ORDENES'!$AI107))</f>
        <v/>
      </c>
      <c r="D129" s="24">
        <f>IF('ORDENES'!$A107="","",IF('ORDENES'!$AA107="","-",'ORDENES'!$AA107))</f>
        <v/>
      </c>
      <c r="E129" s="24">
        <f>IF('ORDENES'!$A107="","",IF('ORDENES'!$Y107="","-",'ORDENES'!$Y107))</f>
        <v/>
      </c>
      <c r="F129" s="24">
        <f>IF('ORDENES'!$A107="","",IF('ORDENES'!$AB107="","-",'ORDENES'!$AB107))</f>
        <v/>
      </c>
      <c r="G129" s="24">
        <f>IF('ORDENES'!$A107="","",IF('ORDENES'!$Z107="","-",'ORDENES'!$Z107))</f>
        <v/>
      </c>
      <c r="H129" s="24">
        <f>IF('ORDENES'!$A107="","",IF('ORDENES'!$AH107="","-",'ORDENES'!$AH107))</f>
        <v/>
      </c>
      <c r="I129" s="24">
        <f>IF('ORDENES'!$A107="","",IF('ORDENES'!$AU107="","-",'ORDENES'!$AU107))</f>
        <v/>
      </c>
      <c r="J129" s="24">
        <f>IF('ORDENES'!$A107="","",IF('ORDENES'!$D107="","-",'ORDENES'!$D107))</f>
        <v/>
      </c>
      <c r="K129" s="24">
        <f>IF('ORDENES'!$A107="","",IF('ORDENES'!$E107="","-",'ORDENES'!$E107))</f>
        <v/>
      </c>
      <c r="L129" s="26">
        <f>IF('ORDENES'!$A107="","",IF('ORDENES'!$M107="",0,'ORDENES'!$M107))</f>
        <v/>
      </c>
      <c r="M129" s="24">
        <f>IF('ORDENES'!$A107="","",IF('ORDENES'!$N107="","-",'ORDENES'!$N107))</f>
        <v/>
      </c>
      <c r="N129" s="24">
        <f>IF('ORDENES'!$A107="","",'ORDENES'!$AG107)</f>
        <v/>
      </c>
    </row>
    <row r="130">
      <c r="A130" s="24">
        <f>IF('ORDENES'!$A108="","",IF('ORDENES'!$O108="","-",'ORDENES'!$O108))</f>
        <v/>
      </c>
      <c r="B130" s="24">
        <f>IF('ORDENES'!$A108="","",IF('ORDENES'!$S108="","-",'ORDENES'!$S108))</f>
        <v/>
      </c>
      <c r="C130" s="24">
        <f>IF('ORDENES'!$A108="","",IF('ORDENES'!$AI108="","-",'ORDENES'!$AI108))</f>
        <v/>
      </c>
      <c r="D130" s="24">
        <f>IF('ORDENES'!$A108="","",IF('ORDENES'!$AA108="","-",'ORDENES'!$AA108))</f>
        <v/>
      </c>
      <c r="E130" s="24">
        <f>IF('ORDENES'!$A108="","",IF('ORDENES'!$Y108="","-",'ORDENES'!$Y108))</f>
        <v/>
      </c>
      <c r="F130" s="24">
        <f>IF('ORDENES'!$A108="","",IF('ORDENES'!$AB108="","-",'ORDENES'!$AB108))</f>
        <v/>
      </c>
      <c r="G130" s="24">
        <f>IF('ORDENES'!$A108="","",IF('ORDENES'!$Z108="","-",'ORDENES'!$Z108))</f>
        <v/>
      </c>
      <c r="H130" s="24">
        <f>IF('ORDENES'!$A108="","",IF('ORDENES'!$AH108="","-",'ORDENES'!$AH108))</f>
        <v/>
      </c>
      <c r="I130" s="24">
        <f>IF('ORDENES'!$A108="","",IF('ORDENES'!$AU108="","-",'ORDENES'!$AU108))</f>
        <v/>
      </c>
      <c r="J130" s="24">
        <f>IF('ORDENES'!$A108="","",IF('ORDENES'!$D108="","-",'ORDENES'!$D108))</f>
        <v/>
      </c>
      <c r="K130" s="24">
        <f>IF('ORDENES'!$A108="","",IF('ORDENES'!$E108="","-",'ORDENES'!$E108))</f>
        <v/>
      </c>
      <c r="L130" s="26">
        <f>IF('ORDENES'!$A108="","",IF('ORDENES'!$M108="",0,'ORDENES'!$M108))</f>
        <v/>
      </c>
      <c r="M130" s="24">
        <f>IF('ORDENES'!$A108="","",IF('ORDENES'!$N108="","-",'ORDENES'!$N108))</f>
        <v/>
      </c>
      <c r="N130" s="24">
        <f>IF('ORDENES'!$A108="","",'ORDENES'!$AG108)</f>
        <v/>
      </c>
    </row>
    <row r="131">
      <c r="A131" s="24">
        <f>IF('ORDENES'!$A109="","",IF('ORDENES'!$O109="","-",'ORDENES'!$O109))</f>
        <v/>
      </c>
      <c r="B131" s="24">
        <f>IF('ORDENES'!$A109="","",IF('ORDENES'!$S109="","-",'ORDENES'!$S109))</f>
        <v/>
      </c>
      <c r="C131" s="24">
        <f>IF('ORDENES'!$A109="","",IF('ORDENES'!$AI109="","-",'ORDENES'!$AI109))</f>
        <v/>
      </c>
      <c r="D131" s="24">
        <f>IF('ORDENES'!$A109="","",IF('ORDENES'!$AA109="","-",'ORDENES'!$AA109))</f>
        <v/>
      </c>
      <c r="E131" s="24">
        <f>IF('ORDENES'!$A109="","",IF('ORDENES'!$Y109="","-",'ORDENES'!$Y109))</f>
        <v/>
      </c>
      <c r="F131" s="24">
        <f>IF('ORDENES'!$A109="","",IF('ORDENES'!$AB109="","-",'ORDENES'!$AB109))</f>
        <v/>
      </c>
      <c r="G131" s="24">
        <f>IF('ORDENES'!$A109="","",IF('ORDENES'!$Z109="","-",'ORDENES'!$Z109))</f>
        <v/>
      </c>
      <c r="H131" s="24">
        <f>IF('ORDENES'!$A109="","",IF('ORDENES'!$AH109="","-",'ORDENES'!$AH109))</f>
        <v/>
      </c>
      <c r="I131" s="24">
        <f>IF('ORDENES'!$A109="","",IF('ORDENES'!$AU109="","-",'ORDENES'!$AU109))</f>
        <v/>
      </c>
      <c r="J131" s="24">
        <f>IF('ORDENES'!$A109="","",IF('ORDENES'!$D109="","-",'ORDENES'!$D109))</f>
        <v/>
      </c>
      <c r="K131" s="24">
        <f>IF('ORDENES'!$A109="","",IF('ORDENES'!$E109="","-",'ORDENES'!$E109))</f>
        <v/>
      </c>
      <c r="L131" s="26">
        <f>IF('ORDENES'!$A109="","",IF('ORDENES'!$M109="",0,'ORDENES'!$M109))</f>
        <v/>
      </c>
      <c r="M131" s="24">
        <f>IF('ORDENES'!$A109="","",IF('ORDENES'!$N109="","-",'ORDENES'!$N109))</f>
        <v/>
      </c>
      <c r="N131" s="24">
        <f>IF('ORDENES'!$A109="","",'ORDENES'!$AG109)</f>
        <v/>
      </c>
    </row>
    <row r="132">
      <c r="A132" s="24">
        <f>IF('ORDENES'!$A110="","",IF('ORDENES'!$O110="","-",'ORDENES'!$O110))</f>
        <v/>
      </c>
      <c r="B132" s="24">
        <f>IF('ORDENES'!$A110="","",IF('ORDENES'!$S110="","-",'ORDENES'!$S110))</f>
        <v/>
      </c>
      <c r="C132" s="24">
        <f>IF('ORDENES'!$A110="","",IF('ORDENES'!$AI110="","-",'ORDENES'!$AI110))</f>
        <v/>
      </c>
      <c r="D132" s="24">
        <f>IF('ORDENES'!$A110="","",IF('ORDENES'!$AA110="","-",'ORDENES'!$AA110))</f>
        <v/>
      </c>
      <c r="E132" s="24">
        <f>IF('ORDENES'!$A110="","",IF('ORDENES'!$Y110="","-",'ORDENES'!$Y110))</f>
        <v/>
      </c>
      <c r="F132" s="24">
        <f>IF('ORDENES'!$A110="","",IF('ORDENES'!$AB110="","-",'ORDENES'!$AB110))</f>
        <v/>
      </c>
      <c r="G132" s="24">
        <f>IF('ORDENES'!$A110="","",IF('ORDENES'!$Z110="","-",'ORDENES'!$Z110))</f>
        <v/>
      </c>
      <c r="H132" s="24">
        <f>IF('ORDENES'!$A110="","",IF('ORDENES'!$AH110="","-",'ORDENES'!$AH110))</f>
        <v/>
      </c>
      <c r="I132" s="24">
        <f>IF('ORDENES'!$A110="","",IF('ORDENES'!$AU110="","-",'ORDENES'!$AU110))</f>
        <v/>
      </c>
      <c r="J132" s="24">
        <f>IF('ORDENES'!$A110="","",IF('ORDENES'!$D110="","-",'ORDENES'!$D110))</f>
        <v/>
      </c>
      <c r="K132" s="24">
        <f>IF('ORDENES'!$A110="","",IF('ORDENES'!$E110="","-",'ORDENES'!$E110))</f>
        <v/>
      </c>
      <c r="L132" s="26">
        <f>IF('ORDENES'!$A110="","",IF('ORDENES'!$M110="",0,'ORDENES'!$M110))</f>
        <v/>
      </c>
      <c r="M132" s="24">
        <f>IF('ORDENES'!$A110="","",IF('ORDENES'!$N110="","-",'ORDENES'!$N110))</f>
        <v/>
      </c>
      <c r="N132" s="24">
        <f>IF('ORDENES'!$A110="","",'ORDENES'!$AG110)</f>
        <v/>
      </c>
    </row>
    <row r="133">
      <c r="A133" s="24">
        <f>IF('ORDENES'!$A111="","",IF('ORDENES'!$O111="","-",'ORDENES'!$O111))</f>
        <v/>
      </c>
      <c r="B133" s="24">
        <f>IF('ORDENES'!$A111="","",IF('ORDENES'!$S111="","-",'ORDENES'!$S111))</f>
        <v/>
      </c>
      <c r="C133" s="24">
        <f>IF('ORDENES'!$A111="","",IF('ORDENES'!$AI111="","-",'ORDENES'!$AI111))</f>
        <v/>
      </c>
      <c r="D133" s="24">
        <f>IF('ORDENES'!$A111="","",IF('ORDENES'!$AA111="","-",'ORDENES'!$AA111))</f>
        <v/>
      </c>
      <c r="E133" s="24">
        <f>IF('ORDENES'!$A111="","",IF('ORDENES'!$Y111="","-",'ORDENES'!$Y111))</f>
        <v/>
      </c>
      <c r="F133" s="24">
        <f>IF('ORDENES'!$A111="","",IF('ORDENES'!$AB111="","-",'ORDENES'!$AB111))</f>
        <v/>
      </c>
      <c r="G133" s="24">
        <f>IF('ORDENES'!$A111="","",IF('ORDENES'!$Z111="","-",'ORDENES'!$Z111))</f>
        <v/>
      </c>
      <c r="H133" s="24">
        <f>IF('ORDENES'!$A111="","",IF('ORDENES'!$AH111="","-",'ORDENES'!$AH111))</f>
        <v/>
      </c>
      <c r="I133" s="24">
        <f>IF('ORDENES'!$A111="","",IF('ORDENES'!$AU111="","-",'ORDENES'!$AU111))</f>
        <v/>
      </c>
      <c r="J133" s="24">
        <f>IF('ORDENES'!$A111="","",IF('ORDENES'!$D111="","-",'ORDENES'!$D111))</f>
        <v/>
      </c>
      <c r="K133" s="24">
        <f>IF('ORDENES'!$A111="","",IF('ORDENES'!$E111="","-",'ORDENES'!$E111))</f>
        <v/>
      </c>
      <c r="L133" s="26">
        <f>IF('ORDENES'!$A111="","",IF('ORDENES'!$M111="",0,'ORDENES'!$M111))</f>
        <v/>
      </c>
      <c r="M133" s="24">
        <f>IF('ORDENES'!$A111="","",IF('ORDENES'!$N111="","-",'ORDENES'!$N111))</f>
        <v/>
      </c>
      <c r="N133" s="24">
        <f>IF('ORDENES'!$A111="","",'ORDENES'!$AG111)</f>
        <v/>
      </c>
    </row>
    <row r="134">
      <c r="A134" s="24">
        <f>IF('ORDENES'!$A112="","",IF('ORDENES'!$O112="","-",'ORDENES'!$O112))</f>
        <v/>
      </c>
      <c r="B134" s="24">
        <f>IF('ORDENES'!$A112="","",IF('ORDENES'!$S112="","-",'ORDENES'!$S112))</f>
        <v/>
      </c>
      <c r="C134" s="24">
        <f>IF('ORDENES'!$A112="","",IF('ORDENES'!$AI112="","-",'ORDENES'!$AI112))</f>
        <v/>
      </c>
      <c r="D134" s="24">
        <f>IF('ORDENES'!$A112="","",IF('ORDENES'!$AA112="","-",'ORDENES'!$AA112))</f>
        <v/>
      </c>
      <c r="E134" s="24">
        <f>IF('ORDENES'!$A112="","",IF('ORDENES'!$Y112="","-",'ORDENES'!$Y112))</f>
        <v/>
      </c>
      <c r="F134" s="24">
        <f>IF('ORDENES'!$A112="","",IF('ORDENES'!$AB112="","-",'ORDENES'!$AB112))</f>
        <v/>
      </c>
      <c r="G134" s="24">
        <f>IF('ORDENES'!$A112="","",IF('ORDENES'!$Z112="","-",'ORDENES'!$Z112))</f>
        <v/>
      </c>
      <c r="H134" s="24">
        <f>IF('ORDENES'!$A112="","",IF('ORDENES'!$AH112="","-",'ORDENES'!$AH112))</f>
        <v/>
      </c>
      <c r="I134" s="24">
        <f>IF('ORDENES'!$A112="","",IF('ORDENES'!$AU112="","-",'ORDENES'!$AU112))</f>
        <v/>
      </c>
      <c r="J134" s="24">
        <f>IF('ORDENES'!$A112="","",IF('ORDENES'!$D112="","-",'ORDENES'!$D112))</f>
        <v/>
      </c>
      <c r="K134" s="24">
        <f>IF('ORDENES'!$A112="","",IF('ORDENES'!$E112="","-",'ORDENES'!$E112))</f>
        <v/>
      </c>
      <c r="L134" s="26">
        <f>IF('ORDENES'!$A112="","",IF('ORDENES'!$M112="",0,'ORDENES'!$M112))</f>
        <v/>
      </c>
      <c r="M134" s="24">
        <f>IF('ORDENES'!$A112="","",IF('ORDENES'!$N112="","-",'ORDENES'!$N112))</f>
        <v/>
      </c>
      <c r="N134" s="24">
        <f>IF('ORDENES'!$A112="","",'ORDENES'!$AG112)</f>
        <v/>
      </c>
    </row>
    <row r="135">
      <c r="A135" s="24">
        <f>IF('ORDENES'!$A113="","",IF('ORDENES'!$O113="","-",'ORDENES'!$O113))</f>
        <v/>
      </c>
      <c r="B135" s="24">
        <f>IF('ORDENES'!$A113="","",IF('ORDENES'!$S113="","-",'ORDENES'!$S113))</f>
        <v/>
      </c>
      <c r="C135" s="24">
        <f>IF('ORDENES'!$A113="","",IF('ORDENES'!$AI113="","-",'ORDENES'!$AI113))</f>
        <v/>
      </c>
      <c r="D135" s="24">
        <f>IF('ORDENES'!$A113="","",IF('ORDENES'!$AA113="","-",'ORDENES'!$AA113))</f>
        <v/>
      </c>
      <c r="E135" s="24">
        <f>IF('ORDENES'!$A113="","",IF('ORDENES'!$Y113="","-",'ORDENES'!$Y113))</f>
        <v/>
      </c>
      <c r="F135" s="24">
        <f>IF('ORDENES'!$A113="","",IF('ORDENES'!$AB113="","-",'ORDENES'!$AB113))</f>
        <v/>
      </c>
      <c r="G135" s="24">
        <f>IF('ORDENES'!$A113="","",IF('ORDENES'!$Z113="","-",'ORDENES'!$Z113))</f>
        <v/>
      </c>
      <c r="H135" s="24">
        <f>IF('ORDENES'!$A113="","",IF('ORDENES'!$AH113="","-",'ORDENES'!$AH113))</f>
        <v/>
      </c>
      <c r="I135" s="24">
        <f>IF('ORDENES'!$A113="","",IF('ORDENES'!$AU113="","-",'ORDENES'!$AU113))</f>
        <v/>
      </c>
      <c r="J135" s="24">
        <f>IF('ORDENES'!$A113="","",IF('ORDENES'!$D113="","-",'ORDENES'!$D113))</f>
        <v/>
      </c>
      <c r="K135" s="24">
        <f>IF('ORDENES'!$A113="","",IF('ORDENES'!$E113="","-",'ORDENES'!$E113))</f>
        <v/>
      </c>
      <c r="L135" s="26">
        <f>IF('ORDENES'!$A113="","",IF('ORDENES'!$M113="",0,'ORDENES'!$M113))</f>
        <v/>
      </c>
      <c r="M135" s="24">
        <f>IF('ORDENES'!$A113="","",IF('ORDENES'!$N113="","-",'ORDENES'!$N113))</f>
        <v/>
      </c>
      <c r="N135" s="24">
        <f>IF('ORDENES'!$A113="","",'ORDENES'!$AG113)</f>
        <v/>
      </c>
    </row>
    <row r="136">
      <c r="A136" s="24">
        <f>IF('ORDENES'!$A114="","",IF('ORDENES'!$O114="","-",'ORDENES'!$O114))</f>
        <v/>
      </c>
      <c r="B136" s="24">
        <f>IF('ORDENES'!$A114="","",IF('ORDENES'!$S114="","-",'ORDENES'!$S114))</f>
        <v/>
      </c>
      <c r="C136" s="24">
        <f>IF('ORDENES'!$A114="","",IF('ORDENES'!$AI114="","-",'ORDENES'!$AI114))</f>
        <v/>
      </c>
      <c r="D136" s="24">
        <f>IF('ORDENES'!$A114="","",IF('ORDENES'!$AA114="","-",'ORDENES'!$AA114))</f>
        <v/>
      </c>
      <c r="E136" s="24">
        <f>IF('ORDENES'!$A114="","",IF('ORDENES'!$Y114="","-",'ORDENES'!$Y114))</f>
        <v/>
      </c>
      <c r="F136" s="24">
        <f>IF('ORDENES'!$A114="","",IF('ORDENES'!$AB114="","-",'ORDENES'!$AB114))</f>
        <v/>
      </c>
      <c r="G136" s="24">
        <f>IF('ORDENES'!$A114="","",IF('ORDENES'!$Z114="","-",'ORDENES'!$Z114))</f>
        <v/>
      </c>
      <c r="H136" s="24">
        <f>IF('ORDENES'!$A114="","",IF('ORDENES'!$AH114="","-",'ORDENES'!$AH114))</f>
        <v/>
      </c>
      <c r="I136" s="24">
        <f>IF('ORDENES'!$A114="","",IF('ORDENES'!$AU114="","-",'ORDENES'!$AU114))</f>
        <v/>
      </c>
      <c r="J136" s="24">
        <f>IF('ORDENES'!$A114="","",IF('ORDENES'!$D114="","-",'ORDENES'!$D114))</f>
        <v/>
      </c>
      <c r="K136" s="24">
        <f>IF('ORDENES'!$A114="","",IF('ORDENES'!$E114="","-",'ORDENES'!$E114))</f>
        <v/>
      </c>
      <c r="L136" s="26">
        <f>IF('ORDENES'!$A114="","",IF('ORDENES'!$M114="",0,'ORDENES'!$M114))</f>
        <v/>
      </c>
      <c r="M136" s="24">
        <f>IF('ORDENES'!$A114="","",IF('ORDENES'!$N114="","-",'ORDENES'!$N114))</f>
        <v/>
      </c>
      <c r="N136" s="24">
        <f>IF('ORDENES'!$A114="","",'ORDENES'!$AG114)</f>
        <v/>
      </c>
    </row>
    <row r="137">
      <c r="A137" s="24">
        <f>IF('ORDENES'!$A115="","",IF('ORDENES'!$O115="","-",'ORDENES'!$O115))</f>
        <v/>
      </c>
      <c r="B137" s="24">
        <f>IF('ORDENES'!$A115="","",IF('ORDENES'!$S115="","-",'ORDENES'!$S115))</f>
        <v/>
      </c>
      <c r="C137" s="24">
        <f>IF('ORDENES'!$A115="","",IF('ORDENES'!$AI115="","-",'ORDENES'!$AI115))</f>
        <v/>
      </c>
      <c r="D137" s="24">
        <f>IF('ORDENES'!$A115="","",IF('ORDENES'!$AA115="","-",'ORDENES'!$AA115))</f>
        <v/>
      </c>
      <c r="E137" s="24">
        <f>IF('ORDENES'!$A115="","",IF('ORDENES'!$Y115="","-",'ORDENES'!$Y115))</f>
        <v/>
      </c>
      <c r="F137" s="24">
        <f>IF('ORDENES'!$A115="","",IF('ORDENES'!$AB115="","-",'ORDENES'!$AB115))</f>
        <v/>
      </c>
      <c r="G137" s="24">
        <f>IF('ORDENES'!$A115="","",IF('ORDENES'!$Z115="","-",'ORDENES'!$Z115))</f>
        <v/>
      </c>
      <c r="H137" s="24">
        <f>IF('ORDENES'!$A115="","",IF('ORDENES'!$AH115="","-",'ORDENES'!$AH115))</f>
        <v/>
      </c>
      <c r="I137" s="24">
        <f>IF('ORDENES'!$A115="","",IF('ORDENES'!$AU115="","-",'ORDENES'!$AU115))</f>
        <v/>
      </c>
      <c r="J137" s="24">
        <f>IF('ORDENES'!$A115="","",IF('ORDENES'!$D115="","-",'ORDENES'!$D115))</f>
        <v/>
      </c>
      <c r="K137" s="24">
        <f>IF('ORDENES'!$A115="","",IF('ORDENES'!$E115="","-",'ORDENES'!$E115))</f>
        <v/>
      </c>
      <c r="L137" s="26">
        <f>IF('ORDENES'!$A115="","",IF('ORDENES'!$M115="",0,'ORDENES'!$M115))</f>
        <v/>
      </c>
      <c r="M137" s="24">
        <f>IF('ORDENES'!$A115="","",IF('ORDENES'!$N115="","-",'ORDENES'!$N115))</f>
        <v/>
      </c>
      <c r="N137" s="24">
        <f>IF('ORDENES'!$A115="","",'ORDENES'!$AG115)</f>
        <v/>
      </c>
    </row>
    <row r="138">
      <c r="A138" s="24">
        <f>IF('ORDENES'!$A116="","",IF('ORDENES'!$O116="","-",'ORDENES'!$O116))</f>
        <v/>
      </c>
      <c r="B138" s="24">
        <f>IF('ORDENES'!$A116="","",IF('ORDENES'!$S116="","-",'ORDENES'!$S116))</f>
        <v/>
      </c>
      <c r="C138" s="24">
        <f>IF('ORDENES'!$A116="","",IF('ORDENES'!$AI116="","-",'ORDENES'!$AI116))</f>
        <v/>
      </c>
      <c r="D138" s="24">
        <f>IF('ORDENES'!$A116="","",IF('ORDENES'!$AA116="","-",'ORDENES'!$AA116))</f>
        <v/>
      </c>
      <c r="E138" s="24">
        <f>IF('ORDENES'!$A116="","",IF('ORDENES'!$Y116="","-",'ORDENES'!$Y116))</f>
        <v/>
      </c>
      <c r="F138" s="24">
        <f>IF('ORDENES'!$A116="","",IF('ORDENES'!$AB116="","-",'ORDENES'!$AB116))</f>
        <v/>
      </c>
      <c r="G138" s="24">
        <f>IF('ORDENES'!$A116="","",IF('ORDENES'!$Z116="","-",'ORDENES'!$Z116))</f>
        <v/>
      </c>
      <c r="H138" s="24">
        <f>IF('ORDENES'!$A116="","",IF('ORDENES'!$AH116="","-",'ORDENES'!$AH116))</f>
        <v/>
      </c>
      <c r="I138" s="24">
        <f>IF('ORDENES'!$A116="","",IF('ORDENES'!$AU116="","-",'ORDENES'!$AU116))</f>
        <v/>
      </c>
      <c r="J138" s="24">
        <f>IF('ORDENES'!$A116="","",IF('ORDENES'!$D116="","-",'ORDENES'!$D116))</f>
        <v/>
      </c>
      <c r="K138" s="24">
        <f>IF('ORDENES'!$A116="","",IF('ORDENES'!$E116="","-",'ORDENES'!$E116))</f>
        <v/>
      </c>
      <c r="L138" s="26">
        <f>IF('ORDENES'!$A116="","",IF('ORDENES'!$M116="",0,'ORDENES'!$M116))</f>
        <v/>
      </c>
      <c r="M138" s="24">
        <f>IF('ORDENES'!$A116="","",IF('ORDENES'!$N116="","-",'ORDENES'!$N116))</f>
        <v/>
      </c>
      <c r="N138" s="24">
        <f>IF('ORDENES'!$A116="","",'ORDENES'!$AG116)</f>
        <v/>
      </c>
    </row>
    <row r="139">
      <c r="A139" s="24">
        <f>IF('ORDENES'!$A117="","",IF('ORDENES'!$O117="","-",'ORDENES'!$O117))</f>
        <v/>
      </c>
      <c r="B139" s="24">
        <f>IF('ORDENES'!$A117="","",IF('ORDENES'!$S117="","-",'ORDENES'!$S117))</f>
        <v/>
      </c>
      <c r="C139" s="24">
        <f>IF('ORDENES'!$A117="","",IF('ORDENES'!$AI117="","-",'ORDENES'!$AI117))</f>
        <v/>
      </c>
      <c r="D139" s="24">
        <f>IF('ORDENES'!$A117="","",IF('ORDENES'!$AA117="","-",'ORDENES'!$AA117))</f>
        <v/>
      </c>
      <c r="E139" s="24">
        <f>IF('ORDENES'!$A117="","",IF('ORDENES'!$Y117="","-",'ORDENES'!$Y117))</f>
        <v/>
      </c>
      <c r="F139" s="24">
        <f>IF('ORDENES'!$A117="","",IF('ORDENES'!$AB117="","-",'ORDENES'!$AB117))</f>
        <v/>
      </c>
      <c r="G139" s="24">
        <f>IF('ORDENES'!$A117="","",IF('ORDENES'!$Z117="","-",'ORDENES'!$Z117))</f>
        <v/>
      </c>
      <c r="H139" s="24">
        <f>IF('ORDENES'!$A117="","",IF('ORDENES'!$AH117="","-",'ORDENES'!$AH117))</f>
        <v/>
      </c>
      <c r="I139" s="24">
        <f>IF('ORDENES'!$A117="","",IF('ORDENES'!$AU117="","-",'ORDENES'!$AU117))</f>
        <v/>
      </c>
      <c r="J139" s="24">
        <f>IF('ORDENES'!$A117="","",IF('ORDENES'!$D117="","-",'ORDENES'!$D117))</f>
        <v/>
      </c>
      <c r="K139" s="24">
        <f>IF('ORDENES'!$A117="","",IF('ORDENES'!$E117="","-",'ORDENES'!$E117))</f>
        <v/>
      </c>
      <c r="L139" s="26">
        <f>IF('ORDENES'!$A117="","",IF('ORDENES'!$M117="",0,'ORDENES'!$M117))</f>
        <v/>
      </c>
      <c r="M139" s="24">
        <f>IF('ORDENES'!$A117="","",IF('ORDENES'!$N117="","-",'ORDENES'!$N117))</f>
        <v/>
      </c>
      <c r="N139" s="24">
        <f>IF('ORDENES'!$A117="","",'ORDENES'!$AG117)</f>
        <v/>
      </c>
    </row>
    <row r="140">
      <c r="A140" s="24">
        <f>IF('ORDENES'!$A118="","",IF('ORDENES'!$O118="","-",'ORDENES'!$O118))</f>
        <v/>
      </c>
      <c r="B140" s="24">
        <f>IF('ORDENES'!$A118="","",IF('ORDENES'!$S118="","-",'ORDENES'!$S118))</f>
        <v/>
      </c>
      <c r="C140" s="24">
        <f>IF('ORDENES'!$A118="","",IF('ORDENES'!$AI118="","-",'ORDENES'!$AI118))</f>
        <v/>
      </c>
      <c r="D140" s="24">
        <f>IF('ORDENES'!$A118="","",IF('ORDENES'!$AA118="","-",'ORDENES'!$AA118))</f>
        <v/>
      </c>
      <c r="E140" s="24">
        <f>IF('ORDENES'!$A118="","",IF('ORDENES'!$Y118="","-",'ORDENES'!$Y118))</f>
        <v/>
      </c>
      <c r="F140" s="24">
        <f>IF('ORDENES'!$A118="","",IF('ORDENES'!$AB118="","-",'ORDENES'!$AB118))</f>
        <v/>
      </c>
      <c r="G140" s="24">
        <f>IF('ORDENES'!$A118="","",IF('ORDENES'!$Z118="","-",'ORDENES'!$Z118))</f>
        <v/>
      </c>
      <c r="H140" s="24">
        <f>IF('ORDENES'!$A118="","",IF('ORDENES'!$AH118="","-",'ORDENES'!$AH118))</f>
        <v/>
      </c>
      <c r="I140" s="24">
        <f>IF('ORDENES'!$A118="","",IF('ORDENES'!$AU118="","-",'ORDENES'!$AU118))</f>
        <v/>
      </c>
      <c r="J140" s="24">
        <f>IF('ORDENES'!$A118="","",IF('ORDENES'!$D118="","-",'ORDENES'!$D118))</f>
        <v/>
      </c>
      <c r="K140" s="24">
        <f>IF('ORDENES'!$A118="","",IF('ORDENES'!$E118="","-",'ORDENES'!$E118))</f>
        <v/>
      </c>
      <c r="L140" s="26">
        <f>IF('ORDENES'!$A118="","",IF('ORDENES'!$M118="",0,'ORDENES'!$M118))</f>
        <v/>
      </c>
      <c r="M140" s="24">
        <f>IF('ORDENES'!$A118="","",IF('ORDENES'!$N118="","-",'ORDENES'!$N118))</f>
        <v/>
      </c>
      <c r="N140" s="24">
        <f>IF('ORDENES'!$A118="","",'ORDENES'!$AG118)</f>
        <v/>
      </c>
    </row>
    <row r="141">
      <c r="A141" s="24">
        <f>IF('ORDENES'!$A119="","",IF('ORDENES'!$O119="","-",'ORDENES'!$O119))</f>
        <v/>
      </c>
      <c r="B141" s="24">
        <f>IF('ORDENES'!$A119="","",IF('ORDENES'!$S119="","-",'ORDENES'!$S119))</f>
        <v/>
      </c>
      <c r="C141" s="24">
        <f>IF('ORDENES'!$A119="","",IF('ORDENES'!$AI119="","-",'ORDENES'!$AI119))</f>
        <v/>
      </c>
      <c r="D141" s="24">
        <f>IF('ORDENES'!$A119="","",IF('ORDENES'!$AA119="","-",'ORDENES'!$AA119))</f>
        <v/>
      </c>
      <c r="E141" s="24">
        <f>IF('ORDENES'!$A119="","",IF('ORDENES'!$Y119="","-",'ORDENES'!$Y119))</f>
        <v/>
      </c>
      <c r="F141" s="24">
        <f>IF('ORDENES'!$A119="","",IF('ORDENES'!$AB119="","-",'ORDENES'!$AB119))</f>
        <v/>
      </c>
      <c r="G141" s="24">
        <f>IF('ORDENES'!$A119="","",IF('ORDENES'!$Z119="","-",'ORDENES'!$Z119))</f>
        <v/>
      </c>
      <c r="H141" s="24">
        <f>IF('ORDENES'!$A119="","",IF('ORDENES'!$AH119="","-",'ORDENES'!$AH119))</f>
        <v/>
      </c>
      <c r="I141" s="24">
        <f>IF('ORDENES'!$A119="","",IF('ORDENES'!$AU119="","-",'ORDENES'!$AU119))</f>
        <v/>
      </c>
      <c r="J141" s="24">
        <f>IF('ORDENES'!$A119="","",IF('ORDENES'!$D119="","-",'ORDENES'!$D119))</f>
        <v/>
      </c>
      <c r="K141" s="24">
        <f>IF('ORDENES'!$A119="","",IF('ORDENES'!$E119="","-",'ORDENES'!$E119))</f>
        <v/>
      </c>
      <c r="L141" s="26">
        <f>IF('ORDENES'!$A119="","",IF('ORDENES'!$M119="",0,'ORDENES'!$M119))</f>
        <v/>
      </c>
      <c r="M141" s="24">
        <f>IF('ORDENES'!$A119="","",IF('ORDENES'!$N119="","-",'ORDENES'!$N119))</f>
        <v/>
      </c>
      <c r="N141" s="24">
        <f>IF('ORDENES'!$A119="","",'ORDENES'!$AG119)</f>
        <v/>
      </c>
    </row>
    <row r="142">
      <c r="A142" s="24">
        <f>IF('ORDENES'!$A120="","",IF('ORDENES'!$O120="","-",'ORDENES'!$O120))</f>
        <v/>
      </c>
      <c r="B142" s="24">
        <f>IF('ORDENES'!$A120="","",IF('ORDENES'!$S120="","-",'ORDENES'!$S120))</f>
        <v/>
      </c>
      <c r="C142" s="24">
        <f>IF('ORDENES'!$A120="","",IF('ORDENES'!$AI120="","-",'ORDENES'!$AI120))</f>
        <v/>
      </c>
      <c r="D142" s="24">
        <f>IF('ORDENES'!$A120="","",IF('ORDENES'!$AA120="","-",'ORDENES'!$AA120))</f>
        <v/>
      </c>
      <c r="E142" s="24">
        <f>IF('ORDENES'!$A120="","",IF('ORDENES'!$Y120="","-",'ORDENES'!$Y120))</f>
        <v/>
      </c>
      <c r="F142" s="24">
        <f>IF('ORDENES'!$A120="","",IF('ORDENES'!$AB120="","-",'ORDENES'!$AB120))</f>
        <v/>
      </c>
      <c r="G142" s="24">
        <f>IF('ORDENES'!$A120="","",IF('ORDENES'!$Z120="","-",'ORDENES'!$Z120))</f>
        <v/>
      </c>
      <c r="H142" s="24">
        <f>IF('ORDENES'!$A120="","",IF('ORDENES'!$AH120="","-",'ORDENES'!$AH120))</f>
        <v/>
      </c>
      <c r="I142" s="24">
        <f>IF('ORDENES'!$A120="","",IF('ORDENES'!$AU120="","-",'ORDENES'!$AU120))</f>
        <v/>
      </c>
      <c r="J142" s="24">
        <f>IF('ORDENES'!$A120="","",IF('ORDENES'!$D120="","-",'ORDENES'!$D120))</f>
        <v/>
      </c>
      <c r="K142" s="24">
        <f>IF('ORDENES'!$A120="","",IF('ORDENES'!$E120="","-",'ORDENES'!$E120))</f>
        <v/>
      </c>
      <c r="L142" s="26">
        <f>IF('ORDENES'!$A120="","",IF('ORDENES'!$M120="",0,'ORDENES'!$M120))</f>
        <v/>
      </c>
      <c r="M142" s="24">
        <f>IF('ORDENES'!$A120="","",IF('ORDENES'!$N120="","-",'ORDENES'!$N120))</f>
        <v/>
      </c>
      <c r="N142" s="24">
        <f>IF('ORDENES'!$A120="","",'ORDENES'!$AG120)</f>
        <v/>
      </c>
    </row>
    <row r="143">
      <c r="A143" s="24">
        <f>IF('ORDENES'!$A121="","",IF('ORDENES'!$O121="","-",'ORDENES'!$O121))</f>
        <v/>
      </c>
      <c r="B143" s="24">
        <f>IF('ORDENES'!$A121="","",IF('ORDENES'!$S121="","-",'ORDENES'!$S121))</f>
        <v/>
      </c>
      <c r="C143" s="24">
        <f>IF('ORDENES'!$A121="","",IF('ORDENES'!$AI121="","-",'ORDENES'!$AI121))</f>
        <v/>
      </c>
      <c r="D143" s="24">
        <f>IF('ORDENES'!$A121="","",IF('ORDENES'!$AA121="","-",'ORDENES'!$AA121))</f>
        <v/>
      </c>
      <c r="E143" s="24">
        <f>IF('ORDENES'!$A121="","",IF('ORDENES'!$Y121="","-",'ORDENES'!$Y121))</f>
        <v/>
      </c>
      <c r="F143" s="24">
        <f>IF('ORDENES'!$A121="","",IF('ORDENES'!$AB121="","-",'ORDENES'!$AB121))</f>
        <v/>
      </c>
      <c r="G143" s="24">
        <f>IF('ORDENES'!$A121="","",IF('ORDENES'!$Z121="","-",'ORDENES'!$Z121))</f>
        <v/>
      </c>
      <c r="H143" s="24">
        <f>IF('ORDENES'!$A121="","",IF('ORDENES'!$AH121="","-",'ORDENES'!$AH121))</f>
        <v/>
      </c>
      <c r="I143" s="24">
        <f>IF('ORDENES'!$A121="","",IF('ORDENES'!$AU121="","-",'ORDENES'!$AU121))</f>
        <v/>
      </c>
      <c r="J143" s="24">
        <f>IF('ORDENES'!$A121="","",IF('ORDENES'!$D121="","-",'ORDENES'!$D121))</f>
        <v/>
      </c>
      <c r="K143" s="24">
        <f>IF('ORDENES'!$A121="","",IF('ORDENES'!$E121="","-",'ORDENES'!$E121))</f>
        <v/>
      </c>
      <c r="L143" s="26">
        <f>IF('ORDENES'!$A121="","",IF('ORDENES'!$M121="",0,'ORDENES'!$M121))</f>
        <v/>
      </c>
      <c r="M143" s="24">
        <f>IF('ORDENES'!$A121="","",IF('ORDENES'!$N121="","-",'ORDENES'!$N121))</f>
        <v/>
      </c>
      <c r="N143" s="24">
        <f>IF('ORDENES'!$A121="","",'ORDENES'!$AG121)</f>
        <v/>
      </c>
    </row>
    <row r="144">
      <c r="A144" s="24">
        <f>IF('ORDENES'!$A122="","",IF('ORDENES'!$O122="","-",'ORDENES'!$O122))</f>
        <v/>
      </c>
      <c r="B144" s="24">
        <f>IF('ORDENES'!$A122="","",IF('ORDENES'!$S122="","-",'ORDENES'!$S122))</f>
        <v/>
      </c>
      <c r="C144" s="24">
        <f>IF('ORDENES'!$A122="","",IF('ORDENES'!$AI122="","-",'ORDENES'!$AI122))</f>
        <v/>
      </c>
      <c r="D144" s="24">
        <f>IF('ORDENES'!$A122="","",IF('ORDENES'!$AA122="","-",'ORDENES'!$AA122))</f>
        <v/>
      </c>
      <c r="E144" s="24">
        <f>IF('ORDENES'!$A122="","",IF('ORDENES'!$Y122="","-",'ORDENES'!$Y122))</f>
        <v/>
      </c>
      <c r="F144" s="24">
        <f>IF('ORDENES'!$A122="","",IF('ORDENES'!$AB122="","-",'ORDENES'!$AB122))</f>
        <v/>
      </c>
      <c r="G144" s="24">
        <f>IF('ORDENES'!$A122="","",IF('ORDENES'!$Z122="","-",'ORDENES'!$Z122))</f>
        <v/>
      </c>
      <c r="H144" s="24">
        <f>IF('ORDENES'!$A122="","",IF('ORDENES'!$AH122="","-",'ORDENES'!$AH122))</f>
        <v/>
      </c>
      <c r="I144" s="24">
        <f>IF('ORDENES'!$A122="","",IF('ORDENES'!$AU122="","-",'ORDENES'!$AU122))</f>
        <v/>
      </c>
      <c r="J144" s="24">
        <f>IF('ORDENES'!$A122="","",IF('ORDENES'!$D122="","-",'ORDENES'!$D122))</f>
        <v/>
      </c>
      <c r="K144" s="24">
        <f>IF('ORDENES'!$A122="","",IF('ORDENES'!$E122="","-",'ORDENES'!$E122))</f>
        <v/>
      </c>
      <c r="L144" s="26">
        <f>IF('ORDENES'!$A122="","",IF('ORDENES'!$M122="",0,'ORDENES'!$M122))</f>
        <v/>
      </c>
      <c r="M144" s="24">
        <f>IF('ORDENES'!$A122="","",IF('ORDENES'!$N122="","-",'ORDENES'!$N122))</f>
        <v/>
      </c>
      <c r="N144" s="24">
        <f>IF('ORDENES'!$A122="","",'ORDENES'!$AG122)</f>
        <v/>
      </c>
    </row>
    <row r="145">
      <c r="A145" s="24">
        <f>IF('ORDENES'!$A123="","",IF('ORDENES'!$O123="","-",'ORDENES'!$O123))</f>
        <v/>
      </c>
      <c r="B145" s="24">
        <f>IF('ORDENES'!$A123="","",IF('ORDENES'!$S123="","-",'ORDENES'!$S123))</f>
        <v/>
      </c>
      <c r="C145" s="24">
        <f>IF('ORDENES'!$A123="","",IF('ORDENES'!$AI123="","-",'ORDENES'!$AI123))</f>
        <v/>
      </c>
      <c r="D145" s="24">
        <f>IF('ORDENES'!$A123="","",IF('ORDENES'!$AA123="","-",'ORDENES'!$AA123))</f>
        <v/>
      </c>
      <c r="E145" s="24">
        <f>IF('ORDENES'!$A123="","",IF('ORDENES'!$Y123="","-",'ORDENES'!$Y123))</f>
        <v/>
      </c>
      <c r="F145" s="24">
        <f>IF('ORDENES'!$A123="","",IF('ORDENES'!$AB123="","-",'ORDENES'!$AB123))</f>
        <v/>
      </c>
      <c r="G145" s="24">
        <f>IF('ORDENES'!$A123="","",IF('ORDENES'!$Z123="","-",'ORDENES'!$Z123))</f>
        <v/>
      </c>
      <c r="H145" s="24">
        <f>IF('ORDENES'!$A123="","",IF('ORDENES'!$AH123="","-",'ORDENES'!$AH123))</f>
        <v/>
      </c>
      <c r="I145" s="24">
        <f>IF('ORDENES'!$A123="","",IF('ORDENES'!$AU123="","-",'ORDENES'!$AU123))</f>
        <v/>
      </c>
      <c r="J145" s="24">
        <f>IF('ORDENES'!$A123="","",IF('ORDENES'!$D123="","-",'ORDENES'!$D123))</f>
        <v/>
      </c>
      <c r="K145" s="24">
        <f>IF('ORDENES'!$A123="","",IF('ORDENES'!$E123="","-",'ORDENES'!$E123))</f>
        <v/>
      </c>
      <c r="L145" s="26">
        <f>IF('ORDENES'!$A123="","",IF('ORDENES'!$M123="",0,'ORDENES'!$M123))</f>
        <v/>
      </c>
      <c r="M145" s="24">
        <f>IF('ORDENES'!$A123="","",IF('ORDENES'!$N123="","-",'ORDENES'!$N123))</f>
        <v/>
      </c>
      <c r="N145" s="24">
        <f>IF('ORDENES'!$A123="","",'ORDENES'!$AG123)</f>
        <v/>
      </c>
    </row>
    <row r="146">
      <c r="A146" s="24">
        <f>IF('ORDENES'!$A124="","",IF('ORDENES'!$O124="","-",'ORDENES'!$O124))</f>
        <v/>
      </c>
      <c r="B146" s="24">
        <f>IF('ORDENES'!$A124="","",IF('ORDENES'!$S124="","-",'ORDENES'!$S124))</f>
        <v/>
      </c>
      <c r="C146" s="24">
        <f>IF('ORDENES'!$A124="","",IF('ORDENES'!$AI124="","-",'ORDENES'!$AI124))</f>
        <v/>
      </c>
      <c r="D146" s="24">
        <f>IF('ORDENES'!$A124="","",IF('ORDENES'!$AA124="","-",'ORDENES'!$AA124))</f>
        <v/>
      </c>
      <c r="E146" s="24">
        <f>IF('ORDENES'!$A124="","",IF('ORDENES'!$Y124="","-",'ORDENES'!$Y124))</f>
        <v/>
      </c>
      <c r="F146" s="24">
        <f>IF('ORDENES'!$A124="","",IF('ORDENES'!$AB124="","-",'ORDENES'!$AB124))</f>
        <v/>
      </c>
      <c r="G146" s="24">
        <f>IF('ORDENES'!$A124="","",IF('ORDENES'!$Z124="","-",'ORDENES'!$Z124))</f>
        <v/>
      </c>
      <c r="H146" s="24">
        <f>IF('ORDENES'!$A124="","",IF('ORDENES'!$AH124="","-",'ORDENES'!$AH124))</f>
        <v/>
      </c>
      <c r="I146" s="24">
        <f>IF('ORDENES'!$A124="","",IF('ORDENES'!$AU124="","-",'ORDENES'!$AU124))</f>
        <v/>
      </c>
      <c r="J146" s="24">
        <f>IF('ORDENES'!$A124="","",IF('ORDENES'!$D124="","-",'ORDENES'!$D124))</f>
        <v/>
      </c>
      <c r="K146" s="24">
        <f>IF('ORDENES'!$A124="","",IF('ORDENES'!$E124="","-",'ORDENES'!$E124))</f>
        <v/>
      </c>
      <c r="L146" s="26">
        <f>IF('ORDENES'!$A124="","",IF('ORDENES'!$M124="",0,'ORDENES'!$M124))</f>
        <v/>
      </c>
      <c r="M146" s="24">
        <f>IF('ORDENES'!$A124="","",IF('ORDENES'!$N124="","-",'ORDENES'!$N124))</f>
        <v/>
      </c>
      <c r="N146" s="24">
        <f>IF('ORDENES'!$A124="","",'ORDENES'!$AG124)</f>
        <v/>
      </c>
    </row>
    <row r="147">
      <c r="A147" s="24">
        <f>IF('ORDENES'!$A125="","",IF('ORDENES'!$O125="","-",'ORDENES'!$O125))</f>
        <v/>
      </c>
      <c r="B147" s="24">
        <f>IF('ORDENES'!$A125="","",IF('ORDENES'!$S125="","-",'ORDENES'!$S125))</f>
        <v/>
      </c>
      <c r="C147" s="24">
        <f>IF('ORDENES'!$A125="","",IF('ORDENES'!$AI125="","-",'ORDENES'!$AI125))</f>
        <v/>
      </c>
      <c r="D147" s="24">
        <f>IF('ORDENES'!$A125="","",IF('ORDENES'!$AA125="","-",'ORDENES'!$AA125))</f>
        <v/>
      </c>
      <c r="E147" s="24">
        <f>IF('ORDENES'!$A125="","",IF('ORDENES'!$Y125="","-",'ORDENES'!$Y125))</f>
        <v/>
      </c>
      <c r="F147" s="24">
        <f>IF('ORDENES'!$A125="","",IF('ORDENES'!$AB125="","-",'ORDENES'!$AB125))</f>
        <v/>
      </c>
      <c r="G147" s="24">
        <f>IF('ORDENES'!$A125="","",IF('ORDENES'!$Z125="","-",'ORDENES'!$Z125))</f>
        <v/>
      </c>
      <c r="H147" s="24">
        <f>IF('ORDENES'!$A125="","",IF('ORDENES'!$AH125="","-",'ORDENES'!$AH125))</f>
        <v/>
      </c>
      <c r="I147" s="24">
        <f>IF('ORDENES'!$A125="","",IF('ORDENES'!$AU125="","-",'ORDENES'!$AU125))</f>
        <v/>
      </c>
      <c r="J147" s="24">
        <f>IF('ORDENES'!$A125="","",IF('ORDENES'!$D125="","-",'ORDENES'!$D125))</f>
        <v/>
      </c>
      <c r="K147" s="24">
        <f>IF('ORDENES'!$A125="","",IF('ORDENES'!$E125="","-",'ORDENES'!$E125))</f>
        <v/>
      </c>
      <c r="L147" s="26">
        <f>IF('ORDENES'!$A125="","",IF('ORDENES'!$M125="",0,'ORDENES'!$M125))</f>
        <v/>
      </c>
      <c r="M147" s="24">
        <f>IF('ORDENES'!$A125="","",IF('ORDENES'!$N125="","-",'ORDENES'!$N125))</f>
        <v/>
      </c>
      <c r="N147" s="24">
        <f>IF('ORDENES'!$A125="","",'ORDENES'!$AG125)</f>
        <v/>
      </c>
    </row>
    <row r="148">
      <c r="A148" s="24">
        <f>IF('ORDENES'!$A126="","",IF('ORDENES'!$O126="","-",'ORDENES'!$O126))</f>
        <v/>
      </c>
      <c r="B148" s="24">
        <f>IF('ORDENES'!$A126="","",IF('ORDENES'!$S126="","-",'ORDENES'!$S126))</f>
        <v/>
      </c>
      <c r="C148" s="24">
        <f>IF('ORDENES'!$A126="","",IF('ORDENES'!$AI126="","-",'ORDENES'!$AI126))</f>
        <v/>
      </c>
      <c r="D148" s="24">
        <f>IF('ORDENES'!$A126="","",IF('ORDENES'!$AA126="","-",'ORDENES'!$AA126))</f>
        <v/>
      </c>
      <c r="E148" s="24">
        <f>IF('ORDENES'!$A126="","",IF('ORDENES'!$Y126="","-",'ORDENES'!$Y126))</f>
        <v/>
      </c>
      <c r="F148" s="24">
        <f>IF('ORDENES'!$A126="","",IF('ORDENES'!$AB126="","-",'ORDENES'!$AB126))</f>
        <v/>
      </c>
      <c r="G148" s="24">
        <f>IF('ORDENES'!$A126="","",IF('ORDENES'!$Z126="","-",'ORDENES'!$Z126))</f>
        <v/>
      </c>
      <c r="H148" s="24">
        <f>IF('ORDENES'!$A126="","",IF('ORDENES'!$AH126="","-",'ORDENES'!$AH126))</f>
        <v/>
      </c>
      <c r="I148" s="24">
        <f>IF('ORDENES'!$A126="","",IF('ORDENES'!$AU126="","-",'ORDENES'!$AU126))</f>
        <v/>
      </c>
      <c r="J148" s="24">
        <f>IF('ORDENES'!$A126="","",IF('ORDENES'!$D126="","-",'ORDENES'!$D126))</f>
        <v/>
      </c>
      <c r="K148" s="24">
        <f>IF('ORDENES'!$A126="","",IF('ORDENES'!$E126="","-",'ORDENES'!$E126))</f>
        <v/>
      </c>
      <c r="L148" s="26">
        <f>IF('ORDENES'!$A126="","",IF('ORDENES'!$M126="",0,'ORDENES'!$M126))</f>
        <v/>
      </c>
      <c r="M148" s="24">
        <f>IF('ORDENES'!$A126="","",IF('ORDENES'!$N126="","-",'ORDENES'!$N126))</f>
        <v/>
      </c>
      <c r="N148" s="24">
        <f>IF('ORDENES'!$A126="","",'ORDENES'!$AG126)</f>
        <v/>
      </c>
    </row>
    <row r="149">
      <c r="A149" s="24">
        <f>IF('ORDENES'!$A127="","",IF('ORDENES'!$O127="","-",'ORDENES'!$O127))</f>
        <v/>
      </c>
      <c r="B149" s="24">
        <f>IF('ORDENES'!$A127="","",IF('ORDENES'!$S127="","-",'ORDENES'!$S127))</f>
        <v/>
      </c>
      <c r="C149" s="24">
        <f>IF('ORDENES'!$A127="","",IF('ORDENES'!$AI127="","-",'ORDENES'!$AI127))</f>
        <v/>
      </c>
      <c r="D149" s="24">
        <f>IF('ORDENES'!$A127="","",IF('ORDENES'!$AA127="","-",'ORDENES'!$AA127))</f>
        <v/>
      </c>
      <c r="E149" s="24">
        <f>IF('ORDENES'!$A127="","",IF('ORDENES'!$Y127="","-",'ORDENES'!$Y127))</f>
        <v/>
      </c>
      <c r="F149" s="24">
        <f>IF('ORDENES'!$A127="","",IF('ORDENES'!$AB127="","-",'ORDENES'!$AB127))</f>
        <v/>
      </c>
      <c r="G149" s="24">
        <f>IF('ORDENES'!$A127="","",IF('ORDENES'!$Z127="","-",'ORDENES'!$Z127))</f>
        <v/>
      </c>
      <c r="H149" s="24">
        <f>IF('ORDENES'!$A127="","",IF('ORDENES'!$AH127="","-",'ORDENES'!$AH127))</f>
        <v/>
      </c>
      <c r="I149" s="24">
        <f>IF('ORDENES'!$A127="","",IF('ORDENES'!$AU127="","-",'ORDENES'!$AU127))</f>
        <v/>
      </c>
      <c r="J149" s="24">
        <f>IF('ORDENES'!$A127="","",IF('ORDENES'!$D127="","-",'ORDENES'!$D127))</f>
        <v/>
      </c>
      <c r="K149" s="24">
        <f>IF('ORDENES'!$A127="","",IF('ORDENES'!$E127="","-",'ORDENES'!$E127))</f>
        <v/>
      </c>
      <c r="L149" s="26">
        <f>IF('ORDENES'!$A127="","",IF('ORDENES'!$M127="",0,'ORDENES'!$M127))</f>
        <v/>
      </c>
      <c r="M149" s="24">
        <f>IF('ORDENES'!$A127="","",IF('ORDENES'!$N127="","-",'ORDENES'!$N127))</f>
        <v/>
      </c>
      <c r="N149" s="24">
        <f>IF('ORDENES'!$A127="","",'ORDENES'!$AG127)</f>
        <v/>
      </c>
    </row>
    <row r="150">
      <c r="A150" s="24">
        <f>IF('ORDENES'!$A128="","",IF('ORDENES'!$O128="","-",'ORDENES'!$O128))</f>
        <v/>
      </c>
      <c r="B150" s="24">
        <f>IF('ORDENES'!$A128="","",IF('ORDENES'!$S128="","-",'ORDENES'!$S128))</f>
        <v/>
      </c>
      <c r="C150" s="24">
        <f>IF('ORDENES'!$A128="","",IF('ORDENES'!$AI128="","-",'ORDENES'!$AI128))</f>
        <v/>
      </c>
      <c r="D150" s="24">
        <f>IF('ORDENES'!$A128="","",IF('ORDENES'!$AA128="","-",'ORDENES'!$AA128))</f>
        <v/>
      </c>
      <c r="E150" s="24">
        <f>IF('ORDENES'!$A128="","",IF('ORDENES'!$Y128="","-",'ORDENES'!$Y128))</f>
        <v/>
      </c>
      <c r="F150" s="24">
        <f>IF('ORDENES'!$A128="","",IF('ORDENES'!$AB128="","-",'ORDENES'!$AB128))</f>
        <v/>
      </c>
      <c r="G150" s="24">
        <f>IF('ORDENES'!$A128="","",IF('ORDENES'!$Z128="","-",'ORDENES'!$Z128))</f>
        <v/>
      </c>
      <c r="H150" s="24">
        <f>IF('ORDENES'!$A128="","",IF('ORDENES'!$AH128="","-",'ORDENES'!$AH128))</f>
        <v/>
      </c>
      <c r="I150" s="24">
        <f>IF('ORDENES'!$A128="","",IF('ORDENES'!$AU128="","-",'ORDENES'!$AU128))</f>
        <v/>
      </c>
      <c r="J150" s="24">
        <f>IF('ORDENES'!$A128="","",IF('ORDENES'!$D128="","-",'ORDENES'!$D128))</f>
        <v/>
      </c>
      <c r="K150" s="24">
        <f>IF('ORDENES'!$A128="","",IF('ORDENES'!$E128="","-",'ORDENES'!$E128))</f>
        <v/>
      </c>
      <c r="L150" s="26">
        <f>IF('ORDENES'!$A128="","",IF('ORDENES'!$M128="",0,'ORDENES'!$M128))</f>
        <v/>
      </c>
      <c r="M150" s="24">
        <f>IF('ORDENES'!$A128="","",IF('ORDENES'!$N128="","-",'ORDENES'!$N128))</f>
        <v/>
      </c>
      <c r="N150" s="24">
        <f>IF('ORDENES'!$A128="","",'ORDENES'!$AG128)</f>
        <v/>
      </c>
    </row>
    <row r="151">
      <c r="A151" s="24">
        <f>IF('ORDENES'!$A129="","",IF('ORDENES'!$O129="","-",'ORDENES'!$O129))</f>
        <v/>
      </c>
      <c r="B151" s="24">
        <f>IF('ORDENES'!$A129="","",IF('ORDENES'!$S129="","-",'ORDENES'!$S129))</f>
        <v/>
      </c>
      <c r="C151" s="24">
        <f>IF('ORDENES'!$A129="","",IF('ORDENES'!$AI129="","-",'ORDENES'!$AI129))</f>
        <v/>
      </c>
      <c r="D151" s="24">
        <f>IF('ORDENES'!$A129="","",IF('ORDENES'!$AA129="","-",'ORDENES'!$AA129))</f>
        <v/>
      </c>
      <c r="E151" s="24">
        <f>IF('ORDENES'!$A129="","",IF('ORDENES'!$Y129="","-",'ORDENES'!$Y129))</f>
        <v/>
      </c>
      <c r="F151" s="24">
        <f>IF('ORDENES'!$A129="","",IF('ORDENES'!$AB129="","-",'ORDENES'!$AB129))</f>
        <v/>
      </c>
      <c r="G151" s="24">
        <f>IF('ORDENES'!$A129="","",IF('ORDENES'!$Z129="","-",'ORDENES'!$Z129))</f>
        <v/>
      </c>
      <c r="H151" s="24">
        <f>IF('ORDENES'!$A129="","",IF('ORDENES'!$AH129="","-",'ORDENES'!$AH129))</f>
        <v/>
      </c>
      <c r="I151" s="24">
        <f>IF('ORDENES'!$A129="","",IF('ORDENES'!$AU129="","-",'ORDENES'!$AU129))</f>
        <v/>
      </c>
      <c r="J151" s="24">
        <f>IF('ORDENES'!$A129="","",IF('ORDENES'!$D129="","-",'ORDENES'!$D129))</f>
        <v/>
      </c>
      <c r="K151" s="24">
        <f>IF('ORDENES'!$A129="","",IF('ORDENES'!$E129="","-",'ORDENES'!$E129))</f>
        <v/>
      </c>
      <c r="L151" s="26">
        <f>IF('ORDENES'!$A129="","",IF('ORDENES'!$M129="",0,'ORDENES'!$M129))</f>
        <v/>
      </c>
      <c r="M151" s="24">
        <f>IF('ORDENES'!$A129="","",IF('ORDENES'!$N129="","-",'ORDENES'!$N129))</f>
        <v/>
      </c>
      <c r="N151" s="24">
        <f>IF('ORDENES'!$A129="","",'ORDENES'!$AG129)</f>
        <v/>
      </c>
    </row>
    <row r="152">
      <c r="A152" s="24">
        <f>IF('ORDENES'!$A130="","",IF('ORDENES'!$O130="","-",'ORDENES'!$O130))</f>
        <v/>
      </c>
      <c r="B152" s="24">
        <f>IF('ORDENES'!$A130="","",IF('ORDENES'!$S130="","-",'ORDENES'!$S130))</f>
        <v/>
      </c>
      <c r="C152" s="24">
        <f>IF('ORDENES'!$A130="","",IF('ORDENES'!$AI130="","-",'ORDENES'!$AI130))</f>
        <v/>
      </c>
      <c r="D152" s="24">
        <f>IF('ORDENES'!$A130="","",IF('ORDENES'!$AA130="","-",'ORDENES'!$AA130))</f>
        <v/>
      </c>
      <c r="E152" s="24">
        <f>IF('ORDENES'!$A130="","",IF('ORDENES'!$Y130="","-",'ORDENES'!$Y130))</f>
        <v/>
      </c>
      <c r="F152" s="24">
        <f>IF('ORDENES'!$A130="","",IF('ORDENES'!$AB130="","-",'ORDENES'!$AB130))</f>
        <v/>
      </c>
      <c r="G152" s="24">
        <f>IF('ORDENES'!$A130="","",IF('ORDENES'!$Z130="","-",'ORDENES'!$Z130))</f>
        <v/>
      </c>
      <c r="H152" s="24">
        <f>IF('ORDENES'!$A130="","",IF('ORDENES'!$AH130="","-",'ORDENES'!$AH130))</f>
        <v/>
      </c>
      <c r="I152" s="24">
        <f>IF('ORDENES'!$A130="","",IF('ORDENES'!$AU130="","-",'ORDENES'!$AU130))</f>
        <v/>
      </c>
      <c r="J152" s="24">
        <f>IF('ORDENES'!$A130="","",IF('ORDENES'!$D130="","-",'ORDENES'!$D130))</f>
        <v/>
      </c>
      <c r="K152" s="24">
        <f>IF('ORDENES'!$A130="","",IF('ORDENES'!$E130="","-",'ORDENES'!$E130))</f>
        <v/>
      </c>
      <c r="L152" s="26">
        <f>IF('ORDENES'!$A130="","",IF('ORDENES'!$M130="",0,'ORDENES'!$M130))</f>
        <v/>
      </c>
      <c r="M152" s="24">
        <f>IF('ORDENES'!$A130="","",IF('ORDENES'!$N130="","-",'ORDENES'!$N130))</f>
        <v/>
      </c>
      <c r="N152" s="24">
        <f>IF('ORDENES'!$A130="","",'ORDENES'!$AG130)</f>
        <v/>
      </c>
    </row>
    <row r="153">
      <c r="A153" s="24">
        <f>IF('ORDENES'!$A131="","",IF('ORDENES'!$O131="","-",'ORDENES'!$O131))</f>
        <v/>
      </c>
      <c r="B153" s="24">
        <f>IF('ORDENES'!$A131="","",IF('ORDENES'!$S131="","-",'ORDENES'!$S131))</f>
        <v/>
      </c>
      <c r="C153" s="24">
        <f>IF('ORDENES'!$A131="","",IF('ORDENES'!$AI131="","-",'ORDENES'!$AI131))</f>
        <v/>
      </c>
      <c r="D153" s="24">
        <f>IF('ORDENES'!$A131="","",IF('ORDENES'!$AA131="","-",'ORDENES'!$AA131))</f>
        <v/>
      </c>
      <c r="E153" s="24">
        <f>IF('ORDENES'!$A131="","",IF('ORDENES'!$Y131="","-",'ORDENES'!$Y131))</f>
        <v/>
      </c>
      <c r="F153" s="24">
        <f>IF('ORDENES'!$A131="","",IF('ORDENES'!$AB131="","-",'ORDENES'!$AB131))</f>
        <v/>
      </c>
      <c r="G153" s="24">
        <f>IF('ORDENES'!$A131="","",IF('ORDENES'!$Z131="","-",'ORDENES'!$Z131))</f>
        <v/>
      </c>
      <c r="H153" s="24">
        <f>IF('ORDENES'!$A131="","",IF('ORDENES'!$AH131="","-",'ORDENES'!$AH131))</f>
        <v/>
      </c>
      <c r="I153" s="24">
        <f>IF('ORDENES'!$A131="","",IF('ORDENES'!$AU131="","-",'ORDENES'!$AU131))</f>
        <v/>
      </c>
      <c r="J153" s="24">
        <f>IF('ORDENES'!$A131="","",IF('ORDENES'!$D131="","-",'ORDENES'!$D131))</f>
        <v/>
      </c>
      <c r="K153" s="24">
        <f>IF('ORDENES'!$A131="","",IF('ORDENES'!$E131="","-",'ORDENES'!$E131))</f>
        <v/>
      </c>
      <c r="L153" s="26">
        <f>IF('ORDENES'!$A131="","",IF('ORDENES'!$M131="",0,'ORDENES'!$M131))</f>
        <v/>
      </c>
      <c r="M153" s="24">
        <f>IF('ORDENES'!$A131="","",IF('ORDENES'!$N131="","-",'ORDENES'!$N131))</f>
        <v/>
      </c>
      <c r="N153" s="24">
        <f>IF('ORDENES'!$A131="","",'ORDENES'!$AG131)</f>
        <v/>
      </c>
    </row>
    <row r="154">
      <c r="A154" s="24">
        <f>IF('ORDENES'!$A132="","",IF('ORDENES'!$O132="","-",'ORDENES'!$O132))</f>
        <v/>
      </c>
      <c r="B154" s="24">
        <f>IF('ORDENES'!$A132="","",IF('ORDENES'!$S132="","-",'ORDENES'!$S132))</f>
        <v/>
      </c>
      <c r="C154" s="24">
        <f>IF('ORDENES'!$A132="","",IF('ORDENES'!$AI132="","-",'ORDENES'!$AI132))</f>
        <v/>
      </c>
      <c r="D154" s="24">
        <f>IF('ORDENES'!$A132="","",IF('ORDENES'!$AA132="","-",'ORDENES'!$AA132))</f>
        <v/>
      </c>
      <c r="E154" s="24">
        <f>IF('ORDENES'!$A132="","",IF('ORDENES'!$Y132="","-",'ORDENES'!$Y132))</f>
        <v/>
      </c>
      <c r="F154" s="24">
        <f>IF('ORDENES'!$A132="","",IF('ORDENES'!$AB132="","-",'ORDENES'!$AB132))</f>
        <v/>
      </c>
      <c r="G154" s="24">
        <f>IF('ORDENES'!$A132="","",IF('ORDENES'!$Z132="","-",'ORDENES'!$Z132))</f>
        <v/>
      </c>
      <c r="H154" s="24">
        <f>IF('ORDENES'!$A132="","",IF('ORDENES'!$AH132="","-",'ORDENES'!$AH132))</f>
        <v/>
      </c>
      <c r="I154" s="24">
        <f>IF('ORDENES'!$A132="","",IF('ORDENES'!$AU132="","-",'ORDENES'!$AU132))</f>
        <v/>
      </c>
      <c r="J154" s="24">
        <f>IF('ORDENES'!$A132="","",IF('ORDENES'!$D132="","-",'ORDENES'!$D132))</f>
        <v/>
      </c>
      <c r="K154" s="24">
        <f>IF('ORDENES'!$A132="","",IF('ORDENES'!$E132="","-",'ORDENES'!$E132))</f>
        <v/>
      </c>
      <c r="L154" s="26">
        <f>IF('ORDENES'!$A132="","",IF('ORDENES'!$M132="",0,'ORDENES'!$M132))</f>
        <v/>
      </c>
      <c r="M154" s="24">
        <f>IF('ORDENES'!$A132="","",IF('ORDENES'!$N132="","-",'ORDENES'!$N132))</f>
        <v/>
      </c>
      <c r="N154" s="24">
        <f>IF('ORDENES'!$A132="","",'ORDENES'!$AG132)</f>
        <v/>
      </c>
    </row>
    <row r="155">
      <c r="A155" s="24">
        <f>IF('ORDENES'!$A133="","",IF('ORDENES'!$O133="","-",'ORDENES'!$O133))</f>
        <v/>
      </c>
      <c r="B155" s="24">
        <f>IF('ORDENES'!$A133="","",IF('ORDENES'!$S133="","-",'ORDENES'!$S133))</f>
        <v/>
      </c>
      <c r="C155" s="24">
        <f>IF('ORDENES'!$A133="","",IF('ORDENES'!$AI133="","-",'ORDENES'!$AI133))</f>
        <v/>
      </c>
      <c r="D155" s="24">
        <f>IF('ORDENES'!$A133="","",IF('ORDENES'!$AA133="","-",'ORDENES'!$AA133))</f>
        <v/>
      </c>
      <c r="E155" s="24">
        <f>IF('ORDENES'!$A133="","",IF('ORDENES'!$Y133="","-",'ORDENES'!$Y133))</f>
        <v/>
      </c>
      <c r="F155" s="24">
        <f>IF('ORDENES'!$A133="","",IF('ORDENES'!$AB133="","-",'ORDENES'!$AB133))</f>
        <v/>
      </c>
      <c r="G155" s="24">
        <f>IF('ORDENES'!$A133="","",IF('ORDENES'!$Z133="","-",'ORDENES'!$Z133))</f>
        <v/>
      </c>
      <c r="H155" s="24">
        <f>IF('ORDENES'!$A133="","",IF('ORDENES'!$AH133="","-",'ORDENES'!$AH133))</f>
        <v/>
      </c>
      <c r="I155" s="24">
        <f>IF('ORDENES'!$A133="","",IF('ORDENES'!$AU133="","-",'ORDENES'!$AU133))</f>
        <v/>
      </c>
      <c r="J155" s="24">
        <f>IF('ORDENES'!$A133="","",IF('ORDENES'!$D133="","-",'ORDENES'!$D133))</f>
        <v/>
      </c>
      <c r="K155" s="24">
        <f>IF('ORDENES'!$A133="","",IF('ORDENES'!$E133="","-",'ORDENES'!$E133))</f>
        <v/>
      </c>
      <c r="L155" s="26">
        <f>IF('ORDENES'!$A133="","",IF('ORDENES'!$M133="",0,'ORDENES'!$M133))</f>
        <v/>
      </c>
      <c r="M155" s="24">
        <f>IF('ORDENES'!$A133="","",IF('ORDENES'!$N133="","-",'ORDENES'!$N133))</f>
        <v/>
      </c>
      <c r="N155" s="24">
        <f>IF('ORDENES'!$A133="","",'ORDENES'!$AG133)</f>
        <v/>
      </c>
    </row>
    <row r="156">
      <c r="A156" s="24">
        <f>IF('ORDENES'!$A134="","",IF('ORDENES'!$O134="","-",'ORDENES'!$O134))</f>
        <v/>
      </c>
      <c r="B156" s="24">
        <f>IF('ORDENES'!$A134="","",IF('ORDENES'!$S134="","-",'ORDENES'!$S134))</f>
        <v/>
      </c>
      <c r="C156" s="24">
        <f>IF('ORDENES'!$A134="","",IF('ORDENES'!$AI134="","-",'ORDENES'!$AI134))</f>
        <v/>
      </c>
      <c r="D156" s="24">
        <f>IF('ORDENES'!$A134="","",IF('ORDENES'!$AA134="","-",'ORDENES'!$AA134))</f>
        <v/>
      </c>
      <c r="E156" s="24">
        <f>IF('ORDENES'!$A134="","",IF('ORDENES'!$Y134="","-",'ORDENES'!$Y134))</f>
        <v/>
      </c>
      <c r="F156" s="24">
        <f>IF('ORDENES'!$A134="","",IF('ORDENES'!$AB134="","-",'ORDENES'!$AB134))</f>
        <v/>
      </c>
      <c r="G156" s="24">
        <f>IF('ORDENES'!$A134="","",IF('ORDENES'!$Z134="","-",'ORDENES'!$Z134))</f>
        <v/>
      </c>
      <c r="H156" s="24">
        <f>IF('ORDENES'!$A134="","",IF('ORDENES'!$AH134="","-",'ORDENES'!$AH134))</f>
        <v/>
      </c>
      <c r="I156" s="24">
        <f>IF('ORDENES'!$A134="","",IF('ORDENES'!$AU134="","-",'ORDENES'!$AU134))</f>
        <v/>
      </c>
      <c r="J156" s="24">
        <f>IF('ORDENES'!$A134="","",IF('ORDENES'!$D134="","-",'ORDENES'!$D134))</f>
        <v/>
      </c>
      <c r="K156" s="24">
        <f>IF('ORDENES'!$A134="","",IF('ORDENES'!$E134="","-",'ORDENES'!$E134))</f>
        <v/>
      </c>
      <c r="L156" s="26">
        <f>IF('ORDENES'!$A134="","",IF('ORDENES'!$M134="",0,'ORDENES'!$M134))</f>
        <v/>
      </c>
      <c r="M156" s="24">
        <f>IF('ORDENES'!$A134="","",IF('ORDENES'!$N134="","-",'ORDENES'!$N134))</f>
        <v/>
      </c>
      <c r="N156" s="24">
        <f>IF('ORDENES'!$A134="","",'ORDENES'!$AG134)</f>
        <v/>
      </c>
    </row>
    <row r="157">
      <c r="A157" s="24">
        <f>IF('ORDENES'!$A135="","",IF('ORDENES'!$O135="","-",'ORDENES'!$O135))</f>
        <v/>
      </c>
      <c r="B157" s="24">
        <f>IF('ORDENES'!$A135="","",IF('ORDENES'!$S135="","-",'ORDENES'!$S135))</f>
        <v/>
      </c>
      <c r="C157" s="24">
        <f>IF('ORDENES'!$A135="","",IF('ORDENES'!$AI135="","-",'ORDENES'!$AI135))</f>
        <v/>
      </c>
      <c r="D157" s="24">
        <f>IF('ORDENES'!$A135="","",IF('ORDENES'!$AA135="","-",'ORDENES'!$AA135))</f>
        <v/>
      </c>
      <c r="E157" s="24">
        <f>IF('ORDENES'!$A135="","",IF('ORDENES'!$Y135="","-",'ORDENES'!$Y135))</f>
        <v/>
      </c>
      <c r="F157" s="24">
        <f>IF('ORDENES'!$A135="","",IF('ORDENES'!$AB135="","-",'ORDENES'!$AB135))</f>
        <v/>
      </c>
      <c r="G157" s="24">
        <f>IF('ORDENES'!$A135="","",IF('ORDENES'!$Z135="","-",'ORDENES'!$Z135))</f>
        <v/>
      </c>
      <c r="H157" s="24">
        <f>IF('ORDENES'!$A135="","",IF('ORDENES'!$AH135="","-",'ORDENES'!$AH135))</f>
        <v/>
      </c>
      <c r="I157" s="24">
        <f>IF('ORDENES'!$A135="","",IF('ORDENES'!$AU135="","-",'ORDENES'!$AU135))</f>
        <v/>
      </c>
      <c r="J157" s="24">
        <f>IF('ORDENES'!$A135="","",IF('ORDENES'!$D135="","-",'ORDENES'!$D135))</f>
        <v/>
      </c>
      <c r="K157" s="24">
        <f>IF('ORDENES'!$A135="","",IF('ORDENES'!$E135="","-",'ORDENES'!$E135))</f>
        <v/>
      </c>
      <c r="L157" s="26">
        <f>IF('ORDENES'!$A135="","",IF('ORDENES'!$M135="",0,'ORDENES'!$M135))</f>
        <v/>
      </c>
      <c r="M157" s="24">
        <f>IF('ORDENES'!$A135="","",IF('ORDENES'!$N135="","-",'ORDENES'!$N135))</f>
        <v/>
      </c>
      <c r="N157" s="24">
        <f>IF('ORDENES'!$A135="","",'ORDENES'!$AG135)</f>
        <v/>
      </c>
    </row>
    <row r="158">
      <c r="A158" s="24">
        <f>IF('ORDENES'!$A136="","",IF('ORDENES'!$O136="","-",'ORDENES'!$O136))</f>
        <v/>
      </c>
      <c r="B158" s="24">
        <f>IF('ORDENES'!$A136="","",IF('ORDENES'!$S136="","-",'ORDENES'!$S136))</f>
        <v/>
      </c>
      <c r="C158" s="24">
        <f>IF('ORDENES'!$A136="","",IF('ORDENES'!$AI136="","-",'ORDENES'!$AI136))</f>
        <v/>
      </c>
      <c r="D158" s="24">
        <f>IF('ORDENES'!$A136="","",IF('ORDENES'!$AA136="","-",'ORDENES'!$AA136))</f>
        <v/>
      </c>
      <c r="E158" s="24">
        <f>IF('ORDENES'!$A136="","",IF('ORDENES'!$Y136="","-",'ORDENES'!$Y136))</f>
        <v/>
      </c>
      <c r="F158" s="24">
        <f>IF('ORDENES'!$A136="","",IF('ORDENES'!$AB136="","-",'ORDENES'!$AB136))</f>
        <v/>
      </c>
      <c r="G158" s="24">
        <f>IF('ORDENES'!$A136="","",IF('ORDENES'!$Z136="","-",'ORDENES'!$Z136))</f>
        <v/>
      </c>
      <c r="H158" s="24">
        <f>IF('ORDENES'!$A136="","",IF('ORDENES'!$AH136="","-",'ORDENES'!$AH136))</f>
        <v/>
      </c>
      <c r="I158" s="24">
        <f>IF('ORDENES'!$A136="","",IF('ORDENES'!$AU136="","-",'ORDENES'!$AU136))</f>
        <v/>
      </c>
      <c r="J158" s="24">
        <f>IF('ORDENES'!$A136="","",IF('ORDENES'!$D136="","-",'ORDENES'!$D136))</f>
        <v/>
      </c>
      <c r="K158" s="24">
        <f>IF('ORDENES'!$A136="","",IF('ORDENES'!$E136="","-",'ORDENES'!$E136))</f>
        <v/>
      </c>
      <c r="L158" s="26">
        <f>IF('ORDENES'!$A136="","",IF('ORDENES'!$M136="",0,'ORDENES'!$M136))</f>
        <v/>
      </c>
      <c r="M158" s="24">
        <f>IF('ORDENES'!$A136="","",IF('ORDENES'!$N136="","-",'ORDENES'!$N136))</f>
        <v/>
      </c>
      <c r="N158" s="24">
        <f>IF('ORDENES'!$A136="","",'ORDENES'!$AG136)</f>
        <v/>
      </c>
    </row>
    <row r="159">
      <c r="A159" s="24">
        <f>IF('ORDENES'!$A137="","",IF('ORDENES'!$O137="","-",'ORDENES'!$O137))</f>
        <v/>
      </c>
      <c r="B159" s="24">
        <f>IF('ORDENES'!$A137="","",IF('ORDENES'!$S137="","-",'ORDENES'!$S137))</f>
        <v/>
      </c>
      <c r="C159" s="24">
        <f>IF('ORDENES'!$A137="","",IF('ORDENES'!$AI137="","-",'ORDENES'!$AI137))</f>
        <v/>
      </c>
      <c r="D159" s="24">
        <f>IF('ORDENES'!$A137="","",IF('ORDENES'!$AA137="","-",'ORDENES'!$AA137))</f>
        <v/>
      </c>
      <c r="E159" s="24">
        <f>IF('ORDENES'!$A137="","",IF('ORDENES'!$Y137="","-",'ORDENES'!$Y137))</f>
        <v/>
      </c>
      <c r="F159" s="24">
        <f>IF('ORDENES'!$A137="","",IF('ORDENES'!$AB137="","-",'ORDENES'!$AB137))</f>
        <v/>
      </c>
      <c r="G159" s="24">
        <f>IF('ORDENES'!$A137="","",IF('ORDENES'!$Z137="","-",'ORDENES'!$Z137))</f>
        <v/>
      </c>
      <c r="H159" s="24">
        <f>IF('ORDENES'!$A137="","",IF('ORDENES'!$AH137="","-",'ORDENES'!$AH137))</f>
        <v/>
      </c>
      <c r="I159" s="24">
        <f>IF('ORDENES'!$A137="","",IF('ORDENES'!$AU137="","-",'ORDENES'!$AU137))</f>
        <v/>
      </c>
      <c r="J159" s="24">
        <f>IF('ORDENES'!$A137="","",IF('ORDENES'!$D137="","-",'ORDENES'!$D137))</f>
        <v/>
      </c>
      <c r="K159" s="24">
        <f>IF('ORDENES'!$A137="","",IF('ORDENES'!$E137="","-",'ORDENES'!$E137))</f>
        <v/>
      </c>
      <c r="L159" s="26">
        <f>IF('ORDENES'!$A137="","",IF('ORDENES'!$M137="",0,'ORDENES'!$M137))</f>
        <v/>
      </c>
      <c r="M159" s="24">
        <f>IF('ORDENES'!$A137="","",IF('ORDENES'!$N137="","-",'ORDENES'!$N137))</f>
        <v/>
      </c>
      <c r="N159" s="24">
        <f>IF('ORDENES'!$A137="","",'ORDENES'!$AG137)</f>
        <v/>
      </c>
    </row>
    <row r="160">
      <c r="A160" s="24">
        <f>IF('ORDENES'!$A138="","",IF('ORDENES'!$O138="","-",'ORDENES'!$O138))</f>
        <v/>
      </c>
      <c r="B160" s="24">
        <f>IF('ORDENES'!$A138="","",IF('ORDENES'!$S138="","-",'ORDENES'!$S138))</f>
        <v/>
      </c>
      <c r="C160" s="24">
        <f>IF('ORDENES'!$A138="","",IF('ORDENES'!$AI138="","-",'ORDENES'!$AI138))</f>
        <v/>
      </c>
      <c r="D160" s="24">
        <f>IF('ORDENES'!$A138="","",IF('ORDENES'!$AA138="","-",'ORDENES'!$AA138))</f>
        <v/>
      </c>
      <c r="E160" s="24">
        <f>IF('ORDENES'!$A138="","",IF('ORDENES'!$Y138="","-",'ORDENES'!$Y138))</f>
        <v/>
      </c>
      <c r="F160" s="24">
        <f>IF('ORDENES'!$A138="","",IF('ORDENES'!$AB138="","-",'ORDENES'!$AB138))</f>
        <v/>
      </c>
      <c r="G160" s="24">
        <f>IF('ORDENES'!$A138="","",IF('ORDENES'!$Z138="","-",'ORDENES'!$Z138))</f>
        <v/>
      </c>
      <c r="H160" s="24">
        <f>IF('ORDENES'!$A138="","",IF('ORDENES'!$AH138="","-",'ORDENES'!$AH138))</f>
        <v/>
      </c>
      <c r="I160" s="24">
        <f>IF('ORDENES'!$A138="","",IF('ORDENES'!$AU138="","-",'ORDENES'!$AU138))</f>
        <v/>
      </c>
      <c r="J160" s="24">
        <f>IF('ORDENES'!$A138="","",IF('ORDENES'!$D138="","-",'ORDENES'!$D138))</f>
        <v/>
      </c>
      <c r="K160" s="24">
        <f>IF('ORDENES'!$A138="","",IF('ORDENES'!$E138="","-",'ORDENES'!$E138))</f>
        <v/>
      </c>
      <c r="L160" s="26">
        <f>IF('ORDENES'!$A138="","",IF('ORDENES'!$M138="",0,'ORDENES'!$M138))</f>
        <v/>
      </c>
      <c r="M160" s="24">
        <f>IF('ORDENES'!$A138="","",IF('ORDENES'!$N138="","-",'ORDENES'!$N138))</f>
        <v/>
      </c>
      <c r="N160" s="24">
        <f>IF('ORDENES'!$A138="","",'ORDENES'!$AG138)</f>
        <v/>
      </c>
    </row>
    <row r="161">
      <c r="A161" s="24">
        <f>IF('ORDENES'!$A139="","",IF('ORDENES'!$O139="","-",'ORDENES'!$O139))</f>
        <v/>
      </c>
      <c r="B161" s="24">
        <f>IF('ORDENES'!$A139="","",IF('ORDENES'!$S139="","-",'ORDENES'!$S139))</f>
        <v/>
      </c>
      <c r="C161" s="24">
        <f>IF('ORDENES'!$A139="","",IF('ORDENES'!$AI139="","-",'ORDENES'!$AI139))</f>
        <v/>
      </c>
      <c r="D161" s="24">
        <f>IF('ORDENES'!$A139="","",IF('ORDENES'!$AA139="","-",'ORDENES'!$AA139))</f>
        <v/>
      </c>
      <c r="E161" s="24">
        <f>IF('ORDENES'!$A139="","",IF('ORDENES'!$Y139="","-",'ORDENES'!$Y139))</f>
        <v/>
      </c>
      <c r="F161" s="24">
        <f>IF('ORDENES'!$A139="","",IF('ORDENES'!$AB139="","-",'ORDENES'!$AB139))</f>
        <v/>
      </c>
      <c r="G161" s="24">
        <f>IF('ORDENES'!$A139="","",IF('ORDENES'!$Z139="","-",'ORDENES'!$Z139))</f>
        <v/>
      </c>
      <c r="H161" s="24">
        <f>IF('ORDENES'!$A139="","",IF('ORDENES'!$AH139="","-",'ORDENES'!$AH139))</f>
        <v/>
      </c>
      <c r="I161" s="24">
        <f>IF('ORDENES'!$A139="","",IF('ORDENES'!$AU139="","-",'ORDENES'!$AU139))</f>
        <v/>
      </c>
      <c r="J161" s="24">
        <f>IF('ORDENES'!$A139="","",IF('ORDENES'!$D139="","-",'ORDENES'!$D139))</f>
        <v/>
      </c>
      <c r="K161" s="24">
        <f>IF('ORDENES'!$A139="","",IF('ORDENES'!$E139="","-",'ORDENES'!$E139))</f>
        <v/>
      </c>
      <c r="L161" s="26">
        <f>IF('ORDENES'!$A139="","",IF('ORDENES'!$M139="",0,'ORDENES'!$M139))</f>
        <v/>
      </c>
      <c r="M161" s="24">
        <f>IF('ORDENES'!$A139="","",IF('ORDENES'!$N139="","-",'ORDENES'!$N139))</f>
        <v/>
      </c>
      <c r="N161" s="24">
        <f>IF('ORDENES'!$A139="","",'ORDENES'!$AG139)</f>
        <v/>
      </c>
    </row>
    <row r="162">
      <c r="A162" s="24">
        <f>IF('ORDENES'!$A140="","",IF('ORDENES'!$O140="","-",'ORDENES'!$O140))</f>
        <v/>
      </c>
      <c r="B162" s="24">
        <f>IF('ORDENES'!$A140="","",IF('ORDENES'!$S140="","-",'ORDENES'!$S140))</f>
        <v/>
      </c>
      <c r="C162" s="24">
        <f>IF('ORDENES'!$A140="","",IF('ORDENES'!$AI140="","-",'ORDENES'!$AI140))</f>
        <v/>
      </c>
      <c r="D162" s="24">
        <f>IF('ORDENES'!$A140="","",IF('ORDENES'!$AA140="","-",'ORDENES'!$AA140))</f>
        <v/>
      </c>
      <c r="E162" s="24">
        <f>IF('ORDENES'!$A140="","",IF('ORDENES'!$Y140="","-",'ORDENES'!$Y140))</f>
        <v/>
      </c>
      <c r="F162" s="24">
        <f>IF('ORDENES'!$A140="","",IF('ORDENES'!$AB140="","-",'ORDENES'!$AB140))</f>
        <v/>
      </c>
      <c r="G162" s="24">
        <f>IF('ORDENES'!$A140="","",IF('ORDENES'!$Z140="","-",'ORDENES'!$Z140))</f>
        <v/>
      </c>
      <c r="H162" s="24">
        <f>IF('ORDENES'!$A140="","",IF('ORDENES'!$AH140="","-",'ORDENES'!$AH140))</f>
        <v/>
      </c>
      <c r="I162" s="24">
        <f>IF('ORDENES'!$A140="","",IF('ORDENES'!$AU140="","-",'ORDENES'!$AU140))</f>
        <v/>
      </c>
      <c r="J162" s="24">
        <f>IF('ORDENES'!$A140="","",IF('ORDENES'!$D140="","-",'ORDENES'!$D140))</f>
        <v/>
      </c>
      <c r="K162" s="24">
        <f>IF('ORDENES'!$A140="","",IF('ORDENES'!$E140="","-",'ORDENES'!$E140))</f>
        <v/>
      </c>
      <c r="L162" s="26">
        <f>IF('ORDENES'!$A140="","",IF('ORDENES'!$M140="",0,'ORDENES'!$M140))</f>
        <v/>
      </c>
      <c r="M162" s="24">
        <f>IF('ORDENES'!$A140="","",IF('ORDENES'!$N140="","-",'ORDENES'!$N140))</f>
        <v/>
      </c>
      <c r="N162" s="24">
        <f>IF('ORDENES'!$A140="","",'ORDENES'!$AG140)</f>
        <v/>
      </c>
    </row>
    <row r="163">
      <c r="A163" s="24">
        <f>IF('ORDENES'!$A141="","",IF('ORDENES'!$O141="","-",'ORDENES'!$O141))</f>
        <v/>
      </c>
      <c r="B163" s="24">
        <f>IF('ORDENES'!$A141="","",IF('ORDENES'!$S141="","-",'ORDENES'!$S141))</f>
        <v/>
      </c>
      <c r="C163" s="24">
        <f>IF('ORDENES'!$A141="","",IF('ORDENES'!$AI141="","-",'ORDENES'!$AI141))</f>
        <v/>
      </c>
      <c r="D163" s="24">
        <f>IF('ORDENES'!$A141="","",IF('ORDENES'!$AA141="","-",'ORDENES'!$AA141))</f>
        <v/>
      </c>
      <c r="E163" s="24">
        <f>IF('ORDENES'!$A141="","",IF('ORDENES'!$Y141="","-",'ORDENES'!$Y141))</f>
        <v/>
      </c>
      <c r="F163" s="24">
        <f>IF('ORDENES'!$A141="","",IF('ORDENES'!$AB141="","-",'ORDENES'!$AB141))</f>
        <v/>
      </c>
      <c r="G163" s="24">
        <f>IF('ORDENES'!$A141="","",IF('ORDENES'!$Z141="","-",'ORDENES'!$Z141))</f>
        <v/>
      </c>
      <c r="H163" s="24">
        <f>IF('ORDENES'!$A141="","",IF('ORDENES'!$AH141="","-",'ORDENES'!$AH141))</f>
        <v/>
      </c>
      <c r="I163" s="24">
        <f>IF('ORDENES'!$A141="","",IF('ORDENES'!$AU141="","-",'ORDENES'!$AU141))</f>
        <v/>
      </c>
      <c r="J163" s="24">
        <f>IF('ORDENES'!$A141="","",IF('ORDENES'!$D141="","-",'ORDENES'!$D141))</f>
        <v/>
      </c>
      <c r="K163" s="24">
        <f>IF('ORDENES'!$A141="","",IF('ORDENES'!$E141="","-",'ORDENES'!$E141))</f>
        <v/>
      </c>
      <c r="L163" s="26">
        <f>IF('ORDENES'!$A141="","",IF('ORDENES'!$M141="",0,'ORDENES'!$M141))</f>
        <v/>
      </c>
      <c r="M163" s="24">
        <f>IF('ORDENES'!$A141="","",IF('ORDENES'!$N141="","-",'ORDENES'!$N141))</f>
        <v/>
      </c>
      <c r="N163" s="24">
        <f>IF('ORDENES'!$A141="","",'ORDENES'!$AG141)</f>
        <v/>
      </c>
    </row>
    <row r="164">
      <c r="A164" s="24">
        <f>IF('ORDENES'!$A142="","",IF('ORDENES'!$O142="","-",'ORDENES'!$O142))</f>
        <v/>
      </c>
      <c r="B164" s="24">
        <f>IF('ORDENES'!$A142="","",IF('ORDENES'!$S142="","-",'ORDENES'!$S142))</f>
        <v/>
      </c>
      <c r="C164" s="24">
        <f>IF('ORDENES'!$A142="","",IF('ORDENES'!$AI142="","-",'ORDENES'!$AI142))</f>
        <v/>
      </c>
      <c r="D164" s="24">
        <f>IF('ORDENES'!$A142="","",IF('ORDENES'!$AA142="","-",'ORDENES'!$AA142))</f>
        <v/>
      </c>
      <c r="E164" s="24">
        <f>IF('ORDENES'!$A142="","",IF('ORDENES'!$Y142="","-",'ORDENES'!$Y142))</f>
        <v/>
      </c>
      <c r="F164" s="24">
        <f>IF('ORDENES'!$A142="","",IF('ORDENES'!$AB142="","-",'ORDENES'!$AB142))</f>
        <v/>
      </c>
      <c r="G164" s="24">
        <f>IF('ORDENES'!$A142="","",IF('ORDENES'!$Z142="","-",'ORDENES'!$Z142))</f>
        <v/>
      </c>
      <c r="H164" s="24">
        <f>IF('ORDENES'!$A142="","",IF('ORDENES'!$AH142="","-",'ORDENES'!$AH142))</f>
        <v/>
      </c>
      <c r="I164" s="24">
        <f>IF('ORDENES'!$A142="","",IF('ORDENES'!$AU142="","-",'ORDENES'!$AU142))</f>
        <v/>
      </c>
      <c r="J164" s="24">
        <f>IF('ORDENES'!$A142="","",IF('ORDENES'!$D142="","-",'ORDENES'!$D142))</f>
        <v/>
      </c>
      <c r="K164" s="24">
        <f>IF('ORDENES'!$A142="","",IF('ORDENES'!$E142="","-",'ORDENES'!$E142))</f>
        <v/>
      </c>
      <c r="L164" s="26">
        <f>IF('ORDENES'!$A142="","",IF('ORDENES'!$M142="",0,'ORDENES'!$M142))</f>
        <v/>
      </c>
      <c r="M164" s="24">
        <f>IF('ORDENES'!$A142="","",IF('ORDENES'!$N142="","-",'ORDENES'!$N142))</f>
        <v/>
      </c>
      <c r="N164" s="24">
        <f>IF('ORDENES'!$A142="","",'ORDENES'!$AG142)</f>
        <v/>
      </c>
    </row>
    <row r="165">
      <c r="A165" s="24">
        <f>IF('ORDENES'!$A143="","",IF('ORDENES'!$O143="","-",'ORDENES'!$O143))</f>
        <v/>
      </c>
      <c r="B165" s="24">
        <f>IF('ORDENES'!$A143="","",IF('ORDENES'!$S143="","-",'ORDENES'!$S143))</f>
        <v/>
      </c>
      <c r="C165" s="24">
        <f>IF('ORDENES'!$A143="","",IF('ORDENES'!$AI143="","-",'ORDENES'!$AI143))</f>
        <v/>
      </c>
      <c r="D165" s="24">
        <f>IF('ORDENES'!$A143="","",IF('ORDENES'!$AA143="","-",'ORDENES'!$AA143))</f>
        <v/>
      </c>
      <c r="E165" s="24">
        <f>IF('ORDENES'!$A143="","",IF('ORDENES'!$Y143="","-",'ORDENES'!$Y143))</f>
        <v/>
      </c>
      <c r="F165" s="24">
        <f>IF('ORDENES'!$A143="","",IF('ORDENES'!$AB143="","-",'ORDENES'!$AB143))</f>
        <v/>
      </c>
      <c r="G165" s="24">
        <f>IF('ORDENES'!$A143="","",IF('ORDENES'!$Z143="","-",'ORDENES'!$Z143))</f>
        <v/>
      </c>
      <c r="H165" s="24">
        <f>IF('ORDENES'!$A143="","",IF('ORDENES'!$AH143="","-",'ORDENES'!$AH143))</f>
        <v/>
      </c>
      <c r="I165" s="24">
        <f>IF('ORDENES'!$A143="","",IF('ORDENES'!$AU143="","-",'ORDENES'!$AU143))</f>
        <v/>
      </c>
      <c r="J165" s="24">
        <f>IF('ORDENES'!$A143="","",IF('ORDENES'!$D143="","-",'ORDENES'!$D143))</f>
        <v/>
      </c>
      <c r="K165" s="24">
        <f>IF('ORDENES'!$A143="","",IF('ORDENES'!$E143="","-",'ORDENES'!$E143))</f>
        <v/>
      </c>
      <c r="L165" s="26">
        <f>IF('ORDENES'!$A143="","",IF('ORDENES'!$M143="",0,'ORDENES'!$M143))</f>
        <v/>
      </c>
      <c r="M165" s="24">
        <f>IF('ORDENES'!$A143="","",IF('ORDENES'!$N143="","-",'ORDENES'!$N143))</f>
        <v/>
      </c>
      <c r="N165" s="24">
        <f>IF('ORDENES'!$A143="","",'ORDENES'!$AG143)</f>
        <v/>
      </c>
    </row>
    <row r="166">
      <c r="A166" s="24">
        <f>IF('ORDENES'!$A144="","",IF('ORDENES'!$O144="","-",'ORDENES'!$O144))</f>
        <v/>
      </c>
      <c r="B166" s="24">
        <f>IF('ORDENES'!$A144="","",IF('ORDENES'!$S144="","-",'ORDENES'!$S144))</f>
        <v/>
      </c>
      <c r="C166" s="24">
        <f>IF('ORDENES'!$A144="","",IF('ORDENES'!$AI144="","-",'ORDENES'!$AI144))</f>
        <v/>
      </c>
      <c r="D166" s="24">
        <f>IF('ORDENES'!$A144="","",IF('ORDENES'!$AA144="","-",'ORDENES'!$AA144))</f>
        <v/>
      </c>
      <c r="E166" s="24">
        <f>IF('ORDENES'!$A144="","",IF('ORDENES'!$Y144="","-",'ORDENES'!$Y144))</f>
        <v/>
      </c>
      <c r="F166" s="24">
        <f>IF('ORDENES'!$A144="","",IF('ORDENES'!$AB144="","-",'ORDENES'!$AB144))</f>
        <v/>
      </c>
      <c r="G166" s="24">
        <f>IF('ORDENES'!$A144="","",IF('ORDENES'!$Z144="","-",'ORDENES'!$Z144))</f>
        <v/>
      </c>
      <c r="H166" s="24">
        <f>IF('ORDENES'!$A144="","",IF('ORDENES'!$AH144="","-",'ORDENES'!$AH144))</f>
        <v/>
      </c>
      <c r="I166" s="24">
        <f>IF('ORDENES'!$A144="","",IF('ORDENES'!$AU144="","-",'ORDENES'!$AU144))</f>
        <v/>
      </c>
      <c r="J166" s="24">
        <f>IF('ORDENES'!$A144="","",IF('ORDENES'!$D144="","-",'ORDENES'!$D144))</f>
        <v/>
      </c>
      <c r="K166" s="24">
        <f>IF('ORDENES'!$A144="","",IF('ORDENES'!$E144="","-",'ORDENES'!$E144))</f>
        <v/>
      </c>
      <c r="L166" s="26">
        <f>IF('ORDENES'!$A144="","",IF('ORDENES'!$M144="",0,'ORDENES'!$M144))</f>
        <v/>
      </c>
      <c r="M166" s="24">
        <f>IF('ORDENES'!$A144="","",IF('ORDENES'!$N144="","-",'ORDENES'!$N144))</f>
        <v/>
      </c>
      <c r="N166" s="24">
        <f>IF('ORDENES'!$A144="","",'ORDENES'!$AG144)</f>
        <v/>
      </c>
    </row>
    <row r="167">
      <c r="A167" s="24">
        <f>IF('ORDENES'!$A145="","",IF('ORDENES'!$O145="","-",'ORDENES'!$O145))</f>
        <v/>
      </c>
      <c r="B167" s="24">
        <f>IF('ORDENES'!$A145="","",IF('ORDENES'!$S145="","-",'ORDENES'!$S145))</f>
        <v/>
      </c>
      <c r="C167" s="24">
        <f>IF('ORDENES'!$A145="","",IF('ORDENES'!$AI145="","-",'ORDENES'!$AI145))</f>
        <v/>
      </c>
      <c r="D167" s="24">
        <f>IF('ORDENES'!$A145="","",IF('ORDENES'!$AA145="","-",'ORDENES'!$AA145))</f>
        <v/>
      </c>
      <c r="E167" s="24">
        <f>IF('ORDENES'!$A145="","",IF('ORDENES'!$Y145="","-",'ORDENES'!$Y145))</f>
        <v/>
      </c>
      <c r="F167" s="24">
        <f>IF('ORDENES'!$A145="","",IF('ORDENES'!$AB145="","-",'ORDENES'!$AB145))</f>
        <v/>
      </c>
      <c r="G167" s="24">
        <f>IF('ORDENES'!$A145="","",IF('ORDENES'!$Z145="","-",'ORDENES'!$Z145))</f>
        <v/>
      </c>
      <c r="H167" s="24">
        <f>IF('ORDENES'!$A145="","",IF('ORDENES'!$AH145="","-",'ORDENES'!$AH145))</f>
        <v/>
      </c>
      <c r="I167" s="24">
        <f>IF('ORDENES'!$A145="","",IF('ORDENES'!$AU145="","-",'ORDENES'!$AU145))</f>
        <v/>
      </c>
      <c r="J167" s="24">
        <f>IF('ORDENES'!$A145="","",IF('ORDENES'!$D145="","-",'ORDENES'!$D145))</f>
        <v/>
      </c>
      <c r="K167" s="24">
        <f>IF('ORDENES'!$A145="","",IF('ORDENES'!$E145="","-",'ORDENES'!$E145))</f>
        <v/>
      </c>
      <c r="L167" s="26">
        <f>IF('ORDENES'!$A145="","",IF('ORDENES'!$M145="",0,'ORDENES'!$M145))</f>
        <v/>
      </c>
      <c r="M167" s="24">
        <f>IF('ORDENES'!$A145="","",IF('ORDENES'!$N145="","-",'ORDENES'!$N145))</f>
        <v/>
      </c>
      <c r="N167" s="24">
        <f>IF('ORDENES'!$A145="","",'ORDENES'!$AG145)</f>
        <v/>
      </c>
    </row>
    <row r="168">
      <c r="A168" s="24">
        <f>IF('ORDENES'!$A146="","",IF('ORDENES'!$O146="","-",'ORDENES'!$O146))</f>
        <v/>
      </c>
      <c r="B168" s="24">
        <f>IF('ORDENES'!$A146="","",IF('ORDENES'!$S146="","-",'ORDENES'!$S146))</f>
        <v/>
      </c>
      <c r="C168" s="24">
        <f>IF('ORDENES'!$A146="","",IF('ORDENES'!$AI146="","-",'ORDENES'!$AI146))</f>
        <v/>
      </c>
      <c r="D168" s="24">
        <f>IF('ORDENES'!$A146="","",IF('ORDENES'!$AA146="","-",'ORDENES'!$AA146))</f>
        <v/>
      </c>
      <c r="E168" s="24">
        <f>IF('ORDENES'!$A146="","",IF('ORDENES'!$Y146="","-",'ORDENES'!$Y146))</f>
        <v/>
      </c>
      <c r="F168" s="24">
        <f>IF('ORDENES'!$A146="","",IF('ORDENES'!$AB146="","-",'ORDENES'!$AB146))</f>
        <v/>
      </c>
      <c r="G168" s="24">
        <f>IF('ORDENES'!$A146="","",IF('ORDENES'!$Z146="","-",'ORDENES'!$Z146))</f>
        <v/>
      </c>
      <c r="H168" s="24">
        <f>IF('ORDENES'!$A146="","",IF('ORDENES'!$AH146="","-",'ORDENES'!$AH146))</f>
        <v/>
      </c>
      <c r="I168" s="24">
        <f>IF('ORDENES'!$A146="","",IF('ORDENES'!$AU146="","-",'ORDENES'!$AU146))</f>
        <v/>
      </c>
      <c r="J168" s="24">
        <f>IF('ORDENES'!$A146="","",IF('ORDENES'!$D146="","-",'ORDENES'!$D146))</f>
        <v/>
      </c>
      <c r="K168" s="24">
        <f>IF('ORDENES'!$A146="","",IF('ORDENES'!$E146="","-",'ORDENES'!$E146))</f>
        <v/>
      </c>
      <c r="L168" s="26">
        <f>IF('ORDENES'!$A146="","",IF('ORDENES'!$M146="",0,'ORDENES'!$M146))</f>
        <v/>
      </c>
      <c r="M168" s="24">
        <f>IF('ORDENES'!$A146="","",IF('ORDENES'!$N146="","-",'ORDENES'!$N146))</f>
        <v/>
      </c>
      <c r="N168" s="24">
        <f>IF('ORDENES'!$A146="","",'ORDENES'!$AG146)</f>
        <v/>
      </c>
    </row>
    <row r="169">
      <c r="A169" s="24">
        <f>IF('ORDENES'!$A147="","",IF('ORDENES'!$O147="","-",'ORDENES'!$O147))</f>
        <v/>
      </c>
      <c r="B169" s="24">
        <f>IF('ORDENES'!$A147="","",IF('ORDENES'!$S147="","-",'ORDENES'!$S147))</f>
        <v/>
      </c>
      <c r="C169" s="24">
        <f>IF('ORDENES'!$A147="","",IF('ORDENES'!$AI147="","-",'ORDENES'!$AI147))</f>
        <v/>
      </c>
      <c r="D169" s="24">
        <f>IF('ORDENES'!$A147="","",IF('ORDENES'!$AA147="","-",'ORDENES'!$AA147))</f>
        <v/>
      </c>
      <c r="E169" s="24">
        <f>IF('ORDENES'!$A147="","",IF('ORDENES'!$Y147="","-",'ORDENES'!$Y147))</f>
        <v/>
      </c>
      <c r="F169" s="24">
        <f>IF('ORDENES'!$A147="","",IF('ORDENES'!$AB147="","-",'ORDENES'!$AB147))</f>
        <v/>
      </c>
      <c r="G169" s="24">
        <f>IF('ORDENES'!$A147="","",IF('ORDENES'!$Z147="","-",'ORDENES'!$Z147))</f>
        <v/>
      </c>
      <c r="H169" s="24">
        <f>IF('ORDENES'!$A147="","",IF('ORDENES'!$AH147="","-",'ORDENES'!$AH147))</f>
        <v/>
      </c>
      <c r="I169" s="24">
        <f>IF('ORDENES'!$A147="","",IF('ORDENES'!$AU147="","-",'ORDENES'!$AU147))</f>
        <v/>
      </c>
      <c r="J169" s="24">
        <f>IF('ORDENES'!$A147="","",IF('ORDENES'!$D147="","-",'ORDENES'!$D147))</f>
        <v/>
      </c>
      <c r="K169" s="24">
        <f>IF('ORDENES'!$A147="","",IF('ORDENES'!$E147="","-",'ORDENES'!$E147))</f>
        <v/>
      </c>
      <c r="L169" s="26">
        <f>IF('ORDENES'!$A147="","",IF('ORDENES'!$M147="",0,'ORDENES'!$M147))</f>
        <v/>
      </c>
      <c r="M169" s="24">
        <f>IF('ORDENES'!$A147="","",IF('ORDENES'!$N147="","-",'ORDENES'!$N147))</f>
        <v/>
      </c>
      <c r="N169" s="24">
        <f>IF('ORDENES'!$A147="","",'ORDENES'!$AG147)</f>
        <v/>
      </c>
    </row>
    <row r="170">
      <c r="A170" s="24">
        <f>IF('ORDENES'!$A148="","",IF('ORDENES'!$O148="","-",'ORDENES'!$O148))</f>
        <v/>
      </c>
      <c r="B170" s="24">
        <f>IF('ORDENES'!$A148="","",IF('ORDENES'!$S148="","-",'ORDENES'!$S148))</f>
        <v/>
      </c>
      <c r="C170" s="24">
        <f>IF('ORDENES'!$A148="","",IF('ORDENES'!$AI148="","-",'ORDENES'!$AI148))</f>
        <v/>
      </c>
      <c r="D170" s="24">
        <f>IF('ORDENES'!$A148="","",IF('ORDENES'!$AA148="","-",'ORDENES'!$AA148))</f>
        <v/>
      </c>
      <c r="E170" s="24">
        <f>IF('ORDENES'!$A148="","",IF('ORDENES'!$Y148="","-",'ORDENES'!$Y148))</f>
        <v/>
      </c>
      <c r="F170" s="24">
        <f>IF('ORDENES'!$A148="","",IF('ORDENES'!$AB148="","-",'ORDENES'!$AB148))</f>
        <v/>
      </c>
      <c r="G170" s="24">
        <f>IF('ORDENES'!$A148="","",IF('ORDENES'!$Z148="","-",'ORDENES'!$Z148))</f>
        <v/>
      </c>
      <c r="H170" s="24">
        <f>IF('ORDENES'!$A148="","",IF('ORDENES'!$AH148="","-",'ORDENES'!$AH148))</f>
        <v/>
      </c>
      <c r="I170" s="24">
        <f>IF('ORDENES'!$A148="","",IF('ORDENES'!$AU148="","-",'ORDENES'!$AU148))</f>
        <v/>
      </c>
      <c r="J170" s="24">
        <f>IF('ORDENES'!$A148="","",IF('ORDENES'!$D148="","-",'ORDENES'!$D148))</f>
        <v/>
      </c>
      <c r="K170" s="24">
        <f>IF('ORDENES'!$A148="","",IF('ORDENES'!$E148="","-",'ORDENES'!$E148))</f>
        <v/>
      </c>
      <c r="L170" s="26">
        <f>IF('ORDENES'!$A148="","",IF('ORDENES'!$M148="",0,'ORDENES'!$M148))</f>
        <v/>
      </c>
      <c r="M170" s="24">
        <f>IF('ORDENES'!$A148="","",IF('ORDENES'!$N148="","-",'ORDENES'!$N148))</f>
        <v/>
      </c>
      <c r="N170" s="24">
        <f>IF('ORDENES'!$A148="","",'ORDENES'!$AG148)</f>
        <v/>
      </c>
    </row>
    <row r="171">
      <c r="A171" s="24">
        <f>IF('ORDENES'!$A149="","",IF('ORDENES'!$O149="","-",'ORDENES'!$O149))</f>
        <v/>
      </c>
      <c r="B171" s="24">
        <f>IF('ORDENES'!$A149="","",IF('ORDENES'!$S149="","-",'ORDENES'!$S149))</f>
        <v/>
      </c>
      <c r="C171" s="24">
        <f>IF('ORDENES'!$A149="","",IF('ORDENES'!$AI149="","-",'ORDENES'!$AI149))</f>
        <v/>
      </c>
      <c r="D171" s="24">
        <f>IF('ORDENES'!$A149="","",IF('ORDENES'!$AA149="","-",'ORDENES'!$AA149))</f>
        <v/>
      </c>
      <c r="E171" s="24">
        <f>IF('ORDENES'!$A149="","",IF('ORDENES'!$Y149="","-",'ORDENES'!$Y149))</f>
        <v/>
      </c>
      <c r="F171" s="24">
        <f>IF('ORDENES'!$A149="","",IF('ORDENES'!$AB149="","-",'ORDENES'!$AB149))</f>
        <v/>
      </c>
      <c r="G171" s="24">
        <f>IF('ORDENES'!$A149="","",IF('ORDENES'!$Z149="","-",'ORDENES'!$Z149))</f>
        <v/>
      </c>
      <c r="H171" s="24">
        <f>IF('ORDENES'!$A149="","",IF('ORDENES'!$AH149="","-",'ORDENES'!$AH149))</f>
        <v/>
      </c>
      <c r="I171" s="24">
        <f>IF('ORDENES'!$A149="","",IF('ORDENES'!$AU149="","-",'ORDENES'!$AU149))</f>
        <v/>
      </c>
      <c r="J171" s="24">
        <f>IF('ORDENES'!$A149="","",IF('ORDENES'!$D149="","-",'ORDENES'!$D149))</f>
        <v/>
      </c>
      <c r="K171" s="24">
        <f>IF('ORDENES'!$A149="","",IF('ORDENES'!$E149="","-",'ORDENES'!$E149))</f>
        <v/>
      </c>
      <c r="L171" s="26">
        <f>IF('ORDENES'!$A149="","",IF('ORDENES'!$M149="",0,'ORDENES'!$M149))</f>
        <v/>
      </c>
      <c r="M171" s="24">
        <f>IF('ORDENES'!$A149="","",IF('ORDENES'!$N149="","-",'ORDENES'!$N149))</f>
        <v/>
      </c>
      <c r="N171" s="24">
        <f>IF('ORDENES'!$A149="","",'ORDENES'!$AG149)</f>
        <v/>
      </c>
    </row>
    <row r="172">
      <c r="A172" s="24">
        <f>IF('ORDENES'!$A150="","",IF('ORDENES'!$O150="","-",'ORDENES'!$O150))</f>
        <v/>
      </c>
      <c r="B172" s="24">
        <f>IF('ORDENES'!$A150="","",IF('ORDENES'!$S150="","-",'ORDENES'!$S150))</f>
        <v/>
      </c>
      <c r="C172" s="24">
        <f>IF('ORDENES'!$A150="","",IF('ORDENES'!$AI150="","-",'ORDENES'!$AI150))</f>
        <v/>
      </c>
      <c r="D172" s="24">
        <f>IF('ORDENES'!$A150="","",IF('ORDENES'!$AA150="","-",'ORDENES'!$AA150))</f>
        <v/>
      </c>
      <c r="E172" s="24">
        <f>IF('ORDENES'!$A150="","",IF('ORDENES'!$Y150="","-",'ORDENES'!$Y150))</f>
        <v/>
      </c>
      <c r="F172" s="24">
        <f>IF('ORDENES'!$A150="","",IF('ORDENES'!$AB150="","-",'ORDENES'!$AB150))</f>
        <v/>
      </c>
      <c r="G172" s="24">
        <f>IF('ORDENES'!$A150="","",IF('ORDENES'!$Z150="","-",'ORDENES'!$Z150))</f>
        <v/>
      </c>
      <c r="H172" s="24">
        <f>IF('ORDENES'!$A150="","",IF('ORDENES'!$AH150="","-",'ORDENES'!$AH150))</f>
        <v/>
      </c>
      <c r="I172" s="24">
        <f>IF('ORDENES'!$A150="","",IF('ORDENES'!$AU150="","-",'ORDENES'!$AU150))</f>
        <v/>
      </c>
      <c r="J172" s="24">
        <f>IF('ORDENES'!$A150="","",IF('ORDENES'!$D150="","-",'ORDENES'!$D150))</f>
        <v/>
      </c>
      <c r="K172" s="24">
        <f>IF('ORDENES'!$A150="","",IF('ORDENES'!$E150="","-",'ORDENES'!$E150))</f>
        <v/>
      </c>
      <c r="L172" s="26">
        <f>IF('ORDENES'!$A150="","",IF('ORDENES'!$M150="",0,'ORDENES'!$M150))</f>
        <v/>
      </c>
      <c r="M172" s="24">
        <f>IF('ORDENES'!$A150="","",IF('ORDENES'!$N150="","-",'ORDENES'!$N150))</f>
        <v/>
      </c>
      <c r="N172" s="24">
        <f>IF('ORDENES'!$A150="","",'ORDENES'!$AG150)</f>
        <v/>
      </c>
    </row>
    <row r="173">
      <c r="A173" s="24">
        <f>IF('ORDENES'!$A151="","",IF('ORDENES'!$O151="","-",'ORDENES'!$O151))</f>
        <v/>
      </c>
      <c r="B173" s="24">
        <f>IF('ORDENES'!$A151="","",IF('ORDENES'!$S151="","-",'ORDENES'!$S151))</f>
        <v/>
      </c>
      <c r="C173" s="24">
        <f>IF('ORDENES'!$A151="","",IF('ORDENES'!$AI151="","-",'ORDENES'!$AI151))</f>
        <v/>
      </c>
      <c r="D173" s="24">
        <f>IF('ORDENES'!$A151="","",IF('ORDENES'!$AA151="","-",'ORDENES'!$AA151))</f>
        <v/>
      </c>
      <c r="E173" s="24">
        <f>IF('ORDENES'!$A151="","",IF('ORDENES'!$Y151="","-",'ORDENES'!$Y151))</f>
        <v/>
      </c>
      <c r="F173" s="24">
        <f>IF('ORDENES'!$A151="","",IF('ORDENES'!$AB151="","-",'ORDENES'!$AB151))</f>
        <v/>
      </c>
      <c r="G173" s="24">
        <f>IF('ORDENES'!$A151="","",IF('ORDENES'!$Z151="","-",'ORDENES'!$Z151))</f>
        <v/>
      </c>
      <c r="H173" s="24">
        <f>IF('ORDENES'!$A151="","",IF('ORDENES'!$AH151="","-",'ORDENES'!$AH151))</f>
        <v/>
      </c>
      <c r="I173" s="24">
        <f>IF('ORDENES'!$A151="","",IF('ORDENES'!$AU151="","-",'ORDENES'!$AU151))</f>
        <v/>
      </c>
      <c r="J173" s="24">
        <f>IF('ORDENES'!$A151="","",IF('ORDENES'!$D151="","-",'ORDENES'!$D151))</f>
        <v/>
      </c>
      <c r="K173" s="24">
        <f>IF('ORDENES'!$A151="","",IF('ORDENES'!$E151="","-",'ORDENES'!$E151))</f>
        <v/>
      </c>
      <c r="L173" s="26">
        <f>IF('ORDENES'!$A151="","",IF('ORDENES'!$M151="",0,'ORDENES'!$M151))</f>
        <v/>
      </c>
      <c r="M173" s="24">
        <f>IF('ORDENES'!$A151="","",IF('ORDENES'!$N151="","-",'ORDENES'!$N151))</f>
        <v/>
      </c>
      <c r="N173" s="24">
        <f>IF('ORDENES'!$A151="","",'ORDENES'!$AG151)</f>
        <v/>
      </c>
    </row>
    <row r="174">
      <c r="A174" s="24">
        <f>IF('ORDENES'!$A152="","",IF('ORDENES'!$O152="","-",'ORDENES'!$O152))</f>
        <v/>
      </c>
      <c r="B174" s="24">
        <f>IF('ORDENES'!$A152="","",IF('ORDENES'!$S152="","-",'ORDENES'!$S152))</f>
        <v/>
      </c>
      <c r="C174" s="24">
        <f>IF('ORDENES'!$A152="","",IF('ORDENES'!$AI152="","-",'ORDENES'!$AI152))</f>
        <v/>
      </c>
      <c r="D174" s="24">
        <f>IF('ORDENES'!$A152="","",IF('ORDENES'!$AA152="","-",'ORDENES'!$AA152))</f>
        <v/>
      </c>
      <c r="E174" s="24">
        <f>IF('ORDENES'!$A152="","",IF('ORDENES'!$Y152="","-",'ORDENES'!$Y152))</f>
        <v/>
      </c>
      <c r="F174" s="24">
        <f>IF('ORDENES'!$A152="","",IF('ORDENES'!$AB152="","-",'ORDENES'!$AB152))</f>
        <v/>
      </c>
      <c r="G174" s="24">
        <f>IF('ORDENES'!$A152="","",IF('ORDENES'!$Z152="","-",'ORDENES'!$Z152))</f>
        <v/>
      </c>
      <c r="H174" s="24">
        <f>IF('ORDENES'!$A152="","",IF('ORDENES'!$AH152="","-",'ORDENES'!$AH152))</f>
        <v/>
      </c>
      <c r="I174" s="24">
        <f>IF('ORDENES'!$A152="","",IF('ORDENES'!$AU152="","-",'ORDENES'!$AU152))</f>
        <v/>
      </c>
      <c r="J174" s="24">
        <f>IF('ORDENES'!$A152="","",IF('ORDENES'!$D152="","-",'ORDENES'!$D152))</f>
        <v/>
      </c>
      <c r="K174" s="24">
        <f>IF('ORDENES'!$A152="","",IF('ORDENES'!$E152="","-",'ORDENES'!$E152))</f>
        <v/>
      </c>
      <c r="L174" s="26">
        <f>IF('ORDENES'!$A152="","",IF('ORDENES'!$M152="",0,'ORDENES'!$M152))</f>
        <v/>
      </c>
      <c r="M174" s="24">
        <f>IF('ORDENES'!$A152="","",IF('ORDENES'!$N152="","-",'ORDENES'!$N152))</f>
        <v/>
      </c>
      <c r="N174" s="24">
        <f>IF('ORDENES'!$A152="","",'ORDENES'!$AG152)</f>
        <v/>
      </c>
    </row>
    <row r="175">
      <c r="A175" s="24">
        <f>IF('ORDENES'!$A153="","",IF('ORDENES'!$O153="","-",'ORDENES'!$O153))</f>
        <v/>
      </c>
      <c r="B175" s="24">
        <f>IF('ORDENES'!$A153="","",IF('ORDENES'!$S153="","-",'ORDENES'!$S153))</f>
        <v/>
      </c>
      <c r="C175" s="24">
        <f>IF('ORDENES'!$A153="","",IF('ORDENES'!$AI153="","-",'ORDENES'!$AI153))</f>
        <v/>
      </c>
      <c r="D175" s="24">
        <f>IF('ORDENES'!$A153="","",IF('ORDENES'!$AA153="","-",'ORDENES'!$AA153))</f>
        <v/>
      </c>
      <c r="E175" s="24">
        <f>IF('ORDENES'!$A153="","",IF('ORDENES'!$Y153="","-",'ORDENES'!$Y153))</f>
        <v/>
      </c>
      <c r="F175" s="24">
        <f>IF('ORDENES'!$A153="","",IF('ORDENES'!$AB153="","-",'ORDENES'!$AB153))</f>
        <v/>
      </c>
      <c r="G175" s="24">
        <f>IF('ORDENES'!$A153="","",IF('ORDENES'!$Z153="","-",'ORDENES'!$Z153))</f>
        <v/>
      </c>
      <c r="H175" s="24">
        <f>IF('ORDENES'!$A153="","",IF('ORDENES'!$AH153="","-",'ORDENES'!$AH153))</f>
        <v/>
      </c>
      <c r="I175" s="24">
        <f>IF('ORDENES'!$A153="","",IF('ORDENES'!$AU153="","-",'ORDENES'!$AU153))</f>
        <v/>
      </c>
      <c r="J175" s="24">
        <f>IF('ORDENES'!$A153="","",IF('ORDENES'!$D153="","-",'ORDENES'!$D153))</f>
        <v/>
      </c>
      <c r="K175" s="24">
        <f>IF('ORDENES'!$A153="","",IF('ORDENES'!$E153="","-",'ORDENES'!$E153))</f>
        <v/>
      </c>
      <c r="L175" s="26">
        <f>IF('ORDENES'!$A153="","",IF('ORDENES'!$M153="",0,'ORDENES'!$M153))</f>
        <v/>
      </c>
      <c r="M175" s="24">
        <f>IF('ORDENES'!$A153="","",IF('ORDENES'!$N153="","-",'ORDENES'!$N153))</f>
        <v/>
      </c>
      <c r="N175" s="24">
        <f>IF('ORDENES'!$A153="","",'ORDENES'!$AG153)</f>
        <v/>
      </c>
    </row>
    <row r="176">
      <c r="A176" s="24">
        <f>IF('ORDENES'!$A154="","",IF('ORDENES'!$O154="","-",'ORDENES'!$O154))</f>
        <v/>
      </c>
      <c r="B176" s="24">
        <f>IF('ORDENES'!$A154="","",IF('ORDENES'!$S154="","-",'ORDENES'!$S154))</f>
        <v/>
      </c>
      <c r="C176" s="24">
        <f>IF('ORDENES'!$A154="","",IF('ORDENES'!$AI154="","-",'ORDENES'!$AI154))</f>
        <v/>
      </c>
      <c r="D176" s="24">
        <f>IF('ORDENES'!$A154="","",IF('ORDENES'!$AA154="","-",'ORDENES'!$AA154))</f>
        <v/>
      </c>
      <c r="E176" s="24">
        <f>IF('ORDENES'!$A154="","",IF('ORDENES'!$Y154="","-",'ORDENES'!$Y154))</f>
        <v/>
      </c>
      <c r="F176" s="24">
        <f>IF('ORDENES'!$A154="","",IF('ORDENES'!$AB154="","-",'ORDENES'!$AB154))</f>
        <v/>
      </c>
      <c r="G176" s="24">
        <f>IF('ORDENES'!$A154="","",IF('ORDENES'!$Z154="","-",'ORDENES'!$Z154))</f>
        <v/>
      </c>
      <c r="H176" s="24">
        <f>IF('ORDENES'!$A154="","",IF('ORDENES'!$AH154="","-",'ORDENES'!$AH154))</f>
        <v/>
      </c>
      <c r="I176" s="24">
        <f>IF('ORDENES'!$A154="","",IF('ORDENES'!$AU154="","-",'ORDENES'!$AU154))</f>
        <v/>
      </c>
      <c r="J176" s="24">
        <f>IF('ORDENES'!$A154="","",IF('ORDENES'!$D154="","-",'ORDENES'!$D154))</f>
        <v/>
      </c>
      <c r="K176" s="24">
        <f>IF('ORDENES'!$A154="","",IF('ORDENES'!$E154="","-",'ORDENES'!$E154))</f>
        <v/>
      </c>
      <c r="L176" s="26">
        <f>IF('ORDENES'!$A154="","",IF('ORDENES'!$M154="",0,'ORDENES'!$M154))</f>
        <v/>
      </c>
      <c r="M176" s="24">
        <f>IF('ORDENES'!$A154="","",IF('ORDENES'!$N154="","-",'ORDENES'!$N154))</f>
        <v/>
      </c>
      <c r="N176" s="24">
        <f>IF('ORDENES'!$A154="","",'ORDENES'!$AG154)</f>
        <v/>
      </c>
    </row>
    <row r="177">
      <c r="A177" s="24">
        <f>IF('ORDENES'!$A155="","",IF('ORDENES'!$O155="","-",'ORDENES'!$O155))</f>
        <v/>
      </c>
      <c r="B177" s="24">
        <f>IF('ORDENES'!$A155="","",IF('ORDENES'!$S155="","-",'ORDENES'!$S155))</f>
        <v/>
      </c>
      <c r="C177" s="24">
        <f>IF('ORDENES'!$A155="","",IF('ORDENES'!$AI155="","-",'ORDENES'!$AI155))</f>
        <v/>
      </c>
      <c r="D177" s="24">
        <f>IF('ORDENES'!$A155="","",IF('ORDENES'!$AA155="","-",'ORDENES'!$AA155))</f>
        <v/>
      </c>
      <c r="E177" s="24">
        <f>IF('ORDENES'!$A155="","",IF('ORDENES'!$Y155="","-",'ORDENES'!$Y155))</f>
        <v/>
      </c>
      <c r="F177" s="24">
        <f>IF('ORDENES'!$A155="","",IF('ORDENES'!$AB155="","-",'ORDENES'!$AB155))</f>
        <v/>
      </c>
      <c r="G177" s="24">
        <f>IF('ORDENES'!$A155="","",IF('ORDENES'!$Z155="","-",'ORDENES'!$Z155))</f>
        <v/>
      </c>
      <c r="H177" s="24">
        <f>IF('ORDENES'!$A155="","",IF('ORDENES'!$AH155="","-",'ORDENES'!$AH155))</f>
        <v/>
      </c>
      <c r="I177" s="24">
        <f>IF('ORDENES'!$A155="","",IF('ORDENES'!$AU155="","-",'ORDENES'!$AU155))</f>
        <v/>
      </c>
      <c r="J177" s="24">
        <f>IF('ORDENES'!$A155="","",IF('ORDENES'!$D155="","-",'ORDENES'!$D155))</f>
        <v/>
      </c>
      <c r="K177" s="24">
        <f>IF('ORDENES'!$A155="","",IF('ORDENES'!$E155="","-",'ORDENES'!$E155))</f>
        <v/>
      </c>
      <c r="L177" s="26">
        <f>IF('ORDENES'!$A155="","",IF('ORDENES'!$M155="",0,'ORDENES'!$M155))</f>
        <v/>
      </c>
      <c r="M177" s="24">
        <f>IF('ORDENES'!$A155="","",IF('ORDENES'!$N155="","-",'ORDENES'!$N155))</f>
        <v/>
      </c>
      <c r="N177" s="24">
        <f>IF('ORDENES'!$A155="","",'ORDENES'!$AG155)</f>
        <v/>
      </c>
    </row>
    <row r="178">
      <c r="A178" s="24">
        <f>IF('ORDENES'!$A156="","",IF('ORDENES'!$O156="","-",'ORDENES'!$O156))</f>
        <v/>
      </c>
      <c r="B178" s="24">
        <f>IF('ORDENES'!$A156="","",IF('ORDENES'!$S156="","-",'ORDENES'!$S156))</f>
        <v/>
      </c>
      <c r="C178" s="24">
        <f>IF('ORDENES'!$A156="","",IF('ORDENES'!$AI156="","-",'ORDENES'!$AI156))</f>
        <v/>
      </c>
      <c r="D178" s="24">
        <f>IF('ORDENES'!$A156="","",IF('ORDENES'!$AA156="","-",'ORDENES'!$AA156))</f>
        <v/>
      </c>
      <c r="E178" s="24">
        <f>IF('ORDENES'!$A156="","",IF('ORDENES'!$Y156="","-",'ORDENES'!$Y156))</f>
        <v/>
      </c>
      <c r="F178" s="24">
        <f>IF('ORDENES'!$A156="","",IF('ORDENES'!$AB156="","-",'ORDENES'!$AB156))</f>
        <v/>
      </c>
      <c r="G178" s="24">
        <f>IF('ORDENES'!$A156="","",IF('ORDENES'!$Z156="","-",'ORDENES'!$Z156))</f>
        <v/>
      </c>
      <c r="H178" s="24">
        <f>IF('ORDENES'!$A156="","",IF('ORDENES'!$AH156="","-",'ORDENES'!$AH156))</f>
        <v/>
      </c>
      <c r="I178" s="24">
        <f>IF('ORDENES'!$A156="","",IF('ORDENES'!$AU156="","-",'ORDENES'!$AU156))</f>
        <v/>
      </c>
      <c r="J178" s="24">
        <f>IF('ORDENES'!$A156="","",IF('ORDENES'!$D156="","-",'ORDENES'!$D156))</f>
        <v/>
      </c>
      <c r="K178" s="24">
        <f>IF('ORDENES'!$A156="","",IF('ORDENES'!$E156="","-",'ORDENES'!$E156))</f>
        <v/>
      </c>
      <c r="L178" s="26">
        <f>IF('ORDENES'!$A156="","",IF('ORDENES'!$M156="",0,'ORDENES'!$M156))</f>
        <v/>
      </c>
      <c r="M178" s="24">
        <f>IF('ORDENES'!$A156="","",IF('ORDENES'!$N156="","-",'ORDENES'!$N156))</f>
        <v/>
      </c>
      <c r="N178" s="24">
        <f>IF('ORDENES'!$A156="","",'ORDENES'!$AG156)</f>
        <v/>
      </c>
    </row>
    <row r="179">
      <c r="A179" s="24">
        <f>IF('ORDENES'!$A157="","",IF('ORDENES'!$O157="","-",'ORDENES'!$O157))</f>
        <v/>
      </c>
      <c r="B179" s="24">
        <f>IF('ORDENES'!$A157="","",IF('ORDENES'!$S157="","-",'ORDENES'!$S157))</f>
        <v/>
      </c>
      <c r="C179" s="24">
        <f>IF('ORDENES'!$A157="","",IF('ORDENES'!$AI157="","-",'ORDENES'!$AI157))</f>
        <v/>
      </c>
      <c r="D179" s="24">
        <f>IF('ORDENES'!$A157="","",IF('ORDENES'!$AA157="","-",'ORDENES'!$AA157))</f>
        <v/>
      </c>
      <c r="E179" s="24">
        <f>IF('ORDENES'!$A157="","",IF('ORDENES'!$Y157="","-",'ORDENES'!$Y157))</f>
        <v/>
      </c>
      <c r="F179" s="24">
        <f>IF('ORDENES'!$A157="","",IF('ORDENES'!$AB157="","-",'ORDENES'!$AB157))</f>
        <v/>
      </c>
      <c r="G179" s="24">
        <f>IF('ORDENES'!$A157="","",IF('ORDENES'!$Z157="","-",'ORDENES'!$Z157))</f>
        <v/>
      </c>
      <c r="H179" s="24">
        <f>IF('ORDENES'!$A157="","",IF('ORDENES'!$AH157="","-",'ORDENES'!$AH157))</f>
        <v/>
      </c>
      <c r="I179" s="24">
        <f>IF('ORDENES'!$A157="","",IF('ORDENES'!$AU157="","-",'ORDENES'!$AU157))</f>
        <v/>
      </c>
      <c r="J179" s="24">
        <f>IF('ORDENES'!$A157="","",IF('ORDENES'!$D157="","-",'ORDENES'!$D157))</f>
        <v/>
      </c>
      <c r="K179" s="24">
        <f>IF('ORDENES'!$A157="","",IF('ORDENES'!$E157="","-",'ORDENES'!$E157))</f>
        <v/>
      </c>
      <c r="L179" s="26">
        <f>IF('ORDENES'!$A157="","",IF('ORDENES'!$M157="",0,'ORDENES'!$M157))</f>
        <v/>
      </c>
      <c r="M179" s="24">
        <f>IF('ORDENES'!$A157="","",IF('ORDENES'!$N157="","-",'ORDENES'!$N157))</f>
        <v/>
      </c>
      <c r="N179" s="24">
        <f>IF('ORDENES'!$A157="","",'ORDENES'!$AG157)</f>
        <v/>
      </c>
    </row>
    <row r="180">
      <c r="A180" s="24">
        <f>IF('ORDENES'!$A158="","",IF('ORDENES'!$O158="","-",'ORDENES'!$O158))</f>
        <v/>
      </c>
      <c r="B180" s="24">
        <f>IF('ORDENES'!$A158="","",IF('ORDENES'!$S158="","-",'ORDENES'!$S158))</f>
        <v/>
      </c>
      <c r="C180" s="24">
        <f>IF('ORDENES'!$A158="","",IF('ORDENES'!$AI158="","-",'ORDENES'!$AI158))</f>
        <v/>
      </c>
      <c r="D180" s="24">
        <f>IF('ORDENES'!$A158="","",IF('ORDENES'!$AA158="","-",'ORDENES'!$AA158))</f>
        <v/>
      </c>
      <c r="E180" s="24">
        <f>IF('ORDENES'!$A158="","",IF('ORDENES'!$Y158="","-",'ORDENES'!$Y158))</f>
        <v/>
      </c>
      <c r="F180" s="24">
        <f>IF('ORDENES'!$A158="","",IF('ORDENES'!$AB158="","-",'ORDENES'!$AB158))</f>
        <v/>
      </c>
      <c r="G180" s="24">
        <f>IF('ORDENES'!$A158="","",IF('ORDENES'!$Z158="","-",'ORDENES'!$Z158))</f>
        <v/>
      </c>
      <c r="H180" s="24">
        <f>IF('ORDENES'!$A158="","",IF('ORDENES'!$AH158="","-",'ORDENES'!$AH158))</f>
        <v/>
      </c>
      <c r="I180" s="24">
        <f>IF('ORDENES'!$A158="","",IF('ORDENES'!$AU158="","-",'ORDENES'!$AU158))</f>
        <v/>
      </c>
      <c r="J180" s="24">
        <f>IF('ORDENES'!$A158="","",IF('ORDENES'!$D158="","-",'ORDENES'!$D158))</f>
        <v/>
      </c>
      <c r="K180" s="24">
        <f>IF('ORDENES'!$A158="","",IF('ORDENES'!$E158="","-",'ORDENES'!$E158))</f>
        <v/>
      </c>
      <c r="L180" s="26">
        <f>IF('ORDENES'!$A158="","",IF('ORDENES'!$M158="",0,'ORDENES'!$M158))</f>
        <v/>
      </c>
      <c r="M180" s="24">
        <f>IF('ORDENES'!$A158="","",IF('ORDENES'!$N158="","-",'ORDENES'!$N158))</f>
        <v/>
      </c>
      <c r="N180" s="24">
        <f>IF('ORDENES'!$A158="","",'ORDENES'!$AG158)</f>
        <v/>
      </c>
    </row>
    <row r="181">
      <c r="A181" s="24">
        <f>IF('ORDENES'!$A159="","",IF('ORDENES'!$O159="","-",'ORDENES'!$O159))</f>
        <v/>
      </c>
      <c r="B181" s="24">
        <f>IF('ORDENES'!$A159="","",IF('ORDENES'!$S159="","-",'ORDENES'!$S159))</f>
        <v/>
      </c>
      <c r="C181" s="24">
        <f>IF('ORDENES'!$A159="","",IF('ORDENES'!$AI159="","-",'ORDENES'!$AI159))</f>
        <v/>
      </c>
      <c r="D181" s="24">
        <f>IF('ORDENES'!$A159="","",IF('ORDENES'!$AA159="","-",'ORDENES'!$AA159))</f>
        <v/>
      </c>
      <c r="E181" s="24">
        <f>IF('ORDENES'!$A159="","",IF('ORDENES'!$Y159="","-",'ORDENES'!$Y159))</f>
        <v/>
      </c>
      <c r="F181" s="24">
        <f>IF('ORDENES'!$A159="","",IF('ORDENES'!$AB159="","-",'ORDENES'!$AB159))</f>
        <v/>
      </c>
      <c r="G181" s="24">
        <f>IF('ORDENES'!$A159="","",IF('ORDENES'!$Z159="","-",'ORDENES'!$Z159))</f>
        <v/>
      </c>
      <c r="H181" s="24">
        <f>IF('ORDENES'!$A159="","",IF('ORDENES'!$AH159="","-",'ORDENES'!$AH159))</f>
        <v/>
      </c>
      <c r="I181" s="24">
        <f>IF('ORDENES'!$A159="","",IF('ORDENES'!$AU159="","-",'ORDENES'!$AU159))</f>
        <v/>
      </c>
      <c r="J181" s="24">
        <f>IF('ORDENES'!$A159="","",IF('ORDENES'!$D159="","-",'ORDENES'!$D159))</f>
        <v/>
      </c>
      <c r="K181" s="24">
        <f>IF('ORDENES'!$A159="","",IF('ORDENES'!$E159="","-",'ORDENES'!$E159))</f>
        <v/>
      </c>
      <c r="L181" s="26">
        <f>IF('ORDENES'!$A159="","",IF('ORDENES'!$M159="",0,'ORDENES'!$M159))</f>
        <v/>
      </c>
      <c r="M181" s="24">
        <f>IF('ORDENES'!$A159="","",IF('ORDENES'!$N159="","-",'ORDENES'!$N159))</f>
        <v/>
      </c>
      <c r="N181" s="24">
        <f>IF('ORDENES'!$A159="","",'ORDENES'!$AG159)</f>
        <v/>
      </c>
    </row>
    <row r="182">
      <c r="A182" s="24">
        <f>IF('ORDENES'!$A160="","",IF('ORDENES'!$O160="","-",'ORDENES'!$O160))</f>
        <v/>
      </c>
      <c r="B182" s="24">
        <f>IF('ORDENES'!$A160="","",IF('ORDENES'!$S160="","-",'ORDENES'!$S160))</f>
        <v/>
      </c>
      <c r="C182" s="24">
        <f>IF('ORDENES'!$A160="","",IF('ORDENES'!$AI160="","-",'ORDENES'!$AI160))</f>
        <v/>
      </c>
      <c r="D182" s="24">
        <f>IF('ORDENES'!$A160="","",IF('ORDENES'!$AA160="","-",'ORDENES'!$AA160))</f>
        <v/>
      </c>
      <c r="E182" s="24">
        <f>IF('ORDENES'!$A160="","",IF('ORDENES'!$Y160="","-",'ORDENES'!$Y160))</f>
        <v/>
      </c>
      <c r="F182" s="24">
        <f>IF('ORDENES'!$A160="","",IF('ORDENES'!$AB160="","-",'ORDENES'!$AB160))</f>
        <v/>
      </c>
      <c r="G182" s="24">
        <f>IF('ORDENES'!$A160="","",IF('ORDENES'!$Z160="","-",'ORDENES'!$Z160))</f>
        <v/>
      </c>
      <c r="H182" s="24">
        <f>IF('ORDENES'!$A160="","",IF('ORDENES'!$AH160="","-",'ORDENES'!$AH160))</f>
        <v/>
      </c>
      <c r="I182" s="24">
        <f>IF('ORDENES'!$A160="","",IF('ORDENES'!$AU160="","-",'ORDENES'!$AU160))</f>
        <v/>
      </c>
      <c r="J182" s="24">
        <f>IF('ORDENES'!$A160="","",IF('ORDENES'!$D160="","-",'ORDENES'!$D160))</f>
        <v/>
      </c>
      <c r="K182" s="24">
        <f>IF('ORDENES'!$A160="","",IF('ORDENES'!$E160="","-",'ORDENES'!$E160))</f>
        <v/>
      </c>
      <c r="L182" s="26">
        <f>IF('ORDENES'!$A160="","",IF('ORDENES'!$M160="",0,'ORDENES'!$M160))</f>
        <v/>
      </c>
      <c r="M182" s="24">
        <f>IF('ORDENES'!$A160="","",IF('ORDENES'!$N160="","-",'ORDENES'!$N160))</f>
        <v/>
      </c>
      <c r="N182" s="24">
        <f>IF('ORDENES'!$A160="","",'ORDENES'!$AG160)</f>
        <v/>
      </c>
    </row>
    <row r="183">
      <c r="A183" s="24">
        <f>IF('ORDENES'!$A161="","",IF('ORDENES'!$O161="","-",'ORDENES'!$O161))</f>
        <v/>
      </c>
      <c r="B183" s="24">
        <f>IF('ORDENES'!$A161="","",IF('ORDENES'!$S161="","-",'ORDENES'!$S161))</f>
        <v/>
      </c>
      <c r="C183" s="24">
        <f>IF('ORDENES'!$A161="","",IF('ORDENES'!$AI161="","-",'ORDENES'!$AI161))</f>
        <v/>
      </c>
      <c r="D183" s="24">
        <f>IF('ORDENES'!$A161="","",IF('ORDENES'!$AA161="","-",'ORDENES'!$AA161))</f>
        <v/>
      </c>
      <c r="E183" s="24">
        <f>IF('ORDENES'!$A161="","",IF('ORDENES'!$Y161="","-",'ORDENES'!$Y161))</f>
        <v/>
      </c>
      <c r="F183" s="24">
        <f>IF('ORDENES'!$A161="","",IF('ORDENES'!$AB161="","-",'ORDENES'!$AB161))</f>
        <v/>
      </c>
      <c r="G183" s="24">
        <f>IF('ORDENES'!$A161="","",IF('ORDENES'!$Z161="","-",'ORDENES'!$Z161))</f>
        <v/>
      </c>
      <c r="H183" s="24">
        <f>IF('ORDENES'!$A161="","",IF('ORDENES'!$AH161="","-",'ORDENES'!$AH161))</f>
        <v/>
      </c>
      <c r="I183" s="24">
        <f>IF('ORDENES'!$A161="","",IF('ORDENES'!$AU161="","-",'ORDENES'!$AU161))</f>
        <v/>
      </c>
      <c r="J183" s="24">
        <f>IF('ORDENES'!$A161="","",IF('ORDENES'!$D161="","-",'ORDENES'!$D161))</f>
        <v/>
      </c>
      <c r="K183" s="24">
        <f>IF('ORDENES'!$A161="","",IF('ORDENES'!$E161="","-",'ORDENES'!$E161))</f>
        <v/>
      </c>
      <c r="L183" s="26">
        <f>IF('ORDENES'!$A161="","",IF('ORDENES'!$M161="",0,'ORDENES'!$M161))</f>
        <v/>
      </c>
      <c r="M183" s="24">
        <f>IF('ORDENES'!$A161="","",IF('ORDENES'!$N161="","-",'ORDENES'!$N161))</f>
        <v/>
      </c>
      <c r="N183" s="24">
        <f>IF('ORDENES'!$A161="","",'ORDENES'!$AG161)</f>
        <v/>
      </c>
    </row>
    <row r="184">
      <c r="A184" s="24">
        <f>IF('ORDENES'!$A162="","",IF('ORDENES'!$O162="","-",'ORDENES'!$O162))</f>
        <v/>
      </c>
      <c r="B184" s="24">
        <f>IF('ORDENES'!$A162="","",IF('ORDENES'!$S162="","-",'ORDENES'!$S162))</f>
        <v/>
      </c>
      <c r="C184" s="24">
        <f>IF('ORDENES'!$A162="","",IF('ORDENES'!$AI162="","-",'ORDENES'!$AI162))</f>
        <v/>
      </c>
      <c r="D184" s="24">
        <f>IF('ORDENES'!$A162="","",IF('ORDENES'!$AA162="","-",'ORDENES'!$AA162))</f>
        <v/>
      </c>
      <c r="E184" s="24">
        <f>IF('ORDENES'!$A162="","",IF('ORDENES'!$Y162="","-",'ORDENES'!$Y162))</f>
        <v/>
      </c>
      <c r="F184" s="24">
        <f>IF('ORDENES'!$A162="","",IF('ORDENES'!$AB162="","-",'ORDENES'!$AB162))</f>
        <v/>
      </c>
      <c r="G184" s="24">
        <f>IF('ORDENES'!$A162="","",IF('ORDENES'!$Z162="","-",'ORDENES'!$Z162))</f>
        <v/>
      </c>
      <c r="H184" s="24">
        <f>IF('ORDENES'!$A162="","",IF('ORDENES'!$AH162="","-",'ORDENES'!$AH162))</f>
        <v/>
      </c>
      <c r="I184" s="24">
        <f>IF('ORDENES'!$A162="","",IF('ORDENES'!$AU162="","-",'ORDENES'!$AU162))</f>
        <v/>
      </c>
      <c r="J184" s="24">
        <f>IF('ORDENES'!$A162="","",IF('ORDENES'!$D162="","-",'ORDENES'!$D162))</f>
        <v/>
      </c>
      <c r="K184" s="24">
        <f>IF('ORDENES'!$A162="","",IF('ORDENES'!$E162="","-",'ORDENES'!$E162))</f>
        <v/>
      </c>
      <c r="L184" s="26">
        <f>IF('ORDENES'!$A162="","",IF('ORDENES'!$M162="",0,'ORDENES'!$M162))</f>
        <v/>
      </c>
      <c r="M184" s="24">
        <f>IF('ORDENES'!$A162="","",IF('ORDENES'!$N162="","-",'ORDENES'!$N162))</f>
        <v/>
      </c>
      <c r="N184" s="24">
        <f>IF('ORDENES'!$A162="","",'ORDENES'!$AG162)</f>
        <v/>
      </c>
    </row>
    <row r="185">
      <c r="A185" s="24">
        <f>IF('ORDENES'!$A163="","",IF('ORDENES'!$O163="","-",'ORDENES'!$O163))</f>
        <v/>
      </c>
      <c r="B185" s="24">
        <f>IF('ORDENES'!$A163="","",IF('ORDENES'!$S163="","-",'ORDENES'!$S163))</f>
        <v/>
      </c>
      <c r="C185" s="24">
        <f>IF('ORDENES'!$A163="","",IF('ORDENES'!$AI163="","-",'ORDENES'!$AI163))</f>
        <v/>
      </c>
      <c r="D185" s="24">
        <f>IF('ORDENES'!$A163="","",IF('ORDENES'!$AA163="","-",'ORDENES'!$AA163))</f>
        <v/>
      </c>
      <c r="E185" s="24">
        <f>IF('ORDENES'!$A163="","",IF('ORDENES'!$Y163="","-",'ORDENES'!$Y163))</f>
        <v/>
      </c>
      <c r="F185" s="24">
        <f>IF('ORDENES'!$A163="","",IF('ORDENES'!$AB163="","-",'ORDENES'!$AB163))</f>
        <v/>
      </c>
      <c r="G185" s="24">
        <f>IF('ORDENES'!$A163="","",IF('ORDENES'!$Z163="","-",'ORDENES'!$Z163))</f>
        <v/>
      </c>
      <c r="H185" s="24">
        <f>IF('ORDENES'!$A163="","",IF('ORDENES'!$AH163="","-",'ORDENES'!$AH163))</f>
        <v/>
      </c>
      <c r="I185" s="24">
        <f>IF('ORDENES'!$A163="","",IF('ORDENES'!$AU163="","-",'ORDENES'!$AU163))</f>
        <v/>
      </c>
      <c r="J185" s="24">
        <f>IF('ORDENES'!$A163="","",IF('ORDENES'!$D163="","-",'ORDENES'!$D163))</f>
        <v/>
      </c>
      <c r="K185" s="24">
        <f>IF('ORDENES'!$A163="","",IF('ORDENES'!$E163="","-",'ORDENES'!$E163))</f>
        <v/>
      </c>
      <c r="L185" s="26">
        <f>IF('ORDENES'!$A163="","",IF('ORDENES'!$M163="",0,'ORDENES'!$M163))</f>
        <v/>
      </c>
      <c r="M185" s="24">
        <f>IF('ORDENES'!$A163="","",IF('ORDENES'!$N163="","-",'ORDENES'!$N163))</f>
        <v/>
      </c>
      <c r="N185" s="24">
        <f>IF('ORDENES'!$A163="","",'ORDENES'!$AG163)</f>
        <v/>
      </c>
    </row>
    <row r="186">
      <c r="A186" s="24">
        <f>IF('ORDENES'!$A164="","",IF('ORDENES'!$O164="","-",'ORDENES'!$O164))</f>
        <v/>
      </c>
      <c r="B186" s="24">
        <f>IF('ORDENES'!$A164="","",IF('ORDENES'!$S164="","-",'ORDENES'!$S164))</f>
        <v/>
      </c>
      <c r="C186" s="24">
        <f>IF('ORDENES'!$A164="","",IF('ORDENES'!$AI164="","-",'ORDENES'!$AI164))</f>
        <v/>
      </c>
      <c r="D186" s="24">
        <f>IF('ORDENES'!$A164="","",IF('ORDENES'!$AA164="","-",'ORDENES'!$AA164))</f>
        <v/>
      </c>
      <c r="E186" s="24">
        <f>IF('ORDENES'!$A164="","",IF('ORDENES'!$Y164="","-",'ORDENES'!$Y164))</f>
        <v/>
      </c>
      <c r="F186" s="24">
        <f>IF('ORDENES'!$A164="","",IF('ORDENES'!$AB164="","-",'ORDENES'!$AB164))</f>
        <v/>
      </c>
      <c r="G186" s="24">
        <f>IF('ORDENES'!$A164="","",IF('ORDENES'!$Z164="","-",'ORDENES'!$Z164))</f>
        <v/>
      </c>
      <c r="H186" s="24">
        <f>IF('ORDENES'!$A164="","",IF('ORDENES'!$AH164="","-",'ORDENES'!$AH164))</f>
        <v/>
      </c>
      <c r="I186" s="24">
        <f>IF('ORDENES'!$A164="","",IF('ORDENES'!$AU164="","-",'ORDENES'!$AU164))</f>
        <v/>
      </c>
      <c r="J186" s="24">
        <f>IF('ORDENES'!$A164="","",IF('ORDENES'!$D164="","-",'ORDENES'!$D164))</f>
        <v/>
      </c>
      <c r="K186" s="24">
        <f>IF('ORDENES'!$A164="","",IF('ORDENES'!$E164="","-",'ORDENES'!$E164))</f>
        <v/>
      </c>
      <c r="L186" s="26">
        <f>IF('ORDENES'!$A164="","",IF('ORDENES'!$M164="",0,'ORDENES'!$M164))</f>
        <v/>
      </c>
      <c r="M186" s="24">
        <f>IF('ORDENES'!$A164="","",IF('ORDENES'!$N164="","-",'ORDENES'!$N164))</f>
        <v/>
      </c>
      <c r="N186" s="24">
        <f>IF('ORDENES'!$A164="","",'ORDENES'!$AG164)</f>
        <v/>
      </c>
    </row>
    <row r="187">
      <c r="A187" s="24">
        <f>IF('ORDENES'!$A165="","",IF('ORDENES'!$O165="","-",'ORDENES'!$O165))</f>
        <v/>
      </c>
      <c r="B187" s="24">
        <f>IF('ORDENES'!$A165="","",IF('ORDENES'!$S165="","-",'ORDENES'!$S165))</f>
        <v/>
      </c>
      <c r="C187" s="24">
        <f>IF('ORDENES'!$A165="","",IF('ORDENES'!$AI165="","-",'ORDENES'!$AI165))</f>
        <v/>
      </c>
      <c r="D187" s="24">
        <f>IF('ORDENES'!$A165="","",IF('ORDENES'!$AA165="","-",'ORDENES'!$AA165))</f>
        <v/>
      </c>
      <c r="E187" s="24">
        <f>IF('ORDENES'!$A165="","",IF('ORDENES'!$Y165="","-",'ORDENES'!$Y165))</f>
        <v/>
      </c>
      <c r="F187" s="24">
        <f>IF('ORDENES'!$A165="","",IF('ORDENES'!$AB165="","-",'ORDENES'!$AB165))</f>
        <v/>
      </c>
      <c r="G187" s="24">
        <f>IF('ORDENES'!$A165="","",IF('ORDENES'!$Z165="","-",'ORDENES'!$Z165))</f>
        <v/>
      </c>
      <c r="H187" s="24">
        <f>IF('ORDENES'!$A165="","",IF('ORDENES'!$AH165="","-",'ORDENES'!$AH165))</f>
        <v/>
      </c>
      <c r="I187" s="24">
        <f>IF('ORDENES'!$A165="","",IF('ORDENES'!$AU165="","-",'ORDENES'!$AU165))</f>
        <v/>
      </c>
      <c r="J187" s="24">
        <f>IF('ORDENES'!$A165="","",IF('ORDENES'!$D165="","-",'ORDENES'!$D165))</f>
        <v/>
      </c>
      <c r="K187" s="24">
        <f>IF('ORDENES'!$A165="","",IF('ORDENES'!$E165="","-",'ORDENES'!$E165))</f>
        <v/>
      </c>
      <c r="L187" s="26">
        <f>IF('ORDENES'!$A165="","",IF('ORDENES'!$M165="",0,'ORDENES'!$M165))</f>
        <v/>
      </c>
      <c r="M187" s="24">
        <f>IF('ORDENES'!$A165="","",IF('ORDENES'!$N165="","-",'ORDENES'!$N165))</f>
        <v/>
      </c>
      <c r="N187" s="24">
        <f>IF('ORDENES'!$A165="","",'ORDENES'!$AG165)</f>
        <v/>
      </c>
    </row>
    <row r="188">
      <c r="A188" s="24">
        <f>IF('ORDENES'!$A166="","",IF('ORDENES'!$O166="","-",'ORDENES'!$O166))</f>
        <v/>
      </c>
      <c r="B188" s="24">
        <f>IF('ORDENES'!$A166="","",IF('ORDENES'!$S166="","-",'ORDENES'!$S166))</f>
        <v/>
      </c>
      <c r="C188" s="24">
        <f>IF('ORDENES'!$A166="","",IF('ORDENES'!$AI166="","-",'ORDENES'!$AI166))</f>
        <v/>
      </c>
      <c r="D188" s="24">
        <f>IF('ORDENES'!$A166="","",IF('ORDENES'!$AA166="","-",'ORDENES'!$AA166))</f>
        <v/>
      </c>
      <c r="E188" s="24">
        <f>IF('ORDENES'!$A166="","",IF('ORDENES'!$Y166="","-",'ORDENES'!$Y166))</f>
        <v/>
      </c>
      <c r="F188" s="24">
        <f>IF('ORDENES'!$A166="","",IF('ORDENES'!$AB166="","-",'ORDENES'!$AB166))</f>
        <v/>
      </c>
      <c r="G188" s="24">
        <f>IF('ORDENES'!$A166="","",IF('ORDENES'!$Z166="","-",'ORDENES'!$Z166))</f>
        <v/>
      </c>
      <c r="H188" s="24">
        <f>IF('ORDENES'!$A166="","",IF('ORDENES'!$AH166="","-",'ORDENES'!$AH166))</f>
        <v/>
      </c>
      <c r="I188" s="24">
        <f>IF('ORDENES'!$A166="","",IF('ORDENES'!$AU166="","-",'ORDENES'!$AU166))</f>
        <v/>
      </c>
      <c r="J188" s="24">
        <f>IF('ORDENES'!$A166="","",IF('ORDENES'!$D166="","-",'ORDENES'!$D166))</f>
        <v/>
      </c>
      <c r="K188" s="24">
        <f>IF('ORDENES'!$A166="","",IF('ORDENES'!$E166="","-",'ORDENES'!$E166))</f>
        <v/>
      </c>
      <c r="L188" s="26">
        <f>IF('ORDENES'!$A166="","",IF('ORDENES'!$M166="",0,'ORDENES'!$M166))</f>
        <v/>
      </c>
      <c r="M188" s="24">
        <f>IF('ORDENES'!$A166="","",IF('ORDENES'!$N166="","-",'ORDENES'!$N166))</f>
        <v/>
      </c>
      <c r="N188" s="24">
        <f>IF('ORDENES'!$A166="","",'ORDENES'!$AG166)</f>
        <v/>
      </c>
    </row>
    <row r="189">
      <c r="A189" s="24">
        <f>IF('ORDENES'!$A167="","",IF('ORDENES'!$O167="","-",'ORDENES'!$O167))</f>
        <v/>
      </c>
      <c r="B189" s="24">
        <f>IF('ORDENES'!$A167="","",IF('ORDENES'!$S167="","-",'ORDENES'!$S167))</f>
        <v/>
      </c>
      <c r="C189" s="24">
        <f>IF('ORDENES'!$A167="","",IF('ORDENES'!$AI167="","-",'ORDENES'!$AI167))</f>
        <v/>
      </c>
      <c r="D189" s="24">
        <f>IF('ORDENES'!$A167="","",IF('ORDENES'!$AA167="","-",'ORDENES'!$AA167))</f>
        <v/>
      </c>
      <c r="E189" s="24">
        <f>IF('ORDENES'!$A167="","",IF('ORDENES'!$Y167="","-",'ORDENES'!$Y167))</f>
        <v/>
      </c>
      <c r="F189" s="24">
        <f>IF('ORDENES'!$A167="","",IF('ORDENES'!$AB167="","-",'ORDENES'!$AB167))</f>
        <v/>
      </c>
      <c r="G189" s="24">
        <f>IF('ORDENES'!$A167="","",IF('ORDENES'!$Z167="","-",'ORDENES'!$Z167))</f>
        <v/>
      </c>
      <c r="H189" s="24">
        <f>IF('ORDENES'!$A167="","",IF('ORDENES'!$AH167="","-",'ORDENES'!$AH167))</f>
        <v/>
      </c>
      <c r="I189" s="24">
        <f>IF('ORDENES'!$A167="","",IF('ORDENES'!$AU167="","-",'ORDENES'!$AU167))</f>
        <v/>
      </c>
      <c r="J189" s="24">
        <f>IF('ORDENES'!$A167="","",IF('ORDENES'!$D167="","-",'ORDENES'!$D167))</f>
        <v/>
      </c>
      <c r="K189" s="24">
        <f>IF('ORDENES'!$A167="","",IF('ORDENES'!$E167="","-",'ORDENES'!$E167))</f>
        <v/>
      </c>
      <c r="L189" s="26">
        <f>IF('ORDENES'!$A167="","",IF('ORDENES'!$M167="",0,'ORDENES'!$M167))</f>
        <v/>
      </c>
      <c r="M189" s="24">
        <f>IF('ORDENES'!$A167="","",IF('ORDENES'!$N167="","-",'ORDENES'!$N167))</f>
        <v/>
      </c>
      <c r="N189" s="24">
        <f>IF('ORDENES'!$A167="","",'ORDENES'!$AG167)</f>
        <v/>
      </c>
    </row>
    <row r="190">
      <c r="A190" s="24">
        <f>IF('ORDENES'!$A168="","",IF('ORDENES'!$O168="","-",'ORDENES'!$O168))</f>
        <v/>
      </c>
      <c r="B190" s="24">
        <f>IF('ORDENES'!$A168="","",IF('ORDENES'!$S168="","-",'ORDENES'!$S168))</f>
        <v/>
      </c>
      <c r="C190" s="24">
        <f>IF('ORDENES'!$A168="","",IF('ORDENES'!$AI168="","-",'ORDENES'!$AI168))</f>
        <v/>
      </c>
      <c r="D190" s="24">
        <f>IF('ORDENES'!$A168="","",IF('ORDENES'!$AA168="","-",'ORDENES'!$AA168))</f>
        <v/>
      </c>
      <c r="E190" s="24">
        <f>IF('ORDENES'!$A168="","",IF('ORDENES'!$Y168="","-",'ORDENES'!$Y168))</f>
        <v/>
      </c>
      <c r="F190" s="24">
        <f>IF('ORDENES'!$A168="","",IF('ORDENES'!$AB168="","-",'ORDENES'!$AB168))</f>
        <v/>
      </c>
      <c r="G190" s="24">
        <f>IF('ORDENES'!$A168="","",IF('ORDENES'!$Z168="","-",'ORDENES'!$Z168))</f>
        <v/>
      </c>
      <c r="H190" s="24">
        <f>IF('ORDENES'!$A168="","",IF('ORDENES'!$AH168="","-",'ORDENES'!$AH168))</f>
        <v/>
      </c>
      <c r="I190" s="24">
        <f>IF('ORDENES'!$A168="","",IF('ORDENES'!$AU168="","-",'ORDENES'!$AU168))</f>
        <v/>
      </c>
      <c r="J190" s="24">
        <f>IF('ORDENES'!$A168="","",IF('ORDENES'!$D168="","-",'ORDENES'!$D168))</f>
        <v/>
      </c>
      <c r="K190" s="24">
        <f>IF('ORDENES'!$A168="","",IF('ORDENES'!$E168="","-",'ORDENES'!$E168))</f>
        <v/>
      </c>
      <c r="L190" s="26">
        <f>IF('ORDENES'!$A168="","",IF('ORDENES'!$M168="",0,'ORDENES'!$M168))</f>
        <v/>
      </c>
      <c r="M190" s="24">
        <f>IF('ORDENES'!$A168="","",IF('ORDENES'!$N168="","-",'ORDENES'!$N168))</f>
        <v/>
      </c>
      <c r="N190" s="24">
        <f>IF('ORDENES'!$A168="","",'ORDENES'!$AG168)</f>
        <v/>
      </c>
    </row>
    <row r="191">
      <c r="A191" s="24">
        <f>IF('ORDENES'!$A169="","",IF('ORDENES'!$O169="","-",'ORDENES'!$O169))</f>
        <v/>
      </c>
      <c r="B191" s="24">
        <f>IF('ORDENES'!$A169="","",IF('ORDENES'!$S169="","-",'ORDENES'!$S169))</f>
        <v/>
      </c>
      <c r="C191" s="24">
        <f>IF('ORDENES'!$A169="","",IF('ORDENES'!$AI169="","-",'ORDENES'!$AI169))</f>
        <v/>
      </c>
      <c r="D191" s="24">
        <f>IF('ORDENES'!$A169="","",IF('ORDENES'!$AA169="","-",'ORDENES'!$AA169))</f>
        <v/>
      </c>
      <c r="E191" s="24">
        <f>IF('ORDENES'!$A169="","",IF('ORDENES'!$Y169="","-",'ORDENES'!$Y169))</f>
        <v/>
      </c>
      <c r="F191" s="24">
        <f>IF('ORDENES'!$A169="","",IF('ORDENES'!$AB169="","-",'ORDENES'!$AB169))</f>
        <v/>
      </c>
      <c r="G191" s="24">
        <f>IF('ORDENES'!$A169="","",IF('ORDENES'!$Z169="","-",'ORDENES'!$Z169))</f>
        <v/>
      </c>
      <c r="H191" s="24">
        <f>IF('ORDENES'!$A169="","",IF('ORDENES'!$AH169="","-",'ORDENES'!$AH169))</f>
        <v/>
      </c>
      <c r="I191" s="24">
        <f>IF('ORDENES'!$A169="","",IF('ORDENES'!$AU169="","-",'ORDENES'!$AU169))</f>
        <v/>
      </c>
      <c r="J191" s="24">
        <f>IF('ORDENES'!$A169="","",IF('ORDENES'!$D169="","-",'ORDENES'!$D169))</f>
        <v/>
      </c>
      <c r="K191" s="24">
        <f>IF('ORDENES'!$A169="","",IF('ORDENES'!$E169="","-",'ORDENES'!$E169))</f>
        <v/>
      </c>
      <c r="L191" s="26">
        <f>IF('ORDENES'!$A169="","",IF('ORDENES'!$M169="",0,'ORDENES'!$M169))</f>
        <v/>
      </c>
      <c r="M191" s="24">
        <f>IF('ORDENES'!$A169="","",IF('ORDENES'!$N169="","-",'ORDENES'!$N169))</f>
        <v/>
      </c>
      <c r="N191" s="24">
        <f>IF('ORDENES'!$A169="","",'ORDENES'!$AG169)</f>
        <v/>
      </c>
    </row>
    <row r="192">
      <c r="A192" s="24">
        <f>IF('ORDENES'!$A170="","",IF('ORDENES'!$O170="","-",'ORDENES'!$O170))</f>
        <v/>
      </c>
      <c r="B192" s="24">
        <f>IF('ORDENES'!$A170="","",IF('ORDENES'!$S170="","-",'ORDENES'!$S170))</f>
        <v/>
      </c>
      <c r="C192" s="24">
        <f>IF('ORDENES'!$A170="","",IF('ORDENES'!$AI170="","-",'ORDENES'!$AI170))</f>
        <v/>
      </c>
      <c r="D192" s="24">
        <f>IF('ORDENES'!$A170="","",IF('ORDENES'!$AA170="","-",'ORDENES'!$AA170))</f>
        <v/>
      </c>
      <c r="E192" s="24">
        <f>IF('ORDENES'!$A170="","",IF('ORDENES'!$Y170="","-",'ORDENES'!$Y170))</f>
        <v/>
      </c>
      <c r="F192" s="24">
        <f>IF('ORDENES'!$A170="","",IF('ORDENES'!$AB170="","-",'ORDENES'!$AB170))</f>
        <v/>
      </c>
      <c r="G192" s="24">
        <f>IF('ORDENES'!$A170="","",IF('ORDENES'!$Z170="","-",'ORDENES'!$Z170))</f>
        <v/>
      </c>
      <c r="H192" s="24">
        <f>IF('ORDENES'!$A170="","",IF('ORDENES'!$AH170="","-",'ORDENES'!$AH170))</f>
        <v/>
      </c>
      <c r="I192" s="24">
        <f>IF('ORDENES'!$A170="","",IF('ORDENES'!$AU170="","-",'ORDENES'!$AU170))</f>
        <v/>
      </c>
      <c r="J192" s="24">
        <f>IF('ORDENES'!$A170="","",IF('ORDENES'!$D170="","-",'ORDENES'!$D170))</f>
        <v/>
      </c>
      <c r="K192" s="24">
        <f>IF('ORDENES'!$A170="","",IF('ORDENES'!$E170="","-",'ORDENES'!$E170))</f>
        <v/>
      </c>
      <c r="L192" s="26">
        <f>IF('ORDENES'!$A170="","",IF('ORDENES'!$M170="",0,'ORDENES'!$M170))</f>
        <v/>
      </c>
      <c r="M192" s="24">
        <f>IF('ORDENES'!$A170="","",IF('ORDENES'!$N170="","-",'ORDENES'!$N170))</f>
        <v/>
      </c>
      <c r="N192" s="24">
        <f>IF('ORDENES'!$A170="","",'ORDENES'!$AG170)</f>
        <v/>
      </c>
    </row>
    <row r="193">
      <c r="A193" s="24">
        <f>IF('ORDENES'!$A171="","",IF('ORDENES'!$O171="","-",'ORDENES'!$O171))</f>
        <v/>
      </c>
      <c r="B193" s="24">
        <f>IF('ORDENES'!$A171="","",IF('ORDENES'!$S171="","-",'ORDENES'!$S171))</f>
        <v/>
      </c>
      <c r="C193" s="24">
        <f>IF('ORDENES'!$A171="","",IF('ORDENES'!$AI171="","-",'ORDENES'!$AI171))</f>
        <v/>
      </c>
      <c r="D193" s="24">
        <f>IF('ORDENES'!$A171="","",IF('ORDENES'!$AA171="","-",'ORDENES'!$AA171))</f>
        <v/>
      </c>
      <c r="E193" s="24">
        <f>IF('ORDENES'!$A171="","",IF('ORDENES'!$Y171="","-",'ORDENES'!$Y171))</f>
        <v/>
      </c>
      <c r="F193" s="24">
        <f>IF('ORDENES'!$A171="","",IF('ORDENES'!$AB171="","-",'ORDENES'!$AB171))</f>
        <v/>
      </c>
      <c r="G193" s="24">
        <f>IF('ORDENES'!$A171="","",IF('ORDENES'!$Z171="","-",'ORDENES'!$Z171))</f>
        <v/>
      </c>
      <c r="H193" s="24">
        <f>IF('ORDENES'!$A171="","",IF('ORDENES'!$AH171="","-",'ORDENES'!$AH171))</f>
        <v/>
      </c>
      <c r="I193" s="24">
        <f>IF('ORDENES'!$A171="","",IF('ORDENES'!$AU171="","-",'ORDENES'!$AU171))</f>
        <v/>
      </c>
      <c r="J193" s="24">
        <f>IF('ORDENES'!$A171="","",IF('ORDENES'!$D171="","-",'ORDENES'!$D171))</f>
        <v/>
      </c>
      <c r="K193" s="24">
        <f>IF('ORDENES'!$A171="","",IF('ORDENES'!$E171="","-",'ORDENES'!$E171))</f>
        <v/>
      </c>
      <c r="L193" s="26">
        <f>IF('ORDENES'!$A171="","",IF('ORDENES'!$M171="",0,'ORDENES'!$M171))</f>
        <v/>
      </c>
      <c r="M193" s="24">
        <f>IF('ORDENES'!$A171="","",IF('ORDENES'!$N171="","-",'ORDENES'!$N171))</f>
        <v/>
      </c>
      <c r="N193" s="24">
        <f>IF('ORDENES'!$A171="","",'ORDENES'!$AG171)</f>
        <v/>
      </c>
    </row>
    <row r="194">
      <c r="A194" s="24">
        <f>IF('ORDENES'!$A172="","",IF('ORDENES'!$O172="","-",'ORDENES'!$O172))</f>
        <v/>
      </c>
      <c r="B194" s="24">
        <f>IF('ORDENES'!$A172="","",IF('ORDENES'!$S172="","-",'ORDENES'!$S172))</f>
        <v/>
      </c>
      <c r="C194" s="24">
        <f>IF('ORDENES'!$A172="","",IF('ORDENES'!$AI172="","-",'ORDENES'!$AI172))</f>
        <v/>
      </c>
      <c r="D194" s="24">
        <f>IF('ORDENES'!$A172="","",IF('ORDENES'!$AA172="","-",'ORDENES'!$AA172))</f>
        <v/>
      </c>
      <c r="E194" s="24">
        <f>IF('ORDENES'!$A172="","",IF('ORDENES'!$Y172="","-",'ORDENES'!$Y172))</f>
        <v/>
      </c>
      <c r="F194" s="24">
        <f>IF('ORDENES'!$A172="","",IF('ORDENES'!$AB172="","-",'ORDENES'!$AB172))</f>
        <v/>
      </c>
      <c r="G194" s="24">
        <f>IF('ORDENES'!$A172="","",IF('ORDENES'!$Z172="","-",'ORDENES'!$Z172))</f>
        <v/>
      </c>
      <c r="H194" s="24">
        <f>IF('ORDENES'!$A172="","",IF('ORDENES'!$AH172="","-",'ORDENES'!$AH172))</f>
        <v/>
      </c>
      <c r="I194" s="24">
        <f>IF('ORDENES'!$A172="","",IF('ORDENES'!$AU172="","-",'ORDENES'!$AU172))</f>
        <v/>
      </c>
      <c r="J194" s="24">
        <f>IF('ORDENES'!$A172="","",IF('ORDENES'!$D172="","-",'ORDENES'!$D172))</f>
        <v/>
      </c>
      <c r="K194" s="24">
        <f>IF('ORDENES'!$A172="","",IF('ORDENES'!$E172="","-",'ORDENES'!$E172))</f>
        <v/>
      </c>
      <c r="L194" s="26">
        <f>IF('ORDENES'!$A172="","",IF('ORDENES'!$M172="",0,'ORDENES'!$M172))</f>
        <v/>
      </c>
      <c r="M194" s="24">
        <f>IF('ORDENES'!$A172="","",IF('ORDENES'!$N172="","-",'ORDENES'!$N172))</f>
        <v/>
      </c>
      <c r="N194" s="24">
        <f>IF('ORDENES'!$A172="","",'ORDENES'!$AG172)</f>
        <v/>
      </c>
    </row>
    <row r="195">
      <c r="A195" s="24">
        <f>IF('ORDENES'!$A173="","",IF('ORDENES'!$O173="","-",'ORDENES'!$O173))</f>
        <v/>
      </c>
      <c r="B195" s="24">
        <f>IF('ORDENES'!$A173="","",IF('ORDENES'!$S173="","-",'ORDENES'!$S173))</f>
        <v/>
      </c>
      <c r="C195" s="24">
        <f>IF('ORDENES'!$A173="","",IF('ORDENES'!$AI173="","-",'ORDENES'!$AI173))</f>
        <v/>
      </c>
      <c r="D195" s="24">
        <f>IF('ORDENES'!$A173="","",IF('ORDENES'!$AA173="","-",'ORDENES'!$AA173))</f>
        <v/>
      </c>
      <c r="E195" s="24">
        <f>IF('ORDENES'!$A173="","",IF('ORDENES'!$Y173="","-",'ORDENES'!$Y173))</f>
        <v/>
      </c>
      <c r="F195" s="24">
        <f>IF('ORDENES'!$A173="","",IF('ORDENES'!$AB173="","-",'ORDENES'!$AB173))</f>
        <v/>
      </c>
      <c r="G195" s="24">
        <f>IF('ORDENES'!$A173="","",IF('ORDENES'!$Z173="","-",'ORDENES'!$Z173))</f>
        <v/>
      </c>
      <c r="H195" s="24">
        <f>IF('ORDENES'!$A173="","",IF('ORDENES'!$AH173="","-",'ORDENES'!$AH173))</f>
        <v/>
      </c>
      <c r="I195" s="24">
        <f>IF('ORDENES'!$A173="","",IF('ORDENES'!$AU173="","-",'ORDENES'!$AU173))</f>
        <v/>
      </c>
      <c r="J195" s="24">
        <f>IF('ORDENES'!$A173="","",IF('ORDENES'!$D173="","-",'ORDENES'!$D173))</f>
        <v/>
      </c>
      <c r="K195" s="24">
        <f>IF('ORDENES'!$A173="","",IF('ORDENES'!$E173="","-",'ORDENES'!$E173))</f>
        <v/>
      </c>
      <c r="L195" s="26">
        <f>IF('ORDENES'!$A173="","",IF('ORDENES'!$M173="",0,'ORDENES'!$M173))</f>
        <v/>
      </c>
      <c r="M195" s="24">
        <f>IF('ORDENES'!$A173="","",IF('ORDENES'!$N173="","-",'ORDENES'!$N173))</f>
        <v/>
      </c>
      <c r="N195" s="24">
        <f>IF('ORDENES'!$A173="","",'ORDENES'!$AG173)</f>
        <v/>
      </c>
    </row>
    <row r="196">
      <c r="A196" s="24">
        <f>IF('ORDENES'!$A174="","",IF('ORDENES'!$O174="","-",'ORDENES'!$O174))</f>
        <v/>
      </c>
      <c r="B196" s="24">
        <f>IF('ORDENES'!$A174="","",IF('ORDENES'!$S174="","-",'ORDENES'!$S174))</f>
        <v/>
      </c>
      <c r="C196" s="24">
        <f>IF('ORDENES'!$A174="","",IF('ORDENES'!$AI174="","-",'ORDENES'!$AI174))</f>
        <v/>
      </c>
      <c r="D196" s="24">
        <f>IF('ORDENES'!$A174="","",IF('ORDENES'!$AA174="","-",'ORDENES'!$AA174))</f>
        <v/>
      </c>
      <c r="E196" s="24">
        <f>IF('ORDENES'!$A174="","",IF('ORDENES'!$Y174="","-",'ORDENES'!$Y174))</f>
        <v/>
      </c>
      <c r="F196" s="24">
        <f>IF('ORDENES'!$A174="","",IF('ORDENES'!$AB174="","-",'ORDENES'!$AB174))</f>
        <v/>
      </c>
      <c r="G196" s="24">
        <f>IF('ORDENES'!$A174="","",IF('ORDENES'!$Z174="","-",'ORDENES'!$Z174))</f>
        <v/>
      </c>
      <c r="H196" s="24">
        <f>IF('ORDENES'!$A174="","",IF('ORDENES'!$AH174="","-",'ORDENES'!$AH174))</f>
        <v/>
      </c>
      <c r="I196" s="24">
        <f>IF('ORDENES'!$A174="","",IF('ORDENES'!$AU174="","-",'ORDENES'!$AU174))</f>
        <v/>
      </c>
      <c r="J196" s="24">
        <f>IF('ORDENES'!$A174="","",IF('ORDENES'!$D174="","-",'ORDENES'!$D174))</f>
        <v/>
      </c>
      <c r="K196" s="24">
        <f>IF('ORDENES'!$A174="","",IF('ORDENES'!$E174="","-",'ORDENES'!$E174))</f>
        <v/>
      </c>
      <c r="L196" s="26">
        <f>IF('ORDENES'!$A174="","",IF('ORDENES'!$M174="",0,'ORDENES'!$M174))</f>
        <v/>
      </c>
      <c r="M196" s="24">
        <f>IF('ORDENES'!$A174="","",IF('ORDENES'!$N174="","-",'ORDENES'!$N174))</f>
        <v/>
      </c>
      <c r="N196" s="24">
        <f>IF('ORDENES'!$A174="","",'ORDENES'!$AG174)</f>
        <v/>
      </c>
    </row>
    <row r="197">
      <c r="A197" s="24">
        <f>IF('ORDENES'!$A175="","",IF('ORDENES'!$O175="","-",'ORDENES'!$O175))</f>
        <v/>
      </c>
      <c r="B197" s="24">
        <f>IF('ORDENES'!$A175="","",IF('ORDENES'!$S175="","-",'ORDENES'!$S175))</f>
        <v/>
      </c>
      <c r="C197" s="24">
        <f>IF('ORDENES'!$A175="","",IF('ORDENES'!$AI175="","-",'ORDENES'!$AI175))</f>
        <v/>
      </c>
      <c r="D197" s="24">
        <f>IF('ORDENES'!$A175="","",IF('ORDENES'!$AA175="","-",'ORDENES'!$AA175))</f>
        <v/>
      </c>
      <c r="E197" s="24">
        <f>IF('ORDENES'!$A175="","",IF('ORDENES'!$Y175="","-",'ORDENES'!$Y175))</f>
        <v/>
      </c>
      <c r="F197" s="24">
        <f>IF('ORDENES'!$A175="","",IF('ORDENES'!$AB175="","-",'ORDENES'!$AB175))</f>
        <v/>
      </c>
      <c r="G197" s="24">
        <f>IF('ORDENES'!$A175="","",IF('ORDENES'!$Z175="","-",'ORDENES'!$Z175))</f>
        <v/>
      </c>
      <c r="H197" s="24">
        <f>IF('ORDENES'!$A175="","",IF('ORDENES'!$AH175="","-",'ORDENES'!$AH175))</f>
        <v/>
      </c>
      <c r="I197" s="24">
        <f>IF('ORDENES'!$A175="","",IF('ORDENES'!$AU175="","-",'ORDENES'!$AU175))</f>
        <v/>
      </c>
      <c r="J197" s="24">
        <f>IF('ORDENES'!$A175="","",IF('ORDENES'!$D175="","-",'ORDENES'!$D175))</f>
        <v/>
      </c>
      <c r="K197" s="24">
        <f>IF('ORDENES'!$A175="","",IF('ORDENES'!$E175="","-",'ORDENES'!$E175))</f>
        <v/>
      </c>
      <c r="L197" s="26">
        <f>IF('ORDENES'!$A175="","",IF('ORDENES'!$M175="",0,'ORDENES'!$M175))</f>
        <v/>
      </c>
      <c r="M197" s="24">
        <f>IF('ORDENES'!$A175="","",IF('ORDENES'!$N175="","-",'ORDENES'!$N175))</f>
        <v/>
      </c>
      <c r="N197" s="24">
        <f>IF('ORDENES'!$A175="","",'ORDENES'!$AG175)</f>
        <v/>
      </c>
    </row>
    <row r="198">
      <c r="A198" s="24">
        <f>IF('ORDENES'!$A176="","",IF('ORDENES'!$O176="","-",'ORDENES'!$O176))</f>
        <v/>
      </c>
      <c r="B198" s="24">
        <f>IF('ORDENES'!$A176="","",IF('ORDENES'!$S176="","-",'ORDENES'!$S176))</f>
        <v/>
      </c>
      <c r="C198" s="24">
        <f>IF('ORDENES'!$A176="","",IF('ORDENES'!$AI176="","-",'ORDENES'!$AI176))</f>
        <v/>
      </c>
      <c r="D198" s="24">
        <f>IF('ORDENES'!$A176="","",IF('ORDENES'!$AA176="","-",'ORDENES'!$AA176))</f>
        <v/>
      </c>
      <c r="E198" s="24">
        <f>IF('ORDENES'!$A176="","",IF('ORDENES'!$Y176="","-",'ORDENES'!$Y176))</f>
        <v/>
      </c>
      <c r="F198" s="24">
        <f>IF('ORDENES'!$A176="","",IF('ORDENES'!$AB176="","-",'ORDENES'!$AB176))</f>
        <v/>
      </c>
      <c r="G198" s="24">
        <f>IF('ORDENES'!$A176="","",IF('ORDENES'!$Z176="","-",'ORDENES'!$Z176))</f>
        <v/>
      </c>
      <c r="H198" s="24">
        <f>IF('ORDENES'!$A176="","",IF('ORDENES'!$AH176="","-",'ORDENES'!$AH176))</f>
        <v/>
      </c>
      <c r="I198" s="24">
        <f>IF('ORDENES'!$A176="","",IF('ORDENES'!$AU176="","-",'ORDENES'!$AU176))</f>
        <v/>
      </c>
      <c r="J198" s="24">
        <f>IF('ORDENES'!$A176="","",IF('ORDENES'!$D176="","-",'ORDENES'!$D176))</f>
        <v/>
      </c>
      <c r="K198" s="24">
        <f>IF('ORDENES'!$A176="","",IF('ORDENES'!$E176="","-",'ORDENES'!$E176))</f>
        <v/>
      </c>
      <c r="L198" s="26">
        <f>IF('ORDENES'!$A176="","",IF('ORDENES'!$M176="",0,'ORDENES'!$M176))</f>
        <v/>
      </c>
      <c r="M198" s="24">
        <f>IF('ORDENES'!$A176="","",IF('ORDENES'!$N176="","-",'ORDENES'!$N176))</f>
        <v/>
      </c>
      <c r="N198" s="24">
        <f>IF('ORDENES'!$A176="","",'ORDENES'!$AG176)</f>
        <v/>
      </c>
    </row>
    <row r="199">
      <c r="A199" s="24">
        <f>IF('ORDENES'!$A177="","",IF('ORDENES'!$O177="","-",'ORDENES'!$O177))</f>
        <v/>
      </c>
      <c r="B199" s="24">
        <f>IF('ORDENES'!$A177="","",IF('ORDENES'!$S177="","-",'ORDENES'!$S177))</f>
        <v/>
      </c>
      <c r="C199" s="24">
        <f>IF('ORDENES'!$A177="","",IF('ORDENES'!$AI177="","-",'ORDENES'!$AI177))</f>
        <v/>
      </c>
      <c r="D199" s="24">
        <f>IF('ORDENES'!$A177="","",IF('ORDENES'!$AA177="","-",'ORDENES'!$AA177))</f>
        <v/>
      </c>
      <c r="E199" s="24">
        <f>IF('ORDENES'!$A177="","",IF('ORDENES'!$Y177="","-",'ORDENES'!$Y177))</f>
        <v/>
      </c>
      <c r="F199" s="24">
        <f>IF('ORDENES'!$A177="","",IF('ORDENES'!$AB177="","-",'ORDENES'!$AB177))</f>
        <v/>
      </c>
      <c r="G199" s="24">
        <f>IF('ORDENES'!$A177="","",IF('ORDENES'!$Z177="","-",'ORDENES'!$Z177))</f>
        <v/>
      </c>
      <c r="H199" s="24">
        <f>IF('ORDENES'!$A177="","",IF('ORDENES'!$AH177="","-",'ORDENES'!$AH177))</f>
        <v/>
      </c>
      <c r="I199" s="24">
        <f>IF('ORDENES'!$A177="","",IF('ORDENES'!$AU177="","-",'ORDENES'!$AU177))</f>
        <v/>
      </c>
      <c r="J199" s="24">
        <f>IF('ORDENES'!$A177="","",IF('ORDENES'!$D177="","-",'ORDENES'!$D177))</f>
        <v/>
      </c>
      <c r="K199" s="24">
        <f>IF('ORDENES'!$A177="","",IF('ORDENES'!$E177="","-",'ORDENES'!$E177))</f>
        <v/>
      </c>
      <c r="L199" s="26">
        <f>IF('ORDENES'!$A177="","",IF('ORDENES'!$M177="",0,'ORDENES'!$M177))</f>
        <v/>
      </c>
      <c r="M199" s="24">
        <f>IF('ORDENES'!$A177="","",IF('ORDENES'!$N177="","-",'ORDENES'!$N177))</f>
        <v/>
      </c>
      <c r="N199" s="24">
        <f>IF('ORDENES'!$A177="","",'ORDENES'!$AG177)</f>
        <v/>
      </c>
    </row>
    <row r="200">
      <c r="A200" s="24">
        <f>IF('ORDENES'!$A178="","",IF('ORDENES'!$O178="","-",'ORDENES'!$O178))</f>
        <v/>
      </c>
      <c r="B200" s="24">
        <f>IF('ORDENES'!$A178="","",IF('ORDENES'!$S178="","-",'ORDENES'!$S178))</f>
        <v/>
      </c>
      <c r="C200" s="24">
        <f>IF('ORDENES'!$A178="","",IF('ORDENES'!$AI178="","-",'ORDENES'!$AI178))</f>
        <v/>
      </c>
      <c r="D200" s="24">
        <f>IF('ORDENES'!$A178="","",IF('ORDENES'!$AA178="","-",'ORDENES'!$AA178))</f>
        <v/>
      </c>
      <c r="E200" s="24">
        <f>IF('ORDENES'!$A178="","",IF('ORDENES'!$Y178="","-",'ORDENES'!$Y178))</f>
        <v/>
      </c>
      <c r="F200" s="24">
        <f>IF('ORDENES'!$A178="","",IF('ORDENES'!$AB178="","-",'ORDENES'!$AB178))</f>
        <v/>
      </c>
      <c r="G200" s="24">
        <f>IF('ORDENES'!$A178="","",IF('ORDENES'!$Z178="","-",'ORDENES'!$Z178))</f>
        <v/>
      </c>
      <c r="H200" s="24">
        <f>IF('ORDENES'!$A178="","",IF('ORDENES'!$AH178="","-",'ORDENES'!$AH178))</f>
        <v/>
      </c>
      <c r="I200" s="24">
        <f>IF('ORDENES'!$A178="","",IF('ORDENES'!$AU178="","-",'ORDENES'!$AU178))</f>
        <v/>
      </c>
      <c r="J200" s="24">
        <f>IF('ORDENES'!$A178="","",IF('ORDENES'!$D178="","-",'ORDENES'!$D178))</f>
        <v/>
      </c>
      <c r="K200" s="24">
        <f>IF('ORDENES'!$A178="","",IF('ORDENES'!$E178="","-",'ORDENES'!$E178))</f>
        <v/>
      </c>
      <c r="L200" s="26">
        <f>IF('ORDENES'!$A178="","",IF('ORDENES'!$M178="",0,'ORDENES'!$M178))</f>
        <v/>
      </c>
      <c r="M200" s="24">
        <f>IF('ORDENES'!$A178="","",IF('ORDENES'!$N178="","-",'ORDENES'!$N178))</f>
        <v/>
      </c>
      <c r="N200" s="24">
        <f>IF('ORDENES'!$A178="","",'ORDENES'!$AG178)</f>
        <v/>
      </c>
    </row>
    <row r="201">
      <c r="A201" s="24">
        <f>IF('ORDENES'!$A179="","",IF('ORDENES'!$O179="","-",'ORDENES'!$O179))</f>
        <v/>
      </c>
      <c r="B201" s="24">
        <f>IF('ORDENES'!$A179="","",IF('ORDENES'!$S179="","-",'ORDENES'!$S179))</f>
        <v/>
      </c>
      <c r="C201" s="24">
        <f>IF('ORDENES'!$A179="","",IF('ORDENES'!$AI179="","-",'ORDENES'!$AI179))</f>
        <v/>
      </c>
      <c r="D201" s="24">
        <f>IF('ORDENES'!$A179="","",IF('ORDENES'!$AA179="","-",'ORDENES'!$AA179))</f>
        <v/>
      </c>
      <c r="E201" s="24">
        <f>IF('ORDENES'!$A179="","",IF('ORDENES'!$Y179="","-",'ORDENES'!$Y179))</f>
        <v/>
      </c>
      <c r="F201" s="24">
        <f>IF('ORDENES'!$A179="","",IF('ORDENES'!$AB179="","-",'ORDENES'!$AB179))</f>
        <v/>
      </c>
      <c r="G201" s="24">
        <f>IF('ORDENES'!$A179="","",IF('ORDENES'!$Z179="","-",'ORDENES'!$Z179))</f>
        <v/>
      </c>
      <c r="H201" s="24">
        <f>IF('ORDENES'!$A179="","",IF('ORDENES'!$AH179="","-",'ORDENES'!$AH179))</f>
        <v/>
      </c>
      <c r="I201" s="24">
        <f>IF('ORDENES'!$A179="","",IF('ORDENES'!$AU179="","-",'ORDENES'!$AU179))</f>
        <v/>
      </c>
      <c r="J201" s="24">
        <f>IF('ORDENES'!$A179="","",IF('ORDENES'!$D179="","-",'ORDENES'!$D179))</f>
        <v/>
      </c>
      <c r="K201" s="24">
        <f>IF('ORDENES'!$A179="","",IF('ORDENES'!$E179="","-",'ORDENES'!$E179))</f>
        <v/>
      </c>
      <c r="L201" s="26">
        <f>IF('ORDENES'!$A179="","",IF('ORDENES'!$M179="",0,'ORDENES'!$M179))</f>
        <v/>
      </c>
      <c r="M201" s="24">
        <f>IF('ORDENES'!$A179="","",IF('ORDENES'!$N179="","-",'ORDENES'!$N179))</f>
        <v/>
      </c>
      <c r="N201" s="24">
        <f>IF('ORDENES'!$A179="","",'ORDENES'!$AG179)</f>
        <v/>
      </c>
    </row>
    <row r="202">
      <c r="A202" s="24">
        <f>IF('ORDENES'!$A180="","",IF('ORDENES'!$O180="","-",'ORDENES'!$O180))</f>
        <v/>
      </c>
      <c r="B202" s="24">
        <f>IF('ORDENES'!$A180="","",IF('ORDENES'!$S180="","-",'ORDENES'!$S180))</f>
        <v/>
      </c>
      <c r="C202" s="24">
        <f>IF('ORDENES'!$A180="","",IF('ORDENES'!$AI180="","-",'ORDENES'!$AI180))</f>
        <v/>
      </c>
      <c r="D202" s="24">
        <f>IF('ORDENES'!$A180="","",IF('ORDENES'!$AA180="","-",'ORDENES'!$AA180))</f>
        <v/>
      </c>
      <c r="E202" s="24">
        <f>IF('ORDENES'!$A180="","",IF('ORDENES'!$Y180="","-",'ORDENES'!$Y180))</f>
        <v/>
      </c>
      <c r="F202" s="24">
        <f>IF('ORDENES'!$A180="","",IF('ORDENES'!$AB180="","-",'ORDENES'!$AB180))</f>
        <v/>
      </c>
      <c r="G202" s="24">
        <f>IF('ORDENES'!$A180="","",IF('ORDENES'!$Z180="","-",'ORDENES'!$Z180))</f>
        <v/>
      </c>
      <c r="H202" s="24">
        <f>IF('ORDENES'!$A180="","",IF('ORDENES'!$AH180="","-",'ORDENES'!$AH180))</f>
        <v/>
      </c>
      <c r="I202" s="24">
        <f>IF('ORDENES'!$A180="","",IF('ORDENES'!$AU180="","-",'ORDENES'!$AU180))</f>
        <v/>
      </c>
      <c r="J202" s="24">
        <f>IF('ORDENES'!$A180="","",IF('ORDENES'!$D180="","-",'ORDENES'!$D180))</f>
        <v/>
      </c>
      <c r="K202" s="24">
        <f>IF('ORDENES'!$A180="","",IF('ORDENES'!$E180="","-",'ORDENES'!$E180))</f>
        <v/>
      </c>
      <c r="L202" s="26">
        <f>IF('ORDENES'!$A180="","",IF('ORDENES'!$M180="",0,'ORDENES'!$M180))</f>
        <v/>
      </c>
      <c r="M202" s="24">
        <f>IF('ORDENES'!$A180="","",IF('ORDENES'!$N180="","-",'ORDENES'!$N180))</f>
        <v/>
      </c>
      <c r="N202" s="24">
        <f>IF('ORDENES'!$A180="","",'ORDENES'!$AG180)</f>
        <v/>
      </c>
    </row>
    <row r="203">
      <c r="A203" s="24">
        <f>IF('ORDENES'!$A181="","",IF('ORDENES'!$O181="","-",'ORDENES'!$O181))</f>
        <v/>
      </c>
      <c r="B203" s="24">
        <f>IF('ORDENES'!$A181="","",IF('ORDENES'!$S181="","-",'ORDENES'!$S181))</f>
        <v/>
      </c>
      <c r="C203" s="24">
        <f>IF('ORDENES'!$A181="","",IF('ORDENES'!$AI181="","-",'ORDENES'!$AI181))</f>
        <v/>
      </c>
      <c r="D203" s="24">
        <f>IF('ORDENES'!$A181="","",IF('ORDENES'!$AA181="","-",'ORDENES'!$AA181))</f>
        <v/>
      </c>
      <c r="E203" s="24">
        <f>IF('ORDENES'!$A181="","",IF('ORDENES'!$Y181="","-",'ORDENES'!$Y181))</f>
        <v/>
      </c>
      <c r="F203" s="24">
        <f>IF('ORDENES'!$A181="","",IF('ORDENES'!$AB181="","-",'ORDENES'!$AB181))</f>
        <v/>
      </c>
      <c r="G203" s="24">
        <f>IF('ORDENES'!$A181="","",IF('ORDENES'!$Z181="","-",'ORDENES'!$Z181))</f>
        <v/>
      </c>
      <c r="H203" s="24">
        <f>IF('ORDENES'!$A181="","",IF('ORDENES'!$AH181="","-",'ORDENES'!$AH181))</f>
        <v/>
      </c>
      <c r="I203" s="24">
        <f>IF('ORDENES'!$A181="","",IF('ORDENES'!$AU181="","-",'ORDENES'!$AU181))</f>
        <v/>
      </c>
      <c r="J203" s="24">
        <f>IF('ORDENES'!$A181="","",IF('ORDENES'!$D181="","-",'ORDENES'!$D181))</f>
        <v/>
      </c>
      <c r="K203" s="24">
        <f>IF('ORDENES'!$A181="","",IF('ORDENES'!$E181="","-",'ORDENES'!$E181))</f>
        <v/>
      </c>
      <c r="L203" s="26">
        <f>IF('ORDENES'!$A181="","",IF('ORDENES'!$M181="",0,'ORDENES'!$M181))</f>
        <v/>
      </c>
      <c r="M203" s="24">
        <f>IF('ORDENES'!$A181="","",IF('ORDENES'!$N181="","-",'ORDENES'!$N181))</f>
        <v/>
      </c>
      <c r="N203" s="24">
        <f>IF('ORDENES'!$A181="","",'ORDENES'!$AG181)</f>
        <v/>
      </c>
    </row>
    <row r="204">
      <c r="A204" s="24">
        <f>IF('ORDENES'!$A182="","",IF('ORDENES'!$O182="","-",'ORDENES'!$O182))</f>
        <v/>
      </c>
      <c r="B204" s="24">
        <f>IF('ORDENES'!$A182="","",IF('ORDENES'!$S182="","-",'ORDENES'!$S182))</f>
        <v/>
      </c>
      <c r="C204" s="24">
        <f>IF('ORDENES'!$A182="","",IF('ORDENES'!$AI182="","-",'ORDENES'!$AI182))</f>
        <v/>
      </c>
      <c r="D204" s="24">
        <f>IF('ORDENES'!$A182="","",IF('ORDENES'!$AA182="","-",'ORDENES'!$AA182))</f>
        <v/>
      </c>
      <c r="E204" s="24">
        <f>IF('ORDENES'!$A182="","",IF('ORDENES'!$Y182="","-",'ORDENES'!$Y182))</f>
        <v/>
      </c>
      <c r="F204" s="24">
        <f>IF('ORDENES'!$A182="","",IF('ORDENES'!$AB182="","-",'ORDENES'!$AB182))</f>
        <v/>
      </c>
      <c r="G204" s="24">
        <f>IF('ORDENES'!$A182="","",IF('ORDENES'!$Z182="","-",'ORDENES'!$Z182))</f>
        <v/>
      </c>
      <c r="H204" s="24">
        <f>IF('ORDENES'!$A182="","",IF('ORDENES'!$AH182="","-",'ORDENES'!$AH182))</f>
        <v/>
      </c>
      <c r="I204" s="24">
        <f>IF('ORDENES'!$A182="","",IF('ORDENES'!$AU182="","-",'ORDENES'!$AU182))</f>
        <v/>
      </c>
      <c r="J204" s="24">
        <f>IF('ORDENES'!$A182="","",IF('ORDENES'!$D182="","-",'ORDENES'!$D182))</f>
        <v/>
      </c>
      <c r="K204" s="24">
        <f>IF('ORDENES'!$A182="","",IF('ORDENES'!$E182="","-",'ORDENES'!$E182))</f>
        <v/>
      </c>
      <c r="L204" s="26">
        <f>IF('ORDENES'!$A182="","",IF('ORDENES'!$M182="",0,'ORDENES'!$M182))</f>
        <v/>
      </c>
      <c r="M204" s="24">
        <f>IF('ORDENES'!$A182="","",IF('ORDENES'!$N182="","-",'ORDENES'!$N182))</f>
        <v/>
      </c>
      <c r="N204" s="24">
        <f>IF('ORDENES'!$A182="","",'ORDENES'!$AG182)</f>
        <v/>
      </c>
    </row>
    <row r="205">
      <c r="A205" s="24">
        <f>IF('ORDENES'!$A183="","",IF('ORDENES'!$O183="","-",'ORDENES'!$O183))</f>
        <v/>
      </c>
      <c r="B205" s="24">
        <f>IF('ORDENES'!$A183="","",IF('ORDENES'!$S183="","-",'ORDENES'!$S183))</f>
        <v/>
      </c>
      <c r="C205" s="24">
        <f>IF('ORDENES'!$A183="","",IF('ORDENES'!$AI183="","-",'ORDENES'!$AI183))</f>
        <v/>
      </c>
      <c r="D205" s="24">
        <f>IF('ORDENES'!$A183="","",IF('ORDENES'!$AA183="","-",'ORDENES'!$AA183))</f>
        <v/>
      </c>
      <c r="E205" s="24">
        <f>IF('ORDENES'!$A183="","",IF('ORDENES'!$Y183="","-",'ORDENES'!$Y183))</f>
        <v/>
      </c>
      <c r="F205" s="24">
        <f>IF('ORDENES'!$A183="","",IF('ORDENES'!$AB183="","-",'ORDENES'!$AB183))</f>
        <v/>
      </c>
      <c r="G205" s="24">
        <f>IF('ORDENES'!$A183="","",IF('ORDENES'!$Z183="","-",'ORDENES'!$Z183))</f>
        <v/>
      </c>
      <c r="H205" s="24">
        <f>IF('ORDENES'!$A183="","",IF('ORDENES'!$AH183="","-",'ORDENES'!$AH183))</f>
        <v/>
      </c>
      <c r="I205" s="24">
        <f>IF('ORDENES'!$A183="","",IF('ORDENES'!$AU183="","-",'ORDENES'!$AU183))</f>
        <v/>
      </c>
      <c r="J205" s="24">
        <f>IF('ORDENES'!$A183="","",IF('ORDENES'!$D183="","-",'ORDENES'!$D183))</f>
        <v/>
      </c>
      <c r="K205" s="24">
        <f>IF('ORDENES'!$A183="","",IF('ORDENES'!$E183="","-",'ORDENES'!$E183))</f>
        <v/>
      </c>
      <c r="L205" s="26">
        <f>IF('ORDENES'!$A183="","",IF('ORDENES'!$M183="",0,'ORDENES'!$M183))</f>
        <v/>
      </c>
      <c r="M205" s="24">
        <f>IF('ORDENES'!$A183="","",IF('ORDENES'!$N183="","-",'ORDENES'!$N183))</f>
        <v/>
      </c>
      <c r="N205" s="24">
        <f>IF('ORDENES'!$A183="","",'ORDENES'!$AG183)</f>
        <v/>
      </c>
    </row>
    <row r="206">
      <c r="A206" s="24">
        <f>IF('ORDENES'!$A184="","",IF('ORDENES'!$O184="","-",'ORDENES'!$O184))</f>
        <v/>
      </c>
      <c r="B206" s="24">
        <f>IF('ORDENES'!$A184="","",IF('ORDENES'!$S184="","-",'ORDENES'!$S184))</f>
        <v/>
      </c>
      <c r="C206" s="24">
        <f>IF('ORDENES'!$A184="","",IF('ORDENES'!$AI184="","-",'ORDENES'!$AI184))</f>
        <v/>
      </c>
      <c r="D206" s="24">
        <f>IF('ORDENES'!$A184="","",IF('ORDENES'!$AA184="","-",'ORDENES'!$AA184))</f>
        <v/>
      </c>
      <c r="E206" s="24">
        <f>IF('ORDENES'!$A184="","",IF('ORDENES'!$Y184="","-",'ORDENES'!$Y184))</f>
        <v/>
      </c>
      <c r="F206" s="24">
        <f>IF('ORDENES'!$A184="","",IF('ORDENES'!$AB184="","-",'ORDENES'!$AB184))</f>
        <v/>
      </c>
      <c r="G206" s="24">
        <f>IF('ORDENES'!$A184="","",IF('ORDENES'!$Z184="","-",'ORDENES'!$Z184))</f>
        <v/>
      </c>
      <c r="H206" s="24">
        <f>IF('ORDENES'!$A184="","",IF('ORDENES'!$AH184="","-",'ORDENES'!$AH184))</f>
        <v/>
      </c>
      <c r="I206" s="24">
        <f>IF('ORDENES'!$A184="","",IF('ORDENES'!$AU184="","-",'ORDENES'!$AU184))</f>
        <v/>
      </c>
      <c r="J206" s="24">
        <f>IF('ORDENES'!$A184="","",IF('ORDENES'!$D184="","-",'ORDENES'!$D184))</f>
        <v/>
      </c>
      <c r="K206" s="24">
        <f>IF('ORDENES'!$A184="","",IF('ORDENES'!$E184="","-",'ORDENES'!$E184))</f>
        <v/>
      </c>
      <c r="L206" s="26">
        <f>IF('ORDENES'!$A184="","",IF('ORDENES'!$M184="",0,'ORDENES'!$M184))</f>
        <v/>
      </c>
      <c r="M206" s="24">
        <f>IF('ORDENES'!$A184="","",IF('ORDENES'!$N184="","-",'ORDENES'!$N184))</f>
        <v/>
      </c>
      <c r="N206" s="24">
        <f>IF('ORDENES'!$A184="","",'ORDENES'!$AG184)</f>
        <v/>
      </c>
    </row>
    <row r="207">
      <c r="A207" s="24">
        <f>IF('ORDENES'!$A185="","",IF('ORDENES'!$O185="","-",'ORDENES'!$O185))</f>
        <v/>
      </c>
      <c r="B207" s="24">
        <f>IF('ORDENES'!$A185="","",IF('ORDENES'!$S185="","-",'ORDENES'!$S185))</f>
        <v/>
      </c>
      <c r="C207" s="24">
        <f>IF('ORDENES'!$A185="","",IF('ORDENES'!$AI185="","-",'ORDENES'!$AI185))</f>
        <v/>
      </c>
      <c r="D207" s="24">
        <f>IF('ORDENES'!$A185="","",IF('ORDENES'!$AA185="","-",'ORDENES'!$AA185))</f>
        <v/>
      </c>
      <c r="E207" s="24">
        <f>IF('ORDENES'!$A185="","",IF('ORDENES'!$Y185="","-",'ORDENES'!$Y185))</f>
        <v/>
      </c>
      <c r="F207" s="24">
        <f>IF('ORDENES'!$A185="","",IF('ORDENES'!$AB185="","-",'ORDENES'!$AB185))</f>
        <v/>
      </c>
      <c r="G207" s="24">
        <f>IF('ORDENES'!$A185="","",IF('ORDENES'!$Z185="","-",'ORDENES'!$Z185))</f>
        <v/>
      </c>
      <c r="H207" s="24">
        <f>IF('ORDENES'!$A185="","",IF('ORDENES'!$AH185="","-",'ORDENES'!$AH185))</f>
        <v/>
      </c>
      <c r="I207" s="24">
        <f>IF('ORDENES'!$A185="","",IF('ORDENES'!$AU185="","-",'ORDENES'!$AU185))</f>
        <v/>
      </c>
      <c r="J207" s="24">
        <f>IF('ORDENES'!$A185="","",IF('ORDENES'!$D185="","-",'ORDENES'!$D185))</f>
        <v/>
      </c>
      <c r="K207" s="24">
        <f>IF('ORDENES'!$A185="","",IF('ORDENES'!$E185="","-",'ORDENES'!$E185))</f>
        <v/>
      </c>
      <c r="L207" s="26">
        <f>IF('ORDENES'!$A185="","",IF('ORDENES'!$M185="",0,'ORDENES'!$M185))</f>
        <v/>
      </c>
      <c r="M207" s="24">
        <f>IF('ORDENES'!$A185="","",IF('ORDENES'!$N185="","-",'ORDENES'!$N185))</f>
        <v/>
      </c>
      <c r="N207" s="24">
        <f>IF('ORDENES'!$A185="","",'ORDENES'!$AG185)</f>
        <v/>
      </c>
    </row>
    <row r="208">
      <c r="A208" s="24">
        <f>IF('ORDENES'!$A186="","",IF('ORDENES'!$O186="","-",'ORDENES'!$O186))</f>
        <v/>
      </c>
      <c r="B208" s="24">
        <f>IF('ORDENES'!$A186="","",IF('ORDENES'!$S186="","-",'ORDENES'!$S186))</f>
        <v/>
      </c>
      <c r="C208" s="24">
        <f>IF('ORDENES'!$A186="","",IF('ORDENES'!$AI186="","-",'ORDENES'!$AI186))</f>
        <v/>
      </c>
      <c r="D208" s="24">
        <f>IF('ORDENES'!$A186="","",IF('ORDENES'!$AA186="","-",'ORDENES'!$AA186))</f>
        <v/>
      </c>
      <c r="E208" s="24">
        <f>IF('ORDENES'!$A186="","",IF('ORDENES'!$Y186="","-",'ORDENES'!$Y186))</f>
        <v/>
      </c>
      <c r="F208" s="24">
        <f>IF('ORDENES'!$A186="","",IF('ORDENES'!$AB186="","-",'ORDENES'!$AB186))</f>
        <v/>
      </c>
      <c r="G208" s="24">
        <f>IF('ORDENES'!$A186="","",IF('ORDENES'!$Z186="","-",'ORDENES'!$Z186))</f>
        <v/>
      </c>
      <c r="H208" s="24">
        <f>IF('ORDENES'!$A186="","",IF('ORDENES'!$AH186="","-",'ORDENES'!$AH186))</f>
        <v/>
      </c>
      <c r="I208" s="24">
        <f>IF('ORDENES'!$A186="","",IF('ORDENES'!$AU186="","-",'ORDENES'!$AU186))</f>
        <v/>
      </c>
      <c r="J208" s="24">
        <f>IF('ORDENES'!$A186="","",IF('ORDENES'!$D186="","-",'ORDENES'!$D186))</f>
        <v/>
      </c>
      <c r="K208" s="24">
        <f>IF('ORDENES'!$A186="","",IF('ORDENES'!$E186="","-",'ORDENES'!$E186))</f>
        <v/>
      </c>
      <c r="L208" s="26">
        <f>IF('ORDENES'!$A186="","",IF('ORDENES'!$M186="",0,'ORDENES'!$M186))</f>
        <v/>
      </c>
      <c r="M208" s="24">
        <f>IF('ORDENES'!$A186="","",IF('ORDENES'!$N186="","-",'ORDENES'!$N186))</f>
        <v/>
      </c>
      <c r="N208" s="24">
        <f>IF('ORDENES'!$A186="","",'ORDENES'!$AG186)</f>
        <v/>
      </c>
    </row>
    <row r="209">
      <c r="A209" s="24">
        <f>IF('ORDENES'!$A187="","",IF('ORDENES'!$O187="","-",'ORDENES'!$O187))</f>
        <v/>
      </c>
      <c r="B209" s="24">
        <f>IF('ORDENES'!$A187="","",IF('ORDENES'!$S187="","-",'ORDENES'!$S187))</f>
        <v/>
      </c>
      <c r="C209" s="24">
        <f>IF('ORDENES'!$A187="","",IF('ORDENES'!$AI187="","-",'ORDENES'!$AI187))</f>
        <v/>
      </c>
      <c r="D209" s="24">
        <f>IF('ORDENES'!$A187="","",IF('ORDENES'!$AA187="","-",'ORDENES'!$AA187))</f>
        <v/>
      </c>
      <c r="E209" s="24">
        <f>IF('ORDENES'!$A187="","",IF('ORDENES'!$Y187="","-",'ORDENES'!$Y187))</f>
        <v/>
      </c>
      <c r="F209" s="24">
        <f>IF('ORDENES'!$A187="","",IF('ORDENES'!$AB187="","-",'ORDENES'!$AB187))</f>
        <v/>
      </c>
      <c r="G209" s="24">
        <f>IF('ORDENES'!$A187="","",IF('ORDENES'!$Z187="","-",'ORDENES'!$Z187))</f>
        <v/>
      </c>
      <c r="H209" s="24">
        <f>IF('ORDENES'!$A187="","",IF('ORDENES'!$AH187="","-",'ORDENES'!$AH187))</f>
        <v/>
      </c>
      <c r="I209" s="24">
        <f>IF('ORDENES'!$A187="","",IF('ORDENES'!$AU187="","-",'ORDENES'!$AU187))</f>
        <v/>
      </c>
      <c r="J209" s="24">
        <f>IF('ORDENES'!$A187="","",IF('ORDENES'!$D187="","-",'ORDENES'!$D187))</f>
        <v/>
      </c>
      <c r="K209" s="24">
        <f>IF('ORDENES'!$A187="","",IF('ORDENES'!$E187="","-",'ORDENES'!$E187))</f>
        <v/>
      </c>
      <c r="L209" s="26">
        <f>IF('ORDENES'!$A187="","",IF('ORDENES'!$M187="",0,'ORDENES'!$M187))</f>
        <v/>
      </c>
      <c r="M209" s="24">
        <f>IF('ORDENES'!$A187="","",IF('ORDENES'!$N187="","-",'ORDENES'!$N187))</f>
        <v/>
      </c>
      <c r="N209" s="24">
        <f>IF('ORDENES'!$A187="","",'ORDENES'!$AG187)</f>
        <v/>
      </c>
    </row>
    <row r="210">
      <c r="A210" s="24">
        <f>IF('ORDENES'!$A188="","",IF('ORDENES'!$O188="","-",'ORDENES'!$O188))</f>
        <v/>
      </c>
      <c r="B210" s="24">
        <f>IF('ORDENES'!$A188="","",IF('ORDENES'!$S188="","-",'ORDENES'!$S188))</f>
        <v/>
      </c>
      <c r="C210" s="24">
        <f>IF('ORDENES'!$A188="","",IF('ORDENES'!$AI188="","-",'ORDENES'!$AI188))</f>
        <v/>
      </c>
      <c r="D210" s="24">
        <f>IF('ORDENES'!$A188="","",IF('ORDENES'!$AA188="","-",'ORDENES'!$AA188))</f>
        <v/>
      </c>
      <c r="E210" s="24">
        <f>IF('ORDENES'!$A188="","",IF('ORDENES'!$Y188="","-",'ORDENES'!$Y188))</f>
        <v/>
      </c>
      <c r="F210" s="24">
        <f>IF('ORDENES'!$A188="","",IF('ORDENES'!$AB188="","-",'ORDENES'!$AB188))</f>
        <v/>
      </c>
      <c r="G210" s="24">
        <f>IF('ORDENES'!$A188="","",IF('ORDENES'!$Z188="","-",'ORDENES'!$Z188))</f>
        <v/>
      </c>
      <c r="H210" s="24">
        <f>IF('ORDENES'!$A188="","",IF('ORDENES'!$AH188="","-",'ORDENES'!$AH188))</f>
        <v/>
      </c>
      <c r="I210" s="24">
        <f>IF('ORDENES'!$A188="","",IF('ORDENES'!$AU188="","-",'ORDENES'!$AU188))</f>
        <v/>
      </c>
      <c r="J210" s="24">
        <f>IF('ORDENES'!$A188="","",IF('ORDENES'!$D188="","-",'ORDENES'!$D188))</f>
        <v/>
      </c>
      <c r="K210" s="24">
        <f>IF('ORDENES'!$A188="","",IF('ORDENES'!$E188="","-",'ORDENES'!$E188))</f>
        <v/>
      </c>
      <c r="L210" s="26">
        <f>IF('ORDENES'!$A188="","",IF('ORDENES'!$M188="",0,'ORDENES'!$M188))</f>
        <v/>
      </c>
      <c r="M210" s="24">
        <f>IF('ORDENES'!$A188="","",IF('ORDENES'!$N188="","-",'ORDENES'!$N188))</f>
        <v/>
      </c>
      <c r="N210" s="24">
        <f>IF('ORDENES'!$A188="","",'ORDENES'!$AG188)</f>
        <v/>
      </c>
    </row>
    <row r="211">
      <c r="A211" s="24">
        <f>IF('ORDENES'!$A189="","",IF('ORDENES'!$O189="","-",'ORDENES'!$O189))</f>
        <v/>
      </c>
      <c r="B211" s="24">
        <f>IF('ORDENES'!$A189="","",IF('ORDENES'!$S189="","-",'ORDENES'!$S189))</f>
        <v/>
      </c>
      <c r="C211" s="24">
        <f>IF('ORDENES'!$A189="","",IF('ORDENES'!$AI189="","-",'ORDENES'!$AI189))</f>
        <v/>
      </c>
      <c r="D211" s="24">
        <f>IF('ORDENES'!$A189="","",IF('ORDENES'!$AA189="","-",'ORDENES'!$AA189))</f>
        <v/>
      </c>
      <c r="E211" s="24">
        <f>IF('ORDENES'!$A189="","",IF('ORDENES'!$Y189="","-",'ORDENES'!$Y189))</f>
        <v/>
      </c>
      <c r="F211" s="24">
        <f>IF('ORDENES'!$A189="","",IF('ORDENES'!$AB189="","-",'ORDENES'!$AB189))</f>
        <v/>
      </c>
      <c r="G211" s="24">
        <f>IF('ORDENES'!$A189="","",IF('ORDENES'!$Z189="","-",'ORDENES'!$Z189))</f>
        <v/>
      </c>
      <c r="H211" s="24">
        <f>IF('ORDENES'!$A189="","",IF('ORDENES'!$AH189="","-",'ORDENES'!$AH189))</f>
        <v/>
      </c>
      <c r="I211" s="24">
        <f>IF('ORDENES'!$A189="","",IF('ORDENES'!$AU189="","-",'ORDENES'!$AU189))</f>
        <v/>
      </c>
      <c r="J211" s="24">
        <f>IF('ORDENES'!$A189="","",IF('ORDENES'!$D189="","-",'ORDENES'!$D189))</f>
        <v/>
      </c>
      <c r="K211" s="24">
        <f>IF('ORDENES'!$A189="","",IF('ORDENES'!$E189="","-",'ORDENES'!$E189))</f>
        <v/>
      </c>
      <c r="L211" s="26">
        <f>IF('ORDENES'!$A189="","",IF('ORDENES'!$M189="",0,'ORDENES'!$M189))</f>
        <v/>
      </c>
      <c r="M211" s="24">
        <f>IF('ORDENES'!$A189="","",IF('ORDENES'!$N189="","-",'ORDENES'!$N189))</f>
        <v/>
      </c>
      <c r="N211" s="24">
        <f>IF('ORDENES'!$A189="","",'ORDENES'!$AG189)</f>
        <v/>
      </c>
    </row>
    <row r="212">
      <c r="A212" s="24">
        <f>IF('ORDENES'!$A190="","",IF('ORDENES'!$O190="","-",'ORDENES'!$O190))</f>
        <v/>
      </c>
      <c r="B212" s="24">
        <f>IF('ORDENES'!$A190="","",IF('ORDENES'!$S190="","-",'ORDENES'!$S190))</f>
        <v/>
      </c>
      <c r="C212" s="24">
        <f>IF('ORDENES'!$A190="","",IF('ORDENES'!$AI190="","-",'ORDENES'!$AI190))</f>
        <v/>
      </c>
      <c r="D212" s="24">
        <f>IF('ORDENES'!$A190="","",IF('ORDENES'!$AA190="","-",'ORDENES'!$AA190))</f>
        <v/>
      </c>
      <c r="E212" s="24">
        <f>IF('ORDENES'!$A190="","",IF('ORDENES'!$Y190="","-",'ORDENES'!$Y190))</f>
        <v/>
      </c>
      <c r="F212" s="24">
        <f>IF('ORDENES'!$A190="","",IF('ORDENES'!$AB190="","-",'ORDENES'!$AB190))</f>
        <v/>
      </c>
      <c r="G212" s="24">
        <f>IF('ORDENES'!$A190="","",IF('ORDENES'!$Z190="","-",'ORDENES'!$Z190))</f>
        <v/>
      </c>
      <c r="H212" s="24">
        <f>IF('ORDENES'!$A190="","",IF('ORDENES'!$AH190="","-",'ORDENES'!$AH190))</f>
        <v/>
      </c>
      <c r="I212" s="24">
        <f>IF('ORDENES'!$A190="","",IF('ORDENES'!$AU190="","-",'ORDENES'!$AU190))</f>
        <v/>
      </c>
      <c r="J212" s="24">
        <f>IF('ORDENES'!$A190="","",IF('ORDENES'!$D190="","-",'ORDENES'!$D190))</f>
        <v/>
      </c>
      <c r="K212" s="24">
        <f>IF('ORDENES'!$A190="","",IF('ORDENES'!$E190="","-",'ORDENES'!$E190))</f>
        <v/>
      </c>
      <c r="L212" s="26">
        <f>IF('ORDENES'!$A190="","",IF('ORDENES'!$M190="",0,'ORDENES'!$M190))</f>
        <v/>
      </c>
      <c r="M212" s="24">
        <f>IF('ORDENES'!$A190="","",IF('ORDENES'!$N190="","-",'ORDENES'!$N190))</f>
        <v/>
      </c>
      <c r="N212" s="24">
        <f>IF('ORDENES'!$A190="","",'ORDENES'!$AG190)</f>
        <v/>
      </c>
    </row>
    <row r="213">
      <c r="A213" s="24">
        <f>IF('ORDENES'!$A191="","",IF('ORDENES'!$O191="","-",'ORDENES'!$O191))</f>
        <v/>
      </c>
      <c r="B213" s="24">
        <f>IF('ORDENES'!$A191="","",IF('ORDENES'!$S191="","-",'ORDENES'!$S191))</f>
        <v/>
      </c>
      <c r="C213" s="24">
        <f>IF('ORDENES'!$A191="","",IF('ORDENES'!$AI191="","-",'ORDENES'!$AI191))</f>
        <v/>
      </c>
      <c r="D213" s="24">
        <f>IF('ORDENES'!$A191="","",IF('ORDENES'!$AA191="","-",'ORDENES'!$AA191))</f>
        <v/>
      </c>
      <c r="E213" s="24">
        <f>IF('ORDENES'!$A191="","",IF('ORDENES'!$Y191="","-",'ORDENES'!$Y191))</f>
        <v/>
      </c>
      <c r="F213" s="24">
        <f>IF('ORDENES'!$A191="","",IF('ORDENES'!$AB191="","-",'ORDENES'!$AB191))</f>
        <v/>
      </c>
      <c r="G213" s="24">
        <f>IF('ORDENES'!$A191="","",IF('ORDENES'!$Z191="","-",'ORDENES'!$Z191))</f>
        <v/>
      </c>
      <c r="H213" s="24">
        <f>IF('ORDENES'!$A191="","",IF('ORDENES'!$AH191="","-",'ORDENES'!$AH191))</f>
        <v/>
      </c>
      <c r="I213" s="24">
        <f>IF('ORDENES'!$A191="","",IF('ORDENES'!$AU191="","-",'ORDENES'!$AU191))</f>
        <v/>
      </c>
      <c r="J213" s="24">
        <f>IF('ORDENES'!$A191="","",IF('ORDENES'!$D191="","-",'ORDENES'!$D191))</f>
        <v/>
      </c>
      <c r="K213" s="24">
        <f>IF('ORDENES'!$A191="","",IF('ORDENES'!$E191="","-",'ORDENES'!$E191))</f>
        <v/>
      </c>
      <c r="L213" s="26">
        <f>IF('ORDENES'!$A191="","",IF('ORDENES'!$M191="",0,'ORDENES'!$M191))</f>
        <v/>
      </c>
      <c r="M213" s="24">
        <f>IF('ORDENES'!$A191="","",IF('ORDENES'!$N191="","-",'ORDENES'!$N191))</f>
        <v/>
      </c>
      <c r="N213" s="24">
        <f>IF('ORDENES'!$A191="","",'ORDENES'!$AG191)</f>
        <v/>
      </c>
    </row>
    <row r="214">
      <c r="A214" s="24">
        <f>IF('ORDENES'!$A192="","",IF('ORDENES'!$O192="","-",'ORDENES'!$O192))</f>
        <v/>
      </c>
      <c r="B214" s="24">
        <f>IF('ORDENES'!$A192="","",IF('ORDENES'!$S192="","-",'ORDENES'!$S192))</f>
        <v/>
      </c>
      <c r="C214" s="24">
        <f>IF('ORDENES'!$A192="","",IF('ORDENES'!$AI192="","-",'ORDENES'!$AI192))</f>
        <v/>
      </c>
      <c r="D214" s="24">
        <f>IF('ORDENES'!$A192="","",IF('ORDENES'!$AA192="","-",'ORDENES'!$AA192))</f>
        <v/>
      </c>
      <c r="E214" s="24">
        <f>IF('ORDENES'!$A192="","",IF('ORDENES'!$Y192="","-",'ORDENES'!$Y192))</f>
        <v/>
      </c>
      <c r="F214" s="24">
        <f>IF('ORDENES'!$A192="","",IF('ORDENES'!$AB192="","-",'ORDENES'!$AB192))</f>
        <v/>
      </c>
      <c r="G214" s="24">
        <f>IF('ORDENES'!$A192="","",IF('ORDENES'!$Z192="","-",'ORDENES'!$Z192))</f>
        <v/>
      </c>
      <c r="H214" s="24">
        <f>IF('ORDENES'!$A192="","",IF('ORDENES'!$AH192="","-",'ORDENES'!$AH192))</f>
        <v/>
      </c>
      <c r="I214" s="24">
        <f>IF('ORDENES'!$A192="","",IF('ORDENES'!$AU192="","-",'ORDENES'!$AU192))</f>
        <v/>
      </c>
      <c r="J214" s="24">
        <f>IF('ORDENES'!$A192="","",IF('ORDENES'!$D192="","-",'ORDENES'!$D192))</f>
        <v/>
      </c>
      <c r="K214" s="24">
        <f>IF('ORDENES'!$A192="","",IF('ORDENES'!$E192="","-",'ORDENES'!$E192))</f>
        <v/>
      </c>
      <c r="L214" s="26">
        <f>IF('ORDENES'!$A192="","",IF('ORDENES'!$M192="",0,'ORDENES'!$M192))</f>
        <v/>
      </c>
      <c r="M214" s="24">
        <f>IF('ORDENES'!$A192="","",IF('ORDENES'!$N192="","-",'ORDENES'!$N192))</f>
        <v/>
      </c>
      <c r="N214" s="24">
        <f>IF('ORDENES'!$A192="","",'ORDENES'!$AG192)</f>
        <v/>
      </c>
    </row>
    <row r="215">
      <c r="A215" s="24">
        <f>IF('ORDENES'!$A193="","",IF('ORDENES'!$O193="","-",'ORDENES'!$O193))</f>
        <v/>
      </c>
      <c r="B215" s="24">
        <f>IF('ORDENES'!$A193="","",IF('ORDENES'!$S193="","-",'ORDENES'!$S193))</f>
        <v/>
      </c>
      <c r="C215" s="24">
        <f>IF('ORDENES'!$A193="","",IF('ORDENES'!$AI193="","-",'ORDENES'!$AI193))</f>
        <v/>
      </c>
      <c r="D215" s="24">
        <f>IF('ORDENES'!$A193="","",IF('ORDENES'!$AA193="","-",'ORDENES'!$AA193))</f>
        <v/>
      </c>
      <c r="E215" s="24">
        <f>IF('ORDENES'!$A193="","",IF('ORDENES'!$Y193="","-",'ORDENES'!$Y193))</f>
        <v/>
      </c>
      <c r="F215" s="24">
        <f>IF('ORDENES'!$A193="","",IF('ORDENES'!$AB193="","-",'ORDENES'!$AB193))</f>
        <v/>
      </c>
      <c r="G215" s="24">
        <f>IF('ORDENES'!$A193="","",IF('ORDENES'!$Z193="","-",'ORDENES'!$Z193))</f>
        <v/>
      </c>
      <c r="H215" s="24">
        <f>IF('ORDENES'!$A193="","",IF('ORDENES'!$AH193="","-",'ORDENES'!$AH193))</f>
        <v/>
      </c>
      <c r="I215" s="24">
        <f>IF('ORDENES'!$A193="","",IF('ORDENES'!$AU193="","-",'ORDENES'!$AU193))</f>
        <v/>
      </c>
      <c r="J215" s="24">
        <f>IF('ORDENES'!$A193="","",IF('ORDENES'!$D193="","-",'ORDENES'!$D193))</f>
        <v/>
      </c>
      <c r="K215" s="24">
        <f>IF('ORDENES'!$A193="","",IF('ORDENES'!$E193="","-",'ORDENES'!$E193))</f>
        <v/>
      </c>
      <c r="L215" s="26">
        <f>IF('ORDENES'!$A193="","",IF('ORDENES'!$M193="",0,'ORDENES'!$M193))</f>
        <v/>
      </c>
      <c r="M215" s="24">
        <f>IF('ORDENES'!$A193="","",IF('ORDENES'!$N193="","-",'ORDENES'!$N193))</f>
        <v/>
      </c>
      <c r="N215" s="24">
        <f>IF('ORDENES'!$A193="","",'ORDENES'!$AG193)</f>
        <v/>
      </c>
    </row>
    <row r="216">
      <c r="A216" s="24">
        <f>IF('ORDENES'!$A194="","",IF('ORDENES'!$O194="","-",'ORDENES'!$O194))</f>
        <v/>
      </c>
      <c r="B216" s="24">
        <f>IF('ORDENES'!$A194="","",IF('ORDENES'!$S194="","-",'ORDENES'!$S194))</f>
        <v/>
      </c>
      <c r="C216" s="24">
        <f>IF('ORDENES'!$A194="","",IF('ORDENES'!$AI194="","-",'ORDENES'!$AI194))</f>
        <v/>
      </c>
      <c r="D216" s="24">
        <f>IF('ORDENES'!$A194="","",IF('ORDENES'!$AA194="","-",'ORDENES'!$AA194))</f>
        <v/>
      </c>
      <c r="E216" s="24">
        <f>IF('ORDENES'!$A194="","",IF('ORDENES'!$Y194="","-",'ORDENES'!$Y194))</f>
        <v/>
      </c>
      <c r="F216" s="24">
        <f>IF('ORDENES'!$A194="","",IF('ORDENES'!$AB194="","-",'ORDENES'!$AB194))</f>
        <v/>
      </c>
      <c r="G216" s="24">
        <f>IF('ORDENES'!$A194="","",IF('ORDENES'!$Z194="","-",'ORDENES'!$Z194))</f>
        <v/>
      </c>
      <c r="H216" s="24">
        <f>IF('ORDENES'!$A194="","",IF('ORDENES'!$AH194="","-",'ORDENES'!$AH194))</f>
        <v/>
      </c>
      <c r="I216" s="24">
        <f>IF('ORDENES'!$A194="","",IF('ORDENES'!$AU194="","-",'ORDENES'!$AU194))</f>
        <v/>
      </c>
      <c r="J216" s="24">
        <f>IF('ORDENES'!$A194="","",IF('ORDENES'!$D194="","-",'ORDENES'!$D194))</f>
        <v/>
      </c>
      <c r="K216" s="24">
        <f>IF('ORDENES'!$A194="","",IF('ORDENES'!$E194="","-",'ORDENES'!$E194))</f>
        <v/>
      </c>
      <c r="L216" s="26">
        <f>IF('ORDENES'!$A194="","",IF('ORDENES'!$M194="",0,'ORDENES'!$M194))</f>
        <v/>
      </c>
      <c r="M216" s="24">
        <f>IF('ORDENES'!$A194="","",IF('ORDENES'!$N194="","-",'ORDENES'!$N194))</f>
        <v/>
      </c>
      <c r="N216" s="24">
        <f>IF('ORDENES'!$A194="","",'ORDENES'!$AG194)</f>
        <v/>
      </c>
    </row>
    <row r="217">
      <c r="A217" s="24">
        <f>IF('ORDENES'!$A195="","",IF('ORDENES'!$O195="","-",'ORDENES'!$O195))</f>
        <v/>
      </c>
      <c r="B217" s="24">
        <f>IF('ORDENES'!$A195="","",IF('ORDENES'!$S195="","-",'ORDENES'!$S195))</f>
        <v/>
      </c>
      <c r="C217" s="24">
        <f>IF('ORDENES'!$A195="","",IF('ORDENES'!$AI195="","-",'ORDENES'!$AI195))</f>
        <v/>
      </c>
      <c r="D217" s="24">
        <f>IF('ORDENES'!$A195="","",IF('ORDENES'!$AA195="","-",'ORDENES'!$AA195))</f>
        <v/>
      </c>
      <c r="E217" s="24">
        <f>IF('ORDENES'!$A195="","",IF('ORDENES'!$Y195="","-",'ORDENES'!$Y195))</f>
        <v/>
      </c>
      <c r="F217" s="24">
        <f>IF('ORDENES'!$A195="","",IF('ORDENES'!$AB195="","-",'ORDENES'!$AB195))</f>
        <v/>
      </c>
      <c r="G217" s="24">
        <f>IF('ORDENES'!$A195="","",IF('ORDENES'!$Z195="","-",'ORDENES'!$Z195))</f>
        <v/>
      </c>
      <c r="H217" s="24">
        <f>IF('ORDENES'!$A195="","",IF('ORDENES'!$AH195="","-",'ORDENES'!$AH195))</f>
        <v/>
      </c>
      <c r="I217" s="24">
        <f>IF('ORDENES'!$A195="","",IF('ORDENES'!$AU195="","-",'ORDENES'!$AU195))</f>
        <v/>
      </c>
      <c r="J217" s="24">
        <f>IF('ORDENES'!$A195="","",IF('ORDENES'!$D195="","-",'ORDENES'!$D195))</f>
        <v/>
      </c>
      <c r="K217" s="24">
        <f>IF('ORDENES'!$A195="","",IF('ORDENES'!$E195="","-",'ORDENES'!$E195))</f>
        <v/>
      </c>
      <c r="L217" s="26">
        <f>IF('ORDENES'!$A195="","",IF('ORDENES'!$M195="",0,'ORDENES'!$M195))</f>
        <v/>
      </c>
      <c r="M217" s="24">
        <f>IF('ORDENES'!$A195="","",IF('ORDENES'!$N195="","-",'ORDENES'!$N195))</f>
        <v/>
      </c>
      <c r="N217" s="24">
        <f>IF('ORDENES'!$A195="","",'ORDENES'!$AG195)</f>
        <v/>
      </c>
    </row>
    <row r="218">
      <c r="A218" s="24">
        <f>IF('ORDENES'!$A196="","",IF('ORDENES'!$O196="","-",'ORDENES'!$O196))</f>
        <v/>
      </c>
      <c r="B218" s="24">
        <f>IF('ORDENES'!$A196="","",IF('ORDENES'!$S196="","-",'ORDENES'!$S196))</f>
        <v/>
      </c>
      <c r="C218" s="24">
        <f>IF('ORDENES'!$A196="","",IF('ORDENES'!$AI196="","-",'ORDENES'!$AI196))</f>
        <v/>
      </c>
      <c r="D218" s="24">
        <f>IF('ORDENES'!$A196="","",IF('ORDENES'!$AA196="","-",'ORDENES'!$AA196))</f>
        <v/>
      </c>
      <c r="E218" s="24">
        <f>IF('ORDENES'!$A196="","",IF('ORDENES'!$Y196="","-",'ORDENES'!$Y196))</f>
        <v/>
      </c>
      <c r="F218" s="24">
        <f>IF('ORDENES'!$A196="","",IF('ORDENES'!$AB196="","-",'ORDENES'!$AB196))</f>
        <v/>
      </c>
      <c r="G218" s="24">
        <f>IF('ORDENES'!$A196="","",IF('ORDENES'!$Z196="","-",'ORDENES'!$Z196))</f>
        <v/>
      </c>
      <c r="H218" s="24">
        <f>IF('ORDENES'!$A196="","",IF('ORDENES'!$AH196="","-",'ORDENES'!$AH196))</f>
        <v/>
      </c>
      <c r="I218" s="24">
        <f>IF('ORDENES'!$A196="","",IF('ORDENES'!$AU196="","-",'ORDENES'!$AU196))</f>
        <v/>
      </c>
      <c r="J218" s="24">
        <f>IF('ORDENES'!$A196="","",IF('ORDENES'!$D196="","-",'ORDENES'!$D196))</f>
        <v/>
      </c>
      <c r="K218" s="24">
        <f>IF('ORDENES'!$A196="","",IF('ORDENES'!$E196="","-",'ORDENES'!$E196))</f>
        <v/>
      </c>
      <c r="L218" s="26">
        <f>IF('ORDENES'!$A196="","",IF('ORDENES'!$M196="",0,'ORDENES'!$M196))</f>
        <v/>
      </c>
      <c r="M218" s="24">
        <f>IF('ORDENES'!$A196="","",IF('ORDENES'!$N196="","-",'ORDENES'!$N196))</f>
        <v/>
      </c>
      <c r="N218" s="24">
        <f>IF('ORDENES'!$A196="","",'ORDENES'!$AG196)</f>
        <v/>
      </c>
    </row>
    <row r="219">
      <c r="A219" s="24">
        <f>IF('ORDENES'!$A197="","",IF('ORDENES'!$O197="","-",'ORDENES'!$O197))</f>
        <v/>
      </c>
      <c r="B219" s="24">
        <f>IF('ORDENES'!$A197="","",IF('ORDENES'!$S197="","-",'ORDENES'!$S197))</f>
        <v/>
      </c>
      <c r="C219" s="24">
        <f>IF('ORDENES'!$A197="","",IF('ORDENES'!$AI197="","-",'ORDENES'!$AI197))</f>
        <v/>
      </c>
      <c r="D219" s="24">
        <f>IF('ORDENES'!$A197="","",IF('ORDENES'!$AA197="","-",'ORDENES'!$AA197))</f>
        <v/>
      </c>
      <c r="E219" s="24">
        <f>IF('ORDENES'!$A197="","",IF('ORDENES'!$Y197="","-",'ORDENES'!$Y197))</f>
        <v/>
      </c>
      <c r="F219" s="24">
        <f>IF('ORDENES'!$A197="","",IF('ORDENES'!$AB197="","-",'ORDENES'!$AB197))</f>
        <v/>
      </c>
      <c r="G219" s="24">
        <f>IF('ORDENES'!$A197="","",IF('ORDENES'!$Z197="","-",'ORDENES'!$Z197))</f>
        <v/>
      </c>
      <c r="H219" s="24">
        <f>IF('ORDENES'!$A197="","",IF('ORDENES'!$AH197="","-",'ORDENES'!$AH197))</f>
        <v/>
      </c>
      <c r="I219" s="24">
        <f>IF('ORDENES'!$A197="","",IF('ORDENES'!$AU197="","-",'ORDENES'!$AU197))</f>
        <v/>
      </c>
      <c r="J219" s="24">
        <f>IF('ORDENES'!$A197="","",IF('ORDENES'!$D197="","-",'ORDENES'!$D197))</f>
        <v/>
      </c>
      <c r="K219" s="24">
        <f>IF('ORDENES'!$A197="","",IF('ORDENES'!$E197="","-",'ORDENES'!$E197))</f>
        <v/>
      </c>
      <c r="L219" s="26">
        <f>IF('ORDENES'!$A197="","",IF('ORDENES'!$M197="",0,'ORDENES'!$M197))</f>
        <v/>
      </c>
      <c r="M219" s="24">
        <f>IF('ORDENES'!$A197="","",IF('ORDENES'!$N197="","-",'ORDENES'!$N197))</f>
        <v/>
      </c>
      <c r="N219" s="24">
        <f>IF('ORDENES'!$A197="","",'ORDENES'!$AG197)</f>
        <v/>
      </c>
    </row>
    <row r="220">
      <c r="A220" s="24">
        <f>IF('ORDENES'!$A198="","",IF('ORDENES'!$O198="","-",'ORDENES'!$O198))</f>
        <v/>
      </c>
      <c r="B220" s="24">
        <f>IF('ORDENES'!$A198="","",IF('ORDENES'!$S198="","-",'ORDENES'!$S198))</f>
        <v/>
      </c>
      <c r="C220" s="24">
        <f>IF('ORDENES'!$A198="","",IF('ORDENES'!$AI198="","-",'ORDENES'!$AI198))</f>
        <v/>
      </c>
      <c r="D220" s="24">
        <f>IF('ORDENES'!$A198="","",IF('ORDENES'!$AA198="","-",'ORDENES'!$AA198))</f>
        <v/>
      </c>
      <c r="E220" s="24">
        <f>IF('ORDENES'!$A198="","",IF('ORDENES'!$Y198="","-",'ORDENES'!$Y198))</f>
        <v/>
      </c>
      <c r="F220" s="24">
        <f>IF('ORDENES'!$A198="","",IF('ORDENES'!$AB198="","-",'ORDENES'!$AB198))</f>
        <v/>
      </c>
      <c r="G220" s="24">
        <f>IF('ORDENES'!$A198="","",IF('ORDENES'!$Z198="","-",'ORDENES'!$Z198))</f>
        <v/>
      </c>
      <c r="H220" s="24">
        <f>IF('ORDENES'!$A198="","",IF('ORDENES'!$AH198="","-",'ORDENES'!$AH198))</f>
        <v/>
      </c>
      <c r="I220" s="24">
        <f>IF('ORDENES'!$A198="","",IF('ORDENES'!$AU198="","-",'ORDENES'!$AU198))</f>
        <v/>
      </c>
      <c r="J220" s="24">
        <f>IF('ORDENES'!$A198="","",IF('ORDENES'!$D198="","-",'ORDENES'!$D198))</f>
        <v/>
      </c>
      <c r="K220" s="24">
        <f>IF('ORDENES'!$A198="","",IF('ORDENES'!$E198="","-",'ORDENES'!$E198))</f>
        <v/>
      </c>
      <c r="L220" s="26">
        <f>IF('ORDENES'!$A198="","",IF('ORDENES'!$M198="",0,'ORDENES'!$M198))</f>
        <v/>
      </c>
      <c r="M220" s="24">
        <f>IF('ORDENES'!$A198="","",IF('ORDENES'!$N198="","-",'ORDENES'!$N198))</f>
        <v/>
      </c>
      <c r="N220" s="24">
        <f>IF('ORDENES'!$A198="","",'ORDENES'!$AG198)</f>
        <v/>
      </c>
    </row>
    <row r="221">
      <c r="A221" s="24">
        <f>IF('ORDENES'!$A199="","",IF('ORDENES'!$O199="","-",'ORDENES'!$O199))</f>
        <v/>
      </c>
      <c r="B221" s="24">
        <f>IF('ORDENES'!$A199="","",IF('ORDENES'!$S199="","-",'ORDENES'!$S199))</f>
        <v/>
      </c>
      <c r="C221" s="24">
        <f>IF('ORDENES'!$A199="","",IF('ORDENES'!$AI199="","-",'ORDENES'!$AI199))</f>
        <v/>
      </c>
      <c r="D221" s="24">
        <f>IF('ORDENES'!$A199="","",IF('ORDENES'!$AA199="","-",'ORDENES'!$AA199))</f>
        <v/>
      </c>
      <c r="E221" s="24">
        <f>IF('ORDENES'!$A199="","",IF('ORDENES'!$Y199="","-",'ORDENES'!$Y199))</f>
        <v/>
      </c>
      <c r="F221" s="24">
        <f>IF('ORDENES'!$A199="","",IF('ORDENES'!$AB199="","-",'ORDENES'!$AB199))</f>
        <v/>
      </c>
      <c r="G221" s="24">
        <f>IF('ORDENES'!$A199="","",IF('ORDENES'!$Z199="","-",'ORDENES'!$Z199))</f>
        <v/>
      </c>
      <c r="H221" s="24">
        <f>IF('ORDENES'!$A199="","",IF('ORDENES'!$AH199="","-",'ORDENES'!$AH199))</f>
        <v/>
      </c>
      <c r="I221" s="24">
        <f>IF('ORDENES'!$A199="","",IF('ORDENES'!$AU199="","-",'ORDENES'!$AU199))</f>
        <v/>
      </c>
      <c r="J221" s="24">
        <f>IF('ORDENES'!$A199="","",IF('ORDENES'!$D199="","-",'ORDENES'!$D199))</f>
        <v/>
      </c>
      <c r="K221" s="24">
        <f>IF('ORDENES'!$A199="","",IF('ORDENES'!$E199="","-",'ORDENES'!$E199))</f>
        <v/>
      </c>
      <c r="L221" s="26">
        <f>IF('ORDENES'!$A199="","",IF('ORDENES'!$M199="",0,'ORDENES'!$M199))</f>
        <v/>
      </c>
      <c r="M221" s="24">
        <f>IF('ORDENES'!$A199="","",IF('ORDENES'!$N199="","-",'ORDENES'!$N199))</f>
        <v/>
      </c>
      <c r="N221" s="24">
        <f>IF('ORDENES'!$A199="","",'ORDENES'!$AG199)</f>
        <v/>
      </c>
    </row>
    <row r="222">
      <c r="A222" s="24">
        <f>IF('ORDENES'!$A200="","",IF('ORDENES'!$O200="","-",'ORDENES'!$O200))</f>
        <v/>
      </c>
      <c r="B222" s="24">
        <f>IF('ORDENES'!$A200="","",IF('ORDENES'!$S200="","-",'ORDENES'!$S200))</f>
        <v/>
      </c>
      <c r="C222" s="24">
        <f>IF('ORDENES'!$A200="","",IF('ORDENES'!$AI200="","-",'ORDENES'!$AI200))</f>
        <v/>
      </c>
      <c r="D222" s="24">
        <f>IF('ORDENES'!$A200="","",IF('ORDENES'!$AA200="","-",'ORDENES'!$AA200))</f>
        <v/>
      </c>
      <c r="E222" s="24">
        <f>IF('ORDENES'!$A200="","",IF('ORDENES'!$Y200="","-",'ORDENES'!$Y200))</f>
        <v/>
      </c>
      <c r="F222" s="24">
        <f>IF('ORDENES'!$A200="","",IF('ORDENES'!$AB200="","-",'ORDENES'!$AB200))</f>
        <v/>
      </c>
      <c r="G222" s="24">
        <f>IF('ORDENES'!$A200="","",IF('ORDENES'!$Z200="","-",'ORDENES'!$Z200))</f>
        <v/>
      </c>
      <c r="H222" s="24">
        <f>IF('ORDENES'!$A200="","",IF('ORDENES'!$AH200="","-",'ORDENES'!$AH200))</f>
        <v/>
      </c>
      <c r="I222" s="24">
        <f>IF('ORDENES'!$A200="","",IF('ORDENES'!$AU200="","-",'ORDENES'!$AU200))</f>
        <v/>
      </c>
      <c r="J222" s="24">
        <f>IF('ORDENES'!$A200="","",IF('ORDENES'!$D200="","-",'ORDENES'!$D200))</f>
        <v/>
      </c>
      <c r="K222" s="24">
        <f>IF('ORDENES'!$A200="","",IF('ORDENES'!$E200="","-",'ORDENES'!$E200))</f>
        <v/>
      </c>
      <c r="L222" s="26">
        <f>IF('ORDENES'!$A200="","",IF('ORDENES'!$M200="",0,'ORDENES'!$M200))</f>
        <v/>
      </c>
      <c r="M222" s="24">
        <f>IF('ORDENES'!$A200="","",IF('ORDENES'!$N200="","-",'ORDENES'!$N200))</f>
        <v/>
      </c>
      <c r="N222" s="24">
        <f>IF('ORDENES'!$A200="","",'ORDENES'!$AG200)</f>
        <v/>
      </c>
    </row>
    <row r="223">
      <c r="A223" s="24">
        <f>IF('ORDENES'!$A201="","",IF('ORDENES'!$O201="","-",'ORDENES'!$O201))</f>
        <v/>
      </c>
      <c r="B223" s="24">
        <f>IF('ORDENES'!$A201="","",IF('ORDENES'!$S201="","-",'ORDENES'!$S201))</f>
        <v/>
      </c>
      <c r="C223" s="24">
        <f>IF('ORDENES'!$A201="","",IF('ORDENES'!$AI201="","-",'ORDENES'!$AI201))</f>
        <v/>
      </c>
      <c r="D223" s="24">
        <f>IF('ORDENES'!$A201="","",IF('ORDENES'!$AA201="","-",'ORDENES'!$AA201))</f>
        <v/>
      </c>
      <c r="E223" s="24">
        <f>IF('ORDENES'!$A201="","",IF('ORDENES'!$Y201="","-",'ORDENES'!$Y201))</f>
        <v/>
      </c>
      <c r="F223" s="24">
        <f>IF('ORDENES'!$A201="","",IF('ORDENES'!$AB201="","-",'ORDENES'!$AB201))</f>
        <v/>
      </c>
      <c r="G223" s="24">
        <f>IF('ORDENES'!$A201="","",IF('ORDENES'!$Z201="","-",'ORDENES'!$Z201))</f>
        <v/>
      </c>
      <c r="H223" s="24">
        <f>IF('ORDENES'!$A201="","",IF('ORDENES'!$AH201="","-",'ORDENES'!$AH201))</f>
        <v/>
      </c>
      <c r="I223" s="24">
        <f>IF('ORDENES'!$A201="","",IF('ORDENES'!$AU201="","-",'ORDENES'!$AU201))</f>
        <v/>
      </c>
      <c r="J223" s="24">
        <f>IF('ORDENES'!$A201="","",IF('ORDENES'!$D201="","-",'ORDENES'!$D201))</f>
        <v/>
      </c>
      <c r="K223" s="24">
        <f>IF('ORDENES'!$A201="","",IF('ORDENES'!$E201="","-",'ORDENES'!$E201))</f>
        <v/>
      </c>
      <c r="L223" s="26">
        <f>IF('ORDENES'!$A201="","",IF('ORDENES'!$M201="",0,'ORDENES'!$M201))</f>
        <v/>
      </c>
      <c r="M223" s="24">
        <f>IF('ORDENES'!$A201="","",IF('ORDENES'!$N201="","-",'ORDENES'!$N201))</f>
        <v/>
      </c>
      <c r="N223" s="24">
        <f>IF('ORDENES'!$A201="","",'ORDENES'!$AG201)</f>
        <v/>
      </c>
    </row>
    <row r="224">
      <c r="A224" s="24">
        <f>IF('ORDENES'!$A202="","",IF('ORDENES'!$O202="","-",'ORDENES'!$O202))</f>
        <v/>
      </c>
      <c r="B224" s="24">
        <f>IF('ORDENES'!$A202="","",IF('ORDENES'!$S202="","-",'ORDENES'!$S202))</f>
        <v/>
      </c>
      <c r="C224" s="24">
        <f>IF('ORDENES'!$A202="","",IF('ORDENES'!$AI202="","-",'ORDENES'!$AI202))</f>
        <v/>
      </c>
      <c r="D224" s="24">
        <f>IF('ORDENES'!$A202="","",IF('ORDENES'!$AA202="","-",'ORDENES'!$AA202))</f>
        <v/>
      </c>
      <c r="E224" s="24">
        <f>IF('ORDENES'!$A202="","",IF('ORDENES'!$Y202="","-",'ORDENES'!$Y202))</f>
        <v/>
      </c>
      <c r="F224" s="24">
        <f>IF('ORDENES'!$A202="","",IF('ORDENES'!$AB202="","-",'ORDENES'!$AB202))</f>
        <v/>
      </c>
      <c r="G224" s="24">
        <f>IF('ORDENES'!$A202="","",IF('ORDENES'!$Z202="","-",'ORDENES'!$Z202))</f>
        <v/>
      </c>
      <c r="H224" s="24">
        <f>IF('ORDENES'!$A202="","",IF('ORDENES'!$AH202="","-",'ORDENES'!$AH202))</f>
        <v/>
      </c>
      <c r="I224" s="24">
        <f>IF('ORDENES'!$A202="","",IF('ORDENES'!$AU202="","-",'ORDENES'!$AU202))</f>
        <v/>
      </c>
      <c r="J224" s="24">
        <f>IF('ORDENES'!$A202="","",IF('ORDENES'!$D202="","-",'ORDENES'!$D202))</f>
        <v/>
      </c>
      <c r="K224" s="24">
        <f>IF('ORDENES'!$A202="","",IF('ORDENES'!$E202="","-",'ORDENES'!$E202))</f>
        <v/>
      </c>
      <c r="L224" s="26">
        <f>IF('ORDENES'!$A202="","",IF('ORDENES'!$M202="",0,'ORDENES'!$M202))</f>
        <v/>
      </c>
      <c r="M224" s="24">
        <f>IF('ORDENES'!$A202="","",IF('ORDENES'!$N202="","-",'ORDENES'!$N202))</f>
        <v/>
      </c>
      <c r="N224" s="24">
        <f>IF('ORDENES'!$A202="","",'ORDENES'!$AG202)</f>
        <v/>
      </c>
    </row>
    <row r="225">
      <c r="A225" s="24">
        <f>IF('ORDENES'!$A203="","",IF('ORDENES'!$O203="","-",'ORDENES'!$O203))</f>
        <v/>
      </c>
      <c r="B225" s="24">
        <f>IF('ORDENES'!$A203="","",IF('ORDENES'!$S203="","-",'ORDENES'!$S203))</f>
        <v/>
      </c>
      <c r="C225" s="24">
        <f>IF('ORDENES'!$A203="","",IF('ORDENES'!$AI203="","-",'ORDENES'!$AI203))</f>
        <v/>
      </c>
      <c r="D225" s="24">
        <f>IF('ORDENES'!$A203="","",IF('ORDENES'!$AA203="","-",'ORDENES'!$AA203))</f>
        <v/>
      </c>
      <c r="E225" s="24">
        <f>IF('ORDENES'!$A203="","",IF('ORDENES'!$Y203="","-",'ORDENES'!$Y203))</f>
        <v/>
      </c>
      <c r="F225" s="24">
        <f>IF('ORDENES'!$A203="","",IF('ORDENES'!$AB203="","-",'ORDENES'!$AB203))</f>
        <v/>
      </c>
      <c r="G225" s="24">
        <f>IF('ORDENES'!$A203="","",IF('ORDENES'!$Z203="","-",'ORDENES'!$Z203))</f>
        <v/>
      </c>
      <c r="H225" s="24">
        <f>IF('ORDENES'!$A203="","",IF('ORDENES'!$AH203="","-",'ORDENES'!$AH203))</f>
        <v/>
      </c>
      <c r="I225" s="24">
        <f>IF('ORDENES'!$A203="","",IF('ORDENES'!$AU203="","-",'ORDENES'!$AU203))</f>
        <v/>
      </c>
      <c r="J225" s="24">
        <f>IF('ORDENES'!$A203="","",IF('ORDENES'!$D203="","-",'ORDENES'!$D203))</f>
        <v/>
      </c>
      <c r="K225" s="24">
        <f>IF('ORDENES'!$A203="","",IF('ORDENES'!$E203="","-",'ORDENES'!$E203))</f>
        <v/>
      </c>
      <c r="L225" s="26">
        <f>IF('ORDENES'!$A203="","",IF('ORDENES'!$M203="",0,'ORDENES'!$M203))</f>
        <v/>
      </c>
      <c r="M225" s="24">
        <f>IF('ORDENES'!$A203="","",IF('ORDENES'!$N203="","-",'ORDENES'!$N203))</f>
        <v/>
      </c>
      <c r="N225" s="24">
        <f>IF('ORDENES'!$A203="","",'ORDENES'!$AG203)</f>
        <v/>
      </c>
    </row>
    <row r="226">
      <c r="A226" s="24">
        <f>IF('ORDENES'!$A204="","",IF('ORDENES'!$O204="","-",'ORDENES'!$O204))</f>
        <v/>
      </c>
      <c r="B226" s="24">
        <f>IF('ORDENES'!$A204="","",IF('ORDENES'!$S204="","-",'ORDENES'!$S204))</f>
        <v/>
      </c>
      <c r="C226" s="24">
        <f>IF('ORDENES'!$A204="","",IF('ORDENES'!$AI204="","-",'ORDENES'!$AI204))</f>
        <v/>
      </c>
      <c r="D226" s="24">
        <f>IF('ORDENES'!$A204="","",IF('ORDENES'!$AA204="","-",'ORDENES'!$AA204))</f>
        <v/>
      </c>
      <c r="E226" s="24">
        <f>IF('ORDENES'!$A204="","",IF('ORDENES'!$Y204="","-",'ORDENES'!$Y204))</f>
        <v/>
      </c>
      <c r="F226" s="24">
        <f>IF('ORDENES'!$A204="","",IF('ORDENES'!$AB204="","-",'ORDENES'!$AB204))</f>
        <v/>
      </c>
      <c r="G226" s="24">
        <f>IF('ORDENES'!$A204="","",IF('ORDENES'!$Z204="","-",'ORDENES'!$Z204))</f>
        <v/>
      </c>
      <c r="H226" s="24">
        <f>IF('ORDENES'!$A204="","",IF('ORDENES'!$AH204="","-",'ORDENES'!$AH204))</f>
        <v/>
      </c>
      <c r="I226" s="24">
        <f>IF('ORDENES'!$A204="","",IF('ORDENES'!$AU204="","-",'ORDENES'!$AU204))</f>
        <v/>
      </c>
      <c r="J226" s="24">
        <f>IF('ORDENES'!$A204="","",IF('ORDENES'!$D204="","-",'ORDENES'!$D204))</f>
        <v/>
      </c>
      <c r="K226" s="24">
        <f>IF('ORDENES'!$A204="","",IF('ORDENES'!$E204="","-",'ORDENES'!$E204))</f>
        <v/>
      </c>
      <c r="L226" s="26">
        <f>IF('ORDENES'!$A204="","",IF('ORDENES'!$M204="",0,'ORDENES'!$M204))</f>
        <v/>
      </c>
      <c r="M226" s="24">
        <f>IF('ORDENES'!$A204="","",IF('ORDENES'!$N204="","-",'ORDENES'!$N204))</f>
        <v/>
      </c>
      <c r="N226" s="24">
        <f>IF('ORDENES'!$A204="","",'ORDENES'!$AG204)</f>
        <v/>
      </c>
    </row>
    <row r="227">
      <c r="A227" s="24">
        <f>IF('ORDENES'!$A205="","",IF('ORDENES'!$O205="","-",'ORDENES'!$O205))</f>
        <v/>
      </c>
      <c r="B227" s="24">
        <f>IF('ORDENES'!$A205="","",IF('ORDENES'!$S205="","-",'ORDENES'!$S205))</f>
        <v/>
      </c>
      <c r="C227" s="24">
        <f>IF('ORDENES'!$A205="","",IF('ORDENES'!$AI205="","-",'ORDENES'!$AI205))</f>
        <v/>
      </c>
      <c r="D227" s="24">
        <f>IF('ORDENES'!$A205="","",IF('ORDENES'!$AA205="","-",'ORDENES'!$AA205))</f>
        <v/>
      </c>
      <c r="E227" s="24">
        <f>IF('ORDENES'!$A205="","",IF('ORDENES'!$Y205="","-",'ORDENES'!$Y205))</f>
        <v/>
      </c>
      <c r="F227" s="24">
        <f>IF('ORDENES'!$A205="","",IF('ORDENES'!$AB205="","-",'ORDENES'!$AB205))</f>
        <v/>
      </c>
      <c r="G227" s="24">
        <f>IF('ORDENES'!$A205="","",IF('ORDENES'!$Z205="","-",'ORDENES'!$Z205))</f>
        <v/>
      </c>
      <c r="H227" s="24">
        <f>IF('ORDENES'!$A205="","",IF('ORDENES'!$AH205="","-",'ORDENES'!$AH205))</f>
        <v/>
      </c>
      <c r="I227" s="24">
        <f>IF('ORDENES'!$A205="","",IF('ORDENES'!$AU205="","-",'ORDENES'!$AU205))</f>
        <v/>
      </c>
      <c r="J227" s="24">
        <f>IF('ORDENES'!$A205="","",IF('ORDENES'!$D205="","-",'ORDENES'!$D205))</f>
        <v/>
      </c>
      <c r="K227" s="24">
        <f>IF('ORDENES'!$A205="","",IF('ORDENES'!$E205="","-",'ORDENES'!$E205))</f>
        <v/>
      </c>
      <c r="L227" s="26">
        <f>IF('ORDENES'!$A205="","",IF('ORDENES'!$M205="",0,'ORDENES'!$M205))</f>
        <v/>
      </c>
      <c r="M227" s="24">
        <f>IF('ORDENES'!$A205="","",IF('ORDENES'!$N205="","-",'ORDENES'!$N205))</f>
        <v/>
      </c>
      <c r="N227" s="24">
        <f>IF('ORDENES'!$A205="","",'ORDENES'!$AG205)</f>
        <v/>
      </c>
    </row>
    <row r="228">
      <c r="A228" s="24">
        <f>IF('ORDENES'!$A206="","",IF('ORDENES'!$O206="","-",'ORDENES'!$O206))</f>
        <v/>
      </c>
      <c r="B228" s="24">
        <f>IF('ORDENES'!$A206="","",IF('ORDENES'!$S206="","-",'ORDENES'!$S206))</f>
        <v/>
      </c>
      <c r="C228" s="24">
        <f>IF('ORDENES'!$A206="","",IF('ORDENES'!$AI206="","-",'ORDENES'!$AI206))</f>
        <v/>
      </c>
      <c r="D228" s="24">
        <f>IF('ORDENES'!$A206="","",IF('ORDENES'!$AA206="","-",'ORDENES'!$AA206))</f>
        <v/>
      </c>
      <c r="E228" s="24">
        <f>IF('ORDENES'!$A206="","",IF('ORDENES'!$Y206="","-",'ORDENES'!$Y206))</f>
        <v/>
      </c>
      <c r="F228" s="24">
        <f>IF('ORDENES'!$A206="","",IF('ORDENES'!$AB206="","-",'ORDENES'!$AB206))</f>
        <v/>
      </c>
      <c r="G228" s="24">
        <f>IF('ORDENES'!$A206="","",IF('ORDENES'!$Z206="","-",'ORDENES'!$Z206))</f>
        <v/>
      </c>
      <c r="H228" s="24">
        <f>IF('ORDENES'!$A206="","",IF('ORDENES'!$AH206="","-",'ORDENES'!$AH206))</f>
        <v/>
      </c>
      <c r="I228" s="24">
        <f>IF('ORDENES'!$A206="","",IF('ORDENES'!$AU206="","-",'ORDENES'!$AU206))</f>
        <v/>
      </c>
      <c r="J228" s="24">
        <f>IF('ORDENES'!$A206="","",IF('ORDENES'!$D206="","-",'ORDENES'!$D206))</f>
        <v/>
      </c>
      <c r="K228" s="24">
        <f>IF('ORDENES'!$A206="","",IF('ORDENES'!$E206="","-",'ORDENES'!$E206))</f>
        <v/>
      </c>
      <c r="L228" s="26">
        <f>IF('ORDENES'!$A206="","",IF('ORDENES'!$M206="",0,'ORDENES'!$M206))</f>
        <v/>
      </c>
      <c r="M228" s="24">
        <f>IF('ORDENES'!$A206="","",IF('ORDENES'!$N206="","-",'ORDENES'!$N206))</f>
        <v/>
      </c>
      <c r="N228" s="24">
        <f>IF('ORDENES'!$A206="","",'ORDENES'!$AG206)</f>
        <v/>
      </c>
    </row>
    <row r="229">
      <c r="A229" s="24">
        <f>IF('ORDENES'!$A207="","",IF('ORDENES'!$O207="","-",'ORDENES'!$O207))</f>
        <v/>
      </c>
      <c r="B229" s="24">
        <f>IF('ORDENES'!$A207="","",IF('ORDENES'!$S207="","-",'ORDENES'!$S207))</f>
        <v/>
      </c>
      <c r="C229" s="24">
        <f>IF('ORDENES'!$A207="","",IF('ORDENES'!$AI207="","-",'ORDENES'!$AI207))</f>
        <v/>
      </c>
      <c r="D229" s="24">
        <f>IF('ORDENES'!$A207="","",IF('ORDENES'!$AA207="","-",'ORDENES'!$AA207))</f>
        <v/>
      </c>
      <c r="E229" s="24">
        <f>IF('ORDENES'!$A207="","",IF('ORDENES'!$Y207="","-",'ORDENES'!$Y207))</f>
        <v/>
      </c>
      <c r="F229" s="24">
        <f>IF('ORDENES'!$A207="","",IF('ORDENES'!$AB207="","-",'ORDENES'!$AB207))</f>
        <v/>
      </c>
      <c r="G229" s="24">
        <f>IF('ORDENES'!$A207="","",IF('ORDENES'!$Z207="","-",'ORDENES'!$Z207))</f>
        <v/>
      </c>
      <c r="H229" s="24">
        <f>IF('ORDENES'!$A207="","",IF('ORDENES'!$AH207="","-",'ORDENES'!$AH207))</f>
        <v/>
      </c>
      <c r="I229" s="24">
        <f>IF('ORDENES'!$A207="","",IF('ORDENES'!$AU207="","-",'ORDENES'!$AU207))</f>
        <v/>
      </c>
      <c r="J229" s="24">
        <f>IF('ORDENES'!$A207="","",IF('ORDENES'!$D207="","-",'ORDENES'!$D207))</f>
        <v/>
      </c>
      <c r="K229" s="24">
        <f>IF('ORDENES'!$A207="","",IF('ORDENES'!$E207="","-",'ORDENES'!$E207))</f>
        <v/>
      </c>
      <c r="L229" s="26">
        <f>IF('ORDENES'!$A207="","",IF('ORDENES'!$M207="",0,'ORDENES'!$M207))</f>
        <v/>
      </c>
      <c r="M229" s="24">
        <f>IF('ORDENES'!$A207="","",IF('ORDENES'!$N207="","-",'ORDENES'!$N207))</f>
        <v/>
      </c>
      <c r="N229" s="24">
        <f>IF('ORDENES'!$A207="","",'ORDENES'!$AG207)</f>
        <v/>
      </c>
    </row>
    <row r="230">
      <c r="A230" s="24">
        <f>IF('ORDENES'!$A208="","",IF('ORDENES'!$O208="","-",'ORDENES'!$O208))</f>
        <v/>
      </c>
      <c r="B230" s="24">
        <f>IF('ORDENES'!$A208="","",IF('ORDENES'!$S208="","-",'ORDENES'!$S208))</f>
        <v/>
      </c>
      <c r="C230" s="24">
        <f>IF('ORDENES'!$A208="","",IF('ORDENES'!$AI208="","-",'ORDENES'!$AI208))</f>
        <v/>
      </c>
      <c r="D230" s="24">
        <f>IF('ORDENES'!$A208="","",IF('ORDENES'!$AA208="","-",'ORDENES'!$AA208))</f>
        <v/>
      </c>
      <c r="E230" s="24">
        <f>IF('ORDENES'!$A208="","",IF('ORDENES'!$Y208="","-",'ORDENES'!$Y208))</f>
        <v/>
      </c>
      <c r="F230" s="24">
        <f>IF('ORDENES'!$A208="","",IF('ORDENES'!$AB208="","-",'ORDENES'!$AB208))</f>
        <v/>
      </c>
      <c r="G230" s="24">
        <f>IF('ORDENES'!$A208="","",IF('ORDENES'!$Z208="","-",'ORDENES'!$Z208))</f>
        <v/>
      </c>
      <c r="H230" s="24">
        <f>IF('ORDENES'!$A208="","",IF('ORDENES'!$AH208="","-",'ORDENES'!$AH208))</f>
        <v/>
      </c>
      <c r="I230" s="24">
        <f>IF('ORDENES'!$A208="","",IF('ORDENES'!$AU208="","-",'ORDENES'!$AU208))</f>
        <v/>
      </c>
      <c r="J230" s="24">
        <f>IF('ORDENES'!$A208="","",IF('ORDENES'!$D208="","-",'ORDENES'!$D208))</f>
        <v/>
      </c>
      <c r="K230" s="24">
        <f>IF('ORDENES'!$A208="","",IF('ORDENES'!$E208="","-",'ORDENES'!$E208))</f>
        <v/>
      </c>
      <c r="L230" s="26">
        <f>IF('ORDENES'!$A208="","",IF('ORDENES'!$M208="",0,'ORDENES'!$M208))</f>
        <v/>
      </c>
      <c r="M230" s="24">
        <f>IF('ORDENES'!$A208="","",IF('ORDENES'!$N208="","-",'ORDENES'!$N208))</f>
        <v/>
      </c>
      <c r="N230" s="24">
        <f>IF('ORDENES'!$A208="","",'ORDENES'!$AG208)</f>
        <v/>
      </c>
    </row>
    <row r="231">
      <c r="A231" s="24">
        <f>IF('ORDENES'!$A209="","",IF('ORDENES'!$O209="","-",'ORDENES'!$O209))</f>
        <v/>
      </c>
      <c r="B231" s="24">
        <f>IF('ORDENES'!$A209="","",IF('ORDENES'!$S209="","-",'ORDENES'!$S209))</f>
        <v/>
      </c>
      <c r="C231" s="24">
        <f>IF('ORDENES'!$A209="","",IF('ORDENES'!$AI209="","-",'ORDENES'!$AI209))</f>
        <v/>
      </c>
      <c r="D231" s="24">
        <f>IF('ORDENES'!$A209="","",IF('ORDENES'!$AA209="","-",'ORDENES'!$AA209))</f>
        <v/>
      </c>
      <c r="E231" s="24">
        <f>IF('ORDENES'!$A209="","",IF('ORDENES'!$Y209="","-",'ORDENES'!$Y209))</f>
        <v/>
      </c>
      <c r="F231" s="24">
        <f>IF('ORDENES'!$A209="","",IF('ORDENES'!$AB209="","-",'ORDENES'!$AB209))</f>
        <v/>
      </c>
      <c r="G231" s="24">
        <f>IF('ORDENES'!$A209="","",IF('ORDENES'!$Z209="","-",'ORDENES'!$Z209))</f>
        <v/>
      </c>
      <c r="H231" s="24">
        <f>IF('ORDENES'!$A209="","",IF('ORDENES'!$AH209="","-",'ORDENES'!$AH209))</f>
        <v/>
      </c>
      <c r="I231" s="24">
        <f>IF('ORDENES'!$A209="","",IF('ORDENES'!$AU209="","-",'ORDENES'!$AU209))</f>
        <v/>
      </c>
      <c r="J231" s="24">
        <f>IF('ORDENES'!$A209="","",IF('ORDENES'!$D209="","-",'ORDENES'!$D209))</f>
        <v/>
      </c>
      <c r="K231" s="24">
        <f>IF('ORDENES'!$A209="","",IF('ORDENES'!$E209="","-",'ORDENES'!$E209))</f>
        <v/>
      </c>
      <c r="L231" s="26">
        <f>IF('ORDENES'!$A209="","",IF('ORDENES'!$M209="",0,'ORDENES'!$M209))</f>
        <v/>
      </c>
      <c r="M231" s="24">
        <f>IF('ORDENES'!$A209="","",IF('ORDENES'!$N209="","-",'ORDENES'!$N209))</f>
        <v/>
      </c>
      <c r="N231" s="24">
        <f>IF('ORDENES'!$A209="","",'ORDENES'!$AG209)</f>
        <v/>
      </c>
    </row>
    <row r="232">
      <c r="A232" s="24">
        <f>IF('ORDENES'!$A210="","",IF('ORDENES'!$O210="","-",'ORDENES'!$O210))</f>
        <v/>
      </c>
      <c r="B232" s="24">
        <f>IF('ORDENES'!$A210="","",IF('ORDENES'!$S210="","-",'ORDENES'!$S210))</f>
        <v/>
      </c>
      <c r="C232" s="24">
        <f>IF('ORDENES'!$A210="","",IF('ORDENES'!$AI210="","-",'ORDENES'!$AI210))</f>
        <v/>
      </c>
      <c r="D232" s="24">
        <f>IF('ORDENES'!$A210="","",IF('ORDENES'!$AA210="","-",'ORDENES'!$AA210))</f>
        <v/>
      </c>
      <c r="E232" s="24">
        <f>IF('ORDENES'!$A210="","",IF('ORDENES'!$Y210="","-",'ORDENES'!$Y210))</f>
        <v/>
      </c>
      <c r="F232" s="24">
        <f>IF('ORDENES'!$A210="","",IF('ORDENES'!$AB210="","-",'ORDENES'!$AB210))</f>
        <v/>
      </c>
      <c r="G232" s="24">
        <f>IF('ORDENES'!$A210="","",IF('ORDENES'!$Z210="","-",'ORDENES'!$Z210))</f>
        <v/>
      </c>
      <c r="H232" s="24">
        <f>IF('ORDENES'!$A210="","",IF('ORDENES'!$AH210="","-",'ORDENES'!$AH210))</f>
        <v/>
      </c>
      <c r="I232" s="24">
        <f>IF('ORDENES'!$A210="","",IF('ORDENES'!$AU210="","-",'ORDENES'!$AU210))</f>
        <v/>
      </c>
      <c r="J232" s="24">
        <f>IF('ORDENES'!$A210="","",IF('ORDENES'!$D210="","-",'ORDENES'!$D210))</f>
        <v/>
      </c>
      <c r="K232" s="24">
        <f>IF('ORDENES'!$A210="","",IF('ORDENES'!$E210="","-",'ORDENES'!$E210))</f>
        <v/>
      </c>
      <c r="L232" s="26">
        <f>IF('ORDENES'!$A210="","",IF('ORDENES'!$M210="",0,'ORDENES'!$M210))</f>
        <v/>
      </c>
      <c r="M232" s="24">
        <f>IF('ORDENES'!$A210="","",IF('ORDENES'!$N210="","-",'ORDENES'!$N210))</f>
        <v/>
      </c>
      <c r="N232" s="24">
        <f>IF('ORDENES'!$A210="","",'ORDENES'!$AG210)</f>
        <v/>
      </c>
    </row>
    <row r="233">
      <c r="A233" s="24">
        <f>IF('ORDENES'!$A211="","",IF('ORDENES'!$O211="","-",'ORDENES'!$O211))</f>
        <v/>
      </c>
      <c r="B233" s="24">
        <f>IF('ORDENES'!$A211="","",IF('ORDENES'!$S211="","-",'ORDENES'!$S211))</f>
        <v/>
      </c>
      <c r="C233" s="24">
        <f>IF('ORDENES'!$A211="","",IF('ORDENES'!$AI211="","-",'ORDENES'!$AI211))</f>
        <v/>
      </c>
      <c r="D233" s="24">
        <f>IF('ORDENES'!$A211="","",IF('ORDENES'!$AA211="","-",'ORDENES'!$AA211))</f>
        <v/>
      </c>
      <c r="E233" s="24">
        <f>IF('ORDENES'!$A211="","",IF('ORDENES'!$Y211="","-",'ORDENES'!$Y211))</f>
        <v/>
      </c>
      <c r="F233" s="24">
        <f>IF('ORDENES'!$A211="","",IF('ORDENES'!$AB211="","-",'ORDENES'!$AB211))</f>
        <v/>
      </c>
      <c r="G233" s="24">
        <f>IF('ORDENES'!$A211="","",IF('ORDENES'!$Z211="","-",'ORDENES'!$Z211))</f>
        <v/>
      </c>
      <c r="H233" s="24">
        <f>IF('ORDENES'!$A211="","",IF('ORDENES'!$AH211="","-",'ORDENES'!$AH211))</f>
        <v/>
      </c>
      <c r="I233" s="24">
        <f>IF('ORDENES'!$A211="","",IF('ORDENES'!$AU211="","-",'ORDENES'!$AU211))</f>
        <v/>
      </c>
      <c r="J233" s="24">
        <f>IF('ORDENES'!$A211="","",IF('ORDENES'!$D211="","-",'ORDENES'!$D211))</f>
        <v/>
      </c>
      <c r="K233" s="24">
        <f>IF('ORDENES'!$A211="","",IF('ORDENES'!$E211="","-",'ORDENES'!$E211))</f>
        <v/>
      </c>
      <c r="L233" s="26">
        <f>IF('ORDENES'!$A211="","",IF('ORDENES'!$M211="",0,'ORDENES'!$M211))</f>
        <v/>
      </c>
      <c r="M233" s="24">
        <f>IF('ORDENES'!$A211="","",IF('ORDENES'!$N211="","-",'ORDENES'!$N211))</f>
        <v/>
      </c>
      <c r="N233" s="24">
        <f>IF('ORDENES'!$A211="","",'ORDENES'!$AG211)</f>
        <v/>
      </c>
    </row>
    <row r="234">
      <c r="A234" s="24">
        <f>IF('ORDENES'!$A212="","",IF('ORDENES'!$O212="","-",'ORDENES'!$O212))</f>
        <v/>
      </c>
      <c r="B234" s="24">
        <f>IF('ORDENES'!$A212="","",IF('ORDENES'!$S212="","-",'ORDENES'!$S212))</f>
        <v/>
      </c>
      <c r="C234" s="24">
        <f>IF('ORDENES'!$A212="","",IF('ORDENES'!$AI212="","-",'ORDENES'!$AI212))</f>
        <v/>
      </c>
      <c r="D234" s="24">
        <f>IF('ORDENES'!$A212="","",IF('ORDENES'!$AA212="","-",'ORDENES'!$AA212))</f>
        <v/>
      </c>
      <c r="E234" s="24">
        <f>IF('ORDENES'!$A212="","",IF('ORDENES'!$Y212="","-",'ORDENES'!$Y212))</f>
        <v/>
      </c>
      <c r="F234" s="24">
        <f>IF('ORDENES'!$A212="","",IF('ORDENES'!$AB212="","-",'ORDENES'!$AB212))</f>
        <v/>
      </c>
      <c r="G234" s="24">
        <f>IF('ORDENES'!$A212="","",IF('ORDENES'!$Z212="","-",'ORDENES'!$Z212))</f>
        <v/>
      </c>
      <c r="H234" s="24">
        <f>IF('ORDENES'!$A212="","",IF('ORDENES'!$AH212="","-",'ORDENES'!$AH212))</f>
        <v/>
      </c>
      <c r="I234" s="24">
        <f>IF('ORDENES'!$A212="","",IF('ORDENES'!$AU212="","-",'ORDENES'!$AU212))</f>
        <v/>
      </c>
      <c r="J234" s="24">
        <f>IF('ORDENES'!$A212="","",IF('ORDENES'!$D212="","-",'ORDENES'!$D212))</f>
        <v/>
      </c>
      <c r="K234" s="24">
        <f>IF('ORDENES'!$A212="","",IF('ORDENES'!$E212="","-",'ORDENES'!$E212))</f>
        <v/>
      </c>
      <c r="L234" s="26">
        <f>IF('ORDENES'!$A212="","",IF('ORDENES'!$M212="",0,'ORDENES'!$M212))</f>
        <v/>
      </c>
      <c r="M234" s="24">
        <f>IF('ORDENES'!$A212="","",IF('ORDENES'!$N212="","-",'ORDENES'!$N212))</f>
        <v/>
      </c>
      <c r="N234" s="24">
        <f>IF('ORDENES'!$A212="","",'ORDENES'!$AG212)</f>
        <v/>
      </c>
    </row>
    <row r="235">
      <c r="A235" s="24">
        <f>IF('ORDENES'!$A213="","",IF('ORDENES'!$O213="","-",'ORDENES'!$O213))</f>
        <v/>
      </c>
      <c r="B235" s="24">
        <f>IF('ORDENES'!$A213="","",IF('ORDENES'!$S213="","-",'ORDENES'!$S213))</f>
        <v/>
      </c>
      <c r="C235" s="24">
        <f>IF('ORDENES'!$A213="","",IF('ORDENES'!$AI213="","-",'ORDENES'!$AI213))</f>
        <v/>
      </c>
      <c r="D235" s="24">
        <f>IF('ORDENES'!$A213="","",IF('ORDENES'!$AA213="","-",'ORDENES'!$AA213))</f>
        <v/>
      </c>
      <c r="E235" s="24">
        <f>IF('ORDENES'!$A213="","",IF('ORDENES'!$Y213="","-",'ORDENES'!$Y213))</f>
        <v/>
      </c>
      <c r="F235" s="24">
        <f>IF('ORDENES'!$A213="","",IF('ORDENES'!$AB213="","-",'ORDENES'!$AB213))</f>
        <v/>
      </c>
      <c r="G235" s="24">
        <f>IF('ORDENES'!$A213="","",IF('ORDENES'!$Z213="","-",'ORDENES'!$Z213))</f>
        <v/>
      </c>
      <c r="H235" s="24">
        <f>IF('ORDENES'!$A213="","",IF('ORDENES'!$AH213="","-",'ORDENES'!$AH213))</f>
        <v/>
      </c>
      <c r="I235" s="24">
        <f>IF('ORDENES'!$A213="","",IF('ORDENES'!$AU213="","-",'ORDENES'!$AU213))</f>
        <v/>
      </c>
      <c r="J235" s="24">
        <f>IF('ORDENES'!$A213="","",IF('ORDENES'!$D213="","-",'ORDENES'!$D213))</f>
        <v/>
      </c>
      <c r="K235" s="24">
        <f>IF('ORDENES'!$A213="","",IF('ORDENES'!$E213="","-",'ORDENES'!$E213))</f>
        <v/>
      </c>
      <c r="L235" s="26">
        <f>IF('ORDENES'!$A213="","",IF('ORDENES'!$M213="",0,'ORDENES'!$M213))</f>
        <v/>
      </c>
      <c r="M235" s="24">
        <f>IF('ORDENES'!$A213="","",IF('ORDENES'!$N213="","-",'ORDENES'!$N213))</f>
        <v/>
      </c>
      <c r="N235" s="24">
        <f>IF('ORDENES'!$A213="","",'ORDENES'!$AG213)</f>
        <v/>
      </c>
    </row>
    <row r="236">
      <c r="A236" s="24">
        <f>IF('ORDENES'!$A214="","",IF('ORDENES'!$O214="","-",'ORDENES'!$O214))</f>
        <v/>
      </c>
      <c r="B236" s="24">
        <f>IF('ORDENES'!$A214="","",IF('ORDENES'!$S214="","-",'ORDENES'!$S214))</f>
        <v/>
      </c>
      <c r="C236" s="24">
        <f>IF('ORDENES'!$A214="","",IF('ORDENES'!$AI214="","-",'ORDENES'!$AI214))</f>
        <v/>
      </c>
      <c r="D236" s="24">
        <f>IF('ORDENES'!$A214="","",IF('ORDENES'!$AA214="","-",'ORDENES'!$AA214))</f>
        <v/>
      </c>
      <c r="E236" s="24">
        <f>IF('ORDENES'!$A214="","",IF('ORDENES'!$Y214="","-",'ORDENES'!$Y214))</f>
        <v/>
      </c>
      <c r="F236" s="24">
        <f>IF('ORDENES'!$A214="","",IF('ORDENES'!$AB214="","-",'ORDENES'!$AB214))</f>
        <v/>
      </c>
      <c r="G236" s="24">
        <f>IF('ORDENES'!$A214="","",IF('ORDENES'!$Z214="","-",'ORDENES'!$Z214))</f>
        <v/>
      </c>
      <c r="H236" s="24">
        <f>IF('ORDENES'!$A214="","",IF('ORDENES'!$AH214="","-",'ORDENES'!$AH214))</f>
        <v/>
      </c>
      <c r="I236" s="24">
        <f>IF('ORDENES'!$A214="","",IF('ORDENES'!$AU214="","-",'ORDENES'!$AU214))</f>
        <v/>
      </c>
      <c r="J236" s="24">
        <f>IF('ORDENES'!$A214="","",IF('ORDENES'!$D214="","-",'ORDENES'!$D214))</f>
        <v/>
      </c>
      <c r="K236" s="24">
        <f>IF('ORDENES'!$A214="","",IF('ORDENES'!$E214="","-",'ORDENES'!$E214))</f>
        <v/>
      </c>
      <c r="L236" s="26">
        <f>IF('ORDENES'!$A214="","",IF('ORDENES'!$M214="",0,'ORDENES'!$M214))</f>
        <v/>
      </c>
      <c r="M236" s="24">
        <f>IF('ORDENES'!$A214="","",IF('ORDENES'!$N214="","-",'ORDENES'!$N214))</f>
        <v/>
      </c>
      <c r="N236" s="24">
        <f>IF('ORDENES'!$A214="","",'ORDENES'!$AG214)</f>
        <v/>
      </c>
    </row>
    <row r="237">
      <c r="A237" s="24">
        <f>IF('ORDENES'!$A215="","",IF('ORDENES'!$O215="","-",'ORDENES'!$O215))</f>
        <v/>
      </c>
      <c r="B237" s="24">
        <f>IF('ORDENES'!$A215="","",IF('ORDENES'!$S215="","-",'ORDENES'!$S215))</f>
        <v/>
      </c>
      <c r="C237" s="24">
        <f>IF('ORDENES'!$A215="","",IF('ORDENES'!$AI215="","-",'ORDENES'!$AI215))</f>
        <v/>
      </c>
      <c r="D237" s="24">
        <f>IF('ORDENES'!$A215="","",IF('ORDENES'!$AA215="","-",'ORDENES'!$AA215))</f>
        <v/>
      </c>
      <c r="E237" s="24">
        <f>IF('ORDENES'!$A215="","",IF('ORDENES'!$Y215="","-",'ORDENES'!$Y215))</f>
        <v/>
      </c>
      <c r="F237" s="24">
        <f>IF('ORDENES'!$A215="","",IF('ORDENES'!$AB215="","-",'ORDENES'!$AB215))</f>
        <v/>
      </c>
      <c r="G237" s="24">
        <f>IF('ORDENES'!$A215="","",IF('ORDENES'!$Z215="","-",'ORDENES'!$Z215))</f>
        <v/>
      </c>
      <c r="H237" s="24">
        <f>IF('ORDENES'!$A215="","",IF('ORDENES'!$AH215="","-",'ORDENES'!$AH215))</f>
        <v/>
      </c>
      <c r="I237" s="24">
        <f>IF('ORDENES'!$A215="","",IF('ORDENES'!$AU215="","-",'ORDENES'!$AU215))</f>
        <v/>
      </c>
      <c r="J237" s="24">
        <f>IF('ORDENES'!$A215="","",IF('ORDENES'!$D215="","-",'ORDENES'!$D215))</f>
        <v/>
      </c>
      <c r="K237" s="24">
        <f>IF('ORDENES'!$A215="","",IF('ORDENES'!$E215="","-",'ORDENES'!$E215))</f>
        <v/>
      </c>
      <c r="L237" s="26">
        <f>IF('ORDENES'!$A215="","",IF('ORDENES'!$M215="",0,'ORDENES'!$M215))</f>
        <v/>
      </c>
      <c r="M237" s="24">
        <f>IF('ORDENES'!$A215="","",IF('ORDENES'!$N215="","-",'ORDENES'!$N215))</f>
        <v/>
      </c>
      <c r="N237" s="24">
        <f>IF('ORDENES'!$A215="","",'ORDENES'!$AG215)</f>
        <v/>
      </c>
    </row>
    <row r="238">
      <c r="A238" s="24">
        <f>IF('ORDENES'!$A216="","",IF('ORDENES'!$O216="","-",'ORDENES'!$O216))</f>
        <v/>
      </c>
      <c r="B238" s="24">
        <f>IF('ORDENES'!$A216="","",IF('ORDENES'!$S216="","-",'ORDENES'!$S216))</f>
        <v/>
      </c>
      <c r="C238" s="24">
        <f>IF('ORDENES'!$A216="","",IF('ORDENES'!$AI216="","-",'ORDENES'!$AI216))</f>
        <v/>
      </c>
      <c r="D238" s="24">
        <f>IF('ORDENES'!$A216="","",IF('ORDENES'!$AA216="","-",'ORDENES'!$AA216))</f>
        <v/>
      </c>
      <c r="E238" s="24">
        <f>IF('ORDENES'!$A216="","",IF('ORDENES'!$Y216="","-",'ORDENES'!$Y216))</f>
        <v/>
      </c>
      <c r="F238" s="24">
        <f>IF('ORDENES'!$A216="","",IF('ORDENES'!$AB216="","-",'ORDENES'!$AB216))</f>
        <v/>
      </c>
      <c r="G238" s="24">
        <f>IF('ORDENES'!$A216="","",IF('ORDENES'!$Z216="","-",'ORDENES'!$Z216))</f>
        <v/>
      </c>
      <c r="H238" s="24">
        <f>IF('ORDENES'!$A216="","",IF('ORDENES'!$AH216="","-",'ORDENES'!$AH216))</f>
        <v/>
      </c>
      <c r="I238" s="24">
        <f>IF('ORDENES'!$A216="","",IF('ORDENES'!$AU216="","-",'ORDENES'!$AU216))</f>
        <v/>
      </c>
      <c r="J238" s="24">
        <f>IF('ORDENES'!$A216="","",IF('ORDENES'!$D216="","-",'ORDENES'!$D216))</f>
        <v/>
      </c>
      <c r="K238" s="24">
        <f>IF('ORDENES'!$A216="","",IF('ORDENES'!$E216="","-",'ORDENES'!$E216))</f>
        <v/>
      </c>
      <c r="L238" s="26">
        <f>IF('ORDENES'!$A216="","",IF('ORDENES'!$M216="",0,'ORDENES'!$M216))</f>
        <v/>
      </c>
      <c r="M238" s="24">
        <f>IF('ORDENES'!$A216="","",IF('ORDENES'!$N216="","-",'ORDENES'!$N216))</f>
        <v/>
      </c>
      <c r="N238" s="24">
        <f>IF('ORDENES'!$A216="","",'ORDENES'!$AG216)</f>
        <v/>
      </c>
    </row>
    <row r="239">
      <c r="A239" s="24">
        <f>IF('ORDENES'!$A217="","",IF('ORDENES'!$O217="","-",'ORDENES'!$O217))</f>
        <v/>
      </c>
      <c r="B239" s="24">
        <f>IF('ORDENES'!$A217="","",IF('ORDENES'!$S217="","-",'ORDENES'!$S217))</f>
        <v/>
      </c>
      <c r="C239" s="24">
        <f>IF('ORDENES'!$A217="","",IF('ORDENES'!$AI217="","-",'ORDENES'!$AI217))</f>
        <v/>
      </c>
      <c r="D239" s="24">
        <f>IF('ORDENES'!$A217="","",IF('ORDENES'!$AA217="","-",'ORDENES'!$AA217))</f>
        <v/>
      </c>
      <c r="E239" s="24">
        <f>IF('ORDENES'!$A217="","",IF('ORDENES'!$Y217="","-",'ORDENES'!$Y217))</f>
        <v/>
      </c>
      <c r="F239" s="24">
        <f>IF('ORDENES'!$A217="","",IF('ORDENES'!$AB217="","-",'ORDENES'!$AB217))</f>
        <v/>
      </c>
      <c r="G239" s="24">
        <f>IF('ORDENES'!$A217="","",IF('ORDENES'!$Z217="","-",'ORDENES'!$Z217))</f>
        <v/>
      </c>
      <c r="H239" s="24">
        <f>IF('ORDENES'!$A217="","",IF('ORDENES'!$AH217="","-",'ORDENES'!$AH217))</f>
        <v/>
      </c>
      <c r="I239" s="24">
        <f>IF('ORDENES'!$A217="","",IF('ORDENES'!$AU217="","-",'ORDENES'!$AU217))</f>
        <v/>
      </c>
      <c r="J239" s="24">
        <f>IF('ORDENES'!$A217="","",IF('ORDENES'!$D217="","-",'ORDENES'!$D217))</f>
        <v/>
      </c>
      <c r="K239" s="24">
        <f>IF('ORDENES'!$A217="","",IF('ORDENES'!$E217="","-",'ORDENES'!$E217))</f>
        <v/>
      </c>
      <c r="L239" s="26">
        <f>IF('ORDENES'!$A217="","",IF('ORDENES'!$M217="",0,'ORDENES'!$M217))</f>
        <v/>
      </c>
      <c r="M239" s="24">
        <f>IF('ORDENES'!$A217="","",IF('ORDENES'!$N217="","-",'ORDENES'!$N217))</f>
        <v/>
      </c>
      <c r="N239" s="24">
        <f>IF('ORDENES'!$A217="","",'ORDENES'!$AG217)</f>
        <v/>
      </c>
    </row>
    <row r="240">
      <c r="A240" s="24">
        <f>IF('ORDENES'!$A218="","",IF('ORDENES'!$O218="","-",'ORDENES'!$O218))</f>
        <v/>
      </c>
      <c r="B240" s="24">
        <f>IF('ORDENES'!$A218="","",IF('ORDENES'!$S218="","-",'ORDENES'!$S218))</f>
        <v/>
      </c>
      <c r="C240" s="24">
        <f>IF('ORDENES'!$A218="","",IF('ORDENES'!$AI218="","-",'ORDENES'!$AI218))</f>
        <v/>
      </c>
      <c r="D240" s="24">
        <f>IF('ORDENES'!$A218="","",IF('ORDENES'!$AA218="","-",'ORDENES'!$AA218))</f>
        <v/>
      </c>
      <c r="E240" s="24">
        <f>IF('ORDENES'!$A218="","",IF('ORDENES'!$Y218="","-",'ORDENES'!$Y218))</f>
        <v/>
      </c>
      <c r="F240" s="24">
        <f>IF('ORDENES'!$A218="","",IF('ORDENES'!$AB218="","-",'ORDENES'!$AB218))</f>
        <v/>
      </c>
      <c r="G240" s="24">
        <f>IF('ORDENES'!$A218="","",IF('ORDENES'!$Z218="","-",'ORDENES'!$Z218))</f>
        <v/>
      </c>
      <c r="H240" s="24">
        <f>IF('ORDENES'!$A218="","",IF('ORDENES'!$AH218="","-",'ORDENES'!$AH218))</f>
        <v/>
      </c>
      <c r="I240" s="24">
        <f>IF('ORDENES'!$A218="","",IF('ORDENES'!$AU218="","-",'ORDENES'!$AU218))</f>
        <v/>
      </c>
      <c r="J240" s="24">
        <f>IF('ORDENES'!$A218="","",IF('ORDENES'!$D218="","-",'ORDENES'!$D218))</f>
        <v/>
      </c>
      <c r="K240" s="24">
        <f>IF('ORDENES'!$A218="","",IF('ORDENES'!$E218="","-",'ORDENES'!$E218))</f>
        <v/>
      </c>
      <c r="L240" s="26">
        <f>IF('ORDENES'!$A218="","",IF('ORDENES'!$M218="",0,'ORDENES'!$M218))</f>
        <v/>
      </c>
      <c r="M240" s="24">
        <f>IF('ORDENES'!$A218="","",IF('ORDENES'!$N218="","-",'ORDENES'!$N218))</f>
        <v/>
      </c>
      <c r="N240" s="24">
        <f>IF('ORDENES'!$A218="","",'ORDENES'!$AG218)</f>
        <v/>
      </c>
    </row>
    <row r="241">
      <c r="A241" s="24">
        <f>IF('ORDENES'!$A219="","",IF('ORDENES'!$O219="","-",'ORDENES'!$O219))</f>
        <v/>
      </c>
      <c r="B241" s="24">
        <f>IF('ORDENES'!$A219="","",IF('ORDENES'!$S219="","-",'ORDENES'!$S219))</f>
        <v/>
      </c>
      <c r="C241" s="24">
        <f>IF('ORDENES'!$A219="","",IF('ORDENES'!$AI219="","-",'ORDENES'!$AI219))</f>
        <v/>
      </c>
      <c r="D241" s="24">
        <f>IF('ORDENES'!$A219="","",IF('ORDENES'!$AA219="","-",'ORDENES'!$AA219))</f>
        <v/>
      </c>
      <c r="E241" s="24">
        <f>IF('ORDENES'!$A219="","",IF('ORDENES'!$Y219="","-",'ORDENES'!$Y219))</f>
        <v/>
      </c>
      <c r="F241" s="24">
        <f>IF('ORDENES'!$A219="","",IF('ORDENES'!$AB219="","-",'ORDENES'!$AB219))</f>
        <v/>
      </c>
      <c r="G241" s="24">
        <f>IF('ORDENES'!$A219="","",IF('ORDENES'!$Z219="","-",'ORDENES'!$Z219))</f>
        <v/>
      </c>
      <c r="H241" s="24">
        <f>IF('ORDENES'!$A219="","",IF('ORDENES'!$AH219="","-",'ORDENES'!$AH219))</f>
        <v/>
      </c>
      <c r="I241" s="24">
        <f>IF('ORDENES'!$A219="","",IF('ORDENES'!$AU219="","-",'ORDENES'!$AU219))</f>
        <v/>
      </c>
      <c r="J241" s="24">
        <f>IF('ORDENES'!$A219="","",IF('ORDENES'!$D219="","-",'ORDENES'!$D219))</f>
        <v/>
      </c>
      <c r="K241" s="24">
        <f>IF('ORDENES'!$A219="","",IF('ORDENES'!$E219="","-",'ORDENES'!$E219))</f>
        <v/>
      </c>
      <c r="L241" s="26">
        <f>IF('ORDENES'!$A219="","",IF('ORDENES'!$M219="",0,'ORDENES'!$M219))</f>
        <v/>
      </c>
      <c r="M241" s="24">
        <f>IF('ORDENES'!$A219="","",IF('ORDENES'!$N219="","-",'ORDENES'!$N219))</f>
        <v/>
      </c>
      <c r="N241" s="24">
        <f>IF('ORDENES'!$A219="","",'ORDENES'!$AG219)</f>
        <v/>
      </c>
    </row>
    <row r="242">
      <c r="A242" s="24">
        <f>IF('ORDENES'!$A220="","",IF('ORDENES'!$O220="","-",'ORDENES'!$O220))</f>
        <v/>
      </c>
      <c r="B242" s="24">
        <f>IF('ORDENES'!$A220="","",IF('ORDENES'!$S220="","-",'ORDENES'!$S220))</f>
        <v/>
      </c>
      <c r="C242" s="24">
        <f>IF('ORDENES'!$A220="","",IF('ORDENES'!$AI220="","-",'ORDENES'!$AI220))</f>
        <v/>
      </c>
      <c r="D242" s="24">
        <f>IF('ORDENES'!$A220="","",IF('ORDENES'!$AA220="","-",'ORDENES'!$AA220))</f>
        <v/>
      </c>
      <c r="E242" s="24">
        <f>IF('ORDENES'!$A220="","",IF('ORDENES'!$Y220="","-",'ORDENES'!$Y220))</f>
        <v/>
      </c>
      <c r="F242" s="24">
        <f>IF('ORDENES'!$A220="","",IF('ORDENES'!$AB220="","-",'ORDENES'!$AB220))</f>
        <v/>
      </c>
      <c r="G242" s="24">
        <f>IF('ORDENES'!$A220="","",IF('ORDENES'!$Z220="","-",'ORDENES'!$Z220))</f>
        <v/>
      </c>
      <c r="H242" s="24">
        <f>IF('ORDENES'!$A220="","",IF('ORDENES'!$AH220="","-",'ORDENES'!$AH220))</f>
        <v/>
      </c>
      <c r="I242" s="24">
        <f>IF('ORDENES'!$A220="","",IF('ORDENES'!$AU220="","-",'ORDENES'!$AU220))</f>
        <v/>
      </c>
      <c r="J242" s="24">
        <f>IF('ORDENES'!$A220="","",IF('ORDENES'!$D220="","-",'ORDENES'!$D220))</f>
        <v/>
      </c>
      <c r="K242" s="24">
        <f>IF('ORDENES'!$A220="","",IF('ORDENES'!$E220="","-",'ORDENES'!$E220))</f>
        <v/>
      </c>
      <c r="L242" s="26">
        <f>IF('ORDENES'!$A220="","",IF('ORDENES'!$M220="",0,'ORDENES'!$M220))</f>
        <v/>
      </c>
      <c r="M242" s="24">
        <f>IF('ORDENES'!$A220="","",IF('ORDENES'!$N220="","-",'ORDENES'!$N220))</f>
        <v/>
      </c>
      <c r="N242" s="24">
        <f>IF('ORDENES'!$A220="","",'ORDENES'!$AG220)</f>
        <v/>
      </c>
    </row>
    <row r="243">
      <c r="A243" s="24">
        <f>IF('ORDENES'!$A221="","",IF('ORDENES'!$O221="","-",'ORDENES'!$O221))</f>
        <v/>
      </c>
      <c r="B243" s="24">
        <f>IF('ORDENES'!$A221="","",IF('ORDENES'!$S221="","-",'ORDENES'!$S221))</f>
        <v/>
      </c>
      <c r="C243" s="24">
        <f>IF('ORDENES'!$A221="","",IF('ORDENES'!$AI221="","-",'ORDENES'!$AI221))</f>
        <v/>
      </c>
      <c r="D243" s="24">
        <f>IF('ORDENES'!$A221="","",IF('ORDENES'!$AA221="","-",'ORDENES'!$AA221))</f>
        <v/>
      </c>
      <c r="E243" s="24">
        <f>IF('ORDENES'!$A221="","",IF('ORDENES'!$Y221="","-",'ORDENES'!$Y221))</f>
        <v/>
      </c>
      <c r="F243" s="24">
        <f>IF('ORDENES'!$A221="","",IF('ORDENES'!$AB221="","-",'ORDENES'!$AB221))</f>
        <v/>
      </c>
      <c r="G243" s="24">
        <f>IF('ORDENES'!$A221="","",IF('ORDENES'!$Z221="","-",'ORDENES'!$Z221))</f>
        <v/>
      </c>
      <c r="H243" s="24">
        <f>IF('ORDENES'!$A221="","",IF('ORDENES'!$AH221="","-",'ORDENES'!$AH221))</f>
        <v/>
      </c>
      <c r="I243" s="24">
        <f>IF('ORDENES'!$A221="","",IF('ORDENES'!$AU221="","-",'ORDENES'!$AU221))</f>
        <v/>
      </c>
      <c r="J243" s="24">
        <f>IF('ORDENES'!$A221="","",IF('ORDENES'!$D221="","-",'ORDENES'!$D221))</f>
        <v/>
      </c>
      <c r="K243" s="24">
        <f>IF('ORDENES'!$A221="","",IF('ORDENES'!$E221="","-",'ORDENES'!$E221))</f>
        <v/>
      </c>
      <c r="L243" s="26">
        <f>IF('ORDENES'!$A221="","",IF('ORDENES'!$M221="",0,'ORDENES'!$M221))</f>
        <v/>
      </c>
      <c r="M243" s="24">
        <f>IF('ORDENES'!$A221="","",IF('ORDENES'!$N221="","-",'ORDENES'!$N221))</f>
        <v/>
      </c>
      <c r="N243" s="24">
        <f>IF('ORDENES'!$A221="","",'ORDENES'!$AG221)</f>
        <v/>
      </c>
    </row>
    <row r="244">
      <c r="A244" s="24">
        <f>IF('ORDENES'!$A222="","",IF('ORDENES'!$O222="","-",'ORDENES'!$O222))</f>
        <v/>
      </c>
      <c r="B244" s="24">
        <f>IF('ORDENES'!$A222="","",IF('ORDENES'!$S222="","-",'ORDENES'!$S222))</f>
        <v/>
      </c>
      <c r="C244" s="24">
        <f>IF('ORDENES'!$A222="","",IF('ORDENES'!$AI222="","-",'ORDENES'!$AI222))</f>
        <v/>
      </c>
      <c r="D244" s="24">
        <f>IF('ORDENES'!$A222="","",IF('ORDENES'!$AA222="","-",'ORDENES'!$AA222))</f>
        <v/>
      </c>
      <c r="E244" s="24">
        <f>IF('ORDENES'!$A222="","",IF('ORDENES'!$Y222="","-",'ORDENES'!$Y222))</f>
        <v/>
      </c>
      <c r="F244" s="24">
        <f>IF('ORDENES'!$A222="","",IF('ORDENES'!$AB222="","-",'ORDENES'!$AB222))</f>
        <v/>
      </c>
      <c r="G244" s="24">
        <f>IF('ORDENES'!$A222="","",IF('ORDENES'!$Z222="","-",'ORDENES'!$Z222))</f>
        <v/>
      </c>
      <c r="H244" s="24">
        <f>IF('ORDENES'!$A222="","",IF('ORDENES'!$AH222="","-",'ORDENES'!$AH222))</f>
        <v/>
      </c>
      <c r="I244" s="24">
        <f>IF('ORDENES'!$A222="","",IF('ORDENES'!$AU222="","-",'ORDENES'!$AU222))</f>
        <v/>
      </c>
      <c r="J244" s="24">
        <f>IF('ORDENES'!$A222="","",IF('ORDENES'!$D222="","-",'ORDENES'!$D222))</f>
        <v/>
      </c>
      <c r="K244" s="24">
        <f>IF('ORDENES'!$A222="","",IF('ORDENES'!$E222="","-",'ORDENES'!$E222))</f>
        <v/>
      </c>
      <c r="L244" s="26">
        <f>IF('ORDENES'!$A222="","",IF('ORDENES'!$M222="",0,'ORDENES'!$M222))</f>
        <v/>
      </c>
      <c r="M244" s="24">
        <f>IF('ORDENES'!$A222="","",IF('ORDENES'!$N222="","-",'ORDENES'!$N222))</f>
        <v/>
      </c>
      <c r="N244" s="24">
        <f>IF('ORDENES'!$A222="","",'ORDENES'!$AG222)</f>
        <v/>
      </c>
    </row>
    <row r="245">
      <c r="A245" s="24">
        <f>IF('ORDENES'!$A223="","",IF('ORDENES'!$O223="","-",'ORDENES'!$O223))</f>
        <v/>
      </c>
      <c r="B245" s="24">
        <f>IF('ORDENES'!$A223="","",IF('ORDENES'!$S223="","-",'ORDENES'!$S223))</f>
        <v/>
      </c>
      <c r="C245" s="24">
        <f>IF('ORDENES'!$A223="","",IF('ORDENES'!$AI223="","-",'ORDENES'!$AI223))</f>
        <v/>
      </c>
      <c r="D245" s="24">
        <f>IF('ORDENES'!$A223="","",IF('ORDENES'!$AA223="","-",'ORDENES'!$AA223))</f>
        <v/>
      </c>
      <c r="E245" s="24">
        <f>IF('ORDENES'!$A223="","",IF('ORDENES'!$Y223="","-",'ORDENES'!$Y223))</f>
        <v/>
      </c>
      <c r="F245" s="24">
        <f>IF('ORDENES'!$A223="","",IF('ORDENES'!$AB223="","-",'ORDENES'!$AB223))</f>
        <v/>
      </c>
      <c r="G245" s="24">
        <f>IF('ORDENES'!$A223="","",IF('ORDENES'!$Z223="","-",'ORDENES'!$Z223))</f>
        <v/>
      </c>
      <c r="H245" s="24">
        <f>IF('ORDENES'!$A223="","",IF('ORDENES'!$AH223="","-",'ORDENES'!$AH223))</f>
        <v/>
      </c>
      <c r="I245" s="24">
        <f>IF('ORDENES'!$A223="","",IF('ORDENES'!$AU223="","-",'ORDENES'!$AU223))</f>
        <v/>
      </c>
      <c r="J245" s="24">
        <f>IF('ORDENES'!$A223="","",IF('ORDENES'!$D223="","-",'ORDENES'!$D223))</f>
        <v/>
      </c>
      <c r="K245" s="24">
        <f>IF('ORDENES'!$A223="","",IF('ORDENES'!$E223="","-",'ORDENES'!$E223))</f>
        <v/>
      </c>
      <c r="L245" s="26">
        <f>IF('ORDENES'!$A223="","",IF('ORDENES'!$M223="",0,'ORDENES'!$M223))</f>
        <v/>
      </c>
      <c r="M245" s="24">
        <f>IF('ORDENES'!$A223="","",IF('ORDENES'!$N223="","-",'ORDENES'!$N223))</f>
        <v/>
      </c>
      <c r="N245" s="24">
        <f>IF('ORDENES'!$A223="","",'ORDENES'!$AG223)</f>
        <v/>
      </c>
    </row>
    <row r="246">
      <c r="A246" s="24">
        <f>IF('ORDENES'!$A224="","",IF('ORDENES'!$O224="","-",'ORDENES'!$O224))</f>
        <v/>
      </c>
      <c r="B246" s="24">
        <f>IF('ORDENES'!$A224="","",IF('ORDENES'!$S224="","-",'ORDENES'!$S224))</f>
        <v/>
      </c>
      <c r="C246" s="24">
        <f>IF('ORDENES'!$A224="","",IF('ORDENES'!$AI224="","-",'ORDENES'!$AI224))</f>
        <v/>
      </c>
      <c r="D246" s="24">
        <f>IF('ORDENES'!$A224="","",IF('ORDENES'!$AA224="","-",'ORDENES'!$AA224))</f>
        <v/>
      </c>
      <c r="E246" s="24">
        <f>IF('ORDENES'!$A224="","",IF('ORDENES'!$Y224="","-",'ORDENES'!$Y224))</f>
        <v/>
      </c>
      <c r="F246" s="24">
        <f>IF('ORDENES'!$A224="","",IF('ORDENES'!$AB224="","-",'ORDENES'!$AB224))</f>
        <v/>
      </c>
      <c r="G246" s="24">
        <f>IF('ORDENES'!$A224="","",IF('ORDENES'!$Z224="","-",'ORDENES'!$Z224))</f>
        <v/>
      </c>
      <c r="H246" s="24">
        <f>IF('ORDENES'!$A224="","",IF('ORDENES'!$AH224="","-",'ORDENES'!$AH224))</f>
        <v/>
      </c>
      <c r="I246" s="24">
        <f>IF('ORDENES'!$A224="","",IF('ORDENES'!$AU224="","-",'ORDENES'!$AU224))</f>
        <v/>
      </c>
      <c r="J246" s="24">
        <f>IF('ORDENES'!$A224="","",IF('ORDENES'!$D224="","-",'ORDENES'!$D224))</f>
        <v/>
      </c>
      <c r="K246" s="24">
        <f>IF('ORDENES'!$A224="","",IF('ORDENES'!$E224="","-",'ORDENES'!$E224))</f>
        <v/>
      </c>
      <c r="L246" s="26">
        <f>IF('ORDENES'!$A224="","",IF('ORDENES'!$M224="",0,'ORDENES'!$M224))</f>
        <v/>
      </c>
      <c r="M246" s="24">
        <f>IF('ORDENES'!$A224="","",IF('ORDENES'!$N224="","-",'ORDENES'!$N224))</f>
        <v/>
      </c>
      <c r="N246" s="24">
        <f>IF('ORDENES'!$A224="","",'ORDENES'!$AG224)</f>
        <v/>
      </c>
    </row>
    <row r="247">
      <c r="A247" s="24">
        <f>IF('ORDENES'!$A225="","",IF('ORDENES'!$O225="","-",'ORDENES'!$O225))</f>
        <v/>
      </c>
      <c r="B247" s="24">
        <f>IF('ORDENES'!$A225="","",IF('ORDENES'!$S225="","-",'ORDENES'!$S225))</f>
        <v/>
      </c>
      <c r="C247" s="24">
        <f>IF('ORDENES'!$A225="","",IF('ORDENES'!$AI225="","-",'ORDENES'!$AI225))</f>
        <v/>
      </c>
      <c r="D247" s="24">
        <f>IF('ORDENES'!$A225="","",IF('ORDENES'!$AA225="","-",'ORDENES'!$AA225))</f>
        <v/>
      </c>
      <c r="E247" s="24">
        <f>IF('ORDENES'!$A225="","",IF('ORDENES'!$Y225="","-",'ORDENES'!$Y225))</f>
        <v/>
      </c>
      <c r="F247" s="24">
        <f>IF('ORDENES'!$A225="","",IF('ORDENES'!$AB225="","-",'ORDENES'!$AB225))</f>
        <v/>
      </c>
      <c r="G247" s="24">
        <f>IF('ORDENES'!$A225="","",IF('ORDENES'!$Z225="","-",'ORDENES'!$Z225))</f>
        <v/>
      </c>
      <c r="H247" s="24">
        <f>IF('ORDENES'!$A225="","",IF('ORDENES'!$AH225="","-",'ORDENES'!$AH225))</f>
        <v/>
      </c>
      <c r="I247" s="24">
        <f>IF('ORDENES'!$A225="","",IF('ORDENES'!$AU225="","-",'ORDENES'!$AU225))</f>
        <v/>
      </c>
      <c r="J247" s="24">
        <f>IF('ORDENES'!$A225="","",IF('ORDENES'!$D225="","-",'ORDENES'!$D225))</f>
        <v/>
      </c>
      <c r="K247" s="24">
        <f>IF('ORDENES'!$A225="","",IF('ORDENES'!$E225="","-",'ORDENES'!$E225))</f>
        <v/>
      </c>
      <c r="L247" s="26">
        <f>IF('ORDENES'!$A225="","",IF('ORDENES'!$M225="",0,'ORDENES'!$M225))</f>
        <v/>
      </c>
      <c r="M247" s="24">
        <f>IF('ORDENES'!$A225="","",IF('ORDENES'!$N225="","-",'ORDENES'!$N225))</f>
        <v/>
      </c>
      <c r="N247" s="24">
        <f>IF('ORDENES'!$A225="","",'ORDENES'!$AG225)</f>
        <v/>
      </c>
    </row>
    <row r="248">
      <c r="A248" s="24">
        <f>IF('ORDENES'!$A226="","",IF('ORDENES'!$O226="","-",'ORDENES'!$O226))</f>
        <v/>
      </c>
      <c r="B248" s="24">
        <f>IF('ORDENES'!$A226="","",IF('ORDENES'!$S226="","-",'ORDENES'!$S226))</f>
        <v/>
      </c>
      <c r="C248" s="24">
        <f>IF('ORDENES'!$A226="","",IF('ORDENES'!$AI226="","-",'ORDENES'!$AI226))</f>
        <v/>
      </c>
      <c r="D248" s="24">
        <f>IF('ORDENES'!$A226="","",IF('ORDENES'!$AA226="","-",'ORDENES'!$AA226))</f>
        <v/>
      </c>
      <c r="E248" s="24">
        <f>IF('ORDENES'!$A226="","",IF('ORDENES'!$Y226="","-",'ORDENES'!$Y226))</f>
        <v/>
      </c>
      <c r="F248" s="24">
        <f>IF('ORDENES'!$A226="","",IF('ORDENES'!$AB226="","-",'ORDENES'!$AB226))</f>
        <v/>
      </c>
      <c r="G248" s="24">
        <f>IF('ORDENES'!$A226="","",IF('ORDENES'!$Z226="","-",'ORDENES'!$Z226))</f>
        <v/>
      </c>
      <c r="H248" s="24">
        <f>IF('ORDENES'!$A226="","",IF('ORDENES'!$AH226="","-",'ORDENES'!$AH226))</f>
        <v/>
      </c>
      <c r="I248" s="24">
        <f>IF('ORDENES'!$A226="","",IF('ORDENES'!$AU226="","-",'ORDENES'!$AU226))</f>
        <v/>
      </c>
      <c r="J248" s="24">
        <f>IF('ORDENES'!$A226="","",IF('ORDENES'!$D226="","-",'ORDENES'!$D226))</f>
        <v/>
      </c>
      <c r="K248" s="24">
        <f>IF('ORDENES'!$A226="","",IF('ORDENES'!$E226="","-",'ORDENES'!$E226))</f>
        <v/>
      </c>
      <c r="L248" s="26">
        <f>IF('ORDENES'!$A226="","",IF('ORDENES'!$M226="",0,'ORDENES'!$M226))</f>
        <v/>
      </c>
      <c r="M248" s="24">
        <f>IF('ORDENES'!$A226="","",IF('ORDENES'!$N226="","-",'ORDENES'!$N226))</f>
        <v/>
      </c>
      <c r="N248" s="24">
        <f>IF('ORDENES'!$A226="","",'ORDENES'!$AG226)</f>
        <v/>
      </c>
    </row>
    <row r="249">
      <c r="A249" s="24">
        <f>IF('ORDENES'!$A227="","",IF('ORDENES'!$O227="","-",'ORDENES'!$O227))</f>
        <v/>
      </c>
      <c r="B249" s="24">
        <f>IF('ORDENES'!$A227="","",IF('ORDENES'!$S227="","-",'ORDENES'!$S227))</f>
        <v/>
      </c>
      <c r="C249" s="24">
        <f>IF('ORDENES'!$A227="","",IF('ORDENES'!$AI227="","-",'ORDENES'!$AI227))</f>
        <v/>
      </c>
      <c r="D249" s="24">
        <f>IF('ORDENES'!$A227="","",IF('ORDENES'!$AA227="","-",'ORDENES'!$AA227))</f>
        <v/>
      </c>
      <c r="E249" s="24">
        <f>IF('ORDENES'!$A227="","",IF('ORDENES'!$Y227="","-",'ORDENES'!$Y227))</f>
        <v/>
      </c>
      <c r="F249" s="24">
        <f>IF('ORDENES'!$A227="","",IF('ORDENES'!$AB227="","-",'ORDENES'!$AB227))</f>
        <v/>
      </c>
      <c r="G249" s="24">
        <f>IF('ORDENES'!$A227="","",IF('ORDENES'!$Z227="","-",'ORDENES'!$Z227))</f>
        <v/>
      </c>
      <c r="H249" s="24">
        <f>IF('ORDENES'!$A227="","",IF('ORDENES'!$AH227="","-",'ORDENES'!$AH227))</f>
        <v/>
      </c>
      <c r="I249" s="24">
        <f>IF('ORDENES'!$A227="","",IF('ORDENES'!$AU227="","-",'ORDENES'!$AU227))</f>
        <v/>
      </c>
      <c r="J249" s="24">
        <f>IF('ORDENES'!$A227="","",IF('ORDENES'!$D227="","-",'ORDENES'!$D227))</f>
        <v/>
      </c>
      <c r="K249" s="24">
        <f>IF('ORDENES'!$A227="","",IF('ORDENES'!$E227="","-",'ORDENES'!$E227))</f>
        <v/>
      </c>
      <c r="L249" s="26">
        <f>IF('ORDENES'!$A227="","",IF('ORDENES'!$M227="",0,'ORDENES'!$M227))</f>
        <v/>
      </c>
      <c r="M249" s="24">
        <f>IF('ORDENES'!$A227="","",IF('ORDENES'!$N227="","-",'ORDENES'!$N227))</f>
        <v/>
      </c>
      <c r="N249" s="24">
        <f>IF('ORDENES'!$A227="","",'ORDENES'!$AG227)</f>
        <v/>
      </c>
    </row>
    <row r="250">
      <c r="A250" s="24">
        <f>IF('ORDENES'!$A228="","",IF('ORDENES'!$O228="","-",'ORDENES'!$O228))</f>
        <v/>
      </c>
      <c r="B250" s="24">
        <f>IF('ORDENES'!$A228="","",IF('ORDENES'!$S228="","-",'ORDENES'!$S228))</f>
        <v/>
      </c>
      <c r="C250" s="24">
        <f>IF('ORDENES'!$A228="","",IF('ORDENES'!$AI228="","-",'ORDENES'!$AI228))</f>
        <v/>
      </c>
      <c r="D250" s="24">
        <f>IF('ORDENES'!$A228="","",IF('ORDENES'!$AA228="","-",'ORDENES'!$AA228))</f>
        <v/>
      </c>
      <c r="E250" s="24">
        <f>IF('ORDENES'!$A228="","",IF('ORDENES'!$Y228="","-",'ORDENES'!$Y228))</f>
        <v/>
      </c>
      <c r="F250" s="24">
        <f>IF('ORDENES'!$A228="","",IF('ORDENES'!$AB228="","-",'ORDENES'!$AB228))</f>
        <v/>
      </c>
      <c r="G250" s="24">
        <f>IF('ORDENES'!$A228="","",IF('ORDENES'!$Z228="","-",'ORDENES'!$Z228))</f>
        <v/>
      </c>
      <c r="H250" s="24">
        <f>IF('ORDENES'!$A228="","",IF('ORDENES'!$AH228="","-",'ORDENES'!$AH228))</f>
        <v/>
      </c>
      <c r="I250" s="24">
        <f>IF('ORDENES'!$A228="","",IF('ORDENES'!$AU228="","-",'ORDENES'!$AU228))</f>
        <v/>
      </c>
      <c r="J250" s="24">
        <f>IF('ORDENES'!$A228="","",IF('ORDENES'!$D228="","-",'ORDENES'!$D228))</f>
        <v/>
      </c>
      <c r="K250" s="24">
        <f>IF('ORDENES'!$A228="","",IF('ORDENES'!$E228="","-",'ORDENES'!$E228))</f>
        <v/>
      </c>
      <c r="L250" s="26">
        <f>IF('ORDENES'!$A228="","",IF('ORDENES'!$M228="",0,'ORDENES'!$M228))</f>
        <v/>
      </c>
      <c r="M250" s="24">
        <f>IF('ORDENES'!$A228="","",IF('ORDENES'!$N228="","-",'ORDENES'!$N228))</f>
        <v/>
      </c>
      <c r="N250" s="24">
        <f>IF('ORDENES'!$A228="","",'ORDENES'!$AG228)</f>
        <v/>
      </c>
    </row>
    <row r="251">
      <c r="A251" s="24">
        <f>IF('ORDENES'!$A229="","",IF('ORDENES'!$O229="","-",'ORDENES'!$O229))</f>
        <v/>
      </c>
      <c r="B251" s="24">
        <f>IF('ORDENES'!$A229="","",IF('ORDENES'!$S229="","-",'ORDENES'!$S229))</f>
        <v/>
      </c>
      <c r="C251" s="24">
        <f>IF('ORDENES'!$A229="","",IF('ORDENES'!$AI229="","-",'ORDENES'!$AI229))</f>
        <v/>
      </c>
      <c r="D251" s="24">
        <f>IF('ORDENES'!$A229="","",IF('ORDENES'!$AA229="","-",'ORDENES'!$AA229))</f>
        <v/>
      </c>
      <c r="E251" s="24">
        <f>IF('ORDENES'!$A229="","",IF('ORDENES'!$Y229="","-",'ORDENES'!$Y229))</f>
        <v/>
      </c>
      <c r="F251" s="24">
        <f>IF('ORDENES'!$A229="","",IF('ORDENES'!$AB229="","-",'ORDENES'!$AB229))</f>
        <v/>
      </c>
      <c r="G251" s="24">
        <f>IF('ORDENES'!$A229="","",IF('ORDENES'!$Z229="","-",'ORDENES'!$Z229))</f>
        <v/>
      </c>
      <c r="H251" s="24">
        <f>IF('ORDENES'!$A229="","",IF('ORDENES'!$AH229="","-",'ORDENES'!$AH229))</f>
        <v/>
      </c>
      <c r="I251" s="24">
        <f>IF('ORDENES'!$A229="","",IF('ORDENES'!$AU229="","-",'ORDENES'!$AU229))</f>
        <v/>
      </c>
      <c r="J251" s="24">
        <f>IF('ORDENES'!$A229="","",IF('ORDENES'!$D229="","-",'ORDENES'!$D229))</f>
        <v/>
      </c>
      <c r="K251" s="24">
        <f>IF('ORDENES'!$A229="","",IF('ORDENES'!$E229="","-",'ORDENES'!$E229))</f>
        <v/>
      </c>
      <c r="L251" s="26">
        <f>IF('ORDENES'!$A229="","",IF('ORDENES'!$M229="",0,'ORDENES'!$M229))</f>
        <v/>
      </c>
      <c r="M251" s="24">
        <f>IF('ORDENES'!$A229="","",IF('ORDENES'!$N229="","-",'ORDENES'!$N229))</f>
        <v/>
      </c>
      <c r="N251" s="24">
        <f>IF('ORDENES'!$A229="","",'ORDENES'!$AG229)</f>
        <v/>
      </c>
    </row>
    <row r="252">
      <c r="A252" s="24">
        <f>IF('ORDENES'!$A230="","",IF('ORDENES'!$O230="","-",'ORDENES'!$O230))</f>
        <v/>
      </c>
      <c r="B252" s="24">
        <f>IF('ORDENES'!$A230="","",IF('ORDENES'!$S230="","-",'ORDENES'!$S230))</f>
        <v/>
      </c>
      <c r="C252" s="24">
        <f>IF('ORDENES'!$A230="","",IF('ORDENES'!$AI230="","-",'ORDENES'!$AI230))</f>
        <v/>
      </c>
      <c r="D252" s="24">
        <f>IF('ORDENES'!$A230="","",IF('ORDENES'!$AA230="","-",'ORDENES'!$AA230))</f>
        <v/>
      </c>
      <c r="E252" s="24">
        <f>IF('ORDENES'!$A230="","",IF('ORDENES'!$Y230="","-",'ORDENES'!$Y230))</f>
        <v/>
      </c>
      <c r="F252" s="24">
        <f>IF('ORDENES'!$A230="","",IF('ORDENES'!$AB230="","-",'ORDENES'!$AB230))</f>
        <v/>
      </c>
      <c r="G252" s="24">
        <f>IF('ORDENES'!$A230="","",IF('ORDENES'!$Z230="","-",'ORDENES'!$Z230))</f>
        <v/>
      </c>
      <c r="H252" s="24">
        <f>IF('ORDENES'!$A230="","",IF('ORDENES'!$AH230="","-",'ORDENES'!$AH230))</f>
        <v/>
      </c>
      <c r="I252" s="24">
        <f>IF('ORDENES'!$A230="","",IF('ORDENES'!$AU230="","-",'ORDENES'!$AU230))</f>
        <v/>
      </c>
      <c r="J252" s="24">
        <f>IF('ORDENES'!$A230="","",IF('ORDENES'!$D230="","-",'ORDENES'!$D230))</f>
        <v/>
      </c>
      <c r="K252" s="24">
        <f>IF('ORDENES'!$A230="","",IF('ORDENES'!$E230="","-",'ORDENES'!$E230))</f>
        <v/>
      </c>
      <c r="L252" s="26">
        <f>IF('ORDENES'!$A230="","",IF('ORDENES'!$M230="",0,'ORDENES'!$M230))</f>
        <v/>
      </c>
      <c r="M252" s="24">
        <f>IF('ORDENES'!$A230="","",IF('ORDENES'!$N230="","-",'ORDENES'!$N230))</f>
        <v/>
      </c>
      <c r="N252" s="24">
        <f>IF('ORDENES'!$A230="","",'ORDENES'!$AG230)</f>
        <v/>
      </c>
    </row>
    <row r="253">
      <c r="A253" s="24">
        <f>IF('ORDENES'!$A231="","",IF('ORDENES'!$O231="","-",'ORDENES'!$O231))</f>
        <v/>
      </c>
      <c r="B253" s="24">
        <f>IF('ORDENES'!$A231="","",IF('ORDENES'!$S231="","-",'ORDENES'!$S231))</f>
        <v/>
      </c>
      <c r="C253" s="24">
        <f>IF('ORDENES'!$A231="","",IF('ORDENES'!$AI231="","-",'ORDENES'!$AI231))</f>
        <v/>
      </c>
      <c r="D253" s="24">
        <f>IF('ORDENES'!$A231="","",IF('ORDENES'!$AA231="","-",'ORDENES'!$AA231))</f>
        <v/>
      </c>
      <c r="E253" s="24">
        <f>IF('ORDENES'!$A231="","",IF('ORDENES'!$Y231="","-",'ORDENES'!$Y231))</f>
        <v/>
      </c>
      <c r="F253" s="24">
        <f>IF('ORDENES'!$A231="","",IF('ORDENES'!$AB231="","-",'ORDENES'!$AB231))</f>
        <v/>
      </c>
      <c r="G253" s="24">
        <f>IF('ORDENES'!$A231="","",IF('ORDENES'!$Z231="","-",'ORDENES'!$Z231))</f>
        <v/>
      </c>
      <c r="H253" s="24">
        <f>IF('ORDENES'!$A231="","",IF('ORDENES'!$AH231="","-",'ORDENES'!$AH231))</f>
        <v/>
      </c>
      <c r="I253" s="24">
        <f>IF('ORDENES'!$A231="","",IF('ORDENES'!$AU231="","-",'ORDENES'!$AU231))</f>
        <v/>
      </c>
      <c r="J253" s="24">
        <f>IF('ORDENES'!$A231="","",IF('ORDENES'!$D231="","-",'ORDENES'!$D231))</f>
        <v/>
      </c>
      <c r="K253" s="24">
        <f>IF('ORDENES'!$A231="","",IF('ORDENES'!$E231="","-",'ORDENES'!$E231))</f>
        <v/>
      </c>
      <c r="L253" s="26">
        <f>IF('ORDENES'!$A231="","",IF('ORDENES'!$M231="",0,'ORDENES'!$M231))</f>
        <v/>
      </c>
      <c r="M253" s="24">
        <f>IF('ORDENES'!$A231="","",IF('ORDENES'!$N231="","-",'ORDENES'!$N231))</f>
        <v/>
      </c>
      <c r="N253" s="24">
        <f>IF('ORDENES'!$A231="","",'ORDENES'!$AG231)</f>
        <v/>
      </c>
    </row>
    <row r="254">
      <c r="A254" s="24">
        <f>IF('ORDENES'!$A232="","",IF('ORDENES'!$O232="","-",'ORDENES'!$O232))</f>
        <v/>
      </c>
      <c r="B254" s="24">
        <f>IF('ORDENES'!$A232="","",IF('ORDENES'!$S232="","-",'ORDENES'!$S232))</f>
        <v/>
      </c>
      <c r="C254" s="24">
        <f>IF('ORDENES'!$A232="","",IF('ORDENES'!$AI232="","-",'ORDENES'!$AI232))</f>
        <v/>
      </c>
      <c r="D254" s="24">
        <f>IF('ORDENES'!$A232="","",IF('ORDENES'!$AA232="","-",'ORDENES'!$AA232))</f>
        <v/>
      </c>
      <c r="E254" s="24">
        <f>IF('ORDENES'!$A232="","",IF('ORDENES'!$Y232="","-",'ORDENES'!$Y232))</f>
        <v/>
      </c>
      <c r="F254" s="24">
        <f>IF('ORDENES'!$A232="","",IF('ORDENES'!$AB232="","-",'ORDENES'!$AB232))</f>
        <v/>
      </c>
      <c r="G254" s="24">
        <f>IF('ORDENES'!$A232="","",IF('ORDENES'!$Z232="","-",'ORDENES'!$Z232))</f>
        <v/>
      </c>
      <c r="H254" s="24">
        <f>IF('ORDENES'!$A232="","",IF('ORDENES'!$AH232="","-",'ORDENES'!$AH232))</f>
        <v/>
      </c>
      <c r="I254" s="24">
        <f>IF('ORDENES'!$A232="","",IF('ORDENES'!$AU232="","-",'ORDENES'!$AU232))</f>
        <v/>
      </c>
      <c r="J254" s="24">
        <f>IF('ORDENES'!$A232="","",IF('ORDENES'!$D232="","-",'ORDENES'!$D232))</f>
        <v/>
      </c>
      <c r="K254" s="24">
        <f>IF('ORDENES'!$A232="","",IF('ORDENES'!$E232="","-",'ORDENES'!$E232))</f>
        <v/>
      </c>
      <c r="L254" s="26">
        <f>IF('ORDENES'!$A232="","",IF('ORDENES'!$M232="",0,'ORDENES'!$M232))</f>
        <v/>
      </c>
      <c r="M254" s="24">
        <f>IF('ORDENES'!$A232="","",IF('ORDENES'!$N232="","-",'ORDENES'!$N232))</f>
        <v/>
      </c>
      <c r="N254" s="24">
        <f>IF('ORDENES'!$A232="","",'ORDENES'!$AG232)</f>
        <v/>
      </c>
    </row>
    <row r="255">
      <c r="A255" s="24">
        <f>IF('ORDENES'!$A233="","",IF('ORDENES'!$O233="","-",'ORDENES'!$O233))</f>
        <v/>
      </c>
      <c r="B255" s="24">
        <f>IF('ORDENES'!$A233="","",IF('ORDENES'!$S233="","-",'ORDENES'!$S233))</f>
        <v/>
      </c>
      <c r="C255" s="24">
        <f>IF('ORDENES'!$A233="","",IF('ORDENES'!$AI233="","-",'ORDENES'!$AI233))</f>
        <v/>
      </c>
      <c r="D255" s="24">
        <f>IF('ORDENES'!$A233="","",IF('ORDENES'!$AA233="","-",'ORDENES'!$AA233))</f>
        <v/>
      </c>
      <c r="E255" s="24">
        <f>IF('ORDENES'!$A233="","",IF('ORDENES'!$Y233="","-",'ORDENES'!$Y233))</f>
        <v/>
      </c>
      <c r="F255" s="24">
        <f>IF('ORDENES'!$A233="","",IF('ORDENES'!$AB233="","-",'ORDENES'!$AB233))</f>
        <v/>
      </c>
      <c r="G255" s="24">
        <f>IF('ORDENES'!$A233="","",IF('ORDENES'!$Z233="","-",'ORDENES'!$Z233))</f>
        <v/>
      </c>
      <c r="H255" s="24">
        <f>IF('ORDENES'!$A233="","",IF('ORDENES'!$AH233="","-",'ORDENES'!$AH233))</f>
        <v/>
      </c>
      <c r="I255" s="24">
        <f>IF('ORDENES'!$A233="","",IF('ORDENES'!$AU233="","-",'ORDENES'!$AU233))</f>
        <v/>
      </c>
      <c r="J255" s="24">
        <f>IF('ORDENES'!$A233="","",IF('ORDENES'!$D233="","-",'ORDENES'!$D233))</f>
        <v/>
      </c>
      <c r="K255" s="24">
        <f>IF('ORDENES'!$A233="","",IF('ORDENES'!$E233="","-",'ORDENES'!$E233))</f>
        <v/>
      </c>
      <c r="L255" s="26">
        <f>IF('ORDENES'!$A233="","",IF('ORDENES'!$M233="",0,'ORDENES'!$M233))</f>
        <v/>
      </c>
      <c r="M255" s="24">
        <f>IF('ORDENES'!$A233="","",IF('ORDENES'!$N233="","-",'ORDENES'!$N233))</f>
        <v/>
      </c>
      <c r="N255" s="24">
        <f>IF('ORDENES'!$A233="","",'ORDENES'!$AG233)</f>
        <v/>
      </c>
    </row>
    <row r="256">
      <c r="A256" s="24">
        <f>IF('ORDENES'!$A234="","",IF('ORDENES'!$O234="","-",'ORDENES'!$O234))</f>
        <v/>
      </c>
      <c r="B256" s="24">
        <f>IF('ORDENES'!$A234="","",IF('ORDENES'!$S234="","-",'ORDENES'!$S234))</f>
        <v/>
      </c>
      <c r="C256" s="24">
        <f>IF('ORDENES'!$A234="","",IF('ORDENES'!$AI234="","-",'ORDENES'!$AI234))</f>
        <v/>
      </c>
      <c r="D256" s="24">
        <f>IF('ORDENES'!$A234="","",IF('ORDENES'!$AA234="","-",'ORDENES'!$AA234))</f>
        <v/>
      </c>
      <c r="E256" s="24">
        <f>IF('ORDENES'!$A234="","",IF('ORDENES'!$Y234="","-",'ORDENES'!$Y234))</f>
        <v/>
      </c>
      <c r="F256" s="24">
        <f>IF('ORDENES'!$A234="","",IF('ORDENES'!$AB234="","-",'ORDENES'!$AB234))</f>
        <v/>
      </c>
      <c r="G256" s="24">
        <f>IF('ORDENES'!$A234="","",IF('ORDENES'!$Z234="","-",'ORDENES'!$Z234))</f>
        <v/>
      </c>
      <c r="H256" s="24">
        <f>IF('ORDENES'!$A234="","",IF('ORDENES'!$AH234="","-",'ORDENES'!$AH234))</f>
        <v/>
      </c>
      <c r="I256" s="24">
        <f>IF('ORDENES'!$A234="","",IF('ORDENES'!$AU234="","-",'ORDENES'!$AU234))</f>
        <v/>
      </c>
      <c r="J256" s="24">
        <f>IF('ORDENES'!$A234="","",IF('ORDENES'!$D234="","-",'ORDENES'!$D234))</f>
        <v/>
      </c>
      <c r="K256" s="24">
        <f>IF('ORDENES'!$A234="","",IF('ORDENES'!$E234="","-",'ORDENES'!$E234))</f>
        <v/>
      </c>
      <c r="L256" s="26">
        <f>IF('ORDENES'!$A234="","",IF('ORDENES'!$M234="",0,'ORDENES'!$M234))</f>
        <v/>
      </c>
      <c r="M256" s="24">
        <f>IF('ORDENES'!$A234="","",IF('ORDENES'!$N234="","-",'ORDENES'!$N234))</f>
        <v/>
      </c>
      <c r="N256" s="24">
        <f>IF('ORDENES'!$A234="","",'ORDENES'!$AG234)</f>
        <v/>
      </c>
    </row>
    <row r="257">
      <c r="A257" s="24">
        <f>IF('ORDENES'!$A235="","",IF('ORDENES'!$O235="","-",'ORDENES'!$O235))</f>
        <v/>
      </c>
      <c r="B257" s="24">
        <f>IF('ORDENES'!$A235="","",IF('ORDENES'!$S235="","-",'ORDENES'!$S235))</f>
        <v/>
      </c>
      <c r="C257" s="24">
        <f>IF('ORDENES'!$A235="","",IF('ORDENES'!$AI235="","-",'ORDENES'!$AI235))</f>
        <v/>
      </c>
      <c r="D257" s="24">
        <f>IF('ORDENES'!$A235="","",IF('ORDENES'!$AA235="","-",'ORDENES'!$AA235))</f>
        <v/>
      </c>
      <c r="E257" s="24">
        <f>IF('ORDENES'!$A235="","",IF('ORDENES'!$Y235="","-",'ORDENES'!$Y235))</f>
        <v/>
      </c>
      <c r="F257" s="24">
        <f>IF('ORDENES'!$A235="","",IF('ORDENES'!$AB235="","-",'ORDENES'!$AB235))</f>
        <v/>
      </c>
      <c r="G257" s="24">
        <f>IF('ORDENES'!$A235="","",IF('ORDENES'!$Z235="","-",'ORDENES'!$Z235))</f>
        <v/>
      </c>
      <c r="H257" s="24">
        <f>IF('ORDENES'!$A235="","",IF('ORDENES'!$AH235="","-",'ORDENES'!$AH235))</f>
        <v/>
      </c>
      <c r="I257" s="24">
        <f>IF('ORDENES'!$A235="","",IF('ORDENES'!$AU235="","-",'ORDENES'!$AU235))</f>
        <v/>
      </c>
      <c r="J257" s="24">
        <f>IF('ORDENES'!$A235="","",IF('ORDENES'!$D235="","-",'ORDENES'!$D235))</f>
        <v/>
      </c>
      <c r="K257" s="24">
        <f>IF('ORDENES'!$A235="","",IF('ORDENES'!$E235="","-",'ORDENES'!$E235))</f>
        <v/>
      </c>
      <c r="L257" s="26">
        <f>IF('ORDENES'!$A235="","",IF('ORDENES'!$M235="",0,'ORDENES'!$M235))</f>
        <v/>
      </c>
      <c r="M257" s="24">
        <f>IF('ORDENES'!$A235="","",IF('ORDENES'!$N235="","-",'ORDENES'!$N235))</f>
        <v/>
      </c>
      <c r="N257" s="24">
        <f>IF('ORDENES'!$A235="","",'ORDENES'!$AG235)</f>
        <v/>
      </c>
    </row>
    <row r="258">
      <c r="A258" s="24">
        <f>IF('ORDENES'!$A236="","",IF('ORDENES'!$O236="","-",'ORDENES'!$O236))</f>
        <v/>
      </c>
      <c r="B258" s="24">
        <f>IF('ORDENES'!$A236="","",IF('ORDENES'!$S236="","-",'ORDENES'!$S236))</f>
        <v/>
      </c>
      <c r="C258" s="24">
        <f>IF('ORDENES'!$A236="","",IF('ORDENES'!$AI236="","-",'ORDENES'!$AI236))</f>
        <v/>
      </c>
      <c r="D258" s="24">
        <f>IF('ORDENES'!$A236="","",IF('ORDENES'!$AA236="","-",'ORDENES'!$AA236))</f>
        <v/>
      </c>
      <c r="E258" s="24">
        <f>IF('ORDENES'!$A236="","",IF('ORDENES'!$Y236="","-",'ORDENES'!$Y236))</f>
        <v/>
      </c>
      <c r="F258" s="24">
        <f>IF('ORDENES'!$A236="","",IF('ORDENES'!$AB236="","-",'ORDENES'!$AB236))</f>
        <v/>
      </c>
      <c r="G258" s="24">
        <f>IF('ORDENES'!$A236="","",IF('ORDENES'!$Z236="","-",'ORDENES'!$Z236))</f>
        <v/>
      </c>
      <c r="H258" s="24">
        <f>IF('ORDENES'!$A236="","",IF('ORDENES'!$AH236="","-",'ORDENES'!$AH236))</f>
        <v/>
      </c>
      <c r="I258" s="24">
        <f>IF('ORDENES'!$A236="","",IF('ORDENES'!$AU236="","-",'ORDENES'!$AU236))</f>
        <v/>
      </c>
      <c r="J258" s="24">
        <f>IF('ORDENES'!$A236="","",IF('ORDENES'!$D236="","-",'ORDENES'!$D236))</f>
        <v/>
      </c>
      <c r="K258" s="24">
        <f>IF('ORDENES'!$A236="","",IF('ORDENES'!$E236="","-",'ORDENES'!$E236))</f>
        <v/>
      </c>
      <c r="L258" s="26">
        <f>IF('ORDENES'!$A236="","",IF('ORDENES'!$M236="",0,'ORDENES'!$M236))</f>
        <v/>
      </c>
      <c r="M258" s="24">
        <f>IF('ORDENES'!$A236="","",IF('ORDENES'!$N236="","-",'ORDENES'!$N236))</f>
        <v/>
      </c>
      <c r="N258" s="24">
        <f>IF('ORDENES'!$A236="","",'ORDENES'!$AG236)</f>
        <v/>
      </c>
    </row>
    <row r="259">
      <c r="A259" s="24">
        <f>IF('ORDENES'!$A237="","",IF('ORDENES'!$O237="","-",'ORDENES'!$O237))</f>
        <v/>
      </c>
      <c r="B259" s="24">
        <f>IF('ORDENES'!$A237="","",IF('ORDENES'!$S237="","-",'ORDENES'!$S237))</f>
        <v/>
      </c>
      <c r="C259" s="24">
        <f>IF('ORDENES'!$A237="","",IF('ORDENES'!$AI237="","-",'ORDENES'!$AI237))</f>
        <v/>
      </c>
      <c r="D259" s="24">
        <f>IF('ORDENES'!$A237="","",IF('ORDENES'!$AA237="","-",'ORDENES'!$AA237))</f>
        <v/>
      </c>
      <c r="E259" s="24">
        <f>IF('ORDENES'!$A237="","",IF('ORDENES'!$Y237="","-",'ORDENES'!$Y237))</f>
        <v/>
      </c>
      <c r="F259" s="24">
        <f>IF('ORDENES'!$A237="","",IF('ORDENES'!$AB237="","-",'ORDENES'!$AB237))</f>
        <v/>
      </c>
      <c r="G259" s="24">
        <f>IF('ORDENES'!$A237="","",IF('ORDENES'!$Z237="","-",'ORDENES'!$Z237))</f>
        <v/>
      </c>
      <c r="H259" s="24">
        <f>IF('ORDENES'!$A237="","",IF('ORDENES'!$AH237="","-",'ORDENES'!$AH237))</f>
        <v/>
      </c>
      <c r="I259" s="24">
        <f>IF('ORDENES'!$A237="","",IF('ORDENES'!$AU237="","-",'ORDENES'!$AU237))</f>
        <v/>
      </c>
      <c r="J259" s="24">
        <f>IF('ORDENES'!$A237="","",IF('ORDENES'!$D237="","-",'ORDENES'!$D237))</f>
        <v/>
      </c>
      <c r="K259" s="24">
        <f>IF('ORDENES'!$A237="","",IF('ORDENES'!$E237="","-",'ORDENES'!$E237))</f>
        <v/>
      </c>
      <c r="L259" s="26">
        <f>IF('ORDENES'!$A237="","",IF('ORDENES'!$M237="",0,'ORDENES'!$M237))</f>
        <v/>
      </c>
      <c r="M259" s="24">
        <f>IF('ORDENES'!$A237="","",IF('ORDENES'!$N237="","-",'ORDENES'!$N237))</f>
        <v/>
      </c>
      <c r="N259" s="24">
        <f>IF('ORDENES'!$A237="","",'ORDENES'!$AG237)</f>
        <v/>
      </c>
    </row>
    <row r="260">
      <c r="A260" s="24">
        <f>IF('ORDENES'!$A238="","",IF('ORDENES'!$O238="","-",'ORDENES'!$O238))</f>
        <v/>
      </c>
      <c r="B260" s="24">
        <f>IF('ORDENES'!$A238="","",IF('ORDENES'!$S238="","-",'ORDENES'!$S238))</f>
        <v/>
      </c>
      <c r="C260" s="24">
        <f>IF('ORDENES'!$A238="","",IF('ORDENES'!$AI238="","-",'ORDENES'!$AI238))</f>
        <v/>
      </c>
      <c r="D260" s="24">
        <f>IF('ORDENES'!$A238="","",IF('ORDENES'!$AA238="","-",'ORDENES'!$AA238))</f>
        <v/>
      </c>
      <c r="E260" s="24">
        <f>IF('ORDENES'!$A238="","",IF('ORDENES'!$Y238="","-",'ORDENES'!$Y238))</f>
        <v/>
      </c>
      <c r="F260" s="24">
        <f>IF('ORDENES'!$A238="","",IF('ORDENES'!$AB238="","-",'ORDENES'!$AB238))</f>
        <v/>
      </c>
      <c r="G260" s="24">
        <f>IF('ORDENES'!$A238="","",IF('ORDENES'!$Z238="","-",'ORDENES'!$Z238))</f>
        <v/>
      </c>
      <c r="H260" s="24">
        <f>IF('ORDENES'!$A238="","",IF('ORDENES'!$AH238="","-",'ORDENES'!$AH238))</f>
        <v/>
      </c>
      <c r="I260" s="24">
        <f>IF('ORDENES'!$A238="","",IF('ORDENES'!$AU238="","-",'ORDENES'!$AU238))</f>
        <v/>
      </c>
      <c r="J260" s="24">
        <f>IF('ORDENES'!$A238="","",IF('ORDENES'!$D238="","-",'ORDENES'!$D238))</f>
        <v/>
      </c>
      <c r="K260" s="24">
        <f>IF('ORDENES'!$A238="","",IF('ORDENES'!$E238="","-",'ORDENES'!$E238))</f>
        <v/>
      </c>
      <c r="L260" s="26">
        <f>IF('ORDENES'!$A238="","",IF('ORDENES'!$M238="",0,'ORDENES'!$M238))</f>
        <v/>
      </c>
      <c r="M260" s="24">
        <f>IF('ORDENES'!$A238="","",IF('ORDENES'!$N238="","-",'ORDENES'!$N238))</f>
        <v/>
      </c>
      <c r="N260" s="24">
        <f>IF('ORDENES'!$A238="","",'ORDENES'!$AG238)</f>
        <v/>
      </c>
    </row>
    <row r="261">
      <c r="A261" s="24">
        <f>IF('ORDENES'!$A239="","",IF('ORDENES'!$O239="","-",'ORDENES'!$O239))</f>
        <v/>
      </c>
      <c r="B261" s="24">
        <f>IF('ORDENES'!$A239="","",IF('ORDENES'!$S239="","-",'ORDENES'!$S239))</f>
        <v/>
      </c>
      <c r="C261" s="24">
        <f>IF('ORDENES'!$A239="","",IF('ORDENES'!$AI239="","-",'ORDENES'!$AI239))</f>
        <v/>
      </c>
      <c r="D261" s="24">
        <f>IF('ORDENES'!$A239="","",IF('ORDENES'!$AA239="","-",'ORDENES'!$AA239))</f>
        <v/>
      </c>
      <c r="E261" s="24">
        <f>IF('ORDENES'!$A239="","",IF('ORDENES'!$Y239="","-",'ORDENES'!$Y239))</f>
        <v/>
      </c>
      <c r="F261" s="24">
        <f>IF('ORDENES'!$A239="","",IF('ORDENES'!$AB239="","-",'ORDENES'!$AB239))</f>
        <v/>
      </c>
      <c r="G261" s="24">
        <f>IF('ORDENES'!$A239="","",IF('ORDENES'!$Z239="","-",'ORDENES'!$Z239))</f>
        <v/>
      </c>
      <c r="H261" s="24">
        <f>IF('ORDENES'!$A239="","",IF('ORDENES'!$AH239="","-",'ORDENES'!$AH239))</f>
        <v/>
      </c>
      <c r="I261" s="24">
        <f>IF('ORDENES'!$A239="","",IF('ORDENES'!$AU239="","-",'ORDENES'!$AU239))</f>
        <v/>
      </c>
      <c r="J261" s="24">
        <f>IF('ORDENES'!$A239="","",IF('ORDENES'!$D239="","-",'ORDENES'!$D239))</f>
        <v/>
      </c>
      <c r="K261" s="24">
        <f>IF('ORDENES'!$A239="","",IF('ORDENES'!$E239="","-",'ORDENES'!$E239))</f>
        <v/>
      </c>
      <c r="L261" s="26">
        <f>IF('ORDENES'!$A239="","",IF('ORDENES'!$M239="",0,'ORDENES'!$M239))</f>
        <v/>
      </c>
      <c r="M261" s="24">
        <f>IF('ORDENES'!$A239="","",IF('ORDENES'!$N239="","-",'ORDENES'!$N239))</f>
        <v/>
      </c>
      <c r="N261" s="24">
        <f>IF('ORDENES'!$A239="","",'ORDENES'!$AG239)</f>
        <v/>
      </c>
    </row>
    <row r="262">
      <c r="A262" s="24">
        <f>IF('ORDENES'!$A240="","",IF('ORDENES'!$O240="","-",'ORDENES'!$O240))</f>
        <v/>
      </c>
      <c r="B262" s="24">
        <f>IF('ORDENES'!$A240="","",IF('ORDENES'!$S240="","-",'ORDENES'!$S240))</f>
        <v/>
      </c>
      <c r="C262" s="24">
        <f>IF('ORDENES'!$A240="","",IF('ORDENES'!$AI240="","-",'ORDENES'!$AI240))</f>
        <v/>
      </c>
      <c r="D262" s="24">
        <f>IF('ORDENES'!$A240="","",IF('ORDENES'!$AA240="","-",'ORDENES'!$AA240))</f>
        <v/>
      </c>
      <c r="E262" s="24">
        <f>IF('ORDENES'!$A240="","",IF('ORDENES'!$Y240="","-",'ORDENES'!$Y240))</f>
        <v/>
      </c>
      <c r="F262" s="24">
        <f>IF('ORDENES'!$A240="","",IF('ORDENES'!$AB240="","-",'ORDENES'!$AB240))</f>
        <v/>
      </c>
      <c r="G262" s="24">
        <f>IF('ORDENES'!$A240="","",IF('ORDENES'!$Z240="","-",'ORDENES'!$Z240))</f>
        <v/>
      </c>
      <c r="H262" s="24">
        <f>IF('ORDENES'!$A240="","",IF('ORDENES'!$AH240="","-",'ORDENES'!$AH240))</f>
        <v/>
      </c>
      <c r="I262" s="24">
        <f>IF('ORDENES'!$A240="","",IF('ORDENES'!$AU240="","-",'ORDENES'!$AU240))</f>
        <v/>
      </c>
      <c r="J262" s="24">
        <f>IF('ORDENES'!$A240="","",IF('ORDENES'!$D240="","-",'ORDENES'!$D240))</f>
        <v/>
      </c>
      <c r="K262" s="24">
        <f>IF('ORDENES'!$A240="","",IF('ORDENES'!$E240="","-",'ORDENES'!$E240))</f>
        <v/>
      </c>
      <c r="L262" s="26">
        <f>IF('ORDENES'!$A240="","",IF('ORDENES'!$M240="",0,'ORDENES'!$M240))</f>
        <v/>
      </c>
      <c r="M262" s="24">
        <f>IF('ORDENES'!$A240="","",IF('ORDENES'!$N240="","-",'ORDENES'!$N240))</f>
        <v/>
      </c>
      <c r="N262" s="24">
        <f>IF('ORDENES'!$A240="","",'ORDENES'!$AG240)</f>
        <v/>
      </c>
    </row>
    <row r="263">
      <c r="A263" s="24">
        <f>IF('ORDENES'!$A241="","",IF('ORDENES'!$O241="","-",'ORDENES'!$O241))</f>
        <v/>
      </c>
      <c r="B263" s="24">
        <f>IF('ORDENES'!$A241="","",IF('ORDENES'!$S241="","-",'ORDENES'!$S241))</f>
        <v/>
      </c>
      <c r="C263" s="24">
        <f>IF('ORDENES'!$A241="","",IF('ORDENES'!$AI241="","-",'ORDENES'!$AI241))</f>
        <v/>
      </c>
      <c r="D263" s="24">
        <f>IF('ORDENES'!$A241="","",IF('ORDENES'!$AA241="","-",'ORDENES'!$AA241))</f>
        <v/>
      </c>
      <c r="E263" s="24">
        <f>IF('ORDENES'!$A241="","",IF('ORDENES'!$Y241="","-",'ORDENES'!$Y241))</f>
        <v/>
      </c>
      <c r="F263" s="24">
        <f>IF('ORDENES'!$A241="","",IF('ORDENES'!$AB241="","-",'ORDENES'!$AB241))</f>
        <v/>
      </c>
      <c r="G263" s="24">
        <f>IF('ORDENES'!$A241="","",IF('ORDENES'!$Z241="","-",'ORDENES'!$Z241))</f>
        <v/>
      </c>
      <c r="H263" s="24">
        <f>IF('ORDENES'!$A241="","",IF('ORDENES'!$AH241="","-",'ORDENES'!$AH241))</f>
        <v/>
      </c>
      <c r="I263" s="24">
        <f>IF('ORDENES'!$A241="","",IF('ORDENES'!$AU241="","-",'ORDENES'!$AU241))</f>
        <v/>
      </c>
      <c r="J263" s="24">
        <f>IF('ORDENES'!$A241="","",IF('ORDENES'!$D241="","-",'ORDENES'!$D241))</f>
        <v/>
      </c>
      <c r="K263" s="24">
        <f>IF('ORDENES'!$A241="","",IF('ORDENES'!$E241="","-",'ORDENES'!$E241))</f>
        <v/>
      </c>
      <c r="L263" s="26">
        <f>IF('ORDENES'!$A241="","",IF('ORDENES'!$M241="",0,'ORDENES'!$M241))</f>
        <v/>
      </c>
      <c r="M263" s="24">
        <f>IF('ORDENES'!$A241="","",IF('ORDENES'!$N241="","-",'ORDENES'!$N241))</f>
        <v/>
      </c>
      <c r="N263" s="24">
        <f>IF('ORDENES'!$A241="","",'ORDENES'!$AG241)</f>
        <v/>
      </c>
    </row>
    <row r="264">
      <c r="A264" s="24">
        <f>IF('ORDENES'!$A242="","",IF('ORDENES'!$O242="","-",'ORDENES'!$O242))</f>
        <v/>
      </c>
      <c r="B264" s="24">
        <f>IF('ORDENES'!$A242="","",IF('ORDENES'!$S242="","-",'ORDENES'!$S242))</f>
        <v/>
      </c>
      <c r="C264" s="24">
        <f>IF('ORDENES'!$A242="","",IF('ORDENES'!$AI242="","-",'ORDENES'!$AI242))</f>
        <v/>
      </c>
      <c r="D264" s="24">
        <f>IF('ORDENES'!$A242="","",IF('ORDENES'!$AA242="","-",'ORDENES'!$AA242))</f>
        <v/>
      </c>
      <c r="E264" s="24">
        <f>IF('ORDENES'!$A242="","",IF('ORDENES'!$Y242="","-",'ORDENES'!$Y242))</f>
        <v/>
      </c>
      <c r="F264" s="24">
        <f>IF('ORDENES'!$A242="","",IF('ORDENES'!$AB242="","-",'ORDENES'!$AB242))</f>
        <v/>
      </c>
      <c r="G264" s="24">
        <f>IF('ORDENES'!$A242="","",IF('ORDENES'!$Z242="","-",'ORDENES'!$Z242))</f>
        <v/>
      </c>
      <c r="H264" s="24">
        <f>IF('ORDENES'!$A242="","",IF('ORDENES'!$AH242="","-",'ORDENES'!$AH242))</f>
        <v/>
      </c>
      <c r="I264" s="24">
        <f>IF('ORDENES'!$A242="","",IF('ORDENES'!$AU242="","-",'ORDENES'!$AU242))</f>
        <v/>
      </c>
      <c r="J264" s="24">
        <f>IF('ORDENES'!$A242="","",IF('ORDENES'!$D242="","-",'ORDENES'!$D242))</f>
        <v/>
      </c>
      <c r="K264" s="24">
        <f>IF('ORDENES'!$A242="","",IF('ORDENES'!$E242="","-",'ORDENES'!$E242))</f>
        <v/>
      </c>
      <c r="L264" s="26">
        <f>IF('ORDENES'!$A242="","",IF('ORDENES'!$M242="",0,'ORDENES'!$M242))</f>
        <v/>
      </c>
      <c r="M264" s="24">
        <f>IF('ORDENES'!$A242="","",IF('ORDENES'!$N242="","-",'ORDENES'!$N242))</f>
        <v/>
      </c>
      <c r="N264" s="24">
        <f>IF('ORDENES'!$A242="","",'ORDENES'!$AG242)</f>
        <v/>
      </c>
    </row>
    <row r="265">
      <c r="A265" s="24">
        <f>IF('ORDENES'!$A243="","",IF('ORDENES'!$O243="","-",'ORDENES'!$O243))</f>
        <v/>
      </c>
      <c r="B265" s="24">
        <f>IF('ORDENES'!$A243="","",IF('ORDENES'!$S243="","-",'ORDENES'!$S243))</f>
        <v/>
      </c>
      <c r="C265" s="24">
        <f>IF('ORDENES'!$A243="","",IF('ORDENES'!$AI243="","-",'ORDENES'!$AI243))</f>
        <v/>
      </c>
      <c r="D265" s="24">
        <f>IF('ORDENES'!$A243="","",IF('ORDENES'!$AA243="","-",'ORDENES'!$AA243))</f>
        <v/>
      </c>
      <c r="E265" s="24">
        <f>IF('ORDENES'!$A243="","",IF('ORDENES'!$Y243="","-",'ORDENES'!$Y243))</f>
        <v/>
      </c>
      <c r="F265" s="24">
        <f>IF('ORDENES'!$A243="","",IF('ORDENES'!$AB243="","-",'ORDENES'!$AB243))</f>
        <v/>
      </c>
      <c r="G265" s="24">
        <f>IF('ORDENES'!$A243="","",IF('ORDENES'!$Z243="","-",'ORDENES'!$Z243))</f>
        <v/>
      </c>
      <c r="H265" s="24">
        <f>IF('ORDENES'!$A243="","",IF('ORDENES'!$AH243="","-",'ORDENES'!$AH243))</f>
        <v/>
      </c>
      <c r="I265" s="24">
        <f>IF('ORDENES'!$A243="","",IF('ORDENES'!$AU243="","-",'ORDENES'!$AU243))</f>
        <v/>
      </c>
      <c r="J265" s="24">
        <f>IF('ORDENES'!$A243="","",IF('ORDENES'!$D243="","-",'ORDENES'!$D243))</f>
        <v/>
      </c>
      <c r="K265" s="24">
        <f>IF('ORDENES'!$A243="","",IF('ORDENES'!$E243="","-",'ORDENES'!$E243))</f>
        <v/>
      </c>
      <c r="L265" s="26">
        <f>IF('ORDENES'!$A243="","",IF('ORDENES'!$M243="",0,'ORDENES'!$M243))</f>
        <v/>
      </c>
      <c r="M265" s="24">
        <f>IF('ORDENES'!$A243="","",IF('ORDENES'!$N243="","-",'ORDENES'!$N243))</f>
        <v/>
      </c>
      <c r="N265" s="24">
        <f>IF('ORDENES'!$A243="","",'ORDENES'!$AG243)</f>
        <v/>
      </c>
    </row>
    <row r="266">
      <c r="A266" s="24">
        <f>IF('ORDENES'!$A244="","",IF('ORDENES'!$O244="","-",'ORDENES'!$O244))</f>
        <v/>
      </c>
      <c r="B266" s="24">
        <f>IF('ORDENES'!$A244="","",IF('ORDENES'!$S244="","-",'ORDENES'!$S244))</f>
        <v/>
      </c>
      <c r="C266" s="24">
        <f>IF('ORDENES'!$A244="","",IF('ORDENES'!$AI244="","-",'ORDENES'!$AI244))</f>
        <v/>
      </c>
      <c r="D266" s="24">
        <f>IF('ORDENES'!$A244="","",IF('ORDENES'!$AA244="","-",'ORDENES'!$AA244))</f>
        <v/>
      </c>
      <c r="E266" s="24">
        <f>IF('ORDENES'!$A244="","",IF('ORDENES'!$Y244="","-",'ORDENES'!$Y244))</f>
        <v/>
      </c>
      <c r="F266" s="24">
        <f>IF('ORDENES'!$A244="","",IF('ORDENES'!$AB244="","-",'ORDENES'!$AB244))</f>
        <v/>
      </c>
      <c r="G266" s="24">
        <f>IF('ORDENES'!$A244="","",IF('ORDENES'!$Z244="","-",'ORDENES'!$Z244))</f>
        <v/>
      </c>
      <c r="H266" s="24">
        <f>IF('ORDENES'!$A244="","",IF('ORDENES'!$AH244="","-",'ORDENES'!$AH244))</f>
        <v/>
      </c>
      <c r="I266" s="24">
        <f>IF('ORDENES'!$A244="","",IF('ORDENES'!$AU244="","-",'ORDENES'!$AU244))</f>
        <v/>
      </c>
      <c r="J266" s="24">
        <f>IF('ORDENES'!$A244="","",IF('ORDENES'!$D244="","-",'ORDENES'!$D244))</f>
        <v/>
      </c>
      <c r="K266" s="24">
        <f>IF('ORDENES'!$A244="","",IF('ORDENES'!$E244="","-",'ORDENES'!$E244))</f>
        <v/>
      </c>
      <c r="L266" s="26">
        <f>IF('ORDENES'!$A244="","",IF('ORDENES'!$M244="",0,'ORDENES'!$M244))</f>
        <v/>
      </c>
      <c r="M266" s="24">
        <f>IF('ORDENES'!$A244="","",IF('ORDENES'!$N244="","-",'ORDENES'!$N244))</f>
        <v/>
      </c>
      <c r="N266" s="24">
        <f>IF('ORDENES'!$A244="","",'ORDENES'!$AG244)</f>
        <v/>
      </c>
    </row>
    <row r="267">
      <c r="A267" s="24">
        <f>IF('ORDENES'!$A245="","",IF('ORDENES'!$O245="","-",'ORDENES'!$O245))</f>
        <v/>
      </c>
      <c r="B267" s="24">
        <f>IF('ORDENES'!$A245="","",IF('ORDENES'!$S245="","-",'ORDENES'!$S245))</f>
        <v/>
      </c>
      <c r="C267" s="24">
        <f>IF('ORDENES'!$A245="","",IF('ORDENES'!$AI245="","-",'ORDENES'!$AI245))</f>
        <v/>
      </c>
      <c r="D267" s="24">
        <f>IF('ORDENES'!$A245="","",IF('ORDENES'!$AA245="","-",'ORDENES'!$AA245))</f>
        <v/>
      </c>
      <c r="E267" s="24">
        <f>IF('ORDENES'!$A245="","",IF('ORDENES'!$Y245="","-",'ORDENES'!$Y245))</f>
        <v/>
      </c>
      <c r="F267" s="24">
        <f>IF('ORDENES'!$A245="","",IF('ORDENES'!$AB245="","-",'ORDENES'!$AB245))</f>
        <v/>
      </c>
      <c r="G267" s="24">
        <f>IF('ORDENES'!$A245="","",IF('ORDENES'!$Z245="","-",'ORDENES'!$Z245))</f>
        <v/>
      </c>
      <c r="H267" s="24">
        <f>IF('ORDENES'!$A245="","",IF('ORDENES'!$AH245="","-",'ORDENES'!$AH245))</f>
        <v/>
      </c>
      <c r="I267" s="24">
        <f>IF('ORDENES'!$A245="","",IF('ORDENES'!$AU245="","-",'ORDENES'!$AU245))</f>
        <v/>
      </c>
      <c r="J267" s="24">
        <f>IF('ORDENES'!$A245="","",IF('ORDENES'!$D245="","-",'ORDENES'!$D245))</f>
        <v/>
      </c>
      <c r="K267" s="24">
        <f>IF('ORDENES'!$A245="","",IF('ORDENES'!$E245="","-",'ORDENES'!$E245))</f>
        <v/>
      </c>
      <c r="L267" s="26">
        <f>IF('ORDENES'!$A245="","",IF('ORDENES'!$M245="",0,'ORDENES'!$M245))</f>
        <v/>
      </c>
      <c r="M267" s="24">
        <f>IF('ORDENES'!$A245="","",IF('ORDENES'!$N245="","-",'ORDENES'!$N245))</f>
        <v/>
      </c>
      <c r="N267" s="24">
        <f>IF('ORDENES'!$A245="","",'ORDENES'!$AG245)</f>
        <v/>
      </c>
    </row>
    <row r="268">
      <c r="A268" s="24">
        <f>IF('ORDENES'!$A246="","",IF('ORDENES'!$O246="","-",'ORDENES'!$O246))</f>
        <v/>
      </c>
      <c r="B268" s="24">
        <f>IF('ORDENES'!$A246="","",IF('ORDENES'!$S246="","-",'ORDENES'!$S246))</f>
        <v/>
      </c>
      <c r="C268" s="24">
        <f>IF('ORDENES'!$A246="","",IF('ORDENES'!$AI246="","-",'ORDENES'!$AI246))</f>
        <v/>
      </c>
      <c r="D268" s="24">
        <f>IF('ORDENES'!$A246="","",IF('ORDENES'!$AA246="","-",'ORDENES'!$AA246))</f>
        <v/>
      </c>
      <c r="E268" s="24">
        <f>IF('ORDENES'!$A246="","",IF('ORDENES'!$Y246="","-",'ORDENES'!$Y246))</f>
        <v/>
      </c>
      <c r="F268" s="24">
        <f>IF('ORDENES'!$A246="","",IF('ORDENES'!$AB246="","-",'ORDENES'!$AB246))</f>
        <v/>
      </c>
      <c r="G268" s="24">
        <f>IF('ORDENES'!$A246="","",IF('ORDENES'!$Z246="","-",'ORDENES'!$Z246))</f>
        <v/>
      </c>
      <c r="H268" s="24">
        <f>IF('ORDENES'!$A246="","",IF('ORDENES'!$AH246="","-",'ORDENES'!$AH246))</f>
        <v/>
      </c>
      <c r="I268" s="24">
        <f>IF('ORDENES'!$A246="","",IF('ORDENES'!$AU246="","-",'ORDENES'!$AU246))</f>
        <v/>
      </c>
      <c r="J268" s="24">
        <f>IF('ORDENES'!$A246="","",IF('ORDENES'!$D246="","-",'ORDENES'!$D246))</f>
        <v/>
      </c>
      <c r="K268" s="24">
        <f>IF('ORDENES'!$A246="","",IF('ORDENES'!$E246="","-",'ORDENES'!$E246))</f>
        <v/>
      </c>
      <c r="L268" s="26">
        <f>IF('ORDENES'!$A246="","",IF('ORDENES'!$M246="",0,'ORDENES'!$M246))</f>
        <v/>
      </c>
      <c r="M268" s="24">
        <f>IF('ORDENES'!$A246="","",IF('ORDENES'!$N246="","-",'ORDENES'!$N246))</f>
        <v/>
      </c>
      <c r="N268" s="24">
        <f>IF('ORDENES'!$A246="","",'ORDENES'!$AG246)</f>
        <v/>
      </c>
    </row>
    <row r="269">
      <c r="A269" s="24">
        <f>IF('ORDENES'!$A247="","",IF('ORDENES'!$O247="","-",'ORDENES'!$O247))</f>
        <v/>
      </c>
      <c r="B269" s="24">
        <f>IF('ORDENES'!$A247="","",IF('ORDENES'!$S247="","-",'ORDENES'!$S247))</f>
        <v/>
      </c>
      <c r="C269" s="24">
        <f>IF('ORDENES'!$A247="","",IF('ORDENES'!$AI247="","-",'ORDENES'!$AI247))</f>
        <v/>
      </c>
      <c r="D269" s="24">
        <f>IF('ORDENES'!$A247="","",IF('ORDENES'!$AA247="","-",'ORDENES'!$AA247))</f>
        <v/>
      </c>
      <c r="E269" s="24">
        <f>IF('ORDENES'!$A247="","",IF('ORDENES'!$Y247="","-",'ORDENES'!$Y247))</f>
        <v/>
      </c>
      <c r="F269" s="24">
        <f>IF('ORDENES'!$A247="","",IF('ORDENES'!$AB247="","-",'ORDENES'!$AB247))</f>
        <v/>
      </c>
      <c r="G269" s="24">
        <f>IF('ORDENES'!$A247="","",IF('ORDENES'!$Z247="","-",'ORDENES'!$Z247))</f>
        <v/>
      </c>
      <c r="H269" s="24">
        <f>IF('ORDENES'!$A247="","",IF('ORDENES'!$AH247="","-",'ORDENES'!$AH247))</f>
        <v/>
      </c>
      <c r="I269" s="24">
        <f>IF('ORDENES'!$A247="","",IF('ORDENES'!$AU247="","-",'ORDENES'!$AU247))</f>
        <v/>
      </c>
      <c r="J269" s="24">
        <f>IF('ORDENES'!$A247="","",IF('ORDENES'!$D247="","-",'ORDENES'!$D247))</f>
        <v/>
      </c>
      <c r="K269" s="24">
        <f>IF('ORDENES'!$A247="","",IF('ORDENES'!$E247="","-",'ORDENES'!$E247))</f>
        <v/>
      </c>
      <c r="L269" s="26">
        <f>IF('ORDENES'!$A247="","",IF('ORDENES'!$M247="",0,'ORDENES'!$M247))</f>
        <v/>
      </c>
      <c r="M269" s="24">
        <f>IF('ORDENES'!$A247="","",IF('ORDENES'!$N247="","-",'ORDENES'!$N247))</f>
        <v/>
      </c>
      <c r="N269" s="24">
        <f>IF('ORDENES'!$A247="","",'ORDENES'!$AG247)</f>
        <v/>
      </c>
    </row>
    <row r="270">
      <c r="A270" s="24">
        <f>IF('ORDENES'!$A248="","",IF('ORDENES'!$O248="","-",'ORDENES'!$O248))</f>
        <v/>
      </c>
      <c r="B270" s="24">
        <f>IF('ORDENES'!$A248="","",IF('ORDENES'!$S248="","-",'ORDENES'!$S248))</f>
        <v/>
      </c>
      <c r="C270" s="24">
        <f>IF('ORDENES'!$A248="","",IF('ORDENES'!$AI248="","-",'ORDENES'!$AI248))</f>
        <v/>
      </c>
      <c r="D270" s="24">
        <f>IF('ORDENES'!$A248="","",IF('ORDENES'!$AA248="","-",'ORDENES'!$AA248))</f>
        <v/>
      </c>
      <c r="E270" s="24">
        <f>IF('ORDENES'!$A248="","",IF('ORDENES'!$Y248="","-",'ORDENES'!$Y248))</f>
        <v/>
      </c>
      <c r="F270" s="24">
        <f>IF('ORDENES'!$A248="","",IF('ORDENES'!$AB248="","-",'ORDENES'!$AB248))</f>
        <v/>
      </c>
      <c r="G270" s="24">
        <f>IF('ORDENES'!$A248="","",IF('ORDENES'!$Z248="","-",'ORDENES'!$Z248))</f>
        <v/>
      </c>
      <c r="H270" s="24">
        <f>IF('ORDENES'!$A248="","",IF('ORDENES'!$AH248="","-",'ORDENES'!$AH248))</f>
        <v/>
      </c>
      <c r="I270" s="24">
        <f>IF('ORDENES'!$A248="","",IF('ORDENES'!$AU248="","-",'ORDENES'!$AU248))</f>
        <v/>
      </c>
      <c r="J270" s="24">
        <f>IF('ORDENES'!$A248="","",IF('ORDENES'!$D248="","-",'ORDENES'!$D248))</f>
        <v/>
      </c>
      <c r="K270" s="24">
        <f>IF('ORDENES'!$A248="","",IF('ORDENES'!$E248="","-",'ORDENES'!$E248))</f>
        <v/>
      </c>
      <c r="L270" s="26">
        <f>IF('ORDENES'!$A248="","",IF('ORDENES'!$M248="",0,'ORDENES'!$M248))</f>
        <v/>
      </c>
      <c r="M270" s="24">
        <f>IF('ORDENES'!$A248="","",IF('ORDENES'!$N248="","-",'ORDENES'!$N248))</f>
        <v/>
      </c>
      <c r="N270" s="24">
        <f>IF('ORDENES'!$A248="","",'ORDENES'!$AG248)</f>
        <v/>
      </c>
    </row>
    <row r="271">
      <c r="A271" s="24">
        <f>IF('ORDENES'!$A249="","",IF('ORDENES'!$O249="","-",'ORDENES'!$O249))</f>
        <v/>
      </c>
      <c r="B271" s="24">
        <f>IF('ORDENES'!$A249="","",IF('ORDENES'!$S249="","-",'ORDENES'!$S249))</f>
        <v/>
      </c>
      <c r="C271" s="24">
        <f>IF('ORDENES'!$A249="","",IF('ORDENES'!$AI249="","-",'ORDENES'!$AI249))</f>
        <v/>
      </c>
      <c r="D271" s="24">
        <f>IF('ORDENES'!$A249="","",IF('ORDENES'!$AA249="","-",'ORDENES'!$AA249))</f>
        <v/>
      </c>
      <c r="E271" s="24">
        <f>IF('ORDENES'!$A249="","",IF('ORDENES'!$Y249="","-",'ORDENES'!$Y249))</f>
        <v/>
      </c>
      <c r="F271" s="24">
        <f>IF('ORDENES'!$A249="","",IF('ORDENES'!$AB249="","-",'ORDENES'!$AB249))</f>
        <v/>
      </c>
      <c r="G271" s="24">
        <f>IF('ORDENES'!$A249="","",IF('ORDENES'!$Z249="","-",'ORDENES'!$Z249))</f>
        <v/>
      </c>
      <c r="H271" s="24">
        <f>IF('ORDENES'!$A249="","",IF('ORDENES'!$AH249="","-",'ORDENES'!$AH249))</f>
        <v/>
      </c>
      <c r="I271" s="24">
        <f>IF('ORDENES'!$A249="","",IF('ORDENES'!$AU249="","-",'ORDENES'!$AU249))</f>
        <v/>
      </c>
      <c r="J271" s="24">
        <f>IF('ORDENES'!$A249="","",IF('ORDENES'!$D249="","-",'ORDENES'!$D249))</f>
        <v/>
      </c>
      <c r="K271" s="24">
        <f>IF('ORDENES'!$A249="","",IF('ORDENES'!$E249="","-",'ORDENES'!$E249))</f>
        <v/>
      </c>
      <c r="L271" s="26">
        <f>IF('ORDENES'!$A249="","",IF('ORDENES'!$M249="",0,'ORDENES'!$M249))</f>
        <v/>
      </c>
      <c r="M271" s="24">
        <f>IF('ORDENES'!$A249="","",IF('ORDENES'!$N249="","-",'ORDENES'!$N249))</f>
        <v/>
      </c>
      <c r="N271" s="24">
        <f>IF('ORDENES'!$A249="","",'ORDENES'!$AG249)</f>
        <v/>
      </c>
    </row>
    <row r="272">
      <c r="A272" s="24">
        <f>IF('ORDENES'!$A250="","",IF('ORDENES'!$O250="","-",'ORDENES'!$O250))</f>
        <v/>
      </c>
      <c r="B272" s="24">
        <f>IF('ORDENES'!$A250="","",IF('ORDENES'!$S250="","-",'ORDENES'!$S250))</f>
        <v/>
      </c>
      <c r="C272" s="24">
        <f>IF('ORDENES'!$A250="","",IF('ORDENES'!$AI250="","-",'ORDENES'!$AI250))</f>
        <v/>
      </c>
      <c r="D272" s="24">
        <f>IF('ORDENES'!$A250="","",IF('ORDENES'!$AA250="","-",'ORDENES'!$AA250))</f>
        <v/>
      </c>
      <c r="E272" s="24">
        <f>IF('ORDENES'!$A250="","",IF('ORDENES'!$Y250="","-",'ORDENES'!$Y250))</f>
        <v/>
      </c>
      <c r="F272" s="24">
        <f>IF('ORDENES'!$A250="","",IF('ORDENES'!$AB250="","-",'ORDENES'!$AB250))</f>
        <v/>
      </c>
      <c r="G272" s="24">
        <f>IF('ORDENES'!$A250="","",IF('ORDENES'!$Z250="","-",'ORDENES'!$Z250))</f>
        <v/>
      </c>
      <c r="H272" s="24">
        <f>IF('ORDENES'!$A250="","",IF('ORDENES'!$AH250="","-",'ORDENES'!$AH250))</f>
        <v/>
      </c>
      <c r="I272" s="24">
        <f>IF('ORDENES'!$A250="","",IF('ORDENES'!$AU250="","-",'ORDENES'!$AU250))</f>
        <v/>
      </c>
      <c r="J272" s="24">
        <f>IF('ORDENES'!$A250="","",IF('ORDENES'!$D250="","-",'ORDENES'!$D250))</f>
        <v/>
      </c>
      <c r="K272" s="24">
        <f>IF('ORDENES'!$A250="","",IF('ORDENES'!$E250="","-",'ORDENES'!$E250))</f>
        <v/>
      </c>
      <c r="L272" s="26">
        <f>IF('ORDENES'!$A250="","",IF('ORDENES'!$M250="",0,'ORDENES'!$M250))</f>
        <v/>
      </c>
      <c r="M272" s="24">
        <f>IF('ORDENES'!$A250="","",IF('ORDENES'!$N250="","-",'ORDENES'!$N250))</f>
        <v/>
      </c>
      <c r="N272" s="24">
        <f>IF('ORDENES'!$A250="","",'ORDENES'!$AG250)</f>
        <v/>
      </c>
    </row>
    <row r="273">
      <c r="A273" s="24">
        <f>IF('ORDENES'!$A251="","",IF('ORDENES'!$O251="","-",'ORDENES'!$O251))</f>
        <v/>
      </c>
      <c r="B273" s="24">
        <f>IF('ORDENES'!$A251="","",IF('ORDENES'!$S251="","-",'ORDENES'!$S251))</f>
        <v/>
      </c>
      <c r="C273" s="24">
        <f>IF('ORDENES'!$A251="","",IF('ORDENES'!$AI251="","-",'ORDENES'!$AI251))</f>
        <v/>
      </c>
      <c r="D273" s="24">
        <f>IF('ORDENES'!$A251="","",IF('ORDENES'!$AA251="","-",'ORDENES'!$AA251))</f>
        <v/>
      </c>
      <c r="E273" s="24">
        <f>IF('ORDENES'!$A251="","",IF('ORDENES'!$Y251="","-",'ORDENES'!$Y251))</f>
        <v/>
      </c>
      <c r="F273" s="24">
        <f>IF('ORDENES'!$A251="","",IF('ORDENES'!$AB251="","-",'ORDENES'!$AB251))</f>
        <v/>
      </c>
      <c r="G273" s="24">
        <f>IF('ORDENES'!$A251="","",IF('ORDENES'!$Z251="","-",'ORDENES'!$Z251))</f>
        <v/>
      </c>
      <c r="H273" s="24">
        <f>IF('ORDENES'!$A251="","",IF('ORDENES'!$AH251="","-",'ORDENES'!$AH251))</f>
        <v/>
      </c>
      <c r="I273" s="24">
        <f>IF('ORDENES'!$A251="","",IF('ORDENES'!$AU251="","-",'ORDENES'!$AU251))</f>
        <v/>
      </c>
      <c r="J273" s="24">
        <f>IF('ORDENES'!$A251="","",IF('ORDENES'!$D251="","-",'ORDENES'!$D251))</f>
        <v/>
      </c>
      <c r="K273" s="24">
        <f>IF('ORDENES'!$A251="","",IF('ORDENES'!$E251="","-",'ORDENES'!$E251))</f>
        <v/>
      </c>
      <c r="L273" s="26">
        <f>IF('ORDENES'!$A251="","",IF('ORDENES'!$M251="",0,'ORDENES'!$M251))</f>
        <v/>
      </c>
      <c r="M273" s="24">
        <f>IF('ORDENES'!$A251="","",IF('ORDENES'!$N251="","-",'ORDENES'!$N251))</f>
        <v/>
      </c>
      <c r="N273" s="24">
        <f>IF('ORDENES'!$A251="","",'ORDENES'!$AG251)</f>
        <v/>
      </c>
    </row>
    <row r="274">
      <c r="A274" s="24">
        <f>IF('ORDENES'!$A252="","",IF('ORDENES'!$O252="","-",'ORDENES'!$O252))</f>
        <v/>
      </c>
      <c r="B274" s="24">
        <f>IF('ORDENES'!$A252="","",IF('ORDENES'!$S252="","-",'ORDENES'!$S252))</f>
        <v/>
      </c>
      <c r="C274" s="24">
        <f>IF('ORDENES'!$A252="","",IF('ORDENES'!$AI252="","-",'ORDENES'!$AI252))</f>
        <v/>
      </c>
      <c r="D274" s="24">
        <f>IF('ORDENES'!$A252="","",IF('ORDENES'!$AA252="","-",'ORDENES'!$AA252))</f>
        <v/>
      </c>
      <c r="E274" s="24">
        <f>IF('ORDENES'!$A252="","",IF('ORDENES'!$Y252="","-",'ORDENES'!$Y252))</f>
        <v/>
      </c>
      <c r="F274" s="24">
        <f>IF('ORDENES'!$A252="","",IF('ORDENES'!$AB252="","-",'ORDENES'!$AB252))</f>
        <v/>
      </c>
      <c r="G274" s="24">
        <f>IF('ORDENES'!$A252="","",IF('ORDENES'!$Z252="","-",'ORDENES'!$Z252))</f>
        <v/>
      </c>
      <c r="H274" s="24">
        <f>IF('ORDENES'!$A252="","",IF('ORDENES'!$AH252="","-",'ORDENES'!$AH252))</f>
        <v/>
      </c>
      <c r="I274" s="24">
        <f>IF('ORDENES'!$A252="","",IF('ORDENES'!$AU252="","-",'ORDENES'!$AU252))</f>
        <v/>
      </c>
      <c r="J274" s="24">
        <f>IF('ORDENES'!$A252="","",IF('ORDENES'!$D252="","-",'ORDENES'!$D252))</f>
        <v/>
      </c>
      <c r="K274" s="24">
        <f>IF('ORDENES'!$A252="","",IF('ORDENES'!$E252="","-",'ORDENES'!$E252))</f>
        <v/>
      </c>
      <c r="L274" s="26">
        <f>IF('ORDENES'!$A252="","",IF('ORDENES'!$M252="",0,'ORDENES'!$M252))</f>
        <v/>
      </c>
      <c r="M274" s="24">
        <f>IF('ORDENES'!$A252="","",IF('ORDENES'!$N252="","-",'ORDENES'!$N252))</f>
        <v/>
      </c>
      <c r="N274" s="24">
        <f>IF('ORDENES'!$A252="","",'ORDENES'!$AG252)</f>
        <v/>
      </c>
    </row>
    <row r="275">
      <c r="A275" s="24">
        <f>IF('ORDENES'!$A253="","",IF('ORDENES'!$O253="","-",'ORDENES'!$O253))</f>
        <v/>
      </c>
      <c r="B275" s="24">
        <f>IF('ORDENES'!$A253="","",IF('ORDENES'!$S253="","-",'ORDENES'!$S253))</f>
        <v/>
      </c>
      <c r="C275" s="24">
        <f>IF('ORDENES'!$A253="","",IF('ORDENES'!$AI253="","-",'ORDENES'!$AI253))</f>
        <v/>
      </c>
      <c r="D275" s="24">
        <f>IF('ORDENES'!$A253="","",IF('ORDENES'!$AA253="","-",'ORDENES'!$AA253))</f>
        <v/>
      </c>
      <c r="E275" s="24">
        <f>IF('ORDENES'!$A253="","",IF('ORDENES'!$Y253="","-",'ORDENES'!$Y253))</f>
        <v/>
      </c>
      <c r="F275" s="24">
        <f>IF('ORDENES'!$A253="","",IF('ORDENES'!$AB253="","-",'ORDENES'!$AB253))</f>
        <v/>
      </c>
      <c r="G275" s="24">
        <f>IF('ORDENES'!$A253="","",IF('ORDENES'!$Z253="","-",'ORDENES'!$Z253))</f>
        <v/>
      </c>
      <c r="H275" s="24">
        <f>IF('ORDENES'!$A253="","",IF('ORDENES'!$AH253="","-",'ORDENES'!$AH253))</f>
        <v/>
      </c>
      <c r="I275" s="24">
        <f>IF('ORDENES'!$A253="","",IF('ORDENES'!$AU253="","-",'ORDENES'!$AU253))</f>
        <v/>
      </c>
      <c r="J275" s="24">
        <f>IF('ORDENES'!$A253="","",IF('ORDENES'!$D253="","-",'ORDENES'!$D253))</f>
        <v/>
      </c>
      <c r="K275" s="24">
        <f>IF('ORDENES'!$A253="","",IF('ORDENES'!$E253="","-",'ORDENES'!$E253))</f>
        <v/>
      </c>
      <c r="L275" s="26">
        <f>IF('ORDENES'!$A253="","",IF('ORDENES'!$M253="",0,'ORDENES'!$M253))</f>
        <v/>
      </c>
      <c r="M275" s="24">
        <f>IF('ORDENES'!$A253="","",IF('ORDENES'!$N253="","-",'ORDENES'!$N253))</f>
        <v/>
      </c>
      <c r="N275" s="24">
        <f>IF('ORDENES'!$A253="","",'ORDENES'!$AG253)</f>
        <v/>
      </c>
    </row>
    <row r="276">
      <c r="A276" s="24">
        <f>IF('ORDENES'!$A254="","",IF('ORDENES'!$O254="","-",'ORDENES'!$O254))</f>
        <v/>
      </c>
      <c r="B276" s="24">
        <f>IF('ORDENES'!$A254="","",IF('ORDENES'!$S254="","-",'ORDENES'!$S254))</f>
        <v/>
      </c>
      <c r="C276" s="24">
        <f>IF('ORDENES'!$A254="","",IF('ORDENES'!$AI254="","-",'ORDENES'!$AI254))</f>
        <v/>
      </c>
      <c r="D276" s="24">
        <f>IF('ORDENES'!$A254="","",IF('ORDENES'!$AA254="","-",'ORDENES'!$AA254))</f>
        <v/>
      </c>
      <c r="E276" s="24">
        <f>IF('ORDENES'!$A254="","",IF('ORDENES'!$Y254="","-",'ORDENES'!$Y254))</f>
        <v/>
      </c>
      <c r="F276" s="24">
        <f>IF('ORDENES'!$A254="","",IF('ORDENES'!$AB254="","-",'ORDENES'!$AB254))</f>
        <v/>
      </c>
      <c r="G276" s="24">
        <f>IF('ORDENES'!$A254="","",IF('ORDENES'!$Z254="","-",'ORDENES'!$Z254))</f>
        <v/>
      </c>
      <c r="H276" s="24">
        <f>IF('ORDENES'!$A254="","",IF('ORDENES'!$AH254="","-",'ORDENES'!$AH254))</f>
        <v/>
      </c>
      <c r="I276" s="24">
        <f>IF('ORDENES'!$A254="","",IF('ORDENES'!$AU254="","-",'ORDENES'!$AU254))</f>
        <v/>
      </c>
      <c r="J276" s="24">
        <f>IF('ORDENES'!$A254="","",IF('ORDENES'!$D254="","-",'ORDENES'!$D254))</f>
        <v/>
      </c>
      <c r="K276" s="24">
        <f>IF('ORDENES'!$A254="","",IF('ORDENES'!$E254="","-",'ORDENES'!$E254))</f>
        <v/>
      </c>
      <c r="L276" s="26">
        <f>IF('ORDENES'!$A254="","",IF('ORDENES'!$M254="",0,'ORDENES'!$M254))</f>
        <v/>
      </c>
      <c r="M276" s="24">
        <f>IF('ORDENES'!$A254="","",IF('ORDENES'!$N254="","-",'ORDENES'!$N254))</f>
        <v/>
      </c>
      <c r="N276" s="24">
        <f>IF('ORDENES'!$A254="","",'ORDENES'!$AG254)</f>
        <v/>
      </c>
    </row>
    <row r="277">
      <c r="A277" s="24">
        <f>IF('ORDENES'!$A255="","",IF('ORDENES'!$O255="","-",'ORDENES'!$O255))</f>
        <v/>
      </c>
      <c r="B277" s="24">
        <f>IF('ORDENES'!$A255="","",IF('ORDENES'!$S255="","-",'ORDENES'!$S255))</f>
        <v/>
      </c>
      <c r="C277" s="24">
        <f>IF('ORDENES'!$A255="","",IF('ORDENES'!$AI255="","-",'ORDENES'!$AI255))</f>
        <v/>
      </c>
      <c r="D277" s="24">
        <f>IF('ORDENES'!$A255="","",IF('ORDENES'!$AA255="","-",'ORDENES'!$AA255))</f>
        <v/>
      </c>
      <c r="E277" s="24">
        <f>IF('ORDENES'!$A255="","",IF('ORDENES'!$Y255="","-",'ORDENES'!$Y255))</f>
        <v/>
      </c>
      <c r="F277" s="24">
        <f>IF('ORDENES'!$A255="","",IF('ORDENES'!$AB255="","-",'ORDENES'!$AB255))</f>
        <v/>
      </c>
      <c r="G277" s="24">
        <f>IF('ORDENES'!$A255="","",IF('ORDENES'!$Z255="","-",'ORDENES'!$Z255))</f>
        <v/>
      </c>
      <c r="H277" s="24">
        <f>IF('ORDENES'!$A255="","",IF('ORDENES'!$AH255="","-",'ORDENES'!$AH255))</f>
        <v/>
      </c>
      <c r="I277" s="24">
        <f>IF('ORDENES'!$A255="","",IF('ORDENES'!$AU255="","-",'ORDENES'!$AU255))</f>
        <v/>
      </c>
      <c r="J277" s="24">
        <f>IF('ORDENES'!$A255="","",IF('ORDENES'!$D255="","-",'ORDENES'!$D255))</f>
        <v/>
      </c>
      <c r="K277" s="24">
        <f>IF('ORDENES'!$A255="","",IF('ORDENES'!$E255="","-",'ORDENES'!$E255))</f>
        <v/>
      </c>
      <c r="L277" s="26">
        <f>IF('ORDENES'!$A255="","",IF('ORDENES'!$M255="",0,'ORDENES'!$M255))</f>
        <v/>
      </c>
      <c r="M277" s="24">
        <f>IF('ORDENES'!$A255="","",IF('ORDENES'!$N255="","-",'ORDENES'!$N255))</f>
        <v/>
      </c>
      <c r="N277" s="24">
        <f>IF('ORDENES'!$A255="","",'ORDENES'!$AG255)</f>
        <v/>
      </c>
    </row>
    <row r="278">
      <c r="A278" s="24">
        <f>IF('ORDENES'!$A256="","",IF('ORDENES'!$O256="","-",'ORDENES'!$O256))</f>
        <v/>
      </c>
      <c r="B278" s="24">
        <f>IF('ORDENES'!$A256="","",IF('ORDENES'!$S256="","-",'ORDENES'!$S256))</f>
        <v/>
      </c>
      <c r="C278" s="24">
        <f>IF('ORDENES'!$A256="","",IF('ORDENES'!$AI256="","-",'ORDENES'!$AI256))</f>
        <v/>
      </c>
      <c r="D278" s="24">
        <f>IF('ORDENES'!$A256="","",IF('ORDENES'!$AA256="","-",'ORDENES'!$AA256))</f>
        <v/>
      </c>
      <c r="E278" s="24">
        <f>IF('ORDENES'!$A256="","",IF('ORDENES'!$Y256="","-",'ORDENES'!$Y256))</f>
        <v/>
      </c>
      <c r="F278" s="24">
        <f>IF('ORDENES'!$A256="","",IF('ORDENES'!$AB256="","-",'ORDENES'!$AB256))</f>
        <v/>
      </c>
      <c r="G278" s="24">
        <f>IF('ORDENES'!$A256="","",IF('ORDENES'!$Z256="","-",'ORDENES'!$Z256))</f>
        <v/>
      </c>
      <c r="H278" s="24">
        <f>IF('ORDENES'!$A256="","",IF('ORDENES'!$AH256="","-",'ORDENES'!$AH256))</f>
        <v/>
      </c>
      <c r="I278" s="24">
        <f>IF('ORDENES'!$A256="","",IF('ORDENES'!$AU256="","-",'ORDENES'!$AU256))</f>
        <v/>
      </c>
      <c r="J278" s="24">
        <f>IF('ORDENES'!$A256="","",IF('ORDENES'!$D256="","-",'ORDENES'!$D256))</f>
        <v/>
      </c>
      <c r="K278" s="24">
        <f>IF('ORDENES'!$A256="","",IF('ORDENES'!$E256="","-",'ORDENES'!$E256))</f>
        <v/>
      </c>
      <c r="L278" s="26">
        <f>IF('ORDENES'!$A256="","",IF('ORDENES'!$M256="",0,'ORDENES'!$M256))</f>
        <v/>
      </c>
      <c r="M278" s="24">
        <f>IF('ORDENES'!$A256="","",IF('ORDENES'!$N256="","-",'ORDENES'!$N256))</f>
        <v/>
      </c>
      <c r="N278" s="24">
        <f>IF('ORDENES'!$A256="","",'ORDENES'!$AG256)</f>
        <v/>
      </c>
    </row>
    <row r="279">
      <c r="A279" s="24">
        <f>IF('ORDENES'!$A257="","",IF('ORDENES'!$O257="","-",'ORDENES'!$O257))</f>
        <v/>
      </c>
      <c r="B279" s="24">
        <f>IF('ORDENES'!$A257="","",IF('ORDENES'!$S257="","-",'ORDENES'!$S257))</f>
        <v/>
      </c>
      <c r="C279" s="24">
        <f>IF('ORDENES'!$A257="","",IF('ORDENES'!$AI257="","-",'ORDENES'!$AI257))</f>
        <v/>
      </c>
      <c r="D279" s="24">
        <f>IF('ORDENES'!$A257="","",IF('ORDENES'!$AA257="","-",'ORDENES'!$AA257))</f>
        <v/>
      </c>
      <c r="E279" s="24">
        <f>IF('ORDENES'!$A257="","",IF('ORDENES'!$Y257="","-",'ORDENES'!$Y257))</f>
        <v/>
      </c>
      <c r="F279" s="24">
        <f>IF('ORDENES'!$A257="","",IF('ORDENES'!$AB257="","-",'ORDENES'!$AB257))</f>
        <v/>
      </c>
      <c r="G279" s="24">
        <f>IF('ORDENES'!$A257="","",IF('ORDENES'!$Z257="","-",'ORDENES'!$Z257))</f>
        <v/>
      </c>
      <c r="H279" s="24">
        <f>IF('ORDENES'!$A257="","",IF('ORDENES'!$AH257="","-",'ORDENES'!$AH257))</f>
        <v/>
      </c>
      <c r="I279" s="24">
        <f>IF('ORDENES'!$A257="","",IF('ORDENES'!$AU257="","-",'ORDENES'!$AU257))</f>
        <v/>
      </c>
      <c r="J279" s="24">
        <f>IF('ORDENES'!$A257="","",IF('ORDENES'!$D257="","-",'ORDENES'!$D257))</f>
        <v/>
      </c>
      <c r="K279" s="24">
        <f>IF('ORDENES'!$A257="","",IF('ORDENES'!$E257="","-",'ORDENES'!$E257))</f>
        <v/>
      </c>
      <c r="L279" s="26">
        <f>IF('ORDENES'!$A257="","",IF('ORDENES'!$M257="",0,'ORDENES'!$M257))</f>
        <v/>
      </c>
      <c r="M279" s="24">
        <f>IF('ORDENES'!$A257="","",IF('ORDENES'!$N257="","-",'ORDENES'!$N257))</f>
        <v/>
      </c>
      <c r="N279" s="24">
        <f>IF('ORDENES'!$A257="","",'ORDENES'!$AG257)</f>
        <v/>
      </c>
    </row>
    <row r="280">
      <c r="A280" s="24">
        <f>IF('ORDENES'!$A258="","",IF('ORDENES'!$O258="","-",'ORDENES'!$O258))</f>
        <v/>
      </c>
      <c r="B280" s="24">
        <f>IF('ORDENES'!$A258="","",IF('ORDENES'!$S258="","-",'ORDENES'!$S258))</f>
        <v/>
      </c>
      <c r="C280" s="24">
        <f>IF('ORDENES'!$A258="","",IF('ORDENES'!$AI258="","-",'ORDENES'!$AI258))</f>
        <v/>
      </c>
      <c r="D280" s="24">
        <f>IF('ORDENES'!$A258="","",IF('ORDENES'!$AA258="","-",'ORDENES'!$AA258))</f>
        <v/>
      </c>
      <c r="E280" s="24">
        <f>IF('ORDENES'!$A258="","",IF('ORDENES'!$Y258="","-",'ORDENES'!$Y258))</f>
        <v/>
      </c>
      <c r="F280" s="24">
        <f>IF('ORDENES'!$A258="","",IF('ORDENES'!$AB258="","-",'ORDENES'!$AB258))</f>
        <v/>
      </c>
      <c r="G280" s="24">
        <f>IF('ORDENES'!$A258="","",IF('ORDENES'!$Z258="","-",'ORDENES'!$Z258))</f>
        <v/>
      </c>
      <c r="H280" s="24">
        <f>IF('ORDENES'!$A258="","",IF('ORDENES'!$AH258="","-",'ORDENES'!$AH258))</f>
        <v/>
      </c>
      <c r="I280" s="24">
        <f>IF('ORDENES'!$A258="","",IF('ORDENES'!$AU258="","-",'ORDENES'!$AU258))</f>
        <v/>
      </c>
      <c r="J280" s="24">
        <f>IF('ORDENES'!$A258="","",IF('ORDENES'!$D258="","-",'ORDENES'!$D258))</f>
        <v/>
      </c>
      <c r="K280" s="24">
        <f>IF('ORDENES'!$A258="","",IF('ORDENES'!$E258="","-",'ORDENES'!$E258))</f>
        <v/>
      </c>
      <c r="L280" s="26">
        <f>IF('ORDENES'!$A258="","",IF('ORDENES'!$M258="",0,'ORDENES'!$M258))</f>
        <v/>
      </c>
      <c r="M280" s="24">
        <f>IF('ORDENES'!$A258="","",IF('ORDENES'!$N258="","-",'ORDENES'!$N258))</f>
        <v/>
      </c>
      <c r="N280" s="24">
        <f>IF('ORDENES'!$A258="","",'ORDENES'!$AG258)</f>
        <v/>
      </c>
    </row>
    <row r="281">
      <c r="A281" s="24">
        <f>IF('ORDENES'!$A259="","",IF('ORDENES'!$O259="","-",'ORDENES'!$O259))</f>
        <v/>
      </c>
      <c r="B281" s="24">
        <f>IF('ORDENES'!$A259="","",IF('ORDENES'!$S259="","-",'ORDENES'!$S259))</f>
        <v/>
      </c>
      <c r="C281" s="24">
        <f>IF('ORDENES'!$A259="","",IF('ORDENES'!$AI259="","-",'ORDENES'!$AI259))</f>
        <v/>
      </c>
      <c r="D281" s="24">
        <f>IF('ORDENES'!$A259="","",IF('ORDENES'!$AA259="","-",'ORDENES'!$AA259))</f>
        <v/>
      </c>
      <c r="E281" s="24">
        <f>IF('ORDENES'!$A259="","",IF('ORDENES'!$Y259="","-",'ORDENES'!$Y259))</f>
        <v/>
      </c>
      <c r="F281" s="24">
        <f>IF('ORDENES'!$A259="","",IF('ORDENES'!$AB259="","-",'ORDENES'!$AB259))</f>
        <v/>
      </c>
      <c r="G281" s="24">
        <f>IF('ORDENES'!$A259="","",IF('ORDENES'!$Z259="","-",'ORDENES'!$Z259))</f>
        <v/>
      </c>
      <c r="H281" s="24">
        <f>IF('ORDENES'!$A259="","",IF('ORDENES'!$AH259="","-",'ORDENES'!$AH259))</f>
        <v/>
      </c>
      <c r="I281" s="24">
        <f>IF('ORDENES'!$A259="","",IF('ORDENES'!$AU259="","-",'ORDENES'!$AU259))</f>
        <v/>
      </c>
      <c r="J281" s="24">
        <f>IF('ORDENES'!$A259="","",IF('ORDENES'!$D259="","-",'ORDENES'!$D259))</f>
        <v/>
      </c>
      <c r="K281" s="24">
        <f>IF('ORDENES'!$A259="","",IF('ORDENES'!$E259="","-",'ORDENES'!$E259))</f>
        <v/>
      </c>
      <c r="L281" s="26">
        <f>IF('ORDENES'!$A259="","",IF('ORDENES'!$M259="",0,'ORDENES'!$M259))</f>
        <v/>
      </c>
      <c r="M281" s="24">
        <f>IF('ORDENES'!$A259="","",IF('ORDENES'!$N259="","-",'ORDENES'!$N259))</f>
        <v/>
      </c>
      <c r="N281" s="24">
        <f>IF('ORDENES'!$A259="","",'ORDENES'!$AG259)</f>
        <v/>
      </c>
    </row>
    <row r="282">
      <c r="A282" s="24">
        <f>IF('ORDENES'!$A260="","",IF('ORDENES'!$O260="","-",'ORDENES'!$O260))</f>
        <v/>
      </c>
      <c r="B282" s="24">
        <f>IF('ORDENES'!$A260="","",IF('ORDENES'!$S260="","-",'ORDENES'!$S260))</f>
        <v/>
      </c>
      <c r="C282" s="24">
        <f>IF('ORDENES'!$A260="","",IF('ORDENES'!$AI260="","-",'ORDENES'!$AI260))</f>
        <v/>
      </c>
      <c r="D282" s="24">
        <f>IF('ORDENES'!$A260="","",IF('ORDENES'!$AA260="","-",'ORDENES'!$AA260))</f>
        <v/>
      </c>
      <c r="E282" s="24">
        <f>IF('ORDENES'!$A260="","",IF('ORDENES'!$Y260="","-",'ORDENES'!$Y260))</f>
        <v/>
      </c>
      <c r="F282" s="24">
        <f>IF('ORDENES'!$A260="","",IF('ORDENES'!$AB260="","-",'ORDENES'!$AB260))</f>
        <v/>
      </c>
      <c r="G282" s="24">
        <f>IF('ORDENES'!$A260="","",IF('ORDENES'!$Z260="","-",'ORDENES'!$Z260))</f>
        <v/>
      </c>
      <c r="H282" s="24">
        <f>IF('ORDENES'!$A260="","",IF('ORDENES'!$AH260="","-",'ORDENES'!$AH260))</f>
        <v/>
      </c>
      <c r="I282" s="24">
        <f>IF('ORDENES'!$A260="","",IF('ORDENES'!$AU260="","-",'ORDENES'!$AU260))</f>
        <v/>
      </c>
      <c r="J282" s="24">
        <f>IF('ORDENES'!$A260="","",IF('ORDENES'!$D260="","-",'ORDENES'!$D260))</f>
        <v/>
      </c>
      <c r="K282" s="24">
        <f>IF('ORDENES'!$A260="","",IF('ORDENES'!$E260="","-",'ORDENES'!$E260))</f>
        <v/>
      </c>
      <c r="L282" s="26">
        <f>IF('ORDENES'!$A260="","",IF('ORDENES'!$M260="",0,'ORDENES'!$M260))</f>
        <v/>
      </c>
      <c r="M282" s="24">
        <f>IF('ORDENES'!$A260="","",IF('ORDENES'!$N260="","-",'ORDENES'!$N260))</f>
        <v/>
      </c>
      <c r="N282" s="24">
        <f>IF('ORDENES'!$A260="","",'ORDENES'!$AG260)</f>
        <v/>
      </c>
    </row>
    <row r="283">
      <c r="A283" s="24">
        <f>IF('ORDENES'!$A261="","",IF('ORDENES'!$O261="","-",'ORDENES'!$O261))</f>
        <v/>
      </c>
      <c r="B283" s="24">
        <f>IF('ORDENES'!$A261="","",IF('ORDENES'!$S261="","-",'ORDENES'!$S261))</f>
        <v/>
      </c>
      <c r="C283" s="24">
        <f>IF('ORDENES'!$A261="","",IF('ORDENES'!$AI261="","-",'ORDENES'!$AI261))</f>
        <v/>
      </c>
      <c r="D283" s="24">
        <f>IF('ORDENES'!$A261="","",IF('ORDENES'!$AA261="","-",'ORDENES'!$AA261))</f>
        <v/>
      </c>
      <c r="E283" s="24">
        <f>IF('ORDENES'!$A261="","",IF('ORDENES'!$Y261="","-",'ORDENES'!$Y261))</f>
        <v/>
      </c>
      <c r="F283" s="24">
        <f>IF('ORDENES'!$A261="","",IF('ORDENES'!$AB261="","-",'ORDENES'!$AB261))</f>
        <v/>
      </c>
      <c r="G283" s="24">
        <f>IF('ORDENES'!$A261="","",IF('ORDENES'!$Z261="","-",'ORDENES'!$Z261))</f>
        <v/>
      </c>
      <c r="H283" s="24">
        <f>IF('ORDENES'!$A261="","",IF('ORDENES'!$AH261="","-",'ORDENES'!$AH261))</f>
        <v/>
      </c>
      <c r="I283" s="24">
        <f>IF('ORDENES'!$A261="","",IF('ORDENES'!$AU261="","-",'ORDENES'!$AU261))</f>
        <v/>
      </c>
      <c r="J283" s="24">
        <f>IF('ORDENES'!$A261="","",IF('ORDENES'!$D261="","-",'ORDENES'!$D261))</f>
        <v/>
      </c>
      <c r="K283" s="24">
        <f>IF('ORDENES'!$A261="","",IF('ORDENES'!$E261="","-",'ORDENES'!$E261))</f>
        <v/>
      </c>
      <c r="L283" s="26">
        <f>IF('ORDENES'!$A261="","",IF('ORDENES'!$M261="",0,'ORDENES'!$M261))</f>
        <v/>
      </c>
      <c r="M283" s="24">
        <f>IF('ORDENES'!$A261="","",IF('ORDENES'!$N261="","-",'ORDENES'!$N261))</f>
        <v/>
      </c>
      <c r="N283" s="24">
        <f>IF('ORDENES'!$A261="","",'ORDENES'!$AG261)</f>
        <v/>
      </c>
    </row>
    <row r="284">
      <c r="A284" s="24">
        <f>IF('ORDENES'!$A262="","",IF('ORDENES'!$O262="","-",'ORDENES'!$O262))</f>
        <v/>
      </c>
      <c r="B284" s="24">
        <f>IF('ORDENES'!$A262="","",IF('ORDENES'!$S262="","-",'ORDENES'!$S262))</f>
        <v/>
      </c>
      <c r="C284" s="24">
        <f>IF('ORDENES'!$A262="","",IF('ORDENES'!$AI262="","-",'ORDENES'!$AI262))</f>
        <v/>
      </c>
      <c r="D284" s="24">
        <f>IF('ORDENES'!$A262="","",IF('ORDENES'!$AA262="","-",'ORDENES'!$AA262))</f>
        <v/>
      </c>
      <c r="E284" s="24">
        <f>IF('ORDENES'!$A262="","",IF('ORDENES'!$Y262="","-",'ORDENES'!$Y262))</f>
        <v/>
      </c>
      <c r="F284" s="24">
        <f>IF('ORDENES'!$A262="","",IF('ORDENES'!$AB262="","-",'ORDENES'!$AB262))</f>
        <v/>
      </c>
      <c r="G284" s="24">
        <f>IF('ORDENES'!$A262="","",IF('ORDENES'!$Z262="","-",'ORDENES'!$Z262))</f>
        <v/>
      </c>
      <c r="H284" s="24">
        <f>IF('ORDENES'!$A262="","",IF('ORDENES'!$AH262="","-",'ORDENES'!$AH262))</f>
        <v/>
      </c>
      <c r="I284" s="24">
        <f>IF('ORDENES'!$A262="","",IF('ORDENES'!$AU262="","-",'ORDENES'!$AU262))</f>
        <v/>
      </c>
      <c r="J284" s="24">
        <f>IF('ORDENES'!$A262="","",IF('ORDENES'!$D262="","-",'ORDENES'!$D262))</f>
        <v/>
      </c>
      <c r="K284" s="24">
        <f>IF('ORDENES'!$A262="","",IF('ORDENES'!$E262="","-",'ORDENES'!$E262))</f>
        <v/>
      </c>
      <c r="L284" s="26">
        <f>IF('ORDENES'!$A262="","",IF('ORDENES'!$M262="",0,'ORDENES'!$M262))</f>
        <v/>
      </c>
      <c r="M284" s="24">
        <f>IF('ORDENES'!$A262="","",IF('ORDENES'!$N262="","-",'ORDENES'!$N262))</f>
        <v/>
      </c>
      <c r="N284" s="24">
        <f>IF('ORDENES'!$A262="","",'ORDENES'!$AG262)</f>
        <v/>
      </c>
    </row>
    <row r="285">
      <c r="A285" s="24">
        <f>IF('ORDENES'!$A263="","",IF('ORDENES'!$O263="","-",'ORDENES'!$O263))</f>
        <v/>
      </c>
      <c r="B285" s="24">
        <f>IF('ORDENES'!$A263="","",IF('ORDENES'!$S263="","-",'ORDENES'!$S263))</f>
        <v/>
      </c>
      <c r="C285" s="24">
        <f>IF('ORDENES'!$A263="","",IF('ORDENES'!$AI263="","-",'ORDENES'!$AI263))</f>
        <v/>
      </c>
      <c r="D285" s="24">
        <f>IF('ORDENES'!$A263="","",IF('ORDENES'!$AA263="","-",'ORDENES'!$AA263))</f>
        <v/>
      </c>
      <c r="E285" s="24">
        <f>IF('ORDENES'!$A263="","",IF('ORDENES'!$Y263="","-",'ORDENES'!$Y263))</f>
        <v/>
      </c>
      <c r="F285" s="24">
        <f>IF('ORDENES'!$A263="","",IF('ORDENES'!$AB263="","-",'ORDENES'!$AB263))</f>
        <v/>
      </c>
      <c r="G285" s="24">
        <f>IF('ORDENES'!$A263="","",IF('ORDENES'!$Z263="","-",'ORDENES'!$Z263))</f>
        <v/>
      </c>
      <c r="H285" s="24">
        <f>IF('ORDENES'!$A263="","",IF('ORDENES'!$AH263="","-",'ORDENES'!$AH263))</f>
        <v/>
      </c>
      <c r="I285" s="24">
        <f>IF('ORDENES'!$A263="","",IF('ORDENES'!$AU263="","-",'ORDENES'!$AU263))</f>
        <v/>
      </c>
      <c r="J285" s="24">
        <f>IF('ORDENES'!$A263="","",IF('ORDENES'!$D263="","-",'ORDENES'!$D263))</f>
        <v/>
      </c>
      <c r="K285" s="24">
        <f>IF('ORDENES'!$A263="","",IF('ORDENES'!$E263="","-",'ORDENES'!$E263))</f>
        <v/>
      </c>
      <c r="L285" s="26">
        <f>IF('ORDENES'!$A263="","",IF('ORDENES'!$M263="",0,'ORDENES'!$M263))</f>
        <v/>
      </c>
      <c r="M285" s="24">
        <f>IF('ORDENES'!$A263="","",IF('ORDENES'!$N263="","-",'ORDENES'!$N263))</f>
        <v/>
      </c>
      <c r="N285" s="24">
        <f>IF('ORDENES'!$A263="","",'ORDENES'!$AG263)</f>
        <v/>
      </c>
    </row>
    <row r="286">
      <c r="A286" s="24">
        <f>IF('ORDENES'!$A264="","",IF('ORDENES'!$O264="","-",'ORDENES'!$O264))</f>
        <v/>
      </c>
      <c r="B286" s="24">
        <f>IF('ORDENES'!$A264="","",IF('ORDENES'!$S264="","-",'ORDENES'!$S264))</f>
        <v/>
      </c>
      <c r="C286" s="24">
        <f>IF('ORDENES'!$A264="","",IF('ORDENES'!$AI264="","-",'ORDENES'!$AI264))</f>
        <v/>
      </c>
      <c r="D286" s="24">
        <f>IF('ORDENES'!$A264="","",IF('ORDENES'!$AA264="","-",'ORDENES'!$AA264))</f>
        <v/>
      </c>
      <c r="E286" s="24">
        <f>IF('ORDENES'!$A264="","",IF('ORDENES'!$Y264="","-",'ORDENES'!$Y264))</f>
        <v/>
      </c>
      <c r="F286" s="24">
        <f>IF('ORDENES'!$A264="","",IF('ORDENES'!$AB264="","-",'ORDENES'!$AB264))</f>
        <v/>
      </c>
      <c r="G286" s="24">
        <f>IF('ORDENES'!$A264="","",IF('ORDENES'!$Z264="","-",'ORDENES'!$Z264))</f>
        <v/>
      </c>
      <c r="H286" s="24">
        <f>IF('ORDENES'!$A264="","",IF('ORDENES'!$AH264="","-",'ORDENES'!$AH264))</f>
        <v/>
      </c>
      <c r="I286" s="24">
        <f>IF('ORDENES'!$A264="","",IF('ORDENES'!$AU264="","-",'ORDENES'!$AU264))</f>
        <v/>
      </c>
      <c r="J286" s="24">
        <f>IF('ORDENES'!$A264="","",IF('ORDENES'!$D264="","-",'ORDENES'!$D264))</f>
        <v/>
      </c>
      <c r="K286" s="24">
        <f>IF('ORDENES'!$A264="","",IF('ORDENES'!$E264="","-",'ORDENES'!$E264))</f>
        <v/>
      </c>
      <c r="L286" s="26">
        <f>IF('ORDENES'!$A264="","",IF('ORDENES'!$M264="",0,'ORDENES'!$M264))</f>
        <v/>
      </c>
      <c r="M286" s="24">
        <f>IF('ORDENES'!$A264="","",IF('ORDENES'!$N264="","-",'ORDENES'!$N264))</f>
        <v/>
      </c>
      <c r="N286" s="24">
        <f>IF('ORDENES'!$A264="","",'ORDENES'!$AG264)</f>
        <v/>
      </c>
    </row>
    <row r="287">
      <c r="A287" s="24">
        <f>IF('ORDENES'!$A265="","",IF('ORDENES'!$O265="","-",'ORDENES'!$O265))</f>
        <v/>
      </c>
      <c r="B287" s="24">
        <f>IF('ORDENES'!$A265="","",IF('ORDENES'!$S265="","-",'ORDENES'!$S265))</f>
        <v/>
      </c>
      <c r="C287" s="24">
        <f>IF('ORDENES'!$A265="","",IF('ORDENES'!$AI265="","-",'ORDENES'!$AI265))</f>
        <v/>
      </c>
      <c r="D287" s="24">
        <f>IF('ORDENES'!$A265="","",IF('ORDENES'!$AA265="","-",'ORDENES'!$AA265))</f>
        <v/>
      </c>
      <c r="E287" s="24">
        <f>IF('ORDENES'!$A265="","",IF('ORDENES'!$Y265="","-",'ORDENES'!$Y265))</f>
        <v/>
      </c>
      <c r="F287" s="24">
        <f>IF('ORDENES'!$A265="","",IF('ORDENES'!$AB265="","-",'ORDENES'!$AB265))</f>
        <v/>
      </c>
      <c r="G287" s="24">
        <f>IF('ORDENES'!$A265="","",IF('ORDENES'!$Z265="","-",'ORDENES'!$Z265))</f>
        <v/>
      </c>
      <c r="H287" s="24">
        <f>IF('ORDENES'!$A265="","",IF('ORDENES'!$AH265="","-",'ORDENES'!$AH265))</f>
        <v/>
      </c>
      <c r="I287" s="24">
        <f>IF('ORDENES'!$A265="","",IF('ORDENES'!$AU265="","-",'ORDENES'!$AU265))</f>
        <v/>
      </c>
      <c r="J287" s="24">
        <f>IF('ORDENES'!$A265="","",IF('ORDENES'!$D265="","-",'ORDENES'!$D265))</f>
        <v/>
      </c>
      <c r="K287" s="24">
        <f>IF('ORDENES'!$A265="","",IF('ORDENES'!$E265="","-",'ORDENES'!$E265))</f>
        <v/>
      </c>
      <c r="L287" s="26">
        <f>IF('ORDENES'!$A265="","",IF('ORDENES'!$M265="",0,'ORDENES'!$M265))</f>
        <v/>
      </c>
      <c r="M287" s="24">
        <f>IF('ORDENES'!$A265="","",IF('ORDENES'!$N265="","-",'ORDENES'!$N265))</f>
        <v/>
      </c>
      <c r="N287" s="24">
        <f>IF('ORDENES'!$A265="","",'ORDENES'!$AG265)</f>
        <v/>
      </c>
    </row>
    <row r="288">
      <c r="A288" s="24">
        <f>IF('ORDENES'!$A266="","",IF('ORDENES'!$O266="","-",'ORDENES'!$O266))</f>
        <v/>
      </c>
      <c r="B288" s="24">
        <f>IF('ORDENES'!$A266="","",IF('ORDENES'!$S266="","-",'ORDENES'!$S266))</f>
        <v/>
      </c>
      <c r="C288" s="24">
        <f>IF('ORDENES'!$A266="","",IF('ORDENES'!$AI266="","-",'ORDENES'!$AI266))</f>
        <v/>
      </c>
      <c r="D288" s="24">
        <f>IF('ORDENES'!$A266="","",IF('ORDENES'!$AA266="","-",'ORDENES'!$AA266))</f>
        <v/>
      </c>
      <c r="E288" s="24">
        <f>IF('ORDENES'!$A266="","",IF('ORDENES'!$Y266="","-",'ORDENES'!$Y266))</f>
        <v/>
      </c>
      <c r="F288" s="24">
        <f>IF('ORDENES'!$A266="","",IF('ORDENES'!$AB266="","-",'ORDENES'!$AB266))</f>
        <v/>
      </c>
      <c r="G288" s="24">
        <f>IF('ORDENES'!$A266="","",IF('ORDENES'!$Z266="","-",'ORDENES'!$Z266))</f>
        <v/>
      </c>
      <c r="H288" s="24">
        <f>IF('ORDENES'!$A266="","",IF('ORDENES'!$AH266="","-",'ORDENES'!$AH266))</f>
        <v/>
      </c>
      <c r="I288" s="24">
        <f>IF('ORDENES'!$A266="","",IF('ORDENES'!$AU266="","-",'ORDENES'!$AU266))</f>
        <v/>
      </c>
      <c r="J288" s="24">
        <f>IF('ORDENES'!$A266="","",IF('ORDENES'!$D266="","-",'ORDENES'!$D266))</f>
        <v/>
      </c>
      <c r="K288" s="24">
        <f>IF('ORDENES'!$A266="","",IF('ORDENES'!$E266="","-",'ORDENES'!$E266))</f>
        <v/>
      </c>
      <c r="L288" s="26">
        <f>IF('ORDENES'!$A266="","",IF('ORDENES'!$M266="",0,'ORDENES'!$M266))</f>
        <v/>
      </c>
      <c r="M288" s="24">
        <f>IF('ORDENES'!$A266="","",IF('ORDENES'!$N266="","-",'ORDENES'!$N266))</f>
        <v/>
      </c>
      <c r="N288" s="24">
        <f>IF('ORDENES'!$A266="","",'ORDENES'!$AG266)</f>
        <v/>
      </c>
    </row>
    <row r="289">
      <c r="A289" s="24">
        <f>IF('ORDENES'!$A267="","",IF('ORDENES'!$O267="","-",'ORDENES'!$O267))</f>
        <v/>
      </c>
      <c r="B289" s="24">
        <f>IF('ORDENES'!$A267="","",IF('ORDENES'!$S267="","-",'ORDENES'!$S267))</f>
        <v/>
      </c>
      <c r="C289" s="24">
        <f>IF('ORDENES'!$A267="","",IF('ORDENES'!$AI267="","-",'ORDENES'!$AI267))</f>
        <v/>
      </c>
      <c r="D289" s="24">
        <f>IF('ORDENES'!$A267="","",IF('ORDENES'!$AA267="","-",'ORDENES'!$AA267))</f>
        <v/>
      </c>
      <c r="E289" s="24">
        <f>IF('ORDENES'!$A267="","",IF('ORDENES'!$Y267="","-",'ORDENES'!$Y267))</f>
        <v/>
      </c>
      <c r="F289" s="24">
        <f>IF('ORDENES'!$A267="","",IF('ORDENES'!$AB267="","-",'ORDENES'!$AB267))</f>
        <v/>
      </c>
      <c r="G289" s="24">
        <f>IF('ORDENES'!$A267="","",IF('ORDENES'!$Z267="","-",'ORDENES'!$Z267))</f>
        <v/>
      </c>
      <c r="H289" s="24">
        <f>IF('ORDENES'!$A267="","",IF('ORDENES'!$AH267="","-",'ORDENES'!$AH267))</f>
        <v/>
      </c>
      <c r="I289" s="24">
        <f>IF('ORDENES'!$A267="","",IF('ORDENES'!$AU267="","-",'ORDENES'!$AU267))</f>
        <v/>
      </c>
      <c r="J289" s="24">
        <f>IF('ORDENES'!$A267="","",IF('ORDENES'!$D267="","-",'ORDENES'!$D267))</f>
        <v/>
      </c>
      <c r="K289" s="24">
        <f>IF('ORDENES'!$A267="","",IF('ORDENES'!$E267="","-",'ORDENES'!$E267))</f>
        <v/>
      </c>
      <c r="L289" s="26">
        <f>IF('ORDENES'!$A267="","",IF('ORDENES'!$M267="",0,'ORDENES'!$M267))</f>
        <v/>
      </c>
      <c r="M289" s="24">
        <f>IF('ORDENES'!$A267="","",IF('ORDENES'!$N267="","-",'ORDENES'!$N267))</f>
        <v/>
      </c>
      <c r="N289" s="24">
        <f>IF('ORDENES'!$A267="","",'ORDENES'!$AG267)</f>
        <v/>
      </c>
    </row>
    <row r="290">
      <c r="A290" s="24">
        <f>IF('ORDENES'!$A268="","",IF('ORDENES'!$O268="","-",'ORDENES'!$O268))</f>
        <v/>
      </c>
      <c r="B290" s="24">
        <f>IF('ORDENES'!$A268="","",IF('ORDENES'!$S268="","-",'ORDENES'!$S268))</f>
        <v/>
      </c>
      <c r="C290" s="24">
        <f>IF('ORDENES'!$A268="","",IF('ORDENES'!$AI268="","-",'ORDENES'!$AI268))</f>
        <v/>
      </c>
      <c r="D290" s="24">
        <f>IF('ORDENES'!$A268="","",IF('ORDENES'!$AA268="","-",'ORDENES'!$AA268))</f>
        <v/>
      </c>
      <c r="E290" s="24">
        <f>IF('ORDENES'!$A268="","",IF('ORDENES'!$Y268="","-",'ORDENES'!$Y268))</f>
        <v/>
      </c>
      <c r="F290" s="24">
        <f>IF('ORDENES'!$A268="","",IF('ORDENES'!$AB268="","-",'ORDENES'!$AB268))</f>
        <v/>
      </c>
      <c r="G290" s="24">
        <f>IF('ORDENES'!$A268="","",IF('ORDENES'!$Z268="","-",'ORDENES'!$Z268))</f>
        <v/>
      </c>
      <c r="H290" s="24">
        <f>IF('ORDENES'!$A268="","",IF('ORDENES'!$AH268="","-",'ORDENES'!$AH268))</f>
        <v/>
      </c>
      <c r="I290" s="24">
        <f>IF('ORDENES'!$A268="","",IF('ORDENES'!$AU268="","-",'ORDENES'!$AU268))</f>
        <v/>
      </c>
      <c r="J290" s="24">
        <f>IF('ORDENES'!$A268="","",IF('ORDENES'!$D268="","-",'ORDENES'!$D268))</f>
        <v/>
      </c>
      <c r="K290" s="24">
        <f>IF('ORDENES'!$A268="","",IF('ORDENES'!$E268="","-",'ORDENES'!$E268))</f>
        <v/>
      </c>
      <c r="L290" s="26">
        <f>IF('ORDENES'!$A268="","",IF('ORDENES'!$M268="",0,'ORDENES'!$M268))</f>
        <v/>
      </c>
      <c r="M290" s="24">
        <f>IF('ORDENES'!$A268="","",IF('ORDENES'!$N268="","-",'ORDENES'!$N268))</f>
        <v/>
      </c>
      <c r="N290" s="24">
        <f>IF('ORDENES'!$A268="","",'ORDENES'!$AG268)</f>
        <v/>
      </c>
    </row>
    <row r="291">
      <c r="A291" s="24">
        <f>IF('ORDENES'!$A269="","",IF('ORDENES'!$O269="","-",'ORDENES'!$O269))</f>
        <v/>
      </c>
      <c r="B291" s="24">
        <f>IF('ORDENES'!$A269="","",IF('ORDENES'!$S269="","-",'ORDENES'!$S269))</f>
        <v/>
      </c>
      <c r="C291" s="24">
        <f>IF('ORDENES'!$A269="","",IF('ORDENES'!$AI269="","-",'ORDENES'!$AI269))</f>
        <v/>
      </c>
      <c r="D291" s="24">
        <f>IF('ORDENES'!$A269="","",IF('ORDENES'!$AA269="","-",'ORDENES'!$AA269))</f>
        <v/>
      </c>
      <c r="E291" s="24">
        <f>IF('ORDENES'!$A269="","",IF('ORDENES'!$Y269="","-",'ORDENES'!$Y269))</f>
        <v/>
      </c>
      <c r="F291" s="24">
        <f>IF('ORDENES'!$A269="","",IF('ORDENES'!$AB269="","-",'ORDENES'!$AB269))</f>
        <v/>
      </c>
      <c r="G291" s="24">
        <f>IF('ORDENES'!$A269="","",IF('ORDENES'!$Z269="","-",'ORDENES'!$Z269))</f>
        <v/>
      </c>
      <c r="H291" s="24">
        <f>IF('ORDENES'!$A269="","",IF('ORDENES'!$AH269="","-",'ORDENES'!$AH269))</f>
        <v/>
      </c>
      <c r="I291" s="24">
        <f>IF('ORDENES'!$A269="","",IF('ORDENES'!$AU269="","-",'ORDENES'!$AU269))</f>
        <v/>
      </c>
      <c r="J291" s="24">
        <f>IF('ORDENES'!$A269="","",IF('ORDENES'!$D269="","-",'ORDENES'!$D269))</f>
        <v/>
      </c>
      <c r="K291" s="24">
        <f>IF('ORDENES'!$A269="","",IF('ORDENES'!$E269="","-",'ORDENES'!$E269))</f>
        <v/>
      </c>
      <c r="L291" s="26">
        <f>IF('ORDENES'!$A269="","",IF('ORDENES'!$M269="",0,'ORDENES'!$M269))</f>
        <v/>
      </c>
      <c r="M291" s="24">
        <f>IF('ORDENES'!$A269="","",IF('ORDENES'!$N269="","-",'ORDENES'!$N269))</f>
        <v/>
      </c>
      <c r="N291" s="24">
        <f>IF('ORDENES'!$A269="","",'ORDENES'!$AG269)</f>
        <v/>
      </c>
    </row>
    <row r="292">
      <c r="A292" s="24">
        <f>IF('ORDENES'!$A270="","",IF('ORDENES'!$O270="","-",'ORDENES'!$O270))</f>
        <v/>
      </c>
      <c r="B292" s="24">
        <f>IF('ORDENES'!$A270="","",IF('ORDENES'!$S270="","-",'ORDENES'!$S270))</f>
        <v/>
      </c>
      <c r="C292" s="24">
        <f>IF('ORDENES'!$A270="","",IF('ORDENES'!$AI270="","-",'ORDENES'!$AI270))</f>
        <v/>
      </c>
      <c r="D292" s="24">
        <f>IF('ORDENES'!$A270="","",IF('ORDENES'!$AA270="","-",'ORDENES'!$AA270))</f>
        <v/>
      </c>
      <c r="E292" s="24">
        <f>IF('ORDENES'!$A270="","",IF('ORDENES'!$Y270="","-",'ORDENES'!$Y270))</f>
        <v/>
      </c>
      <c r="F292" s="24">
        <f>IF('ORDENES'!$A270="","",IF('ORDENES'!$AB270="","-",'ORDENES'!$AB270))</f>
        <v/>
      </c>
      <c r="G292" s="24">
        <f>IF('ORDENES'!$A270="","",IF('ORDENES'!$Z270="","-",'ORDENES'!$Z270))</f>
        <v/>
      </c>
      <c r="H292" s="24">
        <f>IF('ORDENES'!$A270="","",IF('ORDENES'!$AH270="","-",'ORDENES'!$AH270))</f>
        <v/>
      </c>
      <c r="I292" s="24">
        <f>IF('ORDENES'!$A270="","",IF('ORDENES'!$AU270="","-",'ORDENES'!$AU270))</f>
        <v/>
      </c>
      <c r="J292" s="24">
        <f>IF('ORDENES'!$A270="","",IF('ORDENES'!$D270="","-",'ORDENES'!$D270))</f>
        <v/>
      </c>
      <c r="K292" s="24">
        <f>IF('ORDENES'!$A270="","",IF('ORDENES'!$E270="","-",'ORDENES'!$E270))</f>
        <v/>
      </c>
      <c r="L292" s="26">
        <f>IF('ORDENES'!$A270="","",IF('ORDENES'!$M270="",0,'ORDENES'!$M270))</f>
        <v/>
      </c>
      <c r="M292" s="24">
        <f>IF('ORDENES'!$A270="","",IF('ORDENES'!$N270="","-",'ORDENES'!$N270))</f>
        <v/>
      </c>
      <c r="N292" s="24">
        <f>IF('ORDENES'!$A270="","",'ORDENES'!$AG270)</f>
        <v/>
      </c>
    </row>
    <row r="293">
      <c r="A293" s="24">
        <f>IF('ORDENES'!$A271="","",IF('ORDENES'!$O271="","-",'ORDENES'!$O271))</f>
        <v/>
      </c>
      <c r="B293" s="24">
        <f>IF('ORDENES'!$A271="","",IF('ORDENES'!$S271="","-",'ORDENES'!$S271))</f>
        <v/>
      </c>
      <c r="C293" s="24">
        <f>IF('ORDENES'!$A271="","",IF('ORDENES'!$AI271="","-",'ORDENES'!$AI271))</f>
        <v/>
      </c>
      <c r="D293" s="24">
        <f>IF('ORDENES'!$A271="","",IF('ORDENES'!$AA271="","-",'ORDENES'!$AA271))</f>
        <v/>
      </c>
      <c r="E293" s="24">
        <f>IF('ORDENES'!$A271="","",IF('ORDENES'!$Y271="","-",'ORDENES'!$Y271))</f>
        <v/>
      </c>
      <c r="F293" s="24">
        <f>IF('ORDENES'!$A271="","",IF('ORDENES'!$AB271="","-",'ORDENES'!$AB271))</f>
        <v/>
      </c>
      <c r="G293" s="24">
        <f>IF('ORDENES'!$A271="","",IF('ORDENES'!$Z271="","-",'ORDENES'!$Z271))</f>
        <v/>
      </c>
      <c r="H293" s="24">
        <f>IF('ORDENES'!$A271="","",IF('ORDENES'!$AH271="","-",'ORDENES'!$AH271))</f>
        <v/>
      </c>
      <c r="I293" s="24">
        <f>IF('ORDENES'!$A271="","",IF('ORDENES'!$AU271="","-",'ORDENES'!$AU271))</f>
        <v/>
      </c>
      <c r="J293" s="24">
        <f>IF('ORDENES'!$A271="","",IF('ORDENES'!$D271="","-",'ORDENES'!$D271))</f>
        <v/>
      </c>
      <c r="K293" s="24">
        <f>IF('ORDENES'!$A271="","",IF('ORDENES'!$E271="","-",'ORDENES'!$E271))</f>
        <v/>
      </c>
      <c r="L293" s="26">
        <f>IF('ORDENES'!$A271="","",IF('ORDENES'!$M271="",0,'ORDENES'!$M271))</f>
        <v/>
      </c>
      <c r="M293" s="24">
        <f>IF('ORDENES'!$A271="","",IF('ORDENES'!$N271="","-",'ORDENES'!$N271))</f>
        <v/>
      </c>
      <c r="N293" s="24">
        <f>IF('ORDENES'!$A271="","",'ORDENES'!$AG271)</f>
        <v/>
      </c>
    </row>
    <row r="294">
      <c r="A294" s="24">
        <f>IF('ORDENES'!$A272="","",IF('ORDENES'!$O272="","-",'ORDENES'!$O272))</f>
        <v/>
      </c>
      <c r="B294" s="24">
        <f>IF('ORDENES'!$A272="","",IF('ORDENES'!$S272="","-",'ORDENES'!$S272))</f>
        <v/>
      </c>
      <c r="C294" s="24">
        <f>IF('ORDENES'!$A272="","",IF('ORDENES'!$AI272="","-",'ORDENES'!$AI272))</f>
        <v/>
      </c>
      <c r="D294" s="24">
        <f>IF('ORDENES'!$A272="","",IF('ORDENES'!$AA272="","-",'ORDENES'!$AA272))</f>
        <v/>
      </c>
      <c r="E294" s="24">
        <f>IF('ORDENES'!$A272="","",IF('ORDENES'!$Y272="","-",'ORDENES'!$Y272))</f>
        <v/>
      </c>
      <c r="F294" s="24">
        <f>IF('ORDENES'!$A272="","",IF('ORDENES'!$AB272="","-",'ORDENES'!$AB272))</f>
        <v/>
      </c>
      <c r="G294" s="24">
        <f>IF('ORDENES'!$A272="","",IF('ORDENES'!$Z272="","-",'ORDENES'!$Z272))</f>
        <v/>
      </c>
      <c r="H294" s="24">
        <f>IF('ORDENES'!$A272="","",IF('ORDENES'!$AH272="","-",'ORDENES'!$AH272))</f>
        <v/>
      </c>
      <c r="I294" s="24">
        <f>IF('ORDENES'!$A272="","",IF('ORDENES'!$AU272="","-",'ORDENES'!$AU272))</f>
        <v/>
      </c>
      <c r="J294" s="24">
        <f>IF('ORDENES'!$A272="","",IF('ORDENES'!$D272="","-",'ORDENES'!$D272))</f>
        <v/>
      </c>
      <c r="K294" s="24">
        <f>IF('ORDENES'!$A272="","",IF('ORDENES'!$E272="","-",'ORDENES'!$E272))</f>
        <v/>
      </c>
      <c r="L294" s="26">
        <f>IF('ORDENES'!$A272="","",IF('ORDENES'!$M272="",0,'ORDENES'!$M272))</f>
        <v/>
      </c>
      <c r="M294" s="24">
        <f>IF('ORDENES'!$A272="","",IF('ORDENES'!$N272="","-",'ORDENES'!$N272))</f>
        <v/>
      </c>
      <c r="N294" s="24">
        <f>IF('ORDENES'!$A272="","",'ORDENES'!$AG272)</f>
        <v/>
      </c>
    </row>
    <row r="295">
      <c r="A295" s="24">
        <f>IF('ORDENES'!$A273="","",IF('ORDENES'!$O273="","-",'ORDENES'!$O273))</f>
        <v/>
      </c>
      <c r="B295" s="24">
        <f>IF('ORDENES'!$A273="","",IF('ORDENES'!$S273="","-",'ORDENES'!$S273))</f>
        <v/>
      </c>
      <c r="C295" s="24">
        <f>IF('ORDENES'!$A273="","",IF('ORDENES'!$AI273="","-",'ORDENES'!$AI273))</f>
        <v/>
      </c>
      <c r="D295" s="24">
        <f>IF('ORDENES'!$A273="","",IF('ORDENES'!$AA273="","-",'ORDENES'!$AA273))</f>
        <v/>
      </c>
      <c r="E295" s="24">
        <f>IF('ORDENES'!$A273="","",IF('ORDENES'!$Y273="","-",'ORDENES'!$Y273))</f>
        <v/>
      </c>
      <c r="F295" s="24">
        <f>IF('ORDENES'!$A273="","",IF('ORDENES'!$AB273="","-",'ORDENES'!$AB273))</f>
        <v/>
      </c>
      <c r="G295" s="24">
        <f>IF('ORDENES'!$A273="","",IF('ORDENES'!$Z273="","-",'ORDENES'!$Z273))</f>
        <v/>
      </c>
      <c r="H295" s="24">
        <f>IF('ORDENES'!$A273="","",IF('ORDENES'!$AH273="","-",'ORDENES'!$AH273))</f>
        <v/>
      </c>
      <c r="I295" s="24">
        <f>IF('ORDENES'!$A273="","",IF('ORDENES'!$AU273="","-",'ORDENES'!$AU273))</f>
        <v/>
      </c>
      <c r="J295" s="24">
        <f>IF('ORDENES'!$A273="","",IF('ORDENES'!$D273="","-",'ORDENES'!$D273))</f>
        <v/>
      </c>
      <c r="K295" s="24">
        <f>IF('ORDENES'!$A273="","",IF('ORDENES'!$E273="","-",'ORDENES'!$E273))</f>
        <v/>
      </c>
      <c r="L295" s="26">
        <f>IF('ORDENES'!$A273="","",IF('ORDENES'!$M273="",0,'ORDENES'!$M273))</f>
        <v/>
      </c>
      <c r="M295" s="24">
        <f>IF('ORDENES'!$A273="","",IF('ORDENES'!$N273="","-",'ORDENES'!$N273))</f>
        <v/>
      </c>
      <c r="N295" s="24">
        <f>IF('ORDENES'!$A273="","",'ORDENES'!$AG273)</f>
        <v/>
      </c>
    </row>
    <row r="296">
      <c r="A296" s="24">
        <f>IF('ORDENES'!$A274="","",IF('ORDENES'!$O274="","-",'ORDENES'!$O274))</f>
        <v/>
      </c>
      <c r="B296" s="24">
        <f>IF('ORDENES'!$A274="","",IF('ORDENES'!$S274="","-",'ORDENES'!$S274))</f>
        <v/>
      </c>
      <c r="C296" s="24">
        <f>IF('ORDENES'!$A274="","",IF('ORDENES'!$AI274="","-",'ORDENES'!$AI274))</f>
        <v/>
      </c>
      <c r="D296" s="24">
        <f>IF('ORDENES'!$A274="","",IF('ORDENES'!$AA274="","-",'ORDENES'!$AA274))</f>
        <v/>
      </c>
      <c r="E296" s="24">
        <f>IF('ORDENES'!$A274="","",IF('ORDENES'!$Y274="","-",'ORDENES'!$Y274))</f>
        <v/>
      </c>
      <c r="F296" s="24">
        <f>IF('ORDENES'!$A274="","",IF('ORDENES'!$AB274="","-",'ORDENES'!$AB274))</f>
        <v/>
      </c>
      <c r="G296" s="24">
        <f>IF('ORDENES'!$A274="","",IF('ORDENES'!$Z274="","-",'ORDENES'!$Z274))</f>
        <v/>
      </c>
      <c r="H296" s="24">
        <f>IF('ORDENES'!$A274="","",IF('ORDENES'!$AH274="","-",'ORDENES'!$AH274))</f>
        <v/>
      </c>
      <c r="I296" s="24">
        <f>IF('ORDENES'!$A274="","",IF('ORDENES'!$AU274="","-",'ORDENES'!$AU274))</f>
        <v/>
      </c>
      <c r="J296" s="24">
        <f>IF('ORDENES'!$A274="","",IF('ORDENES'!$D274="","-",'ORDENES'!$D274))</f>
        <v/>
      </c>
      <c r="K296" s="24">
        <f>IF('ORDENES'!$A274="","",IF('ORDENES'!$E274="","-",'ORDENES'!$E274))</f>
        <v/>
      </c>
      <c r="L296" s="26">
        <f>IF('ORDENES'!$A274="","",IF('ORDENES'!$M274="",0,'ORDENES'!$M274))</f>
        <v/>
      </c>
      <c r="M296" s="24">
        <f>IF('ORDENES'!$A274="","",IF('ORDENES'!$N274="","-",'ORDENES'!$N274))</f>
        <v/>
      </c>
      <c r="N296" s="24">
        <f>IF('ORDENES'!$A274="","",'ORDENES'!$AG274)</f>
        <v/>
      </c>
    </row>
    <row r="297">
      <c r="A297" s="24">
        <f>IF('ORDENES'!$A275="","",IF('ORDENES'!$O275="","-",'ORDENES'!$O275))</f>
        <v/>
      </c>
      <c r="B297" s="24">
        <f>IF('ORDENES'!$A275="","",IF('ORDENES'!$S275="","-",'ORDENES'!$S275))</f>
        <v/>
      </c>
      <c r="C297" s="24">
        <f>IF('ORDENES'!$A275="","",IF('ORDENES'!$AI275="","-",'ORDENES'!$AI275))</f>
        <v/>
      </c>
      <c r="D297" s="24">
        <f>IF('ORDENES'!$A275="","",IF('ORDENES'!$AA275="","-",'ORDENES'!$AA275))</f>
        <v/>
      </c>
      <c r="E297" s="24">
        <f>IF('ORDENES'!$A275="","",IF('ORDENES'!$Y275="","-",'ORDENES'!$Y275))</f>
        <v/>
      </c>
      <c r="F297" s="24">
        <f>IF('ORDENES'!$A275="","",IF('ORDENES'!$AB275="","-",'ORDENES'!$AB275))</f>
        <v/>
      </c>
      <c r="G297" s="24">
        <f>IF('ORDENES'!$A275="","",IF('ORDENES'!$Z275="","-",'ORDENES'!$Z275))</f>
        <v/>
      </c>
      <c r="H297" s="24">
        <f>IF('ORDENES'!$A275="","",IF('ORDENES'!$AH275="","-",'ORDENES'!$AH275))</f>
        <v/>
      </c>
      <c r="I297" s="24">
        <f>IF('ORDENES'!$A275="","",IF('ORDENES'!$AU275="","-",'ORDENES'!$AU275))</f>
        <v/>
      </c>
      <c r="J297" s="24">
        <f>IF('ORDENES'!$A275="","",IF('ORDENES'!$D275="","-",'ORDENES'!$D275))</f>
        <v/>
      </c>
      <c r="K297" s="24">
        <f>IF('ORDENES'!$A275="","",IF('ORDENES'!$E275="","-",'ORDENES'!$E275))</f>
        <v/>
      </c>
      <c r="L297" s="26">
        <f>IF('ORDENES'!$A275="","",IF('ORDENES'!$M275="",0,'ORDENES'!$M275))</f>
        <v/>
      </c>
      <c r="M297" s="24">
        <f>IF('ORDENES'!$A275="","",IF('ORDENES'!$N275="","-",'ORDENES'!$N275))</f>
        <v/>
      </c>
      <c r="N297" s="24">
        <f>IF('ORDENES'!$A275="","",'ORDENES'!$AG275)</f>
        <v/>
      </c>
    </row>
    <row r="298">
      <c r="A298" s="24">
        <f>IF('ORDENES'!$A276="","",IF('ORDENES'!$O276="","-",'ORDENES'!$O276))</f>
        <v/>
      </c>
      <c r="B298" s="24">
        <f>IF('ORDENES'!$A276="","",IF('ORDENES'!$S276="","-",'ORDENES'!$S276))</f>
        <v/>
      </c>
      <c r="C298" s="24">
        <f>IF('ORDENES'!$A276="","",IF('ORDENES'!$AI276="","-",'ORDENES'!$AI276))</f>
        <v/>
      </c>
      <c r="D298" s="24">
        <f>IF('ORDENES'!$A276="","",IF('ORDENES'!$AA276="","-",'ORDENES'!$AA276))</f>
        <v/>
      </c>
      <c r="E298" s="24">
        <f>IF('ORDENES'!$A276="","",IF('ORDENES'!$Y276="","-",'ORDENES'!$Y276))</f>
        <v/>
      </c>
      <c r="F298" s="24">
        <f>IF('ORDENES'!$A276="","",IF('ORDENES'!$AB276="","-",'ORDENES'!$AB276))</f>
        <v/>
      </c>
      <c r="G298" s="24">
        <f>IF('ORDENES'!$A276="","",IF('ORDENES'!$Z276="","-",'ORDENES'!$Z276))</f>
        <v/>
      </c>
      <c r="H298" s="24">
        <f>IF('ORDENES'!$A276="","",IF('ORDENES'!$AH276="","-",'ORDENES'!$AH276))</f>
        <v/>
      </c>
      <c r="I298" s="24">
        <f>IF('ORDENES'!$A276="","",IF('ORDENES'!$AU276="","-",'ORDENES'!$AU276))</f>
        <v/>
      </c>
      <c r="J298" s="24">
        <f>IF('ORDENES'!$A276="","",IF('ORDENES'!$D276="","-",'ORDENES'!$D276))</f>
        <v/>
      </c>
      <c r="K298" s="24">
        <f>IF('ORDENES'!$A276="","",IF('ORDENES'!$E276="","-",'ORDENES'!$E276))</f>
        <v/>
      </c>
      <c r="L298" s="26">
        <f>IF('ORDENES'!$A276="","",IF('ORDENES'!$M276="",0,'ORDENES'!$M276))</f>
        <v/>
      </c>
      <c r="M298" s="24">
        <f>IF('ORDENES'!$A276="","",IF('ORDENES'!$N276="","-",'ORDENES'!$N276))</f>
        <v/>
      </c>
      <c r="N298" s="24">
        <f>IF('ORDENES'!$A276="","",'ORDENES'!$AG276)</f>
        <v/>
      </c>
    </row>
    <row r="299">
      <c r="A299" s="24">
        <f>IF('ORDENES'!$A277="","",IF('ORDENES'!$O277="","-",'ORDENES'!$O277))</f>
        <v/>
      </c>
      <c r="B299" s="24">
        <f>IF('ORDENES'!$A277="","",IF('ORDENES'!$S277="","-",'ORDENES'!$S277))</f>
        <v/>
      </c>
      <c r="C299" s="24">
        <f>IF('ORDENES'!$A277="","",IF('ORDENES'!$AI277="","-",'ORDENES'!$AI277))</f>
        <v/>
      </c>
      <c r="D299" s="24">
        <f>IF('ORDENES'!$A277="","",IF('ORDENES'!$AA277="","-",'ORDENES'!$AA277))</f>
        <v/>
      </c>
      <c r="E299" s="24">
        <f>IF('ORDENES'!$A277="","",IF('ORDENES'!$Y277="","-",'ORDENES'!$Y277))</f>
        <v/>
      </c>
      <c r="F299" s="24">
        <f>IF('ORDENES'!$A277="","",IF('ORDENES'!$AB277="","-",'ORDENES'!$AB277))</f>
        <v/>
      </c>
      <c r="G299" s="24">
        <f>IF('ORDENES'!$A277="","",IF('ORDENES'!$Z277="","-",'ORDENES'!$Z277))</f>
        <v/>
      </c>
      <c r="H299" s="24">
        <f>IF('ORDENES'!$A277="","",IF('ORDENES'!$AH277="","-",'ORDENES'!$AH277))</f>
        <v/>
      </c>
      <c r="I299" s="24">
        <f>IF('ORDENES'!$A277="","",IF('ORDENES'!$AU277="","-",'ORDENES'!$AU277))</f>
        <v/>
      </c>
      <c r="J299" s="24">
        <f>IF('ORDENES'!$A277="","",IF('ORDENES'!$D277="","-",'ORDENES'!$D277))</f>
        <v/>
      </c>
      <c r="K299" s="24">
        <f>IF('ORDENES'!$A277="","",IF('ORDENES'!$E277="","-",'ORDENES'!$E277))</f>
        <v/>
      </c>
      <c r="L299" s="26">
        <f>IF('ORDENES'!$A277="","",IF('ORDENES'!$M277="",0,'ORDENES'!$M277))</f>
        <v/>
      </c>
      <c r="M299" s="24">
        <f>IF('ORDENES'!$A277="","",IF('ORDENES'!$N277="","-",'ORDENES'!$N277))</f>
        <v/>
      </c>
      <c r="N299" s="24">
        <f>IF('ORDENES'!$A277="","",'ORDENES'!$AG277)</f>
        <v/>
      </c>
    </row>
    <row r="300">
      <c r="A300" s="24">
        <f>IF('ORDENES'!$A278="","",IF('ORDENES'!$O278="","-",'ORDENES'!$O278))</f>
        <v/>
      </c>
      <c r="B300" s="24">
        <f>IF('ORDENES'!$A278="","",IF('ORDENES'!$S278="","-",'ORDENES'!$S278))</f>
        <v/>
      </c>
      <c r="C300" s="24">
        <f>IF('ORDENES'!$A278="","",IF('ORDENES'!$AI278="","-",'ORDENES'!$AI278))</f>
        <v/>
      </c>
      <c r="D300" s="24">
        <f>IF('ORDENES'!$A278="","",IF('ORDENES'!$AA278="","-",'ORDENES'!$AA278))</f>
        <v/>
      </c>
      <c r="E300" s="24">
        <f>IF('ORDENES'!$A278="","",IF('ORDENES'!$Y278="","-",'ORDENES'!$Y278))</f>
        <v/>
      </c>
      <c r="F300" s="24">
        <f>IF('ORDENES'!$A278="","",IF('ORDENES'!$AB278="","-",'ORDENES'!$AB278))</f>
        <v/>
      </c>
      <c r="G300" s="24">
        <f>IF('ORDENES'!$A278="","",IF('ORDENES'!$Z278="","-",'ORDENES'!$Z278))</f>
        <v/>
      </c>
      <c r="H300" s="24">
        <f>IF('ORDENES'!$A278="","",IF('ORDENES'!$AH278="","-",'ORDENES'!$AH278))</f>
        <v/>
      </c>
      <c r="I300" s="24">
        <f>IF('ORDENES'!$A278="","",IF('ORDENES'!$AU278="","-",'ORDENES'!$AU278))</f>
        <v/>
      </c>
      <c r="J300" s="24">
        <f>IF('ORDENES'!$A278="","",IF('ORDENES'!$D278="","-",'ORDENES'!$D278))</f>
        <v/>
      </c>
      <c r="K300" s="24">
        <f>IF('ORDENES'!$A278="","",IF('ORDENES'!$E278="","-",'ORDENES'!$E278))</f>
        <v/>
      </c>
      <c r="L300" s="26">
        <f>IF('ORDENES'!$A278="","",IF('ORDENES'!$M278="",0,'ORDENES'!$M278))</f>
        <v/>
      </c>
      <c r="M300" s="24">
        <f>IF('ORDENES'!$A278="","",IF('ORDENES'!$N278="","-",'ORDENES'!$N278))</f>
        <v/>
      </c>
      <c r="N300" s="24">
        <f>IF('ORDENES'!$A278="","",'ORDENES'!$AG278)</f>
        <v/>
      </c>
    </row>
    <row r="301">
      <c r="A301" s="24">
        <f>IF('ORDENES'!$A279="","",IF('ORDENES'!$O279="","-",'ORDENES'!$O279))</f>
        <v/>
      </c>
      <c r="B301" s="24">
        <f>IF('ORDENES'!$A279="","",IF('ORDENES'!$S279="","-",'ORDENES'!$S279))</f>
        <v/>
      </c>
      <c r="C301" s="24">
        <f>IF('ORDENES'!$A279="","",IF('ORDENES'!$AI279="","-",'ORDENES'!$AI279))</f>
        <v/>
      </c>
      <c r="D301" s="24">
        <f>IF('ORDENES'!$A279="","",IF('ORDENES'!$AA279="","-",'ORDENES'!$AA279))</f>
        <v/>
      </c>
      <c r="E301" s="24">
        <f>IF('ORDENES'!$A279="","",IF('ORDENES'!$Y279="","-",'ORDENES'!$Y279))</f>
        <v/>
      </c>
      <c r="F301" s="24">
        <f>IF('ORDENES'!$A279="","",IF('ORDENES'!$AB279="","-",'ORDENES'!$AB279))</f>
        <v/>
      </c>
      <c r="G301" s="24">
        <f>IF('ORDENES'!$A279="","",IF('ORDENES'!$Z279="","-",'ORDENES'!$Z279))</f>
        <v/>
      </c>
      <c r="H301" s="24">
        <f>IF('ORDENES'!$A279="","",IF('ORDENES'!$AH279="","-",'ORDENES'!$AH279))</f>
        <v/>
      </c>
      <c r="I301" s="24">
        <f>IF('ORDENES'!$A279="","",IF('ORDENES'!$AU279="","-",'ORDENES'!$AU279))</f>
        <v/>
      </c>
      <c r="J301" s="24">
        <f>IF('ORDENES'!$A279="","",IF('ORDENES'!$D279="","-",'ORDENES'!$D279))</f>
        <v/>
      </c>
      <c r="K301" s="24">
        <f>IF('ORDENES'!$A279="","",IF('ORDENES'!$E279="","-",'ORDENES'!$E279))</f>
        <v/>
      </c>
      <c r="L301" s="26">
        <f>IF('ORDENES'!$A279="","",IF('ORDENES'!$M279="",0,'ORDENES'!$M279))</f>
        <v/>
      </c>
      <c r="M301" s="24">
        <f>IF('ORDENES'!$A279="","",IF('ORDENES'!$N279="","-",'ORDENES'!$N279))</f>
        <v/>
      </c>
      <c r="N301" s="24">
        <f>IF('ORDENES'!$A279="","",'ORDENES'!$AG279)</f>
        <v/>
      </c>
    </row>
    <row r="302">
      <c r="A302" s="24">
        <f>IF('ORDENES'!$A280="","",IF('ORDENES'!$O280="","-",'ORDENES'!$O280))</f>
        <v/>
      </c>
      <c r="B302" s="24">
        <f>IF('ORDENES'!$A280="","",IF('ORDENES'!$S280="","-",'ORDENES'!$S280))</f>
        <v/>
      </c>
      <c r="C302" s="24">
        <f>IF('ORDENES'!$A280="","",IF('ORDENES'!$AI280="","-",'ORDENES'!$AI280))</f>
        <v/>
      </c>
      <c r="D302" s="24">
        <f>IF('ORDENES'!$A280="","",IF('ORDENES'!$AA280="","-",'ORDENES'!$AA280))</f>
        <v/>
      </c>
      <c r="E302" s="24">
        <f>IF('ORDENES'!$A280="","",IF('ORDENES'!$Y280="","-",'ORDENES'!$Y280))</f>
        <v/>
      </c>
      <c r="F302" s="24">
        <f>IF('ORDENES'!$A280="","",IF('ORDENES'!$AB280="","-",'ORDENES'!$AB280))</f>
        <v/>
      </c>
      <c r="G302" s="24">
        <f>IF('ORDENES'!$A280="","",IF('ORDENES'!$Z280="","-",'ORDENES'!$Z280))</f>
        <v/>
      </c>
      <c r="H302" s="24">
        <f>IF('ORDENES'!$A280="","",IF('ORDENES'!$AH280="","-",'ORDENES'!$AH280))</f>
        <v/>
      </c>
      <c r="I302" s="24">
        <f>IF('ORDENES'!$A280="","",IF('ORDENES'!$AU280="","-",'ORDENES'!$AU280))</f>
        <v/>
      </c>
      <c r="J302" s="24">
        <f>IF('ORDENES'!$A280="","",IF('ORDENES'!$D280="","-",'ORDENES'!$D280))</f>
        <v/>
      </c>
      <c r="K302" s="24">
        <f>IF('ORDENES'!$A280="","",IF('ORDENES'!$E280="","-",'ORDENES'!$E280))</f>
        <v/>
      </c>
      <c r="L302" s="26">
        <f>IF('ORDENES'!$A280="","",IF('ORDENES'!$M280="",0,'ORDENES'!$M280))</f>
        <v/>
      </c>
      <c r="M302" s="24">
        <f>IF('ORDENES'!$A280="","",IF('ORDENES'!$N280="","-",'ORDENES'!$N280))</f>
        <v/>
      </c>
      <c r="N302" s="24">
        <f>IF('ORDENES'!$A280="","",'ORDENES'!$AG280)</f>
        <v/>
      </c>
    </row>
    <row r="303">
      <c r="A303" s="24">
        <f>IF('ORDENES'!$A281="","",IF('ORDENES'!$O281="","-",'ORDENES'!$O281))</f>
        <v/>
      </c>
      <c r="B303" s="24">
        <f>IF('ORDENES'!$A281="","",IF('ORDENES'!$S281="","-",'ORDENES'!$S281))</f>
        <v/>
      </c>
      <c r="C303" s="24">
        <f>IF('ORDENES'!$A281="","",IF('ORDENES'!$AI281="","-",'ORDENES'!$AI281))</f>
        <v/>
      </c>
      <c r="D303" s="24">
        <f>IF('ORDENES'!$A281="","",IF('ORDENES'!$AA281="","-",'ORDENES'!$AA281))</f>
        <v/>
      </c>
      <c r="E303" s="24">
        <f>IF('ORDENES'!$A281="","",IF('ORDENES'!$Y281="","-",'ORDENES'!$Y281))</f>
        <v/>
      </c>
      <c r="F303" s="24">
        <f>IF('ORDENES'!$A281="","",IF('ORDENES'!$AB281="","-",'ORDENES'!$AB281))</f>
        <v/>
      </c>
      <c r="G303" s="24">
        <f>IF('ORDENES'!$A281="","",IF('ORDENES'!$Z281="","-",'ORDENES'!$Z281))</f>
        <v/>
      </c>
      <c r="H303" s="24">
        <f>IF('ORDENES'!$A281="","",IF('ORDENES'!$AH281="","-",'ORDENES'!$AH281))</f>
        <v/>
      </c>
      <c r="I303" s="24">
        <f>IF('ORDENES'!$A281="","",IF('ORDENES'!$AU281="","-",'ORDENES'!$AU281))</f>
        <v/>
      </c>
      <c r="J303" s="24">
        <f>IF('ORDENES'!$A281="","",IF('ORDENES'!$D281="","-",'ORDENES'!$D281))</f>
        <v/>
      </c>
      <c r="K303" s="24">
        <f>IF('ORDENES'!$A281="","",IF('ORDENES'!$E281="","-",'ORDENES'!$E281))</f>
        <v/>
      </c>
      <c r="L303" s="26">
        <f>IF('ORDENES'!$A281="","",IF('ORDENES'!$M281="",0,'ORDENES'!$M281))</f>
        <v/>
      </c>
      <c r="M303" s="24">
        <f>IF('ORDENES'!$A281="","",IF('ORDENES'!$N281="","-",'ORDENES'!$N281))</f>
        <v/>
      </c>
      <c r="N303" s="24">
        <f>IF('ORDENES'!$A281="","",'ORDENES'!$AG281)</f>
        <v/>
      </c>
    </row>
    <row r="304">
      <c r="A304" s="24">
        <f>IF('ORDENES'!$A282="","",IF('ORDENES'!$O282="","-",'ORDENES'!$O282))</f>
        <v/>
      </c>
      <c r="B304" s="24">
        <f>IF('ORDENES'!$A282="","",IF('ORDENES'!$S282="","-",'ORDENES'!$S282))</f>
        <v/>
      </c>
      <c r="C304" s="24">
        <f>IF('ORDENES'!$A282="","",IF('ORDENES'!$AI282="","-",'ORDENES'!$AI282))</f>
        <v/>
      </c>
      <c r="D304" s="24">
        <f>IF('ORDENES'!$A282="","",IF('ORDENES'!$AA282="","-",'ORDENES'!$AA282))</f>
        <v/>
      </c>
      <c r="E304" s="24">
        <f>IF('ORDENES'!$A282="","",IF('ORDENES'!$Y282="","-",'ORDENES'!$Y282))</f>
        <v/>
      </c>
      <c r="F304" s="24">
        <f>IF('ORDENES'!$A282="","",IF('ORDENES'!$AB282="","-",'ORDENES'!$AB282))</f>
        <v/>
      </c>
      <c r="G304" s="24">
        <f>IF('ORDENES'!$A282="","",IF('ORDENES'!$Z282="","-",'ORDENES'!$Z282))</f>
        <v/>
      </c>
      <c r="H304" s="24">
        <f>IF('ORDENES'!$A282="","",IF('ORDENES'!$AH282="","-",'ORDENES'!$AH282))</f>
        <v/>
      </c>
      <c r="I304" s="24">
        <f>IF('ORDENES'!$A282="","",IF('ORDENES'!$AU282="","-",'ORDENES'!$AU282))</f>
        <v/>
      </c>
      <c r="J304" s="24">
        <f>IF('ORDENES'!$A282="","",IF('ORDENES'!$D282="","-",'ORDENES'!$D282))</f>
        <v/>
      </c>
      <c r="K304" s="24">
        <f>IF('ORDENES'!$A282="","",IF('ORDENES'!$E282="","-",'ORDENES'!$E282))</f>
        <v/>
      </c>
      <c r="L304" s="26">
        <f>IF('ORDENES'!$A282="","",IF('ORDENES'!$M282="",0,'ORDENES'!$M282))</f>
        <v/>
      </c>
      <c r="M304" s="24">
        <f>IF('ORDENES'!$A282="","",IF('ORDENES'!$N282="","-",'ORDENES'!$N282))</f>
        <v/>
      </c>
      <c r="N304" s="24">
        <f>IF('ORDENES'!$A282="","",'ORDENES'!$AG282)</f>
        <v/>
      </c>
    </row>
    <row r="305">
      <c r="A305" s="24">
        <f>IF('ORDENES'!$A283="","",IF('ORDENES'!$O283="","-",'ORDENES'!$O283))</f>
        <v/>
      </c>
      <c r="B305" s="24">
        <f>IF('ORDENES'!$A283="","",IF('ORDENES'!$S283="","-",'ORDENES'!$S283))</f>
        <v/>
      </c>
      <c r="C305" s="24">
        <f>IF('ORDENES'!$A283="","",IF('ORDENES'!$AI283="","-",'ORDENES'!$AI283))</f>
        <v/>
      </c>
      <c r="D305" s="24">
        <f>IF('ORDENES'!$A283="","",IF('ORDENES'!$AA283="","-",'ORDENES'!$AA283))</f>
        <v/>
      </c>
      <c r="E305" s="24">
        <f>IF('ORDENES'!$A283="","",IF('ORDENES'!$Y283="","-",'ORDENES'!$Y283))</f>
        <v/>
      </c>
      <c r="F305" s="24">
        <f>IF('ORDENES'!$A283="","",IF('ORDENES'!$AB283="","-",'ORDENES'!$AB283))</f>
        <v/>
      </c>
      <c r="G305" s="24">
        <f>IF('ORDENES'!$A283="","",IF('ORDENES'!$Z283="","-",'ORDENES'!$Z283))</f>
        <v/>
      </c>
      <c r="H305" s="24">
        <f>IF('ORDENES'!$A283="","",IF('ORDENES'!$AH283="","-",'ORDENES'!$AH283))</f>
        <v/>
      </c>
      <c r="I305" s="24">
        <f>IF('ORDENES'!$A283="","",IF('ORDENES'!$AU283="","-",'ORDENES'!$AU283))</f>
        <v/>
      </c>
      <c r="J305" s="24">
        <f>IF('ORDENES'!$A283="","",IF('ORDENES'!$D283="","-",'ORDENES'!$D283))</f>
        <v/>
      </c>
      <c r="K305" s="24">
        <f>IF('ORDENES'!$A283="","",IF('ORDENES'!$E283="","-",'ORDENES'!$E283))</f>
        <v/>
      </c>
      <c r="L305" s="26">
        <f>IF('ORDENES'!$A283="","",IF('ORDENES'!$M283="",0,'ORDENES'!$M283))</f>
        <v/>
      </c>
      <c r="M305" s="24">
        <f>IF('ORDENES'!$A283="","",IF('ORDENES'!$N283="","-",'ORDENES'!$N283))</f>
        <v/>
      </c>
      <c r="N305" s="24">
        <f>IF('ORDENES'!$A283="","",'ORDENES'!$AG283)</f>
        <v/>
      </c>
    </row>
    <row r="306">
      <c r="A306" s="24">
        <f>IF('ORDENES'!$A284="","",IF('ORDENES'!$O284="","-",'ORDENES'!$O284))</f>
        <v/>
      </c>
      <c r="B306" s="24">
        <f>IF('ORDENES'!$A284="","",IF('ORDENES'!$S284="","-",'ORDENES'!$S284))</f>
        <v/>
      </c>
      <c r="C306" s="24">
        <f>IF('ORDENES'!$A284="","",IF('ORDENES'!$AI284="","-",'ORDENES'!$AI284))</f>
        <v/>
      </c>
      <c r="D306" s="24">
        <f>IF('ORDENES'!$A284="","",IF('ORDENES'!$AA284="","-",'ORDENES'!$AA284))</f>
        <v/>
      </c>
      <c r="E306" s="24">
        <f>IF('ORDENES'!$A284="","",IF('ORDENES'!$Y284="","-",'ORDENES'!$Y284))</f>
        <v/>
      </c>
      <c r="F306" s="24">
        <f>IF('ORDENES'!$A284="","",IF('ORDENES'!$AB284="","-",'ORDENES'!$AB284))</f>
        <v/>
      </c>
      <c r="G306" s="24">
        <f>IF('ORDENES'!$A284="","",IF('ORDENES'!$Z284="","-",'ORDENES'!$Z284))</f>
        <v/>
      </c>
      <c r="H306" s="24">
        <f>IF('ORDENES'!$A284="","",IF('ORDENES'!$AH284="","-",'ORDENES'!$AH284))</f>
        <v/>
      </c>
      <c r="I306" s="24">
        <f>IF('ORDENES'!$A284="","",IF('ORDENES'!$AU284="","-",'ORDENES'!$AU284))</f>
        <v/>
      </c>
      <c r="J306" s="24">
        <f>IF('ORDENES'!$A284="","",IF('ORDENES'!$D284="","-",'ORDENES'!$D284))</f>
        <v/>
      </c>
      <c r="K306" s="24">
        <f>IF('ORDENES'!$A284="","",IF('ORDENES'!$E284="","-",'ORDENES'!$E284))</f>
        <v/>
      </c>
      <c r="L306" s="26">
        <f>IF('ORDENES'!$A284="","",IF('ORDENES'!$M284="",0,'ORDENES'!$M284))</f>
        <v/>
      </c>
      <c r="M306" s="24">
        <f>IF('ORDENES'!$A284="","",IF('ORDENES'!$N284="","-",'ORDENES'!$N284))</f>
        <v/>
      </c>
      <c r="N306" s="24">
        <f>IF('ORDENES'!$A284="","",'ORDENES'!$AG284)</f>
        <v/>
      </c>
    </row>
    <row r="307">
      <c r="A307" s="24">
        <f>IF('ORDENES'!$A285="","",IF('ORDENES'!$O285="","-",'ORDENES'!$O285))</f>
        <v/>
      </c>
      <c r="B307" s="24">
        <f>IF('ORDENES'!$A285="","",IF('ORDENES'!$S285="","-",'ORDENES'!$S285))</f>
        <v/>
      </c>
      <c r="C307" s="24">
        <f>IF('ORDENES'!$A285="","",IF('ORDENES'!$AI285="","-",'ORDENES'!$AI285))</f>
        <v/>
      </c>
      <c r="D307" s="24">
        <f>IF('ORDENES'!$A285="","",IF('ORDENES'!$AA285="","-",'ORDENES'!$AA285))</f>
        <v/>
      </c>
      <c r="E307" s="24">
        <f>IF('ORDENES'!$A285="","",IF('ORDENES'!$Y285="","-",'ORDENES'!$Y285))</f>
        <v/>
      </c>
      <c r="F307" s="24">
        <f>IF('ORDENES'!$A285="","",IF('ORDENES'!$AB285="","-",'ORDENES'!$AB285))</f>
        <v/>
      </c>
      <c r="G307" s="24">
        <f>IF('ORDENES'!$A285="","",IF('ORDENES'!$Z285="","-",'ORDENES'!$Z285))</f>
        <v/>
      </c>
      <c r="H307" s="24">
        <f>IF('ORDENES'!$A285="","",IF('ORDENES'!$AH285="","-",'ORDENES'!$AH285))</f>
        <v/>
      </c>
      <c r="I307" s="24">
        <f>IF('ORDENES'!$A285="","",IF('ORDENES'!$AU285="","-",'ORDENES'!$AU285))</f>
        <v/>
      </c>
      <c r="J307" s="24">
        <f>IF('ORDENES'!$A285="","",IF('ORDENES'!$D285="","-",'ORDENES'!$D285))</f>
        <v/>
      </c>
      <c r="K307" s="24">
        <f>IF('ORDENES'!$A285="","",IF('ORDENES'!$E285="","-",'ORDENES'!$E285))</f>
        <v/>
      </c>
      <c r="L307" s="26">
        <f>IF('ORDENES'!$A285="","",IF('ORDENES'!$M285="",0,'ORDENES'!$M285))</f>
        <v/>
      </c>
      <c r="M307" s="24">
        <f>IF('ORDENES'!$A285="","",IF('ORDENES'!$N285="","-",'ORDENES'!$N285))</f>
        <v/>
      </c>
      <c r="N307" s="24">
        <f>IF('ORDENES'!$A285="","",'ORDENES'!$AG285)</f>
        <v/>
      </c>
    </row>
    <row r="308">
      <c r="A308" s="24">
        <f>IF('ORDENES'!$A286="","",IF('ORDENES'!$O286="","-",'ORDENES'!$O286))</f>
        <v/>
      </c>
      <c r="B308" s="24">
        <f>IF('ORDENES'!$A286="","",IF('ORDENES'!$S286="","-",'ORDENES'!$S286))</f>
        <v/>
      </c>
      <c r="C308" s="24">
        <f>IF('ORDENES'!$A286="","",IF('ORDENES'!$AI286="","-",'ORDENES'!$AI286))</f>
        <v/>
      </c>
      <c r="D308" s="24">
        <f>IF('ORDENES'!$A286="","",IF('ORDENES'!$AA286="","-",'ORDENES'!$AA286))</f>
        <v/>
      </c>
      <c r="E308" s="24">
        <f>IF('ORDENES'!$A286="","",IF('ORDENES'!$Y286="","-",'ORDENES'!$Y286))</f>
        <v/>
      </c>
      <c r="F308" s="24">
        <f>IF('ORDENES'!$A286="","",IF('ORDENES'!$AB286="","-",'ORDENES'!$AB286))</f>
        <v/>
      </c>
      <c r="G308" s="24">
        <f>IF('ORDENES'!$A286="","",IF('ORDENES'!$Z286="","-",'ORDENES'!$Z286))</f>
        <v/>
      </c>
      <c r="H308" s="24">
        <f>IF('ORDENES'!$A286="","",IF('ORDENES'!$AH286="","-",'ORDENES'!$AH286))</f>
        <v/>
      </c>
      <c r="I308" s="24">
        <f>IF('ORDENES'!$A286="","",IF('ORDENES'!$AU286="","-",'ORDENES'!$AU286))</f>
        <v/>
      </c>
      <c r="J308" s="24">
        <f>IF('ORDENES'!$A286="","",IF('ORDENES'!$D286="","-",'ORDENES'!$D286))</f>
        <v/>
      </c>
      <c r="K308" s="24">
        <f>IF('ORDENES'!$A286="","",IF('ORDENES'!$E286="","-",'ORDENES'!$E286))</f>
        <v/>
      </c>
      <c r="L308" s="26">
        <f>IF('ORDENES'!$A286="","",IF('ORDENES'!$M286="",0,'ORDENES'!$M286))</f>
        <v/>
      </c>
      <c r="M308" s="24">
        <f>IF('ORDENES'!$A286="","",IF('ORDENES'!$N286="","-",'ORDENES'!$N286))</f>
        <v/>
      </c>
      <c r="N308" s="24">
        <f>IF('ORDENES'!$A286="","",'ORDENES'!$AG286)</f>
        <v/>
      </c>
    </row>
    <row r="309">
      <c r="A309" s="24">
        <f>IF('ORDENES'!$A287="","",IF('ORDENES'!$O287="","-",'ORDENES'!$O287))</f>
        <v/>
      </c>
      <c r="B309" s="24">
        <f>IF('ORDENES'!$A287="","",IF('ORDENES'!$S287="","-",'ORDENES'!$S287))</f>
        <v/>
      </c>
      <c r="C309" s="24">
        <f>IF('ORDENES'!$A287="","",IF('ORDENES'!$AI287="","-",'ORDENES'!$AI287))</f>
        <v/>
      </c>
      <c r="D309" s="24">
        <f>IF('ORDENES'!$A287="","",IF('ORDENES'!$AA287="","-",'ORDENES'!$AA287))</f>
        <v/>
      </c>
      <c r="E309" s="24">
        <f>IF('ORDENES'!$A287="","",IF('ORDENES'!$Y287="","-",'ORDENES'!$Y287))</f>
        <v/>
      </c>
      <c r="F309" s="24">
        <f>IF('ORDENES'!$A287="","",IF('ORDENES'!$AB287="","-",'ORDENES'!$AB287))</f>
        <v/>
      </c>
      <c r="G309" s="24">
        <f>IF('ORDENES'!$A287="","",IF('ORDENES'!$Z287="","-",'ORDENES'!$Z287))</f>
        <v/>
      </c>
      <c r="H309" s="24">
        <f>IF('ORDENES'!$A287="","",IF('ORDENES'!$AH287="","-",'ORDENES'!$AH287))</f>
        <v/>
      </c>
      <c r="I309" s="24">
        <f>IF('ORDENES'!$A287="","",IF('ORDENES'!$AU287="","-",'ORDENES'!$AU287))</f>
        <v/>
      </c>
      <c r="J309" s="24">
        <f>IF('ORDENES'!$A287="","",IF('ORDENES'!$D287="","-",'ORDENES'!$D287))</f>
        <v/>
      </c>
      <c r="K309" s="24">
        <f>IF('ORDENES'!$A287="","",IF('ORDENES'!$E287="","-",'ORDENES'!$E287))</f>
        <v/>
      </c>
      <c r="L309" s="26">
        <f>IF('ORDENES'!$A287="","",IF('ORDENES'!$M287="",0,'ORDENES'!$M287))</f>
        <v/>
      </c>
      <c r="M309" s="24">
        <f>IF('ORDENES'!$A287="","",IF('ORDENES'!$N287="","-",'ORDENES'!$N287))</f>
        <v/>
      </c>
      <c r="N309" s="24">
        <f>IF('ORDENES'!$A287="","",'ORDENES'!$AG287)</f>
        <v/>
      </c>
    </row>
    <row r="310">
      <c r="A310" s="24">
        <f>IF('ORDENES'!$A288="","",IF('ORDENES'!$O288="","-",'ORDENES'!$O288))</f>
        <v/>
      </c>
      <c r="B310" s="24">
        <f>IF('ORDENES'!$A288="","",IF('ORDENES'!$S288="","-",'ORDENES'!$S288))</f>
        <v/>
      </c>
      <c r="C310" s="24">
        <f>IF('ORDENES'!$A288="","",IF('ORDENES'!$AI288="","-",'ORDENES'!$AI288))</f>
        <v/>
      </c>
      <c r="D310" s="24">
        <f>IF('ORDENES'!$A288="","",IF('ORDENES'!$AA288="","-",'ORDENES'!$AA288))</f>
        <v/>
      </c>
      <c r="E310" s="24">
        <f>IF('ORDENES'!$A288="","",IF('ORDENES'!$Y288="","-",'ORDENES'!$Y288))</f>
        <v/>
      </c>
      <c r="F310" s="24">
        <f>IF('ORDENES'!$A288="","",IF('ORDENES'!$AB288="","-",'ORDENES'!$AB288))</f>
        <v/>
      </c>
      <c r="G310" s="24">
        <f>IF('ORDENES'!$A288="","",IF('ORDENES'!$Z288="","-",'ORDENES'!$Z288))</f>
        <v/>
      </c>
      <c r="H310" s="24">
        <f>IF('ORDENES'!$A288="","",IF('ORDENES'!$AH288="","-",'ORDENES'!$AH288))</f>
        <v/>
      </c>
      <c r="I310" s="24">
        <f>IF('ORDENES'!$A288="","",IF('ORDENES'!$AU288="","-",'ORDENES'!$AU288))</f>
        <v/>
      </c>
      <c r="J310" s="24">
        <f>IF('ORDENES'!$A288="","",IF('ORDENES'!$D288="","-",'ORDENES'!$D288))</f>
        <v/>
      </c>
      <c r="K310" s="24">
        <f>IF('ORDENES'!$A288="","",IF('ORDENES'!$E288="","-",'ORDENES'!$E288))</f>
        <v/>
      </c>
      <c r="L310" s="26">
        <f>IF('ORDENES'!$A288="","",IF('ORDENES'!$M288="",0,'ORDENES'!$M288))</f>
        <v/>
      </c>
      <c r="M310" s="24">
        <f>IF('ORDENES'!$A288="","",IF('ORDENES'!$N288="","-",'ORDENES'!$N288))</f>
        <v/>
      </c>
      <c r="N310" s="24">
        <f>IF('ORDENES'!$A288="","",'ORDENES'!$AG288)</f>
        <v/>
      </c>
    </row>
    <row r="311">
      <c r="A311" s="24">
        <f>IF('ORDENES'!$A289="","",IF('ORDENES'!$O289="","-",'ORDENES'!$O289))</f>
        <v/>
      </c>
      <c r="B311" s="24">
        <f>IF('ORDENES'!$A289="","",IF('ORDENES'!$S289="","-",'ORDENES'!$S289))</f>
        <v/>
      </c>
      <c r="C311" s="24">
        <f>IF('ORDENES'!$A289="","",IF('ORDENES'!$AI289="","-",'ORDENES'!$AI289))</f>
        <v/>
      </c>
      <c r="D311" s="24">
        <f>IF('ORDENES'!$A289="","",IF('ORDENES'!$AA289="","-",'ORDENES'!$AA289))</f>
        <v/>
      </c>
      <c r="E311" s="24">
        <f>IF('ORDENES'!$A289="","",IF('ORDENES'!$Y289="","-",'ORDENES'!$Y289))</f>
        <v/>
      </c>
      <c r="F311" s="24">
        <f>IF('ORDENES'!$A289="","",IF('ORDENES'!$AB289="","-",'ORDENES'!$AB289))</f>
        <v/>
      </c>
      <c r="G311" s="24">
        <f>IF('ORDENES'!$A289="","",IF('ORDENES'!$Z289="","-",'ORDENES'!$Z289))</f>
        <v/>
      </c>
      <c r="H311" s="24">
        <f>IF('ORDENES'!$A289="","",IF('ORDENES'!$AH289="","-",'ORDENES'!$AH289))</f>
        <v/>
      </c>
      <c r="I311" s="24">
        <f>IF('ORDENES'!$A289="","",IF('ORDENES'!$AU289="","-",'ORDENES'!$AU289))</f>
        <v/>
      </c>
      <c r="J311" s="24">
        <f>IF('ORDENES'!$A289="","",IF('ORDENES'!$D289="","-",'ORDENES'!$D289))</f>
        <v/>
      </c>
      <c r="K311" s="24">
        <f>IF('ORDENES'!$A289="","",IF('ORDENES'!$E289="","-",'ORDENES'!$E289))</f>
        <v/>
      </c>
      <c r="L311" s="26">
        <f>IF('ORDENES'!$A289="","",IF('ORDENES'!$M289="",0,'ORDENES'!$M289))</f>
        <v/>
      </c>
      <c r="M311" s="24">
        <f>IF('ORDENES'!$A289="","",IF('ORDENES'!$N289="","-",'ORDENES'!$N289))</f>
        <v/>
      </c>
      <c r="N311" s="24">
        <f>IF('ORDENES'!$A289="","",'ORDENES'!$AG289)</f>
        <v/>
      </c>
    </row>
    <row r="312">
      <c r="A312" s="24">
        <f>IF('ORDENES'!$A290="","",IF('ORDENES'!$O290="","-",'ORDENES'!$O290))</f>
        <v/>
      </c>
      <c r="B312" s="24">
        <f>IF('ORDENES'!$A290="","",IF('ORDENES'!$S290="","-",'ORDENES'!$S290))</f>
        <v/>
      </c>
      <c r="C312" s="24">
        <f>IF('ORDENES'!$A290="","",IF('ORDENES'!$AI290="","-",'ORDENES'!$AI290))</f>
        <v/>
      </c>
      <c r="D312" s="24">
        <f>IF('ORDENES'!$A290="","",IF('ORDENES'!$AA290="","-",'ORDENES'!$AA290))</f>
        <v/>
      </c>
      <c r="E312" s="24">
        <f>IF('ORDENES'!$A290="","",IF('ORDENES'!$Y290="","-",'ORDENES'!$Y290))</f>
        <v/>
      </c>
      <c r="F312" s="24">
        <f>IF('ORDENES'!$A290="","",IF('ORDENES'!$AB290="","-",'ORDENES'!$AB290))</f>
        <v/>
      </c>
      <c r="G312" s="24">
        <f>IF('ORDENES'!$A290="","",IF('ORDENES'!$Z290="","-",'ORDENES'!$Z290))</f>
        <v/>
      </c>
      <c r="H312" s="24">
        <f>IF('ORDENES'!$A290="","",IF('ORDENES'!$AH290="","-",'ORDENES'!$AH290))</f>
        <v/>
      </c>
      <c r="I312" s="24">
        <f>IF('ORDENES'!$A290="","",IF('ORDENES'!$AU290="","-",'ORDENES'!$AU290))</f>
        <v/>
      </c>
      <c r="J312" s="24">
        <f>IF('ORDENES'!$A290="","",IF('ORDENES'!$D290="","-",'ORDENES'!$D290))</f>
        <v/>
      </c>
      <c r="K312" s="24">
        <f>IF('ORDENES'!$A290="","",IF('ORDENES'!$E290="","-",'ORDENES'!$E290))</f>
        <v/>
      </c>
      <c r="L312" s="26">
        <f>IF('ORDENES'!$A290="","",IF('ORDENES'!$M290="",0,'ORDENES'!$M290))</f>
        <v/>
      </c>
      <c r="M312" s="24">
        <f>IF('ORDENES'!$A290="","",IF('ORDENES'!$N290="","-",'ORDENES'!$N290))</f>
        <v/>
      </c>
      <c r="N312" s="24">
        <f>IF('ORDENES'!$A290="","",'ORDENES'!$AG290)</f>
        <v/>
      </c>
    </row>
    <row r="313">
      <c r="A313" s="24">
        <f>IF('ORDENES'!$A291="","",IF('ORDENES'!$O291="","-",'ORDENES'!$O291))</f>
        <v/>
      </c>
      <c r="B313" s="24">
        <f>IF('ORDENES'!$A291="","",IF('ORDENES'!$S291="","-",'ORDENES'!$S291))</f>
        <v/>
      </c>
      <c r="C313" s="24">
        <f>IF('ORDENES'!$A291="","",IF('ORDENES'!$AI291="","-",'ORDENES'!$AI291))</f>
        <v/>
      </c>
      <c r="D313" s="24">
        <f>IF('ORDENES'!$A291="","",IF('ORDENES'!$AA291="","-",'ORDENES'!$AA291))</f>
        <v/>
      </c>
      <c r="E313" s="24">
        <f>IF('ORDENES'!$A291="","",IF('ORDENES'!$Y291="","-",'ORDENES'!$Y291))</f>
        <v/>
      </c>
      <c r="F313" s="24">
        <f>IF('ORDENES'!$A291="","",IF('ORDENES'!$AB291="","-",'ORDENES'!$AB291))</f>
        <v/>
      </c>
      <c r="G313" s="24">
        <f>IF('ORDENES'!$A291="","",IF('ORDENES'!$Z291="","-",'ORDENES'!$Z291))</f>
        <v/>
      </c>
      <c r="H313" s="24">
        <f>IF('ORDENES'!$A291="","",IF('ORDENES'!$AH291="","-",'ORDENES'!$AH291))</f>
        <v/>
      </c>
      <c r="I313" s="24">
        <f>IF('ORDENES'!$A291="","",IF('ORDENES'!$AU291="","-",'ORDENES'!$AU291))</f>
        <v/>
      </c>
      <c r="J313" s="24">
        <f>IF('ORDENES'!$A291="","",IF('ORDENES'!$D291="","-",'ORDENES'!$D291))</f>
        <v/>
      </c>
      <c r="K313" s="24">
        <f>IF('ORDENES'!$A291="","",IF('ORDENES'!$E291="","-",'ORDENES'!$E291))</f>
        <v/>
      </c>
      <c r="L313" s="26">
        <f>IF('ORDENES'!$A291="","",IF('ORDENES'!$M291="",0,'ORDENES'!$M291))</f>
        <v/>
      </c>
      <c r="M313" s="24">
        <f>IF('ORDENES'!$A291="","",IF('ORDENES'!$N291="","-",'ORDENES'!$N291))</f>
        <v/>
      </c>
      <c r="N313" s="24">
        <f>IF('ORDENES'!$A291="","",'ORDENES'!$AG291)</f>
        <v/>
      </c>
    </row>
    <row r="314">
      <c r="A314" s="24">
        <f>IF('ORDENES'!$A292="","",IF('ORDENES'!$O292="","-",'ORDENES'!$O292))</f>
        <v/>
      </c>
      <c r="B314" s="24">
        <f>IF('ORDENES'!$A292="","",IF('ORDENES'!$S292="","-",'ORDENES'!$S292))</f>
        <v/>
      </c>
      <c r="C314" s="24">
        <f>IF('ORDENES'!$A292="","",IF('ORDENES'!$AI292="","-",'ORDENES'!$AI292))</f>
        <v/>
      </c>
      <c r="D314" s="24">
        <f>IF('ORDENES'!$A292="","",IF('ORDENES'!$AA292="","-",'ORDENES'!$AA292))</f>
        <v/>
      </c>
      <c r="E314" s="24">
        <f>IF('ORDENES'!$A292="","",IF('ORDENES'!$Y292="","-",'ORDENES'!$Y292))</f>
        <v/>
      </c>
      <c r="F314" s="24">
        <f>IF('ORDENES'!$A292="","",IF('ORDENES'!$AB292="","-",'ORDENES'!$AB292))</f>
        <v/>
      </c>
      <c r="G314" s="24">
        <f>IF('ORDENES'!$A292="","",IF('ORDENES'!$Z292="","-",'ORDENES'!$Z292))</f>
        <v/>
      </c>
      <c r="H314" s="24">
        <f>IF('ORDENES'!$A292="","",IF('ORDENES'!$AH292="","-",'ORDENES'!$AH292))</f>
        <v/>
      </c>
      <c r="I314" s="24">
        <f>IF('ORDENES'!$A292="","",IF('ORDENES'!$AU292="","-",'ORDENES'!$AU292))</f>
        <v/>
      </c>
      <c r="J314" s="24">
        <f>IF('ORDENES'!$A292="","",IF('ORDENES'!$D292="","-",'ORDENES'!$D292))</f>
        <v/>
      </c>
      <c r="K314" s="24">
        <f>IF('ORDENES'!$A292="","",IF('ORDENES'!$E292="","-",'ORDENES'!$E292))</f>
        <v/>
      </c>
      <c r="L314" s="26">
        <f>IF('ORDENES'!$A292="","",IF('ORDENES'!$M292="",0,'ORDENES'!$M292))</f>
        <v/>
      </c>
      <c r="M314" s="24">
        <f>IF('ORDENES'!$A292="","",IF('ORDENES'!$N292="","-",'ORDENES'!$N292))</f>
        <v/>
      </c>
      <c r="N314" s="24">
        <f>IF('ORDENES'!$A292="","",'ORDENES'!$AG292)</f>
        <v/>
      </c>
    </row>
    <row r="315">
      <c r="A315" s="24">
        <f>IF('ORDENES'!$A293="","",IF('ORDENES'!$O293="","-",'ORDENES'!$O293))</f>
        <v/>
      </c>
      <c r="B315" s="24">
        <f>IF('ORDENES'!$A293="","",IF('ORDENES'!$S293="","-",'ORDENES'!$S293))</f>
        <v/>
      </c>
      <c r="C315" s="24">
        <f>IF('ORDENES'!$A293="","",IF('ORDENES'!$AI293="","-",'ORDENES'!$AI293))</f>
        <v/>
      </c>
      <c r="D315" s="24">
        <f>IF('ORDENES'!$A293="","",IF('ORDENES'!$AA293="","-",'ORDENES'!$AA293))</f>
        <v/>
      </c>
      <c r="E315" s="24">
        <f>IF('ORDENES'!$A293="","",IF('ORDENES'!$Y293="","-",'ORDENES'!$Y293))</f>
        <v/>
      </c>
      <c r="F315" s="24">
        <f>IF('ORDENES'!$A293="","",IF('ORDENES'!$AB293="","-",'ORDENES'!$AB293))</f>
        <v/>
      </c>
      <c r="G315" s="24">
        <f>IF('ORDENES'!$A293="","",IF('ORDENES'!$Z293="","-",'ORDENES'!$Z293))</f>
        <v/>
      </c>
      <c r="H315" s="24">
        <f>IF('ORDENES'!$A293="","",IF('ORDENES'!$AH293="","-",'ORDENES'!$AH293))</f>
        <v/>
      </c>
      <c r="I315" s="24">
        <f>IF('ORDENES'!$A293="","",IF('ORDENES'!$AU293="","-",'ORDENES'!$AU293))</f>
        <v/>
      </c>
      <c r="J315" s="24">
        <f>IF('ORDENES'!$A293="","",IF('ORDENES'!$D293="","-",'ORDENES'!$D293))</f>
        <v/>
      </c>
      <c r="K315" s="24">
        <f>IF('ORDENES'!$A293="","",IF('ORDENES'!$E293="","-",'ORDENES'!$E293))</f>
        <v/>
      </c>
      <c r="L315" s="26">
        <f>IF('ORDENES'!$A293="","",IF('ORDENES'!$M293="",0,'ORDENES'!$M293))</f>
        <v/>
      </c>
      <c r="M315" s="24">
        <f>IF('ORDENES'!$A293="","",IF('ORDENES'!$N293="","-",'ORDENES'!$N293))</f>
        <v/>
      </c>
      <c r="N315" s="24">
        <f>IF('ORDENES'!$A293="","",'ORDENES'!$AG293)</f>
        <v/>
      </c>
    </row>
    <row r="316">
      <c r="A316" s="24">
        <f>IF('ORDENES'!$A294="","",IF('ORDENES'!$O294="","-",'ORDENES'!$O294))</f>
        <v/>
      </c>
      <c r="B316" s="24">
        <f>IF('ORDENES'!$A294="","",IF('ORDENES'!$S294="","-",'ORDENES'!$S294))</f>
        <v/>
      </c>
      <c r="C316" s="24">
        <f>IF('ORDENES'!$A294="","",IF('ORDENES'!$AI294="","-",'ORDENES'!$AI294))</f>
        <v/>
      </c>
      <c r="D316" s="24">
        <f>IF('ORDENES'!$A294="","",IF('ORDENES'!$AA294="","-",'ORDENES'!$AA294))</f>
        <v/>
      </c>
      <c r="E316" s="24">
        <f>IF('ORDENES'!$A294="","",IF('ORDENES'!$Y294="","-",'ORDENES'!$Y294))</f>
        <v/>
      </c>
      <c r="F316" s="24">
        <f>IF('ORDENES'!$A294="","",IF('ORDENES'!$AB294="","-",'ORDENES'!$AB294))</f>
        <v/>
      </c>
      <c r="G316" s="24">
        <f>IF('ORDENES'!$A294="","",IF('ORDENES'!$Z294="","-",'ORDENES'!$Z294))</f>
        <v/>
      </c>
      <c r="H316" s="24">
        <f>IF('ORDENES'!$A294="","",IF('ORDENES'!$AH294="","-",'ORDENES'!$AH294))</f>
        <v/>
      </c>
      <c r="I316" s="24">
        <f>IF('ORDENES'!$A294="","",IF('ORDENES'!$AU294="","-",'ORDENES'!$AU294))</f>
        <v/>
      </c>
      <c r="J316" s="24">
        <f>IF('ORDENES'!$A294="","",IF('ORDENES'!$D294="","-",'ORDENES'!$D294))</f>
        <v/>
      </c>
      <c r="K316" s="24">
        <f>IF('ORDENES'!$A294="","",IF('ORDENES'!$E294="","-",'ORDENES'!$E294))</f>
        <v/>
      </c>
      <c r="L316" s="26">
        <f>IF('ORDENES'!$A294="","",IF('ORDENES'!$M294="",0,'ORDENES'!$M294))</f>
        <v/>
      </c>
      <c r="M316" s="24">
        <f>IF('ORDENES'!$A294="","",IF('ORDENES'!$N294="","-",'ORDENES'!$N294))</f>
        <v/>
      </c>
      <c r="N316" s="24">
        <f>IF('ORDENES'!$A294="","",'ORDENES'!$AG294)</f>
        <v/>
      </c>
    </row>
    <row r="317">
      <c r="A317" s="24">
        <f>IF('ORDENES'!$A295="","",IF('ORDENES'!$O295="","-",'ORDENES'!$O295))</f>
        <v/>
      </c>
      <c r="B317" s="24">
        <f>IF('ORDENES'!$A295="","",IF('ORDENES'!$S295="","-",'ORDENES'!$S295))</f>
        <v/>
      </c>
      <c r="C317" s="24">
        <f>IF('ORDENES'!$A295="","",IF('ORDENES'!$AI295="","-",'ORDENES'!$AI295))</f>
        <v/>
      </c>
      <c r="D317" s="24">
        <f>IF('ORDENES'!$A295="","",IF('ORDENES'!$AA295="","-",'ORDENES'!$AA295))</f>
        <v/>
      </c>
      <c r="E317" s="24">
        <f>IF('ORDENES'!$A295="","",IF('ORDENES'!$Y295="","-",'ORDENES'!$Y295))</f>
        <v/>
      </c>
      <c r="F317" s="24">
        <f>IF('ORDENES'!$A295="","",IF('ORDENES'!$AB295="","-",'ORDENES'!$AB295))</f>
        <v/>
      </c>
      <c r="G317" s="24">
        <f>IF('ORDENES'!$A295="","",IF('ORDENES'!$Z295="","-",'ORDENES'!$Z295))</f>
        <v/>
      </c>
      <c r="H317" s="24">
        <f>IF('ORDENES'!$A295="","",IF('ORDENES'!$AH295="","-",'ORDENES'!$AH295))</f>
        <v/>
      </c>
      <c r="I317" s="24">
        <f>IF('ORDENES'!$A295="","",IF('ORDENES'!$AU295="","-",'ORDENES'!$AU295))</f>
        <v/>
      </c>
      <c r="J317" s="24">
        <f>IF('ORDENES'!$A295="","",IF('ORDENES'!$D295="","-",'ORDENES'!$D295))</f>
        <v/>
      </c>
      <c r="K317" s="24">
        <f>IF('ORDENES'!$A295="","",IF('ORDENES'!$E295="","-",'ORDENES'!$E295))</f>
        <v/>
      </c>
      <c r="L317" s="26">
        <f>IF('ORDENES'!$A295="","",IF('ORDENES'!$M295="",0,'ORDENES'!$M295))</f>
        <v/>
      </c>
      <c r="M317" s="24">
        <f>IF('ORDENES'!$A295="","",IF('ORDENES'!$N295="","-",'ORDENES'!$N295))</f>
        <v/>
      </c>
      <c r="N317" s="24">
        <f>IF('ORDENES'!$A295="","",'ORDENES'!$AG295)</f>
        <v/>
      </c>
    </row>
    <row r="318">
      <c r="A318" s="24">
        <f>IF('ORDENES'!$A296="","",IF('ORDENES'!$O296="","-",'ORDENES'!$O296))</f>
        <v/>
      </c>
      <c r="B318" s="24">
        <f>IF('ORDENES'!$A296="","",IF('ORDENES'!$S296="","-",'ORDENES'!$S296))</f>
        <v/>
      </c>
      <c r="C318" s="24">
        <f>IF('ORDENES'!$A296="","",IF('ORDENES'!$AI296="","-",'ORDENES'!$AI296))</f>
        <v/>
      </c>
      <c r="D318" s="24">
        <f>IF('ORDENES'!$A296="","",IF('ORDENES'!$AA296="","-",'ORDENES'!$AA296))</f>
        <v/>
      </c>
      <c r="E318" s="24">
        <f>IF('ORDENES'!$A296="","",IF('ORDENES'!$Y296="","-",'ORDENES'!$Y296))</f>
        <v/>
      </c>
      <c r="F318" s="24">
        <f>IF('ORDENES'!$A296="","",IF('ORDENES'!$AB296="","-",'ORDENES'!$AB296))</f>
        <v/>
      </c>
      <c r="G318" s="24">
        <f>IF('ORDENES'!$A296="","",IF('ORDENES'!$Z296="","-",'ORDENES'!$Z296))</f>
        <v/>
      </c>
      <c r="H318" s="24">
        <f>IF('ORDENES'!$A296="","",IF('ORDENES'!$AH296="","-",'ORDENES'!$AH296))</f>
        <v/>
      </c>
      <c r="I318" s="24">
        <f>IF('ORDENES'!$A296="","",IF('ORDENES'!$AU296="","-",'ORDENES'!$AU296))</f>
        <v/>
      </c>
      <c r="J318" s="24">
        <f>IF('ORDENES'!$A296="","",IF('ORDENES'!$D296="","-",'ORDENES'!$D296))</f>
        <v/>
      </c>
      <c r="K318" s="24">
        <f>IF('ORDENES'!$A296="","",IF('ORDENES'!$E296="","-",'ORDENES'!$E296))</f>
        <v/>
      </c>
      <c r="L318" s="26">
        <f>IF('ORDENES'!$A296="","",IF('ORDENES'!$M296="",0,'ORDENES'!$M296))</f>
        <v/>
      </c>
      <c r="M318" s="24">
        <f>IF('ORDENES'!$A296="","",IF('ORDENES'!$N296="","-",'ORDENES'!$N296))</f>
        <v/>
      </c>
      <c r="N318" s="24">
        <f>IF('ORDENES'!$A296="","",'ORDENES'!$AG296)</f>
        <v/>
      </c>
    </row>
    <row r="319">
      <c r="A319" s="24">
        <f>IF('ORDENES'!$A297="","",IF('ORDENES'!$O297="","-",'ORDENES'!$O297))</f>
        <v/>
      </c>
      <c r="B319" s="24">
        <f>IF('ORDENES'!$A297="","",IF('ORDENES'!$S297="","-",'ORDENES'!$S297))</f>
        <v/>
      </c>
      <c r="C319" s="24">
        <f>IF('ORDENES'!$A297="","",IF('ORDENES'!$AI297="","-",'ORDENES'!$AI297))</f>
        <v/>
      </c>
      <c r="D319" s="24">
        <f>IF('ORDENES'!$A297="","",IF('ORDENES'!$AA297="","-",'ORDENES'!$AA297))</f>
        <v/>
      </c>
      <c r="E319" s="24">
        <f>IF('ORDENES'!$A297="","",IF('ORDENES'!$Y297="","-",'ORDENES'!$Y297))</f>
        <v/>
      </c>
      <c r="F319" s="24">
        <f>IF('ORDENES'!$A297="","",IF('ORDENES'!$AB297="","-",'ORDENES'!$AB297))</f>
        <v/>
      </c>
      <c r="G319" s="24">
        <f>IF('ORDENES'!$A297="","",IF('ORDENES'!$Z297="","-",'ORDENES'!$Z297))</f>
        <v/>
      </c>
      <c r="H319" s="24">
        <f>IF('ORDENES'!$A297="","",IF('ORDENES'!$AH297="","-",'ORDENES'!$AH297))</f>
        <v/>
      </c>
      <c r="I319" s="24">
        <f>IF('ORDENES'!$A297="","",IF('ORDENES'!$AU297="","-",'ORDENES'!$AU297))</f>
        <v/>
      </c>
      <c r="J319" s="24">
        <f>IF('ORDENES'!$A297="","",IF('ORDENES'!$D297="","-",'ORDENES'!$D297))</f>
        <v/>
      </c>
      <c r="K319" s="24">
        <f>IF('ORDENES'!$A297="","",IF('ORDENES'!$E297="","-",'ORDENES'!$E297))</f>
        <v/>
      </c>
      <c r="L319" s="26">
        <f>IF('ORDENES'!$A297="","",IF('ORDENES'!$M297="",0,'ORDENES'!$M297))</f>
        <v/>
      </c>
      <c r="M319" s="24">
        <f>IF('ORDENES'!$A297="","",IF('ORDENES'!$N297="","-",'ORDENES'!$N297))</f>
        <v/>
      </c>
      <c r="N319" s="24">
        <f>IF('ORDENES'!$A297="","",'ORDENES'!$AG297)</f>
        <v/>
      </c>
    </row>
    <row r="320">
      <c r="A320" s="24">
        <f>IF('ORDENES'!$A298="","",IF('ORDENES'!$O298="","-",'ORDENES'!$O298))</f>
        <v/>
      </c>
      <c r="B320" s="24">
        <f>IF('ORDENES'!$A298="","",IF('ORDENES'!$S298="","-",'ORDENES'!$S298))</f>
        <v/>
      </c>
      <c r="C320" s="24">
        <f>IF('ORDENES'!$A298="","",IF('ORDENES'!$AI298="","-",'ORDENES'!$AI298))</f>
        <v/>
      </c>
      <c r="D320" s="24">
        <f>IF('ORDENES'!$A298="","",IF('ORDENES'!$AA298="","-",'ORDENES'!$AA298))</f>
        <v/>
      </c>
      <c r="E320" s="24">
        <f>IF('ORDENES'!$A298="","",IF('ORDENES'!$Y298="","-",'ORDENES'!$Y298))</f>
        <v/>
      </c>
      <c r="F320" s="24">
        <f>IF('ORDENES'!$A298="","",IF('ORDENES'!$AB298="","-",'ORDENES'!$AB298))</f>
        <v/>
      </c>
      <c r="G320" s="24">
        <f>IF('ORDENES'!$A298="","",IF('ORDENES'!$Z298="","-",'ORDENES'!$Z298))</f>
        <v/>
      </c>
      <c r="H320" s="24">
        <f>IF('ORDENES'!$A298="","",IF('ORDENES'!$AH298="","-",'ORDENES'!$AH298))</f>
        <v/>
      </c>
      <c r="I320" s="24">
        <f>IF('ORDENES'!$A298="","",IF('ORDENES'!$AU298="","-",'ORDENES'!$AU298))</f>
        <v/>
      </c>
      <c r="J320" s="24">
        <f>IF('ORDENES'!$A298="","",IF('ORDENES'!$D298="","-",'ORDENES'!$D298))</f>
        <v/>
      </c>
      <c r="K320" s="24">
        <f>IF('ORDENES'!$A298="","",IF('ORDENES'!$E298="","-",'ORDENES'!$E298))</f>
        <v/>
      </c>
      <c r="L320" s="26">
        <f>IF('ORDENES'!$A298="","",IF('ORDENES'!$M298="",0,'ORDENES'!$M298))</f>
        <v/>
      </c>
      <c r="M320" s="24">
        <f>IF('ORDENES'!$A298="","",IF('ORDENES'!$N298="","-",'ORDENES'!$N298))</f>
        <v/>
      </c>
      <c r="N320" s="24">
        <f>IF('ORDENES'!$A298="","",'ORDENES'!$AG298)</f>
        <v/>
      </c>
    </row>
    <row r="321">
      <c r="A321" s="24">
        <f>IF('ORDENES'!$A299="","",IF('ORDENES'!$O299="","-",'ORDENES'!$O299))</f>
        <v/>
      </c>
      <c r="B321" s="24">
        <f>IF('ORDENES'!$A299="","",IF('ORDENES'!$S299="","-",'ORDENES'!$S299))</f>
        <v/>
      </c>
      <c r="C321" s="24">
        <f>IF('ORDENES'!$A299="","",IF('ORDENES'!$AI299="","-",'ORDENES'!$AI299))</f>
        <v/>
      </c>
      <c r="D321" s="24">
        <f>IF('ORDENES'!$A299="","",IF('ORDENES'!$AA299="","-",'ORDENES'!$AA299))</f>
        <v/>
      </c>
      <c r="E321" s="24">
        <f>IF('ORDENES'!$A299="","",IF('ORDENES'!$Y299="","-",'ORDENES'!$Y299))</f>
        <v/>
      </c>
      <c r="F321" s="24">
        <f>IF('ORDENES'!$A299="","",IF('ORDENES'!$AB299="","-",'ORDENES'!$AB299))</f>
        <v/>
      </c>
      <c r="G321" s="24">
        <f>IF('ORDENES'!$A299="","",IF('ORDENES'!$Z299="","-",'ORDENES'!$Z299))</f>
        <v/>
      </c>
      <c r="H321" s="24">
        <f>IF('ORDENES'!$A299="","",IF('ORDENES'!$AH299="","-",'ORDENES'!$AH299))</f>
        <v/>
      </c>
      <c r="I321" s="24">
        <f>IF('ORDENES'!$A299="","",IF('ORDENES'!$AU299="","-",'ORDENES'!$AU299))</f>
        <v/>
      </c>
      <c r="J321" s="24">
        <f>IF('ORDENES'!$A299="","",IF('ORDENES'!$D299="","-",'ORDENES'!$D299))</f>
        <v/>
      </c>
      <c r="K321" s="24">
        <f>IF('ORDENES'!$A299="","",IF('ORDENES'!$E299="","-",'ORDENES'!$E299))</f>
        <v/>
      </c>
      <c r="L321" s="26">
        <f>IF('ORDENES'!$A299="","",IF('ORDENES'!$M299="",0,'ORDENES'!$M299))</f>
        <v/>
      </c>
      <c r="M321" s="24">
        <f>IF('ORDENES'!$A299="","",IF('ORDENES'!$N299="","-",'ORDENES'!$N299))</f>
        <v/>
      </c>
      <c r="N321" s="24">
        <f>IF('ORDENES'!$A299="","",'ORDENES'!$AG299)</f>
        <v/>
      </c>
    </row>
    <row r="322">
      <c r="A322" s="24">
        <f>IF('ORDENES'!$A300="","",IF('ORDENES'!$O300="","-",'ORDENES'!$O300))</f>
        <v/>
      </c>
      <c r="B322" s="24">
        <f>IF('ORDENES'!$A300="","",IF('ORDENES'!$S300="","-",'ORDENES'!$S300))</f>
        <v/>
      </c>
      <c r="C322" s="24">
        <f>IF('ORDENES'!$A300="","",IF('ORDENES'!$AI300="","-",'ORDENES'!$AI300))</f>
        <v/>
      </c>
      <c r="D322" s="24">
        <f>IF('ORDENES'!$A300="","",IF('ORDENES'!$AA300="","-",'ORDENES'!$AA300))</f>
        <v/>
      </c>
      <c r="E322" s="24">
        <f>IF('ORDENES'!$A300="","",IF('ORDENES'!$Y300="","-",'ORDENES'!$Y300))</f>
        <v/>
      </c>
      <c r="F322" s="24">
        <f>IF('ORDENES'!$A300="","",IF('ORDENES'!$AB300="","-",'ORDENES'!$AB300))</f>
        <v/>
      </c>
      <c r="G322" s="24">
        <f>IF('ORDENES'!$A300="","",IF('ORDENES'!$Z300="","-",'ORDENES'!$Z300))</f>
        <v/>
      </c>
      <c r="H322" s="24">
        <f>IF('ORDENES'!$A300="","",IF('ORDENES'!$AH300="","-",'ORDENES'!$AH300))</f>
        <v/>
      </c>
      <c r="I322" s="24">
        <f>IF('ORDENES'!$A300="","",IF('ORDENES'!$AU300="","-",'ORDENES'!$AU300))</f>
        <v/>
      </c>
      <c r="J322" s="24">
        <f>IF('ORDENES'!$A300="","",IF('ORDENES'!$D300="","-",'ORDENES'!$D300))</f>
        <v/>
      </c>
      <c r="K322" s="24">
        <f>IF('ORDENES'!$A300="","",IF('ORDENES'!$E300="","-",'ORDENES'!$E300))</f>
        <v/>
      </c>
      <c r="L322" s="26">
        <f>IF('ORDENES'!$A300="","",IF('ORDENES'!$M300="",0,'ORDENES'!$M300))</f>
        <v/>
      </c>
      <c r="M322" s="24">
        <f>IF('ORDENES'!$A300="","",IF('ORDENES'!$N300="","-",'ORDENES'!$N300))</f>
        <v/>
      </c>
      <c r="N322" s="24">
        <f>IF('ORDENES'!$A300="","",'ORDENES'!$AG300)</f>
        <v/>
      </c>
    </row>
    <row r="323">
      <c r="A323" s="24">
        <f>IF('ORDENES'!$A301="","",IF('ORDENES'!$O301="","-",'ORDENES'!$O301))</f>
        <v/>
      </c>
      <c r="B323" s="24">
        <f>IF('ORDENES'!$A301="","",IF('ORDENES'!$S301="","-",'ORDENES'!$S301))</f>
        <v/>
      </c>
      <c r="C323" s="24">
        <f>IF('ORDENES'!$A301="","",IF('ORDENES'!$AI301="","-",'ORDENES'!$AI301))</f>
        <v/>
      </c>
      <c r="D323" s="24">
        <f>IF('ORDENES'!$A301="","",IF('ORDENES'!$AA301="","-",'ORDENES'!$AA301))</f>
        <v/>
      </c>
      <c r="E323" s="24">
        <f>IF('ORDENES'!$A301="","",IF('ORDENES'!$Y301="","-",'ORDENES'!$Y301))</f>
        <v/>
      </c>
      <c r="F323" s="24">
        <f>IF('ORDENES'!$A301="","",IF('ORDENES'!$AB301="","-",'ORDENES'!$AB301))</f>
        <v/>
      </c>
      <c r="G323" s="24">
        <f>IF('ORDENES'!$A301="","",IF('ORDENES'!$Z301="","-",'ORDENES'!$Z301))</f>
        <v/>
      </c>
      <c r="H323" s="24">
        <f>IF('ORDENES'!$A301="","",IF('ORDENES'!$AH301="","-",'ORDENES'!$AH301))</f>
        <v/>
      </c>
      <c r="I323" s="24">
        <f>IF('ORDENES'!$A301="","",IF('ORDENES'!$AU301="","-",'ORDENES'!$AU301))</f>
        <v/>
      </c>
      <c r="J323" s="24">
        <f>IF('ORDENES'!$A301="","",IF('ORDENES'!$D301="","-",'ORDENES'!$D301))</f>
        <v/>
      </c>
      <c r="K323" s="24">
        <f>IF('ORDENES'!$A301="","",IF('ORDENES'!$E301="","-",'ORDENES'!$E301))</f>
        <v/>
      </c>
      <c r="L323" s="26">
        <f>IF('ORDENES'!$A301="","",IF('ORDENES'!$M301="",0,'ORDENES'!$M301))</f>
        <v/>
      </c>
      <c r="M323" s="24">
        <f>IF('ORDENES'!$A301="","",IF('ORDENES'!$N301="","-",'ORDENES'!$N301))</f>
        <v/>
      </c>
      <c r="N323" s="24">
        <f>IF('ORDENES'!$A301="","",'ORDENES'!$AG301)</f>
        <v/>
      </c>
    </row>
    <row r="324">
      <c r="A324" s="24">
        <f>IF('ORDENES'!$A302="","",IF('ORDENES'!$O302="","-",'ORDENES'!$O302))</f>
        <v/>
      </c>
      <c r="B324" s="24">
        <f>IF('ORDENES'!$A302="","",IF('ORDENES'!$S302="","-",'ORDENES'!$S302))</f>
        <v/>
      </c>
      <c r="C324" s="24">
        <f>IF('ORDENES'!$A302="","",IF('ORDENES'!$AI302="","-",'ORDENES'!$AI302))</f>
        <v/>
      </c>
      <c r="D324" s="24">
        <f>IF('ORDENES'!$A302="","",IF('ORDENES'!$AA302="","-",'ORDENES'!$AA302))</f>
        <v/>
      </c>
      <c r="E324" s="24">
        <f>IF('ORDENES'!$A302="","",IF('ORDENES'!$Y302="","-",'ORDENES'!$Y302))</f>
        <v/>
      </c>
      <c r="F324" s="24">
        <f>IF('ORDENES'!$A302="","",IF('ORDENES'!$AB302="","-",'ORDENES'!$AB302))</f>
        <v/>
      </c>
      <c r="G324" s="24">
        <f>IF('ORDENES'!$A302="","",IF('ORDENES'!$Z302="","-",'ORDENES'!$Z302))</f>
        <v/>
      </c>
      <c r="H324" s="24">
        <f>IF('ORDENES'!$A302="","",IF('ORDENES'!$AH302="","-",'ORDENES'!$AH302))</f>
        <v/>
      </c>
      <c r="I324" s="24">
        <f>IF('ORDENES'!$A302="","",IF('ORDENES'!$AU302="","-",'ORDENES'!$AU302))</f>
        <v/>
      </c>
      <c r="J324" s="24">
        <f>IF('ORDENES'!$A302="","",IF('ORDENES'!$D302="","-",'ORDENES'!$D302))</f>
        <v/>
      </c>
      <c r="K324" s="24">
        <f>IF('ORDENES'!$A302="","",IF('ORDENES'!$E302="","-",'ORDENES'!$E302))</f>
        <v/>
      </c>
      <c r="L324" s="26">
        <f>IF('ORDENES'!$A302="","",IF('ORDENES'!$M302="",0,'ORDENES'!$M302))</f>
        <v/>
      </c>
      <c r="M324" s="24">
        <f>IF('ORDENES'!$A302="","",IF('ORDENES'!$N302="","-",'ORDENES'!$N302))</f>
        <v/>
      </c>
      <c r="N324" s="24">
        <f>IF('ORDENES'!$A302="","",'ORDENES'!$AG302)</f>
        <v/>
      </c>
    </row>
    <row r="325">
      <c r="A325" s="24">
        <f>IF('ORDENES'!$A303="","",IF('ORDENES'!$O303="","-",'ORDENES'!$O303))</f>
        <v/>
      </c>
      <c r="B325" s="24">
        <f>IF('ORDENES'!$A303="","",IF('ORDENES'!$S303="","-",'ORDENES'!$S303))</f>
        <v/>
      </c>
      <c r="C325" s="24">
        <f>IF('ORDENES'!$A303="","",IF('ORDENES'!$AI303="","-",'ORDENES'!$AI303))</f>
        <v/>
      </c>
      <c r="D325" s="24">
        <f>IF('ORDENES'!$A303="","",IF('ORDENES'!$AA303="","-",'ORDENES'!$AA303))</f>
        <v/>
      </c>
      <c r="E325" s="24">
        <f>IF('ORDENES'!$A303="","",IF('ORDENES'!$Y303="","-",'ORDENES'!$Y303))</f>
        <v/>
      </c>
      <c r="F325" s="24">
        <f>IF('ORDENES'!$A303="","",IF('ORDENES'!$AB303="","-",'ORDENES'!$AB303))</f>
        <v/>
      </c>
      <c r="G325" s="24">
        <f>IF('ORDENES'!$A303="","",IF('ORDENES'!$Z303="","-",'ORDENES'!$Z303))</f>
        <v/>
      </c>
      <c r="H325" s="24">
        <f>IF('ORDENES'!$A303="","",IF('ORDENES'!$AH303="","-",'ORDENES'!$AH303))</f>
        <v/>
      </c>
      <c r="I325" s="24">
        <f>IF('ORDENES'!$A303="","",IF('ORDENES'!$AU303="","-",'ORDENES'!$AU303))</f>
        <v/>
      </c>
      <c r="J325" s="24">
        <f>IF('ORDENES'!$A303="","",IF('ORDENES'!$D303="","-",'ORDENES'!$D303))</f>
        <v/>
      </c>
      <c r="K325" s="24">
        <f>IF('ORDENES'!$A303="","",IF('ORDENES'!$E303="","-",'ORDENES'!$E303))</f>
        <v/>
      </c>
      <c r="L325" s="26">
        <f>IF('ORDENES'!$A303="","",IF('ORDENES'!$M303="",0,'ORDENES'!$M303))</f>
        <v/>
      </c>
      <c r="M325" s="24">
        <f>IF('ORDENES'!$A303="","",IF('ORDENES'!$N303="","-",'ORDENES'!$N303))</f>
        <v/>
      </c>
      <c r="N325" s="24">
        <f>IF('ORDENES'!$A303="","",'ORDENES'!$AG303)</f>
        <v/>
      </c>
    </row>
    <row r="326">
      <c r="A326" s="24">
        <f>IF('ORDENES'!$A304="","",IF('ORDENES'!$O304="","-",'ORDENES'!$O304))</f>
        <v/>
      </c>
      <c r="B326" s="24">
        <f>IF('ORDENES'!$A304="","",IF('ORDENES'!$S304="","-",'ORDENES'!$S304))</f>
        <v/>
      </c>
      <c r="C326" s="24">
        <f>IF('ORDENES'!$A304="","",IF('ORDENES'!$AI304="","-",'ORDENES'!$AI304))</f>
        <v/>
      </c>
      <c r="D326" s="24">
        <f>IF('ORDENES'!$A304="","",IF('ORDENES'!$AA304="","-",'ORDENES'!$AA304))</f>
        <v/>
      </c>
      <c r="E326" s="24">
        <f>IF('ORDENES'!$A304="","",IF('ORDENES'!$Y304="","-",'ORDENES'!$Y304))</f>
        <v/>
      </c>
      <c r="F326" s="24">
        <f>IF('ORDENES'!$A304="","",IF('ORDENES'!$AB304="","-",'ORDENES'!$AB304))</f>
        <v/>
      </c>
      <c r="G326" s="24">
        <f>IF('ORDENES'!$A304="","",IF('ORDENES'!$Z304="","-",'ORDENES'!$Z304))</f>
        <v/>
      </c>
      <c r="H326" s="24">
        <f>IF('ORDENES'!$A304="","",IF('ORDENES'!$AH304="","-",'ORDENES'!$AH304))</f>
        <v/>
      </c>
      <c r="I326" s="24">
        <f>IF('ORDENES'!$A304="","",IF('ORDENES'!$AU304="","-",'ORDENES'!$AU304))</f>
        <v/>
      </c>
      <c r="J326" s="24">
        <f>IF('ORDENES'!$A304="","",IF('ORDENES'!$D304="","-",'ORDENES'!$D304))</f>
        <v/>
      </c>
      <c r="K326" s="24">
        <f>IF('ORDENES'!$A304="","",IF('ORDENES'!$E304="","-",'ORDENES'!$E304))</f>
        <v/>
      </c>
      <c r="L326" s="26">
        <f>IF('ORDENES'!$A304="","",IF('ORDENES'!$M304="",0,'ORDENES'!$M304))</f>
        <v/>
      </c>
      <c r="M326" s="24">
        <f>IF('ORDENES'!$A304="","",IF('ORDENES'!$N304="","-",'ORDENES'!$N304))</f>
        <v/>
      </c>
      <c r="N326" s="24">
        <f>IF('ORDENES'!$A304="","",'ORDENES'!$AG304)</f>
        <v/>
      </c>
    </row>
    <row r="327">
      <c r="A327" s="24">
        <f>IF('ORDENES'!$A305="","",IF('ORDENES'!$O305="","-",'ORDENES'!$O305))</f>
        <v/>
      </c>
      <c r="B327" s="24">
        <f>IF('ORDENES'!$A305="","",IF('ORDENES'!$S305="","-",'ORDENES'!$S305))</f>
        <v/>
      </c>
      <c r="C327" s="24">
        <f>IF('ORDENES'!$A305="","",IF('ORDENES'!$AI305="","-",'ORDENES'!$AI305))</f>
        <v/>
      </c>
      <c r="D327" s="24">
        <f>IF('ORDENES'!$A305="","",IF('ORDENES'!$AA305="","-",'ORDENES'!$AA305))</f>
        <v/>
      </c>
      <c r="E327" s="24">
        <f>IF('ORDENES'!$A305="","",IF('ORDENES'!$Y305="","-",'ORDENES'!$Y305))</f>
        <v/>
      </c>
      <c r="F327" s="24">
        <f>IF('ORDENES'!$A305="","",IF('ORDENES'!$AB305="","-",'ORDENES'!$AB305))</f>
        <v/>
      </c>
      <c r="G327" s="24">
        <f>IF('ORDENES'!$A305="","",IF('ORDENES'!$Z305="","-",'ORDENES'!$Z305))</f>
        <v/>
      </c>
      <c r="H327" s="24">
        <f>IF('ORDENES'!$A305="","",IF('ORDENES'!$AH305="","-",'ORDENES'!$AH305))</f>
        <v/>
      </c>
      <c r="I327" s="24">
        <f>IF('ORDENES'!$A305="","",IF('ORDENES'!$AU305="","-",'ORDENES'!$AU305))</f>
        <v/>
      </c>
      <c r="J327" s="24">
        <f>IF('ORDENES'!$A305="","",IF('ORDENES'!$D305="","-",'ORDENES'!$D305))</f>
        <v/>
      </c>
      <c r="K327" s="24">
        <f>IF('ORDENES'!$A305="","",IF('ORDENES'!$E305="","-",'ORDENES'!$E305))</f>
        <v/>
      </c>
      <c r="L327" s="26">
        <f>IF('ORDENES'!$A305="","",IF('ORDENES'!$M305="",0,'ORDENES'!$M305))</f>
        <v/>
      </c>
      <c r="M327" s="24">
        <f>IF('ORDENES'!$A305="","",IF('ORDENES'!$N305="","-",'ORDENES'!$N305))</f>
        <v/>
      </c>
      <c r="N327" s="24">
        <f>IF('ORDENES'!$A305="","",'ORDENES'!$AG305)</f>
        <v/>
      </c>
    </row>
    <row r="328">
      <c r="A328" s="24">
        <f>IF('ORDENES'!$A306="","",IF('ORDENES'!$O306="","-",'ORDENES'!$O306))</f>
        <v/>
      </c>
      <c r="B328" s="24">
        <f>IF('ORDENES'!$A306="","",IF('ORDENES'!$S306="","-",'ORDENES'!$S306))</f>
        <v/>
      </c>
      <c r="C328" s="24">
        <f>IF('ORDENES'!$A306="","",IF('ORDENES'!$AI306="","-",'ORDENES'!$AI306))</f>
        <v/>
      </c>
      <c r="D328" s="24">
        <f>IF('ORDENES'!$A306="","",IF('ORDENES'!$AA306="","-",'ORDENES'!$AA306))</f>
        <v/>
      </c>
      <c r="E328" s="24">
        <f>IF('ORDENES'!$A306="","",IF('ORDENES'!$Y306="","-",'ORDENES'!$Y306))</f>
        <v/>
      </c>
      <c r="F328" s="24">
        <f>IF('ORDENES'!$A306="","",IF('ORDENES'!$AB306="","-",'ORDENES'!$AB306))</f>
        <v/>
      </c>
      <c r="G328" s="24">
        <f>IF('ORDENES'!$A306="","",IF('ORDENES'!$Z306="","-",'ORDENES'!$Z306))</f>
        <v/>
      </c>
      <c r="H328" s="24">
        <f>IF('ORDENES'!$A306="","",IF('ORDENES'!$AH306="","-",'ORDENES'!$AH306))</f>
        <v/>
      </c>
      <c r="I328" s="24">
        <f>IF('ORDENES'!$A306="","",IF('ORDENES'!$AU306="","-",'ORDENES'!$AU306))</f>
        <v/>
      </c>
      <c r="J328" s="24">
        <f>IF('ORDENES'!$A306="","",IF('ORDENES'!$D306="","-",'ORDENES'!$D306))</f>
        <v/>
      </c>
      <c r="K328" s="24">
        <f>IF('ORDENES'!$A306="","",IF('ORDENES'!$E306="","-",'ORDENES'!$E306))</f>
        <v/>
      </c>
      <c r="L328" s="26">
        <f>IF('ORDENES'!$A306="","",IF('ORDENES'!$M306="",0,'ORDENES'!$M306))</f>
        <v/>
      </c>
      <c r="M328" s="24">
        <f>IF('ORDENES'!$A306="","",IF('ORDENES'!$N306="","-",'ORDENES'!$N306))</f>
        <v/>
      </c>
      <c r="N328" s="24">
        <f>IF('ORDENES'!$A306="","",'ORDENES'!$AG306)</f>
        <v/>
      </c>
    </row>
    <row r="329">
      <c r="A329" s="24">
        <f>IF('ORDENES'!$A307="","",IF('ORDENES'!$O307="","-",'ORDENES'!$O307))</f>
        <v/>
      </c>
      <c r="B329" s="24">
        <f>IF('ORDENES'!$A307="","",IF('ORDENES'!$S307="","-",'ORDENES'!$S307))</f>
        <v/>
      </c>
      <c r="C329" s="24">
        <f>IF('ORDENES'!$A307="","",IF('ORDENES'!$AI307="","-",'ORDENES'!$AI307))</f>
        <v/>
      </c>
      <c r="D329" s="24">
        <f>IF('ORDENES'!$A307="","",IF('ORDENES'!$AA307="","-",'ORDENES'!$AA307))</f>
        <v/>
      </c>
      <c r="E329" s="24">
        <f>IF('ORDENES'!$A307="","",IF('ORDENES'!$Y307="","-",'ORDENES'!$Y307))</f>
        <v/>
      </c>
      <c r="F329" s="24">
        <f>IF('ORDENES'!$A307="","",IF('ORDENES'!$AB307="","-",'ORDENES'!$AB307))</f>
        <v/>
      </c>
      <c r="G329" s="24">
        <f>IF('ORDENES'!$A307="","",IF('ORDENES'!$Z307="","-",'ORDENES'!$Z307))</f>
        <v/>
      </c>
      <c r="H329" s="24">
        <f>IF('ORDENES'!$A307="","",IF('ORDENES'!$AH307="","-",'ORDENES'!$AH307))</f>
        <v/>
      </c>
      <c r="I329" s="24">
        <f>IF('ORDENES'!$A307="","",IF('ORDENES'!$AU307="","-",'ORDENES'!$AU307))</f>
        <v/>
      </c>
      <c r="J329" s="24">
        <f>IF('ORDENES'!$A307="","",IF('ORDENES'!$D307="","-",'ORDENES'!$D307))</f>
        <v/>
      </c>
      <c r="K329" s="24">
        <f>IF('ORDENES'!$A307="","",IF('ORDENES'!$E307="","-",'ORDENES'!$E307))</f>
        <v/>
      </c>
      <c r="L329" s="26">
        <f>IF('ORDENES'!$A307="","",IF('ORDENES'!$M307="",0,'ORDENES'!$M307))</f>
        <v/>
      </c>
      <c r="M329" s="24">
        <f>IF('ORDENES'!$A307="","",IF('ORDENES'!$N307="","-",'ORDENES'!$N307))</f>
        <v/>
      </c>
      <c r="N329" s="24">
        <f>IF('ORDENES'!$A307="","",'ORDENES'!$AG307)</f>
        <v/>
      </c>
    </row>
    <row r="330">
      <c r="A330" s="24">
        <f>IF('ORDENES'!$A308="","",IF('ORDENES'!$O308="","-",'ORDENES'!$O308))</f>
        <v/>
      </c>
      <c r="B330" s="24">
        <f>IF('ORDENES'!$A308="","",IF('ORDENES'!$S308="","-",'ORDENES'!$S308))</f>
        <v/>
      </c>
      <c r="C330" s="24">
        <f>IF('ORDENES'!$A308="","",IF('ORDENES'!$AI308="","-",'ORDENES'!$AI308))</f>
        <v/>
      </c>
      <c r="D330" s="24">
        <f>IF('ORDENES'!$A308="","",IF('ORDENES'!$AA308="","-",'ORDENES'!$AA308))</f>
        <v/>
      </c>
      <c r="E330" s="24">
        <f>IF('ORDENES'!$A308="","",IF('ORDENES'!$Y308="","-",'ORDENES'!$Y308))</f>
        <v/>
      </c>
      <c r="F330" s="24">
        <f>IF('ORDENES'!$A308="","",IF('ORDENES'!$AB308="","-",'ORDENES'!$AB308))</f>
        <v/>
      </c>
      <c r="G330" s="24">
        <f>IF('ORDENES'!$A308="","",IF('ORDENES'!$Z308="","-",'ORDENES'!$Z308))</f>
        <v/>
      </c>
      <c r="H330" s="24">
        <f>IF('ORDENES'!$A308="","",IF('ORDENES'!$AH308="","-",'ORDENES'!$AH308))</f>
        <v/>
      </c>
      <c r="I330" s="24">
        <f>IF('ORDENES'!$A308="","",IF('ORDENES'!$AU308="","-",'ORDENES'!$AU308))</f>
        <v/>
      </c>
      <c r="J330" s="24">
        <f>IF('ORDENES'!$A308="","",IF('ORDENES'!$D308="","-",'ORDENES'!$D308))</f>
        <v/>
      </c>
      <c r="K330" s="24">
        <f>IF('ORDENES'!$A308="","",IF('ORDENES'!$E308="","-",'ORDENES'!$E308))</f>
        <v/>
      </c>
      <c r="L330" s="26">
        <f>IF('ORDENES'!$A308="","",IF('ORDENES'!$M308="",0,'ORDENES'!$M308))</f>
        <v/>
      </c>
      <c r="M330" s="24">
        <f>IF('ORDENES'!$A308="","",IF('ORDENES'!$N308="","-",'ORDENES'!$N308))</f>
        <v/>
      </c>
      <c r="N330" s="24">
        <f>IF('ORDENES'!$A308="","",'ORDENES'!$AG308)</f>
        <v/>
      </c>
    </row>
    <row r="331">
      <c r="A331" s="24">
        <f>IF('ORDENES'!$A309="","",IF('ORDENES'!$O309="","-",'ORDENES'!$O309))</f>
        <v/>
      </c>
      <c r="B331" s="24">
        <f>IF('ORDENES'!$A309="","",IF('ORDENES'!$S309="","-",'ORDENES'!$S309))</f>
        <v/>
      </c>
      <c r="C331" s="24">
        <f>IF('ORDENES'!$A309="","",IF('ORDENES'!$AI309="","-",'ORDENES'!$AI309))</f>
        <v/>
      </c>
      <c r="D331" s="24">
        <f>IF('ORDENES'!$A309="","",IF('ORDENES'!$AA309="","-",'ORDENES'!$AA309))</f>
        <v/>
      </c>
      <c r="E331" s="24">
        <f>IF('ORDENES'!$A309="","",IF('ORDENES'!$Y309="","-",'ORDENES'!$Y309))</f>
        <v/>
      </c>
      <c r="F331" s="24">
        <f>IF('ORDENES'!$A309="","",IF('ORDENES'!$AB309="","-",'ORDENES'!$AB309))</f>
        <v/>
      </c>
      <c r="G331" s="24">
        <f>IF('ORDENES'!$A309="","",IF('ORDENES'!$Z309="","-",'ORDENES'!$Z309))</f>
        <v/>
      </c>
      <c r="H331" s="24">
        <f>IF('ORDENES'!$A309="","",IF('ORDENES'!$AH309="","-",'ORDENES'!$AH309))</f>
        <v/>
      </c>
      <c r="I331" s="24">
        <f>IF('ORDENES'!$A309="","",IF('ORDENES'!$AU309="","-",'ORDENES'!$AU309))</f>
        <v/>
      </c>
      <c r="J331" s="24">
        <f>IF('ORDENES'!$A309="","",IF('ORDENES'!$D309="","-",'ORDENES'!$D309))</f>
        <v/>
      </c>
      <c r="K331" s="24">
        <f>IF('ORDENES'!$A309="","",IF('ORDENES'!$E309="","-",'ORDENES'!$E309))</f>
        <v/>
      </c>
      <c r="L331" s="26">
        <f>IF('ORDENES'!$A309="","",IF('ORDENES'!$M309="",0,'ORDENES'!$M309))</f>
        <v/>
      </c>
      <c r="M331" s="24">
        <f>IF('ORDENES'!$A309="","",IF('ORDENES'!$N309="","-",'ORDENES'!$N309))</f>
        <v/>
      </c>
      <c r="N331" s="24">
        <f>IF('ORDENES'!$A309="","",'ORDENES'!$AG309)</f>
        <v/>
      </c>
    </row>
    <row r="332">
      <c r="A332" s="24">
        <f>IF('ORDENES'!$A310="","",IF('ORDENES'!$O310="","-",'ORDENES'!$O310))</f>
        <v/>
      </c>
      <c r="B332" s="24">
        <f>IF('ORDENES'!$A310="","",IF('ORDENES'!$S310="","-",'ORDENES'!$S310))</f>
        <v/>
      </c>
      <c r="C332" s="24">
        <f>IF('ORDENES'!$A310="","",IF('ORDENES'!$AI310="","-",'ORDENES'!$AI310))</f>
        <v/>
      </c>
      <c r="D332" s="24">
        <f>IF('ORDENES'!$A310="","",IF('ORDENES'!$AA310="","-",'ORDENES'!$AA310))</f>
        <v/>
      </c>
      <c r="E332" s="24">
        <f>IF('ORDENES'!$A310="","",IF('ORDENES'!$Y310="","-",'ORDENES'!$Y310))</f>
        <v/>
      </c>
      <c r="F332" s="24">
        <f>IF('ORDENES'!$A310="","",IF('ORDENES'!$AB310="","-",'ORDENES'!$AB310))</f>
        <v/>
      </c>
      <c r="G332" s="24">
        <f>IF('ORDENES'!$A310="","",IF('ORDENES'!$Z310="","-",'ORDENES'!$Z310))</f>
        <v/>
      </c>
      <c r="H332" s="24">
        <f>IF('ORDENES'!$A310="","",IF('ORDENES'!$AH310="","-",'ORDENES'!$AH310))</f>
        <v/>
      </c>
      <c r="I332" s="24">
        <f>IF('ORDENES'!$A310="","",IF('ORDENES'!$AU310="","-",'ORDENES'!$AU310))</f>
        <v/>
      </c>
      <c r="J332" s="24">
        <f>IF('ORDENES'!$A310="","",IF('ORDENES'!$D310="","-",'ORDENES'!$D310))</f>
        <v/>
      </c>
      <c r="K332" s="24">
        <f>IF('ORDENES'!$A310="","",IF('ORDENES'!$E310="","-",'ORDENES'!$E310))</f>
        <v/>
      </c>
      <c r="L332" s="26">
        <f>IF('ORDENES'!$A310="","",IF('ORDENES'!$M310="",0,'ORDENES'!$M310))</f>
        <v/>
      </c>
      <c r="M332" s="24">
        <f>IF('ORDENES'!$A310="","",IF('ORDENES'!$N310="","-",'ORDENES'!$N310))</f>
        <v/>
      </c>
      <c r="N332" s="24">
        <f>IF('ORDENES'!$A310="","",'ORDENES'!$AG310)</f>
        <v/>
      </c>
    </row>
    <row r="333">
      <c r="A333" s="24">
        <f>IF('ORDENES'!$A311="","",IF('ORDENES'!$O311="","-",'ORDENES'!$O311))</f>
        <v/>
      </c>
      <c r="B333" s="24">
        <f>IF('ORDENES'!$A311="","",IF('ORDENES'!$S311="","-",'ORDENES'!$S311))</f>
        <v/>
      </c>
      <c r="C333" s="24">
        <f>IF('ORDENES'!$A311="","",IF('ORDENES'!$AI311="","-",'ORDENES'!$AI311))</f>
        <v/>
      </c>
      <c r="D333" s="24">
        <f>IF('ORDENES'!$A311="","",IF('ORDENES'!$AA311="","-",'ORDENES'!$AA311))</f>
        <v/>
      </c>
      <c r="E333" s="24">
        <f>IF('ORDENES'!$A311="","",IF('ORDENES'!$Y311="","-",'ORDENES'!$Y311))</f>
        <v/>
      </c>
      <c r="F333" s="24">
        <f>IF('ORDENES'!$A311="","",IF('ORDENES'!$AB311="","-",'ORDENES'!$AB311))</f>
        <v/>
      </c>
      <c r="G333" s="24">
        <f>IF('ORDENES'!$A311="","",IF('ORDENES'!$Z311="","-",'ORDENES'!$Z311))</f>
        <v/>
      </c>
      <c r="H333" s="24">
        <f>IF('ORDENES'!$A311="","",IF('ORDENES'!$AH311="","-",'ORDENES'!$AH311))</f>
        <v/>
      </c>
      <c r="I333" s="24">
        <f>IF('ORDENES'!$A311="","",IF('ORDENES'!$AU311="","-",'ORDENES'!$AU311))</f>
        <v/>
      </c>
      <c r="J333" s="24">
        <f>IF('ORDENES'!$A311="","",IF('ORDENES'!$D311="","-",'ORDENES'!$D311))</f>
        <v/>
      </c>
      <c r="K333" s="24">
        <f>IF('ORDENES'!$A311="","",IF('ORDENES'!$E311="","-",'ORDENES'!$E311))</f>
        <v/>
      </c>
      <c r="L333" s="26">
        <f>IF('ORDENES'!$A311="","",IF('ORDENES'!$M311="",0,'ORDENES'!$M311))</f>
        <v/>
      </c>
      <c r="M333" s="24">
        <f>IF('ORDENES'!$A311="","",IF('ORDENES'!$N311="","-",'ORDENES'!$N311))</f>
        <v/>
      </c>
      <c r="N333" s="24">
        <f>IF('ORDENES'!$A311="","",'ORDENES'!$AG311)</f>
        <v/>
      </c>
    </row>
    <row r="334">
      <c r="A334" s="24">
        <f>IF('ORDENES'!$A312="","",IF('ORDENES'!$O312="","-",'ORDENES'!$O312))</f>
        <v/>
      </c>
      <c r="B334" s="24">
        <f>IF('ORDENES'!$A312="","",IF('ORDENES'!$S312="","-",'ORDENES'!$S312))</f>
        <v/>
      </c>
      <c r="C334" s="24">
        <f>IF('ORDENES'!$A312="","",IF('ORDENES'!$AI312="","-",'ORDENES'!$AI312))</f>
        <v/>
      </c>
      <c r="D334" s="24">
        <f>IF('ORDENES'!$A312="","",IF('ORDENES'!$AA312="","-",'ORDENES'!$AA312))</f>
        <v/>
      </c>
      <c r="E334" s="24">
        <f>IF('ORDENES'!$A312="","",IF('ORDENES'!$Y312="","-",'ORDENES'!$Y312))</f>
        <v/>
      </c>
      <c r="F334" s="24">
        <f>IF('ORDENES'!$A312="","",IF('ORDENES'!$AB312="","-",'ORDENES'!$AB312))</f>
        <v/>
      </c>
      <c r="G334" s="24">
        <f>IF('ORDENES'!$A312="","",IF('ORDENES'!$Z312="","-",'ORDENES'!$Z312))</f>
        <v/>
      </c>
      <c r="H334" s="24">
        <f>IF('ORDENES'!$A312="","",IF('ORDENES'!$AH312="","-",'ORDENES'!$AH312))</f>
        <v/>
      </c>
      <c r="I334" s="24">
        <f>IF('ORDENES'!$A312="","",IF('ORDENES'!$AU312="","-",'ORDENES'!$AU312))</f>
        <v/>
      </c>
      <c r="J334" s="24">
        <f>IF('ORDENES'!$A312="","",IF('ORDENES'!$D312="","-",'ORDENES'!$D312))</f>
        <v/>
      </c>
      <c r="K334" s="24">
        <f>IF('ORDENES'!$A312="","",IF('ORDENES'!$E312="","-",'ORDENES'!$E312))</f>
        <v/>
      </c>
      <c r="L334" s="26">
        <f>IF('ORDENES'!$A312="","",IF('ORDENES'!$M312="",0,'ORDENES'!$M312))</f>
        <v/>
      </c>
      <c r="M334" s="24">
        <f>IF('ORDENES'!$A312="","",IF('ORDENES'!$N312="","-",'ORDENES'!$N312))</f>
        <v/>
      </c>
      <c r="N334" s="24">
        <f>IF('ORDENES'!$A312="","",'ORDENES'!$AG312)</f>
        <v/>
      </c>
    </row>
    <row r="335">
      <c r="A335" s="24">
        <f>IF('ORDENES'!$A313="","",IF('ORDENES'!$O313="","-",'ORDENES'!$O313))</f>
        <v/>
      </c>
      <c r="B335" s="24">
        <f>IF('ORDENES'!$A313="","",IF('ORDENES'!$S313="","-",'ORDENES'!$S313))</f>
        <v/>
      </c>
      <c r="C335" s="24">
        <f>IF('ORDENES'!$A313="","",IF('ORDENES'!$AI313="","-",'ORDENES'!$AI313))</f>
        <v/>
      </c>
      <c r="D335" s="24">
        <f>IF('ORDENES'!$A313="","",IF('ORDENES'!$AA313="","-",'ORDENES'!$AA313))</f>
        <v/>
      </c>
      <c r="E335" s="24">
        <f>IF('ORDENES'!$A313="","",IF('ORDENES'!$Y313="","-",'ORDENES'!$Y313))</f>
        <v/>
      </c>
      <c r="F335" s="24">
        <f>IF('ORDENES'!$A313="","",IF('ORDENES'!$AB313="","-",'ORDENES'!$AB313))</f>
        <v/>
      </c>
      <c r="G335" s="24">
        <f>IF('ORDENES'!$A313="","",IF('ORDENES'!$Z313="","-",'ORDENES'!$Z313))</f>
        <v/>
      </c>
      <c r="H335" s="24">
        <f>IF('ORDENES'!$A313="","",IF('ORDENES'!$AH313="","-",'ORDENES'!$AH313))</f>
        <v/>
      </c>
      <c r="I335" s="24">
        <f>IF('ORDENES'!$A313="","",IF('ORDENES'!$AU313="","-",'ORDENES'!$AU313))</f>
        <v/>
      </c>
      <c r="J335" s="24">
        <f>IF('ORDENES'!$A313="","",IF('ORDENES'!$D313="","-",'ORDENES'!$D313))</f>
        <v/>
      </c>
      <c r="K335" s="24">
        <f>IF('ORDENES'!$A313="","",IF('ORDENES'!$E313="","-",'ORDENES'!$E313))</f>
        <v/>
      </c>
      <c r="L335" s="26">
        <f>IF('ORDENES'!$A313="","",IF('ORDENES'!$M313="",0,'ORDENES'!$M313))</f>
        <v/>
      </c>
      <c r="M335" s="24">
        <f>IF('ORDENES'!$A313="","",IF('ORDENES'!$N313="","-",'ORDENES'!$N313))</f>
        <v/>
      </c>
      <c r="N335" s="24">
        <f>IF('ORDENES'!$A313="","",'ORDENES'!$AG313)</f>
        <v/>
      </c>
    </row>
    <row r="336">
      <c r="A336" s="24">
        <f>IF('ORDENES'!$A314="","",IF('ORDENES'!$O314="","-",'ORDENES'!$O314))</f>
        <v/>
      </c>
      <c r="B336" s="24">
        <f>IF('ORDENES'!$A314="","",IF('ORDENES'!$S314="","-",'ORDENES'!$S314))</f>
        <v/>
      </c>
      <c r="C336" s="24">
        <f>IF('ORDENES'!$A314="","",IF('ORDENES'!$AI314="","-",'ORDENES'!$AI314))</f>
        <v/>
      </c>
      <c r="D336" s="24">
        <f>IF('ORDENES'!$A314="","",IF('ORDENES'!$AA314="","-",'ORDENES'!$AA314))</f>
        <v/>
      </c>
      <c r="E336" s="24">
        <f>IF('ORDENES'!$A314="","",IF('ORDENES'!$Y314="","-",'ORDENES'!$Y314))</f>
        <v/>
      </c>
      <c r="F336" s="24">
        <f>IF('ORDENES'!$A314="","",IF('ORDENES'!$AB314="","-",'ORDENES'!$AB314))</f>
        <v/>
      </c>
      <c r="G336" s="24">
        <f>IF('ORDENES'!$A314="","",IF('ORDENES'!$Z314="","-",'ORDENES'!$Z314))</f>
        <v/>
      </c>
      <c r="H336" s="24">
        <f>IF('ORDENES'!$A314="","",IF('ORDENES'!$AH314="","-",'ORDENES'!$AH314))</f>
        <v/>
      </c>
      <c r="I336" s="24">
        <f>IF('ORDENES'!$A314="","",IF('ORDENES'!$AU314="","-",'ORDENES'!$AU314))</f>
        <v/>
      </c>
      <c r="J336" s="24">
        <f>IF('ORDENES'!$A314="","",IF('ORDENES'!$D314="","-",'ORDENES'!$D314))</f>
        <v/>
      </c>
      <c r="K336" s="24">
        <f>IF('ORDENES'!$A314="","",IF('ORDENES'!$E314="","-",'ORDENES'!$E314))</f>
        <v/>
      </c>
      <c r="L336" s="26">
        <f>IF('ORDENES'!$A314="","",IF('ORDENES'!$M314="",0,'ORDENES'!$M314))</f>
        <v/>
      </c>
      <c r="M336" s="24">
        <f>IF('ORDENES'!$A314="","",IF('ORDENES'!$N314="","-",'ORDENES'!$N314))</f>
        <v/>
      </c>
      <c r="N336" s="24">
        <f>IF('ORDENES'!$A314="","",'ORDENES'!$AG314)</f>
        <v/>
      </c>
    </row>
    <row r="337">
      <c r="A337" s="24">
        <f>IF('ORDENES'!$A315="","",IF('ORDENES'!$O315="","-",'ORDENES'!$O315))</f>
        <v/>
      </c>
      <c r="B337" s="24">
        <f>IF('ORDENES'!$A315="","",IF('ORDENES'!$S315="","-",'ORDENES'!$S315))</f>
        <v/>
      </c>
      <c r="C337" s="24">
        <f>IF('ORDENES'!$A315="","",IF('ORDENES'!$AI315="","-",'ORDENES'!$AI315))</f>
        <v/>
      </c>
      <c r="D337" s="24">
        <f>IF('ORDENES'!$A315="","",IF('ORDENES'!$AA315="","-",'ORDENES'!$AA315))</f>
        <v/>
      </c>
      <c r="E337" s="24">
        <f>IF('ORDENES'!$A315="","",IF('ORDENES'!$Y315="","-",'ORDENES'!$Y315))</f>
        <v/>
      </c>
      <c r="F337" s="24">
        <f>IF('ORDENES'!$A315="","",IF('ORDENES'!$AB315="","-",'ORDENES'!$AB315))</f>
        <v/>
      </c>
      <c r="G337" s="24">
        <f>IF('ORDENES'!$A315="","",IF('ORDENES'!$Z315="","-",'ORDENES'!$Z315))</f>
        <v/>
      </c>
      <c r="H337" s="24">
        <f>IF('ORDENES'!$A315="","",IF('ORDENES'!$AH315="","-",'ORDENES'!$AH315))</f>
        <v/>
      </c>
      <c r="I337" s="24">
        <f>IF('ORDENES'!$A315="","",IF('ORDENES'!$AU315="","-",'ORDENES'!$AU315))</f>
        <v/>
      </c>
      <c r="J337" s="24">
        <f>IF('ORDENES'!$A315="","",IF('ORDENES'!$D315="","-",'ORDENES'!$D315))</f>
        <v/>
      </c>
      <c r="K337" s="24">
        <f>IF('ORDENES'!$A315="","",IF('ORDENES'!$E315="","-",'ORDENES'!$E315))</f>
        <v/>
      </c>
      <c r="L337" s="26">
        <f>IF('ORDENES'!$A315="","",IF('ORDENES'!$M315="",0,'ORDENES'!$M315))</f>
        <v/>
      </c>
      <c r="M337" s="24">
        <f>IF('ORDENES'!$A315="","",IF('ORDENES'!$N315="","-",'ORDENES'!$N315))</f>
        <v/>
      </c>
      <c r="N337" s="24">
        <f>IF('ORDENES'!$A315="","",'ORDENES'!$AG315)</f>
        <v/>
      </c>
    </row>
    <row r="338">
      <c r="A338" s="24">
        <f>IF('ORDENES'!$A316="","",IF('ORDENES'!$O316="","-",'ORDENES'!$O316))</f>
        <v/>
      </c>
      <c r="B338" s="24">
        <f>IF('ORDENES'!$A316="","",IF('ORDENES'!$S316="","-",'ORDENES'!$S316))</f>
        <v/>
      </c>
      <c r="C338" s="24">
        <f>IF('ORDENES'!$A316="","",IF('ORDENES'!$AI316="","-",'ORDENES'!$AI316))</f>
        <v/>
      </c>
      <c r="D338" s="24">
        <f>IF('ORDENES'!$A316="","",IF('ORDENES'!$AA316="","-",'ORDENES'!$AA316))</f>
        <v/>
      </c>
      <c r="E338" s="24">
        <f>IF('ORDENES'!$A316="","",IF('ORDENES'!$Y316="","-",'ORDENES'!$Y316))</f>
        <v/>
      </c>
      <c r="F338" s="24">
        <f>IF('ORDENES'!$A316="","",IF('ORDENES'!$AB316="","-",'ORDENES'!$AB316))</f>
        <v/>
      </c>
      <c r="G338" s="24">
        <f>IF('ORDENES'!$A316="","",IF('ORDENES'!$Z316="","-",'ORDENES'!$Z316))</f>
        <v/>
      </c>
      <c r="H338" s="24">
        <f>IF('ORDENES'!$A316="","",IF('ORDENES'!$AH316="","-",'ORDENES'!$AH316))</f>
        <v/>
      </c>
      <c r="I338" s="24">
        <f>IF('ORDENES'!$A316="","",IF('ORDENES'!$AU316="","-",'ORDENES'!$AU316))</f>
        <v/>
      </c>
      <c r="J338" s="24">
        <f>IF('ORDENES'!$A316="","",IF('ORDENES'!$D316="","-",'ORDENES'!$D316))</f>
        <v/>
      </c>
      <c r="K338" s="24">
        <f>IF('ORDENES'!$A316="","",IF('ORDENES'!$E316="","-",'ORDENES'!$E316))</f>
        <v/>
      </c>
      <c r="L338" s="26">
        <f>IF('ORDENES'!$A316="","",IF('ORDENES'!$M316="",0,'ORDENES'!$M316))</f>
        <v/>
      </c>
      <c r="M338" s="24">
        <f>IF('ORDENES'!$A316="","",IF('ORDENES'!$N316="","-",'ORDENES'!$N316))</f>
        <v/>
      </c>
      <c r="N338" s="24">
        <f>IF('ORDENES'!$A316="","",'ORDENES'!$AG316)</f>
        <v/>
      </c>
    </row>
    <row r="339">
      <c r="A339" s="24">
        <f>IF('ORDENES'!$A317="","",IF('ORDENES'!$O317="","-",'ORDENES'!$O317))</f>
        <v/>
      </c>
      <c r="B339" s="24">
        <f>IF('ORDENES'!$A317="","",IF('ORDENES'!$S317="","-",'ORDENES'!$S317))</f>
        <v/>
      </c>
      <c r="C339" s="24">
        <f>IF('ORDENES'!$A317="","",IF('ORDENES'!$AI317="","-",'ORDENES'!$AI317))</f>
        <v/>
      </c>
      <c r="D339" s="24">
        <f>IF('ORDENES'!$A317="","",IF('ORDENES'!$AA317="","-",'ORDENES'!$AA317))</f>
        <v/>
      </c>
      <c r="E339" s="24">
        <f>IF('ORDENES'!$A317="","",IF('ORDENES'!$Y317="","-",'ORDENES'!$Y317))</f>
        <v/>
      </c>
      <c r="F339" s="24">
        <f>IF('ORDENES'!$A317="","",IF('ORDENES'!$AB317="","-",'ORDENES'!$AB317))</f>
        <v/>
      </c>
      <c r="G339" s="24">
        <f>IF('ORDENES'!$A317="","",IF('ORDENES'!$Z317="","-",'ORDENES'!$Z317))</f>
        <v/>
      </c>
      <c r="H339" s="24">
        <f>IF('ORDENES'!$A317="","",IF('ORDENES'!$AH317="","-",'ORDENES'!$AH317))</f>
        <v/>
      </c>
      <c r="I339" s="24">
        <f>IF('ORDENES'!$A317="","",IF('ORDENES'!$AU317="","-",'ORDENES'!$AU317))</f>
        <v/>
      </c>
      <c r="J339" s="24">
        <f>IF('ORDENES'!$A317="","",IF('ORDENES'!$D317="","-",'ORDENES'!$D317))</f>
        <v/>
      </c>
      <c r="K339" s="24">
        <f>IF('ORDENES'!$A317="","",IF('ORDENES'!$E317="","-",'ORDENES'!$E317))</f>
        <v/>
      </c>
      <c r="L339" s="26">
        <f>IF('ORDENES'!$A317="","",IF('ORDENES'!$M317="",0,'ORDENES'!$M317))</f>
        <v/>
      </c>
      <c r="M339" s="24">
        <f>IF('ORDENES'!$A317="","",IF('ORDENES'!$N317="","-",'ORDENES'!$N317))</f>
        <v/>
      </c>
      <c r="N339" s="24">
        <f>IF('ORDENES'!$A317="","",'ORDENES'!$AG317)</f>
        <v/>
      </c>
    </row>
    <row r="340">
      <c r="A340" s="24">
        <f>IF('ORDENES'!$A318="","",IF('ORDENES'!$O318="","-",'ORDENES'!$O318))</f>
        <v/>
      </c>
      <c r="B340" s="24">
        <f>IF('ORDENES'!$A318="","",IF('ORDENES'!$S318="","-",'ORDENES'!$S318))</f>
        <v/>
      </c>
      <c r="C340" s="24">
        <f>IF('ORDENES'!$A318="","",IF('ORDENES'!$AI318="","-",'ORDENES'!$AI318))</f>
        <v/>
      </c>
      <c r="D340" s="24">
        <f>IF('ORDENES'!$A318="","",IF('ORDENES'!$AA318="","-",'ORDENES'!$AA318))</f>
        <v/>
      </c>
      <c r="E340" s="24">
        <f>IF('ORDENES'!$A318="","",IF('ORDENES'!$Y318="","-",'ORDENES'!$Y318))</f>
        <v/>
      </c>
      <c r="F340" s="24">
        <f>IF('ORDENES'!$A318="","",IF('ORDENES'!$AB318="","-",'ORDENES'!$AB318))</f>
        <v/>
      </c>
      <c r="G340" s="24">
        <f>IF('ORDENES'!$A318="","",IF('ORDENES'!$Z318="","-",'ORDENES'!$Z318))</f>
        <v/>
      </c>
      <c r="H340" s="24">
        <f>IF('ORDENES'!$A318="","",IF('ORDENES'!$AH318="","-",'ORDENES'!$AH318))</f>
        <v/>
      </c>
      <c r="I340" s="24">
        <f>IF('ORDENES'!$A318="","",IF('ORDENES'!$AU318="","-",'ORDENES'!$AU318))</f>
        <v/>
      </c>
      <c r="J340" s="24">
        <f>IF('ORDENES'!$A318="","",IF('ORDENES'!$D318="","-",'ORDENES'!$D318))</f>
        <v/>
      </c>
      <c r="K340" s="24">
        <f>IF('ORDENES'!$A318="","",IF('ORDENES'!$E318="","-",'ORDENES'!$E318))</f>
        <v/>
      </c>
      <c r="L340" s="26">
        <f>IF('ORDENES'!$A318="","",IF('ORDENES'!$M318="",0,'ORDENES'!$M318))</f>
        <v/>
      </c>
      <c r="M340" s="24">
        <f>IF('ORDENES'!$A318="","",IF('ORDENES'!$N318="","-",'ORDENES'!$N318))</f>
        <v/>
      </c>
      <c r="N340" s="24">
        <f>IF('ORDENES'!$A318="","",'ORDENES'!$AG318)</f>
        <v/>
      </c>
    </row>
    <row r="341">
      <c r="A341" s="24">
        <f>IF('ORDENES'!$A319="","",IF('ORDENES'!$O319="","-",'ORDENES'!$O319))</f>
        <v/>
      </c>
      <c r="B341" s="24">
        <f>IF('ORDENES'!$A319="","",IF('ORDENES'!$S319="","-",'ORDENES'!$S319))</f>
        <v/>
      </c>
      <c r="C341" s="24">
        <f>IF('ORDENES'!$A319="","",IF('ORDENES'!$AI319="","-",'ORDENES'!$AI319))</f>
        <v/>
      </c>
      <c r="D341" s="24">
        <f>IF('ORDENES'!$A319="","",IF('ORDENES'!$AA319="","-",'ORDENES'!$AA319))</f>
        <v/>
      </c>
      <c r="E341" s="24">
        <f>IF('ORDENES'!$A319="","",IF('ORDENES'!$Y319="","-",'ORDENES'!$Y319))</f>
        <v/>
      </c>
      <c r="F341" s="24">
        <f>IF('ORDENES'!$A319="","",IF('ORDENES'!$AB319="","-",'ORDENES'!$AB319))</f>
        <v/>
      </c>
      <c r="G341" s="24">
        <f>IF('ORDENES'!$A319="","",IF('ORDENES'!$Z319="","-",'ORDENES'!$Z319))</f>
        <v/>
      </c>
      <c r="H341" s="24">
        <f>IF('ORDENES'!$A319="","",IF('ORDENES'!$AH319="","-",'ORDENES'!$AH319))</f>
        <v/>
      </c>
      <c r="I341" s="24">
        <f>IF('ORDENES'!$A319="","",IF('ORDENES'!$AU319="","-",'ORDENES'!$AU319))</f>
        <v/>
      </c>
      <c r="J341" s="24">
        <f>IF('ORDENES'!$A319="","",IF('ORDENES'!$D319="","-",'ORDENES'!$D319))</f>
        <v/>
      </c>
      <c r="K341" s="24">
        <f>IF('ORDENES'!$A319="","",IF('ORDENES'!$E319="","-",'ORDENES'!$E319))</f>
        <v/>
      </c>
      <c r="L341" s="26">
        <f>IF('ORDENES'!$A319="","",IF('ORDENES'!$M319="",0,'ORDENES'!$M319))</f>
        <v/>
      </c>
      <c r="M341" s="24">
        <f>IF('ORDENES'!$A319="","",IF('ORDENES'!$N319="","-",'ORDENES'!$N319))</f>
        <v/>
      </c>
      <c r="N341" s="24">
        <f>IF('ORDENES'!$A319="","",'ORDENES'!$AG319)</f>
        <v/>
      </c>
    </row>
    <row r="342">
      <c r="A342" s="24">
        <f>IF('ORDENES'!$A320="","",IF('ORDENES'!$O320="","-",'ORDENES'!$O320))</f>
        <v/>
      </c>
      <c r="B342" s="24">
        <f>IF('ORDENES'!$A320="","",IF('ORDENES'!$S320="","-",'ORDENES'!$S320))</f>
        <v/>
      </c>
      <c r="C342" s="24">
        <f>IF('ORDENES'!$A320="","",IF('ORDENES'!$AI320="","-",'ORDENES'!$AI320))</f>
        <v/>
      </c>
      <c r="D342" s="24">
        <f>IF('ORDENES'!$A320="","",IF('ORDENES'!$AA320="","-",'ORDENES'!$AA320))</f>
        <v/>
      </c>
      <c r="E342" s="24">
        <f>IF('ORDENES'!$A320="","",IF('ORDENES'!$Y320="","-",'ORDENES'!$Y320))</f>
        <v/>
      </c>
      <c r="F342" s="24">
        <f>IF('ORDENES'!$A320="","",IF('ORDENES'!$AB320="","-",'ORDENES'!$AB320))</f>
        <v/>
      </c>
      <c r="G342" s="24">
        <f>IF('ORDENES'!$A320="","",IF('ORDENES'!$Z320="","-",'ORDENES'!$Z320))</f>
        <v/>
      </c>
      <c r="H342" s="24">
        <f>IF('ORDENES'!$A320="","",IF('ORDENES'!$AH320="","-",'ORDENES'!$AH320))</f>
        <v/>
      </c>
      <c r="I342" s="24">
        <f>IF('ORDENES'!$A320="","",IF('ORDENES'!$AU320="","-",'ORDENES'!$AU320))</f>
        <v/>
      </c>
      <c r="J342" s="24">
        <f>IF('ORDENES'!$A320="","",IF('ORDENES'!$D320="","-",'ORDENES'!$D320))</f>
        <v/>
      </c>
      <c r="K342" s="24">
        <f>IF('ORDENES'!$A320="","",IF('ORDENES'!$E320="","-",'ORDENES'!$E320))</f>
        <v/>
      </c>
      <c r="L342" s="26">
        <f>IF('ORDENES'!$A320="","",IF('ORDENES'!$M320="",0,'ORDENES'!$M320))</f>
        <v/>
      </c>
      <c r="M342" s="24">
        <f>IF('ORDENES'!$A320="","",IF('ORDENES'!$N320="","-",'ORDENES'!$N320))</f>
        <v/>
      </c>
      <c r="N342" s="24">
        <f>IF('ORDENES'!$A320="","",'ORDENES'!$AG320)</f>
        <v/>
      </c>
    </row>
    <row r="343">
      <c r="A343" s="24">
        <f>IF('ORDENES'!$A321="","",IF('ORDENES'!$O321="","-",'ORDENES'!$O321))</f>
        <v/>
      </c>
      <c r="B343" s="24">
        <f>IF('ORDENES'!$A321="","",IF('ORDENES'!$S321="","-",'ORDENES'!$S321))</f>
        <v/>
      </c>
      <c r="C343" s="24">
        <f>IF('ORDENES'!$A321="","",IF('ORDENES'!$AI321="","-",'ORDENES'!$AI321))</f>
        <v/>
      </c>
      <c r="D343" s="24">
        <f>IF('ORDENES'!$A321="","",IF('ORDENES'!$AA321="","-",'ORDENES'!$AA321))</f>
        <v/>
      </c>
      <c r="E343" s="24">
        <f>IF('ORDENES'!$A321="","",IF('ORDENES'!$Y321="","-",'ORDENES'!$Y321))</f>
        <v/>
      </c>
      <c r="F343" s="24">
        <f>IF('ORDENES'!$A321="","",IF('ORDENES'!$AB321="","-",'ORDENES'!$AB321))</f>
        <v/>
      </c>
      <c r="G343" s="24">
        <f>IF('ORDENES'!$A321="","",IF('ORDENES'!$Z321="","-",'ORDENES'!$Z321))</f>
        <v/>
      </c>
      <c r="H343" s="24">
        <f>IF('ORDENES'!$A321="","",IF('ORDENES'!$AH321="","-",'ORDENES'!$AH321))</f>
        <v/>
      </c>
      <c r="I343" s="24">
        <f>IF('ORDENES'!$A321="","",IF('ORDENES'!$AU321="","-",'ORDENES'!$AU321))</f>
        <v/>
      </c>
      <c r="J343" s="24">
        <f>IF('ORDENES'!$A321="","",IF('ORDENES'!$D321="","-",'ORDENES'!$D321))</f>
        <v/>
      </c>
      <c r="K343" s="24">
        <f>IF('ORDENES'!$A321="","",IF('ORDENES'!$E321="","-",'ORDENES'!$E321))</f>
        <v/>
      </c>
      <c r="L343" s="26">
        <f>IF('ORDENES'!$A321="","",IF('ORDENES'!$M321="",0,'ORDENES'!$M321))</f>
        <v/>
      </c>
      <c r="M343" s="24">
        <f>IF('ORDENES'!$A321="","",IF('ORDENES'!$N321="","-",'ORDENES'!$N321))</f>
        <v/>
      </c>
      <c r="N343" s="24">
        <f>IF('ORDENES'!$A321="","",'ORDENES'!$AG321)</f>
        <v/>
      </c>
    </row>
    <row r="344">
      <c r="A344" s="24">
        <f>IF('ORDENES'!$A322="","",IF('ORDENES'!$O322="","-",'ORDENES'!$O322))</f>
        <v/>
      </c>
      <c r="B344" s="24">
        <f>IF('ORDENES'!$A322="","",IF('ORDENES'!$S322="","-",'ORDENES'!$S322))</f>
        <v/>
      </c>
      <c r="C344" s="24">
        <f>IF('ORDENES'!$A322="","",IF('ORDENES'!$AI322="","-",'ORDENES'!$AI322))</f>
        <v/>
      </c>
      <c r="D344" s="24">
        <f>IF('ORDENES'!$A322="","",IF('ORDENES'!$AA322="","-",'ORDENES'!$AA322))</f>
        <v/>
      </c>
      <c r="E344" s="24">
        <f>IF('ORDENES'!$A322="","",IF('ORDENES'!$Y322="","-",'ORDENES'!$Y322))</f>
        <v/>
      </c>
      <c r="F344" s="24">
        <f>IF('ORDENES'!$A322="","",IF('ORDENES'!$AB322="","-",'ORDENES'!$AB322))</f>
        <v/>
      </c>
      <c r="G344" s="24">
        <f>IF('ORDENES'!$A322="","",IF('ORDENES'!$Z322="","-",'ORDENES'!$Z322))</f>
        <v/>
      </c>
      <c r="H344" s="24">
        <f>IF('ORDENES'!$A322="","",IF('ORDENES'!$AH322="","-",'ORDENES'!$AH322))</f>
        <v/>
      </c>
      <c r="I344" s="24">
        <f>IF('ORDENES'!$A322="","",IF('ORDENES'!$AU322="","-",'ORDENES'!$AU322))</f>
        <v/>
      </c>
      <c r="J344" s="24">
        <f>IF('ORDENES'!$A322="","",IF('ORDENES'!$D322="","-",'ORDENES'!$D322))</f>
        <v/>
      </c>
      <c r="K344" s="24">
        <f>IF('ORDENES'!$A322="","",IF('ORDENES'!$E322="","-",'ORDENES'!$E322))</f>
        <v/>
      </c>
      <c r="L344" s="26">
        <f>IF('ORDENES'!$A322="","",IF('ORDENES'!$M322="",0,'ORDENES'!$M322))</f>
        <v/>
      </c>
      <c r="M344" s="24">
        <f>IF('ORDENES'!$A322="","",IF('ORDENES'!$N322="","-",'ORDENES'!$N322))</f>
        <v/>
      </c>
      <c r="N344" s="24">
        <f>IF('ORDENES'!$A322="","",'ORDENES'!$AG322)</f>
        <v/>
      </c>
    </row>
    <row r="345">
      <c r="A345" s="24">
        <f>IF('ORDENES'!$A323="","",IF('ORDENES'!$O323="","-",'ORDENES'!$O323))</f>
        <v/>
      </c>
      <c r="B345" s="24">
        <f>IF('ORDENES'!$A323="","",IF('ORDENES'!$S323="","-",'ORDENES'!$S323))</f>
        <v/>
      </c>
      <c r="C345" s="24">
        <f>IF('ORDENES'!$A323="","",IF('ORDENES'!$AI323="","-",'ORDENES'!$AI323))</f>
        <v/>
      </c>
      <c r="D345" s="24">
        <f>IF('ORDENES'!$A323="","",IF('ORDENES'!$AA323="","-",'ORDENES'!$AA323))</f>
        <v/>
      </c>
      <c r="E345" s="24">
        <f>IF('ORDENES'!$A323="","",IF('ORDENES'!$Y323="","-",'ORDENES'!$Y323))</f>
        <v/>
      </c>
      <c r="F345" s="24">
        <f>IF('ORDENES'!$A323="","",IF('ORDENES'!$AB323="","-",'ORDENES'!$AB323))</f>
        <v/>
      </c>
      <c r="G345" s="24">
        <f>IF('ORDENES'!$A323="","",IF('ORDENES'!$Z323="","-",'ORDENES'!$Z323))</f>
        <v/>
      </c>
      <c r="H345" s="24">
        <f>IF('ORDENES'!$A323="","",IF('ORDENES'!$AH323="","-",'ORDENES'!$AH323))</f>
        <v/>
      </c>
      <c r="I345" s="24">
        <f>IF('ORDENES'!$A323="","",IF('ORDENES'!$AU323="","-",'ORDENES'!$AU323))</f>
        <v/>
      </c>
      <c r="J345" s="24">
        <f>IF('ORDENES'!$A323="","",IF('ORDENES'!$D323="","-",'ORDENES'!$D323))</f>
        <v/>
      </c>
      <c r="K345" s="24">
        <f>IF('ORDENES'!$A323="","",IF('ORDENES'!$E323="","-",'ORDENES'!$E323))</f>
        <v/>
      </c>
      <c r="L345" s="26">
        <f>IF('ORDENES'!$A323="","",IF('ORDENES'!$M323="",0,'ORDENES'!$M323))</f>
        <v/>
      </c>
      <c r="M345" s="24">
        <f>IF('ORDENES'!$A323="","",IF('ORDENES'!$N323="","-",'ORDENES'!$N323))</f>
        <v/>
      </c>
      <c r="N345" s="24">
        <f>IF('ORDENES'!$A323="","",'ORDENES'!$AG323)</f>
        <v/>
      </c>
    </row>
    <row r="346">
      <c r="A346" s="24">
        <f>IF('ORDENES'!$A324="","",IF('ORDENES'!$O324="","-",'ORDENES'!$O324))</f>
        <v/>
      </c>
      <c r="B346" s="24">
        <f>IF('ORDENES'!$A324="","",IF('ORDENES'!$S324="","-",'ORDENES'!$S324))</f>
        <v/>
      </c>
      <c r="C346" s="24">
        <f>IF('ORDENES'!$A324="","",IF('ORDENES'!$AI324="","-",'ORDENES'!$AI324))</f>
        <v/>
      </c>
      <c r="D346" s="24">
        <f>IF('ORDENES'!$A324="","",IF('ORDENES'!$AA324="","-",'ORDENES'!$AA324))</f>
        <v/>
      </c>
      <c r="E346" s="24">
        <f>IF('ORDENES'!$A324="","",IF('ORDENES'!$Y324="","-",'ORDENES'!$Y324))</f>
        <v/>
      </c>
      <c r="F346" s="24">
        <f>IF('ORDENES'!$A324="","",IF('ORDENES'!$AB324="","-",'ORDENES'!$AB324))</f>
        <v/>
      </c>
      <c r="G346" s="24">
        <f>IF('ORDENES'!$A324="","",IF('ORDENES'!$Z324="","-",'ORDENES'!$Z324))</f>
        <v/>
      </c>
      <c r="H346" s="24">
        <f>IF('ORDENES'!$A324="","",IF('ORDENES'!$AH324="","-",'ORDENES'!$AH324))</f>
        <v/>
      </c>
      <c r="I346" s="24">
        <f>IF('ORDENES'!$A324="","",IF('ORDENES'!$AU324="","-",'ORDENES'!$AU324))</f>
        <v/>
      </c>
      <c r="J346" s="24">
        <f>IF('ORDENES'!$A324="","",IF('ORDENES'!$D324="","-",'ORDENES'!$D324))</f>
        <v/>
      </c>
      <c r="K346" s="24">
        <f>IF('ORDENES'!$A324="","",IF('ORDENES'!$E324="","-",'ORDENES'!$E324))</f>
        <v/>
      </c>
      <c r="L346" s="26">
        <f>IF('ORDENES'!$A324="","",IF('ORDENES'!$M324="",0,'ORDENES'!$M324))</f>
        <v/>
      </c>
      <c r="M346" s="24">
        <f>IF('ORDENES'!$A324="","",IF('ORDENES'!$N324="","-",'ORDENES'!$N324))</f>
        <v/>
      </c>
      <c r="N346" s="24">
        <f>IF('ORDENES'!$A324="","",'ORDENES'!$AG324)</f>
        <v/>
      </c>
    </row>
    <row r="347">
      <c r="A347" s="24">
        <f>IF('ORDENES'!$A325="","",IF('ORDENES'!$O325="","-",'ORDENES'!$O325))</f>
        <v/>
      </c>
      <c r="B347" s="24">
        <f>IF('ORDENES'!$A325="","",IF('ORDENES'!$S325="","-",'ORDENES'!$S325))</f>
        <v/>
      </c>
      <c r="C347" s="24">
        <f>IF('ORDENES'!$A325="","",IF('ORDENES'!$AI325="","-",'ORDENES'!$AI325))</f>
        <v/>
      </c>
      <c r="D347" s="24">
        <f>IF('ORDENES'!$A325="","",IF('ORDENES'!$AA325="","-",'ORDENES'!$AA325))</f>
        <v/>
      </c>
      <c r="E347" s="24">
        <f>IF('ORDENES'!$A325="","",IF('ORDENES'!$Y325="","-",'ORDENES'!$Y325))</f>
        <v/>
      </c>
      <c r="F347" s="24">
        <f>IF('ORDENES'!$A325="","",IF('ORDENES'!$AB325="","-",'ORDENES'!$AB325))</f>
        <v/>
      </c>
      <c r="G347" s="24">
        <f>IF('ORDENES'!$A325="","",IF('ORDENES'!$Z325="","-",'ORDENES'!$Z325))</f>
        <v/>
      </c>
      <c r="H347" s="24">
        <f>IF('ORDENES'!$A325="","",IF('ORDENES'!$AH325="","-",'ORDENES'!$AH325))</f>
        <v/>
      </c>
      <c r="I347" s="24">
        <f>IF('ORDENES'!$A325="","",IF('ORDENES'!$AU325="","-",'ORDENES'!$AU325))</f>
        <v/>
      </c>
      <c r="J347" s="24">
        <f>IF('ORDENES'!$A325="","",IF('ORDENES'!$D325="","-",'ORDENES'!$D325))</f>
        <v/>
      </c>
      <c r="K347" s="24">
        <f>IF('ORDENES'!$A325="","",IF('ORDENES'!$E325="","-",'ORDENES'!$E325))</f>
        <v/>
      </c>
      <c r="L347" s="26">
        <f>IF('ORDENES'!$A325="","",IF('ORDENES'!$M325="",0,'ORDENES'!$M325))</f>
        <v/>
      </c>
      <c r="M347" s="24">
        <f>IF('ORDENES'!$A325="","",IF('ORDENES'!$N325="","-",'ORDENES'!$N325))</f>
        <v/>
      </c>
      <c r="N347" s="24">
        <f>IF('ORDENES'!$A325="","",'ORDENES'!$AG325)</f>
        <v/>
      </c>
    </row>
    <row r="348">
      <c r="A348" s="24">
        <f>IF('ORDENES'!$A326="","",IF('ORDENES'!$O326="","-",'ORDENES'!$O326))</f>
        <v/>
      </c>
      <c r="B348" s="24">
        <f>IF('ORDENES'!$A326="","",IF('ORDENES'!$S326="","-",'ORDENES'!$S326))</f>
        <v/>
      </c>
      <c r="C348" s="24">
        <f>IF('ORDENES'!$A326="","",IF('ORDENES'!$AI326="","-",'ORDENES'!$AI326))</f>
        <v/>
      </c>
      <c r="D348" s="24">
        <f>IF('ORDENES'!$A326="","",IF('ORDENES'!$AA326="","-",'ORDENES'!$AA326))</f>
        <v/>
      </c>
      <c r="E348" s="24">
        <f>IF('ORDENES'!$A326="","",IF('ORDENES'!$Y326="","-",'ORDENES'!$Y326))</f>
        <v/>
      </c>
      <c r="F348" s="24">
        <f>IF('ORDENES'!$A326="","",IF('ORDENES'!$AB326="","-",'ORDENES'!$AB326))</f>
        <v/>
      </c>
      <c r="G348" s="24">
        <f>IF('ORDENES'!$A326="","",IF('ORDENES'!$Z326="","-",'ORDENES'!$Z326))</f>
        <v/>
      </c>
      <c r="H348" s="24">
        <f>IF('ORDENES'!$A326="","",IF('ORDENES'!$AH326="","-",'ORDENES'!$AH326))</f>
        <v/>
      </c>
      <c r="I348" s="24">
        <f>IF('ORDENES'!$A326="","",IF('ORDENES'!$AU326="","-",'ORDENES'!$AU326))</f>
        <v/>
      </c>
      <c r="J348" s="24">
        <f>IF('ORDENES'!$A326="","",IF('ORDENES'!$D326="","-",'ORDENES'!$D326))</f>
        <v/>
      </c>
      <c r="K348" s="24">
        <f>IF('ORDENES'!$A326="","",IF('ORDENES'!$E326="","-",'ORDENES'!$E326))</f>
        <v/>
      </c>
      <c r="L348" s="26">
        <f>IF('ORDENES'!$A326="","",IF('ORDENES'!$M326="",0,'ORDENES'!$M326))</f>
        <v/>
      </c>
      <c r="M348" s="24">
        <f>IF('ORDENES'!$A326="","",IF('ORDENES'!$N326="","-",'ORDENES'!$N326))</f>
        <v/>
      </c>
      <c r="N348" s="24">
        <f>IF('ORDENES'!$A326="","",'ORDENES'!$AG326)</f>
        <v/>
      </c>
    </row>
    <row r="349">
      <c r="A349" s="24">
        <f>IF('ORDENES'!$A327="","",IF('ORDENES'!$O327="","-",'ORDENES'!$O327))</f>
        <v/>
      </c>
      <c r="B349" s="24">
        <f>IF('ORDENES'!$A327="","",IF('ORDENES'!$S327="","-",'ORDENES'!$S327))</f>
        <v/>
      </c>
      <c r="C349" s="24">
        <f>IF('ORDENES'!$A327="","",IF('ORDENES'!$AI327="","-",'ORDENES'!$AI327))</f>
        <v/>
      </c>
      <c r="D349" s="24">
        <f>IF('ORDENES'!$A327="","",IF('ORDENES'!$AA327="","-",'ORDENES'!$AA327))</f>
        <v/>
      </c>
      <c r="E349" s="24">
        <f>IF('ORDENES'!$A327="","",IF('ORDENES'!$Y327="","-",'ORDENES'!$Y327))</f>
        <v/>
      </c>
      <c r="F349" s="24">
        <f>IF('ORDENES'!$A327="","",IF('ORDENES'!$AB327="","-",'ORDENES'!$AB327))</f>
        <v/>
      </c>
      <c r="G349" s="24">
        <f>IF('ORDENES'!$A327="","",IF('ORDENES'!$Z327="","-",'ORDENES'!$Z327))</f>
        <v/>
      </c>
      <c r="H349" s="24">
        <f>IF('ORDENES'!$A327="","",IF('ORDENES'!$AH327="","-",'ORDENES'!$AH327))</f>
        <v/>
      </c>
      <c r="I349" s="24">
        <f>IF('ORDENES'!$A327="","",IF('ORDENES'!$AU327="","-",'ORDENES'!$AU327))</f>
        <v/>
      </c>
      <c r="J349" s="24">
        <f>IF('ORDENES'!$A327="","",IF('ORDENES'!$D327="","-",'ORDENES'!$D327))</f>
        <v/>
      </c>
      <c r="K349" s="24">
        <f>IF('ORDENES'!$A327="","",IF('ORDENES'!$E327="","-",'ORDENES'!$E327))</f>
        <v/>
      </c>
      <c r="L349" s="26">
        <f>IF('ORDENES'!$A327="","",IF('ORDENES'!$M327="",0,'ORDENES'!$M327))</f>
        <v/>
      </c>
      <c r="M349" s="24">
        <f>IF('ORDENES'!$A327="","",IF('ORDENES'!$N327="","-",'ORDENES'!$N327))</f>
        <v/>
      </c>
      <c r="N349" s="24">
        <f>IF('ORDENES'!$A327="","",'ORDENES'!$AG327)</f>
        <v/>
      </c>
    </row>
    <row r="350">
      <c r="A350" s="24">
        <f>IF('ORDENES'!$A328="","",IF('ORDENES'!$O328="","-",'ORDENES'!$O328))</f>
        <v/>
      </c>
      <c r="B350" s="24">
        <f>IF('ORDENES'!$A328="","",IF('ORDENES'!$S328="","-",'ORDENES'!$S328))</f>
        <v/>
      </c>
      <c r="C350" s="24">
        <f>IF('ORDENES'!$A328="","",IF('ORDENES'!$AI328="","-",'ORDENES'!$AI328))</f>
        <v/>
      </c>
      <c r="D350" s="24">
        <f>IF('ORDENES'!$A328="","",IF('ORDENES'!$AA328="","-",'ORDENES'!$AA328))</f>
        <v/>
      </c>
      <c r="E350" s="24">
        <f>IF('ORDENES'!$A328="","",IF('ORDENES'!$Y328="","-",'ORDENES'!$Y328))</f>
        <v/>
      </c>
      <c r="F350" s="24">
        <f>IF('ORDENES'!$A328="","",IF('ORDENES'!$AB328="","-",'ORDENES'!$AB328))</f>
        <v/>
      </c>
      <c r="G350" s="24">
        <f>IF('ORDENES'!$A328="","",IF('ORDENES'!$Z328="","-",'ORDENES'!$Z328))</f>
        <v/>
      </c>
      <c r="H350" s="24">
        <f>IF('ORDENES'!$A328="","",IF('ORDENES'!$AH328="","-",'ORDENES'!$AH328))</f>
        <v/>
      </c>
      <c r="I350" s="24">
        <f>IF('ORDENES'!$A328="","",IF('ORDENES'!$AU328="","-",'ORDENES'!$AU328))</f>
        <v/>
      </c>
      <c r="J350" s="24">
        <f>IF('ORDENES'!$A328="","",IF('ORDENES'!$D328="","-",'ORDENES'!$D328))</f>
        <v/>
      </c>
      <c r="K350" s="24">
        <f>IF('ORDENES'!$A328="","",IF('ORDENES'!$E328="","-",'ORDENES'!$E328))</f>
        <v/>
      </c>
      <c r="L350" s="26">
        <f>IF('ORDENES'!$A328="","",IF('ORDENES'!$M328="",0,'ORDENES'!$M328))</f>
        <v/>
      </c>
      <c r="M350" s="24">
        <f>IF('ORDENES'!$A328="","",IF('ORDENES'!$N328="","-",'ORDENES'!$N328))</f>
        <v/>
      </c>
      <c r="N350" s="24">
        <f>IF('ORDENES'!$A328="","",'ORDENES'!$AG328)</f>
        <v/>
      </c>
    </row>
    <row r="351">
      <c r="A351" s="24">
        <f>IF('ORDENES'!$A329="","",IF('ORDENES'!$O329="","-",'ORDENES'!$O329))</f>
        <v/>
      </c>
      <c r="B351" s="24">
        <f>IF('ORDENES'!$A329="","",IF('ORDENES'!$S329="","-",'ORDENES'!$S329))</f>
        <v/>
      </c>
      <c r="C351" s="24">
        <f>IF('ORDENES'!$A329="","",IF('ORDENES'!$AI329="","-",'ORDENES'!$AI329))</f>
        <v/>
      </c>
      <c r="D351" s="24">
        <f>IF('ORDENES'!$A329="","",IF('ORDENES'!$AA329="","-",'ORDENES'!$AA329))</f>
        <v/>
      </c>
      <c r="E351" s="24">
        <f>IF('ORDENES'!$A329="","",IF('ORDENES'!$Y329="","-",'ORDENES'!$Y329))</f>
        <v/>
      </c>
      <c r="F351" s="24">
        <f>IF('ORDENES'!$A329="","",IF('ORDENES'!$AB329="","-",'ORDENES'!$AB329))</f>
        <v/>
      </c>
      <c r="G351" s="24">
        <f>IF('ORDENES'!$A329="","",IF('ORDENES'!$Z329="","-",'ORDENES'!$Z329))</f>
        <v/>
      </c>
      <c r="H351" s="24">
        <f>IF('ORDENES'!$A329="","",IF('ORDENES'!$AH329="","-",'ORDENES'!$AH329))</f>
        <v/>
      </c>
      <c r="I351" s="24">
        <f>IF('ORDENES'!$A329="","",IF('ORDENES'!$AU329="","-",'ORDENES'!$AU329))</f>
        <v/>
      </c>
      <c r="J351" s="24">
        <f>IF('ORDENES'!$A329="","",IF('ORDENES'!$D329="","-",'ORDENES'!$D329))</f>
        <v/>
      </c>
      <c r="K351" s="24">
        <f>IF('ORDENES'!$A329="","",IF('ORDENES'!$E329="","-",'ORDENES'!$E329))</f>
        <v/>
      </c>
      <c r="L351" s="26">
        <f>IF('ORDENES'!$A329="","",IF('ORDENES'!$M329="",0,'ORDENES'!$M329))</f>
        <v/>
      </c>
      <c r="M351" s="24">
        <f>IF('ORDENES'!$A329="","",IF('ORDENES'!$N329="","-",'ORDENES'!$N329))</f>
        <v/>
      </c>
      <c r="N351" s="24">
        <f>IF('ORDENES'!$A329="","",'ORDENES'!$AG329)</f>
        <v/>
      </c>
    </row>
    <row r="352">
      <c r="A352" s="24">
        <f>IF('ORDENES'!$A330="","",IF('ORDENES'!$O330="","-",'ORDENES'!$O330))</f>
        <v/>
      </c>
      <c r="B352" s="24">
        <f>IF('ORDENES'!$A330="","",IF('ORDENES'!$S330="","-",'ORDENES'!$S330))</f>
        <v/>
      </c>
      <c r="C352" s="24">
        <f>IF('ORDENES'!$A330="","",IF('ORDENES'!$AI330="","-",'ORDENES'!$AI330))</f>
        <v/>
      </c>
      <c r="D352" s="24">
        <f>IF('ORDENES'!$A330="","",IF('ORDENES'!$AA330="","-",'ORDENES'!$AA330))</f>
        <v/>
      </c>
      <c r="E352" s="24">
        <f>IF('ORDENES'!$A330="","",IF('ORDENES'!$Y330="","-",'ORDENES'!$Y330))</f>
        <v/>
      </c>
      <c r="F352" s="24">
        <f>IF('ORDENES'!$A330="","",IF('ORDENES'!$AB330="","-",'ORDENES'!$AB330))</f>
        <v/>
      </c>
      <c r="G352" s="24">
        <f>IF('ORDENES'!$A330="","",IF('ORDENES'!$Z330="","-",'ORDENES'!$Z330))</f>
        <v/>
      </c>
      <c r="H352" s="24">
        <f>IF('ORDENES'!$A330="","",IF('ORDENES'!$AH330="","-",'ORDENES'!$AH330))</f>
        <v/>
      </c>
      <c r="I352" s="24">
        <f>IF('ORDENES'!$A330="","",IF('ORDENES'!$AU330="","-",'ORDENES'!$AU330))</f>
        <v/>
      </c>
      <c r="J352" s="24">
        <f>IF('ORDENES'!$A330="","",IF('ORDENES'!$D330="","-",'ORDENES'!$D330))</f>
        <v/>
      </c>
      <c r="K352" s="24">
        <f>IF('ORDENES'!$A330="","",IF('ORDENES'!$E330="","-",'ORDENES'!$E330))</f>
        <v/>
      </c>
      <c r="L352" s="26">
        <f>IF('ORDENES'!$A330="","",IF('ORDENES'!$M330="",0,'ORDENES'!$M330))</f>
        <v/>
      </c>
      <c r="M352" s="24">
        <f>IF('ORDENES'!$A330="","",IF('ORDENES'!$N330="","-",'ORDENES'!$N330))</f>
        <v/>
      </c>
      <c r="N352" s="24">
        <f>IF('ORDENES'!$A330="","",'ORDENES'!$AG330)</f>
        <v/>
      </c>
    </row>
    <row r="353">
      <c r="A353" s="24">
        <f>IF('ORDENES'!$A331="","",IF('ORDENES'!$O331="","-",'ORDENES'!$O331))</f>
        <v/>
      </c>
      <c r="B353" s="24">
        <f>IF('ORDENES'!$A331="","",IF('ORDENES'!$S331="","-",'ORDENES'!$S331))</f>
        <v/>
      </c>
      <c r="C353" s="24">
        <f>IF('ORDENES'!$A331="","",IF('ORDENES'!$AI331="","-",'ORDENES'!$AI331))</f>
        <v/>
      </c>
      <c r="D353" s="24">
        <f>IF('ORDENES'!$A331="","",IF('ORDENES'!$AA331="","-",'ORDENES'!$AA331))</f>
        <v/>
      </c>
      <c r="E353" s="24">
        <f>IF('ORDENES'!$A331="","",IF('ORDENES'!$Y331="","-",'ORDENES'!$Y331))</f>
        <v/>
      </c>
      <c r="F353" s="24">
        <f>IF('ORDENES'!$A331="","",IF('ORDENES'!$AB331="","-",'ORDENES'!$AB331))</f>
        <v/>
      </c>
      <c r="G353" s="24">
        <f>IF('ORDENES'!$A331="","",IF('ORDENES'!$Z331="","-",'ORDENES'!$Z331))</f>
        <v/>
      </c>
      <c r="H353" s="24">
        <f>IF('ORDENES'!$A331="","",IF('ORDENES'!$AH331="","-",'ORDENES'!$AH331))</f>
        <v/>
      </c>
      <c r="I353" s="24">
        <f>IF('ORDENES'!$A331="","",IF('ORDENES'!$AU331="","-",'ORDENES'!$AU331))</f>
        <v/>
      </c>
      <c r="J353" s="24">
        <f>IF('ORDENES'!$A331="","",IF('ORDENES'!$D331="","-",'ORDENES'!$D331))</f>
        <v/>
      </c>
      <c r="K353" s="24">
        <f>IF('ORDENES'!$A331="","",IF('ORDENES'!$E331="","-",'ORDENES'!$E331))</f>
        <v/>
      </c>
      <c r="L353" s="26">
        <f>IF('ORDENES'!$A331="","",IF('ORDENES'!$M331="",0,'ORDENES'!$M331))</f>
        <v/>
      </c>
      <c r="M353" s="24">
        <f>IF('ORDENES'!$A331="","",IF('ORDENES'!$N331="","-",'ORDENES'!$N331))</f>
        <v/>
      </c>
      <c r="N353" s="24">
        <f>IF('ORDENES'!$A331="","",'ORDENES'!$AG331)</f>
        <v/>
      </c>
    </row>
    <row r="354">
      <c r="A354" s="24">
        <f>IF('ORDENES'!$A332="","",IF('ORDENES'!$O332="","-",'ORDENES'!$O332))</f>
        <v/>
      </c>
      <c r="B354" s="24">
        <f>IF('ORDENES'!$A332="","",IF('ORDENES'!$S332="","-",'ORDENES'!$S332))</f>
        <v/>
      </c>
      <c r="C354" s="24">
        <f>IF('ORDENES'!$A332="","",IF('ORDENES'!$AI332="","-",'ORDENES'!$AI332))</f>
        <v/>
      </c>
      <c r="D354" s="24">
        <f>IF('ORDENES'!$A332="","",IF('ORDENES'!$AA332="","-",'ORDENES'!$AA332))</f>
        <v/>
      </c>
      <c r="E354" s="24">
        <f>IF('ORDENES'!$A332="","",IF('ORDENES'!$Y332="","-",'ORDENES'!$Y332))</f>
        <v/>
      </c>
      <c r="F354" s="24">
        <f>IF('ORDENES'!$A332="","",IF('ORDENES'!$AB332="","-",'ORDENES'!$AB332))</f>
        <v/>
      </c>
      <c r="G354" s="24">
        <f>IF('ORDENES'!$A332="","",IF('ORDENES'!$Z332="","-",'ORDENES'!$Z332))</f>
        <v/>
      </c>
      <c r="H354" s="24">
        <f>IF('ORDENES'!$A332="","",IF('ORDENES'!$AH332="","-",'ORDENES'!$AH332))</f>
        <v/>
      </c>
      <c r="I354" s="24">
        <f>IF('ORDENES'!$A332="","",IF('ORDENES'!$AU332="","-",'ORDENES'!$AU332))</f>
        <v/>
      </c>
      <c r="J354" s="24">
        <f>IF('ORDENES'!$A332="","",IF('ORDENES'!$D332="","-",'ORDENES'!$D332))</f>
        <v/>
      </c>
      <c r="K354" s="24">
        <f>IF('ORDENES'!$A332="","",IF('ORDENES'!$E332="","-",'ORDENES'!$E332))</f>
        <v/>
      </c>
      <c r="L354" s="26">
        <f>IF('ORDENES'!$A332="","",IF('ORDENES'!$M332="",0,'ORDENES'!$M332))</f>
        <v/>
      </c>
      <c r="M354" s="24">
        <f>IF('ORDENES'!$A332="","",IF('ORDENES'!$N332="","-",'ORDENES'!$N332))</f>
        <v/>
      </c>
      <c r="N354" s="24">
        <f>IF('ORDENES'!$A332="","",'ORDENES'!$AG332)</f>
        <v/>
      </c>
    </row>
    <row r="355">
      <c r="A355" s="24">
        <f>IF('ORDENES'!$A333="","",IF('ORDENES'!$O333="","-",'ORDENES'!$O333))</f>
        <v/>
      </c>
      <c r="B355" s="24">
        <f>IF('ORDENES'!$A333="","",IF('ORDENES'!$S333="","-",'ORDENES'!$S333))</f>
        <v/>
      </c>
      <c r="C355" s="24">
        <f>IF('ORDENES'!$A333="","",IF('ORDENES'!$AI333="","-",'ORDENES'!$AI333))</f>
        <v/>
      </c>
      <c r="D355" s="24">
        <f>IF('ORDENES'!$A333="","",IF('ORDENES'!$AA333="","-",'ORDENES'!$AA333))</f>
        <v/>
      </c>
      <c r="E355" s="24">
        <f>IF('ORDENES'!$A333="","",IF('ORDENES'!$Y333="","-",'ORDENES'!$Y333))</f>
        <v/>
      </c>
      <c r="F355" s="24">
        <f>IF('ORDENES'!$A333="","",IF('ORDENES'!$AB333="","-",'ORDENES'!$AB333))</f>
        <v/>
      </c>
      <c r="G355" s="24">
        <f>IF('ORDENES'!$A333="","",IF('ORDENES'!$Z333="","-",'ORDENES'!$Z333))</f>
        <v/>
      </c>
      <c r="H355" s="24">
        <f>IF('ORDENES'!$A333="","",IF('ORDENES'!$AH333="","-",'ORDENES'!$AH333))</f>
        <v/>
      </c>
      <c r="I355" s="24">
        <f>IF('ORDENES'!$A333="","",IF('ORDENES'!$AU333="","-",'ORDENES'!$AU333))</f>
        <v/>
      </c>
      <c r="J355" s="24">
        <f>IF('ORDENES'!$A333="","",IF('ORDENES'!$D333="","-",'ORDENES'!$D333))</f>
        <v/>
      </c>
      <c r="K355" s="24">
        <f>IF('ORDENES'!$A333="","",IF('ORDENES'!$E333="","-",'ORDENES'!$E333))</f>
        <v/>
      </c>
      <c r="L355" s="26">
        <f>IF('ORDENES'!$A333="","",IF('ORDENES'!$M333="",0,'ORDENES'!$M333))</f>
        <v/>
      </c>
      <c r="M355" s="24">
        <f>IF('ORDENES'!$A333="","",IF('ORDENES'!$N333="","-",'ORDENES'!$N333))</f>
        <v/>
      </c>
      <c r="N355" s="24">
        <f>IF('ORDENES'!$A333="","",'ORDENES'!$AG333)</f>
        <v/>
      </c>
    </row>
    <row r="356">
      <c r="A356" s="24">
        <f>IF('ORDENES'!$A334="","",IF('ORDENES'!$O334="","-",'ORDENES'!$O334))</f>
        <v/>
      </c>
      <c r="B356" s="24">
        <f>IF('ORDENES'!$A334="","",IF('ORDENES'!$S334="","-",'ORDENES'!$S334))</f>
        <v/>
      </c>
      <c r="C356" s="24">
        <f>IF('ORDENES'!$A334="","",IF('ORDENES'!$AI334="","-",'ORDENES'!$AI334))</f>
        <v/>
      </c>
      <c r="D356" s="24">
        <f>IF('ORDENES'!$A334="","",IF('ORDENES'!$AA334="","-",'ORDENES'!$AA334))</f>
        <v/>
      </c>
      <c r="E356" s="24">
        <f>IF('ORDENES'!$A334="","",IF('ORDENES'!$Y334="","-",'ORDENES'!$Y334))</f>
        <v/>
      </c>
      <c r="F356" s="24">
        <f>IF('ORDENES'!$A334="","",IF('ORDENES'!$AB334="","-",'ORDENES'!$AB334))</f>
        <v/>
      </c>
      <c r="G356" s="24">
        <f>IF('ORDENES'!$A334="","",IF('ORDENES'!$Z334="","-",'ORDENES'!$Z334))</f>
        <v/>
      </c>
      <c r="H356" s="24">
        <f>IF('ORDENES'!$A334="","",IF('ORDENES'!$AH334="","-",'ORDENES'!$AH334))</f>
        <v/>
      </c>
      <c r="I356" s="24">
        <f>IF('ORDENES'!$A334="","",IF('ORDENES'!$AU334="","-",'ORDENES'!$AU334))</f>
        <v/>
      </c>
      <c r="J356" s="24">
        <f>IF('ORDENES'!$A334="","",IF('ORDENES'!$D334="","-",'ORDENES'!$D334))</f>
        <v/>
      </c>
      <c r="K356" s="24">
        <f>IF('ORDENES'!$A334="","",IF('ORDENES'!$E334="","-",'ORDENES'!$E334))</f>
        <v/>
      </c>
      <c r="L356" s="26">
        <f>IF('ORDENES'!$A334="","",IF('ORDENES'!$M334="",0,'ORDENES'!$M334))</f>
        <v/>
      </c>
      <c r="M356" s="24">
        <f>IF('ORDENES'!$A334="","",IF('ORDENES'!$N334="","-",'ORDENES'!$N334))</f>
        <v/>
      </c>
      <c r="N356" s="24">
        <f>IF('ORDENES'!$A334="","",'ORDENES'!$AG334)</f>
        <v/>
      </c>
    </row>
    <row r="357">
      <c r="A357" s="24">
        <f>IF('ORDENES'!$A335="","",IF('ORDENES'!$O335="","-",'ORDENES'!$O335))</f>
        <v/>
      </c>
      <c r="B357" s="24">
        <f>IF('ORDENES'!$A335="","",IF('ORDENES'!$S335="","-",'ORDENES'!$S335))</f>
        <v/>
      </c>
      <c r="C357" s="24">
        <f>IF('ORDENES'!$A335="","",IF('ORDENES'!$AI335="","-",'ORDENES'!$AI335))</f>
        <v/>
      </c>
      <c r="D357" s="24">
        <f>IF('ORDENES'!$A335="","",IF('ORDENES'!$AA335="","-",'ORDENES'!$AA335))</f>
        <v/>
      </c>
      <c r="E357" s="24">
        <f>IF('ORDENES'!$A335="","",IF('ORDENES'!$Y335="","-",'ORDENES'!$Y335))</f>
        <v/>
      </c>
      <c r="F357" s="24">
        <f>IF('ORDENES'!$A335="","",IF('ORDENES'!$AB335="","-",'ORDENES'!$AB335))</f>
        <v/>
      </c>
      <c r="G357" s="24">
        <f>IF('ORDENES'!$A335="","",IF('ORDENES'!$Z335="","-",'ORDENES'!$Z335))</f>
        <v/>
      </c>
      <c r="H357" s="24">
        <f>IF('ORDENES'!$A335="","",IF('ORDENES'!$AH335="","-",'ORDENES'!$AH335))</f>
        <v/>
      </c>
      <c r="I357" s="24">
        <f>IF('ORDENES'!$A335="","",IF('ORDENES'!$AU335="","-",'ORDENES'!$AU335))</f>
        <v/>
      </c>
      <c r="J357" s="24">
        <f>IF('ORDENES'!$A335="","",IF('ORDENES'!$D335="","-",'ORDENES'!$D335))</f>
        <v/>
      </c>
      <c r="K357" s="24">
        <f>IF('ORDENES'!$A335="","",IF('ORDENES'!$E335="","-",'ORDENES'!$E335))</f>
        <v/>
      </c>
      <c r="L357" s="26">
        <f>IF('ORDENES'!$A335="","",IF('ORDENES'!$M335="",0,'ORDENES'!$M335))</f>
        <v/>
      </c>
      <c r="M357" s="24">
        <f>IF('ORDENES'!$A335="","",IF('ORDENES'!$N335="","-",'ORDENES'!$N335))</f>
        <v/>
      </c>
      <c r="N357" s="24">
        <f>IF('ORDENES'!$A335="","",'ORDENES'!$AG335)</f>
        <v/>
      </c>
    </row>
    <row r="358">
      <c r="A358" s="24">
        <f>IF('ORDENES'!$A336="","",IF('ORDENES'!$O336="","-",'ORDENES'!$O336))</f>
        <v/>
      </c>
      <c r="B358" s="24">
        <f>IF('ORDENES'!$A336="","",IF('ORDENES'!$S336="","-",'ORDENES'!$S336))</f>
        <v/>
      </c>
      <c r="C358" s="24">
        <f>IF('ORDENES'!$A336="","",IF('ORDENES'!$AI336="","-",'ORDENES'!$AI336))</f>
        <v/>
      </c>
      <c r="D358" s="24">
        <f>IF('ORDENES'!$A336="","",IF('ORDENES'!$AA336="","-",'ORDENES'!$AA336))</f>
        <v/>
      </c>
      <c r="E358" s="24">
        <f>IF('ORDENES'!$A336="","",IF('ORDENES'!$Y336="","-",'ORDENES'!$Y336))</f>
        <v/>
      </c>
      <c r="F358" s="24">
        <f>IF('ORDENES'!$A336="","",IF('ORDENES'!$AB336="","-",'ORDENES'!$AB336))</f>
        <v/>
      </c>
      <c r="G358" s="24">
        <f>IF('ORDENES'!$A336="","",IF('ORDENES'!$Z336="","-",'ORDENES'!$Z336))</f>
        <v/>
      </c>
      <c r="H358" s="24">
        <f>IF('ORDENES'!$A336="","",IF('ORDENES'!$AH336="","-",'ORDENES'!$AH336))</f>
        <v/>
      </c>
      <c r="I358" s="24">
        <f>IF('ORDENES'!$A336="","",IF('ORDENES'!$AU336="","-",'ORDENES'!$AU336))</f>
        <v/>
      </c>
      <c r="J358" s="24">
        <f>IF('ORDENES'!$A336="","",IF('ORDENES'!$D336="","-",'ORDENES'!$D336))</f>
        <v/>
      </c>
      <c r="K358" s="24">
        <f>IF('ORDENES'!$A336="","",IF('ORDENES'!$E336="","-",'ORDENES'!$E336))</f>
        <v/>
      </c>
      <c r="L358" s="26">
        <f>IF('ORDENES'!$A336="","",IF('ORDENES'!$M336="",0,'ORDENES'!$M336))</f>
        <v/>
      </c>
      <c r="M358" s="24">
        <f>IF('ORDENES'!$A336="","",IF('ORDENES'!$N336="","-",'ORDENES'!$N336))</f>
        <v/>
      </c>
      <c r="N358" s="24">
        <f>IF('ORDENES'!$A336="","",'ORDENES'!$AG336)</f>
        <v/>
      </c>
    </row>
    <row r="359">
      <c r="A359" s="24">
        <f>IF('ORDENES'!$A337="","",IF('ORDENES'!$O337="","-",'ORDENES'!$O337))</f>
        <v/>
      </c>
      <c r="B359" s="24">
        <f>IF('ORDENES'!$A337="","",IF('ORDENES'!$S337="","-",'ORDENES'!$S337))</f>
        <v/>
      </c>
      <c r="C359" s="24">
        <f>IF('ORDENES'!$A337="","",IF('ORDENES'!$AI337="","-",'ORDENES'!$AI337))</f>
        <v/>
      </c>
      <c r="D359" s="24">
        <f>IF('ORDENES'!$A337="","",IF('ORDENES'!$AA337="","-",'ORDENES'!$AA337))</f>
        <v/>
      </c>
      <c r="E359" s="24">
        <f>IF('ORDENES'!$A337="","",IF('ORDENES'!$Y337="","-",'ORDENES'!$Y337))</f>
        <v/>
      </c>
      <c r="F359" s="24">
        <f>IF('ORDENES'!$A337="","",IF('ORDENES'!$AB337="","-",'ORDENES'!$AB337))</f>
        <v/>
      </c>
      <c r="G359" s="24">
        <f>IF('ORDENES'!$A337="","",IF('ORDENES'!$Z337="","-",'ORDENES'!$Z337))</f>
        <v/>
      </c>
      <c r="H359" s="24">
        <f>IF('ORDENES'!$A337="","",IF('ORDENES'!$AH337="","-",'ORDENES'!$AH337))</f>
        <v/>
      </c>
      <c r="I359" s="24">
        <f>IF('ORDENES'!$A337="","",IF('ORDENES'!$AU337="","-",'ORDENES'!$AU337))</f>
        <v/>
      </c>
      <c r="J359" s="24">
        <f>IF('ORDENES'!$A337="","",IF('ORDENES'!$D337="","-",'ORDENES'!$D337))</f>
        <v/>
      </c>
      <c r="K359" s="24">
        <f>IF('ORDENES'!$A337="","",IF('ORDENES'!$E337="","-",'ORDENES'!$E337))</f>
        <v/>
      </c>
      <c r="L359" s="26">
        <f>IF('ORDENES'!$A337="","",IF('ORDENES'!$M337="",0,'ORDENES'!$M337))</f>
        <v/>
      </c>
      <c r="M359" s="24">
        <f>IF('ORDENES'!$A337="","",IF('ORDENES'!$N337="","-",'ORDENES'!$N337))</f>
        <v/>
      </c>
      <c r="N359" s="24">
        <f>IF('ORDENES'!$A337="","",'ORDENES'!$AG337)</f>
        <v/>
      </c>
    </row>
    <row r="360">
      <c r="A360" s="24">
        <f>IF('ORDENES'!$A338="","",IF('ORDENES'!$O338="","-",'ORDENES'!$O338))</f>
        <v/>
      </c>
      <c r="B360" s="24">
        <f>IF('ORDENES'!$A338="","",IF('ORDENES'!$S338="","-",'ORDENES'!$S338))</f>
        <v/>
      </c>
      <c r="C360" s="24">
        <f>IF('ORDENES'!$A338="","",IF('ORDENES'!$AI338="","-",'ORDENES'!$AI338))</f>
        <v/>
      </c>
      <c r="D360" s="24">
        <f>IF('ORDENES'!$A338="","",IF('ORDENES'!$AA338="","-",'ORDENES'!$AA338))</f>
        <v/>
      </c>
      <c r="E360" s="24">
        <f>IF('ORDENES'!$A338="","",IF('ORDENES'!$Y338="","-",'ORDENES'!$Y338))</f>
        <v/>
      </c>
      <c r="F360" s="24">
        <f>IF('ORDENES'!$A338="","",IF('ORDENES'!$AB338="","-",'ORDENES'!$AB338))</f>
        <v/>
      </c>
      <c r="G360" s="24">
        <f>IF('ORDENES'!$A338="","",IF('ORDENES'!$Z338="","-",'ORDENES'!$Z338))</f>
        <v/>
      </c>
      <c r="H360" s="24">
        <f>IF('ORDENES'!$A338="","",IF('ORDENES'!$AH338="","-",'ORDENES'!$AH338))</f>
        <v/>
      </c>
      <c r="I360" s="24">
        <f>IF('ORDENES'!$A338="","",IF('ORDENES'!$AU338="","-",'ORDENES'!$AU338))</f>
        <v/>
      </c>
      <c r="J360" s="24">
        <f>IF('ORDENES'!$A338="","",IF('ORDENES'!$D338="","-",'ORDENES'!$D338))</f>
        <v/>
      </c>
      <c r="K360" s="24">
        <f>IF('ORDENES'!$A338="","",IF('ORDENES'!$E338="","-",'ORDENES'!$E338))</f>
        <v/>
      </c>
      <c r="L360" s="26">
        <f>IF('ORDENES'!$A338="","",IF('ORDENES'!$M338="",0,'ORDENES'!$M338))</f>
        <v/>
      </c>
      <c r="M360" s="24">
        <f>IF('ORDENES'!$A338="","",IF('ORDENES'!$N338="","-",'ORDENES'!$N338))</f>
        <v/>
      </c>
      <c r="N360" s="24">
        <f>IF('ORDENES'!$A338="","",'ORDENES'!$AG338)</f>
        <v/>
      </c>
    </row>
    <row r="361">
      <c r="A361" s="24">
        <f>IF('ORDENES'!$A339="","",IF('ORDENES'!$O339="","-",'ORDENES'!$O339))</f>
        <v/>
      </c>
      <c r="B361" s="24">
        <f>IF('ORDENES'!$A339="","",IF('ORDENES'!$S339="","-",'ORDENES'!$S339))</f>
        <v/>
      </c>
      <c r="C361" s="24">
        <f>IF('ORDENES'!$A339="","",IF('ORDENES'!$AI339="","-",'ORDENES'!$AI339))</f>
        <v/>
      </c>
      <c r="D361" s="24">
        <f>IF('ORDENES'!$A339="","",IF('ORDENES'!$AA339="","-",'ORDENES'!$AA339))</f>
        <v/>
      </c>
      <c r="E361" s="24">
        <f>IF('ORDENES'!$A339="","",IF('ORDENES'!$Y339="","-",'ORDENES'!$Y339))</f>
        <v/>
      </c>
      <c r="F361" s="24">
        <f>IF('ORDENES'!$A339="","",IF('ORDENES'!$AB339="","-",'ORDENES'!$AB339))</f>
        <v/>
      </c>
      <c r="G361" s="24">
        <f>IF('ORDENES'!$A339="","",IF('ORDENES'!$Z339="","-",'ORDENES'!$Z339))</f>
        <v/>
      </c>
      <c r="H361" s="24">
        <f>IF('ORDENES'!$A339="","",IF('ORDENES'!$AH339="","-",'ORDENES'!$AH339))</f>
        <v/>
      </c>
      <c r="I361" s="24">
        <f>IF('ORDENES'!$A339="","",IF('ORDENES'!$AU339="","-",'ORDENES'!$AU339))</f>
        <v/>
      </c>
      <c r="J361" s="24">
        <f>IF('ORDENES'!$A339="","",IF('ORDENES'!$D339="","-",'ORDENES'!$D339))</f>
        <v/>
      </c>
      <c r="K361" s="24">
        <f>IF('ORDENES'!$A339="","",IF('ORDENES'!$E339="","-",'ORDENES'!$E339))</f>
        <v/>
      </c>
      <c r="L361" s="26">
        <f>IF('ORDENES'!$A339="","",IF('ORDENES'!$M339="",0,'ORDENES'!$M339))</f>
        <v/>
      </c>
      <c r="M361" s="24">
        <f>IF('ORDENES'!$A339="","",IF('ORDENES'!$N339="","-",'ORDENES'!$N339))</f>
        <v/>
      </c>
      <c r="N361" s="24">
        <f>IF('ORDENES'!$A339="","",'ORDENES'!$AG339)</f>
        <v/>
      </c>
    </row>
    <row r="362">
      <c r="A362" s="24">
        <f>IF('ORDENES'!$A340="","",IF('ORDENES'!$O340="","-",'ORDENES'!$O340))</f>
        <v/>
      </c>
      <c r="B362" s="24">
        <f>IF('ORDENES'!$A340="","",IF('ORDENES'!$S340="","-",'ORDENES'!$S340))</f>
        <v/>
      </c>
      <c r="C362" s="24">
        <f>IF('ORDENES'!$A340="","",IF('ORDENES'!$AI340="","-",'ORDENES'!$AI340))</f>
        <v/>
      </c>
      <c r="D362" s="24">
        <f>IF('ORDENES'!$A340="","",IF('ORDENES'!$AA340="","-",'ORDENES'!$AA340))</f>
        <v/>
      </c>
      <c r="E362" s="24">
        <f>IF('ORDENES'!$A340="","",IF('ORDENES'!$Y340="","-",'ORDENES'!$Y340))</f>
        <v/>
      </c>
      <c r="F362" s="24">
        <f>IF('ORDENES'!$A340="","",IF('ORDENES'!$AB340="","-",'ORDENES'!$AB340))</f>
        <v/>
      </c>
      <c r="G362" s="24">
        <f>IF('ORDENES'!$A340="","",IF('ORDENES'!$Z340="","-",'ORDENES'!$Z340))</f>
        <v/>
      </c>
      <c r="H362" s="24">
        <f>IF('ORDENES'!$A340="","",IF('ORDENES'!$AH340="","-",'ORDENES'!$AH340))</f>
        <v/>
      </c>
      <c r="I362" s="24">
        <f>IF('ORDENES'!$A340="","",IF('ORDENES'!$AU340="","-",'ORDENES'!$AU340))</f>
        <v/>
      </c>
      <c r="J362" s="24">
        <f>IF('ORDENES'!$A340="","",IF('ORDENES'!$D340="","-",'ORDENES'!$D340))</f>
        <v/>
      </c>
      <c r="K362" s="24">
        <f>IF('ORDENES'!$A340="","",IF('ORDENES'!$E340="","-",'ORDENES'!$E340))</f>
        <v/>
      </c>
      <c r="L362" s="26">
        <f>IF('ORDENES'!$A340="","",IF('ORDENES'!$M340="",0,'ORDENES'!$M340))</f>
        <v/>
      </c>
      <c r="M362" s="24">
        <f>IF('ORDENES'!$A340="","",IF('ORDENES'!$N340="","-",'ORDENES'!$N340))</f>
        <v/>
      </c>
      <c r="N362" s="24">
        <f>IF('ORDENES'!$A340="","",'ORDENES'!$AG340)</f>
        <v/>
      </c>
    </row>
    <row r="363">
      <c r="A363" s="24">
        <f>IF('ORDENES'!$A341="","",IF('ORDENES'!$O341="","-",'ORDENES'!$O341))</f>
        <v/>
      </c>
      <c r="B363" s="24">
        <f>IF('ORDENES'!$A341="","",IF('ORDENES'!$S341="","-",'ORDENES'!$S341))</f>
        <v/>
      </c>
      <c r="C363" s="24">
        <f>IF('ORDENES'!$A341="","",IF('ORDENES'!$AI341="","-",'ORDENES'!$AI341))</f>
        <v/>
      </c>
      <c r="D363" s="24">
        <f>IF('ORDENES'!$A341="","",IF('ORDENES'!$AA341="","-",'ORDENES'!$AA341))</f>
        <v/>
      </c>
      <c r="E363" s="24">
        <f>IF('ORDENES'!$A341="","",IF('ORDENES'!$Y341="","-",'ORDENES'!$Y341))</f>
        <v/>
      </c>
      <c r="F363" s="24">
        <f>IF('ORDENES'!$A341="","",IF('ORDENES'!$AB341="","-",'ORDENES'!$AB341))</f>
        <v/>
      </c>
      <c r="G363" s="24">
        <f>IF('ORDENES'!$A341="","",IF('ORDENES'!$Z341="","-",'ORDENES'!$Z341))</f>
        <v/>
      </c>
      <c r="H363" s="24">
        <f>IF('ORDENES'!$A341="","",IF('ORDENES'!$AH341="","-",'ORDENES'!$AH341))</f>
        <v/>
      </c>
      <c r="I363" s="24">
        <f>IF('ORDENES'!$A341="","",IF('ORDENES'!$AU341="","-",'ORDENES'!$AU341))</f>
        <v/>
      </c>
      <c r="J363" s="24">
        <f>IF('ORDENES'!$A341="","",IF('ORDENES'!$D341="","-",'ORDENES'!$D341))</f>
        <v/>
      </c>
      <c r="K363" s="24">
        <f>IF('ORDENES'!$A341="","",IF('ORDENES'!$E341="","-",'ORDENES'!$E341))</f>
        <v/>
      </c>
      <c r="L363" s="26">
        <f>IF('ORDENES'!$A341="","",IF('ORDENES'!$M341="",0,'ORDENES'!$M341))</f>
        <v/>
      </c>
      <c r="M363" s="24">
        <f>IF('ORDENES'!$A341="","",IF('ORDENES'!$N341="","-",'ORDENES'!$N341))</f>
        <v/>
      </c>
      <c r="N363" s="24">
        <f>IF('ORDENES'!$A341="","",'ORDENES'!$AG341)</f>
        <v/>
      </c>
    </row>
    <row r="364">
      <c r="A364" s="24">
        <f>IF('ORDENES'!$A342="","",IF('ORDENES'!$O342="","-",'ORDENES'!$O342))</f>
        <v/>
      </c>
      <c r="B364" s="24">
        <f>IF('ORDENES'!$A342="","",IF('ORDENES'!$S342="","-",'ORDENES'!$S342))</f>
        <v/>
      </c>
      <c r="C364" s="24">
        <f>IF('ORDENES'!$A342="","",IF('ORDENES'!$AI342="","-",'ORDENES'!$AI342))</f>
        <v/>
      </c>
      <c r="D364" s="24">
        <f>IF('ORDENES'!$A342="","",IF('ORDENES'!$AA342="","-",'ORDENES'!$AA342))</f>
        <v/>
      </c>
      <c r="E364" s="24">
        <f>IF('ORDENES'!$A342="","",IF('ORDENES'!$Y342="","-",'ORDENES'!$Y342))</f>
        <v/>
      </c>
      <c r="F364" s="24">
        <f>IF('ORDENES'!$A342="","",IF('ORDENES'!$AB342="","-",'ORDENES'!$AB342))</f>
        <v/>
      </c>
      <c r="G364" s="24">
        <f>IF('ORDENES'!$A342="","",IF('ORDENES'!$Z342="","-",'ORDENES'!$Z342))</f>
        <v/>
      </c>
      <c r="H364" s="24">
        <f>IF('ORDENES'!$A342="","",IF('ORDENES'!$AH342="","-",'ORDENES'!$AH342))</f>
        <v/>
      </c>
      <c r="I364" s="24">
        <f>IF('ORDENES'!$A342="","",IF('ORDENES'!$AU342="","-",'ORDENES'!$AU342))</f>
        <v/>
      </c>
      <c r="J364" s="24">
        <f>IF('ORDENES'!$A342="","",IF('ORDENES'!$D342="","-",'ORDENES'!$D342))</f>
        <v/>
      </c>
      <c r="K364" s="24">
        <f>IF('ORDENES'!$A342="","",IF('ORDENES'!$E342="","-",'ORDENES'!$E342))</f>
        <v/>
      </c>
      <c r="L364" s="26">
        <f>IF('ORDENES'!$A342="","",IF('ORDENES'!$M342="",0,'ORDENES'!$M342))</f>
        <v/>
      </c>
      <c r="M364" s="24">
        <f>IF('ORDENES'!$A342="","",IF('ORDENES'!$N342="","-",'ORDENES'!$N342))</f>
        <v/>
      </c>
      <c r="N364" s="24">
        <f>IF('ORDENES'!$A342="","",'ORDENES'!$AG342)</f>
        <v/>
      </c>
    </row>
    <row r="365">
      <c r="A365" s="24">
        <f>IF('ORDENES'!$A343="","",IF('ORDENES'!$O343="","-",'ORDENES'!$O343))</f>
        <v/>
      </c>
      <c r="B365" s="24">
        <f>IF('ORDENES'!$A343="","",IF('ORDENES'!$S343="","-",'ORDENES'!$S343))</f>
        <v/>
      </c>
      <c r="C365" s="24">
        <f>IF('ORDENES'!$A343="","",IF('ORDENES'!$AI343="","-",'ORDENES'!$AI343))</f>
        <v/>
      </c>
      <c r="D365" s="24">
        <f>IF('ORDENES'!$A343="","",IF('ORDENES'!$AA343="","-",'ORDENES'!$AA343))</f>
        <v/>
      </c>
      <c r="E365" s="24">
        <f>IF('ORDENES'!$A343="","",IF('ORDENES'!$Y343="","-",'ORDENES'!$Y343))</f>
        <v/>
      </c>
      <c r="F365" s="24">
        <f>IF('ORDENES'!$A343="","",IF('ORDENES'!$AB343="","-",'ORDENES'!$AB343))</f>
        <v/>
      </c>
      <c r="G365" s="24">
        <f>IF('ORDENES'!$A343="","",IF('ORDENES'!$Z343="","-",'ORDENES'!$Z343))</f>
        <v/>
      </c>
      <c r="H365" s="24">
        <f>IF('ORDENES'!$A343="","",IF('ORDENES'!$AH343="","-",'ORDENES'!$AH343))</f>
        <v/>
      </c>
      <c r="I365" s="24">
        <f>IF('ORDENES'!$A343="","",IF('ORDENES'!$AU343="","-",'ORDENES'!$AU343))</f>
        <v/>
      </c>
      <c r="J365" s="24">
        <f>IF('ORDENES'!$A343="","",IF('ORDENES'!$D343="","-",'ORDENES'!$D343))</f>
        <v/>
      </c>
      <c r="K365" s="24">
        <f>IF('ORDENES'!$A343="","",IF('ORDENES'!$E343="","-",'ORDENES'!$E343))</f>
        <v/>
      </c>
      <c r="L365" s="26">
        <f>IF('ORDENES'!$A343="","",IF('ORDENES'!$M343="",0,'ORDENES'!$M343))</f>
        <v/>
      </c>
      <c r="M365" s="24">
        <f>IF('ORDENES'!$A343="","",IF('ORDENES'!$N343="","-",'ORDENES'!$N343))</f>
        <v/>
      </c>
      <c r="N365" s="24">
        <f>IF('ORDENES'!$A343="","",'ORDENES'!$AG343)</f>
        <v/>
      </c>
    </row>
    <row r="366">
      <c r="A366" s="24">
        <f>IF('ORDENES'!$A344="","",IF('ORDENES'!$O344="","-",'ORDENES'!$O344))</f>
        <v/>
      </c>
      <c r="B366" s="24">
        <f>IF('ORDENES'!$A344="","",IF('ORDENES'!$S344="","-",'ORDENES'!$S344))</f>
        <v/>
      </c>
      <c r="C366" s="24">
        <f>IF('ORDENES'!$A344="","",IF('ORDENES'!$AI344="","-",'ORDENES'!$AI344))</f>
        <v/>
      </c>
      <c r="D366" s="24">
        <f>IF('ORDENES'!$A344="","",IF('ORDENES'!$AA344="","-",'ORDENES'!$AA344))</f>
        <v/>
      </c>
      <c r="E366" s="24">
        <f>IF('ORDENES'!$A344="","",IF('ORDENES'!$Y344="","-",'ORDENES'!$Y344))</f>
        <v/>
      </c>
      <c r="F366" s="24">
        <f>IF('ORDENES'!$A344="","",IF('ORDENES'!$AB344="","-",'ORDENES'!$AB344))</f>
        <v/>
      </c>
      <c r="G366" s="24">
        <f>IF('ORDENES'!$A344="","",IF('ORDENES'!$Z344="","-",'ORDENES'!$Z344))</f>
        <v/>
      </c>
      <c r="H366" s="24">
        <f>IF('ORDENES'!$A344="","",IF('ORDENES'!$AH344="","-",'ORDENES'!$AH344))</f>
        <v/>
      </c>
      <c r="I366" s="24">
        <f>IF('ORDENES'!$A344="","",IF('ORDENES'!$AU344="","-",'ORDENES'!$AU344))</f>
        <v/>
      </c>
      <c r="J366" s="24">
        <f>IF('ORDENES'!$A344="","",IF('ORDENES'!$D344="","-",'ORDENES'!$D344))</f>
        <v/>
      </c>
      <c r="K366" s="24">
        <f>IF('ORDENES'!$A344="","",IF('ORDENES'!$E344="","-",'ORDENES'!$E344))</f>
        <v/>
      </c>
      <c r="L366" s="26">
        <f>IF('ORDENES'!$A344="","",IF('ORDENES'!$M344="",0,'ORDENES'!$M344))</f>
        <v/>
      </c>
      <c r="M366" s="24">
        <f>IF('ORDENES'!$A344="","",IF('ORDENES'!$N344="","-",'ORDENES'!$N344))</f>
        <v/>
      </c>
      <c r="N366" s="24">
        <f>IF('ORDENES'!$A344="","",'ORDENES'!$AG344)</f>
        <v/>
      </c>
    </row>
    <row r="367">
      <c r="A367" s="24">
        <f>IF('ORDENES'!$A345="","",IF('ORDENES'!$O345="","-",'ORDENES'!$O345))</f>
        <v/>
      </c>
      <c r="B367" s="24">
        <f>IF('ORDENES'!$A345="","",IF('ORDENES'!$S345="","-",'ORDENES'!$S345))</f>
        <v/>
      </c>
      <c r="C367" s="24">
        <f>IF('ORDENES'!$A345="","",IF('ORDENES'!$AI345="","-",'ORDENES'!$AI345))</f>
        <v/>
      </c>
      <c r="D367" s="24">
        <f>IF('ORDENES'!$A345="","",IF('ORDENES'!$AA345="","-",'ORDENES'!$AA345))</f>
        <v/>
      </c>
      <c r="E367" s="24">
        <f>IF('ORDENES'!$A345="","",IF('ORDENES'!$Y345="","-",'ORDENES'!$Y345))</f>
        <v/>
      </c>
      <c r="F367" s="24">
        <f>IF('ORDENES'!$A345="","",IF('ORDENES'!$AB345="","-",'ORDENES'!$AB345))</f>
        <v/>
      </c>
      <c r="G367" s="24">
        <f>IF('ORDENES'!$A345="","",IF('ORDENES'!$Z345="","-",'ORDENES'!$Z345))</f>
        <v/>
      </c>
      <c r="H367" s="24">
        <f>IF('ORDENES'!$A345="","",IF('ORDENES'!$AH345="","-",'ORDENES'!$AH345))</f>
        <v/>
      </c>
      <c r="I367" s="24">
        <f>IF('ORDENES'!$A345="","",IF('ORDENES'!$AU345="","-",'ORDENES'!$AU345))</f>
        <v/>
      </c>
      <c r="J367" s="24">
        <f>IF('ORDENES'!$A345="","",IF('ORDENES'!$D345="","-",'ORDENES'!$D345))</f>
        <v/>
      </c>
      <c r="K367" s="24">
        <f>IF('ORDENES'!$A345="","",IF('ORDENES'!$E345="","-",'ORDENES'!$E345))</f>
        <v/>
      </c>
      <c r="L367" s="26">
        <f>IF('ORDENES'!$A345="","",IF('ORDENES'!$M345="",0,'ORDENES'!$M345))</f>
        <v/>
      </c>
      <c r="M367" s="24">
        <f>IF('ORDENES'!$A345="","",IF('ORDENES'!$N345="","-",'ORDENES'!$N345))</f>
        <v/>
      </c>
      <c r="N367" s="24">
        <f>IF('ORDENES'!$A345="","",'ORDENES'!$AG345)</f>
        <v/>
      </c>
    </row>
    <row r="368">
      <c r="A368" s="24">
        <f>IF('ORDENES'!$A346="","",IF('ORDENES'!$O346="","-",'ORDENES'!$O346))</f>
        <v/>
      </c>
      <c r="B368" s="24">
        <f>IF('ORDENES'!$A346="","",IF('ORDENES'!$S346="","-",'ORDENES'!$S346))</f>
        <v/>
      </c>
      <c r="C368" s="24">
        <f>IF('ORDENES'!$A346="","",IF('ORDENES'!$AI346="","-",'ORDENES'!$AI346))</f>
        <v/>
      </c>
      <c r="D368" s="24">
        <f>IF('ORDENES'!$A346="","",IF('ORDENES'!$AA346="","-",'ORDENES'!$AA346))</f>
        <v/>
      </c>
      <c r="E368" s="24">
        <f>IF('ORDENES'!$A346="","",IF('ORDENES'!$Y346="","-",'ORDENES'!$Y346))</f>
        <v/>
      </c>
      <c r="F368" s="24">
        <f>IF('ORDENES'!$A346="","",IF('ORDENES'!$AB346="","-",'ORDENES'!$AB346))</f>
        <v/>
      </c>
      <c r="G368" s="24">
        <f>IF('ORDENES'!$A346="","",IF('ORDENES'!$Z346="","-",'ORDENES'!$Z346))</f>
        <v/>
      </c>
      <c r="H368" s="24">
        <f>IF('ORDENES'!$A346="","",IF('ORDENES'!$AH346="","-",'ORDENES'!$AH346))</f>
        <v/>
      </c>
      <c r="I368" s="24">
        <f>IF('ORDENES'!$A346="","",IF('ORDENES'!$AU346="","-",'ORDENES'!$AU346))</f>
        <v/>
      </c>
      <c r="J368" s="24">
        <f>IF('ORDENES'!$A346="","",IF('ORDENES'!$D346="","-",'ORDENES'!$D346))</f>
        <v/>
      </c>
      <c r="K368" s="24">
        <f>IF('ORDENES'!$A346="","",IF('ORDENES'!$E346="","-",'ORDENES'!$E346))</f>
        <v/>
      </c>
      <c r="L368" s="26">
        <f>IF('ORDENES'!$A346="","",IF('ORDENES'!$M346="",0,'ORDENES'!$M346))</f>
        <v/>
      </c>
      <c r="M368" s="24">
        <f>IF('ORDENES'!$A346="","",IF('ORDENES'!$N346="","-",'ORDENES'!$N346))</f>
        <v/>
      </c>
      <c r="N368" s="24">
        <f>IF('ORDENES'!$A346="","",'ORDENES'!$AG346)</f>
        <v/>
      </c>
    </row>
    <row r="369">
      <c r="A369" s="24">
        <f>IF('ORDENES'!$A347="","",IF('ORDENES'!$O347="","-",'ORDENES'!$O347))</f>
        <v/>
      </c>
      <c r="B369" s="24">
        <f>IF('ORDENES'!$A347="","",IF('ORDENES'!$S347="","-",'ORDENES'!$S347))</f>
        <v/>
      </c>
      <c r="C369" s="24">
        <f>IF('ORDENES'!$A347="","",IF('ORDENES'!$AI347="","-",'ORDENES'!$AI347))</f>
        <v/>
      </c>
      <c r="D369" s="24">
        <f>IF('ORDENES'!$A347="","",IF('ORDENES'!$AA347="","-",'ORDENES'!$AA347))</f>
        <v/>
      </c>
      <c r="E369" s="24">
        <f>IF('ORDENES'!$A347="","",IF('ORDENES'!$Y347="","-",'ORDENES'!$Y347))</f>
        <v/>
      </c>
      <c r="F369" s="24">
        <f>IF('ORDENES'!$A347="","",IF('ORDENES'!$AB347="","-",'ORDENES'!$AB347))</f>
        <v/>
      </c>
      <c r="G369" s="24">
        <f>IF('ORDENES'!$A347="","",IF('ORDENES'!$Z347="","-",'ORDENES'!$Z347))</f>
        <v/>
      </c>
      <c r="H369" s="24">
        <f>IF('ORDENES'!$A347="","",IF('ORDENES'!$AH347="","-",'ORDENES'!$AH347))</f>
        <v/>
      </c>
      <c r="I369" s="24">
        <f>IF('ORDENES'!$A347="","",IF('ORDENES'!$AU347="","-",'ORDENES'!$AU347))</f>
        <v/>
      </c>
      <c r="J369" s="24">
        <f>IF('ORDENES'!$A347="","",IF('ORDENES'!$D347="","-",'ORDENES'!$D347))</f>
        <v/>
      </c>
      <c r="K369" s="24">
        <f>IF('ORDENES'!$A347="","",IF('ORDENES'!$E347="","-",'ORDENES'!$E347))</f>
        <v/>
      </c>
      <c r="L369" s="26">
        <f>IF('ORDENES'!$A347="","",IF('ORDENES'!$M347="",0,'ORDENES'!$M347))</f>
        <v/>
      </c>
      <c r="M369" s="24">
        <f>IF('ORDENES'!$A347="","",IF('ORDENES'!$N347="","-",'ORDENES'!$N347))</f>
        <v/>
      </c>
      <c r="N369" s="24">
        <f>IF('ORDENES'!$A347="","",'ORDENES'!$AG347)</f>
        <v/>
      </c>
    </row>
    <row r="370">
      <c r="A370" s="24">
        <f>IF('ORDENES'!$A348="","",IF('ORDENES'!$O348="","-",'ORDENES'!$O348))</f>
        <v/>
      </c>
      <c r="B370" s="24">
        <f>IF('ORDENES'!$A348="","",IF('ORDENES'!$S348="","-",'ORDENES'!$S348))</f>
        <v/>
      </c>
      <c r="C370" s="24">
        <f>IF('ORDENES'!$A348="","",IF('ORDENES'!$AI348="","-",'ORDENES'!$AI348))</f>
        <v/>
      </c>
      <c r="D370" s="24">
        <f>IF('ORDENES'!$A348="","",IF('ORDENES'!$AA348="","-",'ORDENES'!$AA348))</f>
        <v/>
      </c>
      <c r="E370" s="24">
        <f>IF('ORDENES'!$A348="","",IF('ORDENES'!$Y348="","-",'ORDENES'!$Y348))</f>
        <v/>
      </c>
      <c r="F370" s="24">
        <f>IF('ORDENES'!$A348="","",IF('ORDENES'!$AB348="","-",'ORDENES'!$AB348))</f>
        <v/>
      </c>
      <c r="G370" s="24">
        <f>IF('ORDENES'!$A348="","",IF('ORDENES'!$Z348="","-",'ORDENES'!$Z348))</f>
        <v/>
      </c>
      <c r="H370" s="24">
        <f>IF('ORDENES'!$A348="","",IF('ORDENES'!$AH348="","-",'ORDENES'!$AH348))</f>
        <v/>
      </c>
      <c r="I370" s="24">
        <f>IF('ORDENES'!$A348="","",IF('ORDENES'!$AU348="","-",'ORDENES'!$AU348))</f>
        <v/>
      </c>
      <c r="J370" s="24">
        <f>IF('ORDENES'!$A348="","",IF('ORDENES'!$D348="","-",'ORDENES'!$D348))</f>
        <v/>
      </c>
      <c r="K370" s="24">
        <f>IF('ORDENES'!$A348="","",IF('ORDENES'!$E348="","-",'ORDENES'!$E348))</f>
        <v/>
      </c>
      <c r="L370" s="26">
        <f>IF('ORDENES'!$A348="","",IF('ORDENES'!$M348="",0,'ORDENES'!$M348))</f>
        <v/>
      </c>
      <c r="M370" s="24">
        <f>IF('ORDENES'!$A348="","",IF('ORDENES'!$N348="","-",'ORDENES'!$N348))</f>
        <v/>
      </c>
      <c r="N370" s="24">
        <f>IF('ORDENES'!$A348="","",'ORDENES'!$AG348)</f>
        <v/>
      </c>
    </row>
    <row r="371">
      <c r="A371" s="24">
        <f>IF('ORDENES'!$A349="","",IF('ORDENES'!$O349="","-",'ORDENES'!$O349))</f>
        <v/>
      </c>
      <c r="B371" s="24">
        <f>IF('ORDENES'!$A349="","",IF('ORDENES'!$S349="","-",'ORDENES'!$S349))</f>
        <v/>
      </c>
      <c r="C371" s="24">
        <f>IF('ORDENES'!$A349="","",IF('ORDENES'!$AI349="","-",'ORDENES'!$AI349))</f>
        <v/>
      </c>
      <c r="D371" s="24">
        <f>IF('ORDENES'!$A349="","",IF('ORDENES'!$AA349="","-",'ORDENES'!$AA349))</f>
        <v/>
      </c>
      <c r="E371" s="24">
        <f>IF('ORDENES'!$A349="","",IF('ORDENES'!$Y349="","-",'ORDENES'!$Y349))</f>
        <v/>
      </c>
      <c r="F371" s="24">
        <f>IF('ORDENES'!$A349="","",IF('ORDENES'!$AB349="","-",'ORDENES'!$AB349))</f>
        <v/>
      </c>
      <c r="G371" s="24">
        <f>IF('ORDENES'!$A349="","",IF('ORDENES'!$Z349="","-",'ORDENES'!$Z349))</f>
        <v/>
      </c>
      <c r="H371" s="24">
        <f>IF('ORDENES'!$A349="","",IF('ORDENES'!$AH349="","-",'ORDENES'!$AH349))</f>
        <v/>
      </c>
      <c r="I371" s="24">
        <f>IF('ORDENES'!$A349="","",IF('ORDENES'!$AU349="","-",'ORDENES'!$AU349))</f>
        <v/>
      </c>
      <c r="J371" s="24">
        <f>IF('ORDENES'!$A349="","",IF('ORDENES'!$D349="","-",'ORDENES'!$D349))</f>
        <v/>
      </c>
      <c r="K371" s="24">
        <f>IF('ORDENES'!$A349="","",IF('ORDENES'!$E349="","-",'ORDENES'!$E349))</f>
        <v/>
      </c>
      <c r="L371" s="26">
        <f>IF('ORDENES'!$A349="","",IF('ORDENES'!$M349="",0,'ORDENES'!$M349))</f>
        <v/>
      </c>
      <c r="M371" s="24">
        <f>IF('ORDENES'!$A349="","",IF('ORDENES'!$N349="","-",'ORDENES'!$N349))</f>
        <v/>
      </c>
      <c r="N371" s="24">
        <f>IF('ORDENES'!$A349="","",'ORDENES'!$AG349)</f>
        <v/>
      </c>
    </row>
    <row r="372">
      <c r="A372" s="24">
        <f>IF('ORDENES'!$A350="","",IF('ORDENES'!$O350="","-",'ORDENES'!$O350))</f>
        <v/>
      </c>
      <c r="B372" s="24">
        <f>IF('ORDENES'!$A350="","",IF('ORDENES'!$S350="","-",'ORDENES'!$S350))</f>
        <v/>
      </c>
      <c r="C372" s="24">
        <f>IF('ORDENES'!$A350="","",IF('ORDENES'!$AI350="","-",'ORDENES'!$AI350))</f>
        <v/>
      </c>
      <c r="D372" s="24">
        <f>IF('ORDENES'!$A350="","",IF('ORDENES'!$AA350="","-",'ORDENES'!$AA350))</f>
        <v/>
      </c>
      <c r="E372" s="24">
        <f>IF('ORDENES'!$A350="","",IF('ORDENES'!$Y350="","-",'ORDENES'!$Y350))</f>
        <v/>
      </c>
      <c r="F372" s="24">
        <f>IF('ORDENES'!$A350="","",IF('ORDENES'!$AB350="","-",'ORDENES'!$AB350))</f>
        <v/>
      </c>
      <c r="G372" s="24">
        <f>IF('ORDENES'!$A350="","",IF('ORDENES'!$Z350="","-",'ORDENES'!$Z350))</f>
        <v/>
      </c>
      <c r="H372" s="24">
        <f>IF('ORDENES'!$A350="","",IF('ORDENES'!$AH350="","-",'ORDENES'!$AH350))</f>
        <v/>
      </c>
      <c r="I372" s="24">
        <f>IF('ORDENES'!$A350="","",IF('ORDENES'!$AU350="","-",'ORDENES'!$AU350))</f>
        <v/>
      </c>
      <c r="J372" s="24">
        <f>IF('ORDENES'!$A350="","",IF('ORDENES'!$D350="","-",'ORDENES'!$D350))</f>
        <v/>
      </c>
      <c r="K372" s="24">
        <f>IF('ORDENES'!$A350="","",IF('ORDENES'!$E350="","-",'ORDENES'!$E350))</f>
        <v/>
      </c>
      <c r="L372" s="26">
        <f>IF('ORDENES'!$A350="","",IF('ORDENES'!$M350="",0,'ORDENES'!$M350))</f>
        <v/>
      </c>
      <c r="M372" s="24">
        <f>IF('ORDENES'!$A350="","",IF('ORDENES'!$N350="","-",'ORDENES'!$N350))</f>
        <v/>
      </c>
      <c r="N372" s="24">
        <f>IF('ORDENES'!$A350="","",'ORDENES'!$AG350)</f>
        <v/>
      </c>
    </row>
    <row r="373">
      <c r="A373" s="24">
        <f>IF('ORDENES'!$A351="","",IF('ORDENES'!$O351="","-",'ORDENES'!$O351))</f>
        <v/>
      </c>
      <c r="B373" s="24">
        <f>IF('ORDENES'!$A351="","",IF('ORDENES'!$S351="","-",'ORDENES'!$S351))</f>
        <v/>
      </c>
      <c r="C373" s="24">
        <f>IF('ORDENES'!$A351="","",IF('ORDENES'!$AI351="","-",'ORDENES'!$AI351))</f>
        <v/>
      </c>
      <c r="D373" s="24">
        <f>IF('ORDENES'!$A351="","",IF('ORDENES'!$AA351="","-",'ORDENES'!$AA351))</f>
        <v/>
      </c>
      <c r="E373" s="24">
        <f>IF('ORDENES'!$A351="","",IF('ORDENES'!$Y351="","-",'ORDENES'!$Y351))</f>
        <v/>
      </c>
      <c r="F373" s="24">
        <f>IF('ORDENES'!$A351="","",IF('ORDENES'!$AB351="","-",'ORDENES'!$AB351))</f>
        <v/>
      </c>
      <c r="G373" s="24">
        <f>IF('ORDENES'!$A351="","",IF('ORDENES'!$Z351="","-",'ORDENES'!$Z351))</f>
        <v/>
      </c>
      <c r="H373" s="24">
        <f>IF('ORDENES'!$A351="","",IF('ORDENES'!$AH351="","-",'ORDENES'!$AH351))</f>
        <v/>
      </c>
      <c r="I373" s="24">
        <f>IF('ORDENES'!$A351="","",IF('ORDENES'!$AU351="","-",'ORDENES'!$AU351))</f>
        <v/>
      </c>
      <c r="J373" s="24">
        <f>IF('ORDENES'!$A351="","",IF('ORDENES'!$D351="","-",'ORDENES'!$D351))</f>
        <v/>
      </c>
      <c r="K373" s="24">
        <f>IF('ORDENES'!$A351="","",IF('ORDENES'!$E351="","-",'ORDENES'!$E351))</f>
        <v/>
      </c>
      <c r="L373" s="26">
        <f>IF('ORDENES'!$A351="","",IF('ORDENES'!$M351="",0,'ORDENES'!$M351))</f>
        <v/>
      </c>
      <c r="M373" s="24">
        <f>IF('ORDENES'!$A351="","",IF('ORDENES'!$N351="","-",'ORDENES'!$N351))</f>
        <v/>
      </c>
      <c r="N373" s="24">
        <f>IF('ORDENES'!$A351="","",'ORDENES'!$AG351)</f>
        <v/>
      </c>
    </row>
    <row r="374">
      <c r="A374" s="24">
        <f>IF('ORDENES'!$A352="","",IF('ORDENES'!$O352="","-",'ORDENES'!$O352))</f>
        <v/>
      </c>
      <c r="B374" s="24">
        <f>IF('ORDENES'!$A352="","",IF('ORDENES'!$S352="","-",'ORDENES'!$S352))</f>
        <v/>
      </c>
      <c r="C374" s="24">
        <f>IF('ORDENES'!$A352="","",IF('ORDENES'!$AI352="","-",'ORDENES'!$AI352))</f>
        <v/>
      </c>
      <c r="D374" s="24">
        <f>IF('ORDENES'!$A352="","",IF('ORDENES'!$AA352="","-",'ORDENES'!$AA352))</f>
        <v/>
      </c>
      <c r="E374" s="24">
        <f>IF('ORDENES'!$A352="","",IF('ORDENES'!$Y352="","-",'ORDENES'!$Y352))</f>
        <v/>
      </c>
      <c r="F374" s="24">
        <f>IF('ORDENES'!$A352="","",IF('ORDENES'!$AB352="","-",'ORDENES'!$AB352))</f>
        <v/>
      </c>
      <c r="G374" s="24">
        <f>IF('ORDENES'!$A352="","",IF('ORDENES'!$Z352="","-",'ORDENES'!$Z352))</f>
        <v/>
      </c>
      <c r="H374" s="24">
        <f>IF('ORDENES'!$A352="","",IF('ORDENES'!$AH352="","-",'ORDENES'!$AH352))</f>
        <v/>
      </c>
      <c r="I374" s="24">
        <f>IF('ORDENES'!$A352="","",IF('ORDENES'!$AU352="","-",'ORDENES'!$AU352))</f>
        <v/>
      </c>
      <c r="J374" s="24">
        <f>IF('ORDENES'!$A352="","",IF('ORDENES'!$D352="","-",'ORDENES'!$D352))</f>
        <v/>
      </c>
      <c r="K374" s="24">
        <f>IF('ORDENES'!$A352="","",IF('ORDENES'!$E352="","-",'ORDENES'!$E352))</f>
        <v/>
      </c>
      <c r="L374" s="26">
        <f>IF('ORDENES'!$A352="","",IF('ORDENES'!$M352="",0,'ORDENES'!$M352))</f>
        <v/>
      </c>
      <c r="M374" s="24">
        <f>IF('ORDENES'!$A352="","",IF('ORDENES'!$N352="","-",'ORDENES'!$N352))</f>
        <v/>
      </c>
      <c r="N374" s="24">
        <f>IF('ORDENES'!$A352="","",'ORDENES'!$AG352)</f>
        <v/>
      </c>
    </row>
    <row r="375">
      <c r="A375" s="24">
        <f>IF('ORDENES'!$A353="","",IF('ORDENES'!$O353="","-",'ORDENES'!$O353))</f>
        <v/>
      </c>
      <c r="B375" s="24">
        <f>IF('ORDENES'!$A353="","",IF('ORDENES'!$S353="","-",'ORDENES'!$S353))</f>
        <v/>
      </c>
      <c r="C375" s="24">
        <f>IF('ORDENES'!$A353="","",IF('ORDENES'!$AI353="","-",'ORDENES'!$AI353))</f>
        <v/>
      </c>
      <c r="D375" s="24">
        <f>IF('ORDENES'!$A353="","",IF('ORDENES'!$AA353="","-",'ORDENES'!$AA353))</f>
        <v/>
      </c>
      <c r="E375" s="24">
        <f>IF('ORDENES'!$A353="","",IF('ORDENES'!$Y353="","-",'ORDENES'!$Y353))</f>
        <v/>
      </c>
      <c r="F375" s="24">
        <f>IF('ORDENES'!$A353="","",IF('ORDENES'!$AB353="","-",'ORDENES'!$AB353))</f>
        <v/>
      </c>
      <c r="G375" s="24">
        <f>IF('ORDENES'!$A353="","",IF('ORDENES'!$Z353="","-",'ORDENES'!$Z353))</f>
        <v/>
      </c>
      <c r="H375" s="24">
        <f>IF('ORDENES'!$A353="","",IF('ORDENES'!$AH353="","-",'ORDENES'!$AH353))</f>
        <v/>
      </c>
      <c r="I375" s="24">
        <f>IF('ORDENES'!$A353="","",IF('ORDENES'!$AU353="","-",'ORDENES'!$AU353))</f>
        <v/>
      </c>
      <c r="J375" s="24">
        <f>IF('ORDENES'!$A353="","",IF('ORDENES'!$D353="","-",'ORDENES'!$D353))</f>
        <v/>
      </c>
      <c r="K375" s="24">
        <f>IF('ORDENES'!$A353="","",IF('ORDENES'!$E353="","-",'ORDENES'!$E353))</f>
        <v/>
      </c>
      <c r="L375" s="26">
        <f>IF('ORDENES'!$A353="","",IF('ORDENES'!$M353="",0,'ORDENES'!$M353))</f>
        <v/>
      </c>
      <c r="M375" s="24">
        <f>IF('ORDENES'!$A353="","",IF('ORDENES'!$N353="","-",'ORDENES'!$N353))</f>
        <v/>
      </c>
      <c r="N375" s="24">
        <f>IF('ORDENES'!$A353="","",'ORDENES'!$AG353)</f>
        <v/>
      </c>
    </row>
    <row r="376">
      <c r="A376" s="24">
        <f>IF('ORDENES'!$A354="","",IF('ORDENES'!$O354="","-",'ORDENES'!$O354))</f>
        <v/>
      </c>
      <c r="B376" s="24">
        <f>IF('ORDENES'!$A354="","",IF('ORDENES'!$S354="","-",'ORDENES'!$S354))</f>
        <v/>
      </c>
      <c r="C376" s="24">
        <f>IF('ORDENES'!$A354="","",IF('ORDENES'!$AI354="","-",'ORDENES'!$AI354))</f>
        <v/>
      </c>
      <c r="D376" s="24">
        <f>IF('ORDENES'!$A354="","",IF('ORDENES'!$AA354="","-",'ORDENES'!$AA354))</f>
        <v/>
      </c>
      <c r="E376" s="24">
        <f>IF('ORDENES'!$A354="","",IF('ORDENES'!$Y354="","-",'ORDENES'!$Y354))</f>
        <v/>
      </c>
      <c r="F376" s="24">
        <f>IF('ORDENES'!$A354="","",IF('ORDENES'!$AB354="","-",'ORDENES'!$AB354))</f>
        <v/>
      </c>
      <c r="G376" s="24">
        <f>IF('ORDENES'!$A354="","",IF('ORDENES'!$Z354="","-",'ORDENES'!$Z354))</f>
        <v/>
      </c>
      <c r="H376" s="24">
        <f>IF('ORDENES'!$A354="","",IF('ORDENES'!$AH354="","-",'ORDENES'!$AH354))</f>
        <v/>
      </c>
      <c r="I376" s="24">
        <f>IF('ORDENES'!$A354="","",IF('ORDENES'!$AU354="","-",'ORDENES'!$AU354))</f>
        <v/>
      </c>
      <c r="J376" s="24">
        <f>IF('ORDENES'!$A354="","",IF('ORDENES'!$D354="","-",'ORDENES'!$D354))</f>
        <v/>
      </c>
      <c r="K376" s="24">
        <f>IF('ORDENES'!$A354="","",IF('ORDENES'!$E354="","-",'ORDENES'!$E354))</f>
        <v/>
      </c>
      <c r="L376" s="26">
        <f>IF('ORDENES'!$A354="","",IF('ORDENES'!$M354="",0,'ORDENES'!$M354))</f>
        <v/>
      </c>
      <c r="M376" s="24">
        <f>IF('ORDENES'!$A354="","",IF('ORDENES'!$N354="","-",'ORDENES'!$N354))</f>
        <v/>
      </c>
      <c r="N376" s="24">
        <f>IF('ORDENES'!$A354="","",'ORDENES'!$AG354)</f>
        <v/>
      </c>
    </row>
    <row r="377">
      <c r="A377" s="24">
        <f>IF('ORDENES'!$A355="","",IF('ORDENES'!$O355="","-",'ORDENES'!$O355))</f>
        <v/>
      </c>
      <c r="B377" s="24">
        <f>IF('ORDENES'!$A355="","",IF('ORDENES'!$S355="","-",'ORDENES'!$S355))</f>
        <v/>
      </c>
      <c r="C377" s="24">
        <f>IF('ORDENES'!$A355="","",IF('ORDENES'!$AI355="","-",'ORDENES'!$AI355))</f>
        <v/>
      </c>
      <c r="D377" s="24">
        <f>IF('ORDENES'!$A355="","",IF('ORDENES'!$AA355="","-",'ORDENES'!$AA355))</f>
        <v/>
      </c>
      <c r="E377" s="24">
        <f>IF('ORDENES'!$A355="","",IF('ORDENES'!$Y355="","-",'ORDENES'!$Y355))</f>
        <v/>
      </c>
      <c r="F377" s="24">
        <f>IF('ORDENES'!$A355="","",IF('ORDENES'!$AB355="","-",'ORDENES'!$AB355))</f>
        <v/>
      </c>
      <c r="G377" s="24">
        <f>IF('ORDENES'!$A355="","",IF('ORDENES'!$Z355="","-",'ORDENES'!$Z355))</f>
        <v/>
      </c>
      <c r="H377" s="24">
        <f>IF('ORDENES'!$A355="","",IF('ORDENES'!$AH355="","-",'ORDENES'!$AH355))</f>
        <v/>
      </c>
      <c r="I377" s="24">
        <f>IF('ORDENES'!$A355="","",IF('ORDENES'!$AU355="","-",'ORDENES'!$AU355))</f>
        <v/>
      </c>
      <c r="J377" s="24">
        <f>IF('ORDENES'!$A355="","",IF('ORDENES'!$D355="","-",'ORDENES'!$D355))</f>
        <v/>
      </c>
      <c r="K377" s="24">
        <f>IF('ORDENES'!$A355="","",IF('ORDENES'!$E355="","-",'ORDENES'!$E355))</f>
        <v/>
      </c>
      <c r="L377" s="26">
        <f>IF('ORDENES'!$A355="","",IF('ORDENES'!$M355="",0,'ORDENES'!$M355))</f>
        <v/>
      </c>
      <c r="M377" s="24">
        <f>IF('ORDENES'!$A355="","",IF('ORDENES'!$N355="","-",'ORDENES'!$N355))</f>
        <v/>
      </c>
      <c r="N377" s="24">
        <f>IF('ORDENES'!$A355="","",'ORDENES'!$AG355)</f>
        <v/>
      </c>
    </row>
    <row r="378">
      <c r="A378" s="24">
        <f>IF('ORDENES'!$A356="","",IF('ORDENES'!$O356="","-",'ORDENES'!$O356))</f>
        <v/>
      </c>
      <c r="B378" s="24">
        <f>IF('ORDENES'!$A356="","",IF('ORDENES'!$S356="","-",'ORDENES'!$S356))</f>
        <v/>
      </c>
      <c r="C378" s="24">
        <f>IF('ORDENES'!$A356="","",IF('ORDENES'!$AI356="","-",'ORDENES'!$AI356))</f>
        <v/>
      </c>
      <c r="D378" s="24">
        <f>IF('ORDENES'!$A356="","",IF('ORDENES'!$AA356="","-",'ORDENES'!$AA356))</f>
        <v/>
      </c>
      <c r="E378" s="24">
        <f>IF('ORDENES'!$A356="","",IF('ORDENES'!$Y356="","-",'ORDENES'!$Y356))</f>
        <v/>
      </c>
      <c r="F378" s="24">
        <f>IF('ORDENES'!$A356="","",IF('ORDENES'!$AB356="","-",'ORDENES'!$AB356))</f>
        <v/>
      </c>
      <c r="G378" s="24">
        <f>IF('ORDENES'!$A356="","",IF('ORDENES'!$Z356="","-",'ORDENES'!$Z356))</f>
        <v/>
      </c>
      <c r="H378" s="24">
        <f>IF('ORDENES'!$A356="","",IF('ORDENES'!$AH356="","-",'ORDENES'!$AH356))</f>
        <v/>
      </c>
      <c r="I378" s="24">
        <f>IF('ORDENES'!$A356="","",IF('ORDENES'!$AU356="","-",'ORDENES'!$AU356))</f>
        <v/>
      </c>
      <c r="J378" s="24">
        <f>IF('ORDENES'!$A356="","",IF('ORDENES'!$D356="","-",'ORDENES'!$D356))</f>
        <v/>
      </c>
      <c r="K378" s="24">
        <f>IF('ORDENES'!$A356="","",IF('ORDENES'!$E356="","-",'ORDENES'!$E356))</f>
        <v/>
      </c>
      <c r="L378" s="26">
        <f>IF('ORDENES'!$A356="","",IF('ORDENES'!$M356="",0,'ORDENES'!$M356))</f>
        <v/>
      </c>
      <c r="M378" s="24">
        <f>IF('ORDENES'!$A356="","",IF('ORDENES'!$N356="","-",'ORDENES'!$N356))</f>
        <v/>
      </c>
      <c r="N378" s="24">
        <f>IF('ORDENES'!$A356="","",'ORDENES'!$AG356)</f>
        <v/>
      </c>
    </row>
    <row r="379">
      <c r="A379" s="24">
        <f>IF('ORDENES'!$A357="","",IF('ORDENES'!$O357="","-",'ORDENES'!$O357))</f>
        <v/>
      </c>
      <c r="B379" s="24">
        <f>IF('ORDENES'!$A357="","",IF('ORDENES'!$S357="","-",'ORDENES'!$S357))</f>
        <v/>
      </c>
      <c r="C379" s="24">
        <f>IF('ORDENES'!$A357="","",IF('ORDENES'!$AI357="","-",'ORDENES'!$AI357))</f>
        <v/>
      </c>
      <c r="D379" s="24">
        <f>IF('ORDENES'!$A357="","",IF('ORDENES'!$AA357="","-",'ORDENES'!$AA357))</f>
        <v/>
      </c>
      <c r="E379" s="24">
        <f>IF('ORDENES'!$A357="","",IF('ORDENES'!$Y357="","-",'ORDENES'!$Y357))</f>
        <v/>
      </c>
      <c r="F379" s="24">
        <f>IF('ORDENES'!$A357="","",IF('ORDENES'!$AB357="","-",'ORDENES'!$AB357))</f>
        <v/>
      </c>
      <c r="G379" s="24">
        <f>IF('ORDENES'!$A357="","",IF('ORDENES'!$Z357="","-",'ORDENES'!$Z357))</f>
        <v/>
      </c>
      <c r="H379" s="24">
        <f>IF('ORDENES'!$A357="","",IF('ORDENES'!$AH357="","-",'ORDENES'!$AH357))</f>
        <v/>
      </c>
      <c r="I379" s="24">
        <f>IF('ORDENES'!$A357="","",IF('ORDENES'!$AU357="","-",'ORDENES'!$AU357))</f>
        <v/>
      </c>
      <c r="J379" s="24">
        <f>IF('ORDENES'!$A357="","",IF('ORDENES'!$D357="","-",'ORDENES'!$D357))</f>
        <v/>
      </c>
      <c r="K379" s="24">
        <f>IF('ORDENES'!$A357="","",IF('ORDENES'!$E357="","-",'ORDENES'!$E357))</f>
        <v/>
      </c>
      <c r="L379" s="26">
        <f>IF('ORDENES'!$A357="","",IF('ORDENES'!$M357="",0,'ORDENES'!$M357))</f>
        <v/>
      </c>
      <c r="M379" s="24">
        <f>IF('ORDENES'!$A357="","",IF('ORDENES'!$N357="","-",'ORDENES'!$N357))</f>
        <v/>
      </c>
      <c r="N379" s="24">
        <f>IF('ORDENES'!$A357="","",'ORDENES'!$AG357)</f>
        <v/>
      </c>
    </row>
    <row r="380">
      <c r="A380" s="24">
        <f>IF('ORDENES'!$A358="","",IF('ORDENES'!$O358="","-",'ORDENES'!$O358))</f>
        <v/>
      </c>
      <c r="B380" s="24">
        <f>IF('ORDENES'!$A358="","",IF('ORDENES'!$S358="","-",'ORDENES'!$S358))</f>
        <v/>
      </c>
      <c r="C380" s="24">
        <f>IF('ORDENES'!$A358="","",IF('ORDENES'!$AI358="","-",'ORDENES'!$AI358))</f>
        <v/>
      </c>
      <c r="D380" s="24">
        <f>IF('ORDENES'!$A358="","",IF('ORDENES'!$AA358="","-",'ORDENES'!$AA358))</f>
        <v/>
      </c>
      <c r="E380" s="24">
        <f>IF('ORDENES'!$A358="","",IF('ORDENES'!$Y358="","-",'ORDENES'!$Y358))</f>
        <v/>
      </c>
      <c r="F380" s="24">
        <f>IF('ORDENES'!$A358="","",IF('ORDENES'!$AB358="","-",'ORDENES'!$AB358))</f>
        <v/>
      </c>
      <c r="G380" s="24">
        <f>IF('ORDENES'!$A358="","",IF('ORDENES'!$Z358="","-",'ORDENES'!$Z358))</f>
        <v/>
      </c>
      <c r="H380" s="24">
        <f>IF('ORDENES'!$A358="","",IF('ORDENES'!$AH358="","-",'ORDENES'!$AH358))</f>
        <v/>
      </c>
      <c r="I380" s="24">
        <f>IF('ORDENES'!$A358="","",IF('ORDENES'!$AU358="","-",'ORDENES'!$AU358))</f>
        <v/>
      </c>
      <c r="J380" s="24">
        <f>IF('ORDENES'!$A358="","",IF('ORDENES'!$D358="","-",'ORDENES'!$D358))</f>
        <v/>
      </c>
      <c r="K380" s="24">
        <f>IF('ORDENES'!$A358="","",IF('ORDENES'!$E358="","-",'ORDENES'!$E358))</f>
        <v/>
      </c>
      <c r="L380" s="26">
        <f>IF('ORDENES'!$A358="","",IF('ORDENES'!$M358="",0,'ORDENES'!$M358))</f>
        <v/>
      </c>
      <c r="M380" s="24">
        <f>IF('ORDENES'!$A358="","",IF('ORDENES'!$N358="","-",'ORDENES'!$N358))</f>
        <v/>
      </c>
      <c r="N380" s="24">
        <f>IF('ORDENES'!$A358="","",'ORDENES'!$AG358)</f>
        <v/>
      </c>
    </row>
    <row r="381">
      <c r="A381" s="24">
        <f>IF('ORDENES'!$A359="","",IF('ORDENES'!$O359="","-",'ORDENES'!$O359))</f>
        <v/>
      </c>
      <c r="B381" s="24">
        <f>IF('ORDENES'!$A359="","",IF('ORDENES'!$S359="","-",'ORDENES'!$S359))</f>
        <v/>
      </c>
      <c r="C381" s="24">
        <f>IF('ORDENES'!$A359="","",IF('ORDENES'!$AI359="","-",'ORDENES'!$AI359))</f>
        <v/>
      </c>
      <c r="D381" s="24">
        <f>IF('ORDENES'!$A359="","",IF('ORDENES'!$AA359="","-",'ORDENES'!$AA359))</f>
        <v/>
      </c>
      <c r="E381" s="24">
        <f>IF('ORDENES'!$A359="","",IF('ORDENES'!$Y359="","-",'ORDENES'!$Y359))</f>
        <v/>
      </c>
      <c r="F381" s="24">
        <f>IF('ORDENES'!$A359="","",IF('ORDENES'!$AB359="","-",'ORDENES'!$AB359))</f>
        <v/>
      </c>
      <c r="G381" s="24">
        <f>IF('ORDENES'!$A359="","",IF('ORDENES'!$Z359="","-",'ORDENES'!$Z359))</f>
        <v/>
      </c>
      <c r="H381" s="24">
        <f>IF('ORDENES'!$A359="","",IF('ORDENES'!$AH359="","-",'ORDENES'!$AH359))</f>
        <v/>
      </c>
      <c r="I381" s="24">
        <f>IF('ORDENES'!$A359="","",IF('ORDENES'!$AU359="","-",'ORDENES'!$AU359))</f>
        <v/>
      </c>
      <c r="J381" s="24">
        <f>IF('ORDENES'!$A359="","",IF('ORDENES'!$D359="","-",'ORDENES'!$D359))</f>
        <v/>
      </c>
      <c r="K381" s="24">
        <f>IF('ORDENES'!$A359="","",IF('ORDENES'!$E359="","-",'ORDENES'!$E359))</f>
        <v/>
      </c>
      <c r="L381" s="26">
        <f>IF('ORDENES'!$A359="","",IF('ORDENES'!$M359="",0,'ORDENES'!$M359))</f>
        <v/>
      </c>
      <c r="M381" s="24">
        <f>IF('ORDENES'!$A359="","",IF('ORDENES'!$N359="","-",'ORDENES'!$N359))</f>
        <v/>
      </c>
      <c r="N381" s="24">
        <f>IF('ORDENES'!$A359="","",'ORDENES'!$AG359)</f>
        <v/>
      </c>
    </row>
    <row r="382">
      <c r="A382" s="24">
        <f>IF('ORDENES'!$A360="","",IF('ORDENES'!$O360="","-",'ORDENES'!$O360))</f>
        <v/>
      </c>
      <c r="B382" s="24">
        <f>IF('ORDENES'!$A360="","",IF('ORDENES'!$S360="","-",'ORDENES'!$S360))</f>
        <v/>
      </c>
      <c r="C382" s="24">
        <f>IF('ORDENES'!$A360="","",IF('ORDENES'!$AI360="","-",'ORDENES'!$AI360))</f>
        <v/>
      </c>
      <c r="D382" s="24">
        <f>IF('ORDENES'!$A360="","",IF('ORDENES'!$AA360="","-",'ORDENES'!$AA360))</f>
        <v/>
      </c>
      <c r="E382" s="24">
        <f>IF('ORDENES'!$A360="","",IF('ORDENES'!$Y360="","-",'ORDENES'!$Y360))</f>
        <v/>
      </c>
      <c r="F382" s="24">
        <f>IF('ORDENES'!$A360="","",IF('ORDENES'!$AB360="","-",'ORDENES'!$AB360))</f>
        <v/>
      </c>
      <c r="G382" s="24">
        <f>IF('ORDENES'!$A360="","",IF('ORDENES'!$Z360="","-",'ORDENES'!$Z360))</f>
        <v/>
      </c>
      <c r="H382" s="24">
        <f>IF('ORDENES'!$A360="","",IF('ORDENES'!$AH360="","-",'ORDENES'!$AH360))</f>
        <v/>
      </c>
      <c r="I382" s="24">
        <f>IF('ORDENES'!$A360="","",IF('ORDENES'!$AU360="","-",'ORDENES'!$AU360))</f>
        <v/>
      </c>
      <c r="J382" s="24">
        <f>IF('ORDENES'!$A360="","",IF('ORDENES'!$D360="","-",'ORDENES'!$D360))</f>
        <v/>
      </c>
      <c r="K382" s="24">
        <f>IF('ORDENES'!$A360="","",IF('ORDENES'!$E360="","-",'ORDENES'!$E360))</f>
        <v/>
      </c>
      <c r="L382" s="26">
        <f>IF('ORDENES'!$A360="","",IF('ORDENES'!$M360="",0,'ORDENES'!$M360))</f>
        <v/>
      </c>
      <c r="M382" s="24">
        <f>IF('ORDENES'!$A360="","",IF('ORDENES'!$N360="","-",'ORDENES'!$N360))</f>
        <v/>
      </c>
      <c r="N382" s="24">
        <f>IF('ORDENES'!$A360="","",'ORDENES'!$AG360)</f>
        <v/>
      </c>
    </row>
    <row r="383">
      <c r="A383" s="24">
        <f>IF('ORDENES'!$A361="","",IF('ORDENES'!$O361="","-",'ORDENES'!$O361))</f>
        <v/>
      </c>
      <c r="B383" s="24">
        <f>IF('ORDENES'!$A361="","",IF('ORDENES'!$S361="","-",'ORDENES'!$S361))</f>
        <v/>
      </c>
      <c r="C383" s="24">
        <f>IF('ORDENES'!$A361="","",IF('ORDENES'!$AI361="","-",'ORDENES'!$AI361))</f>
        <v/>
      </c>
      <c r="D383" s="24">
        <f>IF('ORDENES'!$A361="","",IF('ORDENES'!$AA361="","-",'ORDENES'!$AA361))</f>
        <v/>
      </c>
      <c r="E383" s="24">
        <f>IF('ORDENES'!$A361="","",IF('ORDENES'!$Y361="","-",'ORDENES'!$Y361))</f>
        <v/>
      </c>
      <c r="F383" s="24">
        <f>IF('ORDENES'!$A361="","",IF('ORDENES'!$AB361="","-",'ORDENES'!$AB361))</f>
        <v/>
      </c>
      <c r="G383" s="24">
        <f>IF('ORDENES'!$A361="","",IF('ORDENES'!$Z361="","-",'ORDENES'!$Z361))</f>
        <v/>
      </c>
      <c r="H383" s="24">
        <f>IF('ORDENES'!$A361="","",IF('ORDENES'!$AH361="","-",'ORDENES'!$AH361))</f>
        <v/>
      </c>
      <c r="I383" s="24">
        <f>IF('ORDENES'!$A361="","",IF('ORDENES'!$AU361="","-",'ORDENES'!$AU361))</f>
        <v/>
      </c>
      <c r="J383" s="24">
        <f>IF('ORDENES'!$A361="","",IF('ORDENES'!$D361="","-",'ORDENES'!$D361))</f>
        <v/>
      </c>
      <c r="K383" s="24">
        <f>IF('ORDENES'!$A361="","",IF('ORDENES'!$E361="","-",'ORDENES'!$E361))</f>
        <v/>
      </c>
      <c r="L383" s="26">
        <f>IF('ORDENES'!$A361="","",IF('ORDENES'!$M361="",0,'ORDENES'!$M361))</f>
        <v/>
      </c>
      <c r="M383" s="24">
        <f>IF('ORDENES'!$A361="","",IF('ORDENES'!$N361="","-",'ORDENES'!$N361))</f>
        <v/>
      </c>
      <c r="N383" s="24">
        <f>IF('ORDENES'!$A361="","",'ORDENES'!$AG361)</f>
        <v/>
      </c>
    </row>
    <row r="384">
      <c r="A384" s="24">
        <f>IF('ORDENES'!$A362="","",IF('ORDENES'!$O362="","-",'ORDENES'!$O362))</f>
        <v/>
      </c>
      <c r="B384" s="24">
        <f>IF('ORDENES'!$A362="","",IF('ORDENES'!$S362="","-",'ORDENES'!$S362))</f>
        <v/>
      </c>
      <c r="C384" s="24">
        <f>IF('ORDENES'!$A362="","",IF('ORDENES'!$AI362="","-",'ORDENES'!$AI362))</f>
        <v/>
      </c>
      <c r="D384" s="24">
        <f>IF('ORDENES'!$A362="","",IF('ORDENES'!$AA362="","-",'ORDENES'!$AA362))</f>
        <v/>
      </c>
      <c r="E384" s="24">
        <f>IF('ORDENES'!$A362="","",IF('ORDENES'!$Y362="","-",'ORDENES'!$Y362))</f>
        <v/>
      </c>
      <c r="F384" s="24">
        <f>IF('ORDENES'!$A362="","",IF('ORDENES'!$AB362="","-",'ORDENES'!$AB362))</f>
        <v/>
      </c>
      <c r="G384" s="24">
        <f>IF('ORDENES'!$A362="","",IF('ORDENES'!$Z362="","-",'ORDENES'!$Z362))</f>
        <v/>
      </c>
      <c r="H384" s="24">
        <f>IF('ORDENES'!$A362="","",IF('ORDENES'!$AH362="","-",'ORDENES'!$AH362))</f>
        <v/>
      </c>
      <c r="I384" s="24">
        <f>IF('ORDENES'!$A362="","",IF('ORDENES'!$AU362="","-",'ORDENES'!$AU362))</f>
        <v/>
      </c>
      <c r="J384" s="24">
        <f>IF('ORDENES'!$A362="","",IF('ORDENES'!$D362="","-",'ORDENES'!$D362))</f>
        <v/>
      </c>
      <c r="K384" s="24">
        <f>IF('ORDENES'!$A362="","",IF('ORDENES'!$E362="","-",'ORDENES'!$E362))</f>
        <v/>
      </c>
      <c r="L384" s="26">
        <f>IF('ORDENES'!$A362="","",IF('ORDENES'!$M362="",0,'ORDENES'!$M362))</f>
        <v/>
      </c>
      <c r="M384" s="24">
        <f>IF('ORDENES'!$A362="","",IF('ORDENES'!$N362="","-",'ORDENES'!$N362))</f>
        <v/>
      </c>
      <c r="N384" s="24">
        <f>IF('ORDENES'!$A362="","",'ORDENES'!$AG362)</f>
        <v/>
      </c>
    </row>
    <row r="385">
      <c r="A385" s="24">
        <f>IF('ORDENES'!$A363="","",IF('ORDENES'!$O363="","-",'ORDENES'!$O363))</f>
        <v/>
      </c>
      <c r="B385" s="24">
        <f>IF('ORDENES'!$A363="","",IF('ORDENES'!$S363="","-",'ORDENES'!$S363))</f>
        <v/>
      </c>
      <c r="C385" s="24">
        <f>IF('ORDENES'!$A363="","",IF('ORDENES'!$AI363="","-",'ORDENES'!$AI363))</f>
        <v/>
      </c>
      <c r="D385" s="24">
        <f>IF('ORDENES'!$A363="","",IF('ORDENES'!$AA363="","-",'ORDENES'!$AA363))</f>
        <v/>
      </c>
      <c r="E385" s="24">
        <f>IF('ORDENES'!$A363="","",IF('ORDENES'!$Y363="","-",'ORDENES'!$Y363))</f>
        <v/>
      </c>
      <c r="F385" s="24">
        <f>IF('ORDENES'!$A363="","",IF('ORDENES'!$AB363="","-",'ORDENES'!$AB363))</f>
        <v/>
      </c>
      <c r="G385" s="24">
        <f>IF('ORDENES'!$A363="","",IF('ORDENES'!$Z363="","-",'ORDENES'!$Z363))</f>
        <v/>
      </c>
      <c r="H385" s="24">
        <f>IF('ORDENES'!$A363="","",IF('ORDENES'!$AH363="","-",'ORDENES'!$AH363))</f>
        <v/>
      </c>
      <c r="I385" s="24">
        <f>IF('ORDENES'!$A363="","",IF('ORDENES'!$AU363="","-",'ORDENES'!$AU363))</f>
        <v/>
      </c>
      <c r="J385" s="24">
        <f>IF('ORDENES'!$A363="","",IF('ORDENES'!$D363="","-",'ORDENES'!$D363))</f>
        <v/>
      </c>
      <c r="K385" s="24">
        <f>IF('ORDENES'!$A363="","",IF('ORDENES'!$E363="","-",'ORDENES'!$E363))</f>
        <v/>
      </c>
      <c r="L385" s="26">
        <f>IF('ORDENES'!$A363="","",IF('ORDENES'!$M363="",0,'ORDENES'!$M363))</f>
        <v/>
      </c>
      <c r="M385" s="24">
        <f>IF('ORDENES'!$A363="","",IF('ORDENES'!$N363="","-",'ORDENES'!$N363))</f>
        <v/>
      </c>
      <c r="N385" s="24">
        <f>IF('ORDENES'!$A363="","",'ORDENES'!$AG363)</f>
        <v/>
      </c>
    </row>
    <row r="386">
      <c r="A386" s="24">
        <f>IF('ORDENES'!$A364="","",IF('ORDENES'!$O364="","-",'ORDENES'!$O364))</f>
        <v/>
      </c>
      <c r="B386" s="24">
        <f>IF('ORDENES'!$A364="","",IF('ORDENES'!$S364="","-",'ORDENES'!$S364))</f>
        <v/>
      </c>
      <c r="C386" s="24">
        <f>IF('ORDENES'!$A364="","",IF('ORDENES'!$AI364="","-",'ORDENES'!$AI364))</f>
        <v/>
      </c>
      <c r="D386" s="24">
        <f>IF('ORDENES'!$A364="","",IF('ORDENES'!$AA364="","-",'ORDENES'!$AA364))</f>
        <v/>
      </c>
      <c r="E386" s="24">
        <f>IF('ORDENES'!$A364="","",IF('ORDENES'!$Y364="","-",'ORDENES'!$Y364))</f>
        <v/>
      </c>
      <c r="F386" s="24">
        <f>IF('ORDENES'!$A364="","",IF('ORDENES'!$AB364="","-",'ORDENES'!$AB364))</f>
        <v/>
      </c>
      <c r="G386" s="24">
        <f>IF('ORDENES'!$A364="","",IF('ORDENES'!$Z364="","-",'ORDENES'!$Z364))</f>
        <v/>
      </c>
      <c r="H386" s="24">
        <f>IF('ORDENES'!$A364="","",IF('ORDENES'!$AH364="","-",'ORDENES'!$AH364))</f>
        <v/>
      </c>
      <c r="I386" s="24">
        <f>IF('ORDENES'!$A364="","",IF('ORDENES'!$AU364="","-",'ORDENES'!$AU364))</f>
        <v/>
      </c>
      <c r="J386" s="24">
        <f>IF('ORDENES'!$A364="","",IF('ORDENES'!$D364="","-",'ORDENES'!$D364))</f>
        <v/>
      </c>
      <c r="K386" s="24">
        <f>IF('ORDENES'!$A364="","",IF('ORDENES'!$E364="","-",'ORDENES'!$E364))</f>
        <v/>
      </c>
      <c r="L386" s="26">
        <f>IF('ORDENES'!$A364="","",IF('ORDENES'!$M364="",0,'ORDENES'!$M364))</f>
        <v/>
      </c>
      <c r="M386" s="24">
        <f>IF('ORDENES'!$A364="","",IF('ORDENES'!$N364="","-",'ORDENES'!$N364))</f>
        <v/>
      </c>
      <c r="N386" s="24">
        <f>IF('ORDENES'!$A364="","",'ORDENES'!$AG364)</f>
        <v/>
      </c>
    </row>
    <row r="387">
      <c r="A387" s="24">
        <f>IF('ORDENES'!$A365="","",IF('ORDENES'!$O365="","-",'ORDENES'!$O365))</f>
        <v/>
      </c>
      <c r="B387" s="24">
        <f>IF('ORDENES'!$A365="","",IF('ORDENES'!$S365="","-",'ORDENES'!$S365))</f>
        <v/>
      </c>
      <c r="C387" s="24">
        <f>IF('ORDENES'!$A365="","",IF('ORDENES'!$AI365="","-",'ORDENES'!$AI365))</f>
        <v/>
      </c>
      <c r="D387" s="24">
        <f>IF('ORDENES'!$A365="","",IF('ORDENES'!$AA365="","-",'ORDENES'!$AA365))</f>
        <v/>
      </c>
      <c r="E387" s="24">
        <f>IF('ORDENES'!$A365="","",IF('ORDENES'!$Y365="","-",'ORDENES'!$Y365))</f>
        <v/>
      </c>
      <c r="F387" s="24">
        <f>IF('ORDENES'!$A365="","",IF('ORDENES'!$AB365="","-",'ORDENES'!$AB365))</f>
        <v/>
      </c>
      <c r="G387" s="24">
        <f>IF('ORDENES'!$A365="","",IF('ORDENES'!$Z365="","-",'ORDENES'!$Z365))</f>
        <v/>
      </c>
      <c r="H387" s="24">
        <f>IF('ORDENES'!$A365="","",IF('ORDENES'!$AH365="","-",'ORDENES'!$AH365))</f>
        <v/>
      </c>
      <c r="I387" s="24">
        <f>IF('ORDENES'!$A365="","",IF('ORDENES'!$AU365="","-",'ORDENES'!$AU365))</f>
        <v/>
      </c>
      <c r="J387" s="24">
        <f>IF('ORDENES'!$A365="","",IF('ORDENES'!$D365="","-",'ORDENES'!$D365))</f>
        <v/>
      </c>
      <c r="K387" s="24">
        <f>IF('ORDENES'!$A365="","",IF('ORDENES'!$E365="","-",'ORDENES'!$E365))</f>
        <v/>
      </c>
      <c r="L387" s="26">
        <f>IF('ORDENES'!$A365="","",IF('ORDENES'!$M365="",0,'ORDENES'!$M365))</f>
        <v/>
      </c>
      <c r="M387" s="24">
        <f>IF('ORDENES'!$A365="","",IF('ORDENES'!$N365="","-",'ORDENES'!$N365))</f>
        <v/>
      </c>
      <c r="N387" s="24">
        <f>IF('ORDENES'!$A365="","",'ORDENES'!$AG365)</f>
        <v/>
      </c>
    </row>
    <row r="388">
      <c r="A388" s="24">
        <f>IF('ORDENES'!$A366="","",IF('ORDENES'!$O366="","-",'ORDENES'!$O366))</f>
        <v/>
      </c>
      <c r="B388" s="24">
        <f>IF('ORDENES'!$A366="","",IF('ORDENES'!$S366="","-",'ORDENES'!$S366))</f>
        <v/>
      </c>
      <c r="C388" s="24">
        <f>IF('ORDENES'!$A366="","",IF('ORDENES'!$AI366="","-",'ORDENES'!$AI366))</f>
        <v/>
      </c>
      <c r="D388" s="24">
        <f>IF('ORDENES'!$A366="","",IF('ORDENES'!$AA366="","-",'ORDENES'!$AA366))</f>
        <v/>
      </c>
      <c r="E388" s="24">
        <f>IF('ORDENES'!$A366="","",IF('ORDENES'!$Y366="","-",'ORDENES'!$Y366))</f>
        <v/>
      </c>
      <c r="F388" s="24">
        <f>IF('ORDENES'!$A366="","",IF('ORDENES'!$AB366="","-",'ORDENES'!$AB366))</f>
        <v/>
      </c>
      <c r="G388" s="24">
        <f>IF('ORDENES'!$A366="","",IF('ORDENES'!$Z366="","-",'ORDENES'!$Z366))</f>
        <v/>
      </c>
      <c r="H388" s="24">
        <f>IF('ORDENES'!$A366="","",IF('ORDENES'!$AH366="","-",'ORDENES'!$AH366))</f>
        <v/>
      </c>
      <c r="I388" s="24">
        <f>IF('ORDENES'!$A366="","",IF('ORDENES'!$AU366="","-",'ORDENES'!$AU366))</f>
        <v/>
      </c>
      <c r="J388" s="24">
        <f>IF('ORDENES'!$A366="","",IF('ORDENES'!$D366="","-",'ORDENES'!$D366))</f>
        <v/>
      </c>
      <c r="K388" s="24">
        <f>IF('ORDENES'!$A366="","",IF('ORDENES'!$E366="","-",'ORDENES'!$E366))</f>
        <v/>
      </c>
      <c r="L388" s="26">
        <f>IF('ORDENES'!$A366="","",IF('ORDENES'!$M366="",0,'ORDENES'!$M366))</f>
        <v/>
      </c>
      <c r="M388" s="24">
        <f>IF('ORDENES'!$A366="","",IF('ORDENES'!$N366="","-",'ORDENES'!$N366))</f>
        <v/>
      </c>
      <c r="N388" s="24">
        <f>IF('ORDENES'!$A366="","",'ORDENES'!$AG366)</f>
        <v/>
      </c>
    </row>
    <row r="389">
      <c r="A389" s="24">
        <f>IF('ORDENES'!$A367="","",IF('ORDENES'!$O367="","-",'ORDENES'!$O367))</f>
        <v/>
      </c>
      <c r="B389" s="24">
        <f>IF('ORDENES'!$A367="","",IF('ORDENES'!$S367="","-",'ORDENES'!$S367))</f>
        <v/>
      </c>
      <c r="C389" s="24">
        <f>IF('ORDENES'!$A367="","",IF('ORDENES'!$AI367="","-",'ORDENES'!$AI367))</f>
        <v/>
      </c>
      <c r="D389" s="24">
        <f>IF('ORDENES'!$A367="","",IF('ORDENES'!$AA367="","-",'ORDENES'!$AA367))</f>
        <v/>
      </c>
      <c r="E389" s="24">
        <f>IF('ORDENES'!$A367="","",IF('ORDENES'!$Y367="","-",'ORDENES'!$Y367))</f>
        <v/>
      </c>
      <c r="F389" s="24">
        <f>IF('ORDENES'!$A367="","",IF('ORDENES'!$AB367="","-",'ORDENES'!$AB367))</f>
        <v/>
      </c>
      <c r="G389" s="24">
        <f>IF('ORDENES'!$A367="","",IF('ORDENES'!$Z367="","-",'ORDENES'!$Z367))</f>
        <v/>
      </c>
      <c r="H389" s="24">
        <f>IF('ORDENES'!$A367="","",IF('ORDENES'!$AH367="","-",'ORDENES'!$AH367))</f>
        <v/>
      </c>
      <c r="I389" s="24">
        <f>IF('ORDENES'!$A367="","",IF('ORDENES'!$AU367="","-",'ORDENES'!$AU367))</f>
        <v/>
      </c>
      <c r="J389" s="24">
        <f>IF('ORDENES'!$A367="","",IF('ORDENES'!$D367="","-",'ORDENES'!$D367))</f>
        <v/>
      </c>
      <c r="K389" s="24">
        <f>IF('ORDENES'!$A367="","",IF('ORDENES'!$E367="","-",'ORDENES'!$E367))</f>
        <v/>
      </c>
      <c r="L389" s="26">
        <f>IF('ORDENES'!$A367="","",IF('ORDENES'!$M367="",0,'ORDENES'!$M367))</f>
        <v/>
      </c>
      <c r="M389" s="24">
        <f>IF('ORDENES'!$A367="","",IF('ORDENES'!$N367="","-",'ORDENES'!$N367))</f>
        <v/>
      </c>
      <c r="N389" s="24">
        <f>IF('ORDENES'!$A367="","",'ORDENES'!$AG367)</f>
        <v/>
      </c>
    </row>
    <row r="390">
      <c r="A390" s="24">
        <f>IF('ORDENES'!$A368="","",IF('ORDENES'!$O368="","-",'ORDENES'!$O368))</f>
        <v/>
      </c>
      <c r="B390" s="24">
        <f>IF('ORDENES'!$A368="","",IF('ORDENES'!$S368="","-",'ORDENES'!$S368))</f>
        <v/>
      </c>
      <c r="C390" s="24">
        <f>IF('ORDENES'!$A368="","",IF('ORDENES'!$AI368="","-",'ORDENES'!$AI368))</f>
        <v/>
      </c>
      <c r="D390" s="24">
        <f>IF('ORDENES'!$A368="","",IF('ORDENES'!$AA368="","-",'ORDENES'!$AA368))</f>
        <v/>
      </c>
      <c r="E390" s="24">
        <f>IF('ORDENES'!$A368="","",IF('ORDENES'!$Y368="","-",'ORDENES'!$Y368))</f>
        <v/>
      </c>
      <c r="F390" s="24">
        <f>IF('ORDENES'!$A368="","",IF('ORDENES'!$AB368="","-",'ORDENES'!$AB368))</f>
        <v/>
      </c>
      <c r="G390" s="24">
        <f>IF('ORDENES'!$A368="","",IF('ORDENES'!$Z368="","-",'ORDENES'!$Z368))</f>
        <v/>
      </c>
      <c r="H390" s="24">
        <f>IF('ORDENES'!$A368="","",IF('ORDENES'!$AH368="","-",'ORDENES'!$AH368))</f>
        <v/>
      </c>
      <c r="I390" s="24">
        <f>IF('ORDENES'!$A368="","",IF('ORDENES'!$AU368="","-",'ORDENES'!$AU368))</f>
        <v/>
      </c>
      <c r="J390" s="24">
        <f>IF('ORDENES'!$A368="","",IF('ORDENES'!$D368="","-",'ORDENES'!$D368))</f>
        <v/>
      </c>
      <c r="K390" s="24">
        <f>IF('ORDENES'!$A368="","",IF('ORDENES'!$E368="","-",'ORDENES'!$E368))</f>
        <v/>
      </c>
      <c r="L390" s="26">
        <f>IF('ORDENES'!$A368="","",IF('ORDENES'!$M368="",0,'ORDENES'!$M368))</f>
        <v/>
      </c>
      <c r="M390" s="24">
        <f>IF('ORDENES'!$A368="","",IF('ORDENES'!$N368="","-",'ORDENES'!$N368))</f>
        <v/>
      </c>
      <c r="N390" s="24">
        <f>IF('ORDENES'!$A368="","",'ORDENES'!$AG368)</f>
        <v/>
      </c>
    </row>
    <row r="391">
      <c r="A391" s="24">
        <f>IF('ORDENES'!$A369="","",IF('ORDENES'!$O369="","-",'ORDENES'!$O369))</f>
        <v/>
      </c>
      <c r="B391" s="24">
        <f>IF('ORDENES'!$A369="","",IF('ORDENES'!$S369="","-",'ORDENES'!$S369))</f>
        <v/>
      </c>
      <c r="C391" s="24">
        <f>IF('ORDENES'!$A369="","",IF('ORDENES'!$AI369="","-",'ORDENES'!$AI369))</f>
        <v/>
      </c>
      <c r="D391" s="24">
        <f>IF('ORDENES'!$A369="","",IF('ORDENES'!$AA369="","-",'ORDENES'!$AA369))</f>
        <v/>
      </c>
      <c r="E391" s="24">
        <f>IF('ORDENES'!$A369="","",IF('ORDENES'!$Y369="","-",'ORDENES'!$Y369))</f>
        <v/>
      </c>
      <c r="F391" s="24">
        <f>IF('ORDENES'!$A369="","",IF('ORDENES'!$AB369="","-",'ORDENES'!$AB369))</f>
        <v/>
      </c>
      <c r="G391" s="24">
        <f>IF('ORDENES'!$A369="","",IF('ORDENES'!$Z369="","-",'ORDENES'!$Z369))</f>
        <v/>
      </c>
      <c r="H391" s="24">
        <f>IF('ORDENES'!$A369="","",IF('ORDENES'!$AH369="","-",'ORDENES'!$AH369))</f>
        <v/>
      </c>
      <c r="I391" s="24">
        <f>IF('ORDENES'!$A369="","",IF('ORDENES'!$AU369="","-",'ORDENES'!$AU369))</f>
        <v/>
      </c>
      <c r="J391" s="24">
        <f>IF('ORDENES'!$A369="","",IF('ORDENES'!$D369="","-",'ORDENES'!$D369))</f>
        <v/>
      </c>
      <c r="K391" s="24">
        <f>IF('ORDENES'!$A369="","",IF('ORDENES'!$E369="","-",'ORDENES'!$E369))</f>
        <v/>
      </c>
      <c r="L391" s="26">
        <f>IF('ORDENES'!$A369="","",IF('ORDENES'!$M369="",0,'ORDENES'!$M369))</f>
        <v/>
      </c>
      <c r="M391" s="24">
        <f>IF('ORDENES'!$A369="","",IF('ORDENES'!$N369="","-",'ORDENES'!$N369))</f>
        <v/>
      </c>
      <c r="N391" s="24">
        <f>IF('ORDENES'!$A369="","",'ORDENES'!$AG369)</f>
        <v/>
      </c>
    </row>
    <row r="392">
      <c r="A392" s="24">
        <f>IF('ORDENES'!$A370="","",IF('ORDENES'!$O370="","-",'ORDENES'!$O370))</f>
        <v/>
      </c>
      <c r="B392" s="24">
        <f>IF('ORDENES'!$A370="","",IF('ORDENES'!$S370="","-",'ORDENES'!$S370))</f>
        <v/>
      </c>
      <c r="C392" s="24">
        <f>IF('ORDENES'!$A370="","",IF('ORDENES'!$AI370="","-",'ORDENES'!$AI370))</f>
        <v/>
      </c>
      <c r="D392" s="24">
        <f>IF('ORDENES'!$A370="","",IF('ORDENES'!$AA370="","-",'ORDENES'!$AA370))</f>
        <v/>
      </c>
      <c r="E392" s="24">
        <f>IF('ORDENES'!$A370="","",IF('ORDENES'!$Y370="","-",'ORDENES'!$Y370))</f>
        <v/>
      </c>
      <c r="F392" s="24">
        <f>IF('ORDENES'!$A370="","",IF('ORDENES'!$AB370="","-",'ORDENES'!$AB370))</f>
        <v/>
      </c>
      <c r="G392" s="24">
        <f>IF('ORDENES'!$A370="","",IF('ORDENES'!$Z370="","-",'ORDENES'!$Z370))</f>
        <v/>
      </c>
      <c r="H392" s="24">
        <f>IF('ORDENES'!$A370="","",IF('ORDENES'!$AH370="","-",'ORDENES'!$AH370))</f>
        <v/>
      </c>
      <c r="I392" s="24">
        <f>IF('ORDENES'!$A370="","",IF('ORDENES'!$AU370="","-",'ORDENES'!$AU370))</f>
        <v/>
      </c>
      <c r="J392" s="24">
        <f>IF('ORDENES'!$A370="","",IF('ORDENES'!$D370="","-",'ORDENES'!$D370))</f>
        <v/>
      </c>
      <c r="K392" s="24">
        <f>IF('ORDENES'!$A370="","",IF('ORDENES'!$E370="","-",'ORDENES'!$E370))</f>
        <v/>
      </c>
      <c r="L392" s="26">
        <f>IF('ORDENES'!$A370="","",IF('ORDENES'!$M370="",0,'ORDENES'!$M370))</f>
        <v/>
      </c>
      <c r="M392" s="24">
        <f>IF('ORDENES'!$A370="","",IF('ORDENES'!$N370="","-",'ORDENES'!$N370))</f>
        <v/>
      </c>
      <c r="N392" s="24">
        <f>IF('ORDENES'!$A370="","",'ORDENES'!$AG370)</f>
        <v/>
      </c>
    </row>
    <row r="393">
      <c r="A393" s="24">
        <f>IF('ORDENES'!$A371="","",IF('ORDENES'!$O371="","-",'ORDENES'!$O371))</f>
        <v/>
      </c>
      <c r="B393" s="24">
        <f>IF('ORDENES'!$A371="","",IF('ORDENES'!$S371="","-",'ORDENES'!$S371))</f>
        <v/>
      </c>
      <c r="C393" s="24">
        <f>IF('ORDENES'!$A371="","",IF('ORDENES'!$AI371="","-",'ORDENES'!$AI371))</f>
        <v/>
      </c>
      <c r="D393" s="24">
        <f>IF('ORDENES'!$A371="","",IF('ORDENES'!$AA371="","-",'ORDENES'!$AA371))</f>
        <v/>
      </c>
      <c r="E393" s="24">
        <f>IF('ORDENES'!$A371="","",IF('ORDENES'!$Y371="","-",'ORDENES'!$Y371))</f>
        <v/>
      </c>
      <c r="F393" s="24">
        <f>IF('ORDENES'!$A371="","",IF('ORDENES'!$AB371="","-",'ORDENES'!$AB371))</f>
        <v/>
      </c>
      <c r="G393" s="24">
        <f>IF('ORDENES'!$A371="","",IF('ORDENES'!$Z371="","-",'ORDENES'!$Z371))</f>
        <v/>
      </c>
      <c r="H393" s="24">
        <f>IF('ORDENES'!$A371="","",IF('ORDENES'!$AH371="","-",'ORDENES'!$AH371))</f>
        <v/>
      </c>
      <c r="I393" s="24">
        <f>IF('ORDENES'!$A371="","",IF('ORDENES'!$AU371="","-",'ORDENES'!$AU371))</f>
        <v/>
      </c>
      <c r="J393" s="24">
        <f>IF('ORDENES'!$A371="","",IF('ORDENES'!$D371="","-",'ORDENES'!$D371))</f>
        <v/>
      </c>
      <c r="K393" s="24">
        <f>IF('ORDENES'!$A371="","",IF('ORDENES'!$E371="","-",'ORDENES'!$E371))</f>
        <v/>
      </c>
      <c r="L393" s="26">
        <f>IF('ORDENES'!$A371="","",IF('ORDENES'!$M371="",0,'ORDENES'!$M371))</f>
        <v/>
      </c>
      <c r="M393" s="24">
        <f>IF('ORDENES'!$A371="","",IF('ORDENES'!$N371="","-",'ORDENES'!$N371))</f>
        <v/>
      </c>
      <c r="N393" s="24">
        <f>IF('ORDENES'!$A371="","",'ORDENES'!$AG371)</f>
        <v/>
      </c>
    </row>
    <row r="394">
      <c r="A394" s="24">
        <f>IF('ORDENES'!$A372="","",IF('ORDENES'!$O372="","-",'ORDENES'!$O372))</f>
        <v/>
      </c>
      <c r="B394" s="24">
        <f>IF('ORDENES'!$A372="","",IF('ORDENES'!$S372="","-",'ORDENES'!$S372))</f>
        <v/>
      </c>
      <c r="C394" s="24">
        <f>IF('ORDENES'!$A372="","",IF('ORDENES'!$AI372="","-",'ORDENES'!$AI372))</f>
        <v/>
      </c>
      <c r="D394" s="24">
        <f>IF('ORDENES'!$A372="","",IF('ORDENES'!$AA372="","-",'ORDENES'!$AA372))</f>
        <v/>
      </c>
      <c r="E394" s="24">
        <f>IF('ORDENES'!$A372="","",IF('ORDENES'!$Y372="","-",'ORDENES'!$Y372))</f>
        <v/>
      </c>
      <c r="F394" s="24">
        <f>IF('ORDENES'!$A372="","",IF('ORDENES'!$AB372="","-",'ORDENES'!$AB372))</f>
        <v/>
      </c>
      <c r="G394" s="24">
        <f>IF('ORDENES'!$A372="","",IF('ORDENES'!$Z372="","-",'ORDENES'!$Z372))</f>
        <v/>
      </c>
      <c r="H394" s="24">
        <f>IF('ORDENES'!$A372="","",IF('ORDENES'!$AH372="","-",'ORDENES'!$AH372))</f>
        <v/>
      </c>
      <c r="I394" s="24">
        <f>IF('ORDENES'!$A372="","",IF('ORDENES'!$AU372="","-",'ORDENES'!$AU372))</f>
        <v/>
      </c>
      <c r="J394" s="24">
        <f>IF('ORDENES'!$A372="","",IF('ORDENES'!$D372="","-",'ORDENES'!$D372))</f>
        <v/>
      </c>
      <c r="K394" s="24">
        <f>IF('ORDENES'!$A372="","",IF('ORDENES'!$E372="","-",'ORDENES'!$E372))</f>
        <v/>
      </c>
      <c r="L394" s="26">
        <f>IF('ORDENES'!$A372="","",IF('ORDENES'!$M372="",0,'ORDENES'!$M372))</f>
        <v/>
      </c>
      <c r="M394" s="24">
        <f>IF('ORDENES'!$A372="","",IF('ORDENES'!$N372="","-",'ORDENES'!$N372))</f>
        <v/>
      </c>
      <c r="N394" s="24">
        <f>IF('ORDENES'!$A372="","",'ORDENES'!$AG372)</f>
        <v/>
      </c>
    </row>
    <row r="395">
      <c r="A395" s="24">
        <f>IF('ORDENES'!$A373="","",IF('ORDENES'!$O373="","-",'ORDENES'!$O373))</f>
        <v/>
      </c>
      <c r="B395" s="24">
        <f>IF('ORDENES'!$A373="","",IF('ORDENES'!$S373="","-",'ORDENES'!$S373))</f>
        <v/>
      </c>
      <c r="C395" s="24">
        <f>IF('ORDENES'!$A373="","",IF('ORDENES'!$AI373="","-",'ORDENES'!$AI373))</f>
        <v/>
      </c>
      <c r="D395" s="24">
        <f>IF('ORDENES'!$A373="","",IF('ORDENES'!$AA373="","-",'ORDENES'!$AA373))</f>
        <v/>
      </c>
      <c r="E395" s="24">
        <f>IF('ORDENES'!$A373="","",IF('ORDENES'!$Y373="","-",'ORDENES'!$Y373))</f>
        <v/>
      </c>
      <c r="F395" s="24">
        <f>IF('ORDENES'!$A373="","",IF('ORDENES'!$AB373="","-",'ORDENES'!$AB373))</f>
        <v/>
      </c>
      <c r="G395" s="24">
        <f>IF('ORDENES'!$A373="","",IF('ORDENES'!$Z373="","-",'ORDENES'!$Z373))</f>
        <v/>
      </c>
      <c r="H395" s="24">
        <f>IF('ORDENES'!$A373="","",IF('ORDENES'!$AH373="","-",'ORDENES'!$AH373))</f>
        <v/>
      </c>
      <c r="I395" s="24">
        <f>IF('ORDENES'!$A373="","",IF('ORDENES'!$AU373="","-",'ORDENES'!$AU373))</f>
        <v/>
      </c>
      <c r="J395" s="24">
        <f>IF('ORDENES'!$A373="","",IF('ORDENES'!$D373="","-",'ORDENES'!$D373))</f>
        <v/>
      </c>
      <c r="K395" s="24">
        <f>IF('ORDENES'!$A373="","",IF('ORDENES'!$E373="","-",'ORDENES'!$E373))</f>
        <v/>
      </c>
      <c r="L395" s="26">
        <f>IF('ORDENES'!$A373="","",IF('ORDENES'!$M373="",0,'ORDENES'!$M373))</f>
        <v/>
      </c>
      <c r="M395" s="24">
        <f>IF('ORDENES'!$A373="","",IF('ORDENES'!$N373="","-",'ORDENES'!$N373))</f>
        <v/>
      </c>
      <c r="N395" s="24">
        <f>IF('ORDENES'!$A373="","",'ORDENES'!$AG373)</f>
        <v/>
      </c>
    </row>
    <row r="396">
      <c r="A396" s="24">
        <f>IF('ORDENES'!$A374="","",IF('ORDENES'!$O374="","-",'ORDENES'!$O374))</f>
        <v/>
      </c>
      <c r="B396" s="24">
        <f>IF('ORDENES'!$A374="","",IF('ORDENES'!$S374="","-",'ORDENES'!$S374))</f>
        <v/>
      </c>
      <c r="C396" s="24">
        <f>IF('ORDENES'!$A374="","",IF('ORDENES'!$AI374="","-",'ORDENES'!$AI374))</f>
        <v/>
      </c>
      <c r="D396" s="24">
        <f>IF('ORDENES'!$A374="","",IF('ORDENES'!$AA374="","-",'ORDENES'!$AA374))</f>
        <v/>
      </c>
      <c r="E396" s="24">
        <f>IF('ORDENES'!$A374="","",IF('ORDENES'!$Y374="","-",'ORDENES'!$Y374))</f>
        <v/>
      </c>
      <c r="F396" s="24">
        <f>IF('ORDENES'!$A374="","",IF('ORDENES'!$AB374="","-",'ORDENES'!$AB374))</f>
        <v/>
      </c>
      <c r="G396" s="24">
        <f>IF('ORDENES'!$A374="","",IF('ORDENES'!$Z374="","-",'ORDENES'!$Z374))</f>
        <v/>
      </c>
      <c r="H396" s="24">
        <f>IF('ORDENES'!$A374="","",IF('ORDENES'!$AH374="","-",'ORDENES'!$AH374))</f>
        <v/>
      </c>
      <c r="I396" s="24">
        <f>IF('ORDENES'!$A374="","",IF('ORDENES'!$AU374="","-",'ORDENES'!$AU374))</f>
        <v/>
      </c>
      <c r="J396" s="24">
        <f>IF('ORDENES'!$A374="","",IF('ORDENES'!$D374="","-",'ORDENES'!$D374))</f>
        <v/>
      </c>
      <c r="K396" s="24">
        <f>IF('ORDENES'!$A374="","",IF('ORDENES'!$E374="","-",'ORDENES'!$E374))</f>
        <v/>
      </c>
      <c r="L396" s="26">
        <f>IF('ORDENES'!$A374="","",IF('ORDENES'!$M374="",0,'ORDENES'!$M374))</f>
        <v/>
      </c>
      <c r="M396" s="24">
        <f>IF('ORDENES'!$A374="","",IF('ORDENES'!$N374="","-",'ORDENES'!$N374))</f>
        <v/>
      </c>
      <c r="N396" s="24">
        <f>IF('ORDENES'!$A374="","",'ORDENES'!$AG374)</f>
        <v/>
      </c>
    </row>
    <row r="397">
      <c r="A397" s="24">
        <f>IF('ORDENES'!$A375="","",IF('ORDENES'!$O375="","-",'ORDENES'!$O375))</f>
        <v/>
      </c>
      <c r="B397" s="24">
        <f>IF('ORDENES'!$A375="","",IF('ORDENES'!$S375="","-",'ORDENES'!$S375))</f>
        <v/>
      </c>
      <c r="C397" s="24">
        <f>IF('ORDENES'!$A375="","",IF('ORDENES'!$AI375="","-",'ORDENES'!$AI375))</f>
        <v/>
      </c>
      <c r="D397" s="24">
        <f>IF('ORDENES'!$A375="","",IF('ORDENES'!$AA375="","-",'ORDENES'!$AA375))</f>
        <v/>
      </c>
      <c r="E397" s="24">
        <f>IF('ORDENES'!$A375="","",IF('ORDENES'!$Y375="","-",'ORDENES'!$Y375))</f>
        <v/>
      </c>
      <c r="F397" s="24">
        <f>IF('ORDENES'!$A375="","",IF('ORDENES'!$AB375="","-",'ORDENES'!$AB375))</f>
        <v/>
      </c>
      <c r="G397" s="24">
        <f>IF('ORDENES'!$A375="","",IF('ORDENES'!$Z375="","-",'ORDENES'!$Z375))</f>
        <v/>
      </c>
      <c r="H397" s="24">
        <f>IF('ORDENES'!$A375="","",IF('ORDENES'!$AH375="","-",'ORDENES'!$AH375))</f>
        <v/>
      </c>
      <c r="I397" s="24">
        <f>IF('ORDENES'!$A375="","",IF('ORDENES'!$AU375="","-",'ORDENES'!$AU375))</f>
        <v/>
      </c>
      <c r="J397" s="24">
        <f>IF('ORDENES'!$A375="","",IF('ORDENES'!$D375="","-",'ORDENES'!$D375))</f>
        <v/>
      </c>
      <c r="K397" s="24">
        <f>IF('ORDENES'!$A375="","",IF('ORDENES'!$E375="","-",'ORDENES'!$E375))</f>
        <v/>
      </c>
      <c r="L397" s="26">
        <f>IF('ORDENES'!$A375="","",IF('ORDENES'!$M375="",0,'ORDENES'!$M375))</f>
        <v/>
      </c>
      <c r="M397" s="24">
        <f>IF('ORDENES'!$A375="","",IF('ORDENES'!$N375="","-",'ORDENES'!$N375))</f>
        <v/>
      </c>
      <c r="N397" s="24">
        <f>IF('ORDENES'!$A375="","",'ORDENES'!$AG375)</f>
        <v/>
      </c>
    </row>
    <row r="398">
      <c r="A398" s="24">
        <f>IF('ORDENES'!$A376="","",IF('ORDENES'!$O376="","-",'ORDENES'!$O376))</f>
        <v/>
      </c>
      <c r="B398" s="24">
        <f>IF('ORDENES'!$A376="","",IF('ORDENES'!$S376="","-",'ORDENES'!$S376))</f>
        <v/>
      </c>
      <c r="C398" s="24">
        <f>IF('ORDENES'!$A376="","",IF('ORDENES'!$AI376="","-",'ORDENES'!$AI376))</f>
        <v/>
      </c>
      <c r="D398" s="24">
        <f>IF('ORDENES'!$A376="","",IF('ORDENES'!$AA376="","-",'ORDENES'!$AA376))</f>
        <v/>
      </c>
      <c r="E398" s="24">
        <f>IF('ORDENES'!$A376="","",IF('ORDENES'!$Y376="","-",'ORDENES'!$Y376))</f>
        <v/>
      </c>
      <c r="F398" s="24">
        <f>IF('ORDENES'!$A376="","",IF('ORDENES'!$AB376="","-",'ORDENES'!$AB376))</f>
        <v/>
      </c>
      <c r="G398" s="24">
        <f>IF('ORDENES'!$A376="","",IF('ORDENES'!$Z376="","-",'ORDENES'!$Z376))</f>
        <v/>
      </c>
      <c r="H398" s="24">
        <f>IF('ORDENES'!$A376="","",IF('ORDENES'!$AH376="","-",'ORDENES'!$AH376))</f>
        <v/>
      </c>
      <c r="I398" s="24">
        <f>IF('ORDENES'!$A376="","",IF('ORDENES'!$AU376="","-",'ORDENES'!$AU376))</f>
        <v/>
      </c>
      <c r="J398" s="24">
        <f>IF('ORDENES'!$A376="","",IF('ORDENES'!$D376="","-",'ORDENES'!$D376))</f>
        <v/>
      </c>
      <c r="K398" s="24">
        <f>IF('ORDENES'!$A376="","",IF('ORDENES'!$E376="","-",'ORDENES'!$E376))</f>
        <v/>
      </c>
      <c r="L398" s="26">
        <f>IF('ORDENES'!$A376="","",IF('ORDENES'!$M376="",0,'ORDENES'!$M376))</f>
        <v/>
      </c>
      <c r="M398" s="24">
        <f>IF('ORDENES'!$A376="","",IF('ORDENES'!$N376="","-",'ORDENES'!$N376))</f>
        <v/>
      </c>
      <c r="N398" s="24">
        <f>IF('ORDENES'!$A376="","",'ORDENES'!$AG376)</f>
        <v/>
      </c>
    </row>
    <row r="399">
      <c r="A399" s="24">
        <f>IF('ORDENES'!$A377="","",IF('ORDENES'!$O377="","-",'ORDENES'!$O377))</f>
        <v/>
      </c>
      <c r="B399" s="24">
        <f>IF('ORDENES'!$A377="","",IF('ORDENES'!$S377="","-",'ORDENES'!$S377))</f>
        <v/>
      </c>
      <c r="C399" s="24">
        <f>IF('ORDENES'!$A377="","",IF('ORDENES'!$AI377="","-",'ORDENES'!$AI377))</f>
        <v/>
      </c>
      <c r="D399" s="24">
        <f>IF('ORDENES'!$A377="","",IF('ORDENES'!$AA377="","-",'ORDENES'!$AA377))</f>
        <v/>
      </c>
      <c r="E399" s="24">
        <f>IF('ORDENES'!$A377="","",IF('ORDENES'!$Y377="","-",'ORDENES'!$Y377))</f>
        <v/>
      </c>
      <c r="F399" s="24">
        <f>IF('ORDENES'!$A377="","",IF('ORDENES'!$AB377="","-",'ORDENES'!$AB377))</f>
        <v/>
      </c>
      <c r="G399" s="24">
        <f>IF('ORDENES'!$A377="","",IF('ORDENES'!$Z377="","-",'ORDENES'!$Z377))</f>
        <v/>
      </c>
      <c r="H399" s="24">
        <f>IF('ORDENES'!$A377="","",IF('ORDENES'!$AH377="","-",'ORDENES'!$AH377))</f>
        <v/>
      </c>
      <c r="I399" s="24">
        <f>IF('ORDENES'!$A377="","",IF('ORDENES'!$AU377="","-",'ORDENES'!$AU377))</f>
        <v/>
      </c>
      <c r="J399" s="24">
        <f>IF('ORDENES'!$A377="","",IF('ORDENES'!$D377="","-",'ORDENES'!$D377))</f>
        <v/>
      </c>
      <c r="K399" s="24">
        <f>IF('ORDENES'!$A377="","",IF('ORDENES'!$E377="","-",'ORDENES'!$E377))</f>
        <v/>
      </c>
      <c r="L399" s="26">
        <f>IF('ORDENES'!$A377="","",IF('ORDENES'!$M377="",0,'ORDENES'!$M377))</f>
        <v/>
      </c>
      <c r="M399" s="24">
        <f>IF('ORDENES'!$A377="","",IF('ORDENES'!$N377="","-",'ORDENES'!$N377))</f>
        <v/>
      </c>
      <c r="N399" s="24">
        <f>IF('ORDENES'!$A377="","",'ORDENES'!$AG377)</f>
        <v/>
      </c>
    </row>
    <row r="400">
      <c r="A400" s="24">
        <f>IF('ORDENES'!$A378="","",IF('ORDENES'!$O378="","-",'ORDENES'!$O378))</f>
        <v/>
      </c>
      <c r="B400" s="24">
        <f>IF('ORDENES'!$A378="","",IF('ORDENES'!$S378="","-",'ORDENES'!$S378))</f>
        <v/>
      </c>
      <c r="C400" s="24">
        <f>IF('ORDENES'!$A378="","",IF('ORDENES'!$AI378="","-",'ORDENES'!$AI378))</f>
        <v/>
      </c>
      <c r="D400" s="24">
        <f>IF('ORDENES'!$A378="","",IF('ORDENES'!$AA378="","-",'ORDENES'!$AA378))</f>
        <v/>
      </c>
      <c r="E400" s="24">
        <f>IF('ORDENES'!$A378="","",IF('ORDENES'!$Y378="","-",'ORDENES'!$Y378))</f>
        <v/>
      </c>
      <c r="F400" s="24">
        <f>IF('ORDENES'!$A378="","",IF('ORDENES'!$AB378="","-",'ORDENES'!$AB378))</f>
        <v/>
      </c>
      <c r="G400" s="24">
        <f>IF('ORDENES'!$A378="","",IF('ORDENES'!$Z378="","-",'ORDENES'!$Z378))</f>
        <v/>
      </c>
      <c r="H400" s="24">
        <f>IF('ORDENES'!$A378="","",IF('ORDENES'!$AH378="","-",'ORDENES'!$AH378))</f>
        <v/>
      </c>
      <c r="I400" s="24">
        <f>IF('ORDENES'!$A378="","",IF('ORDENES'!$AU378="","-",'ORDENES'!$AU378))</f>
        <v/>
      </c>
      <c r="J400" s="24">
        <f>IF('ORDENES'!$A378="","",IF('ORDENES'!$D378="","-",'ORDENES'!$D378))</f>
        <v/>
      </c>
      <c r="K400" s="24">
        <f>IF('ORDENES'!$A378="","",IF('ORDENES'!$E378="","-",'ORDENES'!$E378))</f>
        <v/>
      </c>
      <c r="L400" s="26">
        <f>IF('ORDENES'!$A378="","",IF('ORDENES'!$M378="",0,'ORDENES'!$M378))</f>
        <v/>
      </c>
      <c r="M400" s="24">
        <f>IF('ORDENES'!$A378="","",IF('ORDENES'!$N378="","-",'ORDENES'!$N378))</f>
        <v/>
      </c>
      <c r="N400" s="24">
        <f>IF('ORDENES'!$A378="","",'ORDENES'!$AG378)</f>
        <v/>
      </c>
    </row>
    <row r="401">
      <c r="A401" s="24">
        <f>IF('ORDENES'!$A379="","",IF('ORDENES'!$O379="","-",'ORDENES'!$O379))</f>
        <v/>
      </c>
      <c r="B401" s="24">
        <f>IF('ORDENES'!$A379="","",IF('ORDENES'!$S379="","-",'ORDENES'!$S379))</f>
        <v/>
      </c>
      <c r="C401" s="24">
        <f>IF('ORDENES'!$A379="","",IF('ORDENES'!$AI379="","-",'ORDENES'!$AI379))</f>
        <v/>
      </c>
      <c r="D401" s="24">
        <f>IF('ORDENES'!$A379="","",IF('ORDENES'!$AA379="","-",'ORDENES'!$AA379))</f>
        <v/>
      </c>
      <c r="E401" s="24">
        <f>IF('ORDENES'!$A379="","",IF('ORDENES'!$Y379="","-",'ORDENES'!$Y379))</f>
        <v/>
      </c>
      <c r="F401" s="24">
        <f>IF('ORDENES'!$A379="","",IF('ORDENES'!$AB379="","-",'ORDENES'!$AB379))</f>
        <v/>
      </c>
      <c r="G401" s="24">
        <f>IF('ORDENES'!$A379="","",IF('ORDENES'!$Z379="","-",'ORDENES'!$Z379))</f>
        <v/>
      </c>
      <c r="H401" s="24">
        <f>IF('ORDENES'!$A379="","",IF('ORDENES'!$AH379="","-",'ORDENES'!$AH379))</f>
        <v/>
      </c>
      <c r="I401" s="24">
        <f>IF('ORDENES'!$A379="","",IF('ORDENES'!$AU379="","-",'ORDENES'!$AU379))</f>
        <v/>
      </c>
      <c r="J401" s="24">
        <f>IF('ORDENES'!$A379="","",IF('ORDENES'!$D379="","-",'ORDENES'!$D379))</f>
        <v/>
      </c>
      <c r="K401" s="24">
        <f>IF('ORDENES'!$A379="","",IF('ORDENES'!$E379="","-",'ORDENES'!$E379))</f>
        <v/>
      </c>
      <c r="L401" s="26">
        <f>IF('ORDENES'!$A379="","",IF('ORDENES'!$M379="",0,'ORDENES'!$M379))</f>
        <v/>
      </c>
      <c r="M401" s="24">
        <f>IF('ORDENES'!$A379="","",IF('ORDENES'!$N379="","-",'ORDENES'!$N379))</f>
        <v/>
      </c>
      <c r="N401" s="24">
        <f>IF('ORDENES'!$A379="","",'ORDENES'!$AG379)</f>
        <v/>
      </c>
    </row>
    <row r="402">
      <c r="A402" s="24">
        <f>IF('ORDENES'!$A380="","",IF('ORDENES'!$O380="","-",'ORDENES'!$O380))</f>
        <v/>
      </c>
      <c r="B402" s="24">
        <f>IF('ORDENES'!$A380="","",IF('ORDENES'!$S380="","-",'ORDENES'!$S380))</f>
        <v/>
      </c>
      <c r="C402" s="24">
        <f>IF('ORDENES'!$A380="","",IF('ORDENES'!$AI380="","-",'ORDENES'!$AI380))</f>
        <v/>
      </c>
      <c r="D402" s="24">
        <f>IF('ORDENES'!$A380="","",IF('ORDENES'!$AA380="","-",'ORDENES'!$AA380))</f>
        <v/>
      </c>
      <c r="E402" s="24">
        <f>IF('ORDENES'!$A380="","",IF('ORDENES'!$Y380="","-",'ORDENES'!$Y380))</f>
        <v/>
      </c>
      <c r="F402" s="24">
        <f>IF('ORDENES'!$A380="","",IF('ORDENES'!$AB380="","-",'ORDENES'!$AB380))</f>
        <v/>
      </c>
      <c r="G402" s="24">
        <f>IF('ORDENES'!$A380="","",IF('ORDENES'!$Z380="","-",'ORDENES'!$Z380))</f>
        <v/>
      </c>
      <c r="H402" s="24">
        <f>IF('ORDENES'!$A380="","",IF('ORDENES'!$AH380="","-",'ORDENES'!$AH380))</f>
        <v/>
      </c>
      <c r="I402" s="24">
        <f>IF('ORDENES'!$A380="","",IF('ORDENES'!$AU380="","-",'ORDENES'!$AU380))</f>
        <v/>
      </c>
      <c r="J402" s="24">
        <f>IF('ORDENES'!$A380="","",IF('ORDENES'!$D380="","-",'ORDENES'!$D380))</f>
        <v/>
      </c>
      <c r="K402" s="24">
        <f>IF('ORDENES'!$A380="","",IF('ORDENES'!$E380="","-",'ORDENES'!$E380))</f>
        <v/>
      </c>
      <c r="L402" s="26">
        <f>IF('ORDENES'!$A380="","",IF('ORDENES'!$M380="",0,'ORDENES'!$M380))</f>
        <v/>
      </c>
      <c r="M402" s="24">
        <f>IF('ORDENES'!$A380="","",IF('ORDENES'!$N380="","-",'ORDENES'!$N380))</f>
        <v/>
      </c>
      <c r="N402" s="24">
        <f>IF('ORDENES'!$A380="","",'ORDENES'!$AG380)</f>
        <v/>
      </c>
    </row>
    <row r="403">
      <c r="A403" s="24">
        <f>IF('ORDENES'!$A381="","",IF('ORDENES'!$O381="","-",'ORDENES'!$O381))</f>
        <v/>
      </c>
      <c r="B403" s="24">
        <f>IF('ORDENES'!$A381="","",IF('ORDENES'!$S381="","-",'ORDENES'!$S381))</f>
        <v/>
      </c>
      <c r="C403" s="24">
        <f>IF('ORDENES'!$A381="","",IF('ORDENES'!$AI381="","-",'ORDENES'!$AI381))</f>
        <v/>
      </c>
      <c r="D403" s="24">
        <f>IF('ORDENES'!$A381="","",IF('ORDENES'!$AA381="","-",'ORDENES'!$AA381))</f>
        <v/>
      </c>
      <c r="E403" s="24">
        <f>IF('ORDENES'!$A381="","",IF('ORDENES'!$Y381="","-",'ORDENES'!$Y381))</f>
        <v/>
      </c>
      <c r="F403" s="24">
        <f>IF('ORDENES'!$A381="","",IF('ORDENES'!$AB381="","-",'ORDENES'!$AB381))</f>
        <v/>
      </c>
      <c r="G403" s="24">
        <f>IF('ORDENES'!$A381="","",IF('ORDENES'!$Z381="","-",'ORDENES'!$Z381))</f>
        <v/>
      </c>
      <c r="H403" s="24">
        <f>IF('ORDENES'!$A381="","",IF('ORDENES'!$AH381="","-",'ORDENES'!$AH381))</f>
        <v/>
      </c>
      <c r="I403" s="24">
        <f>IF('ORDENES'!$A381="","",IF('ORDENES'!$AU381="","-",'ORDENES'!$AU381))</f>
        <v/>
      </c>
      <c r="J403" s="24">
        <f>IF('ORDENES'!$A381="","",IF('ORDENES'!$D381="","-",'ORDENES'!$D381))</f>
        <v/>
      </c>
      <c r="K403" s="24">
        <f>IF('ORDENES'!$A381="","",IF('ORDENES'!$E381="","-",'ORDENES'!$E381))</f>
        <v/>
      </c>
      <c r="L403" s="26">
        <f>IF('ORDENES'!$A381="","",IF('ORDENES'!$M381="",0,'ORDENES'!$M381))</f>
        <v/>
      </c>
      <c r="M403" s="24">
        <f>IF('ORDENES'!$A381="","",IF('ORDENES'!$N381="","-",'ORDENES'!$N381))</f>
        <v/>
      </c>
      <c r="N403" s="24">
        <f>IF('ORDENES'!$A381="","",'ORDENES'!$AG381)</f>
        <v/>
      </c>
    </row>
    <row r="404">
      <c r="A404" s="24">
        <f>IF('ORDENES'!$A382="","",IF('ORDENES'!$O382="","-",'ORDENES'!$O382))</f>
        <v/>
      </c>
      <c r="B404" s="24">
        <f>IF('ORDENES'!$A382="","",IF('ORDENES'!$S382="","-",'ORDENES'!$S382))</f>
        <v/>
      </c>
      <c r="C404" s="24">
        <f>IF('ORDENES'!$A382="","",IF('ORDENES'!$AI382="","-",'ORDENES'!$AI382))</f>
        <v/>
      </c>
      <c r="D404" s="24">
        <f>IF('ORDENES'!$A382="","",IF('ORDENES'!$AA382="","-",'ORDENES'!$AA382))</f>
        <v/>
      </c>
      <c r="E404" s="24">
        <f>IF('ORDENES'!$A382="","",IF('ORDENES'!$Y382="","-",'ORDENES'!$Y382))</f>
        <v/>
      </c>
      <c r="F404" s="24">
        <f>IF('ORDENES'!$A382="","",IF('ORDENES'!$AB382="","-",'ORDENES'!$AB382))</f>
        <v/>
      </c>
      <c r="G404" s="24">
        <f>IF('ORDENES'!$A382="","",IF('ORDENES'!$Z382="","-",'ORDENES'!$Z382))</f>
        <v/>
      </c>
      <c r="H404" s="24">
        <f>IF('ORDENES'!$A382="","",IF('ORDENES'!$AH382="","-",'ORDENES'!$AH382))</f>
        <v/>
      </c>
      <c r="I404" s="24">
        <f>IF('ORDENES'!$A382="","",IF('ORDENES'!$AU382="","-",'ORDENES'!$AU382))</f>
        <v/>
      </c>
      <c r="J404" s="24">
        <f>IF('ORDENES'!$A382="","",IF('ORDENES'!$D382="","-",'ORDENES'!$D382))</f>
        <v/>
      </c>
      <c r="K404" s="24">
        <f>IF('ORDENES'!$A382="","",IF('ORDENES'!$E382="","-",'ORDENES'!$E382))</f>
        <v/>
      </c>
      <c r="L404" s="26">
        <f>IF('ORDENES'!$A382="","",IF('ORDENES'!$M382="",0,'ORDENES'!$M382))</f>
        <v/>
      </c>
      <c r="M404" s="24">
        <f>IF('ORDENES'!$A382="","",IF('ORDENES'!$N382="","-",'ORDENES'!$N382))</f>
        <v/>
      </c>
      <c r="N404" s="24">
        <f>IF('ORDENES'!$A382="","",'ORDENES'!$AG382)</f>
        <v/>
      </c>
    </row>
    <row r="405">
      <c r="A405" s="24">
        <f>IF('ORDENES'!$A383="","",IF('ORDENES'!$O383="","-",'ORDENES'!$O383))</f>
        <v/>
      </c>
      <c r="B405" s="24">
        <f>IF('ORDENES'!$A383="","",IF('ORDENES'!$S383="","-",'ORDENES'!$S383))</f>
        <v/>
      </c>
      <c r="C405" s="24">
        <f>IF('ORDENES'!$A383="","",IF('ORDENES'!$AI383="","-",'ORDENES'!$AI383))</f>
        <v/>
      </c>
      <c r="D405" s="24">
        <f>IF('ORDENES'!$A383="","",IF('ORDENES'!$AA383="","-",'ORDENES'!$AA383))</f>
        <v/>
      </c>
      <c r="E405" s="24">
        <f>IF('ORDENES'!$A383="","",IF('ORDENES'!$Y383="","-",'ORDENES'!$Y383))</f>
        <v/>
      </c>
      <c r="F405" s="24">
        <f>IF('ORDENES'!$A383="","",IF('ORDENES'!$AB383="","-",'ORDENES'!$AB383))</f>
        <v/>
      </c>
      <c r="G405" s="24">
        <f>IF('ORDENES'!$A383="","",IF('ORDENES'!$Z383="","-",'ORDENES'!$Z383))</f>
        <v/>
      </c>
      <c r="H405" s="24">
        <f>IF('ORDENES'!$A383="","",IF('ORDENES'!$AH383="","-",'ORDENES'!$AH383))</f>
        <v/>
      </c>
      <c r="I405" s="24">
        <f>IF('ORDENES'!$A383="","",IF('ORDENES'!$AU383="","-",'ORDENES'!$AU383))</f>
        <v/>
      </c>
      <c r="J405" s="24">
        <f>IF('ORDENES'!$A383="","",IF('ORDENES'!$D383="","-",'ORDENES'!$D383))</f>
        <v/>
      </c>
      <c r="K405" s="24">
        <f>IF('ORDENES'!$A383="","",IF('ORDENES'!$E383="","-",'ORDENES'!$E383))</f>
        <v/>
      </c>
      <c r="L405" s="26">
        <f>IF('ORDENES'!$A383="","",IF('ORDENES'!$M383="",0,'ORDENES'!$M383))</f>
        <v/>
      </c>
      <c r="M405" s="24">
        <f>IF('ORDENES'!$A383="","",IF('ORDENES'!$N383="","-",'ORDENES'!$N383))</f>
        <v/>
      </c>
      <c r="N405" s="24">
        <f>IF('ORDENES'!$A383="","",'ORDENES'!$AG383)</f>
        <v/>
      </c>
    </row>
    <row r="406">
      <c r="A406" s="24">
        <f>IF('ORDENES'!$A384="","",IF('ORDENES'!$O384="","-",'ORDENES'!$O384))</f>
        <v/>
      </c>
      <c r="B406" s="24">
        <f>IF('ORDENES'!$A384="","",IF('ORDENES'!$S384="","-",'ORDENES'!$S384))</f>
        <v/>
      </c>
      <c r="C406" s="24">
        <f>IF('ORDENES'!$A384="","",IF('ORDENES'!$AI384="","-",'ORDENES'!$AI384))</f>
        <v/>
      </c>
      <c r="D406" s="24">
        <f>IF('ORDENES'!$A384="","",IF('ORDENES'!$AA384="","-",'ORDENES'!$AA384))</f>
        <v/>
      </c>
      <c r="E406" s="24">
        <f>IF('ORDENES'!$A384="","",IF('ORDENES'!$Y384="","-",'ORDENES'!$Y384))</f>
        <v/>
      </c>
      <c r="F406" s="24">
        <f>IF('ORDENES'!$A384="","",IF('ORDENES'!$AB384="","-",'ORDENES'!$AB384))</f>
        <v/>
      </c>
      <c r="G406" s="24">
        <f>IF('ORDENES'!$A384="","",IF('ORDENES'!$Z384="","-",'ORDENES'!$Z384))</f>
        <v/>
      </c>
      <c r="H406" s="24">
        <f>IF('ORDENES'!$A384="","",IF('ORDENES'!$AH384="","-",'ORDENES'!$AH384))</f>
        <v/>
      </c>
      <c r="I406" s="24">
        <f>IF('ORDENES'!$A384="","",IF('ORDENES'!$AU384="","-",'ORDENES'!$AU384))</f>
        <v/>
      </c>
      <c r="J406" s="24">
        <f>IF('ORDENES'!$A384="","",IF('ORDENES'!$D384="","-",'ORDENES'!$D384))</f>
        <v/>
      </c>
      <c r="K406" s="24">
        <f>IF('ORDENES'!$A384="","",IF('ORDENES'!$E384="","-",'ORDENES'!$E384))</f>
        <v/>
      </c>
      <c r="L406" s="26">
        <f>IF('ORDENES'!$A384="","",IF('ORDENES'!$M384="",0,'ORDENES'!$M384))</f>
        <v/>
      </c>
      <c r="M406" s="24">
        <f>IF('ORDENES'!$A384="","",IF('ORDENES'!$N384="","-",'ORDENES'!$N384))</f>
        <v/>
      </c>
      <c r="N406" s="24">
        <f>IF('ORDENES'!$A384="","",'ORDENES'!$AG384)</f>
        <v/>
      </c>
    </row>
    <row r="407">
      <c r="A407" s="24">
        <f>IF('ORDENES'!$A385="","",IF('ORDENES'!$O385="","-",'ORDENES'!$O385))</f>
        <v/>
      </c>
      <c r="B407" s="24">
        <f>IF('ORDENES'!$A385="","",IF('ORDENES'!$S385="","-",'ORDENES'!$S385))</f>
        <v/>
      </c>
      <c r="C407" s="24">
        <f>IF('ORDENES'!$A385="","",IF('ORDENES'!$AI385="","-",'ORDENES'!$AI385))</f>
        <v/>
      </c>
      <c r="D407" s="24">
        <f>IF('ORDENES'!$A385="","",IF('ORDENES'!$AA385="","-",'ORDENES'!$AA385))</f>
        <v/>
      </c>
      <c r="E407" s="24">
        <f>IF('ORDENES'!$A385="","",IF('ORDENES'!$Y385="","-",'ORDENES'!$Y385))</f>
        <v/>
      </c>
      <c r="F407" s="24">
        <f>IF('ORDENES'!$A385="","",IF('ORDENES'!$AB385="","-",'ORDENES'!$AB385))</f>
        <v/>
      </c>
      <c r="G407" s="24">
        <f>IF('ORDENES'!$A385="","",IF('ORDENES'!$Z385="","-",'ORDENES'!$Z385))</f>
        <v/>
      </c>
      <c r="H407" s="24">
        <f>IF('ORDENES'!$A385="","",IF('ORDENES'!$AH385="","-",'ORDENES'!$AH385))</f>
        <v/>
      </c>
      <c r="I407" s="24">
        <f>IF('ORDENES'!$A385="","",IF('ORDENES'!$AU385="","-",'ORDENES'!$AU385))</f>
        <v/>
      </c>
      <c r="J407" s="24">
        <f>IF('ORDENES'!$A385="","",IF('ORDENES'!$D385="","-",'ORDENES'!$D385))</f>
        <v/>
      </c>
      <c r="K407" s="24">
        <f>IF('ORDENES'!$A385="","",IF('ORDENES'!$E385="","-",'ORDENES'!$E385))</f>
        <v/>
      </c>
      <c r="L407" s="26">
        <f>IF('ORDENES'!$A385="","",IF('ORDENES'!$M385="",0,'ORDENES'!$M385))</f>
        <v/>
      </c>
      <c r="M407" s="24">
        <f>IF('ORDENES'!$A385="","",IF('ORDENES'!$N385="","-",'ORDENES'!$N385))</f>
        <v/>
      </c>
      <c r="N407" s="24">
        <f>IF('ORDENES'!$A385="","",'ORDENES'!$AG385)</f>
        <v/>
      </c>
    </row>
    <row r="408">
      <c r="A408" s="24">
        <f>IF('ORDENES'!$A386="","",IF('ORDENES'!$O386="","-",'ORDENES'!$O386))</f>
        <v/>
      </c>
      <c r="B408" s="24">
        <f>IF('ORDENES'!$A386="","",IF('ORDENES'!$S386="","-",'ORDENES'!$S386))</f>
        <v/>
      </c>
      <c r="C408" s="24">
        <f>IF('ORDENES'!$A386="","",IF('ORDENES'!$AI386="","-",'ORDENES'!$AI386))</f>
        <v/>
      </c>
      <c r="D408" s="24">
        <f>IF('ORDENES'!$A386="","",IF('ORDENES'!$AA386="","-",'ORDENES'!$AA386))</f>
        <v/>
      </c>
      <c r="E408" s="24">
        <f>IF('ORDENES'!$A386="","",IF('ORDENES'!$Y386="","-",'ORDENES'!$Y386))</f>
        <v/>
      </c>
      <c r="F408" s="24">
        <f>IF('ORDENES'!$A386="","",IF('ORDENES'!$AB386="","-",'ORDENES'!$AB386))</f>
        <v/>
      </c>
      <c r="G408" s="24">
        <f>IF('ORDENES'!$A386="","",IF('ORDENES'!$Z386="","-",'ORDENES'!$Z386))</f>
        <v/>
      </c>
      <c r="H408" s="24">
        <f>IF('ORDENES'!$A386="","",IF('ORDENES'!$AH386="","-",'ORDENES'!$AH386))</f>
        <v/>
      </c>
      <c r="I408" s="24">
        <f>IF('ORDENES'!$A386="","",IF('ORDENES'!$AU386="","-",'ORDENES'!$AU386))</f>
        <v/>
      </c>
      <c r="J408" s="24">
        <f>IF('ORDENES'!$A386="","",IF('ORDENES'!$D386="","-",'ORDENES'!$D386))</f>
        <v/>
      </c>
      <c r="K408" s="24">
        <f>IF('ORDENES'!$A386="","",IF('ORDENES'!$E386="","-",'ORDENES'!$E386))</f>
        <v/>
      </c>
      <c r="L408" s="26">
        <f>IF('ORDENES'!$A386="","",IF('ORDENES'!$M386="",0,'ORDENES'!$M386))</f>
        <v/>
      </c>
      <c r="M408" s="24">
        <f>IF('ORDENES'!$A386="","",IF('ORDENES'!$N386="","-",'ORDENES'!$N386))</f>
        <v/>
      </c>
      <c r="N408" s="24">
        <f>IF('ORDENES'!$A386="","",'ORDENES'!$AG386)</f>
        <v/>
      </c>
    </row>
    <row r="409">
      <c r="A409" s="24">
        <f>IF('ORDENES'!$A387="","",IF('ORDENES'!$O387="","-",'ORDENES'!$O387))</f>
        <v/>
      </c>
      <c r="B409" s="24">
        <f>IF('ORDENES'!$A387="","",IF('ORDENES'!$S387="","-",'ORDENES'!$S387))</f>
        <v/>
      </c>
      <c r="C409" s="24">
        <f>IF('ORDENES'!$A387="","",IF('ORDENES'!$AI387="","-",'ORDENES'!$AI387))</f>
        <v/>
      </c>
      <c r="D409" s="24">
        <f>IF('ORDENES'!$A387="","",IF('ORDENES'!$AA387="","-",'ORDENES'!$AA387))</f>
        <v/>
      </c>
      <c r="E409" s="24">
        <f>IF('ORDENES'!$A387="","",IF('ORDENES'!$Y387="","-",'ORDENES'!$Y387))</f>
        <v/>
      </c>
      <c r="F409" s="24">
        <f>IF('ORDENES'!$A387="","",IF('ORDENES'!$AB387="","-",'ORDENES'!$AB387))</f>
        <v/>
      </c>
      <c r="G409" s="24">
        <f>IF('ORDENES'!$A387="","",IF('ORDENES'!$Z387="","-",'ORDENES'!$Z387))</f>
        <v/>
      </c>
      <c r="H409" s="24">
        <f>IF('ORDENES'!$A387="","",IF('ORDENES'!$AH387="","-",'ORDENES'!$AH387))</f>
        <v/>
      </c>
      <c r="I409" s="24">
        <f>IF('ORDENES'!$A387="","",IF('ORDENES'!$AU387="","-",'ORDENES'!$AU387))</f>
        <v/>
      </c>
      <c r="J409" s="24">
        <f>IF('ORDENES'!$A387="","",IF('ORDENES'!$D387="","-",'ORDENES'!$D387))</f>
        <v/>
      </c>
      <c r="K409" s="24">
        <f>IF('ORDENES'!$A387="","",IF('ORDENES'!$E387="","-",'ORDENES'!$E387))</f>
        <v/>
      </c>
      <c r="L409" s="26">
        <f>IF('ORDENES'!$A387="","",IF('ORDENES'!$M387="",0,'ORDENES'!$M387))</f>
        <v/>
      </c>
      <c r="M409" s="24">
        <f>IF('ORDENES'!$A387="","",IF('ORDENES'!$N387="","-",'ORDENES'!$N387))</f>
        <v/>
      </c>
      <c r="N409" s="24">
        <f>IF('ORDENES'!$A387="","",'ORDENES'!$AG387)</f>
        <v/>
      </c>
    </row>
    <row r="410">
      <c r="A410" s="24">
        <f>IF('ORDENES'!$A388="","",IF('ORDENES'!$O388="","-",'ORDENES'!$O388))</f>
        <v/>
      </c>
      <c r="B410" s="24">
        <f>IF('ORDENES'!$A388="","",IF('ORDENES'!$S388="","-",'ORDENES'!$S388))</f>
        <v/>
      </c>
      <c r="C410" s="24">
        <f>IF('ORDENES'!$A388="","",IF('ORDENES'!$AI388="","-",'ORDENES'!$AI388))</f>
        <v/>
      </c>
      <c r="D410" s="24">
        <f>IF('ORDENES'!$A388="","",IF('ORDENES'!$AA388="","-",'ORDENES'!$AA388))</f>
        <v/>
      </c>
      <c r="E410" s="24">
        <f>IF('ORDENES'!$A388="","",IF('ORDENES'!$Y388="","-",'ORDENES'!$Y388))</f>
        <v/>
      </c>
      <c r="F410" s="24">
        <f>IF('ORDENES'!$A388="","",IF('ORDENES'!$AB388="","-",'ORDENES'!$AB388))</f>
        <v/>
      </c>
      <c r="G410" s="24">
        <f>IF('ORDENES'!$A388="","",IF('ORDENES'!$Z388="","-",'ORDENES'!$Z388))</f>
        <v/>
      </c>
      <c r="H410" s="24">
        <f>IF('ORDENES'!$A388="","",IF('ORDENES'!$AH388="","-",'ORDENES'!$AH388))</f>
        <v/>
      </c>
      <c r="I410" s="24">
        <f>IF('ORDENES'!$A388="","",IF('ORDENES'!$AU388="","-",'ORDENES'!$AU388))</f>
        <v/>
      </c>
      <c r="J410" s="24">
        <f>IF('ORDENES'!$A388="","",IF('ORDENES'!$D388="","-",'ORDENES'!$D388))</f>
        <v/>
      </c>
      <c r="K410" s="24">
        <f>IF('ORDENES'!$A388="","",IF('ORDENES'!$E388="","-",'ORDENES'!$E388))</f>
        <v/>
      </c>
      <c r="L410" s="26">
        <f>IF('ORDENES'!$A388="","",IF('ORDENES'!$M388="",0,'ORDENES'!$M388))</f>
        <v/>
      </c>
      <c r="M410" s="24">
        <f>IF('ORDENES'!$A388="","",IF('ORDENES'!$N388="","-",'ORDENES'!$N388))</f>
        <v/>
      </c>
      <c r="N410" s="24">
        <f>IF('ORDENES'!$A388="","",'ORDENES'!$AG388)</f>
        <v/>
      </c>
    </row>
    <row r="411">
      <c r="A411" s="24">
        <f>IF('ORDENES'!$A389="","",IF('ORDENES'!$O389="","-",'ORDENES'!$O389))</f>
        <v/>
      </c>
      <c r="B411" s="24">
        <f>IF('ORDENES'!$A389="","",IF('ORDENES'!$S389="","-",'ORDENES'!$S389))</f>
        <v/>
      </c>
      <c r="C411" s="24">
        <f>IF('ORDENES'!$A389="","",IF('ORDENES'!$AI389="","-",'ORDENES'!$AI389))</f>
        <v/>
      </c>
      <c r="D411" s="24">
        <f>IF('ORDENES'!$A389="","",IF('ORDENES'!$AA389="","-",'ORDENES'!$AA389))</f>
        <v/>
      </c>
      <c r="E411" s="24">
        <f>IF('ORDENES'!$A389="","",IF('ORDENES'!$Y389="","-",'ORDENES'!$Y389))</f>
        <v/>
      </c>
      <c r="F411" s="24">
        <f>IF('ORDENES'!$A389="","",IF('ORDENES'!$AB389="","-",'ORDENES'!$AB389))</f>
        <v/>
      </c>
      <c r="G411" s="24">
        <f>IF('ORDENES'!$A389="","",IF('ORDENES'!$Z389="","-",'ORDENES'!$Z389))</f>
        <v/>
      </c>
      <c r="H411" s="24">
        <f>IF('ORDENES'!$A389="","",IF('ORDENES'!$AH389="","-",'ORDENES'!$AH389))</f>
        <v/>
      </c>
      <c r="I411" s="24">
        <f>IF('ORDENES'!$A389="","",IF('ORDENES'!$AU389="","-",'ORDENES'!$AU389))</f>
        <v/>
      </c>
      <c r="J411" s="24">
        <f>IF('ORDENES'!$A389="","",IF('ORDENES'!$D389="","-",'ORDENES'!$D389))</f>
        <v/>
      </c>
      <c r="K411" s="24">
        <f>IF('ORDENES'!$A389="","",IF('ORDENES'!$E389="","-",'ORDENES'!$E389))</f>
        <v/>
      </c>
      <c r="L411" s="26">
        <f>IF('ORDENES'!$A389="","",IF('ORDENES'!$M389="",0,'ORDENES'!$M389))</f>
        <v/>
      </c>
      <c r="M411" s="24">
        <f>IF('ORDENES'!$A389="","",IF('ORDENES'!$N389="","-",'ORDENES'!$N389))</f>
        <v/>
      </c>
      <c r="N411" s="24">
        <f>IF('ORDENES'!$A389="","",'ORDENES'!$AG389)</f>
        <v/>
      </c>
    </row>
    <row r="412">
      <c r="A412" s="24">
        <f>IF('ORDENES'!$A390="","",IF('ORDENES'!$O390="","-",'ORDENES'!$O390))</f>
        <v/>
      </c>
      <c r="B412" s="24">
        <f>IF('ORDENES'!$A390="","",IF('ORDENES'!$S390="","-",'ORDENES'!$S390))</f>
        <v/>
      </c>
      <c r="C412" s="24">
        <f>IF('ORDENES'!$A390="","",IF('ORDENES'!$AI390="","-",'ORDENES'!$AI390))</f>
        <v/>
      </c>
      <c r="D412" s="24">
        <f>IF('ORDENES'!$A390="","",IF('ORDENES'!$AA390="","-",'ORDENES'!$AA390))</f>
        <v/>
      </c>
      <c r="E412" s="24">
        <f>IF('ORDENES'!$A390="","",IF('ORDENES'!$Y390="","-",'ORDENES'!$Y390))</f>
        <v/>
      </c>
      <c r="F412" s="24">
        <f>IF('ORDENES'!$A390="","",IF('ORDENES'!$AB390="","-",'ORDENES'!$AB390))</f>
        <v/>
      </c>
      <c r="G412" s="24">
        <f>IF('ORDENES'!$A390="","",IF('ORDENES'!$Z390="","-",'ORDENES'!$Z390))</f>
        <v/>
      </c>
      <c r="H412" s="24">
        <f>IF('ORDENES'!$A390="","",IF('ORDENES'!$AH390="","-",'ORDENES'!$AH390))</f>
        <v/>
      </c>
      <c r="I412" s="24">
        <f>IF('ORDENES'!$A390="","",IF('ORDENES'!$AU390="","-",'ORDENES'!$AU390))</f>
        <v/>
      </c>
      <c r="J412" s="24">
        <f>IF('ORDENES'!$A390="","",IF('ORDENES'!$D390="","-",'ORDENES'!$D390))</f>
        <v/>
      </c>
      <c r="K412" s="24">
        <f>IF('ORDENES'!$A390="","",IF('ORDENES'!$E390="","-",'ORDENES'!$E390))</f>
        <v/>
      </c>
      <c r="L412" s="26">
        <f>IF('ORDENES'!$A390="","",IF('ORDENES'!$M390="",0,'ORDENES'!$M390))</f>
        <v/>
      </c>
      <c r="M412" s="24">
        <f>IF('ORDENES'!$A390="","",IF('ORDENES'!$N390="","-",'ORDENES'!$N390))</f>
        <v/>
      </c>
      <c r="N412" s="24">
        <f>IF('ORDENES'!$A390="","",'ORDENES'!$AG390)</f>
        <v/>
      </c>
    </row>
    <row r="413">
      <c r="A413" s="24">
        <f>IF('ORDENES'!$A391="","",IF('ORDENES'!$O391="","-",'ORDENES'!$O391))</f>
        <v/>
      </c>
      <c r="B413" s="24">
        <f>IF('ORDENES'!$A391="","",IF('ORDENES'!$S391="","-",'ORDENES'!$S391))</f>
        <v/>
      </c>
      <c r="C413" s="24">
        <f>IF('ORDENES'!$A391="","",IF('ORDENES'!$AI391="","-",'ORDENES'!$AI391))</f>
        <v/>
      </c>
      <c r="D413" s="24">
        <f>IF('ORDENES'!$A391="","",IF('ORDENES'!$AA391="","-",'ORDENES'!$AA391))</f>
        <v/>
      </c>
      <c r="E413" s="24">
        <f>IF('ORDENES'!$A391="","",IF('ORDENES'!$Y391="","-",'ORDENES'!$Y391))</f>
        <v/>
      </c>
      <c r="F413" s="24">
        <f>IF('ORDENES'!$A391="","",IF('ORDENES'!$AB391="","-",'ORDENES'!$AB391))</f>
        <v/>
      </c>
      <c r="G413" s="24">
        <f>IF('ORDENES'!$A391="","",IF('ORDENES'!$Z391="","-",'ORDENES'!$Z391))</f>
        <v/>
      </c>
      <c r="H413" s="24">
        <f>IF('ORDENES'!$A391="","",IF('ORDENES'!$AH391="","-",'ORDENES'!$AH391))</f>
        <v/>
      </c>
      <c r="I413" s="24">
        <f>IF('ORDENES'!$A391="","",IF('ORDENES'!$AU391="","-",'ORDENES'!$AU391))</f>
        <v/>
      </c>
      <c r="J413" s="24">
        <f>IF('ORDENES'!$A391="","",IF('ORDENES'!$D391="","-",'ORDENES'!$D391))</f>
        <v/>
      </c>
      <c r="K413" s="24">
        <f>IF('ORDENES'!$A391="","",IF('ORDENES'!$E391="","-",'ORDENES'!$E391))</f>
        <v/>
      </c>
      <c r="L413" s="26">
        <f>IF('ORDENES'!$A391="","",IF('ORDENES'!$M391="",0,'ORDENES'!$M391))</f>
        <v/>
      </c>
      <c r="M413" s="24">
        <f>IF('ORDENES'!$A391="","",IF('ORDENES'!$N391="","-",'ORDENES'!$N391))</f>
        <v/>
      </c>
      <c r="N413" s="24">
        <f>IF('ORDENES'!$A391="","",'ORDENES'!$AG391)</f>
        <v/>
      </c>
    </row>
    <row r="414">
      <c r="A414" s="24">
        <f>IF('ORDENES'!$A392="","",IF('ORDENES'!$O392="","-",'ORDENES'!$O392))</f>
        <v/>
      </c>
      <c r="B414" s="24">
        <f>IF('ORDENES'!$A392="","",IF('ORDENES'!$S392="","-",'ORDENES'!$S392))</f>
        <v/>
      </c>
      <c r="C414" s="24">
        <f>IF('ORDENES'!$A392="","",IF('ORDENES'!$AI392="","-",'ORDENES'!$AI392))</f>
        <v/>
      </c>
      <c r="D414" s="24">
        <f>IF('ORDENES'!$A392="","",IF('ORDENES'!$AA392="","-",'ORDENES'!$AA392))</f>
        <v/>
      </c>
      <c r="E414" s="24">
        <f>IF('ORDENES'!$A392="","",IF('ORDENES'!$Y392="","-",'ORDENES'!$Y392))</f>
        <v/>
      </c>
      <c r="F414" s="24">
        <f>IF('ORDENES'!$A392="","",IF('ORDENES'!$AB392="","-",'ORDENES'!$AB392))</f>
        <v/>
      </c>
      <c r="G414" s="24">
        <f>IF('ORDENES'!$A392="","",IF('ORDENES'!$Z392="","-",'ORDENES'!$Z392))</f>
        <v/>
      </c>
      <c r="H414" s="24">
        <f>IF('ORDENES'!$A392="","",IF('ORDENES'!$AH392="","-",'ORDENES'!$AH392))</f>
        <v/>
      </c>
      <c r="I414" s="24">
        <f>IF('ORDENES'!$A392="","",IF('ORDENES'!$AU392="","-",'ORDENES'!$AU392))</f>
        <v/>
      </c>
      <c r="J414" s="24">
        <f>IF('ORDENES'!$A392="","",IF('ORDENES'!$D392="","-",'ORDENES'!$D392))</f>
        <v/>
      </c>
      <c r="K414" s="24">
        <f>IF('ORDENES'!$A392="","",IF('ORDENES'!$E392="","-",'ORDENES'!$E392))</f>
        <v/>
      </c>
      <c r="L414" s="26">
        <f>IF('ORDENES'!$A392="","",IF('ORDENES'!$M392="",0,'ORDENES'!$M392))</f>
        <v/>
      </c>
      <c r="M414" s="24">
        <f>IF('ORDENES'!$A392="","",IF('ORDENES'!$N392="","-",'ORDENES'!$N392))</f>
        <v/>
      </c>
      <c r="N414" s="24">
        <f>IF('ORDENES'!$A392="","",'ORDENES'!$AG392)</f>
        <v/>
      </c>
    </row>
    <row r="415">
      <c r="A415" s="24">
        <f>IF('ORDENES'!$A393="","",IF('ORDENES'!$O393="","-",'ORDENES'!$O393))</f>
        <v/>
      </c>
      <c r="B415" s="24">
        <f>IF('ORDENES'!$A393="","",IF('ORDENES'!$S393="","-",'ORDENES'!$S393))</f>
        <v/>
      </c>
      <c r="C415" s="24">
        <f>IF('ORDENES'!$A393="","",IF('ORDENES'!$AI393="","-",'ORDENES'!$AI393))</f>
        <v/>
      </c>
      <c r="D415" s="24">
        <f>IF('ORDENES'!$A393="","",IF('ORDENES'!$AA393="","-",'ORDENES'!$AA393))</f>
        <v/>
      </c>
      <c r="E415" s="24">
        <f>IF('ORDENES'!$A393="","",IF('ORDENES'!$Y393="","-",'ORDENES'!$Y393))</f>
        <v/>
      </c>
      <c r="F415" s="24">
        <f>IF('ORDENES'!$A393="","",IF('ORDENES'!$AB393="","-",'ORDENES'!$AB393))</f>
        <v/>
      </c>
      <c r="G415" s="24">
        <f>IF('ORDENES'!$A393="","",IF('ORDENES'!$Z393="","-",'ORDENES'!$Z393))</f>
        <v/>
      </c>
      <c r="H415" s="24">
        <f>IF('ORDENES'!$A393="","",IF('ORDENES'!$AH393="","-",'ORDENES'!$AH393))</f>
        <v/>
      </c>
      <c r="I415" s="24">
        <f>IF('ORDENES'!$A393="","",IF('ORDENES'!$AU393="","-",'ORDENES'!$AU393))</f>
        <v/>
      </c>
      <c r="J415" s="24">
        <f>IF('ORDENES'!$A393="","",IF('ORDENES'!$D393="","-",'ORDENES'!$D393))</f>
        <v/>
      </c>
      <c r="K415" s="24">
        <f>IF('ORDENES'!$A393="","",IF('ORDENES'!$E393="","-",'ORDENES'!$E393))</f>
        <v/>
      </c>
      <c r="L415" s="26">
        <f>IF('ORDENES'!$A393="","",IF('ORDENES'!$M393="",0,'ORDENES'!$M393))</f>
        <v/>
      </c>
      <c r="M415" s="24">
        <f>IF('ORDENES'!$A393="","",IF('ORDENES'!$N393="","-",'ORDENES'!$N393))</f>
        <v/>
      </c>
      <c r="N415" s="24">
        <f>IF('ORDENES'!$A393="","",'ORDENES'!$AG393)</f>
        <v/>
      </c>
    </row>
    <row r="416">
      <c r="A416" s="24">
        <f>IF('ORDENES'!$A394="","",IF('ORDENES'!$O394="","-",'ORDENES'!$O394))</f>
        <v/>
      </c>
      <c r="B416" s="24">
        <f>IF('ORDENES'!$A394="","",IF('ORDENES'!$S394="","-",'ORDENES'!$S394))</f>
        <v/>
      </c>
      <c r="C416" s="24">
        <f>IF('ORDENES'!$A394="","",IF('ORDENES'!$AI394="","-",'ORDENES'!$AI394))</f>
        <v/>
      </c>
      <c r="D416" s="24">
        <f>IF('ORDENES'!$A394="","",IF('ORDENES'!$AA394="","-",'ORDENES'!$AA394))</f>
        <v/>
      </c>
      <c r="E416" s="24">
        <f>IF('ORDENES'!$A394="","",IF('ORDENES'!$Y394="","-",'ORDENES'!$Y394))</f>
        <v/>
      </c>
      <c r="F416" s="24">
        <f>IF('ORDENES'!$A394="","",IF('ORDENES'!$AB394="","-",'ORDENES'!$AB394))</f>
        <v/>
      </c>
      <c r="G416" s="24">
        <f>IF('ORDENES'!$A394="","",IF('ORDENES'!$Z394="","-",'ORDENES'!$Z394))</f>
        <v/>
      </c>
      <c r="H416" s="24">
        <f>IF('ORDENES'!$A394="","",IF('ORDENES'!$AH394="","-",'ORDENES'!$AH394))</f>
        <v/>
      </c>
      <c r="I416" s="24">
        <f>IF('ORDENES'!$A394="","",IF('ORDENES'!$AU394="","-",'ORDENES'!$AU394))</f>
        <v/>
      </c>
      <c r="J416" s="24">
        <f>IF('ORDENES'!$A394="","",IF('ORDENES'!$D394="","-",'ORDENES'!$D394))</f>
        <v/>
      </c>
      <c r="K416" s="24">
        <f>IF('ORDENES'!$A394="","",IF('ORDENES'!$E394="","-",'ORDENES'!$E394))</f>
        <v/>
      </c>
      <c r="L416" s="26">
        <f>IF('ORDENES'!$A394="","",IF('ORDENES'!$M394="",0,'ORDENES'!$M394))</f>
        <v/>
      </c>
      <c r="M416" s="24">
        <f>IF('ORDENES'!$A394="","",IF('ORDENES'!$N394="","-",'ORDENES'!$N394))</f>
        <v/>
      </c>
      <c r="N416" s="24">
        <f>IF('ORDENES'!$A394="","",'ORDENES'!$AG394)</f>
        <v/>
      </c>
    </row>
    <row r="417">
      <c r="A417" s="24">
        <f>IF('ORDENES'!$A395="","",IF('ORDENES'!$O395="","-",'ORDENES'!$O395))</f>
        <v/>
      </c>
      <c r="B417" s="24">
        <f>IF('ORDENES'!$A395="","",IF('ORDENES'!$S395="","-",'ORDENES'!$S395))</f>
        <v/>
      </c>
      <c r="C417" s="24">
        <f>IF('ORDENES'!$A395="","",IF('ORDENES'!$AI395="","-",'ORDENES'!$AI395))</f>
        <v/>
      </c>
      <c r="D417" s="24">
        <f>IF('ORDENES'!$A395="","",IF('ORDENES'!$AA395="","-",'ORDENES'!$AA395))</f>
        <v/>
      </c>
      <c r="E417" s="24">
        <f>IF('ORDENES'!$A395="","",IF('ORDENES'!$Y395="","-",'ORDENES'!$Y395))</f>
        <v/>
      </c>
      <c r="F417" s="24">
        <f>IF('ORDENES'!$A395="","",IF('ORDENES'!$AB395="","-",'ORDENES'!$AB395))</f>
        <v/>
      </c>
      <c r="G417" s="24">
        <f>IF('ORDENES'!$A395="","",IF('ORDENES'!$Z395="","-",'ORDENES'!$Z395))</f>
        <v/>
      </c>
      <c r="H417" s="24">
        <f>IF('ORDENES'!$A395="","",IF('ORDENES'!$AH395="","-",'ORDENES'!$AH395))</f>
        <v/>
      </c>
      <c r="I417" s="24">
        <f>IF('ORDENES'!$A395="","",IF('ORDENES'!$AU395="","-",'ORDENES'!$AU395))</f>
        <v/>
      </c>
      <c r="J417" s="24">
        <f>IF('ORDENES'!$A395="","",IF('ORDENES'!$D395="","-",'ORDENES'!$D395))</f>
        <v/>
      </c>
      <c r="K417" s="24">
        <f>IF('ORDENES'!$A395="","",IF('ORDENES'!$E395="","-",'ORDENES'!$E395))</f>
        <v/>
      </c>
      <c r="L417" s="26">
        <f>IF('ORDENES'!$A395="","",IF('ORDENES'!$M395="",0,'ORDENES'!$M395))</f>
        <v/>
      </c>
      <c r="M417" s="24">
        <f>IF('ORDENES'!$A395="","",IF('ORDENES'!$N395="","-",'ORDENES'!$N395))</f>
        <v/>
      </c>
      <c r="N417" s="24">
        <f>IF('ORDENES'!$A395="","",'ORDENES'!$AG395)</f>
        <v/>
      </c>
    </row>
    <row r="418">
      <c r="A418" s="24">
        <f>IF('ORDENES'!$A396="","",IF('ORDENES'!$O396="","-",'ORDENES'!$O396))</f>
        <v/>
      </c>
      <c r="B418" s="24">
        <f>IF('ORDENES'!$A396="","",IF('ORDENES'!$S396="","-",'ORDENES'!$S396))</f>
        <v/>
      </c>
      <c r="C418" s="24">
        <f>IF('ORDENES'!$A396="","",IF('ORDENES'!$AI396="","-",'ORDENES'!$AI396))</f>
        <v/>
      </c>
      <c r="D418" s="24">
        <f>IF('ORDENES'!$A396="","",IF('ORDENES'!$AA396="","-",'ORDENES'!$AA396))</f>
        <v/>
      </c>
      <c r="E418" s="24">
        <f>IF('ORDENES'!$A396="","",IF('ORDENES'!$Y396="","-",'ORDENES'!$Y396))</f>
        <v/>
      </c>
      <c r="F418" s="24">
        <f>IF('ORDENES'!$A396="","",IF('ORDENES'!$AB396="","-",'ORDENES'!$AB396))</f>
        <v/>
      </c>
      <c r="G418" s="24">
        <f>IF('ORDENES'!$A396="","",IF('ORDENES'!$Z396="","-",'ORDENES'!$Z396))</f>
        <v/>
      </c>
      <c r="H418" s="24">
        <f>IF('ORDENES'!$A396="","",IF('ORDENES'!$AH396="","-",'ORDENES'!$AH396))</f>
        <v/>
      </c>
      <c r="I418" s="24">
        <f>IF('ORDENES'!$A396="","",IF('ORDENES'!$AU396="","-",'ORDENES'!$AU396))</f>
        <v/>
      </c>
      <c r="J418" s="24">
        <f>IF('ORDENES'!$A396="","",IF('ORDENES'!$D396="","-",'ORDENES'!$D396))</f>
        <v/>
      </c>
      <c r="K418" s="24">
        <f>IF('ORDENES'!$A396="","",IF('ORDENES'!$E396="","-",'ORDENES'!$E396))</f>
        <v/>
      </c>
      <c r="L418" s="26">
        <f>IF('ORDENES'!$A396="","",IF('ORDENES'!$M396="",0,'ORDENES'!$M396))</f>
        <v/>
      </c>
      <c r="M418" s="24">
        <f>IF('ORDENES'!$A396="","",IF('ORDENES'!$N396="","-",'ORDENES'!$N396))</f>
        <v/>
      </c>
      <c r="N418" s="24">
        <f>IF('ORDENES'!$A396="","",'ORDENES'!$AG396)</f>
        <v/>
      </c>
    </row>
    <row r="419">
      <c r="A419" s="24">
        <f>IF('ORDENES'!$A397="","",IF('ORDENES'!$O397="","-",'ORDENES'!$O397))</f>
        <v/>
      </c>
      <c r="B419" s="24">
        <f>IF('ORDENES'!$A397="","",IF('ORDENES'!$S397="","-",'ORDENES'!$S397))</f>
        <v/>
      </c>
      <c r="C419" s="24">
        <f>IF('ORDENES'!$A397="","",IF('ORDENES'!$AI397="","-",'ORDENES'!$AI397))</f>
        <v/>
      </c>
      <c r="D419" s="24">
        <f>IF('ORDENES'!$A397="","",IF('ORDENES'!$AA397="","-",'ORDENES'!$AA397))</f>
        <v/>
      </c>
      <c r="E419" s="24">
        <f>IF('ORDENES'!$A397="","",IF('ORDENES'!$Y397="","-",'ORDENES'!$Y397))</f>
        <v/>
      </c>
      <c r="F419" s="24">
        <f>IF('ORDENES'!$A397="","",IF('ORDENES'!$AB397="","-",'ORDENES'!$AB397))</f>
        <v/>
      </c>
      <c r="G419" s="24">
        <f>IF('ORDENES'!$A397="","",IF('ORDENES'!$Z397="","-",'ORDENES'!$Z397))</f>
        <v/>
      </c>
      <c r="H419" s="24">
        <f>IF('ORDENES'!$A397="","",IF('ORDENES'!$AH397="","-",'ORDENES'!$AH397))</f>
        <v/>
      </c>
      <c r="I419" s="24">
        <f>IF('ORDENES'!$A397="","",IF('ORDENES'!$AU397="","-",'ORDENES'!$AU397))</f>
        <v/>
      </c>
      <c r="J419" s="24">
        <f>IF('ORDENES'!$A397="","",IF('ORDENES'!$D397="","-",'ORDENES'!$D397))</f>
        <v/>
      </c>
      <c r="K419" s="24">
        <f>IF('ORDENES'!$A397="","",IF('ORDENES'!$E397="","-",'ORDENES'!$E397))</f>
        <v/>
      </c>
      <c r="L419" s="26">
        <f>IF('ORDENES'!$A397="","",IF('ORDENES'!$M397="",0,'ORDENES'!$M397))</f>
        <v/>
      </c>
      <c r="M419" s="24">
        <f>IF('ORDENES'!$A397="","",IF('ORDENES'!$N397="","-",'ORDENES'!$N397))</f>
        <v/>
      </c>
      <c r="N419" s="24">
        <f>IF('ORDENES'!$A397="","",'ORDENES'!$AG397)</f>
        <v/>
      </c>
    </row>
    <row r="420">
      <c r="A420" s="24">
        <f>IF('ORDENES'!$A398="","",IF('ORDENES'!$O398="","-",'ORDENES'!$O398))</f>
        <v/>
      </c>
      <c r="B420" s="24">
        <f>IF('ORDENES'!$A398="","",IF('ORDENES'!$S398="","-",'ORDENES'!$S398))</f>
        <v/>
      </c>
      <c r="C420" s="24">
        <f>IF('ORDENES'!$A398="","",IF('ORDENES'!$AI398="","-",'ORDENES'!$AI398))</f>
        <v/>
      </c>
      <c r="D420" s="24">
        <f>IF('ORDENES'!$A398="","",IF('ORDENES'!$AA398="","-",'ORDENES'!$AA398))</f>
        <v/>
      </c>
      <c r="E420" s="24">
        <f>IF('ORDENES'!$A398="","",IF('ORDENES'!$Y398="","-",'ORDENES'!$Y398))</f>
        <v/>
      </c>
      <c r="F420" s="24">
        <f>IF('ORDENES'!$A398="","",IF('ORDENES'!$AB398="","-",'ORDENES'!$AB398))</f>
        <v/>
      </c>
      <c r="G420" s="24">
        <f>IF('ORDENES'!$A398="","",IF('ORDENES'!$Z398="","-",'ORDENES'!$Z398))</f>
        <v/>
      </c>
      <c r="H420" s="24">
        <f>IF('ORDENES'!$A398="","",IF('ORDENES'!$AH398="","-",'ORDENES'!$AH398))</f>
        <v/>
      </c>
      <c r="I420" s="24">
        <f>IF('ORDENES'!$A398="","",IF('ORDENES'!$AU398="","-",'ORDENES'!$AU398))</f>
        <v/>
      </c>
      <c r="J420" s="24">
        <f>IF('ORDENES'!$A398="","",IF('ORDENES'!$D398="","-",'ORDENES'!$D398))</f>
        <v/>
      </c>
      <c r="K420" s="24">
        <f>IF('ORDENES'!$A398="","",IF('ORDENES'!$E398="","-",'ORDENES'!$E398))</f>
        <v/>
      </c>
      <c r="L420" s="26">
        <f>IF('ORDENES'!$A398="","",IF('ORDENES'!$M398="",0,'ORDENES'!$M398))</f>
        <v/>
      </c>
      <c r="M420" s="24">
        <f>IF('ORDENES'!$A398="","",IF('ORDENES'!$N398="","-",'ORDENES'!$N398))</f>
        <v/>
      </c>
      <c r="N420" s="24">
        <f>IF('ORDENES'!$A398="","",'ORDENES'!$AG398)</f>
        <v/>
      </c>
    </row>
    <row r="421">
      <c r="A421" s="24">
        <f>IF('ORDENES'!$A399="","",IF('ORDENES'!$O399="","-",'ORDENES'!$O399))</f>
        <v/>
      </c>
      <c r="B421" s="24">
        <f>IF('ORDENES'!$A399="","",IF('ORDENES'!$S399="","-",'ORDENES'!$S399))</f>
        <v/>
      </c>
      <c r="C421" s="24">
        <f>IF('ORDENES'!$A399="","",IF('ORDENES'!$AI399="","-",'ORDENES'!$AI399))</f>
        <v/>
      </c>
      <c r="D421" s="24">
        <f>IF('ORDENES'!$A399="","",IF('ORDENES'!$AA399="","-",'ORDENES'!$AA399))</f>
        <v/>
      </c>
      <c r="E421" s="24">
        <f>IF('ORDENES'!$A399="","",IF('ORDENES'!$Y399="","-",'ORDENES'!$Y399))</f>
        <v/>
      </c>
      <c r="F421" s="24">
        <f>IF('ORDENES'!$A399="","",IF('ORDENES'!$AB399="","-",'ORDENES'!$AB399))</f>
        <v/>
      </c>
      <c r="G421" s="24">
        <f>IF('ORDENES'!$A399="","",IF('ORDENES'!$Z399="","-",'ORDENES'!$Z399))</f>
        <v/>
      </c>
      <c r="H421" s="24">
        <f>IF('ORDENES'!$A399="","",IF('ORDENES'!$AH399="","-",'ORDENES'!$AH399))</f>
        <v/>
      </c>
      <c r="I421" s="24">
        <f>IF('ORDENES'!$A399="","",IF('ORDENES'!$AU399="","-",'ORDENES'!$AU399))</f>
        <v/>
      </c>
      <c r="J421" s="24">
        <f>IF('ORDENES'!$A399="","",IF('ORDENES'!$D399="","-",'ORDENES'!$D399))</f>
        <v/>
      </c>
      <c r="K421" s="24">
        <f>IF('ORDENES'!$A399="","",IF('ORDENES'!$E399="","-",'ORDENES'!$E399))</f>
        <v/>
      </c>
      <c r="L421" s="26">
        <f>IF('ORDENES'!$A399="","",IF('ORDENES'!$M399="",0,'ORDENES'!$M399))</f>
        <v/>
      </c>
      <c r="M421" s="24">
        <f>IF('ORDENES'!$A399="","",IF('ORDENES'!$N399="","-",'ORDENES'!$N399))</f>
        <v/>
      </c>
      <c r="N421" s="24">
        <f>IF('ORDENES'!$A399="","",'ORDENES'!$AG399)</f>
        <v/>
      </c>
    </row>
    <row r="422">
      <c r="A422" s="24">
        <f>IF('ORDENES'!$A400="","",IF('ORDENES'!$O400="","-",'ORDENES'!$O400))</f>
        <v/>
      </c>
      <c r="B422" s="24">
        <f>IF('ORDENES'!$A400="","",IF('ORDENES'!$S400="","-",'ORDENES'!$S400))</f>
        <v/>
      </c>
      <c r="C422" s="24">
        <f>IF('ORDENES'!$A400="","",IF('ORDENES'!$AI400="","-",'ORDENES'!$AI400))</f>
        <v/>
      </c>
      <c r="D422" s="24">
        <f>IF('ORDENES'!$A400="","",IF('ORDENES'!$AA400="","-",'ORDENES'!$AA400))</f>
        <v/>
      </c>
      <c r="E422" s="24">
        <f>IF('ORDENES'!$A400="","",IF('ORDENES'!$Y400="","-",'ORDENES'!$Y400))</f>
        <v/>
      </c>
      <c r="F422" s="24">
        <f>IF('ORDENES'!$A400="","",IF('ORDENES'!$AB400="","-",'ORDENES'!$AB400))</f>
        <v/>
      </c>
      <c r="G422" s="24">
        <f>IF('ORDENES'!$A400="","",IF('ORDENES'!$Z400="","-",'ORDENES'!$Z400))</f>
        <v/>
      </c>
      <c r="H422" s="24">
        <f>IF('ORDENES'!$A400="","",IF('ORDENES'!$AH400="","-",'ORDENES'!$AH400))</f>
        <v/>
      </c>
      <c r="I422" s="24">
        <f>IF('ORDENES'!$A400="","",IF('ORDENES'!$AU400="","-",'ORDENES'!$AU400))</f>
        <v/>
      </c>
      <c r="J422" s="24">
        <f>IF('ORDENES'!$A400="","",IF('ORDENES'!$D400="","-",'ORDENES'!$D400))</f>
        <v/>
      </c>
      <c r="K422" s="24">
        <f>IF('ORDENES'!$A400="","",IF('ORDENES'!$E400="","-",'ORDENES'!$E400))</f>
        <v/>
      </c>
      <c r="L422" s="26">
        <f>IF('ORDENES'!$A400="","",IF('ORDENES'!$M400="",0,'ORDENES'!$M400))</f>
        <v/>
      </c>
      <c r="M422" s="24">
        <f>IF('ORDENES'!$A400="","",IF('ORDENES'!$N400="","-",'ORDENES'!$N400))</f>
        <v/>
      </c>
      <c r="N422" s="24">
        <f>IF('ORDENES'!$A400="","",'ORDENES'!$AG400)</f>
        <v/>
      </c>
    </row>
    <row r="423">
      <c r="A423" s="24">
        <f>IF('ORDENES'!$A401="","",IF('ORDENES'!$O401="","-",'ORDENES'!$O401))</f>
        <v/>
      </c>
      <c r="B423" s="24">
        <f>IF('ORDENES'!$A401="","",IF('ORDENES'!$S401="","-",'ORDENES'!$S401))</f>
        <v/>
      </c>
      <c r="C423" s="24">
        <f>IF('ORDENES'!$A401="","",IF('ORDENES'!$AI401="","-",'ORDENES'!$AI401))</f>
        <v/>
      </c>
      <c r="D423" s="24">
        <f>IF('ORDENES'!$A401="","",IF('ORDENES'!$AA401="","-",'ORDENES'!$AA401))</f>
        <v/>
      </c>
      <c r="E423" s="24">
        <f>IF('ORDENES'!$A401="","",IF('ORDENES'!$Y401="","-",'ORDENES'!$Y401))</f>
        <v/>
      </c>
      <c r="F423" s="24">
        <f>IF('ORDENES'!$A401="","",IF('ORDENES'!$AB401="","-",'ORDENES'!$AB401))</f>
        <v/>
      </c>
      <c r="G423" s="24">
        <f>IF('ORDENES'!$A401="","",IF('ORDENES'!$Z401="","-",'ORDENES'!$Z401))</f>
        <v/>
      </c>
      <c r="H423" s="24">
        <f>IF('ORDENES'!$A401="","",IF('ORDENES'!$AH401="","-",'ORDENES'!$AH401))</f>
        <v/>
      </c>
      <c r="I423" s="24">
        <f>IF('ORDENES'!$A401="","",IF('ORDENES'!$AU401="","-",'ORDENES'!$AU401))</f>
        <v/>
      </c>
      <c r="J423" s="24">
        <f>IF('ORDENES'!$A401="","",IF('ORDENES'!$D401="","-",'ORDENES'!$D401))</f>
        <v/>
      </c>
      <c r="K423" s="24">
        <f>IF('ORDENES'!$A401="","",IF('ORDENES'!$E401="","-",'ORDENES'!$E401))</f>
        <v/>
      </c>
      <c r="L423" s="26">
        <f>IF('ORDENES'!$A401="","",IF('ORDENES'!$M401="",0,'ORDENES'!$M401))</f>
        <v/>
      </c>
      <c r="M423" s="24">
        <f>IF('ORDENES'!$A401="","",IF('ORDENES'!$N401="","-",'ORDENES'!$N401))</f>
        <v/>
      </c>
      <c r="N423" s="24">
        <f>IF('ORDENES'!$A401="","",'ORDENES'!$AG401)</f>
        <v/>
      </c>
    </row>
    <row r="424">
      <c r="A424" s="24">
        <f>IF('ORDENES'!$A402="","",IF('ORDENES'!$O402="","-",'ORDENES'!$O402))</f>
        <v/>
      </c>
      <c r="B424" s="24">
        <f>IF('ORDENES'!$A402="","",IF('ORDENES'!$S402="","-",'ORDENES'!$S402))</f>
        <v/>
      </c>
      <c r="C424" s="24">
        <f>IF('ORDENES'!$A402="","",IF('ORDENES'!$AI402="","-",'ORDENES'!$AI402))</f>
        <v/>
      </c>
      <c r="D424" s="24">
        <f>IF('ORDENES'!$A402="","",IF('ORDENES'!$AA402="","-",'ORDENES'!$AA402))</f>
        <v/>
      </c>
      <c r="E424" s="24">
        <f>IF('ORDENES'!$A402="","",IF('ORDENES'!$Y402="","-",'ORDENES'!$Y402))</f>
        <v/>
      </c>
      <c r="F424" s="24">
        <f>IF('ORDENES'!$A402="","",IF('ORDENES'!$AB402="","-",'ORDENES'!$AB402))</f>
        <v/>
      </c>
      <c r="G424" s="24">
        <f>IF('ORDENES'!$A402="","",IF('ORDENES'!$Z402="","-",'ORDENES'!$Z402))</f>
        <v/>
      </c>
      <c r="H424" s="24">
        <f>IF('ORDENES'!$A402="","",IF('ORDENES'!$AH402="","-",'ORDENES'!$AH402))</f>
        <v/>
      </c>
      <c r="I424" s="24">
        <f>IF('ORDENES'!$A402="","",IF('ORDENES'!$AU402="","-",'ORDENES'!$AU402))</f>
        <v/>
      </c>
      <c r="J424" s="24">
        <f>IF('ORDENES'!$A402="","",IF('ORDENES'!$D402="","-",'ORDENES'!$D402))</f>
        <v/>
      </c>
      <c r="K424" s="24">
        <f>IF('ORDENES'!$A402="","",IF('ORDENES'!$E402="","-",'ORDENES'!$E402))</f>
        <v/>
      </c>
      <c r="L424" s="26">
        <f>IF('ORDENES'!$A402="","",IF('ORDENES'!$M402="",0,'ORDENES'!$M402))</f>
        <v/>
      </c>
      <c r="M424" s="24">
        <f>IF('ORDENES'!$A402="","",IF('ORDENES'!$N402="","-",'ORDENES'!$N402))</f>
        <v/>
      </c>
      <c r="N424" s="24">
        <f>IF('ORDENES'!$A402="","",'ORDENES'!$AG402)</f>
        <v/>
      </c>
    </row>
    <row r="425">
      <c r="A425" s="24">
        <f>IF('ORDENES'!$A403="","",IF('ORDENES'!$O403="","-",'ORDENES'!$O403))</f>
        <v/>
      </c>
      <c r="B425" s="24">
        <f>IF('ORDENES'!$A403="","",IF('ORDENES'!$S403="","-",'ORDENES'!$S403))</f>
        <v/>
      </c>
      <c r="C425" s="24">
        <f>IF('ORDENES'!$A403="","",IF('ORDENES'!$AI403="","-",'ORDENES'!$AI403))</f>
        <v/>
      </c>
      <c r="D425" s="24">
        <f>IF('ORDENES'!$A403="","",IF('ORDENES'!$AA403="","-",'ORDENES'!$AA403))</f>
        <v/>
      </c>
      <c r="E425" s="24">
        <f>IF('ORDENES'!$A403="","",IF('ORDENES'!$Y403="","-",'ORDENES'!$Y403))</f>
        <v/>
      </c>
      <c r="F425" s="24">
        <f>IF('ORDENES'!$A403="","",IF('ORDENES'!$AB403="","-",'ORDENES'!$AB403))</f>
        <v/>
      </c>
      <c r="G425" s="24">
        <f>IF('ORDENES'!$A403="","",IF('ORDENES'!$Z403="","-",'ORDENES'!$Z403))</f>
        <v/>
      </c>
      <c r="H425" s="24">
        <f>IF('ORDENES'!$A403="","",IF('ORDENES'!$AH403="","-",'ORDENES'!$AH403))</f>
        <v/>
      </c>
      <c r="I425" s="24">
        <f>IF('ORDENES'!$A403="","",IF('ORDENES'!$AU403="","-",'ORDENES'!$AU403))</f>
        <v/>
      </c>
      <c r="J425" s="24">
        <f>IF('ORDENES'!$A403="","",IF('ORDENES'!$D403="","-",'ORDENES'!$D403))</f>
        <v/>
      </c>
      <c r="K425" s="24">
        <f>IF('ORDENES'!$A403="","",IF('ORDENES'!$E403="","-",'ORDENES'!$E403))</f>
        <v/>
      </c>
      <c r="L425" s="26">
        <f>IF('ORDENES'!$A403="","",IF('ORDENES'!$M403="",0,'ORDENES'!$M403))</f>
        <v/>
      </c>
      <c r="M425" s="24">
        <f>IF('ORDENES'!$A403="","",IF('ORDENES'!$N403="","-",'ORDENES'!$N403))</f>
        <v/>
      </c>
      <c r="N425" s="24">
        <f>IF('ORDENES'!$A403="","",'ORDENES'!$AG403)</f>
        <v/>
      </c>
    </row>
    <row r="426">
      <c r="A426" s="24">
        <f>IF('ORDENES'!$A404="","",IF('ORDENES'!$O404="","-",'ORDENES'!$O404))</f>
        <v/>
      </c>
      <c r="B426" s="24">
        <f>IF('ORDENES'!$A404="","",IF('ORDENES'!$S404="","-",'ORDENES'!$S404))</f>
        <v/>
      </c>
      <c r="C426" s="24">
        <f>IF('ORDENES'!$A404="","",IF('ORDENES'!$AI404="","-",'ORDENES'!$AI404))</f>
        <v/>
      </c>
      <c r="D426" s="24">
        <f>IF('ORDENES'!$A404="","",IF('ORDENES'!$AA404="","-",'ORDENES'!$AA404))</f>
        <v/>
      </c>
      <c r="E426" s="24">
        <f>IF('ORDENES'!$A404="","",IF('ORDENES'!$Y404="","-",'ORDENES'!$Y404))</f>
        <v/>
      </c>
      <c r="F426" s="24">
        <f>IF('ORDENES'!$A404="","",IF('ORDENES'!$AB404="","-",'ORDENES'!$AB404))</f>
        <v/>
      </c>
      <c r="G426" s="24">
        <f>IF('ORDENES'!$A404="","",IF('ORDENES'!$Z404="","-",'ORDENES'!$Z404))</f>
        <v/>
      </c>
      <c r="H426" s="24">
        <f>IF('ORDENES'!$A404="","",IF('ORDENES'!$AH404="","-",'ORDENES'!$AH404))</f>
        <v/>
      </c>
      <c r="I426" s="24">
        <f>IF('ORDENES'!$A404="","",IF('ORDENES'!$AU404="","-",'ORDENES'!$AU404))</f>
        <v/>
      </c>
      <c r="J426" s="24">
        <f>IF('ORDENES'!$A404="","",IF('ORDENES'!$D404="","-",'ORDENES'!$D404))</f>
        <v/>
      </c>
      <c r="K426" s="24">
        <f>IF('ORDENES'!$A404="","",IF('ORDENES'!$E404="","-",'ORDENES'!$E404))</f>
        <v/>
      </c>
      <c r="L426" s="26">
        <f>IF('ORDENES'!$A404="","",IF('ORDENES'!$M404="",0,'ORDENES'!$M404))</f>
        <v/>
      </c>
      <c r="M426" s="24">
        <f>IF('ORDENES'!$A404="","",IF('ORDENES'!$N404="","-",'ORDENES'!$N404))</f>
        <v/>
      </c>
      <c r="N426" s="24">
        <f>IF('ORDENES'!$A404="","",'ORDENES'!$AG404)</f>
        <v/>
      </c>
    </row>
    <row r="427">
      <c r="A427" s="24">
        <f>IF('ORDENES'!$A405="","",IF('ORDENES'!$O405="","-",'ORDENES'!$O405))</f>
        <v/>
      </c>
      <c r="B427" s="24">
        <f>IF('ORDENES'!$A405="","",IF('ORDENES'!$S405="","-",'ORDENES'!$S405))</f>
        <v/>
      </c>
      <c r="C427" s="24">
        <f>IF('ORDENES'!$A405="","",IF('ORDENES'!$AI405="","-",'ORDENES'!$AI405))</f>
        <v/>
      </c>
      <c r="D427" s="24">
        <f>IF('ORDENES'!$A405="","",IF('ORDENES'!$AA405="","-",'ORDENES'!$AA405))</f>
        <v/>
      </c>
      <c r="E427" s="24">
        <f>IF('ORDENES'!$A405="","",IF('ORDENES'!$Y405="","-",'ORDENES'!$Y405))</f>
        <v/>
      </c>
      <c r="F427" s="24">
        <f>IF('ORDENES'!$A405="","",IF('ORDENES'!$AB405="","-",'ORDENES'!$AB405))</f>
        <v/>
      </c>
      <c r="G427" s="24">
        <f>IF('ORDENES'!$A405="","",IF('ORDENES'!$Z405="","-",'ORDENES'!$Z405))</f>
        <v/>
      </c>
      <c r="H427" s="24">
        <f>IF('ORDENES'!$A405="","",IF('ORDENES'!$AH405="","-",'ORDENES'!$AH405))</f>
        <v/>
      </c>
      <c r="I427" s="24">
        <f>IF('ORDENES'!$A405="","",IF('ORDENES'!$AU405="","-",'ORDENES'!$AU405))</f>
        <v/>
      </c>
      <c r="J427" s="24">
        <f>IF('ORDENES'!$A405="","",IF('ORDENES'!$D405="","-",'ORDENES'!$D405))</f>
        <v/>
      </c>
      <c r="K427" s="24">
        <f>IF('ORDENES'!$A405="","",IF('ORDENES'!$E405="","-",'ORDENES'!$E405))</f>
        <v/>
      </c>
      <c r="L427" s="26">
        <f>IF('ORDENES'!$A405="","",IF('ORDENES'!$M405="",0,'ORDENES'!$M405))</f>
        <v/>
      </c>
      <c r="M427" s="24">
        <f>IF('ORDENES'!$A405="","",IF('ORDENES'!$N405="","-",'ORDENES'!$N405))</f>
        <v/>
      </c>
      <c r="N427" s="24">
        <f>IF('ORDENES'!$A405="","",'ORDENES'!$AG405)</f>
        <v/>
      </c>
    </row>
    <row r="428">
      <c r="A428" s="24">
        <f>IF('ORDENES'!$A406="","",IF('ORDENES'!$O406="","-",'ORDENES'!$O406))</f>
        <v/>
      </c>
      <c r="B428" s="24">
        <f>IF('ORDENES'!$A406="","",IF('ORDENES'!$S406="","-",'ORDENES'!$S406))</f>
        <v/>
      </c>
      <c r="C428" s="24">
        <f>IF('ORDENES'!$A406="","",IF('ORDENES'!$AI406="","-",'ORDENES'!$AI406))</f>
        <v/>
      </c>
      <c r="D428" s="24">
        <f>IF('ORDENES'!$A406="","",IF('ORDENES'!$AA406="","-",'ORDENES'!$AA406))</f>
        <v/>
      </c>
      <c r="E428" s="24">
        <f>IF('ORDENES'!$A406="","",IF('ORDENES'!$Y406="","-",'ORDENES'!$Y406))</f>
        <v/>
      </c>
      <c r="F428" s="24">
        <f>IF('ORDENES'!$A406="","",IF('ORDENES'!$AB406="","-",'ORDENES'!$AB406))</f>
        <v/>
      </c>
      <c r="G428" s="24">
        <f>IF('ORDENES'!$A406="","",IF('ORDENES'!$Z406="","-",'ORDENES'!$Z406))</f>
        <v/>
      </c>
      <c r="H428" s="24">
        <f>IF('ORDENES'!$A406="","",IF('ORDENES'!$AH406="","-",'ORDENES'!$AH406))</f>
        <v/>
      </c>
      <c r="I428" s="24">
        <f>IF('ORDENES'!$A406="","",IF('ORDENES'!$AU406="","-",'ORDENES'!$AU406))</f>
        <v/>
      </c>
      <c r="J428" s="24">
        <f>IF('ORDENES'!$A406="","",IF('ORDENES'!$D406="","-",'ORDENES'!$D406))</f>
        <v/>
      </c>
      <c r="K428" s="24">
        <f>IF('ORDENES'!$A406="","",IF('ORDENES'!$E406="","-",'ORDENES'!$E406))</f>
        <v/>
      </c>
      <c r="L428" s="26">
        <f>IF('ORDENES'!$A406="","",IF('ORDENES'!$M406="",0,'ORDENES'!$M406))</f>
        <v/>
      </c>
      <c r="M428" s="24">
        <f>IF('ORDENES'!$A406="","",IF('ORDENES'!$N406="","-",'ORDENES'!$N406))</f>
        <v/>
      </c>
      <c r="N428" s="24">
        <f>IF('ORDENES'!$A406="","",'ORDENES'!$AG406)</f>
        <v/>
      </c>
    </row>
    <row r="429">
      <c r="A429" s="24">
        <f>IF('ORDENES'!$A407="","",IF('ORDENES'!$O407="","-",'ORDENES'!$O407))</f>
        <v/>
      </c>
      <c r="B429" s="24">
        <f>IF('ORDENES'!$A407="","",IF('ORDENES'!$S407="","-",'ORDENES'!$S407))</f>
        <v/>
      </c>
      <c r="C429" s="24">
        <f>IF('ORDENES'!$A407="","",IF('ORDENES'!$AI407="","-",'ORDENES'!$AI407))</f>
        <v/>
      </c>
      <c r="D429" s="24">
        <f>IF('ORDENES'!$A407="","",IF('ORDENES'!$AA407="","-",'ORDENES'!$AA407))</f>
        <v/>
      </c>
      <c r="E429" s="24">
        <f>IF('ORDENES'!$A407="","",IF('ORDENES'!$Y407="","-",'ORDENES'!$Y407))</f>
        <v/>
      </c>
      <c r="F429" s="24">
        <f>IF('ORDENES'!$A407="","",IF('ORDENES'!$AB407="","-",'ORDENES'!$AB407))</f>
        <v/>
      </c>
      <c r="G429" s="24">
        <f>IF('ORDENES'!$A407="","",IF('ORDENES'!$Z407="","-",'ORDENES'!$Z407))</f>
        <v/>
      </c>
      <c r="H429" s="24">
        <f>IF('ORDENES'!$A407="","",IF('ORDENES'!$AH407="","-",'ORDENES'!$AH407))</f>
        <v/>
      </c>
      <c r="I429" s="24">
        <f>IF('ORDENES'!$A407="","",IF('ORDENES'!$AU407="","-",'ORDENES'!$AU407))</f>
        <v/>
      </c>
      <c r="J429" s="24">
        <f>IF('ORDENES'!$A407="","",IF('ORDENES'!$D407="","-",'ORDENES'!$D407))</f>
        <v/>
      </c>
      <c r="K429" s="24">
        <f>IF('ORDENES'!$A407="","",IF('ORDENES'!$E407="","-",'ORDENES'!$E407))</f>
        <v/>
      </c>
      <c r="L429" s="26">
        <f>IF('ORDENES'!$A407="","",IF('ORDENES'!$M407="",0,'ORDENES'!$M407))</f>
        <v/>
      </c>
      <c r="M429" s="24">
        <f>IF('ORDENES'!$A407="","",IF('ORDENES'!$N407="","-",'ORDENES'!$N407))</f>
        <v/>
      </c>
      <c r="N429" s="24">
        <f>IF('ORDENES'!$A407="","",'ORDENES'!$AG407)</f>
        <v/>
      </c>
    </row>
    <row r="430">
      <c r="A430" s="24">
        <f>IF('ORDENES'!$A408="","",IF('ORDENES'!$O408="","-",'ORDENES'!$O408))</f>
        <v/>
      </c>
      <c r="B430" s="24">
        <f>IF('ORDENES'!$A408="","",IF('ORDENES'!$S408="","-",'ORDENES'!$S408))</f>
        <v/>
      </c>
      <c r="C430" s="24">
        <f>IF('ORDENES'!$A408="","",IF('ORDENES'!$AI408="","-",'ORDENES'!$AI408))</f>
        <v/>
      </c>
      <c r="D430" s="24">
        <f>IF('ORDENES'!$A408="","",IF('ORDENES'!$AA408="","-",'ORDENES'!$AA408))</f>
        <v/>
      </c>
      <c r="E430" s="24">
        <f>IF('ORDENES'!$A408="","",IF('ORDENES'!$Y408="","-",'ORDENES'!$Y408))</f>
        <v/>
      </c>
      <c r="F430" s="24">
        <f>IF('ORDENES'!$A408="","",IF('ORDENES'!$AB408="","-",'ORDENES'!$AB408))</f>
        <v/>
      </c>
      <c r="G430" s="24">
        <f>IF('ORDENES'!$A408="","",IF('ORDENES'!$Z408="","-",'ORDENES'!$Z408))</f>
        <v/>
      </c>
      <c r="H430" s="24">
        <f>IF('ORDENES'!$A408="","",IF('ORDENES'!$AH408="","-",'ORDENES'!$AH408))</f>
        <v/>
      </c>
      <c r="I430" s="24">
        <f>IF('ORDENES'!$A408="","",IF('ORDENES'!$AU408="","-",'ORDENES'!$AU408))</f>
        <v/>
      </c>
      <c r="J430" s="24">
        <f>IF('ORDENES'!$A408="","",IF('ORDENES'!$D408="","-",'ORDENES'!$D408))</f>
        <v/>
      </c>
      <c r="K430" s="24">
        <f>IF('ORDENES'!$A408="","",IF('ORDENES'!$E408="","-",'ORDENES'!$E408))</f>
        <v/>
      </c>
      <c r="L430" s="26">
        <f>IF('ORDENES'!$A408="","",IF('ORDENES'!$M408="",0,'ORDENES'!$M408))</f>
        <v/>
      </c>
      <c r="M430" s="24">
        <f>IF('ORDENES'!$A408="","",IF('ORDENES'!$N408="","-",'ORDENES'!$N408))</f>
        <v/>
      </c>
      <c r="N430" s="24">
        <f>IF('ORDENES'!$A408="","",'ORDENES'!$AG408)</f>
        <v/>
      </c>
    </row>
    <row r="431">
      <c r="A431" s="24">
        <f>IF('ORDENES'!$A409="","",IF('ORDENES'!$O409="","-",'ORDENES'!$O409))</f>
        <v/>
      </c>
      <c r="B431" s="24">
        <f>IF('ORDENES'!$A409="","",IF('ORDENES'!$S409="","-",'ORDENES'!$S409))</f>
        <v/>
      </c>
      <c r="C431" s="24">
        <f>IF('ORDENES'!$A409="","",IF('ORDENES'!$AI409="","-",'ORDENES'!$AI409))</f>
        <v/>
      </c>
      <c r="D431" s="24">
        <f>IF('ORDENES'!$A409="","",IF('ORDENES'!$AA409="","-",'ORDENES'!$AA409))</f>
        <v/>
      </c>
      <c r="E431" s="24">
        <f>IF('ORDENES'!$A409="","",IF('ORDENES'!$Y409="","-",'ORDENES'!$Y409))</f>
        <v/>
      </c>
      <c r="F431" s="24">
        <f>IF('ORDENES'!$A409="","",IF('ORDENES'!$AB409="","-",'ORDENES'!$AB409))</f>
        <v/>
      </c>
      <c r="G431" s="24">
        <f>IF('ORDENES'!$A409="","",IF('ORDENES'!$Z409="","-",'ORDENES'!$Z409))</f>
        <v/>
      </c>
      <c r="H431" s="24">
        <f>IF('ORDENES'!$A409="","",IF('ORDENES'!$AH409="","-",'ORDENES'!$AH409))</f>
        <v/>
      </c>
      <c r="I431" s="24">
        <f>IF('ORDENES'!$A409="","",IF('ORDENES'!$AU409="","-",'ORDENES'!$AU409))</f>
        <v/>
      </c>
      <c r="J431" s="24">
        <f>IF('ORDENES'!$A409="","",IF('ORDENES'!$D409="","-",'ORDENES'!$D409))</f>
        <v/>
      </c>
      <c r="K431" s="24">
        <f>IF('ORDENES'!$A409="","",IF('ORDENES'!$E409="","-",'ORDENES'!$E409))</f>
        <v/>
      </c>
      <c r="L431" s="26">
        <f>IF('ORDENES'!$A409="","",IF('ORDENES'!$M409="",0,'ORDENES'!$M409))</f>
        <v/>
      </c>
      <c r="M431" s="24">
        <f>IF('ORDENES'!$A409="","",IF('ORDENES'!$N409="","-",'ORDENES'!$N409))</f>
        <v/>
      </c>
      <c r="N431" s="24">
        <f>IF('ORDENES'!$A409="","",'ORDENES'!$AG409)</f>
        <v/>
      </c>
    </row>
    <row r="432">
      <c r="A432" s="24">
        <f>IF('ORDENES'!$A410="","",IF('ORDENES'!$O410="","-",'ORDENES'!$O410))</f>
        <v/>
      </c>
      <c r="B432" s="24">
        <f>IF('ORDENES'!$A410="","",IF('ORDENES'!$S410="","-",'ORDENES'!$S410))</f>
        <v/>
      </c>
      <c r="C432" s="24">
        <f>IF('ORDENES'!$A410="","",IF('ORDENES'!$AI410="","-",'ORDENES'!$AI410))</f>
        <v/>
      </c>
      <c r="D432" s="24">
        <f>IF('ORDENES'!$A410="","",IF('ORDENES'!$AA410="","-",'ORDENES'!$AA410))</f>
        <v/>
      </c>
      <c r="E432" s="24">
        <f>IF('ORDENES'!$A410="","",IF('ORDENES'!$Y410="","-",'ORDENES'!$Y410))</f>
        <v/>
      </c>
      <c r="F432" s="24">
        <f>IF('ORDENES'!$A410="","",IF('ORDENES'!$AB410="","-",'ORDENES'!$AB410))</f>
        <v/>
      </c>
      <c r="G432" s="24">
        <f>IF('ORDENES'!$A410="","",IF('ORDENES'!$Z410="","-",'ORDENES'!$Z410))</f>
        <v/>
      </c>
      <c r="H432" s="24">
        <f>IF('ORDENES'!$A410="","",IF('ORDENES'!$AH410="","-",'ORDENES'!$AH410))</f>
        <v/>
      </c>
      <c r="I432" s="24">
        <f>IF('ORDENES'!$A410="","",IF('ORDENES'!$AU410="","-",'ORDENES'!$AU410))</f>
        <v/>
      </c>
      <c r="J432" s="24">
        <f>IF('ORDENES'!$A410="","",IF('ORDENES'!$D410="","-",'ORDENES'!$D410))</f>
        <v/>
      </c>
      <c r="K432" s="24">
        <f>IF('ORDENES'!$A410="","",IF('ORDENES'!$E410="","-",'ORDENES'!$E410))</f>
        <v/>
      </c>
      <c r="L432" s="26">
        <f>IF('ORDENES'!$A410="","",IF('ORDENES'!$M410="",0,'ORDENES'!$M410))</f>
        <v/>
      </c>
      <c r="M432" s="24">
        <f>IF('ORDENES'!$A410="","",IF('ORDENES'!$N410="","-",'ORDENES'!$N410))</f>
        <v/>
      </c>
      <c r="N432" s="24">
        <f>IF('ORDENES'!$A410="","",'ORDENES'!$AG410)</f>
        <v/>
      </c>
    </row>
    <row r="433">
      <c r="A433" s="24">
        <f>IF('ORDENES'!$A411="","",IF('ORDENES'!$O411="","-",'ORDENES'!$O411))</f>
        <v/>
      </c>
      <c r="B433" s="24">
        <f>IF('ORDENES'!$A411="","",IF('ORDENES'!$S411="","-",'ORDENES'!$S411))</f>
        <v/>
      </c>
      <c r="C433" s="24">
        <f>IF('ORDENES'!$A411="","",IF('ORDENES'!$AI411="","-",'ORDENES'!$AI411))</f>
        <v/>
      </c>
      <c r="D433" s="24">
        <f>IF('ORDENES'!$A411="","",IF('ORDENES'!$AA411="","-",'ORDENES'!$AA411))</f>
        <v/>
      </c>
      <c r="E433" s="24">
        <f>IF('ORDENES'!$A411="","",IF('ORDENES'!$Y411="","-",'ORDENES'!$Y411))</f>
        <v/>
      </c>
      <c r="F433" s="24">
        <f>IF('ORDENES'!$A411="","",IF('ORDENES'!$AB411="","-",'ORDENES'!$AB411))</f>
        <v/>
      </c>
      <c r="G433" s="24">
        <f>IF('ORDENES'!$A411="","",IF('ORDENES'!$Z411="","-",'ORDENES'!$Z411))</f>
        <v/>
      </c>
      <c r="H433" s="24">
        <f>IF('ORDENES'!$A411="","",IF('ORDENES'!$AH411="","-",'ORDENES'!$AH411))</f>
        <v/>
      </c>
      <c r="I433" s="24">
        <f>IF('ORDENES'!$A411="","",IF('ORDENES'!$AU411="","-",'ORDENES'!$AU411))</f>
        <v/>
      </c>
      <c r="J433" s="24">
        <f>IF('ORDENES'!$A411="","",IF('ORDENES'!$D411="","-",'ORDENES'!$D411))</f>
        <v/>
      </c>
      <c r="K433" s="24">
        <f>IF('ORDENES'!$A411="","",IF('ORDENES'!$E411="","-",'ORDENES'!$E411))</f>
        <v/>
      </c>
      <c r="L433" s="26">
        <f>IF('ORDENES'!$A411="","",IF('ORDENES'!$M411="",0,'ORDENES'!$M411))</f>
        <v/>
      </c>
      <c r="M433" s="24">
        <f>IF('ORDENES'!$A411="","",IF('ORDENES'!$N411="","-",'ORDENES'!$N411))</f>
        <v/>
      </c>
      <c r="N433" s="24">
        <f>IF('ORDENES'!$A411="","",'ORDENES'!$AG411)</f>
        <v/>
      </c>
    </row>
    <row r="434">
      <c r="A434" s="24">
        <f>IF('ORDENES'!$A412="","",IF('ORDENES'!$O412="","-",'ORDENES'!$O412))</f>
        <v/>
      </c>
      <c r="B434" s="24">
        <f>IF('ORDENES'!$A412="","",IF('ORDENES'!$S412="","-",'ORDENES'!$S412))</f>
        <v/>
      </c>
      <c r="C434" s="24">
        <f>IF('ORDENES'!$A412="","",IF('ORDENES'!$AI412="","-",'ORDENES'!$AI412))</f>
        <v/>
      </c>
      <c r="D434" s="24">
        <f>IF('ORDENES'!$A412="","",IF('ORDENES'!$AA412="","-",'ORDENES'!$AA412))</f>
        <v/>
      </c>
      <c r="E434" s="24">
        <f>IF('ORDENES'!$A412="","",IF('ORDENES'!$Y412="","-",'ORDENES'!$Y412))</f>
        <v/>
      </c>
      <c r="F434" s="24">
        <f>IF('ORDENES'!$A412="","",IF('ORDENES'!$AB412="","-",'ORDENES'!$AB412))</f>
        <v/>
      </c>
      <c r="G434" s="24">
        <f>IF('ORDENES'!$A412="","",IF('ORDENES'!$Z412="","-",'ORDENES'!$Z412))</f>
        <v/>
      </c>
      <c r="H434" s="24">
        <f>IF('ORDENES'!$A412="","",IF('ORDENES'!$AH412="","-",'ORDENES'!$AH412))</f>
        <v/>
      </c>
      <c r="I434" s="24">
        <f>IF('ORDENES'!$A412="","",IF('ORDENES'!$AU412="","-",'ORDENES'!$AU412))</f>
        <v/>
      </c>
      <c r="J434" s="24">
        <f>IF('ORDENES'!$A412="","",IF('ORDENES'!$D412="","-",'ORDENES'!$D412))</f>
        <v/>
      </c>
      <c r="K434" s="24">
        <f>IF('ORDENES'!$A412="","",IF('ORDENES'!$E412="","-",'ORDENES'!$E412))</f>
        <v/>
      </c>
      <c r="L434" s="26">
        <f>IF('ORDENES'!$A412="","",IF('ORDENES'!$M412="",0,'ORDENES'!$M412))</f>
        <v/>
      </c>
      <c r="M434" s="24">
        <f>IF('ORDENES'!$A412="","",IF('ORDENES'!$N412="","-",'ORDENES'!$N412))</f>
        <v/>
      </c>
      <c r="N434" s="24">
        <f>IF('ORDENES'!$A412="","",'ORDENES'!$AG412)</f>
        <v/>
      </c>
    </row>
    <row r="435">
      <c r="A435" s="24">
        <f>IF('ORDENES'!$A413="","",IF('ORDENES'!$O413="","-",'ORDENES'!$O413))</f>
        <v/>
      </c>
      <c r="B435" s="24">
        <f>IF('ORDENES'!$A413="","",IF('ORDENES'!$S413="","-",'ORDENES'!$S413))</f>
        <v/>
      </c>
      <c r="C435" s="24">
        <f>IF('ORDENES'!$A413="","",IF('ORDENES'!$AI413="","-",'ORDENES'!$AI413))</f>
        <v/>
      </c>
      <c r="D435" s="24">
        <f>IF('ORDENES'!$A413="","",IF('ORDENES'!$AA413="","-",'ORDENES'!$AA413))</f>
        <v/>
      </c>
      <c r="E435" s="24">
        <f>IF('ORDENES'!$A413="","",IF('ORDENES'!$Y413="","-",'ORDENES'!$Y413))</f>
        <v/>
      </c>
      <c r="F435" s="24">
        <f>IF('ORDENES'!$A413="","",IF('ORDENES'!$AB413="","-",'ORDENES'!$AB413))</f>
        <v/>
      </c>
      <c r="G435" s="24">
        <f>IF('ORDENES'!$A413="","",IF('ORDENES'!$Z413="","-",'ORDENES'!$Z413))</f>
        <v/>
      </c>
      <c r="H435" s="24">
        <f>IF('ORDENES'!$A413="","",IF('ORDENES'!$AH413="","-",'ORDENES'!$AH413))</f>
        <v/>
      </c>
      <c r="I435" s="24">
        <f>IF('ORDENES'!$A413="","",IF('ORDENES'!$AU413="","-",'ORDENES'!$AU413))</f>
        <v/>
      </c>
      <c r="J435" s="24">
        <f>IF('ORDENES'!$A413="","",IF('ORDENES'!$D413="","-",'ORDENES'!$D413))</f>
        <v/>
      </c>
      <c r="K435" s="24">
        <f>IF('ORDENES'!$A413="","",IF('ORDENES'!$E413="","-",'ORDENES'!$E413))</f>
        <v/>
      </c>
      <c r="L435" s="26">
        <f>IF('ORDENES'!$A413="","",IF('ORDENES'!$M413="",0,'ORDENES'!$M413))</f>
        <v/>
      </c>
      <c r="M435" s="24">
        <f>IF('ORDENES'!$A413="","",IF('ORDENES'!$N413="","-",'ORDENES'!$N413))</f>
        <v/>
      </c>
      <c r="N435" s="24">
        <f>IF('ORDENES'!$A413="","",'ORDENES'!$AG413)</f>
        <v/>
      </c>
    </row>
    <row r="436">
      <c r="A436" s="24">
        <f>IF('ORDENES'!$A414="","",IF('ORDENES'!$O414="","-",'ORDENES'!$O414))</f>
        <v/>
      </c>
      <c r="B436" s="24">
        <f>IF('ORDENES'!$A414="","",IF('ORDENES'!$S414="","-",'ORDENES'!$S414))</f>
        <v/>
      </c>
      <c r="C436" s="24">
        <f>IF('ORDENES'!$A414="","",IF('ORDENES'!$AI414="","-",'ORDENES'!$AI414))</f>
        <v/>
      </c>
      <c r="D436" s="24">
        <f>IF('ORDENES'!$A414="","",IF('ORDENES'!$AA414="","-",'ORDENES'!$AA414))</f>
        <v/>
      </c>
      <c r="E436" s="24">
        <f>IF('ORDENES'!$A414="","",IF('ORDENES'!$Y414="","-",'ORDENES'!$Y414))</f>
        <v/>
      </c>
      <c r="F436" s="24">
        <f>IF('ORDENES'!$A414="","",IF('ORDENES'!$AB414="","-",'ORDENES'!$AB414))</f>
        <v/>
      </c>
      <c r="G436" s="24">
        <f>IF('ORDENES'!$A414="","",IF('ORDENES'!$Z414="","-",'ORDENES'!$Z414))</f>
        <v/>
      </c>
      <c r="H436" s="24">
        <f>IF('ORDENES'!$A414="","",IF('ORDENES'!$AH414="","-",'ORDENES'!$AH414))</f>
        <v/>
      </c>
      <c r="I436" s="24">
        <f>IF('ORDENES'!$A414="","",IF('ORDENES'!$AU414="","-",'ORDENES'!$AU414))</f>
        <v/>
      </c>
      <c r="J436" s="24">
        <f>IF('ORDENES'!$A414="","",IF('ORDENES'!$D414="","-",'ORDENES'!$D414))</f>
        <v/>
      </c>
      <c r="K436" s="24">
        <f>IF('ORDENES'!$A414="","",IF('ORDENES'!$E414="","-",'ORDENES'!$E414))</f>
        <v/>
      </c>
      <c r="L436" s="26">
        <f>IF('ORDENES'!$A414="","",IF('ORDENES'!$M414="",0,'ORDENES'!$M414))</f>
        <v/>
      </c>
      <c r="M436" s="24">
        <f>IF('ORDENES'!$A414="","",IF('ORDENES'!$N414="","-",'ORDENES'!$N414))</f>
        <v/>
      </c>
      <c r="N436" s="24">
        <f>IF('ORDENES'!$A414="","",'ORDENES'!$AG414)</f>
        <v/>
      </c>
    </row>
    <row r="437">
      <c r="A437" s="24">
        <f>IF('ORDENES'!$A415="","",IF('ORDENES'!$O415="","-",'ORDENES'!$O415))</f>
        <v/>
      </c>
      <c r="B437" s="24">
        <f>IF('ORDENES'!$A415="","",IF('ORDENES'!$S415="","-",'ORDENES'!$S415))</f>
        <v/>
      </c>
      <c r="C437" s="24">
        <f>IF('ORDENES'!$A415="","",IF('ORDENES'!$AI415="","-",'ORDENES'!$AI415))</f>
        <v/>
      </c>
      <c r="D437" s="24">
        <f>IF('ORDENES'!$A415="","",IF('ORDENES'!$AA415="","-",'ORDENES'!$AA415))</f>
        <v/>
      </c>
      <c r="E437" s="24">
        <f>IF('ORDENES'!$A415="","",IF('ORDENES'!$Y415="","-",'ORDENES'!$Y415))</f>
        <v/>
      </c>
      <c r="F437" s="24">
        <f>IF('ORDENES'!$A415="","",IF('ORDENES'!$AB415="","-",'ORDENES'!$AB415))</f>
        <v/>
      </c>
      <c r="G437" s="24">
        <f>IF('ORDENES'!$A415="","",IF('ORDENES'!$Z415="","-",'ORDENES'!$Z415))</f>
        <v/>
      </c>
      <c r="H437" s="24">
        <f>IF('ORDENES'!$A415="","",IF('ORDENES'!$AH415="","-",'ORDENES'!$AH415))</f>
        <v/>
      </c>
      <c r="I437" s="24">
        <f>IF('ORDENES'!$A415="","",IF('ORDENES'!$AU415="","-",'ORDENES'!$AU415))</f>
        <v/>
      </c>
      <c r="J437" s="24">
        <f>IF('ORDENES'!$A415="","",IF('ORDENES'!$D415="","-",'ORDENES'!$D415))</f>
        <v/>
      </c>
      <c r="K437" s="24">
        <f>IF('ORDENES'!$A415="","",IF('ORDENES'!$E415="","-",'ORDENES'!$E415))</f>
        <v/>
      </c>
      <c r="L437" s="26">
        <f>IF('ORDENES'!$A415="","",IF('ORDENES'!$M415="",0,'ORDENES'!$M415))</f>
        <v/>
      </c>
      <c r="M437" s="24">
        <f>IF('ORDENES'!$A415="","",IF('ORDENES'!$N415="","-",'ORDENES'!$N415))</f>
        <v/>
      </c>
      <c r="N437" s="24">
        <f>IF('ORDENES'!$A415="","",'ORDENES'!$AG415)</f>
        <v/>
      </c>
    </row>
    <row r="438">
      <c r="A438" s="24">
        <f>IF('ORDENES'!$A416="","",IF('ORDENES'!$O416="","-",'ORDENES'!$O416))</f>
        <v/>
      </c>
      <c r="B438" s="24">
        <f>IF('ORDENES'!$A416="","",IF('ORDENES'!$S416="","-",'ORDENES'!$S416))</f>
        <v/>
      </c>
      <c r="C438" s="24">
        <f>IF('ORDENES'!$A416="","",IF('ORDENES'!$AI416="","-",'ORDENES'!$AI416))</f>
        <v/>
      </c>
      <c r="D438" s="24">
        <f>IF('ORDENES'!$A416="","",IF('ORDENES'!$AA416="","-",'ORDENES'!$AA416))</f>
        <v/>
      </c>
      <c r="E438" s="24">
        <f>IF('ORDENES'!$A416="","",IF('ORDENES'!$Y416="","-",'ORDENES'!$Y416))</f>
        <v/>
      </c>
      <c r="F438" s="24">
        <f>IF('ORDENES'!$A416="","",IF('ORDENES'!$AB416="","-",'ORDENES'!$AB416))</f>
        <v/>
      </c>
      <c r="G438" s="24">
        <f>IF('ORDENES'!$A416="","",IF('ORDENES'!$Z416="","-",'ORDENES'!$Z416))</f>
        <v/>
      </c>
      <c r="H438" s="24">
        <f>IF('ORDENES'!$A416="","",IF('ORDENES'!$AH416="","-",'ORDENES'!$AH416))</f>
        <v/>
      </c>
      <c r="I438" s="24">
        <f>IF('ORDENES'!$A416="","",IF('ORDENES'!$AU416="","-",'ORDENES'!$AU416))</f>
        <v/>
      </c>
      <c r="J438" s="24">
        <f>IF('ORDENES'!$A416="","",IF('ORDENES'!$D416="","-",'ORDENES'!$D416))</f>
        <v/>
      </c>
      <c r="K438" s="24">
        <f>IF('ORDENES'!$A416="","",IF('ORDENES'!$E416="","-",'ORDENES'!$E416))</f>
        <v/>
      </c>
      <c r="L438" s="26">
        <f>IF('ORDENES'!$A416="","",IF('ORDENES'!$M416="",0,'ORDENES'!$M416))</f>
        <v/>
      </c>
      <c r="M438" s="24">
        <f>IF('ORDENES'!$A416="","",IF('ORDENES'!$N416="","-",'ORDENES'!$N416))</f>
        <v/>
      </c>
      <c r="N438" s="24">
        <f>IF('ORDENES'!$A416="","",'ORDENES'!$AG416)</f>
        <v/>
      </c>
    </row>
    <row r="439">
      <c r="A439" s="24">
        <f>IF('ORDENES'!$A417="","",IF('ORDENES'!$O417="","-",'ORDENES'!$O417))</f>
        <v/>
      </c>
      <c r="B439" s="24">
        <f>IF('ORDENES'!$A417="","",IF('ORDENES'!$S417="","-",'ORDENES'!$S417))</f>
        <v/>
      </c>
      <c r="C439" s="24">
        <f>IF('ORDENES'!$A417="","",IF('ORDENES'!$AI417="","-",'ORDENES'!$AI417))</f>
        <v/>
      </c>
      <c r="D439" s="24">
        <f>IF('ORDENES'!$A417="","",IF('ORDENES'!$AA417="","-",'ORDENES'!$AA417))</f>
        <v/>
      </c>
      <c r="E439" s="24">
        <f>IF('ORDENES'!$A417="","",IF('ORDENES'!$Y417="","-",'ORDENES'!$Y417))</f>
        <v/>
      </c>
      <c r="F439" s="24">
        <f>IF('ORDENES'!$A417="","",IF('ORDENES'!$AB417="","-",'ORDENES'!$AB417))</f>
        <v/>
      </c>
      <c r="G439" s="24">
        <f>IF('ORDENES'!$A417="","",IF('ORDENES'!$Z417="","-",'ORDENES'!$Z417))</f>
        <v/>
      </c>
      <c r="H439" s="24">
        <f>IF('ORDENES'!$A417="","",IF('ORDENES'!$AH417="","-",'ORDENES'!$AH417))</f>
        <v/>
      </c>
      <c r="I439" s="24">
        <f>IF('ORDENES'!$A417="","",IF('ORDENES'!$AU417="","-",'ORDENES'!$AU417))</f>
        <v/>
      </c>
      <c r="J439" s="24">
        <f>IF('ORDENES'!$A417="","",IF('ORDENES'!$D417="","-",'ORDENES'!$D417))</f>
        <v/>
      </c>
      <c r="K439" s="24">
        <f>IF('ORDENES'!$A417="","",IF('ORDENES'!$E417="","-",'ORDENES'!$E417))</f>
        <v/>
      </c>
      <c r="L439" s="26">
        <f>IF('ORDENES'!$A417="","",IF('ORDENES'!$M417="",0,'ORDENES'!$M417))</f>
        <v/>
      </c>
      <c r="M439" s="24">
        <f>IF('ORDENES'!$A417="","",IF('ORDENES'!$N417="","-",'ORDENES'!$N417))</f>
        <v/>
      </c>
      <c r="N439" s="24">
        <f>IF('ORDENES'!$A417="","",'ORDENES'!$AG417)</f>
        <v/>
      </c>
    </row>
    <row r="440">
      <c r="A440" s="24">
        <f>IF('ORDENES'!$A418="","",IF('ORDENES'!$O418="","-",'ORDENES'!$O418))</f>
        <v/>
      </c>
      <c r="B440" s="24">
        <f>IF('ORDENES'!$A418="","",IF('ORDENES'!$S418="","-",'ORDENES'!$S418))</f>
        <v/>
      </c>
      <c r="C440" s="24">
        <f>IF('ORDENES'!$A418="","",IF('ORDENES'!$AI418="","-",'ORDENES'!$AI418))</f>
        <v/>
      </c>
      <c r="D440" s="24">
        <f>IF('ORDENES'!$A418="","",IF('ORDENES'!$AA418="","-",'ORDENES'!$AA418))</f>
        <v/>
      </c>
      <c r="E440" s="24">
        <f>IF('ORDENES'!$A418="","",IF('ORDENES'!$Y418="","-",'ORDENES'!$Y418))</f>
        <v/>
      </c>
      <c r="F440" s="24">
        <f>IF('ORDENES'!$A418="","",IF('ORDENES'!$AB418="","-",'ORDENES'!$AB418))</f>
        <v/>
      </c>
      <c r="G440" s="24">
        <f>IF('ORDENES'!$A418="","",IF('ORDENES'!$Z418="","-",'ORDENES'!$Z418))</f>
        <v/>
      </c>
      <c r="H440" s="24">
        <f>IF('ORDENES'!$A418="","",IF('ORDENES'!$AH418="","-",'ORDENES'!$AH418))</f>
        <v/>
      </c>
      <c r="I440" s="24">
        <f>IF('ORDENES'!$A418="","",IF('ORDENES'!$AU418="","-",'ORDENES'!$AU418))</f>
        <v/>
      </c>
      <c r="J440" s="24">
        <f>IF('ORDENES'!$A418="","",IF('ORDENES'!$D418="","-",'ORDENES'!$D418))</f>
        <v/>
      </c>
      <c r="K440" s="24">
        <f>IF('ORDENES'!$A418="","",IF('ORDENES'!$E418="","-",'ORDENES'!$E418))</f>
        <v/>
      </c>
      <c r="L440" s="26">
        <f>IF('ORDENES'!$A418="","",IF('ORDENES'!$M418="",0,'ORDENES'!$M418))</f>
        <v/>
      </c>
      <c r="M440" s="24">
        <f>IF('ORDENES'!$A418="","",IF('ORDENES'!$N418="","-",'ORDENES'!$N418))</f>
        <v/>
      </c>
      <c r="N440" s="24">
        <f>IF('ORDENES'!$A418="","",'ORDENES'!$AG418)</f>
        <v/>
      </c>
    </row>
    <row r="441">
      <c r="A441" s="24">
        <f>IF('ORDENES'!$A419="","",IF('ORDENES'!$O419="","-",'ORDENES'!$O419))</f>
        <v/>
      </c>
      <c r="B441" s="24">
        <f>IF('ORDENES'!$A419="","",IF('ORDENES'!$S419="","-",'ORDENES'!$S419))</f>
        <v/>
      </c>
      <c r="C441" s="24">
        <f>IF('ORDENES'!$A419="","",IF('ORDENES'!$AI419="","-",'ORDENES'!$AI419))</f>
        <v/>
      </c>
      <c r="D441" s="24">
        <f>IF('ORDENES'!$A419="","",IF('ORDENES'!$AA419="","-",'ORDENES'!$AA419))</f>
        <v/>
      </c>
      <c r="E441" s="24">
        <f>IF('ORDENES'!$A419="","",IF('ORDENES'!$Y419="","-",'ORDENES'!$Y419))</f>
        <v/>
      </c>
      <c r="F441" s="24">
        <f>IF('ORDENES'!$A419="","",IF('ORDENES'!$AB419="","-",'ORDENES'!$AB419))</f>
        <v/>
      </c>
      <c r="G441" s="24">
        <f>IF('ORDENES'!$A419="","",IF('ORDENES'!$Z419="","-",'ORDENES'!$Z419))</f>
        <v/>
      </c>
      <c r="H441" s="24">
        <f>IF('ORDENES'!$A419="","",IF('ORDENES'!$AH419="","-",'ORDENES'!$AH419))</f>
        <v/>
      </c>
      <c r="I441" s="24">
        <f>IF('ORDENES'!$A419="","",IF('ORDENES'!$AU419="","-",'ORDENES'!$AU419))</f>
        <v/>
      </c>
      <c r="J441" s="24">
        <f>IF('ORDENES'!$A419="","",IF('ORDENES'!$D419="","-",'ORDENES'!$D419))</f>
        <v/>
      </c>
      <c r="K441" s="24">
        <f>IF('ORDENES'!$A419="","",IF('ORDENES'!$E419="","-",'ORDENES'!$E419))</f>
        <v/>
      </c>
      <c r="L441" s="26">
        <f>IF('ORDENES'!$A419="","",IF('ORDENES'!$M419="",0,'ORDENES'!$M419))</f>
        <v/>
      </c>
      <c r="M441" s="24">
        <f>IF('ORDENES'!$A419="","",IF('ORDENES'!$N419="","-",'ORDENES'!$N419))</f>
        <v/>
      </c>
      <c r="N441" s="24">
        <f>IF('ORDENES'!$A419="","",'ORDENES'!$AG419)</f>
        <v/>
      </c>
    </row>
    <row r="442">
      <c r="A442" s="24">
        <f>IF('ORDENES'!$A420="","",IF('ORDENES'!$O420="","-",'ORDENES'!$O420))</f>
        <v/>
      </c>
      <c r="B442" s="24">
        <f>IF('ORDENES'!$A420="","",IF('ORDENES'!$S420="","-",'ORDENES'!$S420))</f>
        <v/>
      </c>
      <c r="C442" s="24">
        <f>IF('ORDENES'!$A420="","",IF('ORDENES'!$AI420="","-",'ORDENES'!$AI420))</f>
        <v/>
      </c>
      <c r="D442" s="24">
        <f>IF('ORDENES'!$A420="","",IF('ORDENES'!$AA420="","-",'ORDENES'!$AA420))</f>
        <v/>
      </c>
      <c r="E442" s="24">
        <f>IF('ORDENES'!$A420="","",IF('ORDENES'!$Y420="","-",'ORDENES'!$Y420))</f>
        <v/>
      </c>
      <c r="F442" s="24">
        <f>IF('ORDENES'!$A420="","",IF('ORDENES'!$AB420="","-",'ORDENES'!$AB420))</f>
        <v/>
      </c>
      <c r="G442" s="24">
        <f>IF('ORDENES'!$A420="","",IF('ORDENES'!$Z420="","-",'ORDENES'!$Z420))</f>
        <v/>
      </c>
      <c r="H442" s="24">
        <f>IF('ORDENES'!$A420="","",IF('ORDENES'!$AH420="","-",'ORDENES'!$AH420))</f>
        <v/>
      </c>
      <c r="I442" s="24">
        <f>IF('ORDENES'!$A420="","",IF('ORDENES'!$AU420="","-",'ORDENES'!$AU420))</f>
        <v/>
      </c>
      <c r="J442" s="24">
        <f>IF('ORDENES'!$A420="","",IF('ORDENES'!$D420="","-",'ORDENES'!$D420))</f>
        <v/>
      </c>
      <c r="K442" s="24">
        <f>IF('ORDENES'!$A420="","",IF('ORDENES'!$E420="","-",'ORDENES'!$E420))</f>
        <v/>
      </c>
      <c r="L442" s="26">
        <f>IF('ORDENES'!$A420="","",IF('ORDENES'!$M420="",0,'ORDENES'!$M420))</f>
        <v/>
      </c>
      <c r="M442" s="24">
        <f>IF('ORDENES'!$A420="","",IF('ORDENES'!$N420="","-",'ORDENES'!$N420))</f>
        <v/>
      </c>
      <c r="N442" s="24">
        <f>IF('ORDENES'!$A420="","",'ORDENES'!$AG420)</f>
        <v/>
      </c>
    </row>
    <row r="443">
      <c r="A443" s="24">
        <f>IF('ORDENES'!$A421="","",IF('ORDENES'!$O421="","-",'ORDENES'!$O421))</f>
        <v/>
      </c>
      <c r="B443" s="24">
        <f>IF('ORDENES'!$A421="","",IF('ORDENES'!$S421="","-",'ORDENES'!$S421))</f>
        <v/>
      </c>
      <c r="C443" s="24">
        <f>IF('ORDENES'!$A421="","",IF('ORDENES'!$AI421="","-",'ORDENES'!$AI421))</f>
        <v/>
      </c>
      <c r="D443" s="24">
        <f>IF('ORDENES'!$A421="","",IF('ORDENES'!$AA421="","-",'ORDENES'!$AA421))</f>
        <v/>
      </c>
      <c r="E443" s="24">
        <f>IF('ORDENES'!$A421="","",IF('ORDENES'!$Y421="","-",'ORDENES'!$Y421))</f>
        <v/>
      </c>
      <c r="F443" s="24">
        <f>IF('ORDENES'!$A421="","",IF('ORDENES'!$AB421="","-",'ORDENES'!$AB421))</f>
        <v/>
      </c>
      <c r="G443" s="24">
        <f>IF('ORDENES'!$A421="","",IF('ORDENES'!$Z421="","-",'ORDENES'!$Z421))</f>
        <v/>
      </c>
      <c r="H443" s="24">
        <f>IF('ORDENES'!$A421="","",IF('ORDENES'!$AH421="","-",'ORDENES'!$AH421))</f>
        <v/>
      </c>
      <c r="I443" s="24">
        <f>IF('ORDENES'!$A421="","",IF('ORDENES'!$AU421="","-",'ORDENES'!$AU421))</f>
        <v/>
      </c>
      <c r="J443" s="24">
        <f>IF('ORDENES'!$A421="","",IF('ORDENES'!$D421="","-",'ORDENES'!$D421))</f>
        <v/>
      </c>
      <c r="K443" s="24">
        <f>IF('ORDENES'!$A421="","",IF('ORDENES'!$E421="","-",'ORDENES'!$E421))</f>
        <v/>
      </c>
      <c r="L443" s="26">
        <f>IF('ORDENES'!$A421="","",IF('ORDENES'!$M421="",0,'ORDENES'!$M421))</f>
        <v/>
      </c>
      <c r="M443" s="24">
        <f>IF('ORDENES'!$A421="","",IF('ORDENES'!$N421="","-",'ORDENES'!$N421))</f>
        <v/>
      </c>
      <c r="N443" s="24">
        <f>IF('ORDENES'!$A421="","",'ORDENES'!$AG421)</f>
        <v/>
      </c>
    </row>
    <row r="444">
      <c r="A444" s="24">
        <f>IF('ORDENES'!$A422="","",IF('ORDENES'!$O422="","-",'ORDENES'!$O422))</f>
        <v/>
      </c>
      <c r="B444" s="24">
        <f>IF('ORDENES'!$A422="","",IF('ORDENES'!$S422="","-",'ORDENES'!$S422))</f>
        <v/>
      </c>
      <c r="C444" s="24">
        <f>IF('ORDENES'!$A422="","",IF('ORDENES'!$AI422="","-",'ORDENES'!$AI422))</f>
        <v/>
      </c>
      <c r="D444" s="24">
        <f>IF('ORDENES'!$A422="","",IF('ORDENES'!$AA422="","-",'ORDENES'!$AA422))</f>
        <v/>
      </c>
      <c r="E444" s="24">
        <f>IF('ORDENES'!$A422="","",IF('ORDENES'!$Y422="","-",'ORDENES'!$Y422))</f>
        <v/>
      </c>
      <c r="F444" s="24">
        <f>IF('ORDENES'!$A422="","",IF('ORDENES'!$AB422="","-",'ORDENES'!$AB422))</f>
        <v/>
      </c>
      <c r="G444" s="24">
        <f>IF('ORDENES'!$A422="","",IF('ORDENES'!$Z422="","-",'ORDENES'!$Z422))</f>
        <v/>
      </c>
      <c r="H444" s="24">
        <f>IF('ORDENES'!$A422="","",IF('ORDENES'!$AH422="","-",'ORDENES'!$AH422))</f>
        <v/>
      </c>
      <c r="I444" s="24">
        <f>IF('ORDENES'!$A422="","",IF('ORDENES'!$AU422="","-",'ORDENES'!$AU422))</f>
        <v/>
      </c>
      <c r="J444" s="24">
        <f>IF('ORDENES'!$A422="","",IF('ORDENES'!$D422="","-",'ORDENES'!$D422))</f>
        <v/>
      </c>
      <c r="K444" s="24">
        <f>IF('ORDENES'!$A422="","",IF('ORDENES'!$E422="","-",'ORDENES'!$E422))</f>
        <v/>
      </c>
      <c r="L444" s="26">
        <f>IF('ORDENES'!$A422="","",IF('ORDENES'!$M422="",0,'ORDENES'!$M422))</f>
        <v/>
      </c>
      <c r="M444" s="24">
        <f>IF('ORDENES'!$A422="","",IF('ORDENES'!$N422="","-",'ORDENES'!$N422))</f>
        <v/>
      </c>
      <c r="N444" s="24">
        <f>IF('ORDENES'!$A422="","",'ORDENES'!$AG422)</f>
        <v/>
      </c>
    </row>
    <row r="445">
      <c r="A445" s="24">
        <f>IF('ORDENES'!$A423="","",IF('ORDENES'!$O423="","-",'ORDENES'!$O423))</f>
        <v/>
      </c>
      <c r="B445" s="24">
        <f>IF('ORDENES'!$A423="","",IF('ORDENES'!$S423="","-",'ORDENES'!$S423))</f>
        <v/>
      </c>
      <c r="C445" s="24">
        <f>IF('ORDENES'!$A423="","",IF('ORDENES'!$AI423="","-",'ORDENES'!$AI423))</f>
        <v/>
      </c>
      <c r="D445" s="24">
        <f>IF('ORDENES'!$A423="","",IF('ORDENES'!$AA423="","-",'ORDENES'!$AA423))</f>
        <v/>
      </c>
      <c r="E445" s="24">
        <f>IF('ORDENES'!$A423="","",IF('ORDENES'!$Y423="","-",'ORDENES'!$Y423))</f>
        <v/>
      </c>
      <c r="F445" s="24">
        <f>IF('ORDENES'!$A423="","",IF('ORDENES'!$AB423="","-",'ORDENES'!$AB423))</f>
        <v/>
      </c>
      <c r="G445" s="24">
        <f>IF('ORDENES'!$A423="","",IF('ORDENES'!$Z423="","-",'ORDENES'!$Z423))</f>
        <v/>
      </c>
      <c r="H445" s="24">
        <f>IF('ORDENES'!$A423="","",IF('ORDENES'!$AH423="","-",'ORDENES'!$AH423))</f>
        <v/>
      </c>
      <c r="I445" s="24">
        <f>IF('ORDENES'!$A423="","",IF('ORDENES'!$AU423="","-",'ORDENES'!$AU423))</f>
        <v/>
      </c>
      <c r="J445" s="24">
        <f>IF('ORDENES'!$A423="","",IF('ORDENES'!$D423="","-",'ORDENES'!$D423))</f>
        <v/>
      </c>
      <c r="K445" s="24">
        <f>IF('ORDENES'!$A423="","",IF('ORDENES'!$E423="","-",'ORDENES'!$E423))</f>
        <v/>
      </c>
      <c r="L445" s="26">
        <f>IF('ORDENES'!$A423="","",IF('ORDENES'!$M423="",0,'ORDENES'!$M423))</f>
        <v/>
      </c>
      <c r="M445" s="24">
        <f>IF('ORDENES'!$A423="","",IF('ORDENES'!$N423="","-",'ORDENES'!$N423))</f>
        <v/>
      </c>
      <c r="N445" s="24">
        <f>IF('ORDENES'!$A423="","",'ORDENES'!$AG423)</f>
        <v/>
      </c>
    </row>
    <row r="446">
      <c r="A446" s="24">
        <f>IF('ORDENES'!$A424="","",IF('ORDENES'!$O424="","-",'ORDENES'!$O424))</f>
        <v/>
      </c>
      <c r="B446" s="24">
        <f>IF('ORDENES'!$A424="","",IF('ORDENES'!$S424="","-",'ORDENES'!$S424))</f>
        <v/>
      </c>
      <c r="C446" s="24">
        <f>IF('ORDENES'!$A424="","",IF('ORDENES'!$AI424="","-",'ORDENES'!$AI424))</f>
        <v/>
      </c>
      <c r="D446" s="24">
        <f>IF('ORDENES'!$A424="","",IF('ORDENES'!$AA424="","-",'ORDENES'!$AA424))</f>
        <v/>
      </c>
      <c r="E446" s="24">
        <f>IF('ORDENES'!$A424="","",IF('ORDENES'!$Y424="","-",'ORDENES'!$Y424))</f>
        <v/>
      </c>
      <c r="F446" s="24">
        <f>IF('ORDENES'!$A424="","",IF('ORDENES'!$AB424="","-",'ORDENES'!$AB424))</f>
        <v/>
      </c>
      <c r="G446" s="24">
        <f>IF('ORDENES'!$A424="","",IF('ORDENES'!$Z424="","-",'ORDENES'!$Z424))</f>
        <v/>
      </c>
      <c r="H446" s="24">
        <f>IF('ORDENES'!$A424="","",IF('ORDENES'!$AH424="","-",'ORDENES'!$AH424))</f>
        <v/>
      </c>
      <c r="I446" s="24">
        <f>IF('ORDENES'!$A424="","",IF('ORDENES'!$AU424="","-",'ORDENES'!$AU424))</f>
        <v/>
      </c>
      <c r="J446" s="24">
        <f>IF('ORDENES'!$A424="","",IF('ORDENES'!$D424="","-",'ORDENES'!$D424))</f>
        <v/>
      </c>
      <c r="K446" s="24">
        <f>IF('ORDENES'!$A424="","",IF('ORDENES'!$E424="","-",'ORDENES'!$E424))</f>
        <v/>
      </c>
      <c r="L446" s="26">
        <f>IF('ORDENES'!$A424="","",IF('ORDENES'!$M424="",0,'ORDENES'!$M424))</f>
        <v/>
      </c>
      <c r="M446" s="24">
        <f>IF('ORDENES'!$A424="","",IF('ORDENES'!$N424="","-",'ORDENES'!$N424))</f>
        <v/>
      </c>
      <c r="N446" s="24">
        <f>IF('ORDENES'!$A424="","",'ORDENES'!$AG424)</f>
        <v/>
      </c>
    </row>
    <row r="447">
      <c r="A447" s="24">
        <f>IF('ORDENES'!$A425="","",IF('ORDENES'!$O425="","-",'ORDENES'!$O425))</f>
        <v/>
      </c>
      <c r="B447" s="24">
        <f>IF('ORDENES'!$A425="","",IF('ORDENES'!$S425="","-",'ORDENES'!$S425))</f>
        <v/>
      </c>
      <c r="C447" s="24">
        <f>IF('ORDENES'!$A425="","",IF('ORDENES'!$AI425="","-",'ORDENES'!$AI425))</f>
        <v/>
      </c>
      <c r="D447" s="24">
        <f>IF('ORDENES'!$A425="","",IF('ORDENES'!$AA425="","-",'ORDENES'!$AA425))</f>
        <v/>
      </c>
      <c r="E447" s="24">
        <f>IF('ORDENES'!$A425="","",IF('ORDENES'!$Y425="","-",'ORDENES'!$Y425))</f>
        <v/>
      </c>
      <c r="F447" s="24">
        <f>IF('ORDENES'!$A425="","",IF('ORDENES'!$AB425="","-",'ORDENES'!$AB425))</f>
        <v/>
      </c>
      <c r="G447" s="24">
        <f>IF('ORDENES'!$A425="","",IF('ORDENES'!$Z425="","-",'ORDENES'!$Z425))</f>
        <v/>
      </c>
      <c r="H447" s="24">
        <f>IF('ORDENES'!$A425="","",IF('ORDENES'!$AH425="","-",'ORDENES'!$AH425))</f>
        <v/>
      </c>
      <c r="I447" s="24">
        <f>IF('ORDENES'!$A425="","",IF('ORDENES'!$AU425="","-",'ORDENES'!$AU425))</f>
        <v/>
      </c>
      <c r="J447" s="24">
        <f>IF('ORDENES'!$A425="","",IF('ORDENES'!$D425="","-",'ORDENES'!$D425))</f>
        <v/>
      </c>
      <c r="K447" s="24">
        <f>IF('ORDENES'!$A425="","",IF('ORDENES'!$E425="","-",'ORDENES'!$E425))</f>
        <v/>
      </c>
      <c r="L447" s="26">
        <f>IF('ORDENES'!$A425="","",IF('ORDENES'!$M425="",0,'ORDENES'!$M425))</f>
        <v/>
      </c>
      <c r="M447" s="24">
        <f>IF('ORDENES'!$A425="","",IF('ORDENES'!$N425="","-",'ORDENES'!$N425))</f>
        <v/>
      </c>
      <c r="N447" s="24">
        <f>IF('ORDENES'!$A425="","",'ORDENES'!$AG425)</f>
        <v/>
      </c>
    </row>
    <row r="448">
      <c r="A448" s="24">
        <f>IF('ORDENES'!$A426="","",IF('ORDENES'!$O426="","-",'ORDENES'!$O426))</f>
        <v/>
      </c>
      <c r="B448" s="24">
        <f>IF('ORDENES'!$A426="","",IF('ORDENES'!$S426="","-",'ORDENES'!$S426))</f>
        <v/>
      </c>
      <c r="C448" s="24">
        <f>IF('ORDENES'!$A426="","",IF('ORDENES'!$AI426="","-",'ORDENES'!$AI426))</f>
        <v/>
      </c>
      <c r="D448" s="24">
        <f>IF('ORDENES'!$A426="","",IF('ORDENES'!$AA426="","-",'ORDENES'!$AA426))</f>
        <v/>
      </c>
      <c r="E448" s="24">
        <f>IF('ORDENES'!$A426="","",IF('ORDENES'!$Y426="","-",'ORDENES'!$Y426))</f>
        <v/>
      </c>
      <c r="F448" s="24">
        <f>IF('ORDENES'!$A426="","",IF('ORDENES'!$AB426="","-",'ORDENES'!$AB426))</f>
        <v/>
      </c>
      <c r="G448" s="24">
        <f>IF('ORDENES'!$A426="","",IF('ORDENES'!$Z426="","-",'ORDENES'!$Z426))</f>
        <v/>
      </c>
      <c r="H448" s="24">
        <f>IF('ORDENES'!$A426="","",IF('ORDENES'!$AH426="","-",'ORDENES'!$AH426))</f>
        <v/>
      </c>
      <c r="I448" s="24">
        <f>IF('ORDENES'!$A426="","",IF('ORDENES'!$AU426="","-",'ORDENES'!$AU426))</f>
        <v/>
      </c>
      <c r="J448" s="24">
        <f>IF('ORDENES'!$A426="","",IF('ORDENES'!$D426="","-",'ORDENES'!$D426))</f>
        <v/>
      </c>
      <c r="K448" s="24">
        <f>IF('ORDENES'!$A426="","",IF('ORDENES'!$E426="","-",'ORDENES'!$E426))</f>
        <v/>
      </c>
      <c r="L448" s="26">
        <f>IF('ORDENES'!$A426="","",IF('ORDENES'!$M426="",0,'ORDENES'!$M426))</f>
        <v/>
      </c>
      <c r="M448" s="24">
        <f>IF('ORDENES'!$A426="","",IF('ORDENES'!$N426="","-",'ORDENES'!$N426))</f>
        <v/>
      </c>
      <c r="N448" s="24">
        <f>IF('ORDENES'!$A426="","",'ORDENES'!$AG426)</f>
        <v/>
      </c>
    </row>
    <row r="449">
      <c r="A449" s="24">
        <f>IF('ORDENES'!$A427="","",IF('ORDENES'!$O427="","-",'ORDENES'!$O427))</f>
        <v/>
      </c>
      <c r="B449" s="24">
        <f>IF('ORDENES'!$A427="","",IF('ORDENES'!$S427="","-",'ORDENES'!$S427))</f>
        <v/>
      </c>
      <c r="C449" s="24">
        <f>IF('ORDENES'!$A427="","",IF('ORDENES'!$AI427="","-",'ORDENES'!$AI427))</f>
        <v/>
      </c>
      <c r="D449" s="24">
        <f>IF('ORDENES'!$A427="","",IF('ORDENES'!$AA427="","-",'ORDENES'!$AA427))</f>
        <v/>
      </c>
      <c r="E449" s="24">
        <f>IF('ORDENES'!$A427="","",IF('ORDENES'!$Y427="","-",'ORDENES'!$Y427))</f>
        <v/>
      </c>
      <c r="F449" s="24">
        <f>IF('ORDENES'!$A427="","",IF('ORDENES'!$AB427="","-",'ORDENES'!$AB427))</f>
        <v/>
      </c>
      <c r="G449" s="24">
        <f>IF('ORDENES'!$A427="","",IF('ORDENES'!$Z427="","-",'ORDENES'!$Z427))</f>
        <v/>
      </c>
      <c r="H449" s="24">
        <f>IF('ORDENES'!$A427="","",IF('ORDENES'!$AH427="","-",'ORDENES'!$AH427))</f>
        <v/>
      </c>
      <c r="I449" s="24">
        <f>IF('ORDENES'!$A427="","",IF('ORDENES'!$AU427="","-",'ORDENES'!$AU427))</f>
        <v/>
      </c>
      <c r="J449" s="24">
        <f>IF('ORDENES'!$A427="","",IF('ORDENES'!$D427="","-",'ORDENES'!$D427))</f>
        <v/>
      </c>
      <c r="K449" s="24">
        <f>IF('ORDENES'!$A427="","",IF('ORDENES'!$E427="","-",'ORDENES'!$E427))</f>
        <v/>
      </c>
      <c r="L449" s="26">
        <f>IF('ORDENES'!$A427="","",IF('ORDENES'!$M427="",0,'ORDENES'!$M427))</f>
        <v/>
      </c>
      <c r="M449" s="24">
        <f>IF('ORDENES'!$A427="","",IF('ORDENES'!$N427="","-",'ORDENES'!$N427))</f>
        <v/>
      </c>
      <c r="N449" s="24">
        <f>IF('ORDENES'!$A427="","",'ORDENES'!$AG427)</f>
        <v/>
      </c>
    </row>
    <row r="450">
      <c r="A450" s="24">
        <f>IF('ORDENES'!$A428="","",IF('ORDENES'!$O428="","-",'ORDENES'!$O428))</f>
        <v/>
      </c>
      <c r="B450" s="24">
        <f>IF('ORDENES'!$A428="","",IF('ORDENES'!$S428="","-",'ORDENES'!$S428))</f>
        <v/>
      </c>
      <c r="C450" s="24">
        <f>IF('ORDENES'!$A428="","",IF('ORDENES'!$AI428="","-",'ORDENES'!$AI428))</f>
        <v/>
      </c>
      <c r="D450" s="24">
        <f>IF('ORDENES'!$A428="","",IF('ORDENES'!$AA428="","-",'ORDENES'!$AA428))</f>
        <v/>
      </c>
      <c r="E450" s="24">
        <f>IF('ORDENES'!$A428="","",IF('ORDENES'!$Y428="","-",'ORDENES'!$Y428))</f>
        <v/>
      </c>
      <c r="F450" s="24">
        <f>IF('ORDENES'!$A428="","",IF('ORDENES'!$AB428="","-",'ORDENES'!$AB428))</f>
        <v/>
      </c>
      <c r="G450" s="24">
        <f>IF('ORDENES'!$A428="","",IF('ORDENES'!$Z428="","-",'ORDENES'!$Z428))</f>
        <v/>
      </c>
      <c r="H450" s="24">
        <f>IF('ORDENES'!$A428="","",IF('ORDENES'!$AH428="","-",'ORDENES'!$AH428))</f>
        <v/>
      </c>
      <c r="I450" s="24">
        <f>IF('ORDENES'!$A428="","",IF('ORDENES'!$AU428="","-",'ORDENES'!$AU428))</f>
        <v/>
      </c>
      <c r="J450" s="24">
        <f>IF('ORDENES'!$A428="","",IF('ORDENES'!$D428="","-",'ORDENES'!$D428))</f>
        <v/>
      </c>
      <c r="K450" s="24">
        <f>IF('ORDENES'!$A428="","",IF('ORDENES'!$E428="","-",'ORDENES'!$E428))</f>
        <v/>
      </c>
      <c r="L450" s="26">
        <f>IF('ORDENES'!$A428="","",IF('ORDENES'!$M428="",0,'ORDENES'!$M428))</f>
        <v/>
      </c>
      <c r="M450" s="24">
        <f>IF('ORDENES'!$A428="","",IF('ORDENES'!$N428="","-",'ORDENES'!$N428))</f>
        <v/>
      </c>
      <c r="N450" s="24">
        <f>IF('ORDENES'!$A428="","",'ORDENES'!$AG428)</f>
        <v/>
      </c>
    </row>
    <row r="451">
      <c r="A451" s="24">
        <f>IF('ORDENES'!$A429="","",IF('ORDENES'!$O429="","-",'ORDENES'!$O429))</f>
        <v/>
      </c>
      <c r="B451" s="24">
        <f>IF('ORDENES'!$A429="","",IF('ORDENES'!$S429="","-",'ORDENES'!$S429))</f>
        <v/>
      </c>
      <c r="C451" s="24">
        <f>IF('ORDENES'!$A429="","",IF('ORDENES'!$AI429="","-",'ORDENES'!$AI429))</f>
        <v/>
      </c>
      <c r="D451" s="24">
        <f>IF('ORDENES'!$A429="","",IF('ORDENES'!$AA429="","-",'ORDENES'!$AA429))</f>
        <v/>
      </c>
      <c r="E451" s="24">
        <f>IF('ORDENES'!$A429="","",IF('ORDENES'!$Y429="","-",'ORDENES'!$Y429))</f>
        <v/>
      </c>
      <c r="F451" s="24">
        <f>IF('ORDENES'!$A429="","",IF('ORDENES'!$AB429="","-",'ORDENES'!$AB429))</f>
        <v/>
      </c>
      <c r="G451" s="24">
        <f>IF('ORDENES'!$A429="","",IF('ORDENES'!$Z429="","-",'ORDENES'!$Z429))</f>
        <v/>
      </c>
      <c r="H451" s="24">
        <f>IF('ORDENES'!$A429="","",IF('ORDENES'!$AH429="","-",'ORDENES'!$AH429))</f>
        <v/>
      </c>
      <c r="I451" s="24">
        <f>IF('ORDENES'!$A429="","",IF('ORDENES'!$AU429="","-",'ORDENES'!$AU429))</f>
        <v/>
      </c>
      <c r="J451" s="24">
        <f>IF('ORDENES'!$A429="","",IF('ORDENES'!$D429="","-",'ORDENES'!$D429))</f>
        <v/>
      </c>
      <c r="K451" s="24">
        <f>IF('ORDENES'!$A429="","",IF('ORDENES'!$E429="","-",'ORDENES'!$E429))</f>
        <v/>
      </c>
      <c r="L451" s="26">
        <f>IF('ORDENES'!$A429="","",IF('ORDENES'!$M429="",0,'ORDENES'!$M429))</f>
        <v/>
      </c>
      <c r="M451" s="24">
        <f>IF('ORDENES'!$A429="","",IF('ORDENES'!$N429="","-",'ORDENES'!$N429))</f>
        <v/>
      </c>
      <c r="N451" s="24">
        <f>IF('ORDENES'!$A429="","",'ORDENES'!$AG429)</f>
        <v/>
      </c>
    </row>
    <row r="452">
      <c r="A452" s="24">
        <f>IF('ORDENES'!$A430="","",IF('ORDENES'!$O430="","-",'ORDENES'!$O430))</f>
        <v/>
      </c>
      <c r="B452" s="24">
        <f>IF('ORDENES'!$A430="","",IF('ORDENES'!$S430="","-",'ORDENES'!$S430))</f>
        <v/>
      </c>
      <c r="C452" s="24">
        <f>IF('ORDENES'!$A430="","",IF('ORDENES'!$AI430="","-",'ORDENES'!$AI430))</f>
        <v/>
      </c>
      <c r="D452" s="24">
        <f>IF('ORDENES'!$A430="","",IF('ORDENES'!$AA430="","-",'ORDENES'!$AA430))</f>
        <v/>
      </c>
      <c r="E452" s="24">
        <f>IF('ORDENES'!$A430="","",IF('ORDENES'!$Y430="","-",'ORDENES'!$Y430))</f>
        <v/>
      </c>
      <c r="F452" s="24">
        <f>IF('ORDENES'!$A430="","",IF('ORDENES'!$AB430="","-",'ORDENES'!$AB430))</f>
        <v/>
      </c>
      <c r="G452" s="24">
        <f>IF('ORDENES'!$A430="","",IF('ORDENES'!$Z430="","-",'ORDENES'!$Z430))</f>
        <v/>
      </c>
      <c r="H452" s="24">
        <f>IF('ORDENES'!$A430="","",IF('ORDENES'!$AH430="","-",'ORDENES'!$AH430))</f>
        <v/>
      </c>
      <c r="I452" s="24">
        <f>IF('ORDENES'!$A430="","",IF('ORDENES'!$AU430="","-",'ORDENES'!$AU430))</f>
        <v/>
      </c>
      <c r="J452" s="24">
        <f>IF('ORDENES'!$A430="","",IF('ORDENES'!$D430="","-",'ORDENES'!$D430))</f>
        <v/>
      </c>
      <c r="K452" s="24">
        <f>IF('ORDENES'!$A430="","",IF('ORDENES'!$E430="","-",'ORDENES'!$E430))</f>
        <v/>
      </c>
      <c r="L452" s="26">
        <f>IF('ORDENES'!$A430="","",IF('ORDENES'!$M430="",0,'ORDENES'!$M430))</f>
        <v/>
      </c>
      <c r="M452" s="24">
        <f>IF('ORDENES'!$A430="","",IF('ORDENES'!$N430="","-",'ORDENES'!$N430))</f>
        <v/>
      </c>
      <c r="N452" s="24">
        <f>IF('ORDENES'!$A430="","",'ORDENES'!$AG430)</f>
        <v/>
      </c>
    </row>
    <row r="453">
      <c r="A453" s="24">
        <f>IF('ORDENES'!$A431="","",IF('ORDENES'!$O431="","-",'ORDENES'!$O431))</f>
        <v/>
      </c>
      <c r="B453" s="24">
        <f>IF('ORDENES'!$A431="","",IF('ORDENES'!$S431="","-",'ORDENES'!$S431))</f>
        <v/>
      </c>
      <c r="C453" s="24">
        <f>IF('ORDENES'!$A431="","",IF('ORDENES'!$AI431="","-",'ORDENES'!$AI431))</f>
        <v/>
      </c>
      <c r="D453" s="24">
        <f>IF('ORDENES'!$A431="","",IF('ORDENES'!$AA431="","-",'ORDENES'!$AA431))</f>
        <v/>
      </c>
      <c r="E453" s="24">
        <f>IF('ORDENES'!$A431="","",IF('ORDENES'!$Y431="","-",'ORDENES'!$Y431))</f>
        <v/>
      </c>
      <c r="F453" s="24">
        <f>IF('ORDENES'!$A431="","",IF('ORDENES'!$AB431="","-",'ORDENES'!$AB431))</f>
        <v/>
      </c>
      <c r="G453" s="24">
        <f>IF('ORDENES'!$A431="","",IF('ORDENES'!$Z431="","-",'ORDENES'!$Z431))</f>
        <v/>
      </c>
      <c r="H453" s="24">
        <f>IF('ORDENES'!$A431="","",IF('ORDENES'!$AH431="","-",'ORDENES'!$AH431))</f>
        <v/>
      </c>
      <c r="I453" s="24">
        <f>IF('ORDENES'!$A431="","",IF('ORDENES'!$AU431="","-",'ORDENES'!$AU431))</f>
        <v/>
      </c>
      <c r="J453" s="24">
        <f>IF('ORDENES'!$A431="","",IF('ORDENES'!$D431="","-",'ORDENES'!$D431))</f>
        <v/>
      </c>
      <c r="K453" s="24">
        <f>IF('ORDENES'!$A431="","",IF('ORDENES'!$E431="","-",'ORDENES'!$E431))</f>
        <v/>
      </c>
      <c r="L453" s="26">
        <f>IF('ORDENES'!$A431="","",IF('ORDENES'!$M431="",0,'ORDENES'!$M431))</f>
        <v/>
      </c>
      <c r="M453" s="24">
        <f>IF('ORDENES'!$A431="","",IF('ORDENES'!$N431="","-",'ORDENES'!$N431))</f>
        <v/>
      </c>
      <c r="N453" s="24">
        <f>IF('ORDENES'!$A431="","",'ORDENES'!$AG431)</f>
        <v/>
      </c>
    </row>
    <row r="454">
      <c r="A454" s="24">
        <f>IF('ORDENES'!$A432="","",IF('ORDENES'!$O432="","-",'ORDENES'!$O432))</f>
        <v/>
      </c>
      <c r="B454" s="24">
        <f>IF('ORDENES'!$A432="","",IF('ORDENES'!$S432="","-",'ORDENES'!$S432))</f>
        <v/>
      </c>
      <c r="C454" s="24">
        <f>IF('ORDENES'!$A432="","",IF('ORDENES'!$AI432="","-",'ORDENES'!$AI432))</f>
        <v/>
      </c>
      <c r="D454" s="24">
        <f>IF('ORDENES'!$A432="","",IF('ORDENES'!$AA432="","-",'ORDENES'!$AA432))</f>
        <v/>
      </c>
      <c r="E454" s="24">
        <f>IF('ORDENES'!$A432="","",IF('ORDENES'!$Y432="","-",'ORDENES'!$Y432))</f>
        <v/>
      </c>
      <c r="F454" s="24">
        <f>IF('ORDENES'!$A432="","",IF('ORDENES'!$AB432="","-",'ORDENES'!$AB432))</f>
        <v/>
      </c>
      <c r="G454" s="24">
        <f>IF('ORDENES'!$A432="","",IF('ORDENES'!$Z432="","-",'ORDENES'!$Z432))</f>
        <v/>
      </c>
      <c r="H454" s="24">
        <f>IF('ORDENES'!$A432="","",IF('ORDENES'!$AH432="","-",'ORDENES'!$AH432))</f>
        <v/>
      </c>
      <c r="I454" s="24">
        <f>IF('ORDENES'!$A432="","",IF('ORDENES'!$AU432="","-",'ORDENES'!$AU432))</f>
        <v/>
      </c>
      <c r="J454" s="24">
        <f>IF('ORDENES'!$A432="","",IF('ORDENES'!$D432="","-",'ORDENES'!$D432))</f>
        <v/>
      </c>
      <c r="K454" s="24">
        <f>IF('ORDENES'!$A432="","",IF('ORDENES'!$E432="","-",'ORDENES'!$E432))</f>
        <v/>
      </c>
      <c r="L454" s="26">
        <f>IF('ORDENES'!$A432="","",IF('ORDENES'!$M432="",0,'ORDENES'!$M432))</f>
        <v/>
      </c>
      <c r="M454" s="24">
        <f>IF('ORDENES'!$A432="","",IF('ORDENES'!$N432="","-",'ORDENES'!$N432))</f>
        <v/>
      </c>
      <c r="N454" s="24">
        <f>IF('ORDENES'!$A432="","",'ORDENES'!$AG432)</f>
        <v/>
      </c>
    </row>
    <row r="455">
      <c r="A455" s="24">
        <f>IF('ORDENES'!$A433="","",IF('ORDENES'!$O433="","-",'ORDENES'!$O433))</f>
        <v/>
      </c>
      <c r="B455" s="24">
        <f>IF('ORDENES'!$A433="","",IF('ORDENES'!$S433="","-",'ORDENES'!$S433))</f>
        <v/>
      </c>
      <c r="C455" s="24">
        <f>IF('ORDENES'!$A433="","",IF('ORDENES'!$AI433="","-",'ORDENES'!$AI433))</f>
        <v/>
      </c>
      <c r="D455" s="24">
        <f>IF('ORDENES'!$A433="","",IF('ORDENES'!$AA433="","-",'ORDENES'!$AA433))</f>
        <v/>
      </c>
      <c r="E455" s="24">
        <f>IF('ORDENES'!$A433="","",IF('ORDENES'!$Y433="","-",'ORDENES'!$Y433))</f>
        <v/>
      </c>
      <c r="F455" s="24">
        <f>IF('ORDENES'!$A433="","",IF('ORDENES'!$AB433="","-",'ORDENES'!$AB433))</f>
        <v/>
      </c>
      <c r="G455" s="24">
        <f>IF('ORDENES'!$A433="","",IF('ORDENES'!$Z433="","-",'ORDENES'!$Z433))</f>
        <v/>
      </c>
      <c r="H455" s="24">
        <f>IF('ORDENES'!$A433="","",IF('ORDENES'!$AH433="","-",'ORDENES'!$AH433))</f>
        <v/>
      </c>
      <c r="I455" s="24">
        <f>IF('ORDENES'!$A433="","",IF('ORDENES'!$AU433="","-",'ORDENES'!$AU433))</f>
        <v/>
      </c>
      <c r="J455" s="24">
        <f>IF('ORDENES'!$A433="","",IF('ORDENES'!$D433="","-",'ORDENES'!$D433))</f>
        <v/>
      </c>
      <c r="K455" s="24">
        <f>IF('ORDENES'!$A433="","",IF('ORDENES'!$E433="","-",'ORDENES'!$E433))</f>
        <v/>
      </c>
      <c r="L455" s="26">
        <f>IF('ORDENES'!$A433="","",IF('ORDENES'!$M433="",0,'ORDENES'!$M433))</f>
        <v/>
      </c>
      <c r="M455" s="24">
        <f>IF('ORDENES'!$A433="","",IF('ORDENES'!$N433="","-",'ORDENES'!$N433))</f>
        <v/>
      </c>
      <c r="N455" s="24">
        <f>IF('ORDENES'!$A433="","",'ORDENES'!$AG433)</f>
        <v/>
      </c>
    </row>
    <row r="456">
      <c r="A456" s="24">
        <f>IF('ORDENES'!$A434="","",IF('ORDENES'!$O434="","-",'ORDENES'!$O434))</f>
        <v/>
      </c>
      <c r="B456" s="24">
        <f>IF('ORDENES'!$A434="","",IF('ORDENES'!$S434="","-",'ORDENES'!$S434))</f>
        <v/>
      </c>
      <c r="C456" s="24">
        <f>IF('ORDENES'!$A434="","",IF('ORDENES'!$AI434="","-",'ORDENES'!$AI434))</f>
        <v/>
      </c>
      <c r="D456" s="24">
        <f>IF('ORDENES'!$A434="","",IF('ORDENES'!$AA434="","-",'ORDENES'!$AA434))</f>
        <v/>
      </c>
      <c r="E456" s="24">
        <f>IF('ORDENES'!$A434="","",IF('ORDENES'!$Y434="","-",'ORDENES'!$Y434))</f>
        <v/>
      </c>
      <c r="F456" s="24">
        <f>IF('ORDENES'!$A434="","",IF('ORDENES'!$AB434="","-",'ORDENES'!$AB434))</f>
        <v/>
      </c>
      <c r="G456" s="24">
        <f>IF('ORDENES'!$A434="","",IF('ORDENES'!$Z434="","-",'ORDENES'!$Z434))</f>
        <v/>
      </c>
      <c r="H456" s="24">
        <f>IF('ORDENES'!$A434="","",IF('ORDENES'!$AH434="","-",'ORDENES'!$AH434))</f>
        <v/>
      </c>
      <c r="I456" s="24">
        <f>IF('ORDENES'!$A434="","",IF('ORDENES'!$AU434="","-",'ORDENES'!$AU434))</f>
        <v/>
      </c>
      <c r="J456" s="24">
        <f>IF('ORDENES'!$A434="","",IF('ORDENES'!$D434="","-",'ORDENES'!$D434))</f>
        <v/>
      </c>
      <c r="K456" s="24">
        <f>IF('ORDENES'!$A434="","",IF('ORDENES'!$E434="","-",'ORDENES'!$E434))</f>
        <v/>
      </c>
      <c r="L456" s="26">
        <f>IF('ORDENES'!$A434="","",IF('ORDENES'!$M434="",0,'ORDENES'!$M434))</f>
        <v/>
      </c>
      <c r="M456" s="24">
        <f>IF('ORDENES'!$A434="","",IF('ORDENES'!$N434="","-",'ORDENES'!$N434))</f>
        <v/>
      </c>
      <c r="N456" s="24">
        <f>IF('ORDENES'!$A434="","",'ORDENES'!$AG434)</f>
        <v/>
      </c>
    </row>
    <row r="457">
      <c r="A457" s="24">
        <f>IF('ORDENES'!$A435="","",IF('ORDENES'!$O435="","-",'ORDENES'!$O435))</f>
        <v/>
      </c>
      <c r="B457" s="24">
        <f>IF('ORDENES'!$A435="","",IF('ORDENES'!$S435="","-",'ORDENES'!$S435))</f>
        <v/>
      </c>
      <c r="C457" s="24">
        <f>IF('ORDENES'!$A435="","",IF('ORDENES'!$AI435="","-",'ORDENES'!$AI435))</f>
        <v/>
      </c>
      <c r="D457" s="24">
        <f>IF('ORDENES'!$A435="","",IF('ORDENES'!$AA435="","-",'ORDENES'!$AA435))</f>
        <v/>
      </c>
      <c r="E457" s="24">
        <f>IF('ORDENES'!$A435="","",IF('ORDENES'!$Y435="","-",'ORDENES'!$Y435))</f>
        <v/>
      </c>
      <c r="F457" s="24">
        <f>IF('ORDENES'!$A435="","",IF('ORDENES'!$AB435="","-",'ORDENES'!$AB435))</f>
        <v/>
      </c>
      <c r="G457" s="24">
        <f>IF('ORDENES'!$A435="","",IF('ORDENES'!$Z435="","-",'ORDENES'!$Z435))</f>
        <v/>
      </c>
      <c r="H457" s="24">
        <f>IF('ORDENES'!$A435="","",IF('ORDENES'!$AH435="","-",'ORDENES'!$AH435))</f>
        <v/>
      </c>
      <c r="I457" s="24">
        <f>IF('ORDENES'!$A435="","",IF('ORDENES'!$AU435="","-",'ORDENES'!$AU435))</f>
        <v/>
      </c>
      <c r="J457" s="24">
        <f>IF('ORDENES'!$A435="","",IF('ORDENES'!$D435="","-",'ORDENES'!$D435))</f>
        <v/>
      </c>
      <c r="K457" s="24">
        <f>IF('ORDENES'!$A435="","",IF('ORDENES'!$E435="","-",'ORDENES'!$E435))</f>
        <v/>
      </c>
      <c r="L457" s="26">
        <f>IF('ORDENES'!$A435="","",IF('ORDENES'!$M435="",0,'ORDENES'!$M435))</f>
        <v/>
      </c>
      <c r="M457" s="24">
        <f>IF('ORDENES'!$A435="","",IF('ORDENES'!$N435="","-",'ORDENES'!$N435))</f>
        <v/>
      </c>
      <c r="N457" s="24">
        <f>IF('ORDENES'!$A435="","",'ORDENES'!$AG435)</f>
        <v/>
      </c>
    </row>
    <row r="458">
      <c r="A458" s="24">
        <f>IF('ORDENES'!$A436="","",IF('ORDENES'!$O436="","-",'ORDENES'!$O436))</f>
        <v/>
      </c>
      <c r="B458" s="24">
        <f>IF('ORDENES'!$A436="","",IF('ORDENES'!$S436="","-",'ORDENES'!$S436))</f>
        <v/>
      </c>
      <c r="C458" s="24">
        <f>IF('ORDENES'!$A436="","",IF('ORDENES'!$AI436="","-",'ORDENES'!$AI436))</f>
        <v/>
      </c>
      <c r="D458" s="24">
        <f>IF('ORDENES'!$A436="","",IF('ORDENES'!$AA436="","-",'ORDENES'!$AA436))</f>
        <v/>
      </c>
      <c r="E458" s="24">
        <f>IF('ORDENES'!$A436="","",IF('ORDENES'!$Y436="","-",'ORDENES'!$Y436))</f>
        <v/>
      </c>
      <c r="F458" s="24">
        <f>IF('ORDENES'!$A436="","",IF('ORDENES'!$AB436="","-",'ORDENES'!$AB436))</f>
        <v/>
      </c>
      <c r="G458" s="24">
        <f>IF('ORDENES'!$A436="","",IF('ORDENES'!$Z436="","-",'ORDENES'!$Z436))</f>
        <v/>
      </c>
      <c r="H458" s="24">
        <f>IF('ORDENES'!$A436="","",IF('ORDENES'!$AH436="","-",'ORDENES'!$AH436))</f>
        <v/>
      </c>
      <c r="I458" s="24">
        <f>IF('ORDENES'!$A436="","",IF('ORDENES'!$AU436="","-",'ORDENES'!$AU436))</f>
        <v/>
      </c>
      <c r="J458" s="24">
        <f>IF('ORDENES'!$A436="","",IF('ORDENES'!$D436="","-",'ORDENES'!$D436))</f>
        <v/>
      </c>
      <c r="K458" s="24">
        <f>IF('ORDENES'!$A436="","",IF('ORDENES'!$E436="","-",'ORDENES'!$E436))</f>
        <v/>
      </c>
      <c r="L458" s="26">
        <f>IF('ORDENES'!$A436="","",IF('ORDENES'!$M436="",0,'ORDENES'!$M436))</f>
        <v/>
      </c>
      <c r="M458" s="24">
        <f>IF('ORDENES'!$A436="","",IF('ORDENES'!$N436="","-",'ORDENES'!$N436))</f>
        <v/>
      </c>
      <c r="N458" s="24">
        <f>IF('ORDENES'!$A436="","",'ORDENES'!$AG436)</f>
        <v/>
      </c>
    </row>
    <row r="459">
      <c r="A459" s="24">
        <f>IF('ORDENES'!$A437="","",IF('ORDENES'!$O437="","-",'ORDENES'!$O437))</f>
        <v/>
      </c>
      <c r="B459" s="24">
        <f>IF('ORDENES'!$A437="","",IF('ORDENES'!$S437="","-",'ORDENES'!$S437))</f>
        <v/>
      </c>
      <c r="C459" s="24">
        <f>IF('ORDENES'!$A437="","",IF('ORDENES'!$AI437="","-",'ORDENES'!$AI437))</f>
        <v/>
      </c>
      <c r="D459" s="24">
        <f>IF('ORDENES'!$A437="","",IF('ORDENES'!$AA437="","-",'ORDENES'!$AA437))</f>
        <v/>
      </c>
      <c r="E459" s="24">
        <f>IF('ORDENES'!$A437="","",IF('ORDENES'!$Y437="","-",'ORDENES'!$Y437))</f>
        <v/>
      </c>
      <c r="F459" s="24">
        <f>IF('ORDENES'!$A437="","",IF('ORDENES'!$AB437="","-",'ORDENES'!$AB437))</f>
        <v/>
      </c>
      <c r="G459" s="24">
        <f>IF('ORDENES'!$A437="","",IF('ORDENES'!$Z437="","-",'ORDENES'!$Z437))</f>
        <v/>
      </c>
      <c r="H459" s="24">
        <f>IF('ORDENES'!$A437="","",IF('ORDENES'!$AH437="","-",'ORDENES'!$AH437))</f>
        <v/>
      </c>
      <c r="I459" s="24">
        <f>IF('ORDENES'!$A437="","",IF('ORDENES'!$AU437="","-",'ORDENES'!$AU437))</f>
        <v/>
      </c>
      <c r="J459" s="24">
        <f>IF('ORDENES'!$A437="","",IF('ORDENES'!$D437="","-",'ORDENES'!$D437))</f>
        <v/>
      </c>
      <c r="K459" s="24">
        <f>IF('ORDENES'!$A437="","",IF('ORDENES'!$E437="","-",'ORDENES'!$E437))</f>
        <v/>
      </c>
      <c r="L459" s="26">
        <f>IF('ORDENES'!$A437="","",IF('ORDENES'!$M437="",0,'ORDENES'!$M437))</f>
        <v/>
      </c>
      <c r="M459" s="24">
        <f>IF('ORDENES'!$A437="","",IF('ORDENES'!$N437="","-",'ORDENES'!$N437))</f>
        <v/>
      </c>
      <c r="N459" s="24">
        <f>IF('ORDENES'!$A437="","",'ORDENES'!$AG437)</f>
        <v/>
      </c>
    </row>
    <row r="460">
      <c r="A460" s="24">
        <f>IF('ORDENES'!$A438="","",IF('ORDENES'!$O438="","-",'ORDENES'!$O438))</f>
        <v/>
      </c>
      <c r="B460" s="24">
        <f>IF('ORDENES'!$A438="","",IF('ORDENES'!$S438="","-",'ORDENES'!$S438))</f>
        <v/>
      </c>
      <c r="C460" s="24">
        <f>IF('ORDENES'!$A438="","",IF('ORDENES'!$AI438="","-",'ORDENES'!$AI438))</f>
        <v/>
      </c>
      <c r="D460" s="24">
        <f>IF('ORDENES'!$A438="","",IF('ORDENES'!$AA438="","-",'ORDENES'!$AA438))</f>
        <v/>
      </c>
      <c r="E460" s="24">
        <f>IF('ORDENES'!$A438="","",IF('ORDENES'!$Y438="","-",'ORDENES'!$Y438))</f>
        <v/>
      </c>
      <c r="F460" s="24">
        <f>IF('ORDENES'!$A438="","",IF('ORDENES'!$AB438="","-",'ORDENES'!$AB438))</f>
        <v/>
      </c>
      <c r="G460" s="24">
        <f>IF('ORDENES'!$A438="","",IF('ORDENES'!$Z438="","-",'ORDENES'!$Z438))</f>
        <v/>
      </c>
      <c r="H460" s="24">
        <f>IF('ORDENES'!$A438="","",IF('ORDENES'!$AH438="","-",'ORDENES'!$AH438))</f>
        <v/>
      </c>
      <c r="I460" s="24">
        <f>IF('ORDENES'!$A438="","",IF('ORDENES'!$AU438="","-",'ORDENES'!$AU438))</f>
        <v/>
      </c>
      <c r="J460" s="24">
        <f>IF('ORDENES'!$A438="","",IF('ORDENES'!$D438="","-",'ORDENES'!$D438))</f>
        <v/>
      </c>
      <c r="K460" s="24">
        <f>IF('ORDENES'!$A438="","",IF('ORDENES'!$E438="","-",'ORDENES'!$E438))</f>
        <v/>
      </c>
      <c r="L460" s="26">
        <f>IF('ORDENES'!$A438="","",IF('ORDENES'!$M438="",0,'ORDENES'!$M438))</f>
        <v/>
      </c>
      <c r="M460" s="24">
        <f>IF('ORDENES'!$A438="","",IF('ORDENES'!$N438="","-",'ORDENES'!$N438))</f>
        <v/>
      </c>
      <c r="N460" s="24">
        <f>IF('ORDENES'!$A438="","",'ORDENES'!$AG438)</f>
        <v/>
      </c>
    </row>
    <row r="461">
      <c r="A461" s="24">
        <f>IF('ORDENES'!$A439="","",IF('ORDENES'!$O439="","-",'ORDENES'!$O439))</f>
        <v/>
      </c>
      <c r="B461" s="24">
        <f>IF('ORDENES'!$A439="","",IF('ORDENES'!$S439="","-",'ORDENES'!$S439))</f>
        <v/>
      </c>
      <c r="C461" s="24">
        <f>IF('ORDENES'!$A439="","",IF('ORDENES'!$AI439="","-",'ORDENES'!$AI439))</f>
        <v/>
      </c>
      <c r="D461" s="24">
        <f>IF('ORDENES'!$A439="","",IF('ORDENES'!$AA439="","-",'ORDENES'!$AA439))</f>
        <v/>
      </c>
      <c r="E461" s="24">
        <f>IF('ORDENES'!$A439="","",IF('ORDENES'!$Y439="","-",'ORDENES'!$Y439))</f>
        <v/>
      </c>
      <c r="F461" s="24">
        <f>IF('ORDENES'!$A439="","",IF('ORDENES'!$AB439="","-",'ORDENES'!$AB439))</f>
        <v/>
      </c>
      <c r="G461" s="24">
        <f>IF('ORDENES'!$A439="","",IF('ORDENES'!$Z439="","-",'ORDENES'!$Z439))</f>
        <v/>
      </c>
      <c r="H461" s="24">
        <f>IF('ORDENES'!$A439="","",IF('ORDENES'!$AH439="","-",'ORDENES'!$AH439))</f>
        <v/>
      </c>
      <c r="I461" s="24">
        <f>IF('ORDENES'!$A439="","",IF('ORDENES'!$AU439="","-",'ORDENES'!$AU439))</f>
        <v/>
      </c>
      <c r="J461" s="24">
        <f>IF('ORDENES'!$A439="","",IF('ORDENES'!$D439="","-",'ORDENES'!$D439))</f>
        <v/>
      </c>
      <c r="K461" s="24">
        <f>IF('ORDENES'!$A439="","",IF('ORDENES'!$E439="","-",'ORDENES'!$E439))</f>
        <v/>
      </c>
      <c r="L461" s="26">
        <f>IF('ORDENES'!$A439="","",IF('ORDENES'!$M439="",0,'ORDENES'!$M439))</f>
        <v/>
      </c>
      <c r="M461" s="24">
        <f>IF('ORDENES'!$A439="","",IF('ORDENES'!$N439="","-",'ORDENES'!$N439))</f>
        <v/>
      </c>
      <c r="N461" s="24">
        <f>IF('ORDENES'!$A439="","",'ORDENES'!$AG439)</f>
        <v/>
      </c>
    </row>
    <row r="462">
      <c r="A462" s="24">
        <f>IF('ORDENES'!$A440="","",IF('ORDENES'!$O440="","-",'ORDENES'!$O440))</f>
        <v/>
      </c>
      <c r="B462" s="24">
        <f>IF('ORDENES'!$A440="","",IF('ORDENES'!$S440="","-",'ORDENES'!$S440))</f>
        <v/>
      </c>
      <c r="C462" s="24">
        <f>IF('ORDENES'!$A440="","",IF('ORDENES'!$AI440="","-",'ORDENES'!$AI440))</f>
        <v/>
      </c>
      <c r="D462" s="24">
        <f>IF('ORDENES'!$A440="","",IF('ORDENES'!$AA440="","-",'ORDENES'!$AA440))</f>
        <v/>
      </c>
      <c r="E462" s="24">
        <f>IF('ORDENES'!$A440="","",IF('ORDENES'!$Y440="","-",'ORDENES'!$Y440))</f>
        <v/>
      </c>
      <c r="F462" s="24">
        <f>IF('ORDENES'!$A440="","",IF('ORDENES'!$AB440="","-",'ORDENES'!$AB440))</f>
        <v/>
      </c>
      <c r="G462" s="24">
        <f>IF('ORDENES'!$A440="","",IF('ORDENES'!$Z440="","-",'ORDENES'!$Z440))</f>
        <v/>
      </c>
      <c r="H462" s="24">
        <f>IF('ORDENES'!$A440="","",IF('ORDENES'!$AH440="","-",'ORDENES'!$AH440))</f>
        <v/>
      </c>
      <c r="I462" s="24">
        <f>IF('ORDENES'!$A440="","",IF('ORDENES'!$AU440="","-",'ORDENES'!$AU440))</f>
        <v/>
      </c>
      <c r="J462" s="24">
        <f>IF('ORDENES'!$A440="","",IF('ORDENES'!$D440="","-",'ORDENES'!$D440))</f>
        <v/>
      </c>
      <c r="K462" s="24">
        <f>IF('ORDENES'!$A440="","",IF('ORDENES'!$E440="","-",'ORDENES'!$E440))</f>
        <v/>
      </c>
      <c r="L462" s="26">
        <f>IF('ORDENES'!$A440="","",IF('ORDENES'!$M440="",0,'ORDENES'!$M440))</f>
        <v/>
      </c>
      <c r="M462" s="24">
        <f>IF('ORDENES'!$A440="","",IF('ORDENES'!$N440="","-",'ORDENES'!$N440))</f>
        <v/>
      </c>
      <c r="N462" s="24">
        <f>IF('ORDENES'!$A440="","",'ORDENES'!$AG440)</f>
        <v/>
      </c>
    </row>
    <row r="463">
      <c r="A463" s="24">
        <f>IF('ORDENES'!$A441="","",IF('ORDENES'!$O441="","-",'ORDENES'!$O441))</f>
        <v/>
      </c>
      <c r="B463" s="24">
        <f>IF('ORDENES'!$A441="","",IF('ORDENES'!$S441="","-",'ORDENES'!$S441))</f>
        <v/>
      </c>
      <c r="C463" s="24">
        <f>IF('ORDENES'!$A441="","",IF('ORDENES'!$AI441="","-",'ORDENES'!$AI441))</f>
        <v/>
      </c>
      <c r="D463" s="24">
        <f>IF('ORDENES'!$A441="","",IF('ORDENES'!$AA441="","-",'ORDENES'!$AA441))</f>
        <v/>
      </c>
      <c r="E463" s="24">
        <f>IF('ORDENES'!$A441="","",IF('ORDENES'!$Y441="","-",'ORDENES'!$Y441))</f>
        <v/>
      </c>
      <c r="F463" s="24">
        <f>IF('ORDENES'!$A441="","",IF('ORDENES'!$AB441="","-",'ORDENES'!$AB441))</f>
        <v/>
      </c>
      <c r="G463" s="24">
        <f>IF('ORDENES'!$A441="","",IF('ORDENES'!$Z441="","-",'ORDENES'!$Z441))</f>
        <v/>
      </c>
      <c r="H463" s="24">
        <f>IF('ORDENES'!$A441="","",IF('ORDENES'!$AH441="","-",'ORDENES'!$AH441))</f>
        <v/>
      </c>
      <c r="I463" s="24">
        <f>IF('ORDENES'!$A441="","",IF('ORDENES'!$AU441="","-",'ORDENES'!$AU441))</f>
        <v/>
      </c>
      <c r="J463" s="24">
        <f>IF('ORDENES'!$A441="","",IF('ORDENES'!$D441="","-",'ORDENES'!$D441))</f>
        <v/>
      </c>
      <c r="K463" s="24">
        <f>IF('ORDENES'!$A441="","",IF('ORDENES'!$E441="","-",'ORDENES'!$E441))</f>
        <v/>
      </c>
      <c r="L463" s="26">
        <f>IF('ORDENES'!$A441="","",IF('ORDENES'!$M441="",0,'ORDENES'!$M441))</f>
        <v/>
      </c>
      <c r="M463" s="24">
        <f>IF('ORDENES'!$A441="","",IF('ORDENES'!$N441="","-",'ORDENES'!$N441))</f>
        <v/>
      </c>
      <c r="N463" s="24">
        <f>IF('ORDENES'!$A441="","",'ORDENES'!$AG441)</f>
        <v/>
      </c>
    </row>
    <row r="464">
      <c r="A464" s="24">
        <f>IF('ORDENES'!$A442="","",IF('ORDENES'!$O442="","-",'ORDENES'!$O442))</f>
        <v/>
      </c>
      <c r="B464" s="24">
        <f>IF('ORDENES'!$A442="","",IF('ORDENES'!$S442="","-",'ORDENES'!$S442))</f>
        <v/>
      </c>
      <c r="C464" s="24">
        <f>IF('ORDENES'!$A442="","",IF('ORDENES'!$AI442="","-",'ORDENES'!$AI442))</f>
        <v/>
      </c>
      <c r="D464" s="24">
        <f>IF('ORDENES'!$A442="","",IF('ORDENES'!$AA442="","-",'ORDENES'!$AA442))</f>
        <v/>
      </c>
      <c r="E464" s="24">
        <f>IF('ORDENES'!$A442="","",IF('ORDENES'!$Y442="","-",'ORDENES'!$Y442))</f>
        <v/>
      </c>
      <c r="F464" s="24">
        <f>IF('ORDENES'!$A442="","",IF('ORDENES'!$AB442="","-",'ORDENES'!$AB442))</f>
        <v/>
      </c>
      <c r="G464" s="24">
        <f>IF('ORDENES'!$A442="","",IF('ORDENES'!$Z442="","-",'ORDENES'!$Z442))</f>
        <v/>
      </c>
      <c r="H464" s="24">
        <f>IF('ORDENES'!$A442="","",IF('ORDENES'!$AH442="","-",'ORDENES'!$AH442))</f>
        <v/>
      </c>
      <c r="I464" s="24">
        <f>IF('ORDENES'!$A442="","",IF('ORDENES'!$AU442="","-",'ORDENES'!$AU442))</f>
        <v/>
      </c>
      <c r="J464" s="24">
        <f>IF('ORDENES'!$A442="","",IF('ORDENES'!$D442="","-",'ORDENES'!$D442))</f>
        <v/>
      </c>
      <c r="K464" s="24">
        <f>IF('ORDENES'!$A442="","",IF('ORDENES'!$E442="","-",'ORDENES'!$E442))</f>
        <v/>
      </c>
      <c r="L464" s="26">
        <f>IF('ORDENES'!$A442="","",IF('ORDENES'!$M442="",0,'ORDENES'!$M442))</f>
        <v/>
      </c>
      <c r="M464" s="24">
        <f>IF('ORDENES'!$A442="","",IF('ORDENES'!$N442="","-",'ORDENES'!$N442))</f>
        <v/>
      </c>
      <c r="N464" s="24">
        <f>IF('ORDENES'!$A442="","",'ORDENES'!$AG442)</f>
        <v/>
      </c>
    </row>
    <row r="465">
      <c r="A465" s="24">
        <f>IF('ORDENES'!$A443="","",IF('ORDENES'!$O443="","-",'ORDENES'!$O443))</f>
        <v/>
      </c>
      <c r="B465" s="24">
        <f>IF('ORDENES'!$A443="","",IF('ORDENES'!$S443="","-",'ORDENES'!$S443))</f>
        <v/>
      </c>
      <c r="C465" s="24">
        <f>IF('ORDENES'!$A443="","",IF('ORDENES'!$AI443="","-",'ORDENES'!$AI443))</f>
        <v/>
      </c>
      <c r="D465" s="24">
        <f>IF('ORDENES'!$A443="","",IF('ORDENES'!$AA443="","-",'ORDENES'!$AA443))</f>
        <v/>
      </c>
      <c r="E465" s="24">
        <f>IF('ORDENES'!$A443="","",IF('ORDENES'!$Y443="","-",'ORDENES'!$Y443))</f>
        <v/>
      </c>
      <c r="F465" s="24">
        <f>IF('ORDENES'!$A443="","",IF('ORDENES'!$AB443="","-",'ORDENES'!$AB443))</f>
        <v/>
      </c>
      <c r="G465" s="24">
        <f>IF('ORDENES'!$A443="","",IF('ORDENES'!$Z443="","-",'ORDENES'!$Z443))</f>
        <v/>
      </c>
      <c r="H465" s="24">
        <f>IF('ORDENES'!$A443="","",IF('ORDENES'!$AH443="","-",'ORDENES'!$AH443))</f>
        <v/>
      </c>
      <c r="I465" s="24">
        <f>IF('ORDENES'!$A443="","",IF('ORDENES'!$AU443="","-",'ORDENES'!$AU443))</f>
        <v/>
      </c>
      <c r="J465" s="24">
        <f>IF('ORDENES'!$A443="","",IF('ORDENES'!$D443="","-",'ORDENES'!$D443))</f>
        <v/>
      </c>
      <c r="K465" s="24">
        <f>IF('ORDENES'!$A443="","",IF('ORDENES'!$E443="","-",'ORDENES'!$E443))</f>
        <v/>
      </c>
      <c r="L465" s="26">
        <f>IF('ORDENES'!$A443="","",IF('ORDENES'!$M443="",0,'ORDENES'!$M443))</f>
        <v/>
      </c>
      <c r="M465" s="24">
        <f>IF('ORDENES'!$A443="","",IF('ORDENES'!$N443="","-",'ORDENES'!$N443))</f>
        <v/>
      </c>
      <c r="N465" s="24">
        <f>IF('ORDENES'!$A443="","",'ORDENES'!$AG443)</f>
        <v/>
      </c>
    </row>
    <row r="466">
      <c r="A466" s="24">
        <f>IF('ORDENES'!$A444="","",IF('ORDENES'!$O444="","-",'ORDENES'!$O444))</f>
        <v/>
      </c>
      <c r="B466" s="24">
        <f>IF('ORDENES'!$A444="","",IF('ORDENES'!$S444="","-",'ORDENES'!$S444))</f>
        <v/>
      </c>
      <c r="C466" s="24">
        <f>IF('ORDENES'!$A444="","",IF('ORDENES'!$AI444="","-",'ORDENES'!$AI444))</f>
        <v/>
      </c>
      <c r="D466" s="24">
        <f>IF('ORDENES'!$A444="","",IF('ORDENES'!$AA444="","-",'ORDENES'!$AA444))</f>
        <v/>
      </c>
      <c r="E466" s="24">
        <f>IF('ORDENES'!$A444="","",IF('ORDENES'!$Y444="","-",'ORDENES'!$Y444))</f>
        <v/>
      </c>
      <c r="F466" s="24">
        <f>IF('ORDENES'!$A444="","",IF('ORDENES'!$AB444="","-",'ORDENES'!$AB444))</f>
        <v/>
      </c>
      <c r="G466" s="24">
        <f>IF('ORDENES'!$A444="","",IF('ORDENES'!$Z444="","-",'ORDENES'!$Z444))</f>
        <v/>
      </c>
      <c r="H466" s="24">
        <f>IF('ORDENES'!$A444="","",IF('ORDENES'!$AH444="","-",'ORDENES'!$AH444))</f>
        <v/>
      </c>
      <c r="I466" s="24">
        <f>IF('ORDENES'!$A444="","",IF('ORDENES'!$AU444="","-",'ORDENES'!$AU444))</f>
        <v/>
      </c>
      <c r="J466" s="24">
        <f>IF('ORDENES'!$A444="","",IF('ORDENES'!$D444="","-",'ORDENES'!$D444))</f>
        <v/>
      </c>
      <c r="K466" s="24">
        <f>IF('ORDENES'!$A444="","",IF('ORDENES'!$E444="","-",'ORDENES'!$E444))</f>
        <v/>
      </c>
      <c r="L466" s="26">
        <f>IF('ORDENES'!$A444="","",IF('ORDENES'!$M444="",0,'ORDENES'!$M444))</f>
        <v/>
      </c>
      <c r="M466" s="24">
        <f>IF('ORDENES'!$A444="","",IF('ORDENES'!$N444="","-",'ORDENES'!$N444))</f>
        <v/>
      </c>
      <c r="N466" s="24">
        <f>IF('ORDENES'!$A444="","",'ORDENES'!$AG444)</f>
        <v/>
      </c>
    </row>
    <row r="467">
      <c r="A467" s="24">
        <f>IF('ORDENES'!$A445="","",IF('ORDENES'!$O445="","-",'ORDENES'!$O445))</f>
        <v/>
      </c>
      <c r="B467" s="24">
        <f>IF('ORDENES'!$A445="","",IF('ORDENES'!$S445="","-",'ORDENES'!$S445))</f>
        <v/>
      </c>
      <c r="C467" s="24">
        <f>IF('ORDENES'!$A445="","",IF('ORDENES'!$AI445="","-",'ORDENES'!$AI445))</f>
        <v/>
      </c>
      <c r="D467" s="24">
        <f>IF('ORDENES'!$A445="","",IF('ORDENES'!$AA445="","-",'ORDENES'!$AA445))</f>
        <v/>
      </c>
      <c r="E467" s="24">
        <f>IF('ORDENES'!$A445="","",IF('ORDENES'!$Y445="","-",'ORDENES'!$Y445))</f>
        <v/>
      </c>
      <c r="F467" s="24">
        <f>IF('ORDENES'!$A445="","",IF('ORDENES'!$AB445="","-",'ORDENES'!$AB445))</f>
        <v/>
      </c>
      <c r="G467" s="24">
        <f>IF('ORDENES'!$A445="","",IF('ORDENES'!$Z445="","-",'ORDENES'!$Z445))</f>
        <v/>
      </c>
      <c r="H467" s="24">
        <f>IF('ORDENES'!$A445="","",IF('ORDENES'!$AH445="","-",'ORDENES'!$AH445))</f>
        <v/>
      </c>
      <c r="I467" s="24">
        <f>IF('ORDENES'!$A445="","",IF('ORDENES'!$AU445="","-",'ORDENES'!$AU445))</f>
        <v/>
      </c>
      <c r="J467" s="24">
        <f>IF('ORDENES'!$A445="","",IF('ORDENES'!$D445="","-",'ORDENES'!$D445))</f>
        <v/>
      </c>
      <c r="K467" s="24">
        <f>IF('ORDENES'!$A445="","",IF('ORDENES'!$E445="","-",'ORDENES'!$E445))</f>
        <v/>
      </c>
      <c r="L467" s="26">
        <f>IF('ORDENES'!$A445="","",IF('ORDENES'!$M445="",0,'ORDENES'!$M445))</f>
        <v/>
      </c>
      <c r="M467" s="24">
        <f>IF('ORDENES'!$A445="","",IF('ORDENES'!$N445="","-",'ORDENES'!$N445))</f>
        <v/>
      </c>
      <c r="N467" s="24">
        <f>IF('ORDENES'!$A445="","",'ORDENES'!$AG445)</f>
        <v/>
      </c>
    </row>
    <row r="468">
      <c r="A468" s="24">
        <f>IF('ORDENES'!$A446="","",IF('ORDENES'!$O446="","-",'ORDENES'!$O446))</f>
        <v/>
      </c>
      <c r="B468" s="24">
        <f>IF('ORDENES'!$A446="","",IF('ORDENES'!$S446="","-",'ORDENES'!$S446))</f>
        <v/>
      </c>
      <c r="C468" s="24">
        <f>IF('ORDENES'!$A446="","",IF('ORDENES'!$AI446="","-",'ORDENES'!$AI446))</f>
        <v/>
      </c>
      <c r="D468" s="24">
        <f>IF('ORDENES'!$A446="","",IF('ORDENES'!$AA446="","-",'ORDENES'!$AA446))</f>
        <v/>
      </c>
      <c r="E468" s="24">
        <f>IF('ORDENES'!$A446="","",IF('ORDENES'!$Y446="","-",'ORDENES'!$Y446))</f>
        <v/>
      </c>
      <c r="F468" s="24">
        <f>IF('ORDENES'!$A446="","",IF('ORDENES'!$AB446="","-",'ORDENES'!$AB446))</f>
        <v/>
      </c>
      <c r="G468" s="24">
        <f>IF('ORDENES'!$A446="","",IF('ORDENES'!$Z446="","-",'ORDENES'!$Z446))</f>
        <v/>
      </c>
      <c r="H468" s="24">
        <f>IF('ORDENES'!$A446="","",IF('ORDENES'!$AH446="","-",'ORDENES'!$AH446))</f>
        <v/>
      </c>
      <c r="I468" s="24">
        <f>IF('ORDENES'!$A446="","",IF('ORDENES'!$AU446="","-",'ORDENES'!$AU446))</f>
        <v/>
      </c>
      <c r="J468" s="24">
        <f>IF('ORDENES'!$A446="","",IF('ORDENES'!$D446="","-",'ORDENES'!$D446))</f>
        <v/>
      </c>
      <c r="K468" s="24">
        <f>IF('ORDENES'!$A446="","",IF('ORDENES'!$E446="","-",'ORDENES'!$E446))</f>
        <v/>
      </c>
      <c r="L468" s="26">
        <f>IF('ORDENES'!$A446="","",IF('ORDENES'!$M446="",0,'ORDENES'!$M446))</f>
        <v/>
      </c>
      <c r="M468" s="24">
        <f>IF('ORDENES'!$A446="","",IF('ORDENES'!$N446="","-",'ORDENES'!$N446))</f>
        <v/>
      </c>
      <c r="N468" s="24">
        <f>IF('ORDENES'!$A446="","",'ORDENES'!$AG446)</f>
        <v/>
      </c>
    </row>
    <row r="469">
      <c r="A469" s="24">
        <f>IF('ORDENES'!$A447="","",IF('ORDENES'!$O447="","-",'ORDENES'!$O447))</f>
        <v/>
      </c>
      <c r="B469" s="24">
        <f>IF('ORDENES'!$A447="","",IF('ORDENES'!$S447="","-",'ORDENES'!$S447))</f>
        <v/>
      </c>
      <c r="C469" s="24">
        <f>IF('ORDENES'!$A447="","",IF('ORDENES'!$AI447="","-",'ORDENES'!$AI447))</f>
        <v/>
      </c>
      <c r="D469" s="24">
        <f>IF('ORDENES'!$A447="","",IF('ORDENES'!$AA447="","-",'ORDENES'!$AA447))</f>
        <v/>
      </c>
      <c r="E469" s="24">
        <f>IF('ORDENES'!$A447="","",IF('ORDENES'!$Y447="","-",'ORDENES'!$Y447))</f>
        <v/>
      </c>
      <c r="F469" s="24">
        <f>IF('ORDENES'!$A447="","",IF('ORDENES'!$AB447="","-",'ORDENES'!$AB447))</f>
        <v/>
      </c>
      <c r="G469" s="24">
        <f>IF('ORDENES'!$A447="","",IF('ORDENES'!$Z447="","-",'ORDENES'!$Z447))</f>
        <v/>
      </c>
      <c r="H469" s="24">
        <f>IF('ORDENES'!$A447="","",IF('ORDENES'!$AH447="","-",'ORDENES'!$AH447))</f>
        <v/>
      </c>
      <c r="I469" s="24">
        <f>IF('ORDENES'!$A447="","",IF('ORDENES'!$AU447="","-",'ORDENES'!$AU447))</f>
        <v/>
      </c>
      <c r="J469" s="24">
        <f>IF('ORDENES'!$A447="","",IF('ORDENES'!$D447="","-",'ORDENES'!$D447))</f>
        <v/>
      </c>
      <c r="K469" s="24">
        <f>IF('ORDENES'!$A447="","",IF('ORDENES'!$E447="","-",'ORDENES'!$E447))</f>
        <v/>
      </c>
      <c r="L469" s="26">
        <f>IF('ORDENES'!$A447="","",IF('ORDENES'!$M447="",0,'ORDENES'!$M447))</f>
        <v/>
      </c>
      <c r="M469" s="24">
        <f>IF('ORDENES'!$A447="","",IF('ORDENES'!$N447="","-",'ORDENES'!$N447))</f>
        <v/>
      </c>
      <c r="N469" s="24">
        <f>IF('ORDENES'!$A447="","",'ORDENES'!$AG447)</f>
        <v/>
      </c>
    </row>
    <row r="470">
      <c r="A470" s="24">
        <f>IF('ORDENES'!$A448="","",IF('ORDENES'!$O448="","-",'ORDENES'!$O448))</f>
        <v/>
      </c>
      <c r="B470" s="24">
        <f>IF('ORDENES'!$A448="","",IF('ORDENES'!$S448="","-",'ORDENES'!$S448))</f>
        <v/>
      </c>
      <c r="C470" s="24">
        <f>IF('ORDENES'!$A448="","",IF('ORDENES'!$AI448="","-",'ORDENES'!$AI448))</f>
        <v/>
      </c>
      <c r="D470" s="24">
        <f>IF('ORDENES'!$A448="","",IF('ORDENES'!$AA448="","-",'ORDENES'!$AA448))</f>
        <v/>
      </c>
      <c r="E470" s="24">
        <f>IF('ORDENES'!$A448="","",IF('ORDENES'!$Y448="","-",'ORDENES'!$Y448))</f>
        <v/>
      </c>
      <c r="F470" s="24">
        <f>IF('ORDENES'!$A448="","",IF('ORDENES'!$AB448="","-",'ORDENES'!$AB448))</f>
        <v/>
      </c>
      <c r="G470" s="24">
        <f>IF('ORDENES'!$A448="","",IF('ORDENES'!$Z448="","-",'ORDENES'!$Z448))</f>
        <v/>
      </c>
      <c r="H470" s="24">
        <f>IF('ORDENES'!$A448="","",IF('ORDENES'!$AH448="","-",'ORDENES'!$AH448))</f>
        <v/>
      </c>
      <c r="I470" s="24">
        <f>IF('ORDENES'!$A448="","",IF('ORDENES'!$AU448="","-",'ORDENES'!$AU448))</f>
        <v/>
      </c>
      <c r="J470" s="24">
        <f>IF('ORDENES'!$A448="","",IF('ORDENES'!$D448="","-",'ORDENES'!$D448))</f>
        <v/>
      </c>
      <c r="K470" s="24">
        <f>IF('ORDENES'!$A448="","",IF('ORDENES'!$E448="","-",'ORDENES'!$E448))</f>
        <v/>
      </c>
      <c r="L470" s="26">
        <f>IF('ORDENES'!$A448="","",IF('ORDENES'!$M448="",0,'ORDENES'!$M448))</f>
        <v/>
      </c>
      <c r="M470" s="24">
        <f>IF('ORDENES'!$A448="","",IF('ORDENES'!$N448="","-",'ORDENES'!$N448))</f>
        <v/>
      </c>
      <c r="N470" s="24">
        <f>IF('ORDENES'!$A448="","",'ORDENES'!$AG448)</f>
        <v/>
      </c>
    </row>
    <row r="471">
      <c r="A471" s="24">
        <f>IF('ORDENES'!$A449="","",IF('ORDENES'!$O449="","-",'ORDENES'!$O449))</f>
        <v/>
      </c>
      <c r="B471" s="24">
        <f>IF('ORDENES'!$A449="","",IF('ORDENES'!$S449="","-",'ORDENES'!$S449))</f>
        <v/>
      </c>
      <c r="C471" s="24">
        <f>IF('ORDENES'!$A449="","",IF('ORDENES'!$AI449="","-",'ORDENES'!$AI449))</f>
        <v/>
      </c>
      <c r="D471" s="24">
        <f>IF('ORDENES'!$A449="","",IF('ORDENES'!$AA449="","-",'ORDENES'!$AA449))</f>
        <v/>
      </c>
      <c r="E471" s="24">
        <f>IF('ORDENES'!$A449="","",IF('ORDENES'!$Y449="","-",'ORDENES'!$Y449))</f>
        <v/>
      </c>
      <c r="F471" s="24">
        <f>IF('ORDENES'!$A449="","",IF('ORDENES'!$AB449="","-",'ORDENES'!$AB449))</f>
        <v/>
      </c>
      <c r="G471" s="24">
        <f>IF('ORDENES'!$A449="","",IF('ORDENES'!$Z449="","-",'ORDENES'!$Z449))</f>
        <v/>
      </c>
      <c r="H471" s="24">
        <f>IF('ORDENES'!$A449="","",IF('ORDENES'!$AH449="","-",'ORDENES'!$AH449))</f>
        <v/>
      </c>
      <c r="I471" s="24">
        <f>IF('ORDENES'!$A449="","",IF('ORDENES'!$AU449="","-",'ORDENES'!$AU449))</f>
        <v/>
      </c>
      <c r="J471" s="24">
        <f>IF('ORDENES'!$A449="","",IF('ORDENES'!$D449="","-",'ORDENES'!$D449))</f>
        <v/>
      </c>
      <c r="K471" s="24">
        <f>IF('ORDENES'!$A449="","",IF('ORDENES'!$E449="","-",'ORDENES'!$E449))</f>
        <v/>
      </c>
      <c r="L471" s="26">
        <f>IF('ORDENES'!$A449="","",IF('ORDENES'!$M449="",0,'ORDENES'!$M449))</f>
        <v/>
      </c>
      <c r="M471" s="24">
        <f>IF('ORDENES'!$A449="","",IF('ORDENES'!$N449="","-",'ORDENES'!$N449))</f>
        <v/>
      </c>
      <c r="N471" s="24">
        <f>IF('ORDENES'!$A449="","",'ORDENES'!$AG449)</f>
        <v/>
      </c>
    </row>
    <row r="472">
      <c r="A472" s="24">
        <f>IF('ORDENES'!$A450="","",IF('ORDENES'!$O450="","-",'ORDENES'!$O450))</f>
        <v/>
      </c>
      <c r="B472" s="24">
        <f>IF('ORDENES'!$A450="","",IF('ORDENES'!$S450="","-",'ORDENES'!$S450))</f>
        <v/>
      </c>
      <c r="C472" s="24">
        <f>IF('ORDENES'!$A450="","",IF('ORDENES'!$AI450="","-",'ORDENES'!$AI450))</f>
        <v/>
      </c>
      <c r="D472" s="24">
        <f>IF('ORDENES'!$A450="","",IF('ORDENES'!$AA450="","-",'ORDENES'!$AA450))</f>
        <v/>
      </c>
      <c r="E472" s="24">
        <f>IF('ORDENES'!$A450="","",IF('ORDENES'!$Y450="","-",'ORDENES'!$Y450))</f>
        <v/>
      </c>
      <c r="F472" s="24">
        <f>IF('ORDENES'!$A450="","",IF('ORDENES'!$AB450="","-",'ORDENES'!$AB450))</f>
        <v/>
      </c>
      <c r="G472" s="24">
        <f>IF('ORDENES'!$A450="","",IF('ORDENES'!$Z450="","-",'ORDENES'!$Z450))</f>
        <v/>
      </c>
      <c r="H472" s="24">
        <f>IF('ORDENES'!$A450="","",IF('ORDENES'!$AH450="","-",'ORDENES'!$AH450))</f>
        <v/>
      </c>
      <c r="I472" s="24">
        <f>IF('ORDENES'!$A450="","",IF('ORDENES'!$AU450="","-",'ORDENES'!$AU450))</f>
        <v/>
      </c>
      <c r="J472" s="24">
        <f>IF('ORDENES'!$A450="","",IF('ORDENES'!$D450="","-",'ORDENES'!$D450))</f>
        <v/>
      </c>
      <c r="K472" s="24">
        <f>IF('ORDENES'!$A450="","",IF('ORDENES'!$E450="","-",'ORDENES'!$E450))</f>
        <v/>
      </c>
      <c r="L472" s="26">
        <f>IF('ORDENES'!$A450="","",IF('ORDENES'!$M450="",0,'ORDENES'!$M450))</f>
        <v/>
      </c>
      <c r="M472" s="24">
        <f>IF('ORDENES'!$A450="","",IF('ORDENES'!$N450="","-",'ORDENES'!$N450))</f>
        <v/>
      </c>
      <c r="N472" s="24">
        <f>IF('ORDENES'!$A450="","",'ORDENES'!$AG450)</f>
        <v/>
      </c>
    </row>
    <row r="473">
      <c r="A473" s="24">
        <f>IF('ORDENES'!$A451="","",IF('ORDENES'!$O451="","-",'ORDENES'!$O451))</f>
        <v/>
      </c>
      <c r="B473" s="24">
        <f>IF('ORDENES'!$A451="","",IF('ORDENES'!$S451="","-",'ORDENES'!$S451))</f>
        <v/>
      </c>
      <c r="C473" s="24">
        <f>IF('ORDENES'!$A451="","",IF('ORDENES'!$AI451="","-",'ORDENES'!$AI451))</f>
        <v/>
      </c>
      <c r="D473" s="24">
        <f>IF('ORDENES'!$A451="","",IF('ORDENES'!$AA451="","-",'ORDENES'!$AA451))</f>
        <v/>
      </c>
      <c r="E473" s="24">
        <f>IF('ORDENES'!$A451="","",IF('ORDENES'!$Y451="","-",'ORDENES'!$Y451))</f>
        <v/>
      </c>
      <c r="F473" s="24">
        <f>IF('ORDENES'!$A451="","",IF('ORDENES'!$AB451="","-",'ORDENES'!$AB451))</f>
        <v/>
      </c>
      <c r="G473" s="24">
        <f>IF('ORDENES'!$A451="","",IF('ORDENES'!$Z451="","-",'ORDENES'!$Z451))</f>
        <v/>
      </c>
      <c r="H473" s="24">
        <f>IF('ORDENES'!$A451="","",IF('ORDENES'!$AH451="","-",'ORDENES'!$AH451))</f>
        <v/>
      </c>
      <c r="I473" s="24">
        <f>IF('ORDENES'!$A451="","",IF('ORDENES'!$AU451="","-",'ORDENES'!$AU451))</f>
        <v/>
      </c>
      <c r="J473" s="24">
        <f>IF('ORDENES'!$A451="","",IF('ORDENES'!$D451="","-",'ORDENES'!$D451))</f>
        <v/>
      </c>
      <c r="K473" s="24">
        <f>IF('ORDENES'!$A451="","",IF('ORDENES'!$E451="","-",'ORDENES'!$E451))</f>
        <v/>
      </c>
      <c r="L473" s="26">
        <f>IF('ORDENES'!$A451="","",IF('ORDENES'!$M451="",0,'ORDENES'!$M451))</f>
        <v/>
      </c>
      <c r="M473" s="24">
        <f>IF('ORDENES'!$A451="","",IF('ORDENES'!$N451="","-",'ORDENES'!$N451))</f>
        <v/>
      </c>
      <c r="N473" s="24">
        <f>IF('ORDENES'!$A451="","",'ORDENES'!$AG451)</f>
        <v/>
      </c>
    </row>
    <row r="474">
      <c r="A474" s="24">
        <f>IF('ORDENES'!$A452="","",IF('ORDENES'!$O452="","-",'ORDENES'!$O452))</f>
        <v/>
      </c>
      <c r="B474" s="24">
        <f>IF('ORDENES'!$A452="","",IF('ORDENES'!$S452="","-",'ORDENES'!$S452))</f>
        <v/>
      </c>
      <c r="C474" s="24">
        <f>IF('ORDENES'!$A452="","",IF('ORDENES'!$AI452="","-",'ORDENES'!$AI452))</f>
        <v/>
      </c>
      <c r="D474" s="24">
        <f>IF('ORDENES'!$A452="","",IF('ORDENES'!$AA452="","-",'ORDENES'!$AA452))</f>
        <v/>
      </c>
      <c r="E474" s="24">
        <f>IF('ORDENES'!$A452="","",IF('ORDENES'!$Y452="","-",'ORDENES'!$Y452))</f>
        <v/>
      </c>
      <c r="F474" s="24">
        <f>IF('ORDENES'!$A452="","",IF('ORDENES'!$AB452="","-",'ORDENES'!$AB452))</f>
        <v/>
      </c>
      <c r="G474" s="24">
        <f>IF('ORDENES'!$A452="","",IF('ORDENES'!$Z452="","-",'ORDENES'!$Z452))</f>
        <v/>
      </c>
      <c r="H474" s="24">
        <f>IF('ORDENES'!$A452="","",IF('ORDENES'!$AH452="","-",'ORDENES'!$AH452))</f>
        <v/>
      </c>
      <c r="I474" s="24">
        <f>IF('ORDENES'!$A452="","",IF('ORDENES'!$AU452="","-",'ORDENES'!$AU452))</f>
        <v/>
      </c>
      <c r="J474" s="24">
        <f>IF('ORDENES'!$A452="","",IF('ORDENES'!$D452="","-",'ORDENES'!$D452))</f>
        <v/>
      </c>
      <c r="K474" s="24">
        <f>IF('ORDENES'!$A452="","",IF('ORDENES'!$E452="","-",'ORDENES'!$E452))</f>
        <v/>
      </c>
      <c r="L474" s="26">
        <f>IF('ORDENES'!$A452="","",IF('ORDENES'!$M452="",0,'ORDENES'!$M452))</f>
        <v/>
      </c>
      <c r="M474" s="24">
        <f>IF('ORDENES'!$A452="","",IF('ORDENES'!$N452="","-",'ORDENES'!$N452))</f>
        <v/>
      </c>
      <c r="N474" s="24">
        <f>IF('ORDENES'!$A452="","",'ORDENES'!$AG452)</f>
        <v/>
      </c>
    </row>
    <row r="475">
      <c r="A475" s="24">
        <f>IF('ORDENES'!$A453="","",IF('ORDENES'!$O453="","-",'ORDENES'!$O453))</f>
        <v/>
      </c>
      <c r="B475" s="24">
        <f>IF('ORDENES'!$A453="","",IF('ORDENES'!$S453="","-",'ORDENES'!$S453))</f>
        <v/>
      </c>
      <c r="C475" s="24">
        <f>IF('ORDENES'!$A453="","",IF('ORDENES'!$AI453="","-",'ORDENES'!$AI453))</f>
        <v/>
      </c>
      <c r="D475" s="24">
        <f>IF('ORDENES'!$A453="","",IF('ORDENES'!$AA453="","-",'ORDENES'!$AA453))</f>
        <v/>
      </c>
      <c r="E475" s="24">
        <f>IF('ORDENES'!$A453="","",IF('ORDENES'!$Y453="","-",'ORDENES'!$Y453))</f>
        <v/>
      </c>
      <c r="F475" s="24">
        <f>IF('ORDENES'!$A453="","",IF('ORDENES'!$AB453="","-",'ORDENES'!$AB453))</f>
        <v/>
      </c>
      <c r="G475" s="24">
        <f>IF('ORDENES'!$A453="","",IF('ORDENES'!$Z453="","-",'ORDENES'!$Z453))</f>
        <v/>
      </c>
      <c r="H475" s="24">
        <f>IF('ORDENES'!$A453="","",IF('ORDENES'!$AH453="","-",'ORDENES'!$AH453))</f>
        <v/>
      </c>
      <c r="I475" s="24">
        <f>IF('ORDENES'!$A453="","",IF('ORDENES'!$AU453="","-",'ORDENES'!$AU453))</f>
        <v/>
      </c>
      <c r="J475" s="24">
        <f>IF('ORDENES'!$A453="","",IF('ORDENES'!$D453="","-",'ORDENES'!$D453))</f>
        <v/>
      </c>
      <c r="K475" s="24">
        <f>IF('ORDENES'!$A453="","",IF('ORDENES'!$E453="","-",'ORDENES'!$E453))</f>
        <v/>
      </c>
      <c r="L475" s="26">
        <f>IF('ORDENES'!$A453="","",IF('ORDENES'!$M453="",0,'ORDENES'!$M453))</f>
        <v/>
      </c>
      <c r="M475" s="24">
        <f>IF('ORDENES'!$A453="","",IF('ORDENES'!$N453="","-",'ORDENES'!$N453))</f>
        <v/>
      </c>
      <c r="N475" s="24">
        <f>IF('ORDENES'!$A453="","",'ORDENES'!$AG453)</f>
        <v/>
      </c>
    </row>
    <row r="476">
      <c r="A476" s="24">
        <f>IF('ORDENES'!$A454="","",IF('ORDENES'!$O454="","-",'ORDENES'!$O454))</f>
        <v/>
      </c>
      <c r="B476" s="24">
        <f>IF('ORDENES'!$A454="","",IF('ORDENES'!$S454="","-",'ORDENES'!$S454))</f>
        <v/>
      </c>
      <c r="C476" s="24">
        <f>IF('ORDENES'!$A454="","",IF('ORDENES'!$AI454="","-",'ORDENES'!$AI454))</f>
        <v/>
      </c>
      <c r="D476" s="24">
        <f>IF('ORDENES'!$A454="","",IF('ORDENES'!$AA454="","-",'ORDENES'!$AA454))</f>
        <v/>
      </c>
      <c r="E476" s="24">
        <f>IF('ORDENES'!$A454="","",IF('ORDENES'!$Y454="","-",'ORDENES'!$Y454))</f>
        <v/>
      </c>
      <c r="F476" s="24">
        <f>IF('ORDENES'!$A454="","",IF('ORDENES'!$AB454="","-",'ORDENES'!$AB454))</f>
        <v/>
      </c>
      <c r="G476" s="24">
        <f>IF('ORDENES'!$A454="","",IF('ORDENES'!$Z454="","-",'ORDENES'!$Z454))</f>
        <v/>
      </c>
      <c r="H476" s="24">
        <f>IF('ORDENES'!$A454="","",IF('ORDENES'!$AH454="","-",'ORDENES'!$AH454))</f>
        <v/>
      </c>
      <c r="I476" s="24">
        <f>IF('ORDENES'!$A454="","",IF('ORDENES'!$AU454="","-",'ORDENES'!$AU454))</f>
        <v/>
      </c>
      <c r="J476" s="24">
        <f>IF('ORDENES'!$A454="","",IF('ORDENES'!$D454="","-",'ORDENES'!$D454))</f>
        <v/>
      </c>
      <c r="K476" s="24">
        <f>IF('ORDENES'!$A454="","",IF('ORDENES'!$E454="","-",'ORDENES'!$E454))</f>
        <v/>
      </c>
      <c r="L476" s="26">
        <f>IF('ORDENES'!$A454="","",IF('ORDENES'!$M454="",0,'ORDENES'!$M454))</f>
        <v/>
      </c>
      <c r="M476" s="24">
        <f>IF('ORDENES'!$A454="","",IF('ORDENES'!$N454="","-",'ORDENES'!$N454))</f>
        <v/>
      </c>
      <c r="N476" s="24">
        <f>IF('ORDENES'!$A454="","",'ORDENES'!$AG454)</f>
        <v/>
      </c>
    </row>
    <row r="477">
      <c r="A477" s="24">
        <f>IF('ORDENES'!$A455="","",IF('ORDENES'!$O455="","-",'ORDENES'!$O455))</f>
        <v/>
      </c>
      <c r="B477" s="24">
        <f>IF('ORDENES'!$A455="","",IF('ORDENES'!$S455="","-",'ORDENES'!$S455))</f>
        <v/>
      </c>
      <c r="C477" s="24">
        <f>IF('ORDENES'!$A455="","",IF('ORDENES'!$AI455="","-",'ORDENES'!$AI455))</f>
        <v/>
      </c>
      <c r="D477" s="24">
        <f>IF('ORDENES'!$A455="","",IF('ORDENES'!$AA455="","-",'ORDENES'!$AA455))</f>
        <v/>
      </c>
      <c r="E477" s="24">
        <f>IF('ORDENES'!$A455="","",IF('ORDENES'!$Y455="","-",'ORDENES'!$Y455))</f>
        <v/>
      </c>
      <c r="F477" s="24">
        <f>IF('ORDENES'!$A455="","",IF('ORDENES'!$AB455="","-",'ORDENES'!$AB455))</f>
        <v/>
      </c>
      <c r="G477" s="24">
        <f>IF('ORDENES'!$A455="","",IF('ORDENES'!$Z455="","-",'ORDENES'!$Z455))</f>
        <v/>
      </c>
      <c r="H477" s="24">
        <f>IF('ORDENES'!$A455="","",IF('ORDENES'!$AH455="","-",'ORDENES'!$AH455))</f>
        <v/>
      </c>
      <c r="I477" s="24">
        <f>IF('ORDENES'!$A455="","",IF('ORDENES'!$AU455="","-",'ORDENES'!$AU455))</f>
        <v/>
      </c>
      <c r="J477" s="24">
        <f>IF('ORDENES'!$A455="","",IF('ORDENES'!$D455="","-",'ORDENES'!$D455))</f>
        <v/>
      </c>
      <c r="K477" s="24">
        <f>IF('ORDENES'!$A455="","",IF('ORDENES'!$E455="","-",'ORDENES'!$E455))</f>
        <v/>
      </c>
      <c r="L477" s="26">
        <f>IF('ORDENES'!$A455="","",IF('ORDENES'!$M455="",0,'ORDENES'!$M455))</f>
        <v/>
      </c>
      <c r="M477" s="24">
        <f>IF('ORDENES'!$A455="","",IF('ORDENES'!$N455="","-",'ORDENES'!$N455))</f>
        <v/>
      </c>
      <c r="N477" s="24">
        <f>IF('ORDENES'!$A455="","",'ORDENES'!$AG455)</f>
        <v/>
      </c>
    </row>
    <row r="478">
      <c r="A478" s="24">
        <f>IF('ORDENES'!$A456="","",IF('ORDENES'!$O456="","-",'ORDENES'!$O456))</f>
        <v/>
      </c>
      <c r="B478" s="24">
        <f>IF('ORDENES'!$A456="","",IF('ORDENES'!$S456="","-",'ORDENES'!$S456))</f>
        <v/>
      </c>
      <c r="C478" s="24">
        <f>IF('ORDENES'!$A456="","",IF('ORDENES'!$AI456="","-",'ORDENES'!$AI456))</f>
        <v/>
      </c>
      <c r="D478" s="24">
        <f>IF('ORDENES'!$A456="","",IF('ORDENES'!$AA456="","-",'ORDENES'!$AA456))</f>
        <v/>
      </c>
      <c r="E478" s="24">
        <f>IF('ORDENES'!$A456="","",IF('ORDENES'!$Y456="","-",'ORDENES'!$Y456))</f>
        <v/>
      </c>
      <c r="F478" s="24">
        <f>IF('ORDENES'!$A456="","",IF('ORDENES'!$AB456="","-",'ORDENES'!$AB456))</f>
        <v/>
      </c>
      <c r="G478" s="24">
        <f>IF('ORDENES'!$A456="","",IF('ORDENES'!$Z456="","-",'ORDENES'!$Z456))</f>
        <v/>
      </c>
      <c r="H478" s="24">
        <f>IF('ORDENES'!$A456="","",IF('ORDENES'!$AH456="","-",'ORDENES'!$AH456))</f>
        <v/>
      </c>
      <c r="I478" s="24">
        <f>IF('ORDENES'!$A456="","",IF('ORDENES'!$AU456="","-",'ORDENES'!$AU456))</f>
        <v/>
      </c>
      <c r="J478" s="24">
        <f>IF('ORDENES'!$A456="","",IF('ORDENES'!$D456="","-",'ORDENES'!$D456))</f>
        <v/>
      </c>
      <c r="K478" s="24">
        <f>IF('ORDENES'!$A456="","",IF('ORDENES'!$E456="","-",'ORDENES'!$E456))</f>
        <v/>
      </c>
      <c r="L478" s="26">
        <f>IF('ORDENES'!$A456="","",IF('ORDENES'!$M456="",0,'ORDENES'!$M456))</f>
        <v/>
      </c>
      <c r="M478" s="24">
        <f>IF('ORDENES'!$A456="","",IF('ORDENES'!$N456="","-",'ORDENES'!$N456))</f>
        <v/>
      </c>
      <c r="N478" s="24">
        <f>IF('ORDENES'!$A456="","",'ORDENES'!$AG456)</f>
        <v/>
      </c>
    </row>
    <row r="479">
      <c r="A479" s="24">
        <f>IF('ORDENES'!$A457="","",IF('ORDENES'!$O457="","-",'ORDENES'!$O457))</f>
        <v/>
      </c>
      <c r="B479" s="24">
        <f>IF('ORDENES'!$A457="","",IF('ORDENES'!$S457="","-",'ORDENES'!$S457))</f>
        <v/>
      </c>
      <c r="C479" s="24">
        <f>IF('ORDENES'!$A457="","",IF('ORDENES'!$AI457="","-",'ORDENES'!$AI457))</f>
        <v/>
      </c>
      <c r="D479" s="24">
        <f>IF('ORDENES'!$A457="","",IF('ORDENES'!$AA457="","-",'ORDENES'!$AA457))</f>
        <v/>
      </c>
      <c r="E479" s="24">
        <f>IF('ORDENES'!$A457="","",IF('ORDENES'!$Y457="","-",'ORDENES'!$Y457))</f>
        <v/>
      </c>
      <c r="F479" s="24">
        <f>IF('ORDENES'!$A457="","",IF('ORDENES'!$AB457="","-",'ORDENES'!$AB457))</f>
        <v/>
      </c>
      <c r="G479" s="24">
        <f>IF('ORDENES'!$A457="","",IF('ORDENES'!$Z457="","-",'ORDENES'!$Z457))</f>
        <v/>
      </c>
      <c r="H479" s="24">
        <f>IF('ORDENES'!$A457="","",IF('ORDENES'!$AH457="","-",'ORDENES'!$AH457))</f>
        <v/>
      </c>
      <c r="I479" s="24">
        <f>IF('ORDENES'!$A457="","",IF('ORDENES'!$AU457="","-",'ORDENES'!$AU457))</f>
        <v/>
      </c>
      <c r="J479" s="24">
        <f>IF('ORDENES'!$A457="","",IF('ORDENES'!$D457="","-",'ORDENES'!$D457))</f>
        <v/>
      </c>
      <c r="K479" s="24">
        <f>IF('ORDENES'!$A457="","",IF('ORDENES'!$E457="","-",'ORDENES'!$E457))</f>
        <v/>
      </c>
      <c r="L479" s="26">
        <f>IF('ORDENES'!$A457="","",IF('ORDENES'!$M457="",0,'ORDENES'!$M457))</f>
        <v/>
      </c>
      <c r="M479" s="24">
        <f>IF('ORDENES'!$A457="","",IF('ORDENES'!$N457="","-",'ORDENES'!$N457))</f>
        <v/>
      </c>
      <c r="N479" s="24">
        <f>IF('ORDENES'!$A457="","",'ORDENES'!$AG457)</f>
        <v/>
      </c>
    </row>
    <row r="480">
      <c r="A480" s="24">
        <f>IF('ORDENES'!$A458="","",IF('ORDENES'!$O458="","-",'ORDENES'!$O458))</f>
        <v/>
      </c>
      <c r="B480" s="24">
        <f>IF('ORDENES'!$A458="","",IF('ORDENES'!$S458="","-",'ORDENES'!$S458))</f>
        <v/>
      </c>
      <c r="C480" s="24">
        <f>IF('ORDENES'!$A458="","",IF('ORDENES'!$AI458="","-",'ORDENES'!$AI458))</f>
        <v/>
      </c>
      <c r="D480" s="24">
        <f>IF('ORDENES'!$A458="","",IF('ORDENES'!$AA458="","-",'ORDENES'!$AA458))</f>
        <v/>
      </c>
      <c r="E480" s="24">
        <f>IF('ORDENES'!$A458="","",IF('ORDENES'!$Y458="","-",'ORDENES'!$Y458))</f>
        <v/>
      </c>
      <c r="F480" s="24">
        <f>IF('ORDENES'!$A458="","",IF('ORDENES'!$AB458="","-",'ORDENES'!$AB458))</f>
        <v/>
      </c>
      <c r="G480" s="24">
        <f>IF('ORDENES'!$A458="","",IF('ORDENES'!$Z458="","-",'ORDENES'!$Z458))</f>
        <v/>
      </c>
      <c r="H480" s="24">
        <f>IF('ORDENES'!$A458="","",IF('ORDENES'!$AH458="","-",'ORDENES'!$AH458))</f>
        <v/>
      </c>
      <c r="I480" s="24">
        <f>IF('ORDENES'!$A458="","",IF('ORDENES'!$AU458="","-",'ORDENES'!$AU458))</f>
        <v/>
      </c>
      <c r="J480" s="24">
        <f>IF('ORDENES'!$A458="","",IF('ORDENES'!$D458="","-",'ORDENES'!$D458))</f>
        <v/>
      </c>
      <c r="K480" s="24">
        <f>IF('ORDENES'!$A458="","",IF('ORDENES'!$E458="","-",'ORDENES'!$E458))</f>
        <v/>
      </c>
      <c r="L480" s="26">
        <f>IF('ORDENES'!$A458="","",IF('ORDENES'!$M458="",0,'ORDENES'!$M458))</f>
        <v/>
      </c>
      <c r="M480" s="24">
        <f>IF('ORDENES'!$A458="","",IF('ORDENES'!$N458="","-",'ORDENES'!$N458))</f>
        <v/>
      </c>
      <c r="N480" s="24">
        <f>IF('ORDENES'!$A458="","",'ORDENES'!$AG458)</f>
        <v/>
      </c>
    </row>
    <row r="481">
      <c r="A481" s="24">
        <f>IF('ORDENES'!$A459="","",IF('ORDENES'!$O459="","-",'ORDENES'!$O459))</f>
        <v/>
      </c>
      <c r="B481" s="24">
        <f>IF('ORDENES'!$A459="","",IF('ORDENES'!$S459="","-",'ORDENES'!$S459))</f>
        <v/>
      </c>
      <c r="C481" s="24">
        <f>IF('ORDENES'!$A459="","",IF('ORDENES'!$AI459="","-",'ORDENES'!$AI459))</f>
        <v/>
      </c>
      <c r="D481" s="24">
        <f>IF('ORDENES'!$A459="","",IF('ORDENES'!$AA459="","-",'ORDENES'!$AA459))</f>
        <v/>
      </c>
      <c r="E481" s="24">
        <f>IF('ORDENES'!$A459="","",IF('ORDENES'!$Y459="","-",'ORDENES'!$Y459))</f>
        <v/>
      </c>
      <c r="F481" s="24">
        <f>IF('ORDENES'!$A459="","",IF('ORDENES'!$AB459="","-",'ORDENES'!$AB459))</f>
        <v/>
      </c>
      <c r="G481" s="24">
        <f>IF('ORDENES'!$A459="","",IF('ORDENES'!$Z459="","-",'ORDENES'!$Z459))</f>
        <v/>
      </c>
      <c r="H481" s="24">
        <f>IF('ORDENES'!$A459="","",IF('ORDENES'!$AH459="","-",'ORDENES'!$AH459))</f>
        <v/>
      </c>
      <c r="I481" s="24">
        <f>IF('ORDENES'!$A459="","",IF('ORDENES'!$AU459="","-",'ORDENES'!$AU459))</f>
        <v/>
      </c>
      <c r="J481" s="24">
        <f>IF('ORDENES'!$A459="","",IF('ORDENES'!$D459="","-",'ORDENES'!$D459))</f>
        <v/>
      </c>
      <c r="K481" s="24">
        <f>IF('ORDENES'!$A459="","",IF('ORDENES'!$E459="","-",'ORDENES'!$E459))</f>
        <v/>
      </c>
      <c r="L481" s="26">
        <f>IF('ORDENES'!$A459="","",IF('ORDENES'!$M459="",0,'ORDENES'!$M459))</f>
        <v/>
      </c>
      <c r="M481" s="24">
        <f>IF('ORDENES'!$A459="","",IF('ORDENES'!$N459="","-",'ORDENES'!$N459))</f>
        <v/>
      </c>
      <c r="N481" s="24">
        <f>IF('ORDENES'!$A459="","",'ORDENES'!$AG459)</f>
        <v/>
      </c>
    </row>
    <row r="482">
      <c r="A482" s="24">
        <f>IF('ORDENES'!$A460="","",IF('ORDENES'!$O460="","-",'ORDENES'!$O460))</f>
        <v/>
      </c>
      <c r="B482" s="24">
        <f>IF('ORDENES'!$A460="","",IF('ORDENES'!$S460="","-",'ORDENES'!$S460))</f>
        <v/>
      </c>
      <c r="C482" s="24">
        <f>IF('ORDENES'!$A460="","",IF('ORDENES'!$AI460="","-",'ORDENES'!$AI460))</f>
        <v/>
      </c>
      <c r="D482" s="24">
        <f>IF('ORDENES'!$A460="","",IF('ORDENES'!$AA460="","-",'ORDENES'!$AA460))</f>
        <v/>
      </c>
      <c r="E482" s="24">
        <f>IF('ORDENES'!$A460="","",IF('ORDENES'!$Y460="","-",'ORDENES'!$Y460))</f>
        <v/>
      </c>
      <c r="F482" s="24">
        <f>IF('ORDENES'!$A460="","",IF('ORDENES'!$AB460="","-",'ORDENES'!$AB460))</f>
        <v/>
      </c>
      <c r="G482" s="24">
        <f>IF('ORDENES'!$A460="","",IF('ORDENES'!$Z460="","-",'ORDENES'!$Z460))</f>
        <v/>
      </c>
      <c r="H482" s="24">
        <f>IF('ORDENES'!$A460="","",IF('ORDENES'!$AH460="","-",'ORDENES'!$AH460))</f>
        <v/>
      </c>
      <c r="I482" s="24">
        <f>IF('ORDENES'!$A460="","",IF('ORDENES'!$AU460="","-",'ORDENES'!$AU460))</f>
        <v/>
      </c>
      <c r="J482" s="24">
        <f>IF('ORDENES'!$A460="","",IF('ORDENES'!$D460="","-",'ORDENES'!$D460))</f>
        <v/>
      </c>
      <c r="K482" s="24">
        <f>IF('ORDENES'!$A460="","",IF('ORDENES'!$E460="","-",'ORDENES'!$E460))</f>
        <v/>
      </c>
      <c r="L482" s="26">
        <f>IF('ORDENES'!$A460="","",IF('ORDENES'!$M460="",0,'ORDENES'!$M460))</f>
        <v/>
      </c>
      <c r="M482" s="24">
        <f>IF('ORDENES'!$A460="","",IF('ORDENES'!$N460="","-",'ORDENES'!$N460))</f>
        <v/>
      </c>
      <c r="N482" s="24">
        <f>IF('ORDENES'!$A460="","",'ORDENES'!$AG460)</f>
        <v/>
      </c>
    </row>
    <row r="483">
      <c r="A483" s="24">
        <f>IF('ORDENES'!$A461="","",IF('ORDENES'!$O461="","-",'ORDENES'!$O461))</f>
        <v/>
      </c>
      <c r="B483" s="24">
        <f>IF('ORDENES'!$A461="","",IF('ORDENES'!$S461="","-",'ORDENES'!$S461))</f>
        <v/>
      </c>
      <c r="C483" s="24">
        <f>IF('ORDENES'!$A461="","",IF('ORDENES'!$AI461="","-",'ORDENES'!$AI461))</f>
        <v/>
      </c>
      <c r="D483" s="24">
        <f>IF('ORDENES'!$A461="","",IF('ORDENES'!$AA461="","-",'ORDENES'!$AA461))</f>
        <v/>
      </c>
      <c r="E483" s="24">
        <f>IF('ORDENES'!$A461="","",IF('ORDENES'!$Y461="","-",'ORDENES'!$Y461))</f>
        <v/>
      </c>
      <c r="F483" s="24">
        <f>IF('ORDENES'!$A461="","",IF('ORDENES'!$AB461="","-",'ORDENES'!$AB461))</f>
        <v/>
      </c>
      <c r="G483" s="24">
        <f>IF('ORDENES'!$A461="","",IF('ORDENES'!$Z461="","-",'ORDENES'!$Z461))</f>
        <v/>
      </c>
      <c r="H483" s="24">
        <f>IF('ORDENES'!$A461="","",IF('ORDENES'!$AH461="","-",'ORDENES'!$AH461))</f>
        <v/>
      </c>
      <c r="I483" s="24">
        <f>IF('ORDENES'!$A461="","",IF('ORDENES'!$AU461="","-",'ORDENES'!$AU461))</f>
        <v/>
      </c>
      <c r="J483" s="24">
        <f>IF('ORDENES'!$A461="","",IF('ORDENES'!$D461="","-",'ORDENES'!$D461))</f>
        <v/>
      </c>
      <c r="K483" s="24">
        <f>IF('ORDENES'!$A461="","",IF('ORDENES'!$E461="","-",'ORDENES'!$E461))</f>
        <v/>
      </c>
      <c r="L483" s="26">
        <f>IF('ORDENES'!$A461="","",IF('ORDENES'!$M461="",0,'ORDENES'!$M461))</f>
        <v/>
      </c>
      <c r="M483" s="24">
        <f>IF('ORDENES'!$A461="","",IF('ORDENES'!$N461="","-",'ORDENES'!$N461))</f>
        <v/>
      </c>
      <c r="N483" s="24">
        <f>IF('ORDENES'!$A461="","",'ORDENES'!$AG461)</f>
        <v/>
      </c>
    </row>
    <row r="484">
      <c r="A484" s="24">
        <f>IF('ORDENES'!$A462="","",IF('ORDENES'!$O462="","-",'ORDENES'!$O462))</f>
        <v/>
      </c>
      <c r="B484" s="24">
        <f>IF('ORDENES'!$A462="","",IF('ORDENES'!$S462="","-",'ORDENES'!$S462))</f>
        <v/>
      </c>
      <c r="C484" s="24">
        <f>IF('ORDENES'!$A462="","",IF('ORDENES'!$AI462="","-",'ORDENES'!$AI462))</f>
        <v/>
      </c>
      <c r="D484" s="24">
        <f>IF('ORDENES'!$A462="","",IF('ORDENES'!$AA462="","-",'ORDENES'!$AA462))</f>
        <v/>
      </c>
      <c r="E484" s="24">
        <f>IF('ORDENES'!$A462="","",IF('ORDENES'!$Y462="","-",'ORDENES'!$Y462))</f>
        <v/>
      </c>
      <c r="F484" s="24">
        <f>IF('ORDENES'!$A462="","",IF('ORDENES'!$AB462="","-",'ORDENES'!$AB462))</f>
        <v/>
      </c>
      <c r="G484" s="24">
        <f>IF('ORDENES'!$A462="","",IF('ORDENES'!$Z462="","-",'ORDENES'!$Z462))</f>
        <v/>
      </c>
      <c r="H484" s="24">
        <f>IF('ORDENES'!$A462="","",IF('ORDENES'!$AH462="","-",'ORDENES'!$AH462))</f>
        <v/>
      </c>
      <c r="I484" s="24">
        <f>IF('ORDENES'!$A462="","",IF('ORDENES'!$AU462="","-",'ORDENES'!$AU462))</f>
        <v/>
      </c>
      <c r="J484" s="24">
        <f>IF('ORDENES'!$A462="","",IF('ORDENES'!$D462="","-",'ORDENES'!$D462))</f>
        <v/>
      </c>
      <c r="K484" s="24">
        <f>IF('ORDENES'!$A462="","",IF('ORDENES'!$E462="","-",'ORDENES'!$E462))</f>
        <v/>
      </c>
      <c r="L484" s="26">
        <f>IF('ORDENES'!$A462="","",IF('ORDENES'!$M462="",0,'ORDENES'!$M462))</f>
        <v/>
      </c>
      <c r="M484" s="24">
        <f>IF('ORDENES'!$A462="","",IF('ORDENES'!$N462="","-",'ORDENES'!$N462))</f>
        <v/>
      </c>
      <c r="N484" s="24">
        <f>IF('ORDENES'!$A462="","",'ORDENES'!$AG462)</f>
        <v/>
      </c>
    </row>
    <row r="485">
      <c r="A485" s="24">
        <f>IF('ORDENES'!$A463="","",IF('ORDENES'!$O463="","-",'ORDENES'!$O463))</f>
        <v/>
      </c>
      <c r="B485" s="24">
        <f>IF('ORDENES'!$A463="","",IF('ORDENES'!$S463="","-",'ORDENES'!$S463))</f>
        <v/>
      </c>
      <c r="C485" s="24">
        <f>IF('ORDENES'!$A463="","",IF('ORDENES'!$AI463="","-",'ORDENES'!$AI463))</f>
        <v/>
      </c>
      <c r="D485" s="24">
        <f>IF('ORDENES'!$A463="","",IF('ORDENES'!$AA463="","-",'ORDENES'!$AA463))</f>
        <v/>
      </c>
      <c r="E485" s="24">
        <f>IF('ORDENES'!$A463="","",IF('ORDENES'!$Y463="","-",'ORDENES'!$Y463))</f>
        <v/>
      </c>
      <c r="F485" s="24">
        <f>IF('ORDENES'!$A463="","",IF('ORDENES'!$AB463="","-",'ORDENES'!$AB463))</f>
        <v/>
      </c>
      <c r="G485" s="24">
        <f>IF('ORDENES'!$A463="","",IF('ORDENES'!$Z463="","-",'ORDENES'!$Z463))</f>
        <v/>
      </c>
      <c r="H485" s="24">
        <f>IF('ORDENES'!$A463="","",IF('ORDENES'!$AH463="","-",'ORDENES'!$AH463))</f>
        <v/>
      </c>
      <c r="I485" s="24">
        <f>IF('ORDENES'!$A463="","",IF('ORDENES'!$AU463="","-",'ORDENES'!$AU463))</f>
        <v/>
      </c>
      <c r="J485" s="24">
        <f>IF('ORDENES'!$A463="","",IF('ORDENES'!$D463="","-",'ORDENES'!$D463))</f>
        <v/>
      </c>
      <c r="K485" s="24">
        <f>IF('ORDENES'!$A463="","",IF('ORDENES'!$E463="","-",'ORDENES'!$E463))</f>
        <v/>
      </c>
      <c r="L485" s="26">
        <f>IF('ORDENES'!$A463="","",IF('ORDENES'!$M463="",0,'ORDENES'!$M463))</f>
        <v/>
      </c>
      <c r="M485" s="24">
        <f>IF('ORDENES'!$A463="","",IF('ORDENES'!$N463="","-",'ORDENES'!$N463))</f>
        <v/>
      </c>
      <c r="N485" s="24">
        <f>IF('ORDENES'!$A463="","",'ORDENES'!$AG463)</f>
        <v/>
      </c>
    </row>
    <row r="486">
      <c r="A486" s="24">
        <f>IF('ORDENES'!$A464="","",IF('ORDENES'!$O464="","-",'ORDENES'!$O464))</f>
        <v/>
      </c>
      <c r="B486" s="24">
        <f>IF('ORDENES'!$A464="","",IF('ORDENES'!$S464="","-",'ORDENES'!$S464))</f>
        <v/>
      </c>
      <c r="C486" s="24">
        <f>IF('ORDENES'!$A464="","",IF('ORDENES'!$AI464="","-",'ORDENES'!$AI464))</f>
        <v/>
      </c>
      <c r="D486" s="24">
        <f>IF('ORDENES'!$A464="","",IF('ORDENES'!$AA464="","-",'ORDENES'!$AA464))</f>
        <v/>
      </c>
      <c r="E486" s="24">
        <f>IF('ORDENES'!$A464="","",IF('ORDENES'!$Y464="","-",'ORDENES'!$Y464))</f>
        <v/>
      </c>
      <c r="F486" s="24">
        <f>IF('ORDENES'!$A464="","",IF('ORDENES'!$AB464="","-",'ORDENES'!$AB464))</f>
        <v/>
      </c>
      <c r="G486" s="24">
        <f>IF('ORDENES'!$A464="","",IF('ORDENES'!$Z464="","-",'ORDENES'!$Z464))</f>
        <v/>
      </c>
      <c r="H486" s="24">
        <f>IF('ORDENES'!$A464="","",IF('ORDENES'!$AH464="","-",'ORDENES'!$AH464))</f>
        <v/>
      </c>
      <c r="I486" s="24">
        <f>IF('ORDENES'!$A464="","",IF('ORDENES'!$AU464="","-",'ORDENES'!$AU464))</f>
        <v/>
      </c>
      <c r="J486" s="24">
        <f>IF('ORDENES'!$A464="","",IF('ORDENES'!$D464="","-",'ORDENES'!$D464))</f>
        <v/>
      </c>
      <c r="K486" s="24">
        <f>IF('ORDENES'!$A464="","",IF('ORDENES'!$E464="","-",'ORDENES'!$E464))</f>
        <v/>
      </c>
      <c r="L486" s="26">
        <f>IF('ORDENES'!$A464="","",IF('ORDENES'!$M464="",0,'ORDENES'!$M464))</f>
        <v/>
      </c>
      <c r="M486" s="24">
        <f>IF('ORDENES'!$A464="","",IF('ORDENES'!$N464="","-",'ORDENES'!$N464))</f>
        <v/>
      </c>
      <c r="N486" s="24">
        <f>IF('ORDENES'!$A464="","",'ORDENES'!$AG464)</f>
        <v/>
      </c>
    </row>
    <row r="487">
      <c r="A487" s="24">
        <f>IF('ORDENES'!$A465="","",IF('ORDENES'!$O465="","-",'ORDENES'!$O465))</f>
        <v/>
      </c>
      <c r="B487" s="24">
        <f>IF('ORDENES'!$A465="","",IF('ORDENES'!$S465="","-",'ORDENES'!$S465))</f>
        <v/>
      </c>
      <c r="C487" s="24">
        <f>IF('ORDENES'!$A465="","",IF('ORDENES'!$AI465="","-",'ORDENES'!$AI465))</f>
        <v/>
      </c>
      <c r="D487" s="24">
        <f>IF('ORDENES'!$A465="","",IF('ORDENES'!$AA465="","-",'ORDENES'!$AA465))</f>
        <v/>
      </c>
      <c r="E487" s="24">
        <f>IF('ORDENES'!$A465="","",IF('ORDENES'!$Y465="","-",'ORDENES'!$Y465))</f>
        <v/>
      </c>
      <c r="F487" s="24">
        <f>IF('ORDENES'!$A465="","",IF('ORDENES'!$AB465="","-",'ORDENES'!$AB465))</f>
        <v/>
      </c>
      <c r="G487" s="24">
        <f>IF('ORDENES'!$A465="","",IF('ORDENES'!$Z465="","-",'ORDENES'!$Z465))</f>
        <v/>
      </c>
      <c r="H487" s="24">
        <f>IF('ORDENES'!$A465="","",IF('ORDENES'!$AH465="","-",'ORDENES'!$AH465))</f>
        <v/>
      </c>
      <c r="I487" s="24">
        <f>IF('ORDENES'!$A465="","",IF('ORDENES'!$AU465="","-",'ORDENES'!$AU465))</f>
        <v/>
      </c>
      <c r="J487" s="24">
        <f>IF('ORDENES'!$A465="","",IF('ORDENES'!$D465="","-",'ORDENES'!$D465))</f>
        <v/>
      </c>
      <c r="K487" s="24">
        <f>IF('ORDENES'!$A465="","",IF('ORDENES'!$E465="","-",'ORDENES'!$E465))</f>
        <v/>
      </c>
      <c r="L487" s="26">
        <f>IF('ORDENES'!$A465="","",IF('ORDENES'!$M465="",0,'ORDENES'!$M465))</f>
        <v/>
      </c>
      <c r="M487" s="24">
        <f>IF('ORDENES'!$A465="","",IF('ORDENES'!$N465="","-",'ORDENES'!$N465))</f>
        <v/>
      </c>
      <c r="N487" s="24">
        <f>IF('ORDENES'!$A465="","",'ORDENES'!$AG465)</f>
        <v/>
      </c>
    </row>
    <row r="488">
      <c r="A488" s="24">
        <f>IF('ORDENES'!$A466="","",IF('ORDENES'!$O466="","-",'ORDENES'!$O466))</f>
        <v/>
      </c>
      <c r="B488" s="24">
        <f>IF('ORDENES'!$A466="","",IF('ORDENES'!$S466="","-",'ORDENES'!$S466))</f>
        <v/>
      </c>
      <c r="C488" s="24">
        <f>IF('ORDENES'!$A466="","",IF('ORDENES'!$AI466="","-",'ORDENES'!$AI466))</f>
        <v/>
      </c>
      <c r="D488" s="24">
        <f>IF('ORDENES'!$A466="","",IF('ORDENES'!$AA466="","-",'ORDENES'!$AA466))</f>
        <v/>
      </c>
      <c r="E488" s="24">
        <f>IF('ORDENES'!$A466="","",IF('ORDENES'!$Y466="","-",'ORDENES'!$Y466))</f>
        <v/>
      </c>
      <c r="F488" s="24">
        <f>IF('ORDENES'!$A466="","",IF('ORDENES'!$AB466="","-",'ORDENES'!$AB466))</f>
        <v/>
      </c>
      <c r="G488" s="24">
        <f>IF('ORDENES'!$A466="","",IF('ORDENES'!$Z466="","-",'ORDENES'!$Z466))</f>
        <v/>
      </c>
      <c r="H488" s="24">
        <f>IF('ORDENES'!$A466="","",IF('ORDENES'!$AH466="","-",'ORDENES'!$AH466))</f>
        <v/>
      </c>
      <c r="I488" s="24">
        <f>IF('ORDENES'!$A466="","",IF('ORDENES'!$AU466="","-",'ORDENES'!$AU466))</f>
        <v/>
      </c>
      <c r="J488" s="24">
        <f>IF('ORDENES'!$A466="","",IF('ORDENES'!$D466="","-",'ORDENES'!$D466))</f>
        <v/>
      </c>
      <c r="K488" s="24">
        <f>IF('ORDENES'!$A466="","",IF('ORDENES'!$E466="","-",'ORDENES'!$E466))</f>
        <v/>
      </c>
      <c r="L488" s="26">
        <f>IF('ORDENES'!$A466="","",IF('ORDENES'!$M466="",0,'ORDENES'!$M466))</f>
        <v/>
      </c>
      <c r="M488" s="24">
        <f>IF('ORDENES'!$A466="","",IF('ORDENES'!$N466="","-",'ORDENES'!$N466))</f>
        <v/>
      </c>
      <c r="N488" s="24">
        <f>IF('ORDENES'!$A466="","",'ORDENES'!$AG466)</f>
        <v/>
      </c>
    </row>
    <row r="489">
      <c r="A489" s="24">
        <f>IF('ORDENES'!$A467="","",IF('ORDENES'!$O467="","-",'ORDENES'!$O467))</f>
        <v/>
      </c>
      <c r="B489" s="24">
        <f>IF('ORDENES'!$A467="","",IF('ORDENES'!$S467="","-",'ORDENES'!$S467))</f>
        <v/>
      </c>
      <c r="C489" s="24">
        <f>IF('ORDENES'!$A467="","",IF('ORDENES'!$AI467="","-",'ORDENES'!$AI467))</f>
        <v/>
      </c>
      <c r="D489" s="24">
        <f>IF('ORDENES'!$A467="","",IF('ORDENES'!$AA467="","-",'ORDENES'!$AA467))</f>
        <v/>
      </c>
      <c r="E489" s="24">
        <f>IF('ORDENES'!$A467="","",IF('ORDENES'!$Y467="","-",'ORDENES'!$Y467))</f>
        <v/>
      </c>
      <c r="F489" s="24">
        <f>IF('ORDENES'!$A467="","",IF('ORDENES'!$AB467="","-",'ORDENES'!$AB467))</f>
        <v/>
      </c>
      <c r="G489" s="24">
        <f>IF('ORDENES'!$A467="","",IF('ORDENES'!$Z467="","-",'ORDENES'!$Z467))</f>
        <v/>
      </c>
      <c r="H489" s="24">
        <f>IF('ORDENES'!$A467="","",IF('ORDENES'!$AH467="","-",'ORDENES'!$AH467))</f>
        <v/>
      </c>
      <c r="I489" s="24">
        <f>IF('ORDENES'!$A467="","",IF('ORDENES'!$AU467="","-",'ORDENES'!$AU467))</f>
        <v/>
      </c>
      <c r="J489" s="24">
        <f>IF('ORDENES'!$A467="","",IF('ORDENES'!$D467="","-",'ORDENES'!$D467))</f>
        <v/>
      </c>
      <c r="K489" s="24">
        <f>IF('ORDENES'!$A467="","",IF('ORDENES'!$E467="","-",'ORDENES'!$E467))</f>
        <v/>
      </c>
      <c r="L489" s="26">
        <f>IF('ORDENES'!$A467="","",IF('ORDENES'!$M467="",0,'ORDENES'!$M467))</f>
        <v/>
      </c>
      <c r="M489" s="24">
        <f>IF('ORDENES'!$A467="","",IF('ORDENES'!$N467="","-",'ORDENES'!$N467))</f>
        <v/>
      </c>
      <c r="N489" s="24">
        <f>IF('ORDENES'!$A467="","",'ORDENES'!$AG467)</f>
        <v/>
      </c>
    </row>
    <row r="490">
      <c r="A490" s="24">
        <f>IF('ORDENES'!$A468="","",IF('ORDENES'!$O468="","-",'ORDENES'!$O468))</f>
        <v/>
      </c>
      <c r="B490" s="24">
        <f>IF('ORDENES'!$A468="","",IF('ORDENES'!$S468="","-",'ORDENES'!$S468))</f>
        <v/>
      </c>
      <c r="C490" s="24">
        <f>IF('ORDENES'!$A468="","",IF('ORDENES'!$AI468="","-",'ORDENES'!$AI468))</f>
        <v/>
      </c>
      <c r="D490" s="24">
        <f>IF('ORDENES'!$A468="","",IF('ORDENES'!$AA468="","-",'ORDENES'!$AA468))</f>
        <v/>
      </c>
      <c r="E490" s="24">
        <f>IF('ORDENES'!$A468="","",IF('ORDENES'!$Y468="","-",'ORDENES'!$Y468))</f>
        <v/>
      </c>
      <c r="F490" s="24">
        <f>IF('ORDENES'!$A468="","",IF('ORDENES'!$AB468="","-",'ORDENES'!$AB468))</f>
        <v/>
      </c>
      <c r="G490" s="24">
        <f>IF('ORDENES'!$A468="","",IF('ORDENES'!$Z468="","-",'ORDENES'!$Z468))</f>
        <v/>
      </c>
      <c r="H490" s="24">
        <f>IF('ORDENES'!$A468="","",IF('ORDENES'!$AH468="","-",'ORDENES'!$AH468))</f>
        <v/>
      </c>
      <c r="I490" s="24">
        <f>IF('ORDENES'!$A468="","",IF('ORDENES'!$AU468="","-",'ORDENES'!$AU468))</f>
        <v/>
      </c>
      <c r="J490" s="24">
        <f>IF('ORDENES'!$A468="","",IF('ORDENES'!$D468="","-",'ORDENES'!$D468))</f>
        <v/>
      </c>
      <c r="K490" s="24">
        <f>IF('ORDENES'!$A468="","",IF('ORDENES'!$E468="","-",'ORDENES'!$E468))</f>
        <v/>
      </c>
      <c r="L490" s="26">
        <f>IF('ORDENES'!$A468="","",IF('ORDENES'!$M468="",0,'ORDENES'!$M468))</f>
        <v/>
      </c>
      <c r="M490" s="24">
        <f>IF('ORDENES'!$A468="","",IF('ORDENES'!$N468="","-",'ORDENES'!$N468))</f>
        <v/>
      </c>
      <c r="N490" s="24">
        <f>IF('ORDENES'!$A468="","",'ORDENES'!$AG468)</f>
        <v/>
      </c>
    </row>
    <row r="491">
      <c r="A491" s="24">
        <f>IF('ORDENES'!$A469="","",IF('ORDENES'!$O469="","-",'ORDENES'!$O469))</f>
        <v/>
      </c>
      <c r="B491" s="24">
        <f>IF('ORDENES'!$A469="","",IF('ORDENES'!$S469="","-",'ORDENES'!$S469))</f>
        <v/>
      </c>
      <c r="C491" s="24">
        <f>IF('ORDENES'!$A469="","",IF('ORDENES'!$AI469="","-",'ORDENES'!$AI469))</f>
        <v/>
      </c>
      <c r="D491" s="24">
        <f>IF('ORDENES'!$A469="","",IF('ORDENES'!$AA469="","-",'ORDENES'!$AA469))</f>
        <v/>
      </c>
      <c r="E491" s="24">
        <f>IF('ORDENES'!$A469="","",IF('ORDENES'!$Y469="","-",'ORDENES'!$Y469))</f>
        <v/>
      </c>
      <c r="F491" s="24">
        <f>IF('ORDENES'!$A469="","",IF('ORDENES'!$AB469="","-",'ORDENES'!$AB469))</f>
        <v/>
      </c>
      <c r="G491" s="24">
        <f>IF('ORDENES'!$A469="","",IF('ORDENES'!$Z469="","-",'ORDENES'!$Z469))</f>
        <v/>
      </c>
      <c r="H491" s="24">
        <f>IF('ORDENES'!$A469="","",IF('ORDENES'!$AH469="","-",'ORDENES'!$AH469))</f>
        <v/>
      </c>
      <c r="I491" s="24">
        <f>IF('ORDENES'!$A469="","",IF('ORDENES'!$AU469="","-",'ORDENES'!$AU469))</f>
        <v/>
      </c>
      <c r="J491" s="24">
        <f>IF('ORDENES'!$A469="","",IF('ORDENES'!$D469="","-",'ORDENES'!$D469))</f>
        <v/>
      </c>
      <c r="K491" s="24">
        <f>IF('ORDENES'!$A469="","",IF('ORDENES'!$E469="","-",'ORDENES'!$E469))</f>
        <v/>
      </c>
      <c r="L491" s="26">
        <f>IF('ORDENES'!$A469="","",IF('ORDENES'!$M469="",0,'ORDENES'!$M469))</f>
        <v/>
      </c>
      <c r="M491" s="24">
        <f>IF('ORDENES'!$A469="","",IF('ORDENES'!$N469="","-",'ORDENES'!$N469))</f>
        <v/>
      </c>
      <c r="N491" s="24">
        <f>IF('ORDENES'!$A469="","",'ORDENES'!$AG469)</f>
        <v/>
      </c>
    </row>
    <row r="492">
      <c r="A492" s="24">
        <f>IF('ORDENES'!$A470="","",IF('ORDENES'!$O470="","-",'ORDENES'!$O470))</f>
        <v/>
      </c>
      <c r="B492" s="24">
        <f>IF('ORDENES'!$A470="","",IF('ORDENES'!$S470="","-",'ORDENES'!$S470))</f>
        <v/>
      </c>
      <c r="C492" s="24">
        <f>IF('ORDENES'!$A470="","",IF('ORDENES'!$AI470="","-",'ORDENES'!$AI470))</f>
        <v/>
      </c>
      <c r="D492" s="24">
        <f>IF('ORDENES'!$A470="","",IF('ORDENES'!$AA470="","-",'ORDENES'!$AA470))</f>
        <v/>
      </c>
      <c r="E492" s="24">
        <f>IF('ORDENES'!$A470="","",IF('ORDENES'!$Y470="","-",'ORDENES'!$Y470))</f>
        <v/>
      </c>
      <c r="F492" s="24">
        <f>IF('ORDENES'!$A470="","",IF('ORDENES'!$AB470="","-",'ORDENES'!$AB470))</f>
        <v/>
      </c>
      <c r="G492" s="24">
        <f>IF('ORDENES'!$A470="","",IF('ORDENES'!$Z470="","-",'ORDENES'!$Z470))</f>
        <v/>
      </c>
      <c r="H492" s="24">
        <f>IF('ORDENES'!$A470="","",IF('ORDENES'!$AH470="","-",'ORDENES'!$AH470))</f>
        <v/>
      </c>
      <c r="I492" s="24">
        <f>IF('ORDENES'!$A470="","",IF('ORDENES'!$AU470="","-",'ORDENES'!$AU470))</f>
        <v/>
      </c>
      <c r="J492" s="24">
        <f>IF('ORDENES'!$A470="","",IF('ORDENES'!$D470="","-",'ORDENES'!$D470))</f>
        <v/>
      </c>
      <c r="K492" s="24">
        <f>IF('ORDENES'!$A470="","",IF('ORDENES'!$E470="","-",'ORDENES'!$E470))</f>
        <v/>
      </c>
      <c r="L492" s="26">
        <f>IF('ORDENES'!$A470="","",IF('ORDENES'!$M470="",0,'ORDENES'!$M470))</f>
        <v/>
      </c>
      <c r="M492" s="24">
        <f>IF('ORDENES'!$A470="","",IF('ORDENES'!$N470="","-",'ORDENES'!$N470))</f>
        <v/>
      </c>
      <c r="N492" s="24">
        <f>IF('ORDENES'!$A470="","",'ORDENES'!$AG470)</f>
        <v/>
      </c>
    </row>
    <row r="493">
      <c r="A493" s="24">
        <f>IF('ORDENES'!$A471="","",IF('ORDENES'!$O471="","-",'ORDENES'!$O471))</f>
        <v/>
      </c>
      <c r="B493" s="24">
        <f>IF('ORDENES'!$A471="","",IF('ORDENES'!$S471="","-",'ORDENES'!$S471))</f>
        <v/>
      </c>
      <c r="C493" s="24">
        <f>IF('ORDENES'!$A471="","",IF('ORDENES'!$AI471="","-",'ORDENES'!$AI471))</f>
        <v/>
      </c>
      <c r="D493" s="24">
        <f>IF('ORDENES'!$A471="","",IF('ORDENES'!$AA471="","-",'ORDENES'!$AA471))</f>
        <v/>
      </c>
      <c r="E493" s="24">
        <f>IF('ORDENES'!$A471="","",IF('ORDENES'!$Y471="","-",'ORDENES'!$Y471))</f>
        <v/>
      </c>
      <c r="F493" s="24">
        <f>IF('ORDENES'!$A471="","",IF('ORDENES'!$AB471="","-",'ORDENES'!$AB471))</f>
        <v/>
      </c>
      <c r="G493" s="24">
        <f>IF('ORDENES'!$A471="","",IF('ORDENES'!$Z471="","-",'ORDENES'!$Z471))</f>
        <v/>
      </c>
      <c r="H493" s="24">
        <f>IF('ORDENES'!$A471="","",IF('ORDENES'!$AH471="","-",'ORDENES'!$AH471))</f>
        <v/>
      </c>
      <c r="I493" s="24">
        <f>IF('ORDENES'!$A471="","",IF('ORDENES'!$AU471="","-",'ORDENES'!$AU471))</f>
        <v/>
      </c>
      <c r="J493" s="24">
        <f>IF('ORDENES'!$A471="","",IF('ORDENES'!$D471="","-",'ORDENES'!$D471))</f>
        <v/>
      </c>
      <c r="K493" s="24">
        <f>IF('ORDENES'!$A471="","",IF('ORDENES'!$E471="","-",'ORDENES'!$E471))</f>
        <v/>
      </c>
      <c r="L493" s="26">
        <f>IF('ORDENES'!$A471="","",IF('ORDENES'!$M471="",0,'ORDENES'!$M471))</f>
        <v/>
      </c>
      <c r="M493" s="24">
        <f>IF('ORDENES'!$A471="","",IF('ORDENES'!$N471="","-",'ORDENES'!$N471))</f>
        <v/>
      </c>
      <c r="N493" s="24">
        <f>IF('ORDENES'!$A471="","",'ORDENES'!$AG471)</f>
        <v/>
      </c>
    </row>
    <row r="494">
      <c r="A494" s="24">
        <f>IF('ORDENES'!$A472="","",IF('ORDENES'!$O472="","-",'ORDENES'!$O472))</f>
        <v/>
      </c>
      <c r="B494" s="24">
        <f>IF('ORDENES'!$A472="","",IF('ORDENES'!$S472="","-",'ORDENES'!$S472))</f>
        <v/>
      </c>
      <c r="C494" s="24">
        <f>IF('ORDENES'!$A472="","",IF('ORDENES'!$AI472="","-",'ORDENES'!$AI472))</f>
        <v/>
      </c>
      <c r="D494" s="24">
        <f>IF('ORDENES'!$A472="","",IF('ORDENES'!$AA472="","-",'ORDENES'!$AA472))</f>
        <v/>
      </c>
      <c r="E494" s="24">
        <f>IF('ORDENES'!$A472="","",IF('ORDENES'!$Y472="","-",'ORDENES'!$Y472))</f>
        <v/>
      </c>
      <c r="F494" s="24">
        <f>IF('ORDENES'!$A472="","",IF('ORDENES'!$AB472="","-",'ORDENES'!$AB472))</f>
        <v/>
      </c>
      <c r="G494" s="24">
        <f>IF('ORDENES'!$A472="","",IF('ORDENES'!$Z472="","-",'ORDENES'!$Z472))</f>
        <v/>
      </c>
      <c r="H494" s="24">
        <f>IF('ORDENES'!$A472="","",IF('ORDENES'!$AH472="","-",'ORDENES'!$AH472))</f>
        <v/>
      </c>
      <c r="I494" s="24">
        <f>IF('ORDENES'!$A472="","",IF('ORDENES'!$AU472="","-",'ORDENES'!$AU472))</f>
        <v/>
      </c>
      <c r="J494" s="24">
        <f>IF('ORDENES'!$A472="","",IF('ORDENES'!$D472="","-",'ORDENES'!$D472))</f>
        <v/>
      </c>
      <c r="K494" s="24">
        <f>IF('ORDENES'!$A472="","",IF('ORDENES'!$E472="","-",'ORDENES'!$E472))</f>
        <v/>
      </c>
      <c r="L494" s="26">
        <f>IF('ORDENES'!$A472="","",IF('ORDENES'!$M472="",0,'ORDENES'!$M472))</f>
        <v/>
      </c>
      <c r="M494" s="24">
        <f>IF('ORDENES'!$A472="","",IF('ORDENES'!$N472="","-",'ORDENES'!$N472))</f>
        <v/>
      </c>
      <c r="N494" s="24">
        <f>IF('ORDENES'!$A472="","",'ORDENES'!$AG472)</f>
        <v/>
      </c>
    </row>
    <row r="495">
      <c r="A495" s="24">
        <f>IF('ORDENES'!$A473="","",IF('ORDENES'!$O473="","-",'ORDENES'!$O473))</f>
        <v/>
      </c>
      <c r="B495" s="24">
        <f>IF('ORDENES'!$A473="","",IF('ORDENES'!$S473="","-",'ORDENES'!$S473))</f>
        <v/>
      </c>
      <c r="C495" s="24">
        <f>IF('ORDENES'!$A473="","",IF('ORDENES'!$AI473="","-",'ORDENES'!$AI473))</f>
        <v/>
      </c>
      <c r="D495" s="24">
        <f>IF('ORDENES'!$A473="","",IF('ORDENES'!$AA473="","-",'ORDENES'!$AA473))</f>
        <v/>
      </c>
      <c r="E495" s="24">
        <f>IF('ORDENES'!$A473="","",IF('ORDENES'!$Y473="","-",'ORDENES'!$Y473))</f>
        <v/>
      </c>
      <c r="F495" s="24">
        <f>IF('ORDENES'!$A473="","",IF('ORDENES'!$AB473="","-",'ORDENES'!$AB473))</f>
        <v/>
      </c>
      <c r="G495" s="24">
        <f>IF('ORDENES'!$A473="","",IF('ORDENES'!$Z473="","-",'ORDENES'!$Z473))</f>
        <v/>
      </c>
      <c r="H495" s="24">
        <f>IF('ORDENES'!$A473="","",IF('ORDENES'!$AH473="","-",'ORDENES'!$AH473))</f>
        <v/>
      </c>
      <c r="I495" s="24">
        <f>IF('ORDENES'!$A473="","",IF('ORDENES'!$AU473="","-",'ORDENES'!$AU473))</f>
        <v/>
      </c>
      <c r="J495" s="24">
        <f>IF('ORDENES'!$A473="","",IF('ORDENES'!$D473="","-",'ORDENES'!$D473))</f>
        <v/>
      </c>
      <c r="K495" s="24">
        <f>IF('ORDENES'!$A473="","",IF('ORDENES'!$E473="","-",'ORDENES'!$E473))</f>
        <v/>
      </c>
      <c r="L495" s="26">
        <f>IF('ORDENES'!$A473="","",IF('ORDENES'!$M473="",0,'ORDENES'!$M473))</f>
        <v/>
      </c>
      <c r="M495" s="24">
        <f>IF('ORDENES'!$A473="","",IF('ORDENES'!$N473="","-",'ORDENES'!$N473))</f>
        <v/>
      </c>
      <c r="N495" s="24">
        <f>IF('ORDENES'!$A473="","",'ORDENES'!$AG473)</f>
        <v/>
      </c>
    </row>
    <row r="496">
      <c r="A496" s="24">
        <f>IF('ORDENES'!$A474="","",IF('ORDENES'!$O474="","-",'ORDENES'!$O474))</f>
        <v/>
      </c>
      <c r="B496" s="24">
        <f>IF('ORDENES'!$A474="","",IF('ORDENES'!$S474="","-",'ORDENES'!$S474))</f>
        <v/>
      </c>
      <c r="C496" s="24">
        <f>IF('ORDENES'!$A474="","",IF('ORDENES'!$AI474="","-",'ORDENES'!$AI474))</f>
        <v/>
      </c>
      <c r="D496" s="24">
        <f>IF('ORDENES'!$A474="","",IF('ORDENES'!$AA474="","-",'ORDENES'!$AA474))</f>
        <v/>
      </c>
      <c r="E496" s="24">
        <f>IF('ORDENES'!$A474="","",IF('ORDENES'!$Y474="","-",'ORDENES'!$Y474))</f>
        <v/>
      </c>
      <c r="F496" s="24">
        <f>IF('ORDENES'!$A474="","",IF('ORDENES'!$AB474="","-",'ORDENES'!$AB474))</f>
        <v/>
      </c>
      <c r="G496" s="24">
        <f>IF('ORDENES'!$A474="","",IF('ORDENES'!$Z474="","-",'ORDENES'!$Z474))</f>
        <v/>
      </c>
      <c r="H496" s="24">
        <f>IF('ORDENES'!$A474="","",IF('ORDENES'!$AH474="","-",'ORDENES'!$AH474))</f>
        <v/>
      </c>
      <c r="I496" s="24">
        <f>IF('ORDENES'!$A474="","",IF('ORDENES'!$AU474="","-",'ORDENES'!$AU474))</f>
        <v/>
      </c>
      <c r="J496" s="24">
        <f>IF('ORDENES'!$A474="","",IF('ORDENES'!$D474="","-",'ORDENES'!$D474))</f>
        <v/>
      </c>
      <c r="K496" s="24">
        <f>IF('ORDENES'!$A474="","",IF('ORDENES'!$E474="","-",'ORDENES'!$E474))</f>
        <v/>
      </c>
      <c r="L496" s="26">
        <f>IF('ORDENES'!$A474="","",IF('ORDENES'!$M474="",0,'ORDENES'!$M474))</f>
        <v/>
      </c>
      <c r="M496" s="24">
        <f>IF('ORDENES'!$A474="","",IF('ORDENES'!$N474="","-",'ORDENES'!$N474))</f>
        <v/>
      </c>
      <c r="N496" s="24">
        <f>IF('ORDENES'!$A474="","",'ORDENES'!$AG474)</f>
        <v/>
      </c>
    </row>
    <row r="497">
      <c r="A497" s="24">
        <f>IF('ORDENES'!$A475="","",IF('ORDENES'!$O475="","-",'ORDENES'!$O475))</f>
        <v/>
      </c>
      <c r="B497" s="24">
        <f>IF('ORDENES'!$A475="","",IF('ORDENES'!$S475="","-",'ORDENES'!$S475))</f>
        <v/>
      </c>
      <c r="C497" s="24">
        <f>IF('ORDENES'!$A475="","",IF('ORDENES'!$AI475="","-",'ORDENES'!$AI475))</f>
        <v/>
      </c>
      <c r="D497" s="24">
        <f>IF('ORDENES'!$A475="","",IF('ORDENES'!$AA475="","-",'ORDENES'!$AA475))</f>
        <v/>
      </c>
      <c r="E497" s="24">
        <f>IF('ORDENES'!$A475="","",IF('ORDENES'!$Y475="","-",'ORDENES'!$Y475))</f>
        <v/>
      </c>
      <c r="F497" s="24">
        <f>IF('ORDENES'!$A475="","",IF('ORDENES'!$AB475="","-",'ORDENES'!$AB475))</f>
        <v/>
      </c>
      <c r="G497" s="24">
        <f>IF('ORDENES'!$A475="","",IF('ORDENES'!$Z475="","-",'ORDENES'!$Z475))</f>
        <v/>
      </c>
      <c r="H497" s="24">
        <f>IF('ORDENES'!$A475="","",IF('ORDENES'!$AH475="","-",'ORDENES'!$AH475))</f>
        <v/>
      </c>
      <c r="I497" s="24">
        <f>IF('ORDENES'!$A475="","",IF('ORDENES'!$AU475="","-",'ORDENES'!$AU475))</f>
        <v/>
      </c>
      <c r="J497" s="24">
        <f>IF('ORDENES'!$A475="","",IF('ORDENES'!$D475="","-",'ORDENES'!$D475))</f>
        <v/>
      </c>
      <c r="K497" s="24">
        <f>IF('ORDENES'!$A475="","",IF('ORDENES'!$E475="","-",'ORDENES'!$E475))</f>
        <v/>
      </c>
      <c r="L497" s="26">
        <f>IF('ORDENES'!$A475="","",IF('ORDENES'!$M475="",0,'ORDENES'!$M475))</f>
        <v/>
      </c>
      <c r="M497" s="24">
        <f>IF('ORDENES'!$A475="","",IF('ORDENES'!$N475="","-",'ORDENES'!$N475))</f>
        <v/>
      </c>
      <c r="N497" s="24">
        <f>IF('ORDENES'!$A475="","",'ORDENES'!$AG475)</f>
        <v/>
      </c>
    </row>
    <row r="498">
      <c r="A498" s="24">
        <f>IF('ORDENES'!$A476="","",IF('ORDENES'!$O476="","-",'ORDENES'!$O476))</f>
        <v/>
      </c>
      <c r="B498" s="24">
        <f>IF('ORDENES'!$A476="","",IF('ORDENES'!$S476="","-",'ORDENES'!$S476))</f>
        <v/>
      </c>
      <c r="C498" s="24">
        <f>IF('ORDENES'!$A476="","",IF('ORDENES'!$AI476="","-",'ORDENES'!$AI476))</f>
        <v/>
      </c>
      <c r="D498" s="24">
        <f>IF('ORDENES'!$A476="","",IF('ORDENES'!$AA476="","-",'ORDENES'!$AA476))</f>
        <v/>
      </c>
      <c r="E498" s="24">
        <f>IF('ORDENES'!$A476="","",IF('ORDENES'!$Y476="","-",'ORDENES'!$Y476))</f>
        <v/>
      </c>
      <c r="F498" s="24">
        <f>IF('ORDENES'!$A476="","",IF('ORDENES'!$AB476="","-",'ORDENES'!$AB476))</f>
        <v/>
      </c>
      <c r="G498" s="24">
        <f>IF('ORDENES'!$A476="","",IF('ORDENES'!$Z476="","-",'ORDENES'!$Z476))</f>
        <v/>
      </c>
      <c r="H498" s="24">
        <f>IF('ORDENES'!$A476="","",IF('ORDENES'!$AH476="","-",'ORDENES'!$AH476))</f>
        <v/>
      </c>
      <c r="I498" s="24">
        <f>IF('ORDENES'!$A476="","",IF('ORDENES'!$AU476="","-",'ORDENES'!$AU476))</f>
        <v/>
      </c>
      <c r="J498" s="24">
        <f>IF('ORDENES'!$A476="","",IF('ORDENES'!$D476="","-",'ORDENES'!$D476))</f>
        <v/>
      </c>
      <c r="K498" s="24">
        <f>IF('ORDENES'!$A476="","",IF('ORDENES'!$E476="","-",'ORDENES'!$E476))</f>
        <v/>
      </c>
      <c r="L498" s="26">
        <f>IF('ORDENES'!$A476="","",IF('ORDENES'!$M476="",0,'ORDENES'!$M476))</f>
        <v/>
      </c>
      <c r="M498" s="24">
        <f>IF('ORDENES'!$A476="","",IF('ORDENES'!$N476="","-",'ORDENES'!$N476))</f>
        <v/>
      </c>
      <c r="N498" s="24">
        <f>IF('ORDENES'!$A476="","",'ORDENES'!$AG476)</f>
        <v/>
      </c>
    </row>
    <row r="499">
      <c r="A499" s="24">
        <f>IF('ORDENES'!$A477="","",IF('ORDENES'!$O477="","-",'ORDENES'!$O477))</f>
        <v/>
      </c>
      <c r="B499" s="24">
        <f>IF('ORDENES'!$A477="","",IF('ORDENES'!$S477="","-",'ORDENES'!$S477))</f>
        <v/>
      </c>
      <c r="C499" s="24">
        <f>IF('ORDENES'!$A477="","",IF('ORDENES'!$AI477="","-",'ORDENES'!$AI477))</f>
        <v/>
      </c>
      <c r="D499" s="24">
        <f>IF('ORDENES'!$A477="","",IF('ORDENES'!$AA477="","-",'ORDENES'!$AA477))</f>
        <v/>
      </c>
      <c r="E499" s="24">
        <f>IF('ORDENES'!$A477="","",IF('ORDENES'!$Y477="","-",'ORDENES'!$Y477))</f>
        <v/>
      </c>
      <c r="F499" s="24">
        <f>IF('ORDENES'!$A477="","",IF('ORDENES'!$AB477="","-",'ORDENES'!$AB477))</f>
        <v/>
      </c>
      <c r="G499" s="24">
        <f>IF('ORDENES'!$A477="","",IF('ORDENES'!$Z477="","-",'ORDENES'!$Z477))</f>
        <v/>
      </c>
      <c r="H499" s="24">
        <f>IF('ORDENES'!$A477="","",IF('ORDENES'!$AH477="","-",'ORDENES'!$AH477))</f>
        <v/>
      </c>
      <c r="I499" s="24">
        <f>IF('ORDENES'!$A477="","",IF('ORDENES'!$AU477="","-",'ORDENES'!$AU477))</f>
        <v/>
      </c>
      <c r="J499" s="24">
        <f>IF('ORDENES'!$A477="","",IF('ORDENES'!$D477="","-",'ORDENES'!$D477))</f>
        <v/>
      </c>
      <c r="K499" s="24">
        <f>IF('ORDENES'!$A477="","",IF('ORDENES'!$E477="","-",'ORDENES'!$E477))</f>
        <v/>
      </c>
      <c r="L499" s="26">
        <f>IF('ORDENES'!$A477="","",IF('ORDENES'!$M477="",0,'ORDENES'!$M477))</f>
        <v/>
      </c>
      <c r="M499" s="24">
        <f>IF('ORDENES'!$A477="","",IF('ORDENES'!$N477="","-",'ORDENES'!$N477))</f>
        <v/>
      </c>
      <c r="N499" s="24">
        <f>IF('ORDENES'!$A477="","",'ORDENES'!$AG477)</f>
        <v/>
      </c>
    </row>
    <row r="500">
      <c r="A500" s="24">
        <f>IF('ORDENES'!$A478="","",IF('ORDENES'!$O478="","-",'ORDENES'!$O478))</f>
        <v/>
      </c>
      <c r="B500" s="24">
        <f>IF('ORDENES'!$A478="","",IF('ORDENES'!$S478="","-",'ORDENES'!$S478))</f>
        <v/>
      </c>
      <c r="C500" s="24">
        <f>IF('ORDENES'!$A478="","",IF('ORDENES'!$AI478="","-",'ORDENES'!$AI478))</f>
        <v/>
      </c>
      <c r="D500" s="24">
        <f>IF('ORDENES'!$A478="","",IF('ORDENES'!$AA478="","-",'ORDENES'!$AA478))</f>
        <v/>
      </c>
      <c r="E500" s="24">
        <f>IF('ORDENES'!$A478="","",IF('ORDENES'!$Y478="","-",'ORDENES'!$Y478))</f>
        <v/>
      </c>
      <c r="F500" s="24">
        <f>IF('ORDENES'!$A478="","",IF('ORDENES'!$AB478="","-",'ORDENES'!$AB478))</f>
        <v/>
      </c>
      <c r="G500" s="24">
        <f>IF('ORDENES'!$A478="","",IF('ORDENES'!$Z478="","-",'ORDENES'!$Z478))</f>
        <v/>
      </c>
      <c r="H500" s="24">
        <f>IF('ORDENES'!$A478="","",IF('ORDENES'!$AH478="","-",'ORDENES'!$AH478))</f>
        <v/>
      </c>
      <c r="I500" s="24">
        <f>IF('ORDENES'!$A478="","",IF('ORDENES'!$AU478="","-",'ORDENES'!$AU478))</f>
        <v/>
      </c>
      <c r="J500" s="24">
        <f>IF('ORDENES'!$A478="","",IF('ORDENES'!$D478="","-",'ORDENES'!$D478))</f>
        <v/>
      </c>
      <c r="K500" s="24">
        <f>IF('ORDENES'!$A478="","",IF('ORDENES'!$E478="","-",'ORDENES'!$E478))</f>
        <v/>
      </c>
      <c r="L500" s="26">
        <f>IF('ORDENES'!$A478="","",IF('ORDENES'!$M478="",0,'ORDENES'!$M478))</f>
        <v/>
      </c>
      <c r="M500" s="24">
        <f>IF('ORDENES'!$A478="","",IF('ORDENES'!$N478="","-",'ORDENES'!$N478))</f>
        <v/>
      </c>
      <c r="N500" s="24">
        <f>IF('ORDENES'!$A478="","",'ORDENES'!$AG478)</f>
        <v/>
      </c>
    </row>
    <row r="501">
      <c r="A501" s="24">
        <f>IF('ORDENES'!$A479="","",IF('ORDENES'!$O479="","-",'ORDENES'!$O479))</f>
        <v/>
      </c>
      <c r="B501" s="24">
        <f>IF('ORDENES'!$A479="","",IF('ORDENES'!$S479="","-",'ORDENES'!$S479))</f>
        <v/>
      </c>
      <c r="C501" s="24">
        <f>IF('ORDENES'!$A479="","",IF('ORDENES'!$AI479="","-",'ORDENES'!$AI479))</f>
        <v/>
      </c>
      <c r="D501" s="24">
        <f>IF('ORDENES'!$A479="","",IF('ORDENES'!$AA479="","-",'ORDENES'!$AA479))</f>
        <v/>
      </c>
      <c r="E501" s="24">
        <f>IF('ORDENES'!$A479="","",IF('ORDENES'!$Y479="","-",'ORDENES'!$Y479))</f>
        <v/>
      </c>
      <c r="F501" s="24">
        <f>IF('ORDENES'!$A479="","",IF('ORDENES'!$AB479="","-",'ORDENES'!$AB479))</f>
        <v/>
      </c>
      <c r="G501" s="24">
        <f>IF('ORDENES'!$A479="","",IF('ORDENES'!$Z479="","-",'ORDENES'!$Z479))</f>
        <v/>
      </c>
      <c r="H501" s="24">
        <f>IF('ORDENES'!$A479="","",IF('ORDENES'!$AH479="","-",'ORDENES'!$AH479))</f>
        <v/>
      </c>
      <c r="I501" s="24">
        <f>IF('ORDENES'!$A479="","",IF('ORDENES'!$AU479="","-",'ORDENES'!$AU479))</f>
        <v/>
      </c>
      <c r="J501" s="24">
        <f>IF('ORDENES'!$A479="","",IF('ORDENES'!$D479="","-",'ORDENES'!$D479))</f>
        <v/>
      </c>
      <c r="K501" s="24">
        <f>IF('ORDENES'!$A479="","",IF('ORDENES'!$E479="","-",'ORDENES'!$E479))</f>
        <v/>
      </c>
      <c r="L501" s="26">
        <f>IF('ORDENES'!$A479="","",IF('ORDENES'!$M479="",0,'ORDENES'!$M479))</f>
        <v/>
      </c>
      <c r="M501" s="24">
        <f>IF('ORDENES'!$A479="","",IF('ORDENES'!$N479="","-",'ORDENES'!$N479))</f>
        <v/>
      </c>
      <c r="N501" s="24">
        <f>IF('ORDENES'!$A479="","",'ORDENES'!$AG479)</f>
        <v/>
      </c>
    </row>
    <row r="502">
      <c r="A502" s="24">
        <f>IF('ORDENES'!$A480="","",IF('ORDENES'!$O480="","-",'ORDENES'!$O480))</f>
        <v/>
      </c>
      <c r="B502" s="24">
        <f>IF('ORDENES'!$A480="","",IF('ORDENES'!$S480="","-",'ORDENES'!$S480))</f>
        <v/>
      </c>
      <c r="C502" s="24">
        <f>IF('ORDENES'!$A480="","",IF('ORDENES'!$AI480="","-",'ORDENES'!$AI480))</f>
        <v/>
      </c>
      <c r="D502" s="24">
        <f>IF('ORDENES'!$A480="","",IF('ORDENES'!$AA480="","-",'ORDENES'!$AA480))</f>
        <v/>
      </c>
      <c r="E502" s="24">
        <f>IF('ORDENES'!$A480="","",IF('ORDENES'!$Y480="","-",'ORDENES'!$Y480))</f>
        <v/>
      </c>
      <c r="F502" s="24">
        <f>IF('ORDENES'!$A480="","",IF('ORDENES'!$AB480="","-",'ORDENES'!$AB480))</f>
        <v/>
      </c>
      <c r="G502" s="24">
        <f>IF('ORDENES'!$A480="","",IF('ORDENES'!$Z480="","-",'ORDENES'!$Z480))</f>
        <v/>
      </c>
      <c r="H502" s="24">
        <f>IF('ORDENES'!$A480="","",IF('ORDENES'!$AH480="","-",'ORDENES'!$AH480))</f>
        <v/>
      </c>
      <c r="I502" s="24">
        <f>IF('ORDENES'!$A480="","",IF('ORDENES'!$AU480="","-",'ORDENES'!$AU480))</f>
        <v/>
      </c>
      <c r="J502" s="24">
        <f>IF('ORDENES'!$A480="","",IF('ORDENES'!$D480="","-",'ORDENES'!$D480))</f>
        <v/>
      </c>
      <c r="K502" s="24">
        <f>IF('ORDENES'!$A480="","",IF('ORDENES'!$E480="","-",'ORDENES'!$E480))</f>
        <v/>
      </c>
      <c r="L502" s="26">
        <f>IF('ORDENES'!$A480="","",IF('ORDENES'!$M480="",0,'ORDENES'!$M480))</f>
        <v/>
      </c>
      <c r="M502" s="24">
        <f>IF('ORDENES'!$A480="","",IF('ORDENES'!$N480="","-",'ORDENES'!$N480))</f>
        <v/>
      </c>
      <c r="N502" s="24">
        <f>IF('ORDENES'!$A480="","",'ORDENES'!$AG480)</f>
        <v/>
      </c>
    </row>
    <row r="503">
      <c r="A503" s="24">
        <f>IF('ORDENES'!$A481="","",IF('ORDENES'!$O481="","-",'ORDENES'!$O481))</f>
        <v/>
      </c>
      <c r="B503" s="24">
        <f>IF('ORDENES'!$A481="","",IF('ORDENES'!$S481="","-",'ORDENES'!$S481))</f>
        <v/>
      </c>
      <c r="C503" s="24">
        <f>IF('ORDENES'!$A481="","",IF('ORDENES'!$AI481="","-",'ORDENES'!$AI481))</f>
        <v/>
      </c>
      <c r="D503" s="24">
        <f>IF('ORDENES'!$A481="","",IF('ORDENES'!$AA481="","-",'ORDENES'!$AA481))</f>
        <v/>
      </c>
      <c r="E503" s="24">
        <f>IF('ORDENES'!$A481="","",IF('ORDENES'!$Y481="","-",'ORDENES'!$Y481))</f>
        <v/>
      </c>
      <c r="F503" s="24">
        <f>IF('ORDENES'!$A481="","",IF('ORDENES'!$AB481="","-",'ORDENES'!$AB481))</f>
        <v/>
      </c>
      <c r="G503" s="24">
        <f>IF('ORDENES'!$A481="","",IF('ORDENES'!$Z481="","-",'ORDENES'!$Z481))</f>
        <v/>
      </c>
      <c r="H503" s="24">
        <f>IF('ORDENES'!$A481="","",IF('ORDENES'!$AH481="","-",'ORDENES'!$AH481))</f>
        <v/>
      </c>
      <c r="I503" s="24">
        <f>IF('ORDENES'!$A481="","",IF('ORDENES'!$AU481="","-",'ORDENES'!$AU481))</f>
        <v/>
      </c>
      <c r="J503" s="24">
        <f>IF('ORDENES'!$A481="","",IF('ORDENES'!$D481="","-",'ORDENES'!$D481))</f>
        <v/>
      </c>
      <c r="K503" s="24">
        <f>IF('ORDENES'!$A481="","",IF('ORDENES'!$E481="","-",'ORDENES'!$E481))</f>
        <v/>
      </c>
      <c r="L503" s="26">
        <f>IF('ORDENES'!$A481="","",IF('ORDENES'!$M481="",0,'ORDENES'!$M481))</f>
        <v/>
      </c>
      <c r="M503" s="24">
        <f>IF('ORDENES'!$A481="","",IF('ORDENES'!$N481="","-",'ORDENES'!$N481))</f>
        <v/>
      </c>
      <c r="N503" s="24">
        <f>IF('ORDENES'!$A481="","",'ORDENES'!$AG481)</f>
        <v/>
      </c>
    </row>
    <row r="504">
      <c r="A504" s="24">
        <f>IF('ORDENES'!$A482="","",IF('ORDENES'!$O482="","-",'ORDENES'!$O482))</f>
        <v/>
      </c>
      <c r="B504" s="24">
        <f>IF('ORDENES'!$A482="","",IF('ORDENES'!$S482="","-",'ORDENES'!$S482))</f>
        <v/>
      </c>
      <c r="C504" s="24">
        <f>IF('ORDENES'!$A482="","",IF('ORDENES'!$AI482="","-",'ORDENES'!$AI482))</f>
        <v/>
      </c>
      <c r="D504" s="24">
        <f>IF('ORDENES'!$A482="","",IF('ORDENES'!$AA482="","-",'ORDENES'!$AA482))</f>
        <v/>
      </c>
      <c r="E504" s="24">
        <f>IF('ORDENES'!$A482="","",IF('ORDENES'!$Y482="","-",'ORDENES'!$Y482))</f>
        <v/>
      </c>
      <c r="F504" s="24">
        <f>IF('ORDENES'!$A482="","",IF('ORDENES'!$AB482="","-",'ORDENES'!$AB482))</f>
        <v/>
      </c>
      <c r="G504" s="24">
        <f>IF('ORDENES'!$A482="","",IF('ORDENES'!$Z482="","-",'ORDENES'!$Z482))</f>
        <v/>
      </c>
      <c r="H504" s="24">
        <f>IF('ORDENES'!$A482="","",IF('ORDENES'!$AH482="","-",'ORDENES'!$AH482))</f>
        <v/>
      </c>
      <c r="I504" s="24">
        <f>IF('ORDENES'!$A482="","",IF('ORDENES'!$AU482="","-",'ORDENES'!$AU482))</f>
        <v/>
      </c>
      <c r="J504" s="24">
        <f>IF('ORDENES'!$A482="","",IF('ORDENES'!$D482="","-",'ORDENES'!$D482))</f>
        <v/>
      </c>
      <c r="K504" s="24">
        <f>IF('ORDENES'!$A482="","",IF('ORDENES'!$E482="","-",'ORDENES'!$E482))</f>
        <v/>
      </c>
      <c r="L504" s="26">
        <f>IF('ORDENES'!$A482="","",IF('ORDENES'!$M482="",0,'ORDENES'!$M482))</f>
        <v/>
      </c>
      <c r="M504" s="24">
        <f>IF('ORDENES'!$A482="","",IF('ORDENES'!$N482="","-",'ORDENES'!$N482))</f>
        <v/>
      </c>
      <c r="N504" s="24">
        <f>IF('ORDENES'!$A482="","",'ORDENES'!$AG482)</f>
        <v/>
      </c>
    </row>
    <row r="505">
      <c r="A505" s="24">
        <f>IF('ORDENES'!$A483="","",IF('ORDENES'!$O483="","-",'ORDENES'!$O483))</f>
        <v/>
      </c>
      <c r="B505" s="24">
        <f>IF('ORDENES'!$A483="","",IF('ORDENES'!$S483="","-",'ORDENES'!$S483))</f>
        <v/>
      </c>
      <c r="C505" s="24">
        <f>IF('ORDENES'!$A483="","",IF('ORDENES'!$AI483="","-",'ORDENES'!$AI483))</f>
        <v/>
      </c>
      <c r="D505" s="24">
        <f>IF('ORDENES'!$A483="","",IF('ORDENES'!$AA483="","-",'ORDENES'!$AA483))</f>
        <v/>
      </c>
      <c r="E505" s="24">
        <f>IF('ORDENES'!$A483="","",IF('ORDENES'!$Y483="","-",'ORDENES'!$Y483))</f>
        <v/>
      </c>
      <c r="F505" s="24">
        <f>IF('ORDENES'!$A483="","",IF('ORDENES'!$AB483="","-",'ORDENES'!$AB483))</f>
        <v/>
      </c>
      <c r="G505" s="24">
        <f>IF('ORDENES'!$A483="","",IF('ORDENES'!$Z483="","-",'ORDENES'!$Z483))</f>
        <v/>
      </c>
      <c r="H505" s="24">
        <f>IF('ORDENES'!$A483="","",IF('ORDENES'!$AH483="","-",'ORDENES'!$AH483))</f>
        <v/>
      </c>
      <c r="I505" s="24">
        <f>IF('ORDENES'!$A483="","",IF('ORDENES'!$AU483="","-",'ORDENES'!$AU483))</f>
        <v/>
      </c>
      <c r="J505" s="24">
        <f>IF('ORDENES'!$A483="","",IF('ORDENES'!$D483="","-",'ORDENES'!$D483))</f>
        <v/>
      </c>
      <c r="K505" s="24">
        <f>IF('ORDENES'!$A483="","",IF('ORDENES'!$E483="","-",'ORDENES'!$E483))</f>
        <v/>
      </c>
      <c r="L505" s="26">
        <f>IF('ORDENES'!$A483="","",IF('ORDENES'!$M483="",0,'ORDENES'!$M483))</f>
        <v/>
      </c>
      <c r="M505" s="24">
        <f>IF('ORDENES'!$A483="","",IF('ORDENES'!$N483="","-",'ORDENES'!$N483))</f>
        <v/>
      </c>
      <c r="N505" s="24">
        <f>IF('ORDENES'!$A483="","",'ORDENES'!$AG483)</f>
        <v/>
      </c>
    </row>
    <row r="506">
      <c r="A506" s="24">
        <f>IF('ORDENES'!$A484="","",IF('ORDENES'!$O484="","-",'ORDENES'!$O484))</f>
        <v/>
      </c>
      <c r="B506" s="24">
        <f>IF('ORDENES'!$A484="","",IF('ORDENES'!$S484="","-",'ORDENES'!$S484))</f>
        <v/>
      </c>
      <c r="C506" s="24">
        <f>IF('ORDENES'!$A484="","",IF('ORDENES'!$AI484="","-",'ORDENES'!$AI484))</f>
        <v/>
      </c>
      <c r="D506" s="24">
        <f>IF('ORDENES'!$A484="","",IF('ORDENES'!$AA484="","-",'ORDENES'!$AA484))</f>
        <v/>
      </c>
      <c r="E506" s="24">
        <f>IF('ORDENES'!$A484="","",IF('ORDENES'!$Y484="","-",'ORDENES'!$Y484))</f>
        <v/>
      </c>
      <c r="F506" s="24">
        <f>IF('ORDENES'!$A484="","",IF('ORDENES'!$AB484="","-",'ORDENES'!$AB484))</f>
        <v/>
      </c>
      <c r="G506" s="24">
        <f>IF('ORDENES'!$A484="","",IF('ORDENES'!$Z484="","-",'ORDENES'!$Z484))</f>
        <v/>
      </c>
      <c r="H506" s="24">
        <f>IF('ORDENES'!$A484="","",IF('ORDENES'!$AH484="","-",'ORDENES'!$AH484))</f>
        <v/>
      </c>
      <c r="I506" s="24">
        <f>IF('ORDENES'!$A484="","",IF('ORDENES'!$AU484="","-",'ORDENES'!$AU484))</f>
        <v/>
      </c>
      <c r="J506" s="24">
        <f>IF('ORDENES'!$A484="","",IF('ORDENES'!$D484="","-",'ORDENES'!$D484))</f>
        <v/>
      </c>
      <c r="K506" s="24">
        <f>IF('ORDENES'!$A484="","",IF('ORDENES'!$E484="","-",'ORDENES'!$E484))</f>
        <v/>
      </c>
      <c r="L506" s="26">
        <f>IF('ORDENES'!$A484="","",IF('ORDENES'!$M484="",0,'ORDENES'!$M484))</f>
        <v/>
      </c>
      <c r="M506" s="24">
        <f>IF('ORDENES'!$A484="","",IF('ORDENES'!$N484="","-",'ORDENES'!$N484))</f>
        <v/>
      </c>
      <c r="N506" s="24">
        <f>IF('ORDENES'!$A484="","",'ORDENES'!$AG484)</f>
        <v/>
      </c>
    </row>
    <row r="507">
      <c r="A507" s="24">
        <f>IF('ORDENES'!$A485="","",IF('ORDENES'!$O485="","-",'ORDENES'!$O485))</f>
        <v/>
      </c>
      <c r="B507" s="24">
        <f>IF('ORDENES'!$A485="","",IF('ORDENES'!$S485="","-",'ORDENES'!$S485))</f>
        <v/>
      </c>
      <c r="C507" s="24">
        <f>IF('ORDENES'!$A485="","",IF('ORDENES'!$AI485="","-",'ORDENES'!$AI485))</f>
        <v/>
      </c>
      <c r="D507" s="24">
        <f>IF('ORDENES'!$A485="","",IF('ORDENES'!$AA485="","-",'ORDENES'!$AA485))</f>
        <v/>
      </c>
      <c r="E507" s="24">
        <f>IF('ORDENES'!$A485="","",IF('ORDENES'!$Y485="","-",'ORDENES'!$Y485))</f>
        <v/>
      </c>
      <c r="F507" s="24">
        <f>IF('ORDENES'!$A485="","",IF('ORDENES'!$AB485="","-",'ORDENES'!$AB485))</f>
        <v/>
      </c>
      <c r="G507" s="24">
        <f>IF('ORDENES'!$A485="","",IF('ORDENES'!$Z485="","-",'ORDENES'!$Z485))</f>
        <v/>
      </c>
      <c r="H507" s="24">
        <f>IF('ORDENES'!$A485="","",IF('ORDENES'!$AH485="","-",'ORDENES'!$AH485))</f>
        <v/>
      </c>
      <c r="I507" s="24">
        <f>IF('ORDENES'!$A485="","",IF('ORDENES'!$AU485="","-",'ORDENES'!$AU485))</f>
        <v/>
      </c>
      <c r="J507" s="24">
        <f>IF('ORDENES'!$A485="","",IF('ORDENES'!$D485="","-",'ORDENES'!$D485))</f>
        <v/>
      </c>
      <c r="K507" s="24">
        <f>IF('ORDENES'!$A485="","",IF('ORDENES'!$E485="","-",'ORDENES'!$E485))</f>
        <v/>
      </c>
      <c r="L507" s="26">
        <f>IF('ORDENES'!$A485="","",IF('ORDENES'!$M485="",0,'ORDENES'!$M485))</f>
        <v/>
      </c>
      <c r="M507" s="24">
        <f>IF('ORDENES'!$A485="","",IF('ORDENES'!$N485="","-",'ORDENES'!$N485))</f>
        <v/>
      </c>
      <c r="N507" s="24">
        <f>IF('ORDENES'!$A485="","",'ORDENES'!$AG485)</f>
        <v/>
      </c>
    </row>
    <row r="508">
      <c r="A508" s="24">
        <f>IF('ORDENES'!$A486="","",IF('ORDENES'!$O486="","-",'ORDENES'!$O486))</f>
        <v/>
      </c>
      <c r="B508" s="24">
        <f>IF('ORDENES'!$A486="","",IF('ORDENES'!$S486="","-",'ORDENES'!$S486))</f>
        <v/>
      </c>
      <c r="C508" s="24">
        <f>IF('ORDENES'!$A486="","",IF('ORDENES'!$AI486="","-",'ORDENES'!$AI486))</f>
        <v/>
      </c>
      <c r="D508" s="24">
        <f>IF('ORDENES'!$A486="","",IF('ORDENES'!$AA486="","-",'ORDENES'!$AA486))</f>
        <v/>
      </c>
      <c r="E508" s="24">
        <f>IF('ORDENES'!$A486="","",IF('ORDENES'!$Y486="","-",'ORDENES'!$Y486))</f>
        <v/>
      </c>
      <c r="F508" s="24">
        <f>IF('ORDENES'!$A486="","",IF('ORDENES'!$AB486="","-",'ORDENES'!$AB486))</f>
        <v/>
      </c>
      <c r="G508" s="24">
        <f>IF('ORDENES'!$A486="","",IF('ORDENES'!$Z486="","-",'ORDENES'!$Z486))</f>
        <v/>
      </c>
      <c r="H508" s="24">
        <f>IF('ORDENES'!$A486="","",IF('ORDENES'!$AH486="","-",'ORDENES'!$AH486))</f>
        <v/>
      </c>
      <c r="I508" s="24">
        <f>IF('ORDENES'!$A486="","",IF('ORDENES'!$AU486="","-",'ORDENES'!$AU486))</f>
        <v/>
      </c>
      <c r="J508" s="24">
        <f>IF('ORDENES'!$A486="","",IF('ORDENES'!$D486="","-",'ORDENES'!$D486))</f>
        <v/>
      </c>
      <c r="K508" s="24">
        <f>IF('ORDENES'!$A486="","",IF('ORDENES'!$E486="","-",'ORDENES'!$E486))</f>
        <v/>
      </c>
      <c r="L508" s="26">
        <f>IF('ORDENES'!$A486="","",IF('ORDENES'!$M486="",0,'ORDENES'!$M486))</f>
        <v/>
      </c>
      <c r="M508" s="24">
        <f>IF('ORDENES'!$A486="","",IF('ORDENES'!$N486="","-",'ORDENES'!$N486))</f>
        <v/>
      </c>
      <c r="N508" s="24">
        <f>IF('ORDENES'!$A486="","",'ORDENES'!$AG486)</f>
        <v/>
      </c>
    </row>
    <row r="509">
      <c r="A509" s="24">
        <f>IF('ORDENES'!$A487="","",IF('ORDENES'!$O487="","-",'ORDENES'!$O487))</f>
        <v/>
      </c>
      <c r="B509" s="24">
        <f>IF('ORDENES'!$A487="","",IF('ORDENES'!$S487="","-",'ORDENES'!$S487))</f>
        <v/>
      </c>
      <c r="C509" s="24">
        <f>IF('ORDENES'!$A487="","",IF('ORDENES'!$AI487="","-",'ORDENES'!$AI487))</f>
        <v/>
      </c>
      <c r="D509" s="24">
        <f>IF('ORDENES'!$A487="","",IF('ORDENES'!$AA487="","-",'ORDENES'!$AA487))</f>
        <v/>
      </c>
      <c r="E509" s="24">
        <f>IF('ORDENES'!$A487="","",IF('ORDENES'!$Y487="","-",'ORDENES'!$Y487))</f>
        <v/>
      </c>
      <c r="F509" s="24">
        <f>IF('ORDENES'!$A487="","",IF('ORDENES'!$AB487="","-",'ORDENES'!$AB487))</f>
        <v/>
      </c>
      <c r="G509" s="24">
        <f>IF('ORDENES'!$A487="","",IF('ORDENES'!$Z487="","-",'ORDENES'!$Z487))</f>
        <v/>
      </c>
      <c r="H509" s="24">
        <f>IF('ORDENES'!$A487="","",IF('ORDENES'!$AH487="","-",'ORDENES'!$AH487))</f>
        <v/>
      </c>
      <c r="I509" s="24">
        <f>IF('ORDENES'!$A487="","",IF('ORDENES'!$AU487="","-",'ORDENES'!$AU487))</f>
        <v/>
      </c>
      <c r="J509" s="24">
        <f>IF('ORDENES'!$A487="","",IF('ORDENES'!$D487="","-",'ORDENES'!$D487))</f>
        <v/>
      </c>
      <c r="K509" s="24">
        <f>IF('ORDENES'!$A487="","",IF('ORDENES'!$E487="","-",'ORDENES'!$E487))</f>
        <v/>
      </c>
      <c r="L509" s="26">
        <f>IF('ORDENES'!$A487="","",IF('ORDENES'!$M487="",0,'ORDENES'!$M487))</f>
        <v/>
      </c>
      <c r="M509" s="24">
        <f>IF('ORDENES'!$A487="","",IF('ORDENES'!$N487="","-",'ORDENES'!$N487))</f>
        <v/>
      </c>
      <c r="N509" s="24">
        <f>IF('ORDENES'!$A487="","",'ORDENES'!$AG487)</f>
        <v/>
      </c>
    </row>
    <row r="510">
      <c r="A510" s="24">
        <f>IF('ORDENES'!$A488="","",IF('ORDENES'!$O488="","-",'ORDENES'!$O488))</f>
        <v/>
      </c>
      <c r="B510" s="24">
        <f>IF('ORDENES'!$A488="","",IF('ORDENES'!$S488="","-",'ORDENES'!$S488))</f>
        <v/>
      </c>
      <c r="C510" s="24">
        <f>IF('ORDENES'!$A488="","",IF('ORDENES'!$AI488="","-",'ORDENES'!$AI488))</f>
        <v/>
      </c>
      <c r="D510" s="24">
        <f>IF('ORDENES'!$A488="","",IF('ORDENES'!$AA488="","-",'ORDENES'!$AA488))</f>
        <v/>
      </c>
      <c r="E510" s="24">
        <f>IF('ORDENES'!$A488="","",IF('ORDENES'!$Y488="","-",'ORDENES'!$Y488))</f>
        <v/>
      </c>
      <c r="F510" s="24">
        <f>IF('ORDENES'!$A488="","",IF('ORDENES'!$AB488="","-",'ORDENES'!$AB488))</f>
        <v/>
      </c>
      <c r="G510" s="24">
        <f>IF('ORDENES'!$A488="","",IF('ORDENES'!$Z488="","-",'ORDENES'!$Z488))</f>
        <v/>
      </c>
      <c r="H510" s="24">
        <f>IF('ORDENES'!$A488="","",IF('ORDENES'!$AH488="","-",'ORDENES'!$AH488))</f>
        <v/>
      </c>
      <c r="I510" s="24">
        <f>IF('ORDENES'!$A488="","",IF('ORDENES'!$AU488="","-",'ORDENES'!$AU488))</f>
        <v/>
      </c>
      <c r="J510" s="24">
        <f>IF('ORDENES'!$A488="","",IF('ORDENES'!$D488="","-",'ORDENES'!$D488))</f>
        <v/>
      </c>
      <c r="K510" s="24">
        <f>IF('ORDENES'!$A488="","",IF('ORDENES'!$E488="","-",'ORDENES'!$E488))</f>
        <v/>
      </c>
      <c r="L510" s="26">
        <f>IF('ORDENES'!$A488="","",IF('ORDENES'!$M488="",0,'ORDENES'!$M488))</f>
        <v/>
      </c>
      <c r="M510" s="24">
        <f>IF('ORDENES'!$A488="","",IF('ORDENES'!$N488="","-",'ORDENES'!$N488))</f>
        <v/>
      </c>
      <c r="N510" s="24">
        <f>IF('ORDENES'!$A488="","",'ORDENES'!$AG488)</f>
        <v/>
      </c>
    </row>
    <row r="511">
      <c r="A511" s="24">
        <f>IF('ORDENES'!$A489="","",IF('ORDENES'!$O489="","-",'ORDENES'!$O489))</f>
        <v/>
      </c>
      <c r="B511" s="24">
        <f>IF('ORDENES'!$A489="","",IF('ORDENES'!$S489="","-",'ORDENES'!$S489))</f>
        <v/>
      </c>
      <c r="C511" s="24">
        <f>IF('ORDENES'!$A489="","",IF('ORDENES'!$AI489="","-",'ORDENES'!$AI489))</f>
        <v/>
      </c>
      <c r="D511" s="24">
        <f>IF('ORDENES'!$A489="","",IF('ORDENES'!$AA489="","-",'ORDENES'!$AA489))</f>
        <v/>
      </c>
      <c r="E511" s="24">
        <f>IF('ORDENES'!$A489="","",IF('ORDENES'!$Y489="","-",'ORDENES'!$Y489))</f>
        <v/>
      </c>
      <c r="F511" s="24">
        <f>IF('ORDENES'!$A489="","",IF('ORDENES'!$AB489="","-",'ORDENES'!$AB489))</f>
        <v/>
      </c>
      <c r="G511" s="24">
        <f>IF('ORDENES'!$A489="","",IF('ORDENES'!$Z489="","-",'ORDENES'!$Z489))</f>
        <v/>
      </c>
      <c r="H511" s="24">
        <f>IF('ORDENES'!$A489="","",IF('ORDENES'!$AH489="","-",'ORDENES'!$AH489))</f>
        <v/>
      </c>
      <c r="I511" s="24">
        <f>IF('ORDENES'!$A489="","",IF('ORDENES'!$AU489="","-",'ORDENES'!$AU489))</f>
        <v/>
      </c>
      <c r="J511" s="24">
        <f>IF('ORDENES'!$A489="","",IF('ORDENES'!$D489="","-",'ORDENES'!$D489))</f>
        <v/>
      </c>
      <c r="K511" s="24">
        <f>IF('ORDENES'!$A489="","",IF('ORDENES'!$E489="","-",'ORDENES'!$E489))</f>
        <v/>
      </c>
      <c r="L511" s="26">
        <f>IF('ORDENES'!$A489="","",IF('ORDENES'!$M489="",0,'ORDENES'!$M489))</f>
        <v/>
      </c>
      <c r="M511" s="24">
        <f>IF('ORDENES'!$A489="","",IF('ORDENES'!$N489="","-",'ORDENES'!$N489))</f>
        <v/>
      </c>
      <c r="N511" s="24">
        <f>IF('ORDENES'!$A489="","",'ORDENES'!$AG489)</f>
        <v/>
      </c>
    </row>
    <row r="512">
      <c r="A512" s="24">
        <f>IF('ORDENES'!$A490="","",IF('ORDENES'!$O490="","-",'ORDENES'!$O490))</f>
        <v/>
      </c>
      <c r="B512" s="24">
        <f>IF('ORDENES'!$A490="","",IF('ORDENES'!$S490="","-",'ORDENES'!$S490))</f>
        <v/>
      </c>
      <c r="C512" s="24">
        <f>IF('ORDENES'!$A490="","",IF('ORDENES'!$AI490="","-",'ORDENES'!$AI490))</f>
        <v/>
      </c>
      <c r="D512" s="24">
        <f>IF('ORDENES'!$A490="","",IF('ORDENES'!$AA490="","-",'ORDENES'!$AA490))</f>
        <v/>
      </c>
      <c r="E512" s="24">
        <f>IF('ORDENES'!$A490="","",IF('ORDENES'!$Y490="","-",'ORDENES'!$Y490))</f>
        <v/>
      </c>
      <c r="F512" s="24">
        <f>IF('ORDENES'!$A490="","",IF('ORDENES'!$AB490="","-",'ORDENES'!$AB490))</f>
        <v/>
      </c>
      <c r="G512" s="24">
        <f>IF('ORDENES'!$A490="","",IF('ORDENES'!$Z490="","-",'ORDENES'!$Z490))</f>
        <v/>
      </c>
      <c r="H512" s="24">
        <f>IF('ORDENES'!$A490="","",IF('ORDENES'!$AH490="","-",'ORDENES'!$AH490))</f>
        <v/>
      </c>
      <c r="I512" s="24">
        <f>IF('ORDENES'!$A490="","",IF('ORDENES'!$AU490="","-",'ORDENES'!$AU490))</f>
        <v/>
      </c>
      <c r="J512" s="24">
        <f>IF('ORDENES'!$A490="","",IF('ORDENES'!$D490="","-",'ORDENES'!$D490))</f>
        <v/>
      </c>
      <c r="K512" s="24">
        <f>IF('ORDENES'!$A490="","",IF('ORDENES'!$E490="","-",'ORDENES'!$E490))</f>
        <v/>
      </c>
      <c r="L512" s="26">
        <f>IF('ORDENES'!$A490="","",IF('ORDENES'!$M490="",0,'ORDENES'!$M490))</f>
        <v/>
      </c>
      <c r="M512" s="24">
        <f>IF('ORDENES'!$A490="","",IF('ORDENES'!$N490="","-",'ORDENES'!$N490))</f>
        <v/>
      </c>
      <c r="N512" s="24">
        <f>IF('ORDENES'!$A490="","",'ORDENES'!$AG490)</f>
        <v/>
      </c>
    </row>
    <row r="513">
      <c r="A513" s="24">
        <f>IF('ORDENES'!$A491="","",IF('ORDENES'!$O491="","-",'ORDENES'!$O491))</f>
        <v/>
      </c>
      <c r="B513" s="24">
        <f>IF('ORDENES'!$A491="","",IF('ORDENES'!$S491="","-",'ORDENES'!$S491))</f>
        <v/>
      </c>
      <c r="C513" s="24">
        <f>IF('ORDENES'!$A491="","",IF('ORDENES'!$AI491="","-",'ORDENES'!$AI491))</f>
        <v/>
      </c>
      <c r="D513" s="24">
        <f>IF('ORDENES'!$A491="","",IF('ORDENES'!$AA491="","-",'ORDENES'!$AA491))</f>
        <v/>
      </c>
      <c r="E513" s="24">
        <f>IF('ORDENES'!$A491="","",IF('ORDENES'!$Y491="","-",'ORDENES'!$Y491))</f>
        <v/>
      </c>
      <c r="F513" s="24">
        <f>IF('ORDENES'!$A491="","",IF('ORDENES'!$AB491="","-",'ORDENES'!$AB491))</f>
        <v/>
      </c>
      <c r="G513" s="24">
        <f>IF('ORDENES'!$A491="","",IF('ORDENES'!$Z491="","-",'ORDENES'!$Z491))</f>
        <v/>
      </c>
      <c r="H513" s="24">
        <f>IF('ORDENES'!$A491="","",IF('ORDENES'!$AH491="","-",'ORDENES'!$AH491))</f>
        <v/>
      </c>
      <c r="I513" s="24">
        <f>IF('ORDENES'!$A491="","",IF('ORDENES'!$AU491="","-",'ORDENES'!$AU491))</f>
        <v/>
      </c>
      <c r="J513" s="24">
        <f>IF('ORDENES'!$A491="","",IF('ORDENES'!$D491="","-",'ORDENES'!$D491))</f>
        <v/>
      </c>
      <c r="K513" s="24">
        <f>IF('ORDENES'!$A491="","",IF('ORDENES'!$E491="","-",'ORDENES'!$E491))</f>
        <v/>
      </c>
      <c r="L513" s="26">
        <f>IF('ORDENES'!$A491="","",IF('ORDENES'!$M491="",0,'ORDENES'!$M491))</f>
        <v/>
      </c>
      <c r="M513" s="24">
        <f>IF('ORDENES'!$A491="","",IF('ORDENES'!$N491="","-",'ORDENES'!$N491))</f>
        <v/>
      </c>
      <c r="N513" s="24">
        <f>IF('ORDENES'!$A491="","",'ORDENES'!$AG491)</f>
        <v/>
      </c>
    </row>
    <row r="514">
      <c r="A514" s="24">
        <f>IF('ORDENES'!$A492="","",IF('ORDENES'!$O492="","-",'ORDENES'!$O492))</f>
        <v/>
      </c>
      <c r="B514" s="24">
        <f>IF('ORDENES'!$A492="","",IF('ORDENES'!$S492="","-",'ORDENES'!$S492))</f>
        <v/>
      </c>
      <c r="C514" s="24">
        <f>IF('ORDENES'!$A492="","",IF('ORDENES'!$AI492="","-",'ORDENES'!$AI492))</f>
        <v/>
      </c>
      <c r="D514" s="24">
        <f>IF('ORDENES'!$A492="","",IF('ORDENES'!$AA492="","-",'ORDENES'!$AA492))</f>
        <v/>
      </c>
      <c r="E514" s="24">
        <f>IF('ORDENES'!$A492="","",IF('ORDENES'!$Y492="","-",'ORDENES'!$Y492))</f>
        <v/>
      </c>
      <c r="F514" s="24">
        <f>IF('ORDENES'!$A492="","",IF('ORDENES'!$AB492="","-",'ORDENES'!$AB492))</f>
        <v/>
      </c>
      <c r="G514" s="24">
        <f>IF('ORDENES'!$A492="","",IF('ORDENES'!$Z492="","-",'ORDENES'!$Z492))</f>
        <v/>
      </c>
      <c r="H514" s="24">
        <f>IF('ORDENES'!$A492="","",IF('ORDENES'!$AH492="","-",'ORDENES'!$AH492))</f>
        <v/>
      </c>
      <c r="I514" s="24">
        <f>IF('ORDENES'!$A492="","",IF('ORDENES'!$AU492="","-",'ORDENES'!$AU492))</f>
        <v/>
      </c>
      <c r="J514" s="24">
        <f>IF('ORDENES'!$A492="","",IF('ORDENES'!$D492="","-",'ORDENES'!$D492))</f>
        <v/>
      </c>
      <c r="K514" s="24">
        <f>IF('ORDENES'!$A492="","",IF('ORDENES'!$E492="","-",'ORDENES'!$E492))</f>
        <v/>
      </c>
      <c r="L514" s="26">
        <f>IF('ORDENES'!$A492="","",IF('ORDENES'!$M492="",0,'ORDENES'!$M492))</f>
        <v/>
      </c>
      <c r="M514" s="24">
        <f>IF('ORDENES'!$A492="","",IF('ORDENES'!$N492="","-",'ORDENES'!$N492))</f>
        <v/>
      </c>
      <c r="N514" s="24">
        <f>IF('ORDENES'!$A492="","",'ORDENES'!$AG492)</f>
        <v/>
      </c>
    </row>
    <row r="515">
      <c r="A515" s="24">
        <f>IF('ORDENES'!$A493="","",IF('ORDENES'!$O493="","-",'ORDENES'!$O493))</f>
        <v/>
      </c>
      <c r="B515" s="24">
        <f>IF('ORDENES'!$A493="","",IF('ORDENES'!$S493="","-",'ORDENES'!$S493))</f>
        <v/>
      </c>
      <c r="C515" s="24">
        <f>IF('ORDENES'!$A493="","",IF('ORDENES'!$AI493="","-",'ORDENES'!$AI493))</f>
        <v/>
      </c>
      <c r="D515" s="24">
        <f>IF('ORDENES'!$A493="","",IF('ORDENES'!$AA493="","-",'ORDENES'!$AA493))</f>
        <v/>
      </c>
      <c r="E515" s="24">
        <f>IF('ORDENES'!$A493="","",IF('ORDENES'!$Y493="","-",'ORDENES'!$Y493))</f>
        <v/>
      </c>
      <c r="F515" s="24">
        <f>IF('ORDENES'!$A493="","",IF('ORDENES'!$AB493="","-",'ORDENES'!$AB493))</f>
        <v/>
      </c>
      <c r="G515" s="24">
        <f>IF('ORDENES'!$A493="","",IF('ORDENES'!$Z493="","-",'ORDENES'!$Z493))</f>
        <v/>
      </c>
      <c r="H515" s="24">
        <f>IF('ORDENES'!$A493="","",IF('ORDENES'!$AH493="","-",'ORDENES'!$AH493))</f>
        <v/>
      </c>
      <c r="I515" s="24">
        <f>IF('ORDENES'!$A493="","",IF('ORDENES'!$AU493="","-",'ORDENES'!$AU493))</f>
        <v/>
      </c>
      <c r="J515" s="24">
        <f>IF('ORDENES'!$A493="","",IF('ORDENES'!$D493="","-",'ORDENES'!$D493))</f>
        <v/>
      </c>
      <c r="K515" s="24">
        <f>IF('ORDENES'!$A493="","",IF('ORDENES'!$E493="","-",'ORDENES'!$E493))</f>
        <v/>
      </c>
      <c r="L515" s="26">
        <f>IF('ORDENES'!$A493="","",IF('ORDENES'!$M493="",0,'ORDENES'!$M493))</f>
        <v/>
      </c>
      <c r="M515" s="24">
        <f>IF('ORDENES'!$A493="","",IF('ORDENES'!$N493="","-",'ORDENES'!$N493))</f>
        <v/>
      </c>
      <c r="N515" s="24">
        <f>IF('ORDENES'!$A493="","",'ORDENES'!$AG493)</f>
        <v/>
      </c>
    </row>
    <row r="516">
      <c r="A516" s="24">
        <f>IF('ORDENES'!$A494="","",IF('ORDENES'!$O494="","-",'ORDENES'!$O494))</f>
        <v/>
      </c>
      <c r="B516" s="24">
        <f>IF('ORDENES'!$A494="","",IF('ORDENES'!$S494="","-",'ORDENES'!$S494))</f>
        <v/>
      </c>
      <c r="C516" s="24">
        <f>IF('ORDENES'!$A494="","",IF('ORDENES'!$AI494="","-",'ORDENES'!$AI494))</f>
        <v/>
      </c>
      <c r="D516" s="24">
        <f>IF('ORDENES'!$A494="","",IF('ORDENES'!$AA494="","-",'ORDENES'!$AA494))</f>
        <v/>
      </c>
      <c r="E516" s="24">
        <f>IF('ORDENES'!$A494="","",IF('ORDENES'!$Y494="","-",'ORDENES'!$Y494))</f>
        <v/>
      </c>
      <c r="F516" s="24">
        <f>IF('ORDENES'!$A494="","",IF('ORDENES'!$AB494="","-",'ORDENES'!$AB494))</f>
        <v/>
      </c>
      <c r="G516" s="24">
        <f>IF('ORDENES'!$A494="","",IF('ORDENES'!$Z494="","-",'ORDENES'!$Z494))</f>
        <v/>
      </c>
      <c r="H516" s="24">
        <f>IF('ORDENES'!$A494="","",IF('ORDENES'!$AH494="","-",'ORDENES'!$AH494))</f>
        <v/>
      </c>
      <c r="I516" s="24">
        <f>IF('ORDENES'!$A494="","",IF('ORDENES'!$AU494="","-",'ORDENES'!$AU494))</f>
        <v/>
      </c>
      <c r="J516" s="24">
        <f>IF('ORDENES'!$A494="","",IF('ORDENES'!$D494="","-",'ORDENES'!$D494))</f>
        <v/>
      </c>
      <c r="K516" s="24">
        <f>IF('ORDENES'!$A494="","",IF('ORDENES'!$E494="","-",'ORDENES'!$E494))</f>
        <v/>
      </c>
      <c r="L516" s="26">
        <f>IF('ORDENES'!$A494="","",IF('ORDENES'!$M494="",0,'ORDENES'!$M494))</f>
        <v/>
      </c>
      <c r="M516" s="24">
        <f>IF('ORDENES'!$A494="","",IF('ORDENES'!$N494="","-",'ORDENES'!$N494))</f>
        <v/>
      </c>
      <c r="N516" s="24">
        <f>IF('ORDENES'!$A494="","",'ORDENES'!$AG494)</f>
        <v/>
      </c>
    </row>
    <row r="517">
      <c r="A517" s="24">
        <f>IF('ORDENES'!$A495="","",IF('ORDENES'!$O495="","-",'ORDENES'!$O495))</f>
        <v/>
      </c>
      <c r="B517" s="24">
        <f>IF('ORDENES'!$A495="","",IF('ORDENES'!$S495="","-",'ORDENES'!$S495))</f>
        <v/>
      </c>
      <c r="C517" s="24">
        <f>IF('ORDENES'!$A495="","",IF('ORDENES'!$AI495="","-",'ORDENES'!$AI495))</f>
        <v/>
      </c>
      <c r="D517" s="24">
        <f>IF('ORDENES'!$A495="","",IF('ORDENES'!$AA495="","-",'ORDENES'!$AA495))</f>
        <v/>
      </c>
      <c r="E517" s="24">
        <f>IF('ORDENES'!$A495="","",IF('ORDENES'!$Y495="","-",'ORDENES'!$Y495))</f>
        <v/>
      </c>
      <c r="F517" s="24">
        <f>IF('ORDENES'!$A495="","",IF('ORDENES'!$AB495="","-",'ORDENES'!$AB495))</f>
        <v/>
      </c>
      <c r="G517" s="24">
        <f>IF('ORDENES'!$A495="","",IF('ORDENES'!$Z495="","-",'ORDENES'!$Z495))</f>
        <v/>
      </c>
      <c r="H517" s="24">
        <f>IF('ORDENES'!$A495="","",IF('ORDENES'!$AH495="","-",'ORDENES'!$AH495))</f>
        <v/>
      </c>
      <c r="I517" s="24">
        <f>IF('ORDENES'!$A495="","",IF('ORDENES'!$AU495="","-",'ORDENES'!$AU495))</f>
        <v/>
      </c>
      <c r="J517" s="24">
        <f>IF('ORDENES'!$A495="","",IF('ORDENES'!$D495="","-",'ORDENES'!$D495))</f>
        <v/>
      </c>
      <c r="K517" s="24">
        <f>IF('ORDENES'!$A495="","",IF('ORDENES'!$E495="","-",'ORDENES'!$E495))</f>
        <v/>
      </c>
      <c r="L517" s="26">
        <f>IF('ORDENES'!$A495="","",IF('ORDENES'!$M495="",0,'ORDENES'!$M495))</f>
        <v/>
      </c>
      <c r="M517" s="24">
        <f>IF('ORDENES'!$A495="","",IF('ORDENES'!$N495="","-",'ORDENES'!$N495))</f>
        <v/>
      </c>
      <c r="N517" s="24">
        <f>IF('ORDENES'!$A495="","",'ORDENES'!$AG495)</f>
        <v/>
      </c>
    </row>
    <row r="518">
      <c r="A518" s="24">
        <f>IF('ORDENES'!$A496="","",IF('ORDENES'!$O496="","-",'ORDENES'!$O496))</f>
        <v/>
      </c>
      <c r="B518" s="24">
        <f>IF('ORDENES'!$A496="","",IF('ORDENES'!$S496="","-",'ORDENES'!$S496))</f>
        <v/>
      </c>
      <c r="C518" s="24">
        <f>IF('ORDENES'!$A496="","",IF('ORDENES'!$AI496="","-",'ORDENES'!$AI496))</f>
        <v/>
      </c>
      <c r="D518" s="24">
        <f>IF('ORDENES'!$A496="","",IF('ORDENES'!$AA496="","-",'ORDENES'!$AA496))</f>
        <v/>
      </c>
      <c r="E518" s="24">
        <f>IF('ORDENES'!$A496="","",IF('ORDENES'!$Y496="","-",'ORDENES'!$Y496))</f>
        <v/>
      </c>
      <c r="F518" s="24">
        <f>IF('ORDENES'!$A496="","",IF('ORDENES'!$AB496="","-",'ORDENES'!$AB496))</f>
        <v/>
      </c>
      <c r="G518" s="24">
        <f>IF('ORDENES'!$A496="","",IF('ORDENES'!$Z496="","-",'ORDENES'!$Z496))</f>
        <v/>
      </c>
      <c r="H518" s="24">
        <f>IF('ORDENES'!$A496="","",IF('ORDENES'!$AH496="","-",'ORDENES'!$AH496))</f>
        <v/>
      </c>
      <c r="I518" s="24">
        <f>IF('ORDENES'!$A496="","",IF('ORDENES'!$AU496="","-",'ORDENES'!$AU496))</f>
        <v/>
      </c>
      <c r="J518" s="24">
        <f>IF('ORDENES'!$A496="","",IF('ORDENES'!$D496="","-",'ORDENES'!$D496))</f>
        <v/>
      </c>
      <c r="K518" s="24">
        <f>IF('ORDENES'!$A496="","",IF('ORDENES'!$E496="","-",'ORDENES'!$E496))</f>
        <v/>
      </c>
      <c r="L518" s="26">
        <f>IF('ORDENES'!$A496="","",IF('ORDENES'!$M496="",0,'ORDENES'!$M496))</f>
        <v/>
      </c>
      <c r="M518" s="24">
        <f>IF('ORDENES'!$A496="","",IF('ORDENES'!$N496="","-",'ORDENES'!$N496))</f>
        <v/>
      </c>
      <c r="N518" s="24">
        <f>IF('ORDENES'!$A496="","",'ORDENES'!$AG496)</f>
        <v/>
      </c>
    </row>
    <row r="519">
      <c r="A519" s="24">
        <f>IF('ORDENES'!$A497="","",IF('ORDENES'!$O497="","-",'ORDENES'!$O497))</f>
        <v/>
      </c>
      <c r="B519" s="24">
        <f>IF('ORDENES'!$A497="","",IF('ORDENES'!$S497="","-",'ORDENES'!$S497))</f>
        <v/>
      </c>
      <c r="C519" s="24">
        <f>IF('ORDENES'!$A497="","",IF('ORDENES'!$AI497="","-",'ORDENES'!$AI497))</f>
        <v/>
      </c>
      <c r="D519" s="24">
        <f>IF('ORDENES'!$A497="","",IF('ORDENES'!$AA497="","-",'ORDENES'!$AA497))</f>
        <v/>
      </c>
      <c r="E519" s="24">
        <f>IF('ORDENES'!$A497="","",IF('ORDENES'!$Y497="","-",'ORDENES'!$Y497))</f>
        <v/>
      </c>
      <c r="F519" s="24">
        <f>IF('ORDENES'!$A497="","",IF('ORDENES'!$AB497="","-",'ORDENES'!$AB497))</f>
        <v/>
      </c>
      <c r="G519" s="24">
        <f>IF('ORDENES'!$A497="","",IF('ORDENES'!$Z497="","-",'ORDENES'!$Z497))</f>
        <v/>
      </c>
      <c r="H519" s="24">
        <f>IF('ORDENES'!$A497="","",IF('ORDENES'!$AH497="","-",'ORDENES'!$AH497))</f>
        <v/>
      </c>
      <c r="I519" s="24">
        <f>IF('ORDENES'!$A497="","",IF('ORDENES'!$AU497="","-",'ORDENES'!$AU497))</f>
        <v/>
      </c>
      <c r="J519" s="24">
        <f>IF('ORDENES'!$A497="","",IF('ORDENES'!$D497="","-",'ORDENES'!$D497))</f>
        <v/>
      </c>
      <c r="K519" s="24">
        <f>IF('ORDENES'!$A497="","",IF('ORDENES'!$E497="","-",'ORDENES'!$E497))</f>
        <v/>
      </c>
      <c r="L519" s="26">
        <f>IF('ORDENES'!$A497="","",IF('ORDENES'!$M497="",0,'ORDENES'!$M497))</f>
        <v/>
      </c>
      <c r="M519" s="24">
        <f>IF('ORDENES'!$A497="","",IF('ORDENES'!$N497="","-",'ORDENES'!$N497))</f>
        <v/>
      </c>
      <c r="N519" s="24">
        <f>IF('ORDENES'!$A497="","",'ORDENES'!$AG497)</f>
        <v/>
      </c>
    </row>
    <row r="520">
      <c r="A520" s="24">
        <f>IF('ORDENES'!$A498="","",IF('ORDENES'!$O498="","-",'ORDENES'!$O498))</f>
        <v/>
      </c>
      <c r="B520" s="24">
        <f>IF('ORDENES'!$A498="","",IF('ORDENES'!$S498="","-",'ORDENES'!$S498))</f>
        <v/>
      </c>
      <c r="C520" s="24">
        <f>IF('ORDENES'!$A498="","",IF('ORDENES'!$AI498="","-",'ORDENES'!$AI498))</f>
        <v/>
      </c>
      <c r="D520" s="24">
        <f>IF('ORDENES'!$A498="","",IF('ORDENES'!$AA498="","-",'ORDENES'!$AA498))</f>
        <v/>
      </c>
      <c r="E520" s="24">
        <f>IF('ORDENES'!$A498="","",IF('ORDENES'!$Y498="","-",'ORDENES'!$Y498))</f>
        <v/>
      </c>
      <c r="F520" s="24">
        <f>IF('ORDENES'!$A498="","",IF('ORDENES'!$AB498="","-",'ORDENES'!$AB498))</f>
        <v/>
      </c>
      <c r="G520" s="24">
        <f>IF('ORDENES'!$A498="","",IF('ORDENES'!$Z498="","-",'ORDENES'!$Z498))</f>
        <v/>
      </c>
      <c r="H520" s="24">
        <f>IF('ORDENES'!$A498="","",IF('ORDENES'!$AH498="","-",'ORDENES'!$AH498))</f>
        <v/>
      </c>
      <c r="I520" s="24">
        <f>IF('ORDENES'!$A498="","",IF('ORDENES'!$AU498="","-",'ORDENES'!$AU498))</f>
        <v/>
      </c>
      <c r="J520" s="24">
        <f>IF('ORDENES'!$A498="","",IF('ORDENES'!$D498="","-",'ORDENES'!$D498))</f>
        <v/>
      </c>
      <c r="K520" s="24">
        <f>IF('ORDENES'!$A498="","",IF('ORDENES'!$E498="","-",'ORDENES'!$E498))</f>
        <v/>
      </c>
      <c r="L520" s="26">
        <f>IF('ORDENES'!$A498="","",IF('ORDENES'!$M498="",0,'ORDENES'!$M498))</f>
        <v/>
      </c>
      <c r="M520" s="24">
        <f>IF('ORDENES'!$A498="","",IF('ORDENES'!$N498="","-",'ORDENES'!$N498))</f>
        <v/>
      </c>
      <c r="N520" s="24">
        <f>IF('ORDENES'!$A498="","",'ORDENES'!$AG498)</f>
        <v/>
      </c>
    </row>
    <row r="521">
      <c r="A521" s="24">
        <f>IF('ORDENES'!$A499="","",IF('ORDENES'!$O499="","-",'ORDENES'!$O499))</f>
        <v/>
      </c>
      <c r="B521" s="24">
        <f>IF('ORDENES'!$A499="","",IF('ORDENES'!$S499="","-",'ORDENES'!$S499))</f>
        <v/>
      </c>
      <c r="C521" s="24">
        <f>IF('ORDENES'!$A499="","",IF('ORDENES'!$AI499="","-",'ORDENES'!$AI499))</f>
        <v/>
      </c>
      <c r="D521" s="24">
        <f>IF('ORDENES'!$A499="","",IF('ORDENES'!$AA499="","-",'ORDENES'!$AA499))</f>
        <v/>
      </c>
      <c r="E521" s="24">
        <f>IF('ORDENES'!$A499="","",IF('ORDENES'!$Y499="","-",'ORDENES'!$Y499))</f>
        <v/>
      </c>
      <c r="F521" s="24">
        <f>IF('ORDENES'!$A499="","",IF('ORDENES'!$AB499="","-",'ORDENES'!$AB499))</f>
        <v/>
      </c>
      <c r="G521" s="24">
        <f>IF('ORDENES'!$A499="","",IF('ORDENES'!$Z499="","-",'ORDENES'!$Z499))</f>
        <v/>
      </c>
      <c r="H521" s="24">
        <f>IF('ORDENES'!$A499="","",IF('ORDENES'!$AH499="","-",'ORDENES'!$AH499))</f>
        <v/>
      </c>
      <c r="I521" s="24">
        <f>IF('ORDENES'!$A499="","",IF('ORDENES'!$AU499="","-",'ORDENES'!$AU499))</f>
        <v/>
      </c>
      <c r="J521" s="24">
        <f>IF('ORDENES'!$A499="","",IF('ORDENES'!$D499="","-",'ORDENES'!$D499))</f>
        <v/>
      </c>
      <c r="K521" s="24">
        <f>IF('ORDENES'!$A499="","",IF('ORDENES'!$E499="","-",'ORDENES'!$E499))</f>
        <v/>
      </c>
      <c r="L521" s="26">
        <f>IF('ORDENES'!$A499="","",IF('ORDENES'!$M499="",0,'ORDENES'!$M499))</f>
        <v/>
      </c>
      <c r="M521" s="24">
        <f>IF('ORDENES'!$A499="","",IF('ORDENES'!$N499="","-",'ORDENES'!$N499))</f>
        <v/>
      </c>
      <c r="N521" s="24">
        <f>IF('ORDENES'!$A499="","",'ORDENES'!$AG499)</f>
        <v/>
      </c>
    </row>
    <row r="522">
      <c r="A522" s="24">
        <f>IF('ORDENES'!$A500="","",IF('ORDENES'!$O500="","-",'ORDENES'!$O500))</f>
        <v/>
      </c>
      <c r="B522" s="24">
        <f>IF('ORDENES'!$A500="","",IF('ORDENES'!$S500="","-",'ORDENES'!$S500))</f>
        <v/>
      </c>
      <c r="C522" s="24">
        <f>IF('ORDENES'!$A500="","",IF('ORDENES'!$AI500="","-",'ORDENES'!$AI500))</f>
        <v/>
      </c>
      <c r="D522" s="24">
        <f>IF('ORDENES'!$A500="","",IF('ORDENES'!$AA500="","-",'ORDENES'!$AA500))</f>
        <v/>
      </c>
      <c r="E522" s="24">
        <f>IF('ORDENES'!$A500="","",IF('ORDENES'!$Y500="","-",'ORDENES'!$Y500))</f>
        <v/>
      </c>
      <c r="F522" s="24">
        <f>IF('ORDENES'!$A500="","",IF('ORDENES'!$AB500="","-",'ORDENES'!$AB500))</f>
        <v/>
      </c>
      <c r="G522" s="24">
        <f>IF('ORDENES'!$A500="","",IF('ORDENES'!$Z500="","-",'ORDENES'!$Z500))</f>
        <v/>
      </c>
      <c r="H522" s="24">
        <f>IF('ORDENES'!$A500="","",IF('ORDENES'!$AH500="","-",'ORDENES'!$AH500))</f>
        <v/>
      </c>
      <c r="I522" s="24">
        <f>IF('ORDENES'!$A500="","",IF('ORDENES'!$AU500="","-",'ORDENES'!$AU500))</f>
        <v/>
      </c>
      <c r="J522" s="24">
        <f>IF('ORDENES'!$A500="","",IF('ORDENES'!$D500="","-",'ORDENES'!$D500))</f>
        <v/>
      </c>
      <c r="K522" s="24">
        <f>IF('ORDENES'!$A500="","",IF('ORDENES'!$E500="","-",'ORDENES'!$E500))</f>
        <v/>
      </c>
      <c r="L522" s="26">
        <f>IF('ORDENES'!$A500="","",IF('ORDENES'!$M500="",0,'ORDENES'!$M500))</f>
        <v/>
      </c>
      <c r="M522" s="24">
        <f>IF('ORDENES'!$A500="","",IF('ORDENES'!$N500="","-",'ORDENES'!$N500))</f>
        <v/>
      </c>
      <c r="N522" s="24">
        <f>IF('ORDENES'!$A500="","",'ORDENES'!$AG500)</f>
        <v/>
      </c>
    </row>
    <row r="523">
      <c r="A523" s="24">
        <f>IF('ORDENES'!$A501="","",IF('ORDENES'!$O501="","-",'ORDENES'!$O501))</f>
        <v/>
      </c>
      <c r="B523" s="24">
        <f>IF('ORDENES'!$A501="","",IF('ORDENES'!$S501="","-",'ORDENES'!$S501))</f>
        <v/>
      </c>
      <c r="C523" s="24">
        <f>IF('ORDENES'!$A501="","",IF('ORDENES'!$AI501="","-",'ORDENES'!$AI501))</f>
        <v/>
      </c>
      <c r="D523" s="24">
        <f>IF('ORDENES'!$A501="","",IF('ORDENES'!$AA501="","-",'ORDENES'!$AA501))</f>
        <v/>
      </c>
      <c r="E523" s="24">
        <f>IF('ORDENES'!$A501="","",IF('ORDENES'!$Y501="","-",'ORDENES'!$Y501))</f>
        <v/>
      </c>
      <c r="F523" s="24">
        <f>IF('ORDENES'!$A501="","",IF('ORDENES'!$AB501="","-",'ORDENES'!$AB501))</f>
        <v/>
      </c>
      <c r="G523" s="24">
        <f>IF('ORDENES'!$A501="","",IF('ORDENES'!$Z501="","-",'ORDENES'!$Z501))</f>
        <v/>
      </c>
      <c r="H523" s="24">
        <f>IF('ORDENES'!$A501="","",IF('ORDENES'!$AH501="","-",'ORDENES'!$AH501))</f>
        <v/>
      </c>
      <c r="I523" s="24">
        <f>IF('ORDENES'!$A501="","",IF('ORDENES'!$AU501="","-",'ORDENES'!$AU501))</f>
        <v/>
      </c>
      <c r="J523" s="24">
        <f>IF('ORDENES'!$A501="","",IF('ORDENES'!$D501="","-",'ORDENES'!$D501))</f>
        <v/>
      </c>
      <c r="K523" s="24">
        <f>IF('ORDENES'!$A501="","",IF('ORDENES'!$E501="","-",'ORDENES'!$E501))</f>
        <v/>
      </c>
      <c r="L523" s="26">
        <f>IF('ORDENES'!$A501="","",IF('ORDENES'!$M501="",0,'ORDENES'!$M501))</f>
        <v/>
      </c>
      <c r="M523" s="24">
        <f>IF('ORDENES'!$A501="","",IF('ORDENES'!$N501="","-",'ORDENES'!$N501))</f>
        <v/>
      </c>
      <c r="N523" s="24">
        <f>IF('ORDENES'!$A501="","",'ORDENES'!$AG501)</f>
        <v/>
      </c>
    </row>
    <row r="524">
      <c r="A524" s="24">
        <f>IF('ORDENES'!$A502="","",IF('ORDENES'!$O502="","-",'ORDENES'!$O502))</f>
        <v/>
      </c>
      <c r="B524" s="24">
        <f>IF('ORDENES'!$A502="","",IF('ORDENES'!$S502="","-",'ORDENES'!$S502))</f>
        <v/>
      </c>
      <c r="C524" s="24">
        <f>IF('ORDENES'!$A502="","",IF('ORDENES'!$AI502="","-",'ORDENES'!$AI502))</f>
        <v/>
      </c>
      <c r="D524" s="24">
        <f>IF('ORDENES'!$A502="","",IF('ORDENES'!$AA502="","-",'ORDENES'!$AA502))</f>
        <v/>
      </c>
      <c r="E524" s="24">
        <f>IF('ORDENES'!$A502="","",IF('ORDENES'!$Y502="","-",'ORDENES'!$Y502))</f>
        <v/>
      </c>
      <c r="F524" s="24">
        <f>IF('ORDENES'!$A502="","",IF('ORDENES'!$AB502="","-",'ORDENES'!$AB502))</f>
        <v/>
      </c>
      <c r="G524" s="24">
        <f>IF('ORDENES'!$A502="","",IF('ORDENES'!$Z502="","-",'ORDENES'!$Z502))</f>
        <v/>
      </c>
      <c r="H524" s="24">
        <f>IF('ORDENES'!$A502="","",IF('ORDENES'!$AH502="","-",'ORDENES'!$AH502))</f>
        <v/>
      </c>
      <c r="I524" s="24">
        <f>IF('ORDENES'!$A502="","",IF('ORDENES'!$AU502="","-",'ORDENES'!$AU502))</f>
        <v/>
      </c>
      <c r="J524" s="24">
        <f>IF('ORDENES'!$A502="","",IF('ORDENES'!$D502="","-",'ORDENES'!$D502))</f>
        <v/>
      </c>
      <c r="K524" s="24">
        <f>IF('ORDENES'!$A502="","",IF('ORDENES'!$E502="","-",'ORDENES'!$E502))</f>
        <v/>
      </c>
      <c r="L524" s="26">
        <f>IF('ORDENES'!$A502="","",IF('ORDENES'!$M502="",0,'ORDENES'!$M502))</f>
        <v/>
      </c>
      <c r="M524" s="24">
        <f>IF('ORDENES'!$A502="","",IF('ORDENES'!$N502="","-",'ORDENES'!$N502))</f>
        <v/>
      </c>
      <c r="N524" s="24">
        <f>IF('ORDENES'!$A502="","",'ORDENES'!$AG502)</f>
        <v/>
      </c>
    </row>
    <row r="525">
      <c r="A525" s="24">
        <f>IF('ORDENES'!$A503="","",IF('ORDENES'!$O503="","-",'ORDENES'!$O503))</f>
        <v/>
      </c>
      <c r="B525" s="24">
        <f>IF('ORDENES'!$A503="","",IF('ORDENES'!$S503="","-",'ORDENES'!$S503))</f>
        <v/>
      </c>
      <c r="C525" s="24">
        <f>IF('ORDENES'!$A503="","",IF('ORDENES'!$AI503="","-",'ORDENES'!$AI503))</f>
        <v/>
      </c>
      <c r="D525" s="24">
        <f>IF('ORDENES'!$A503="","",IF('ORDENES'!$AA503="","-",'ORDENES'!$AA503))</f>
        <v/>
      </c>
      <c r="E525" s="24">
        <f>IF('ORDENES'!$A503="","",IF('ORDENES'!$Y503="","-",'ORDENES'!$Y503))</f>
        <v/>
      </c>
      <c r="F525" s="24">
        <f>IF('ORDENES'!$A503="","",IF('ORDENES'!$AB503="","-",'ORDENES'!$AB503))</f>
        <v/>
      </c>
      <c r="G525" s="24">
        <f>IF('ORDENES'!$A503="","",IF('ORDENES'!$Z503="","-",'ORDENES'!$Z503))</f>
        <v/>
      </c>
      <c r="H525" s="24">
        <f>IF('ORDENES'!$A503="","",IF('ORDENES'!$AH503="","-",'ORDENES'!$AH503))</f>
        <v/>
      </c>
      <c r="I525" s="24">
        <f>IF('ORDENES'!$A503="","",IF('ORDENES'!$AU503="","-",'ORDENES'!$AU503))</f>
        <v/>
      </c>
      <c r="J525" s="24">
        <f>IF('ORDENES'!$A503="","",IF('ORDENES'!$D503="","-",'ORDENES'!$D503))</f>
        <v/>
      </c>
      <c r="K525" s="24">
        <f>IF('ORDENES'!$A503="","",IF('ORDENES'!$E503="","-",'ORDENES'!$E503))</f>
        <v/>
      </c>
      <c r="L525" s="26">
        <f>IF('ORDENES'!$A503="","",IF('ORDENES'!$M503="",0,'ORDENES'!$M503))</f>
        <v/>
      </c>
      <c r="M525" s="24">
        <f>IF('ORDENES'!$A503="","",IF('ORDENES'!$N503="","-",'ORDENES'!$N503))</f>
        <v/>
      </c>
      <c r="N525" s="24">
        <f>IF('ORDENES'!$A503="","",'ORDENES'!$AG503)</f>
        <v/>
      </c>
    </row>
    <row r="526">
      <c r="A526" s="24">
        <f>IF('ORDENES'!$A504="","",IF('ORDENES'!$O504="","-",'ORDENES'!$O504))</f>
        <v/>
      </c>
      <c r="B526" s="24">
        <f>IF('ORDENES'!$A504="","",IF('ORDENES'!$S504="","-",'ORDENES'!$S504))</f>
        <v/>
      </c>
      <c r="C526" s="24">
        <f>IF('ORDENES'!$A504="","",IF('ORDENES'!$AI504="","-",'ORDENES'!$AI504))</f>
        <v/>
      </c>
      <c r="D526" s="24">
        <f>IF('ORDENES'!$A504="","",IF('ORDENES'!$AA504="","-",'ORDENES'!$AA504))</f>
        <v/>
      </c>
      <c r="E526" s="24">
        <f>IF('ORDENES'!$A504="","",IF('ORDENES'!$Y504="","-",'ORDENES'!$Y504))</f>
        <v/>
      </c>
      <c r="F526" s="24">
        <f>IF('ORDENES'!$A504="","",IF('ORDENES'!$AB504="","-",'ORDENES'!$AB504))</f>
        <v/>
      </c>
      <c r="G526" s="24">
        <f>IF('ORDENES'!$A504="","",IF('ORDENES'!$Z504="","-",'ORDENES'!$Z504))</f>
        <v/>
      </c>
      <c r="H526" s="24">
        <f>IF('ORDENES'!$A504="","",IF('ORDENES'!$AH504="","-",'ORDENES'!$AH504))</f>
        <v/>
      </c>
      <c r="I526" s="24">
        <f>IF('ORDENES'!$A504="","",IF('ORDENES'!$AU504="","-",'ORDENES'!$AU504))</f>
        <v/>
      </c>
      <c r="J526" s="24">
        <f>IF('ORDENES'!$A504="","",IF('ORDENES'!$D504="","-",'ORDENES'!$D504))</f>
        <v/>
      </c>
      <c r="K526" s="24">
        <f>IF('ORDENES'!$A504="","",IF('ORDENES'!$E504="","-",'ORDENES'!$E504))</f>
        <v/>
      </c>
      <c r="L526" s="26">
        <f>IF('ORDENES'!$A504="","",IF('ORDENES'!$M504="",0,'ORDENES'!$M504))</f>
        <v/>
      </c>
      <c r="M526" s="24">
        <f>IF('ORDENES'!$A504="","",IF('ORDENES'!$N504="","-",'ORDENES'!$N504))</f>
        <v/>
      </c>
      <c r="N526" s="24">
        <f>IF('ORDENES'!$A504="","",'ORDENES'!$AG504)</f>
        <v/>
      </c>
    </row>
    <row r="527">
      <c r="A527" s="24">
        <f>IF('ORDENES'!$A505="","",IF('ORDENES'!$O505="","-",'ORDENES'!$O505))</f>
        <v/>
      </c>
      <c r="B527" s="24">
        <f>IF('ORDENES'!$A505="","",IF('ORDENES'!$S505="","-",'ORDENES'!$S505))</f>
        <v/>
      </c>
      <c r="C527" s="24">
        <f>IF('ORDENES'!$A505="","",IF('ORDENES'!$AI505="","-",'ORDENES'!$AI505))</f>
        <v/>
      </c>
      <c r="D527" s="24">
        <f>IF('ORDENES'!$A505="","",IF('ORDENES'!$AA505="","-",'ORDENES'!$AA505))</f>
        <v/>
      </c>
      <c r="E527" s="24">
        <f>IF('ORDENES'!$A505="","",IF('ORDENES'!$Y505="","-",'ORDENES'!$Y505))</f>
        <v/>
      </c>
      <c r="F527" s="24">
        <f>IF('ORDENES'!$A505="","",IF('ORDENES'!$AB505="","-",'ORDENES'!$AB505))</f>
        <v/>
      </c>
      <c r="G527" s="24">
        <f>IF('ORDENES'!$A505="","",IF('ORDENES'!$Z505="","-",'ORDENES'!$Z505))</f>
        <v/>
      </c>
      <c r="H527" s="24">
        <f>IF('ORDENES'!$A505="","",IF('ORDENES'!$AH505="","-",'ORDENES'!$AH505))</f>
        <v/>
      </c>
      <c r="I527" s="24">
        <f>IF('ORDENES'!$A505="","",IF('ORDENES'!$AU505="","-",'ORDENES'!$AU505))</f>
        <v/>
      </c>
      <c r="J527" s="24">
        <f>IF('ORDENES'!$A505="","",IF('ORDENES'!$D505="","-",'ORDENES'!$D505))</f>
        <v/>
      </c>
      <c r="K527" s="24">
        <f>IF('ORDENES'!$A505="","",IF('ORDENES'!$E505="","-",'ORDENES'!$E505))</f>
        <v/>
      </c>
      <c r="L527" s="26">
        <f>IF('ORDENES'!$A505="","",IF('ORDENES'!$M505="",0,'ORDENES'!$M505))</f>
        <v/>
      </c>
      <c r="M527" s="24">
        <f>IF('ORDENES'!$A505="","",IF('ORDENES'!$N505="","-",'ORDENES'!$N505))</f>
        <v/>
      </c>
      <c r="N527" s="24">
        <f>IF('ORDENES'!$A505="","",'ORDENES'!$AG505)</f>
        <v/>
      </c>
    </row>
    <row r="528">
      <c r="A528" s="24">
        <f>IF('ORDENES'!$A506="","",IF('ORDENES'!$O506="","-",'ORDENES'!$O506))</f>
        <v/>
      </c>
      <c r="B528" s="24">
        <f>IF('ORDENES'!$A506="","",IF('ORDENES'!$S506="","-",'ORDENES'!$S506))</f>
        <v/>
      </c>
      <c r="C528" s="24">
        <f>IF('ORDENES'!$A506="","",IF('ORDENES'!$AI506="","-",'ORDENES'!$AI506))</f>
        <v/>
      </c>
      <c r="D528" s="24">
        <f>IF('ORDENES'!$A506="","",IF('ORDENES'!$AA506="","-",'ORDENES'!$AA506))</f>
        <v/>
      </c>
      <c r="E528" s="24">
        <f>IF('ORDENES'!$A506="","",IF('ORDENES'!$Y506="","-",'ORDENES'!$Y506))</f>
        <v/>
      </c>
      <c r="F528" s="24">
        <f>IF('ORDENES'!$A506="","",IF('ORDENES'!$AB506="","-",'ORDENES'!$AB506))</f>
        <v/>
      </c>
      <c r="G528" s="24">
        <f>IF('ORDENES'!$A506="","",IF('ORDENES'!$Z506="","-",'ORDENES'!$Z506))</f>
        <v/>
      </c>
      <c r="H528" s="24">
        <f>IF('ORDENES'!$A506="","",IF('ORDENES'!$AH506="","-",'ORDENES'!$AH506))</f>
        <v/>
      </c>
      <c r="I528" s="24">
        <f>IF('ORDENES'!$A506="","",IF('ORDENES'!$AU506="","-",'ORDENES'!$AU506))</f>
        <v/>
      </c>
      <c r="J528" s="24">
        <f>IF('ORDENES'!$A506="","",IF('ORDENES'!$D506="","-",'ORDENES'!$D506))</f>
        <v/>
      </c>
      <c r="K528" s="24">
        <f>IF('ORDENES'!$A506="","",IF('ORDENES'!$E506="","-",'ORDENES'!$E506))</f>
        <v/>
      </c>
      <c r="L528" s="26">
        <f>IF('ORDENES'!$A506="","",IF('ORDENES'!$M506="",0,'ORDENES'!$M506))</f>
        <v/>
      </c>
      <c r="M528" s="24">
        <f>IF('ORDENES'!$A506="","",IF('ORDENES'!$N506="","-",'ORDENES'!$N506))</f>
        <v/>
      </c>
      <c r="N528" s="24">
        <f>IF('ORDENES'!$A506="","",'ORDENES'!$AG506)</f>
        <v/>
      </c>
    </row>
    <row r="529">
      <c r="A529" s="24">
        <f>IF('ORDENES'!$A507="","",IF('ORDENES'!$O507="","-",'ORDENES'!$O507))</f>
        <v/>
      </c>
      <c r="B529" s="24">
        <f>IF('ORDENES'!$A507="","",IF('ORDENES'!$S507="","-",'ORDENES'!$S507))</f>
        <v/>
      </c>
      <c r="C529" s="24">
        <f>IF('ORDENES'!$A507="","",IF('ORDENES'!$AI507="","-",'ORDENES'!$AI507))</f>
        <v/>
      </c>
      <c r="D529" s="24">
        <f>IF('ORDENES'!$A507="","",IF('ORDENES'!$AA507="","-",'ORDENES'!$AA507))</f>
        <v/>
      </c>
      <c r="E529" s="24">
        <f>IF('ORDENES'!$A507="","",IF('ORDENES'!$Y507="","-",'ORDENES'!$Y507))</f>
        <v/>
      </c>
      <c r="F529" s="24">
        <f>IF('ORDENES'!$A507="","",IF('ORDENES'!$AB507="","-",'ORDENES'!$AB507))</f>
        <v/>
      </c>
      <c r="G529" s="24">
        <f>IF('ORDENES'!$A507="","",IF('ORDENES'!$Z507="","-",'ORDENES'!$Z507))</f>
        <v/>
      </c>
      <c r="H529" s="24">
        <f>IF('ORDENES'!$A507="","",IF('ORDENES'!$AH507="","-",'ORDENES'!$AH507))</f>
        <v/>
      </c>
      <c r="I529" s="24">
        <f>IF('ORDENES'!$A507="","",IF('ORDENES'!$AU507="","-",'ORDENES'!$AU507))</f>
        <v/>
      </c>
      <c r="J529" s="24">
        <f>IF('ORDENES'!$A507="","",IF('ORDENES'!$D507="","-",'ORDENES'!$D507))</f>
        <v/>
      </c>
      <c r="K529" s="24">
        <f>IF('ORDENES'!$A507="","",IF('ORDENES'!$E507="","-",'ORDENES'!$E507))</f>
        <v/>
      </c>
      <c r="L529" s="26">
        <f>IF('ORDENES'!$A507="","",IF('ORDENES'!$M507="",0,'ORDENES'!$M507))</f>
        <v/>
      </c>
      <c r="M529" s="24">
        <f>IF('ORDENES'!$A507="","",IF('ORDENES'!$N507="","-",'ORDENES'!$N507))</f>
        <v/>
      </c>
      <c r="N529" s="24">
        <f>IF('ORDENES'!$A507="","",'ORDENES'!$AG507)</f>
        <v/>
      </c>
    </row>
    <row r="530">
      <c r="A530" s="24">
        <f>IF('ORDENES'!$A508="","",IF('ORDENES'!$O508="","-",'ORDENES'!$O508))</f>
        <v/>
      </c>
      <c r="B530" s="24">
        <f>IF('ORDENES'!$A508="","",IF('ORDENES'!$S508="","-",'ORDENES'!$S508))</f>
        <v/>
      </c>
      <c r="C530" s="24">
        <f>IF('ORDENES'!$A508="","",IF('ORDENES'!$AI508="","-",'ORDENES'!$AI508))</f>
        <v/>
      </c>
      <c r="D530" s="24">
        <f>IF('ORDENES'!$A508="","",IF('ORDENES'!$AA508="","-",'ORDENES'!$AA508))</f>
        <v/>
      </c>
      <c r="E530" s="24">
        <f>IF('ORDENES'!$A508="","",IF('ORDENES'!$Y508="","-",'ORDENES'!$Y508))</f>
        <v/>
      </c>
      <c r="F530" s="24">
        <f>IF('ORDENES'!$A508="","",IF('ORDENES'!$AB508="","-",'ORDENES'!$AB508))</f>
        <v/>
      </c>
      <c r="G530" s="24">
        <f>IF('ORDENES'!$A508="","",IF('ORDENES'!$Z508="","-",'ORDENES'!$Z508))</f>
        <v/>
      </c>
      <c r="H530" s="24">
        <f>IF('ORDENES'!$A508="","",IF('ORDENES'!$AH508="","-",'ORDENES'!$AH508))</f>
        <v/>
      </c>
      <c r="I530" s="24">
        <f>IF('ORDENES'!$A508="","",IF('ORDENES'!$AU508="","-",'ORDENES'!$AU508))</f>
        <v/>
      </c>
      <c r="J530" s="24">
        <f>IF('ORDENES'!$A508="","",IF('ORDENES'!$D508="","-",'ORDENES'!$D508))</f>
        <v/>
      </c>
      <c r="K530" s="24">
        <f>IF('ORDENES'!$A508="","",IF('ORDENES'!$E508="","-",'ORDENES'!$E508))</f>
        <v/>
      </c>
      <c r="L530" s="26">
        <f>IF('ORDENES'!$A508="","",IF('ORDENES'!$M508="",0,'ORDENES'!$M508))</f>
        <v/>
      </c>
      <c r="M530" s="24">
        <f>IF('ORDENES'!$A508="","",IF('ORDENES'!$N508="","-",'ORDENES'!$N508))</f>
        <v/>
      </c>
      <c r="N530" s="24">
        <f>IF('ORDENES'!$A508="","",'ORDENES'!$AG508)</f>
        <v/>
      </c>
    </row>
    <row r="531">
      <c r="A531" s="24">
        <f>IF('ORDENES'!$A509="","",IF('ORDENES'!$O509="","-",'ORDENES'!$O509))</f>
        <v/>
      </c>
      <c r="B531" s="24">
        <f>IF('ORDENES'!$A509="","",IF('ORDENES'!$S509="","-",'ORDENES'!$S509))</f>
        <v/>
      </c>
      <c r="C531" s="24">
        <f>IF('ORDENES'!$A509="","",IF('ORDENES'!$AI509="","-",'ORDENES'!$AI509))</f>
        <v/>
      </c>
      <c r="D531" s="24">
        <f>IF('ORDENES'!$A509="","",IF('ORDENES'!$AA509="","-",'ORDENES'!$AA509))</f>
        <v/>
      </c>
      <c r="E531" s="24">
        <f>IF('ORDENES'!$A509="","",IF('ORDENES'!$Y509="","-",'ORDENES'!$Y509))</f>
        <v/>
      </c>
      <c r="F531" s="24">
        <f>IF('ORDENES'!$A509="","",IF('ORDENES'!$AB509="","-",'ORDENES'!$AB509))</f>
        <v/>
      </c>
      <c r="G531" s="24">
        <f>IF('ORDENES'!$A509="","",IF('ORDENES'!$Z509="","-",'ORDENES'!$Z509))</f>
        <v/>
      </c>
      <c r="H531" s="24">
        <f>IF('ORDENES'!$A509="","",IF('ORDENES'!$AH509="","-",'ORDENES'!$AH509))</f>
        <v/>
      </c>
      <c r="I531" s="24">
        <f>IF('ORDENES'!$A509="","",IF('ORDENES'!$AU509="","-",'ORDENES'!$AU509))</f>
        <v/>
      </c>
      <c r="J531" s="24">
        <f>IF('ORDENES'!$A509="","",IF('ORDENES'!$D509="","-",'ORDENES'!$D509))</f>
        <v/>
      </c>
      <c r="K531" s="24">
        <f>IF('ORDENES'!$A509="","",IF('ORDENES'!$E509="","-",'ORDENES'!$E509))</f>
        <v/>
      </c>
      <c r="L531" s="26">
        <f>IF('ORDENES'!$A509="","",IF('ORDENES'!$M509="",0,'ORDENES'!$M509))</f>
        <v/>
      </c>
      <c r="M531" s="24">
        <f>IF('ORDENES'!$A509="","",IF('ORDENES'!$N509="","-",'ORDENES'!$N509))</f>
        <v/>
      </c>
      <c r="N531" s="24">
        <f>IF('ORDENES'!$A509="","",'ORDENES'!$AG509)</f>
        <v/>
      </c>
    </row>
    <row r="532">
      <c r="A532" s="24">
        <f>IF('ORDENES'!$A510="","",IF('ORDENES'!$O510="","-",'ORDENES'!$O510))</f>
        <v/>
      </c>
      <c r="B532" s="24">
        <f>IF('ORDENES'!$A510="","",IF('ORDENES'!$S510="","-",'ORDENES'!$S510))</f>
        <v/>
      </c>
      <c r="C532" s="24">
        <f>IF('ORDENES'!$A510="","",IF('ORDENES'!$AI510="","-",'ORDENES'!$AI510))</f>
        <v/>
      </c>
      <c r="D532" s="24">
        <f>IF('ORDENES'!$A510="","",IF('ORDENES'!$AA510="","-",'ORDENES'!$AA510))</f>
        <v/>
      </c>
      <c r="E532" s="24">
        <f>IF('ORDENES'!$A510="","",IF('ORDENES'!$Y510="","-",'ORDENES'!$Y510))</f>
        <v/>
      </c>
      <c r="F532" s="24">
        <f>IF('ORDENES'!$A510="","",IF('ORDENES'!$AB510="","-",'ORDENES'!$AB510))</f>
        <v/>
      </c>
      <c r="G532" s="24">
        <f>IF('ORDENES'!$A510="","",IF('ORDENES'!$Z510="","-",'ORDENES'!$Z510))</f>
        <v/>
      </c>
      <c r="H532" s="24">
        <f>IF('ORDENES'!$A510="","",IF('ORDENES'!$AH510="","-",'ORDENES'!$AH510))</f>
        <v/>
      </c>
      <c r="I532" s="24">
        <f>IF('ORDENES'!$A510="","",IF('ORDENES'!$AU510="","-",'ORDENES'!$AU510))</f>
        <v/>
      </c>
      <c r="J532" s="24">
        <f>IF('ORDENES'!$A510="","",IF('ORDENES'!$D510="","-",'ORDENES'!$D510))</f>
        <v/>
      </c>
      <c r="K532" s="24">
        <f>IF('ORDENES'!$A510="","",IF('ORDENES'!$E510="","-",'ORDENES'!$E510))</f>
        <v/>
      </c>
      <c r="L532" s="26">
        <f>IF('ORDENES'!$A510="","",IF('ORDENES'!$M510="",0,'ORDENES'!$M510))</f>
        <v/>
      </c>
      <c r="M532" s="24">
        <f>IF('ORDENES'!$A510="","",IF('ORDENES'!$N510="","-",'ORDENES'!$N510))</f>
        <v/>
      </c>
      <c r="N532" s="24">
        <f>IF('ORDENES'!$A510="","",'ORDENES'!$AG510)</f>
        <v/>
      </c>
    </row>
    <row r="533">
      <c r="A533" s="24">
        <f>IF('ORDENES'!$A511="","",IF('ORDENES'!$O511="","-",'ORDENES'!$O511))</f>
        <v/>
      </c>
      <c r="B533" s="24">
        <f>IF('ORDENES'!$A511="","",IF('ORDENES'!$S511="","-",'ORDENES'!$S511))</f>
        <v/>
      </c>
      <c r="C533" s="24">
        <f>IF('ORDENES'!$A511="","",IF('ORDENES'!$AI511="","-",'ORDENES'!$AI511))</f>
        <v/>
      </c>
      <c r="D533" s="24">
        <f>IF('ORDENES'!$A511="","",IF('ORDENES'!$AA511="","-",'ORDENES'!$AA511))</f>
        <v/>
      </c>
      <c r="E533" s="24">
        <f>IF('ORDENES'!$A511="","",IF('ORDENES'!$Y511="","-",'ORDENES'!$Y511))</f>
        <v/>
      </c>
      <c r="F533" s="24">
        <f>IF('ORDENES'!$A511="","",IF('ORDENES'!$AB511="","-",'ORDENES'!$AB511))</f>
        <v/>
      </c>
      <c r="G533" s="24">
        <f>IF('ORDENES'!$A511="","",IF('ORDENES'!$Z511="","-",'ORDENES'!$Z511))</f>
        <v/>
      </c>
      <c r="H533" s="24">
        <f>IF('ORDENES'!$A511="","",IF('ORDENES'!$AH511="","-",'ORDENES'!$AH511))</f>
        <v/>
      </c>
      <c r="I533" s="24">
        <f>IF('ORDENES'!$A511="","",IF('ORDENES'!$AU511="","-",'ORDENES'!$AU511))</f>
        <v/>
      </c>
      <c r="J533" s="24">
        <f>IF('ORDENES'!$A511="","",IF('ORDENES'!$D511="","-",'ORDENES'!$D511))</f>
        <v/>
      </c>
      <c r="K533" s="24">
        <f>IF('ORDENES'!$A511="","",IF('ORDENES'!$E511="","-",'ORDENES'!$E511))</f>
        <v/>
      </c>
      <c r="L533" s="26">
        <f>IF('ORDENES'!$A511="","",IF('ORDENES'!$M511="",0,'ORDENES'!$M511))</f>
        <v/>
      </c>
      <c r="M533" s="24">
        <f>IF('ORDENES'!$A511="","",IF('ORDENES'!$N511="","-",'ORDENES'!$N511))</f>
        <v/>
      </c>
      <c r="N533" s="24">
        <f>IF('ORDENES'!$A511="","",'ORDENES'!$AG511)</f>
        <v/>
      </c>
    </row>
    <row r="534">
      <c r="A534" s="24">
        <f>IF('ORDENES'!$A512="","",IF('ORDENES'!$O512="","-",'ORDENES'!$O512))</f>
        <v/>
      </c>
      <c r="B534" s="24">
        <f>IF('ORDENES'!$A512="","",IF('ORDENES'!$S512="","-",'ORDENES'!$S512))</f>
        <v/>
      </c>
      <c r="C534" s="24">
        <f>IF('ORDENES'!$A512="","",IF('ORDENES'!$AI512="","-",'ORDENES'!$AI512))</f>
        <v/>
      </c>
      <c r="D534" s="24">
        <f>IF('ORDENES'!$A512="","",IF('ORDENES'!$AA512="","-",'ORDENES'!$AA512))</f>
        <v/>
      </c>
      <c r="E534" s="24">
        <f>IF('ORDENES'!$A512="","",IF('ORDENES'!$Y512="","-",'ORDENES'!$Y512))</f>
        <v/>
      </c>
      <c r="F534" s="24">
        <f>IF('ORDENES'!$A512="","",IF('ORDENES'!$AB512="","-",'ORDENES'!$AB512))</f>
        <v/>
      </c>
      <c r="G534" s="24">
        <f>IF('ORDENES'!$A512="","",IF('ORDENES'!$Z512="","-",'ORDENES'!$Z512))</f>
        <v/>
      </c>
      <c r="H534" s="24">
        <f>IF('ORDENES'!$A512="","",IF('ORDENES'!$AH512="","-",'ORDENES'!$AH512))</f>
        <v/>
      </c>
      <c r="I534" s="24">
        <f>IF('ORDENES'!$A512="","",IF('ORDENES'!$AU512="","-",'ORDENES'!$AU512))</f>
        <v/>
      </c>
      <c r="J534" s="24">
        <f>IF('ORDENES'!$A512="","",IF('ORDENES'!$D512="","-",'ORDENES'!$D512))</f>
        <v/>
      </c>
      <c r="K534" s="24">
        <f>IF('ORDENES'!$A512="","",IF('ORDENES'!$E512="","-",'ORDENES'!$E512))</f>
        <v/>
      </c>
      <c r="L534" s="26">
        <f>IF('ORDENES'!$A512="","",IF('ORDENES'!$M512="",0,'ORDENES'!$M512))</f>
        <v/>
      </c>
      <c r="M534" s="24">
        <f>IF('ORDENES'!$A512="","",IF('ORDENES'!$N512="","-",'ORDENES'!$N512))</f>
        <v/>
      </c>
      <c r="N534" s="24">
        <f>IF('ORDENES'!$A512="","",'ORDENES'!$AG512)</f>
        <v/>
      </c>
    </row>
    <row r="535">
      <c r="A535" s="24">
        <f>IF('ORDENES'!$A513="","",IF('ORDENES'!$O513="","-",'ORDENES'!$O513))</f>
        <v/>
      </c>
      <c r="B535" s="24">
        <f>IF('ORDENES'!$A513="","",IF('ORDENES'!$S513="","-",'ORDENES'!$S513))</f>
        <v/>
      </c>
      <c r="C535" s="24">
        <f>IF('ORDENES'!$A513="","",IF('ORDENES'!$AI513="","-",'ORDENES'!$AI513))</f>
        <v/>
      </c>
      <c r="D535" s="24">
        <f>IF('ORDENES'!$A513="","",IF('ORDENES'!$AA513="","-",'ORDENES'!$AA513))</f>
        <v/>
      </c>
      <c r="E535" s="24">
        <f>IF('ORDENES'!$A513="","",IF('ORDENES'!$Y513="","-",'ORDENES'!$Y513))</f>
        <v/>
      </c>
      <c r="F535" s="24">
        <f>IF('ORDENES'!$A513="","",IF('ORDENES'!$AB513="","-",'ORDENES'!$AB513))</f>
        <v/>
      </c>
      <c r="G535" s="24">
        <f>IF('ORDENES'!$A513="","",IF('ORDENES'!$Z513="","-",'ORDENES'!$Z513))</f>
        <v/>
      </c>
      <c r="H535" s="24">
        <f>IF('ORDENES'!$A513="","",IF('ORDENES'!$AH513="","-",'ORDENES'!$AH513))</f>
        <v/>
      </c>
      <c r="I535" s="24">
        <f>IF('ORDENES'!$A513="","",IF('ORDENES'!$AU513="","-",'ORDENES'!$AU513))</f>
        <v/>
      </c>
      <c r="J535" s="24">
        <f>IF('ORDENES'!$A513="","",IF('ORDENES'!$D513="","-",'ORDENES'!$D513))</f>
        <v/>
      </c>
      <c r="K535" s="24">
        <f>IF('ORDENES'!$A513="","",IF('ORDENES'!$E513="","-",'ORDENES'!$E513))</f>
        <v/>
      </c>
      <c r="L535" s="26">
        <f>IF('ORDENES'!$A513="","",IF('ORDENES'!$M513="",0,'ORDENES'!$M513))</f>
        <v/>
      </c>
      <c r="M535" s="24">
        <f>IF('ORDENES'!$A513="","",IF('ORDENES'!$N513="","-",'ORDENES'!$N513))</f>
        <v/>
      </c>
      <c r="N535" s="24">
        <f>IF('ORDENES'!$A513="","",'ORDENES'!$AG513)</f>
        <v/>
      </c>
    </row>
    <row r="536">
      <c r="A536" s="24">
        <f>IF('ORDENES'!$A514="","",IF('ORDENES'!$O514="","-",'ORDENES'!$O514))</f>
        <v/>
      </c>
      <c r="B536" s="24">
        <f>IF('ORDENES'!$A514="","",IF('ORDENES'!$S514="","-",'ORDENES'!$S514))</f>
        <v/>
      </c>
      <c r="C536" s="24">
        <f>IF('ORDENES'!$A514="","",IF('ORDENES'!$AI514="","-",'ORDENES'!$AI514))</f>
        <v/>
      </c>
      <c r="D536" s="24">
        <f>IF('ORDENES'!$A514="","",IF('ORDENES'!$AA514="","-",'ORDENES'!$AA514))</f>
        <v/>
      </c>
      <c r="E536" s="24">
        <f>IF('ORDENES'!$A514="","",IF('ORDENES'!$Y514="","-",'ORDENES'!$Y514))</f>
        <v/>
      </c>
      <c r="F536" s="24">
        <f>IF('ORDENES'!$A514="","",IF('ORDENES'!$AB514="","-",'ORDENES'!$AB514))</f>
        <v/>
      </c>
      <c r="G536" s="24">
        <f>IF('ORDENES'!$A514="","",IF('ORDENES'!$Z514="","-",'ORDENES'!$Z514))</f>
        <v/>
      </c>
      <c r="H536" s="24">
        <f>IF('ORDENES'!$A514="","",IF('ORDENES'!$AH514="","-",'ORDENES'!$AH514))</f>
        <v/>
      </c>
      <c r="I536" s="24">
        <f>IF('ORDENES'!$A514="","",IF('ORDENES'!$AU514="","-",'ORDENES'!$AU514))</f>
        <v/>
      </c>
      <c r="J536" s="24">
        <f>IF('ORDENES'!$A514="","",IF('ORDENES'!$D514="","-",'ORDENES'!$D514))</f>
        <v/>
      </c>
      <c r="K536" s="24">
        <f>IF('ORDENES'!$A514="","",IF('ORDENES'!$E514="","-",'ORDENES'!$E514))</f>
        <v/>
      </c>
      <c r="L536" s="26">
        <f>IF('ORDENES'!$A514="","",IF('ORDENES'!$M514="",0,'ORDENES'!$M514))</f>
        <v/>
      </c>
      <c r="M536" s="24">
        <f>IF('ORDENES'!$A514="","",IF('ORDENES'!$N514="","-",'ORDENES'!$N514))</f>
        <v/>
      </c>
      <c r="N536" s="24">
        <f>IF('ORDENES'!$A514="","",'ORDENES'!$AG514)</f>
        <v/>
      </c>
    </row>
    <row r="537">
      <c r="A537" s="24">
        <f>IF('ORDENES'!$A515="","",IF('ORDENES'!$O515="","-",'ORDENES'!$O515))</f>
        <v/>
      </c>
      <c r="B537" s="24">
        <f>IF('ORDENES'!$A515="","",IF('ORDENES'!$S515="","-",'ORDENES'!$S515))</f>
        <v/>
      </c>
      <c r="C537" s="24">
        <f>IF('ORDENES'!$A515="","",IF('ORDENES'!$AI515="","-",'ORDENES'!$AI515))</f>
        <v/>
      </c>
      <c r="D537" s="24">
        <f>IF('ORDENES'!$A515="","",IF('ORDENES'!$AA515="","-",'ORDENES'!$AA515))</f>
        <v/>
      </c>
      <c r="E537" s="24">
        <f>IF('ORDENES'!$A515="","",IF('ORDENES'!$Y515="","-",'ORDENES'!$Y515))</f>
        <v/>
      </c>
      <c r="F537" s="24">
        <f>IF('ORDENES'!$A515="","",IF('ORDENES'!$AB515="","-",'ORDENES'!$AB515))</f>
        <v/>
      </c>
      <c r="G537" s="24">
        <f>IF('ORDENES'!$A515="","",IF('ORDENES'!$Z515="","-",'ORDENES'!$Z515))</f>
        <v/>
      </c>
      <c r="H537" s="24">
        <f>IF('ORDENES'!$A515="","",IF('ORDENES'!$AH515="","-",'ORDENES'!$AH515))</f>
        <v/>
      </c>
      <c r="I537" s="24">
        <f>IF('ORDENES'!$A515="","",IF('ORDENES'!$AU515="","-",'ORDENES'!$AU515))</f>
        <v/>
      </c>
      <c r="J537" s="24">
        <f>IF('ORDENES'!$A515="","",IF('ORDENES'!$D515="","-",'ORDENES'!$D515))</f>
        <v/>
      </c>
      <c r="K537" s="24">
        <f>IF('ORDENES'!$A515="","",IF('ORDENES'!$E515="","-",'ORDENES'!$E515))</f>
        <v/>
      </c>
      <c r="L537" s="26">
        <f>IF('ORDENES'!$A515="","",IF('ORDENES'!$M515="",0,'ORDENES'!$M515))</f>
        <v/>
      </c>
      <c r="M537" s="24">
        <f>IF('ORDENES'!$A515="","",IF('ORDENES'!$N515="","-",'ORDENES'!$N515))</f>
        <v/>
      </c>
      <c r="N537" s="24">
        <f>IF('ORDENES'!$A515="","",'ORDENES'!$AG515)</f>
        <v/>
      </c>
    </row>
    <row r="538">
      <c r="A538" s="24">
        <f>IF('ORDENES'!$A516="","",IF('ORDENES'!$O516="","-",'ORDENES'!$O516))</f>
        <v/>
      </c>
      <c r="B538" s="24">
        <f>IF('ORDENES'!$A516="","",IF('ORDENES'!$S516="","-",'ORDENES'!$S516))</f>
        <v/>
      </c>
      <c r="C538" s="24">
        <f>IF('ORDENES'!$A516="","",IF('ORDENES'!$AI516="","-",'ORDENES'!$AI516))</f>
        <v/>
      </c>
      <c r="D538" s="24">
        <f>IF('ORDENES'!$A516="","",IF('ORDENES'!$AA516="","-",'ORDENES'!$AA516))</f>
        <v/>
      </c>
      <c r="E538" s="24">
        <f>IF('ORDENES'!$A516="","",IF('ORDENES'!$Y516="","-",'ORDENES'!$Y516))</f>
        <v/>
      </c>
      <c r="F538" s="24">
        <f>IF('ORDENES'!$A516="","",IF('ORDENES'!$AB516="","-",'ORDENES'!$AB516))</f>
        <v/>
      </c>
      <c r="G538" s="24">
        <f>IF('ORDENES'!$A516="","",IF('ORDENES'!$Z516="","-",'ORDENES'!$Z516))</f>
        <v/>
      </c>
      <c r="H538" s="24">
        <f>IF('ORDENES'!$A516="","",IF('ORDENES'!$AH516="","-",'ORDENES'!$AH516))</f>
        <v/>
      </c>
      <c r="I538" s="24">
        <f>IF('ORDENES'!$A516="","",IF('ORDENES'!$AU516="","-",'ORDENES'!$AU516))</f>
        <v/>
      </c>
      <c r="J538" s="24">
        <f>IF('ORDENES'!$A516="","",IF('ORDENES'!$D516="","-",'ORDENES'!$D516))</f>
        <v/>
      </c>
      <c r="K538" s="24">
        <f>IF('ORDENES'!$A516="","",IF('ORDENES'!$E516="","-",'ORDENES'!$E516))</f>
        <v/>
      </c>
      <c r="L538" s="26">
        <f>IF('ORDENES'!$A516="","",IF('ORDENES'!$M516="",0,'ORDENES'!$M516))</f>
        <v/>
      </c>
      <c r="M538" s="24">
        <f>IF('ORDENES'!$A516="","",IF('ORDENES'!$N516="","-",'ORDENES'!$N516))</f>
        <v/>
      </c>
      <c r="N538" s="24">
        <f>IF('ORDENES'!$A516="","",'ORDENES'!$AG516)</f>
        <v/>
      </c>
    </row>
    <row r="539">
      <c r="A539" s="24">
        <f>IF('ORDENES'!$A517="","",IF('ORDENES'!$O517="","-",'ORDENES'!$O517))</f>
        <v/>
      </c>
      <c r="B539" s="24">
        <f>IF('ORDENES'!$A517="","",IF('ORDENES'!$S517="","-",'ORDENES'!$S517))</f>
        <v/>
      </c>
      <c r="C539" s="24">
        <f>IF('ORDENES'!$A517="","",IF('ORDENES'!$AI517="","-",'ORDENES'!$AI517))</f>
        <v/>
      </c>
      <c r="D539" s="24">
        <f>IF('ORDENES'!$A517="","",IF('ORDENES'!$AA517="","-",'ORDENES'!$AA517))</f>
        <v/>
      </c>
      <c r="E539" s="24">
        <f>IF('ORDENES'!$A517="","",IF('ORDENES'!$Y517="","-",'ORDENES'!$Y517))</f>
        <v/>
      </c>
      <c r="F539" s="24">
        <f>IF('ORDENES'!$A517="","",IF('ORDENES'!$AB517="","-",'ORDENES'!$AB517))</f>
        <v/>
      </c>
      <c r="G539" s="24">
        <f>IF('ORDENES'!$A517="","",IF('ORDENES'!$Z517="","-",'ORDENES'!$Z517))</f>
        <v/>
      </c>
      <c r="H539" s="24">
        <f>IF('ORDENES'!$A517="","",IF('ORDENES'!$AH517="","-",'ORDENES'!$AH517))</f>
        <v/>
      </c>
      <c r="I539" s="24">
        <f>IF('ORDENES'!$A517="","",IF('ORDENES'!$AU517="","-",'ORDENES'!$AU517))</f>
        <v/>
      </c>
      <c r="J539" s="24">
        <f>IF('ORDENES'!$A517="","",IF('ORDENES'!$D517="","-",'ORDENES'!$D517))</f>
        <v/>
      </c>
      <c r="K539" s="24">
        <f>IF('ORDENES'!$A517="","",IF('ORDENES'!$E517="","-",'ORDENES'!$E517))</f>
        <v/>
      </c>
      <c r="L539" s="26">
        <f>IF('ORDENES'!$A517="","",IF('ORDENES'!$M517="",0,'ORDENES'!$M517))</f>
        <v/>
      </c>
      <c r="M539" s="24">
        <f>IF('ORDENES'!$A517="","",IF('ORDENES'!$N517="","-",'ORDENES'!$N517))</f>
        <v/>
      </c>
      <c r="N539" s="24">
        <f>IF('ORDENES'!$A517="","",'ORDENES'!$AG517)</f>
        <v/>
      </c>
    </row>
    <row r="540">
      <c r="A540" s="24">
        <f>IF('ORDENES'!$A518="","",IF('ORDENES'!$O518="","-",'ORDENES'!$O518))</f>
        <v/>
      </c>
      <c r="B540" s="24">
        <f>IF('ORDENES'!$A518="","",IF('ORDENES'!$S518="","-",'ORDENES'!$S518))</f>
        <v/>
      </c>
      <c r="C540" s="24">
        <f>IF('ORDENES'!$A518="","",IF('ORDENES'!$AI518="","-",'ORDENES'!$AI518))</f>
        <v/>
      </c>
      <c r="D540" s="24">
        <f>IF('ORDENES'!$A518="","",IF('ORDENES'!$AA518="","-",'ORDENES'!$AA518))</f>
        <v/>
      </c>
      <c r="E540" s="24">
        <f>IF('ORDENES'!$A518="","",IF('ORDENES'!$Y518="","-",'ORDENES'!$Y518))</f>
        <v/>
      </c>
      <c r="F540" s="24">
        <f>IF('ORDENES'!$A518="","",IF('ORDENES'!$AB518="","-",'ORDENES'!$AB518))</f>
        <v/>
      </c>
      <c r="G540" s="24">
        <f>IF('ORDENES'!$A518="","",IF('ORDENES'!$Z518="","-",'ORDENES'!$Z518))</f>
        <v/>
      </c>
      <c r="H540" s="24">
        <f>IF('ORDENES'!$A518="","",IF('ORDENES'!$AH518="","-",'ORDENES'!$AH518))</f>
        <v/>
      </c>
      <c r="I540" s="24">
        <f>IF('ORDENES'!$A518="","",IF('ORDENES'!$AU518="","-",'ORDENES'!$AU518))</f>
        <v/>
      </c>
      <c r="J540" s="24">
        <f>IF('ORDENES'!$A518="","",IF('ORDENES'!$D518="","-",'ORDENES'!$D518))</f>
        <v/>
      </c>
      <c r="K540" s="24">
        <f>IF('ORDENES'!$A518="","",IF('ORDENES'!$E518="","-",'ORDENES'!$E518))</f>
        <v/>
      </c>
      <c r="L540" s="26">
        <f>IF('ORDENES'!$A518="","",IF('ORDENES'!$M518="",0,'ORDENES'!$M518))</f>
        <v/>
      </c>
      <c r="M540" s="24">
        <f>IF('ORDENES'!$A518="","",IF('ORDENES'!$N518="","-",'ORDENES'!$N518))</f>
        <v/>
      </c>
      <c r="N540" s="24">
        <f>IF('ORDENES'!$A518="","",'ORDENES'!$AG518)</f>
        <v/>
      </c>
    </row>
    <row r="541">
      <c r="A541" s="24">
        <f>IF('ORDENES'!$A519="","",IF('ORDENES'!$O519="","-",'ORDENES'!$O519))</f>
        <v/>
      </c>
      <c r="B541" s="24">
        <f>IF('ORDENES'!$A519="","",IF('ORDENES'!$S519="","-",'ORDENES'!$S519))</f>
        <v/>
      </c>
      <c r="C541" s="24">
        <f>IF('ORDENES'!$A519="","",IF('ORDENES'!$AI519="","-",'ORDENES'!$AI519))</f>
        <v/>
      </c>
      <c r="D541" s="24">
        <f>IF('ORDENES'!$A519="","",IF('ORDENES'!$AA519="","-",'ORDENES'!$AA519))</f>
        <v/>
      </c>
      <c r="E541" s="24">
        <f>IF('ORDENES'!$A519="","",IF('ORDENES'!$Y519="","-",'ORDENES'!$Y519))</f>
        <v/>
      </c>
      <c r="F541" s="24">
        <f>IF('ORDENES'!$A519="","",IF('ORDENES'!$AB519="","-",'ORDENES'!$AB519))</f>
        <v/>
      </c>
      <c r="G541" s="24">
        <f>IF('ORDENES'!$A519="","",IF('ORDENES'!$Z519="","-",'ORDENES'!$Z519))</f>
        <v/>
      </c>
      <c r="H541" s="24">
        <f>IF('ORDENES'!$A519="","",IF('ORDENES'!$AH519="","-",'ORDENES'!$AH519))</f>
        <v/>
      </c>
      <c r="I541" s="24">
        <f>IF('ORDENES'!$A519="","",IF('ORDENES'!$AU519="","-",'ORDENES'!$AU519))</f>
        <v/>
      </c>
      <c r="J541" s="24">
        <f>IF('ORDENES'!$A519="","",IF('ORDENES'!$D519="","-",'ORDENES'!$D519))</f>
        <v/>
      </c>
      <c r="K541" s="24">
        <f>IF('ORDENES'!$A519="","",IF('ORDENES'!$E519="","-",'ORDENES'!$E519))</f>
        <v/>
      </c>
      <c r="L541" s="26">
        <f>IF('ORDENES'!$A519="","",IF('ORDENES'!$M519="",0,'ORDENES'!$M519))</f>
        <v/>
      </c>
      <c r="M541" s="24">
        <f>IF('ORDENES'!$A519="","",IF('ORDENES'!$N519="","-",'ORDENES'!$N519))</f>
        <v/>
      </c>
      <c r="N541" s="24">
        <f>IF('ORDENES'!$A519="","",'ORDENES'!$AG519)</f>
        <v/>
      </c>
    </row>
    <row r="542">
      <c r="A542" s="24">
        <f>IF('ORDENES'!$A520="","",IF('ORDENES'!$O520="","-",'ORDENES'!$O520))</f>
        <v/>
      </c>
      <c r="B542" s="24">
        <f>IF('ORDENES'!$A520="","",IF('ORDENES'!$S520="","-",'ORDENES'!$S520))</f>
        <v/>
      </c>
      <c r="C542" s="24">
        <f>IF('ORDENES'!$A520="","",IF('ORDENES'!$AI520="","-",'ORDENES'!$AI520))</f>
        <v/>
      </c>
      <c r="D542" s="24">
        <f>IF('ORDENES'!$A520="","",IF('ORDENES'!$AA520="","-",'ORDENES'!$AA520))</f>
        <v/>
      </c>
      <c r="E542" s="24">
        <f>IF('ORDENES'!$A520="","",IF('ORDENES'!$Y520="","-",'ORDENES'!$Y520))</f>
        <v/>
      </c>
      <c r="F542" s="24">
        <f>IF('ORDENES'!$A520="","",IF('ORDENES'!$AB520="","-",'ORDENES'!$AB520))</f>
        <v/>
      </c>
      <c r="G542" s="24">
        <f>IF('ORDENES'!$A520="","",IF('ORDENES'!$Z520="","-",'ORDENES'!$Z520))</f>
        <v/>
      </c>
      <c r="H542" s="24">
        <f>IF('ORDENES'!$A520="","",IF('ORDENES'!$AH520="","-",'ORDENES'!$AH520))</f>
        <v/>
      </c>
      <c r="I542" s="24">
        <f>IF('ORDENES'!$A520="","",IF('ORDENES'!$AU520="","-",'ORDENES'!$AU520))</f>
        <v/>
      </c>
      <c r="J542" s="24">
        <f>IF('ORDENES'!$A520="","",IF('ORDENES'!$D520="","-",'ORDENES'!$D520))</f>
        <v/>
      </c>
      <c r="K542" s="24">
        <f>IF('ORDENES'!$A520="","",IF('ORDENES'!$E520="","-",'ORDENES'!$E520))</f>
        <v/>
      </c>
      <c r="L542" s="26">
        <f>IF('ORDENES'!$A520="","",IF('ORDENES'!$M520="",0,'ORDENES'!$M520))</f>
        <v/>
      </c>
      <c r="M542" s="24">
        <f>IF('ORDENES'!$A520="","",IF('ORDENES'!$N520="","-",'ORDENES'!$N520))</f>
        <v/>
      </c>
      <c r="N542" s="24">
        <f>IF('ORDENES'!$A520="","",'ORDENES'!$AG520)</f>
        <v/>
      </c>
    </row>
    <row r="543">
      <c r="A543" s="24">
        <f>IF('ORDENES'!$A521="","",IF('ORDENES'!$O521="","-",'ORDENES'!$O521))</f>
        <v/>
      </c>
      <c r="B543" s="24">
        <f>IF('ORDENES'!$A521="","",IF('ORDENES'!$S521="","-",'ORDENES'!$S521))</f>
        <v/>
      </c>
      <c r="C543" s="24">
        <f>IF('ORDENES'!$A521="","",IF('ORDENES'!$AI521="","-",'ORDENES'!$AI521))</f>
        <v/>
      </c>
      <c r="D543" s="24">
        <f>IF('ORDENES'!$A521="","",IF('ORDENES'!$AA521="","-",'ORDENES'!$AA521))</f>
        <v/>
      </c>
      <c r="E543" s="24">
        <f>IF('ORDENES'!$A521="","",IF('ORDENES'!$Y521="","-",'ORDENES'!$Y521))</f>
        <v/>
      </c>
      <c r="F543" s="24">
        <f>IF('ORDENES'!$A521="","",IF('ORDENES'!$AB521="","-",'ORDENES'!$AB521))</f>
        <v/>
      </c>
      <c r="G543" s="24">
        <f>IF('ORDENES'!$A521="","",IF('ORDENES'!$Z521="","-",'ORDENES'!$Z521))</f>
        <v/>
      </c>
      <c r="H543" s="24">
        <f>IF('ORDENES'!$A521="","",IF('ORDENES'!$AH521="","-",'ORDENES'!$AH521))</f>
        <v/>
      </c>
      <c r="I543" s="24">
        <f>IF('ORDENES'!$A521="","",IF('ORDENES'!$AU521="","-",'ORDENES'!$AU521))</f>
        <v/>
      </c>
      <c r="J543" s="24">
        <f>IF('ORDENES'!$A521="","",IF('ORDENES'!$D521="","-",'ORDENES'!$D521))</f>
        <v/>
      </c>
      <c r="K543" s="24">
        <f>IF('ORDENES'!$A521="","",IF('ORDENES'!$E521="","-",'ORDENES'!$E521))</f>
        <v/>
      </c>
      <c r="L543" s="26">
        <f>IF('ORDENES'!$A521="","",IF('ORDENES'!$M521="",0,'ORDENES'!$M521))</f>
        <v/>
      </c>
      <c r="M543" s="24">
        <f>IF('ORDENES'!$A521="","",IF('ORDENES'!$N521="","-",'ORDENES'!$N521))</f>
        <v/>
      </c>
      <c r="N543" s="24">
        <f>IF('ORDENES'!$A521="","",'ORDENES'!$AG521)</f>
        <v/>
      </c>
    </row>
    <row r="544">
      <c r="A544" s="24">
        <f>IF('ORDENES'!$A522="","",IF('ORDENES'!$O522="","-",'ORDENES'!$O522))</f>
        <v/>
      </c>
      <c r="B544" s="24">
        <f>IF('ORDENES'!$A522="","",IF('ORDENES'!$S522="","-",'ORDENES'!$S522))</f>
        <v/>
      </c>
      <c r="C544" s="24">
        <f>IF('ORDENES'!$A522="","",IF('ORDENES'!$AI522="","-",'ORDENES'!$AI522))</f>
        <v/>
      </c>
      <c r="D544" s="24">
        <f>IF('ORDENES'!$A522="","",IF('ORDENES'!$AA522="","-",'ORDENES'!$AA522))</f>
        <v/>
      </c>
      <c r="E544" s="24">
        <f>IF('ORDENES'!$A522="","",IF('ORDENES'!$Y522="","-",'ORDENES'!$Y522))</f>
        <v/>
      </c>
      <c r="F544" s="24">
        <f>IF('ORDENES'!$A522="","",IF('ORDENES'!$AB522="","-",'ORDENES'!$AB522))</f>
        <v/>
      </c>
      <c r="G544" s="24">
        <f>IF('ORDENES'!$A522="","",IF('ORDENES'!$Z522="","-",'ORDENES'!$Z522))</f>
        <v/>
      </c>
      <c r="H544" s="24">
        <f>IF('ORDENES'!$A522="","",IF('ORDENES'!$AH522="","-",'ORDENES'!$AH522))</f>
        <v/>
      </c>
      <c r="I544" s="24">
        <f>IF('ORDENES'!$A522="","",IF('ORDENES'!$AU522="","-",'ORDENES'!$AU522))</f>
        <v/>
      </c>
      <c r="J544" s="24">
        <f>IF('ORDENES'!$A522="","",IF('ORDENES'!$D522="","-",'ORDENES'!$D522))</f>
        <v/>
      </c>
      <c r="K544" s="24">
        <f>IF('ORDENES'!$A522="","",IF('ORDENES'!$E522="","-",'ORDENES'!$E522))</f>
        <v/>
      </c>
      <c r="L544" s="26">
        <f>IF('ORDENES'!$A522="","",IF('ORDENES'!$M522="",0,'ORDENES'!$M522))</f>
        <v/>
      </c>
      <c r="M544" s="24">
        <f>IF('ORDENES'!$A522="","",IF('ORDENES'!$N522="","-",'ORDENES'!$N522))</f>
        <v/>
      </c>
      <c r="N544" s="24">
        <f>IF('ORDENES'!$A522="","",'ORDENES'!$AG522)</f>
        <v/>
      </c>
    </row>
    <row r="545">
      <c r="A545" s="24">
        <f>IF('ORDENES'!$A523="","",IF('ORDENES'!$O523="","-",'ORDENES'!$O523))</f>
        <v/>
      </c>
      <c r="B545" s="24">
        <f>IF('ORDENES'!$A523="","",IF('ORDENES'!$S523="","-",'ORDENES'!$S523))</f>
        <v/>
      </c>
      <c r="C545" s="24">
        <f>IF('ORDENES'!$A523="","",IF('ORDENES'!$AI523="","-",'ORDENES'!$AI523))</f>
        <v/>
      </c>
      <c r="D545" s="24">
        <f>IF('ORDENES'!$A523="","",IF('ORDENES'!$AA523="","-",'ORDENES'!$AA523))</f>
        <v/>
      </c>
      <c r="E545" s="24">
        <f>IF('ORDENES'!$A523="","",IF('ORDENES'!$Y523="","-",'ORDENES'!$Y523))</f>
        <v/>
      </c>
      <c r="F545" s="24">
        <f>IF('ORDENES'!$A523="","",IF('ORDENES'!$AB523="","-",'ORDENES'!$AB523))</f>
        <v/>
      </c>
      <c r="G545" s="24">
        <f>IF('ORDENES'!$A523="","",IF('ORDENES'!$Z523="","-",'ORDENES'!$Z523))</f>
        <v/>
      </c>
      <c r="H545" s="24">
        <f>IF('ORDENES'!$A523="","",IF('ORDENES'!$AH523="","-",'ORDENES'!$AH523))</f>
        <v/>
      </c>
      <c r="I545" s="24">
        <f>IF('ORDENES'!$A523="","",IF('ORDENES'!$AU523="","-",'ORDENES'!$AU523))</f>
        <v/>
      </c>
      <c r="J545" s="24">
        <f>IF('ORDENES'!$A523="","",IF('ORDENES'!$D523="","-",'ORDENES'!$D523))</f>
        <v/>
      </c>
      <c r="K545" s="24">
        <f>IF('ORDENES'!$A523="","",IF('ORDENES'!$E523="","-",'ORDENES'!$E523))</f>
        <v/>
      </c>
      <c r="L545" s="26">
        <f>IF('ORDENES'!$A523="","",IF('ORDENES'!$M523="",0,'ORDENES'!$M523))</f>
        <v/>
      </c>
      <c r="M545" s="24">
        <f>IF('ORDENES'!$A523="","",IF('ORDENES'!$N523="","-",'ORDENES'!$N523))</f>
        <v/>
      </c>
      <c r="N545" s="24">
        <f>IF('ORDENES'!$A523="","",'ORDENES'!$AG523)</f>
        <v/>
      </c>
    </row>
    <row r="546">
      <c r="A546" s="24">
        <f>IF('ORDENES'!$A524="","",IF('ORDENES'!$O524="","-",'ORDENES'!$O524))</f>
        <v/>
      </c>
      <c r="B546" s="24">
        <f>IF('ORDENES'!$A524="","",IF('ORDENES'!$S524="","-",'ORDENES'!$S524))</f>
        <v/>
      </c>
      <c r="C546" s="24">
        <f>IF('ORDENES'!$A524="","",IF('ORDENES'!$AI524="","-",'ORDENES'!$AI524))</f>
        <v/>
      </c>
      <c r="D546" s="24">
        <f>IF('ORDENES'!$A524="","",IF('ORDENES'!$AA524="","-",'ORDENES'!$AA524))</f>
        <v/>
      </c>
      <c r="E546" s="24">
        <f>IF('ORDENES'!$A524="","",IF('ORDENES'!$Y524="","-",'ORDENES'!$Y524))</f>
        <v/>
      </c>
      <c r="F546" s="24">
        <f>IF('ORDENES'!$A524="","",IF('ORDENES'!$AB524="","-",'ORDENES'!$AB524))</f>
        <v/>
      </c>
      <c r="G546" s="24">
        <f>IF('ORDENES'!$A524="","",IF('ORDENES'!$Z524="","-",'ORDENES'!$Z524))</f>
        <v/>
      </c>
      <c r="H546" s="24">
        <f>IF('ORDENES'!$A524="","",IF('ORDENES'!$AH524="","-",'ORDENES'!$AH524))</f>
        <v/>
      </c>
      <c r="I546" s="24">
        <f>IF('ORDENES'!$A524="","",IF('ORDENES'!$AU524="","-",'ORDENES'!$AU524))</f>
        <v/>
      </c>
      <c r="J546" s="24">
        <f>IF('ORDENES'!$A524="","",IF('ORDENES'!$D524="","-",'ORDENES'!$D524))</f>
        <v/>
      </c>
      <c r="K546" s="24">
        <f>IF('ORDENES'!$A524="","",IF('ORDENES'!$E524="","-",'ORDENES'!$E524))</f>
        <v/>
      </c>
      <c r="L546" s="26">
        <f>IF('ORDENES'!$A524="","",IF('ORDENES'!$M524="",0,'ORDENES'!$M524))</f>
        <v/>
      </c>
      <c r="M546" s="24">
        <f>IF('ORDENES'!$A524="","",IF('ORDENES'!$N524="","-",'ORDENES'!$N524))</f>
        <v/>
      </c>
      <c r="N546" s="24">
        <f>IF('ORDENES'!$A524="","",'ORDENES'!$AG524)</f>
        <v/>
      </c>
    </row>
    <row r="547">
      <c r="A547" s="24">
        <f>IF('ORDENES'!$A525="","",IF('ORDENES'!$O525="","-",'ORDENES'!$O525))</f>
        <v/>
      </c>
      <c r="B547" s="24">
        <f>IF('ORDENES'!$A525="","",IF('ORDENES'!$S525="","-",'ORDENES'!$S525))</f>
        <v/>
      </c>
      <c r="C547" s="24">
        <f>IF('ORDENES'!$A525="","",IF('ORDENES'!$AI525="","-",'ORDENES'!$AI525))</f>
        <v/>
      </c>
      <c r="D547" s="24">
        <f>IF('ORDENES'!$A525="","",IF('ORDENES'!$AA525="","-",'ORDENES'!$AA525))</f>
        <v/>
      </c>
      <c r="E547" s="24">
        <f>IF('ORDENES'!$A525="","",IF('ORDENES'!$Y525="","-",'ORDENES'!$Y525))</f>
        <v/>
      </c>
      <c r="F547" s="24">
        <f>IF('ORDENES'!$A525="","",IF('ORDENES'!$AB525="","-",'ORDENES'!$AB525))</f>
        <v/>
      </c>
      <c r="G547" s="24">
        <f>IF('ORDENES'!$A525="","",IF('ORDENES'!$Z525="","-",'ORDENES'!$Z525))</f>
        <v/>
      </c>
      <c r="H547" s="24">
        <f>IF('ORDENES'!$A525="","",IF('ORDENES'!$AH525="","-",'ORDENES'!$AH525))</f>
        <v/>
      </c>
      <c r="I547" s="24">
        <f>IF('ORDENES'!$A525="","",IF('ORDENES'!$AU525="","-",'ORDENES'!$AU525))</f>
        <v/>
      </c>
      <c r="J547" s="24">
        <f>IF('ORDENES'!$A525="","",IF('ORDENES'!$D525="","-",'ORDENES'!$D525))</f>
        <v/>
      </c>
      <c r="K547" s="24">
        <f>IF('ORDENES'!$A525="","",IF('ORDENES'!$E525="","-",'ORDENES'!$E525))</f>
        <v/>
      </c>
      <c r="L547" s="26">
        <f>IF('ORDENES'!$A525="","",IF('ORDENES'!$M525="",0,'ORDENES'!$M525))</f>
        <v/>
      </c>
      <c r="M547" s="24">
        <f>IF('ORDENES'!$A525="","",IF('ORDENES'!$N525="","-",'ORDENES'!$N525))</f>
        <v/>
      </c>
      <c r="N547" s="24">
        <f>IF('ORDENES'!$A525="","",'ORDENES'!$AG525)</f>
        <v/>
      </c>
    </row>
    <row r="548">
      <c r="A548" s="24">
        <f>IF('ORDENES'!$A526="","",IF('ORDENES'!$O526="","-",'ORDENES'!$O526))</f>
        <v/>
      </c>
      <c r="B548" s="24">
        <f>IF('ORDENES'!$A526="","",IF('ORDENES'!$S526="","-",'ORDENES'!$S526))</f>
        <v/>
      </c>
      <c r="C548" s="24">
        <f>IF('ORDENES'!$A526="","",IF('ORDENES'!$AI526="","-",'ORDENES'!$AI526))</f>
        <v/>
      </c>
      <c r="D548" s="24">
        <f>IF('ORDENES'!$A526="","",IF('ORDENES'!$AA526="","-",'ORDENES'!$AA526))</f>
        <v/>
      </c>
      <c r="E548" s="24">
        <f>IF('ORDENES'!$A526="","",IF('ORDENES'!$Y526="","-",'ORDENES'!$Y526))</f>
        <v/>
      </c>
      <c r="F548" s="24">
        <f>IF('ORDENES'!$A526="","",IF('ORDENES'!$AB526="","-",'ORDENES'!$AB526))</f>
        <v/>
      </c>
      <c r="G548" s="24">
        <f>IF('ORDENES'!$A526="","",IF('ORDENES'!$Z526="","-",'ORDENES'!$Z526))</f>
        <v/>
      </c>
      <c r="H548" s="24">
        <f>IF('ORDENES'!$A526="","",IF('ORDENES'!$AH526="","-",'ORDENES'!$AH526))</f>
        <v/>
      </c>
      <c r="I548" s="24">
        <f>IF('ORDENES'!$A526="","",IF('ORDENES'!$AU526="","-",'ORDENES'!$AU526))</f>
        <v/>
      </c>
      <c r="J548" s="24">
        <f>IF('ORDENES'!$A526="","",IF('ORDENES'!$D526="","-",'ORDENES'!$D526))</f>
        <v/>
      </c>
      <c r="K548" s="24">
        <f>IF('ORDENES'!$A526="","",IF('ORDENES'!$E526="","-",'ORDENES'!$E526))</f>
        <v/>
      </c>
      <c r="L548" s="26">
        <f>IF('ORDENES'!$A526="","",IF('ORDENES'!$M526="",0,'ORDENES'!$M526))</f>
        <v/>
      </c>
      <c r="M548" s="24">
        <f>IF('ORDENES'!$A526="","",IF('ORDENES'!$N526="","-",'ORDENES'!$N526))</f>
        <v/>
      </c>
      <c r="N548" s="24">
        <f>IF('ORDENES'!$A526="","",'ORDENES'!$AG526)</f>
        <v/>
      </c>
    </row>
    <row r="549">
      <c r="A549" s="24">
        <f>IF('ORDENES'!$A527="","",IF('ORDENES'!$O527="","-",'ORDENES'!$O527))</f>
        <v/>
      </c>
      <c r="B549" s="24">
        <f>IF('ORDENES'!$A527="","",IF('ORDENES'!$S527="","-",'ORDENES'!$S527))</f>
        <v/>
      </c>
      <c r="C549" s="24">
        <f>IF('ORDENES'!$A527="","",IF('ORDENES'!$AI527="","-",'ORDENES'!$AI527))</f>
        <v/>
      </c>
      <c r="D549" s="24">
        <f>IF('ORDENES'!$A527="","",IF('ORDENES'!$AA527="","-",'ORDENES'!$AA527))</f>
        <v/>
      </c>
      <c r="E549" s="24">
        <f>IF('ORDENES'!$A527="","",IF('ORDENES'!$Y527="","-",'ORDENES'!$Y527))</f>
        <v/>
      </c>
      <c r="F549" s="24">
        <f>IF('ORDENES'!$A527="","",IF('ORDENES'!$AB527="","-",'ORDENES'!$AB527))</f>
        <v/>
      </c>
      <c r="G549" s="24">
        <f>IF('ORDENES'!$A527="","",IF('ORDENES'!$Z527="","-",'ORDENES'!$Z527))</f>
        <v/>
      </c>
      <c r="H549" s="24">
        <f>IF('ORDENES'!$A527="","",IF('ORDENES'!$AH527="","-",'ORDENES'!$AH527))</f>
        <v/>
      </c>
      <c r="I549" s="24">
        <f>IF('ORDENES'!$A527="","",IF('ORDENES'!$AU527="","-",'ORDENES'!$AU527))</f>
        <v/>
      </c>
      <c r="J549" s="24">
        <f>IF('ORDENES'!$A527="","",IF('ORDENES'!$D527="","-",'ORDENES'!$D527))</f>
        <v/>
      </c>
      <c r="K549" s="24">
        <f>IF('ORDENES'!$A527="","",IF('ORDENES'!$E527="","-",'ORDENES'!$E527))</f>
        <v/>
      </c>
      <c r="L549" s="26">
        <f>IF('ORDENES'!$A527="","",IF('ORDENES'!$M527="",0,'ORDENES'!$M527))</f>
        <v/>
      </c>
      <c r="M549" s="24">
        <f>IF('ORDENES'!$A527="","",IF('ORDENES'!$N527="","-",'ORDENES'!$N527))</f>
        <v/>
      </c>
      <c r="N549" s="24">
        <f>IF('ORDENES'!$A527="","",'ORDENES'!$AG527)</f>
        <v/>
      </c>
    </row>
    <row r="550">
      <c r="A550" s="24">
        <f>IF('ORDENES'!$A528="","",IF('ORDENES'!$O528="","-",'ORDENES'!$O528))</f>
        <v/>
      </c>
      <c r="B550" s="24">
        <f>IF('ORDENES'!$A528="","",IF('ORDENES'!$S528="","-",'ORDENES'!$S528))</f>
        <v/>
      </c>
      <c r="C550" s="24">
        <f>IF('ORDENES'!$A528="","",IF('ORDENES'!$AI528="","-",'ORDENES'!$AI528))</f>
        <v/>
      </c>
      <c r="D550" s="24">
        <f>IF('ORDENES'!$A528="","",IF('ORDENES'!$AA528="","-",'ORDENES'!$AA528))</f>
        <v/>
      </c>
      <c r="E550" s="24">
        <f>IF('ORDENES'!$A528="","",IF('ORDENES'!$Y528="","-",'ORDENES'!$Y528))</f>
        <v/>
      </c>
      <c r="F550" s="24">
        <f>IF('ORDENES'!$A528="","",IF('ORDENES'!$AB528="","-",'ORDENES'!$AB528))</f>
        <v/>
      </c>
      <c r="G550" s="24">
        <f>IF('ORDENES'!$A528="","",IF('ORDENES'!$Z528="","-",'ORDENES'!$Z528))</f>
        <v/>
      </c>
      <c r="H550" s="24">
        <f>IF('ORDENES'!$A528="","",IF('ORDENES'!$AH528="","-",'ORDENES'!$AH528))</f>
        <v/>
      </c>
      <c r="I550" s="24">
        <f>IF('ORDENES'!$A528="","",IF('ORDENES'!$AU528="","-",'ORDENES'!$AU528))</f>
        <v/>
      </c>
      <c r="J550" s="24">
        <f>IF('ORDENES'!$A528="","",IF('ORDENES'!$D528="","-",'ORDENES'!$D528))</f>
        <v/>
      </c>
      <c r="K550" s="24">
        <f>IF('ORDENES'!$A528="","",IF('ORDENES'!$E528="","-",'ORDENES'!$E528))</f>
        <v/>
      </c>
      <c r="L550" s="26">
        <f>IF('ORDENES'!$A528="","",IF('ORDENES'!$M528="",0,'ORDENES'!$M528))</f>
        <v/>
      </c>
      <c r="M550" s="24">
        <f>IF('ORDENES'!$A528="","",IF('ORDENES'!$N528="","-",'ORDENES'!$N528))</f>
        <v/>
      </c>
      <c r="N550" s="24">
        <f>IF('ORDENES'!$A528="","",'ORDENES'!$AG528)</f>
        <v/>
      </c>
    </row>
    <row r="551">
      <c r="A551" s="24">
        <f>IF('ORDENES'!$A529="","",IF('ORDENES'!$O529="","-",'ORDENES'!$O529))</f>
        <v/>
      </c>
      <c r="B551" s="24">
        <f>IF('ORDENES'!$A529="","",IF('ORDENES'!$S529="","-",'ORDENES'!$S529))</f>
        <v/>
      </c>
      <c r="C551" s="24">
        <f>IF('ORDENES'!$A529="","",IF('ORDENES'!$AI529="","-",'ORDENES'!$AI529))</f>
        <v/>
      </c>
      <c r="D551" s="24">
        <f>IF('ORDENES'!$A529="","",IF('ORDENES'!$AA529="","-",'ORDENES'!$AA529))</f>
        <v/>
      </c>
      <c r="E551" s="24">
        <f>IF('ORDENES'!$A529="","",IF('ORDENES'!$Y529="","-",'ORDENES'!$Y529))</f>
        <v/>
      </c>
      <c r="F551" s="24">
        <f>IF('ORDENES'!$A529="","",IF('ORDENES'!$AB529="","-",'ORDENES'!$AB529))</f>
        <v/>
      </c>
      <c r="G551" s="24">
        <f>IF('ORDENES'!$A529="","",IF('ORDENES'!$Z529="","-",'ORDENES'!$Z529))</f>
        <v/>
      </c>
      <c r="H551" s="24">
        <f>IF('ORDENES'!$A529="","",IF('ORDENES'!$AH529="","-",'ORDENES'!$AH529))</f>
        <v/>
      </c>
      <c r="I551" s="24">
        <f>IF('ORDENES'!$A529="","",IF('ORDENES'!$AU529="","-",'ORDENES'!$AU529))</f>
        <v/>
      </c>
      <c r="J551" s="24">
        <f>IF('ORDENES'!$A529="","",IF('ORDENES'!$D529="","-",'ORDENES'!$D529))</f>
        <v/>
      </c>
      <c r="K551" s="24">
        <f>IF('ORDENES'!$A529="","",IF('ORDENES'!$E529="","-",'ORDENES'!$E529))</f>
        <v/>
      </c>
      <c r="L551" s="26">
        <f>IF('ORDENES'!$A529="","",IF('ORDENES'!$M529="",0,'ORDENES'!$M529))</f>
        <v/>
      </c>
      <c r="M551" s="24">
        <f>IF('ORDENES'!$A529="","",IF('ORDENES'!$N529="","-",'ORDENES'!$N529))</f>
        <v/>
      </c>
      <c r="N551" s="24">
        <f>IF('ORDENES'!$A529="","",'ORDENES'!$AG529)</f>
        <v/>
      </c>
    </row>
    <row r="552">
      <c r="A552" s="24">
        <f>IF('ORDENES'!$A530="","",IF('ORDENES'!$O530="","-",'ORDENES'!$O530))</f>
        <v/>
      </c>
      <c r="B552" s="24">
        <f>IF('ORDENES'!$A530="","",IF('ORDENES'!$S530="","-",'ORDENES'!$S530))</f>
        <v/>
      </c>
      <c r="C552" s="24">
        <f>IF('ORDENES'!$A530="","",IF('ORDENES'!$AI530="","-",'ORDENES'!$AI530))</f>
        <v/>
      </c>
      <c r="D552" s="24">
        <f>IF('ORDENES'!$A530="","",IF('ORDENES'!$AA530="","-",'ORDENES'!$AA530))</f>
        <v/>
      </c>
      <c r="E552" s="24">
        <f>IF('ORDENES'!$A530="","",IF('ORDENES'!$Y530="","-",'ORDENES'!$Y530))</f>
        <v/>
      </c>
      <c r="F552" s="24">
        <f>IF('ORDENES'!$A530="","",IF('ORDENES'!$AB530="","-",'ORDENES'!$AB530))</f>
        <v/>
      </c>
      <c r="G552" s="24">
        <f>IF('ORDENES'!$A530="","",IF('ORDENES'!$Z530="","-",'ORDENES'!$Z530))</f>
        <v/>
      </c>
      <c r="H552" s="24">
        <f>IF('ORDENES'!$A530="","",IF('ORDENES'!$AH530="","-",'ORDENES'!$AH530))</f>
        <v/>
      </c>
      <c r="I552" s="24">
        <f>IF('ORDENES'!$A530="","",IF('ORDENES'!$AU530="","-",'ORDENES'!$AU530))</f>
        <v/>
      </c>
      <c r="J552" s="24">
        <f>IF('ORDENES'!$A530="","",IF('ORDENES'!$D530="","-",'ORDENES'!$D530))</f>
        <v/>
      </c>
      <c r="K552" s="24">
        <f>IF('ORDENES'!$A530="","",IF('ORDENES'!$E530="","-",'ORDENES'!$E530))</f>
        <v/>
      </c>
      <c r="L552" s="26">
        <f>IF('ORDENES'!$A530="","",IF('ORDENES'!$M530="",0,'ORDENES'!$M530))</f>
        <v/>
      </c>
      <c r="M552" s="24">
        <f>IF('ORDENES'!$A530="","",IF('ORDENES'!$N530="","-",'ORDENES'!$N530))</f>
        <v/>
      </c>
      <c r="N552" s="24">
        <f>IF('ORDENES'!$A530="","",'ORDENES'!$AG530)</f>
        <v/>
      </c>
    </row>
    <row r="553">
      <c r="A553" s="24">
        <f>IF('ORDENES'!$A531="","",IF('ORDENES'!$O531="","-",'ORDENES'!$O531))</f>
        <v/>
      </c>
      <c r="B553" s="24">
        <f>IF('ORDENES'!$A531="","",IF('ORDENES'!$S531="","-",'ORDENES'!$S531))</f>
        <v/>
      </c>
      <c r="C553" s="24">
        <f>IF('ORDENES'!$A531="","",IF('ORDENES'!$AI531="","-",'ORDENES'!$AI531))</f>
        <v/>
      </c>
      <c r="D553" s="24">
        <f>IF('ORDENES'!$A531="","",IF('ORDENES'!$AA531="","-",'ORDENES'!$AA531))</f>
        <v/>
      </c>
      <c r="E553" s="24">
        <f>IF('ORDENES'!$A531="","",IF('ORDENES'!$Y531="","-",'ORDENES'!$Y531))</f>
        <v/>
      </c>
      <c r="F553" s="24">
        <f>IF('ORDENES'!$A531="","",IF('ORDENES'!$AB531="","-",'ORDENES'!$AB531))</f>
        <v/>
      </c>
      <c r="G553" s="24">
        <f>IF('ORDENES'!$A531="","",IF('ORDENES'!$Z531="","-",'ORDENES'!$Z531))</f>
        <v/>
      </c>
      <c r="H553" s="24">
        <f>IF('ORDENES'!$A531="","",IF('ORDENES'!$AH531="","-",'ORDENES'!$AH531))</f>
        <v/>
      </c>
      <c r="I553" s="24">
        <f>IF('ORDENES'!$A531="","",IF('ORDENES'!$AU531="","-",'ORDENES'!$AU531))</f>
        <v/>
      </c>
      <c r="J553" s="24">
        <f>IF('ORDENES'!$A531="","",IF('ORDENES'!$D531="","-",'ORDENES'!$D531))</f>
        <v/>
      </c>
      <c r="K553" s="24">
        <f>IF('ORDENES'!$A531="","",IF('ORDENES'!$E531="","-",'ORDENES'!$E531))</f>
        <v/>
      </c>
      <c r="L553" s="26">
        <f>IF('ORDENES'!$A531="","",IF('ORDENES'!$M531="",0,'ORDENES'!$M531))</f>
        <v/>
      </c>
      <c r="M553" s="24">
        <f>IF('ORDENES'!$A531="","",IF('ORDENES'!$N531="","-",'ORDENES'!$N531))</f>
        <v/>
      </c>
      <c r="N553" s="24">
        <f>IF('ORDENES'!$A531="","",'ORDENES'!$AG531)</f>
        <v/>
      </c>
    </row>
    <row r="554">
      <c r="A554" s="24">
        <f>IF('ORDENES'!$A532="","",IF('ORDENES'!$O532="","-",'ORDENES'!$O532))</f>
        <v/>
      </c>
      <c r="B554" s="24">
        <f>IF('ORDENES'!$A532="","",IF('ORDENES'!$S532="","-",'ORDENES'!$S532))</f>
        <v/>
      </c>
      <c r="C554" s="24">
        <f>IF('ORDENES'!$A532="","",IF('ORDENES'!$AI532="","-",'ORDENES'!$AI532))</f>
        <v/>
      </c>
      <c r="D554" s="24">
        <f>IF('ORDENES'!$A532="","",IF('ORDENES'!$AA532="","-",'ORDENES'!$AA532))</f>
        <v/>
      </c>
      <c r="E554" s="24">
        <f>IF('ORDENES'!$A532="","",IF('ORDENES'!$Y532="","-",'ORDENES'!$Y532))</f>
        <v/>
      </c>
      <c r="F554" s="24">
        <f>IF('ORDENES'!$A532="","",IF('ORDENES'!$AB532="","-",'ORDENES'!$AB532))</f>
        <v/>
      </c>
      <c r="G554" s="24">
        <f>IF('ORDENES'!$A532="","",IF('ORDENES'!$Z532="","-",'ORDENES'!$Z532))</f>
        <v/>
      </c>
      <c r="H554" s="24">
        <f>IF('ORDENES'!$A532="","",IF('ORDENES'!$AH532="","-",'ORDENES'!$AH532))</f>
        <v/>
      </c>
      <c r="I554" s="24">
        <f>IF('ORDENES'!$A532="","",IF('ORDENES'!$AU532="","-",'ORDENES'!$AU532))</f>
        <v/>
      </c>
      <c r="J554" s="24">
        <f>IF('ORDENES'!$A532="","",IF('ORDENES'!$D532="","-",'ORDENES'!$D532))</f>
        <v/>
      </c>
      <c r="K554" s="24">
        <f>IF('ORDENES'!$A532="","",IF('ORDENES'!$E532="","-",'ORDENES'!$E532))</f>
        <v/>
      </c>
      <c r="L554" s="26">
        <f>IF('ORDENES'!$A532="","",IF('ORDENES'!$M532="",0,'ORDENES'!$M532))</f>
        <v/>
      </c>
      <c r="M554" s="24">
        <f>IF('ORDENES'!$A532="","",IF('ORDENES'!$N532="","-",'ORDENES'!$N532))</f>
        <v/>
      </c>
      <c r="N554" s="24">
        <f>IF('ORDENES'!$A532="","",'ORDENES'!$AG532)</f>
        <v/>
      </c>
    </row>
    <row r="555">
      <c r="A555" s="24">
        <f>IF('ORDENES'!$A533="","",IF('ORDENES'!$O533="","-",'ORDENES'!$O533))</f>
        <v/>
      </c>
      <c r="B555" s="24">
        <f>IF('ORDENES'!$A533="","",IF('ORDENES'!$S533="","-",'ORDENES'!$S533))</f>
        <v/>
      </c>
      <c r="C555" s="24">
        <f>IF('ORDENES'!$A533="","",IF('ORDENES'!$AI533="","-",'ORDENES'!$AI533))</f>
        <v/>
      </c>
      <c r="D555" s="24">
        <f>IF('ORDENES'!$A533="","",IF('ORDENES'!$AA533="","-",'ORDENES'!$AA533))</f>
        <v/>
      </c>
      <c r="E555" s="24">
        <f>IF('ORDENES'!$A533="","",IF('ORDENES'!$Y533="","-",'ORDENES'!$Y533))</f>
        <v/>
      </c>
      <c r="F555" s="24">
        <f>IF('ORDENES'!$A533="","",IF('ORDENES'!$AB533="","-",'ORDENES'!$AB533))</f>
        <v/>
      </c>
      <c r="G555" s="24">
        <f>IF('ORDENES'!$A533="","",IF('ORDENES'!$Z533="","-",'ORDENES'!$Z533))</f>
        <v/>
      </c>
      <c r="H555" s="24">
        <f>IF('ORDENES'!$A533="","",IF('ORDENES'!$AH533="","-",'ORDENES'!$AH533))</f>
        <v/>
      </c>
      <c r="I555" s="24">
        <f>IF('ORDENES'!$A533="","",IF('ORDENES'!$AU533="","-",'ORDENES'!$AU533))</f>
        <v/>
      </c>
      <c r="J555" s="24">
        <f>IF('ORDENES'!$A533="","",IF('ORDENES'!$D533="","-",'ORDENES'!$D533))</f>
        <v/>
      </c>
      <c r="K555" s="24">
        <f>IF('ORDENES'!$A533="","",IF('ORDENES'!$E533="","-",'ORDENES'!$E533))</f>
        <v/>
      </c>
      <c r="L555" s="26">
        <f>IF('ORDENES'!$A533="","",IF('ORDENES'!$M533="",0,'ORDENES'!$M533))</f>
        <v/>
      </c>
      <c r="M555" s="24">
        <f>IF('ORDENES'!$A533="","",IF('ORDENES'!$N533="","-",'ORDENES'!$N533))</f>
        <v/>
      </c>
      <c r="N555" s="24">
        <f>IF('ORDENES'!$A533="","",'ORDENES'!$AG533)</f>
        <v/>
      </c>
    </row>
    <row r="556">
      <c r="A556" s="24">
        <f>IF('ORDENES'!$A534="","",IF('ORDENES'!$O534="","-",'ORDENES'!$O534))</f>
        <v/>
      </c>
      <c r="B556" s="24">
        <f>IF('ORDENES'!$A534="","",IF('ORDENES'!$S534="","-",'ORDENES'!$S534))</f>
        <v/>
      </c>
      <c r="C556" s="24">
        <f>IF('ORDENES'!$A534="","",IF('ORDENES'!$AI534="","-",'ORDENES'!$AI534))</f>
        <v/>
      </c>
      <c r="D556" s="24">
        <f>IF('ORDENES'!$A534="","",IF('ORDENES'!$AA534="","-",'ORDENES'!$AA534))</f>
        <v/>
      </c>
      <c r="E556" s="24">
        <f>IF('ORDENES'!$A534="","",IF('ORDENES'!$Y534="","-",'ORDENES'!$Y534))</f>
        <v/>
      </c>
      <c r="F556" s="24">
        <f>IF('ORDENES'!$A534="","",IF('ORDENES'!$AB534="","-",'ORDENES'!$AB534))</f>
        <v/>
      </c>
      <c r="G556" s="24">
        <f>IF('ORDENES'!$A534="","",IF('ORDENES'!$Z534="","-",'ORDENES'!$Z534))</f>
        <v/>
      </c>
      <c r="H556" s="24">
        <f>IF('ORDENES'!$A534="","",IF('ORDENES'!$AH534="","-",'ORDENES'!$AH534))</f>
        <v/>
      </c>
      <c r="I556" s="24">
        <f>IF('ORDENES'!$A534="","",IF('ORDENES'!$AU534="","-",'ORDENES'!$AU534))</f>
        <v/>
      </c>
      <c r="J556" s="24">
        <f>IF('ORDENES'!$A534="","",IF('ORDENES'!$D534="","-",'ORDENES'!$D534))</f>
        <v/>
      </c>
      <c r="K556" s="24">
        <f>IF('ORDENES'!$A534="","",IF('ORDENES'!$E534="","-",'ORDENES'!$E534))</f>
        <v/>
      </c>
      <c r="L556" s="26">
        <f>IF('ORDENES'!$A534="","",IF('ORDENES'!$M534="",0,'ORDENES'!$M534))</f>
        <v/>
      </c>
      <c r="M556" s="24">
        <f>IF('ORDENES'!$A534="","",IF('ORDENES'!$N534="","-",'ORDENES'!$N534))</f>
        <v/>
      </c>
      <c r="N556" s="24">
        <f>IF('ORDENES'!$A534="","",'ORDENES'!$AG534)</f>
        <v/>
      </c>
    </row>
    <row r="557">
      <c r="A557" s="24">
        <f>IF('ORDENES'!$A535="","",IF('ORDENES'!$O535="","-",'ORDENES'!$O535))</f>
        <v/>
      </c>
      <c r="B557" s="24">
        <f>IF('ORDENES'!$A535="","",IF('ORDENES'!$S535="","-",'ORDENES'!$S535))</f>
        <v/>
      </c>
      <c r="C557" s="24">
        <f>IF('ORDENES'!$A535="","",IF('ORDENES'!$AI535="","-",'ORDENES'!$AI535))</f>
        <v/>
      </c>
      <c r="D557" s="24">
        <f>IF('ORDENES'!$A535="","",IF('ORDENES'!$AA535="","-",'ORDENES'!$AA535))</f>
        <v/>
      </c>
      <c r="E557" s="24">
        <f>IF('ORDENES'!$A535="","",IF('ORDENES'!$Y535="","-",'ORDENES'!$Y535))</f>
        <v/>
      </c>
      <c r="F557" s="24">
        <f>IF('ORDENES'!$A535="","",IF('ORDENES'!$AB535="","-",'ORDENES'!$AB535))</f>
        <v/>
      </c>
      <c r="G557" s="24">
        <f>IF('ORDENES'!$A535="","",IF('ORDENES'!$Z535="","-",'ORDENES'!$Z535))</f>
        <v/>
      </c>
      <c r="H557" s="24">
        <f>IF('ORDENES'!$A535="","",IF('ORDENES'!$AH535="","-",'ORDENES'!$AH535))</f>
        <v/>
      </c>
      <c r="I557" s="24">
        <f>IF('ORDENES'!$A535="","",IF('ORDENES'!$AU535="","-",'ORDENES'!$AU535))</f>
        <v/>
      </c>
      <c r="J557" s="24">
        <f>IF('ORDENES'!$A535="","",IF('ORDENES'!$D535="","-",'ORDENES'!$D535))</f>
        <v/>
      </c>
      <c r="K557" s="24">
        <f>IF('ORDENES'!$A535="","",IF('ORDENES'!$E535="","-",'ORDENES'!$E535))</f>
        <v/>
      </c>
      <c r="L557" s="26">
        <f>IF('ORDENES'!$A535="","",IF('ORDENES'!$M535="",0,'ORDENES'!$M535))</f>
        <v/>
      </c>
      <c r="M557" s="24">
        <f>IF('ORDENES'!$A535="","",IF('ORDENES'!$N535="","-",'ORDENES'!$N535))</f>
        <v/>
      </c>
      <c r="N557" s="24">
        <f>IF('ORDENES'!$A535="","",'ORDENES'!$AG535)</f>
        <v/>
      </c>
    </row>
    <row r="558">
      <c r="A558" s="24">
        <f>IF('ORDENES'!$A536="","",IF('ORDENES'!$O536="","-",'ORDENES'!$O536))</f>
        <v/>
      </c>
      <c r="B558" s="24">
        <f>IF('ORDENES'!$A536="","",IF('ORDENES'!$S536="","-",'ORDENES'!$S536))</f>
        <v/>
      </c>
      <c r="C558" s="24">
        <f>IF('ORDENES'!$A536="","",IF('ORDENES'!$AI536="","-",'ORDENES'!$AI536))</f>
        <v/>
      </c>
      <c r="D558" s="24">
        <f>IF('ORDENES'!$A536="","",IF('ORDENES'!$AA536="","-",'ORDENES'!$AA536))</f>
        <v/>
      </c>
      <c r="E558" s="24">
        <f>IF('ORDENES'!$A536="","",IF('ORDENES'!$Y536="","-",'ORDENES'!$Y536))</f>
        <v/>
      </c>
      <c r="F558" s="24">
        <f>IF('ORDENES'!$A536="","",IF('ORDENES'!$AB536="","-",'ORDENES'!$AB536))</f>
        <v/>
      </c>
      <c r="G558" s="24">
        <f>IF('ORDENES'!$A536="","",IF('ORDENES'!$Z536="","-",'ORDENES'!$Z536))</f>
        <v/>
      </c>
      <c r="H558" s="24">
        <f>IF('ORDENES'!$A536="","",IF('ORDENES'!$AH536="","-",'ORDENES'!$AH536))</f>
        <v/>
      </c>
      <c r="I558" s="24">
        <f>IF('ORDENES'!$A536="","",IF('ORDENES'!$AU536="","-",'ORDENES'!$AU536))</f>
        <v/>
      </c>
      <c r="J558" s="24">
        <f>IF('ORDENES'!$A536="","",IF('ORDENES'!$D536="","-",'ORDENES'!$D536))</f>
        <v/>
      </c>
      <c r="K558" s="24">
        <f>IF('ORDENES'!$A536="","",IF('ORDENES'!$E536="","-",'ORDENES'!$E536))</f>
        <v/>
      </c>
      <c r="L558" s="26">
        <f>IF('ORDENES'!$A536="","",IF('ORDENES'!$M536="",0,'ORDENES'!$M536))</f>
        <v/>
      </c>
      <c r="M558" s="24">
        <f>IF('ORDENES'!$A536="","",IF('ORDENES'!$N536="","-",'ORDENES'!$N536))</f>
        <v/>
      </c>
      <c r="N558" s="24">
        <f>IF('ORDENES'!$A536="","",'ORDENES'!$AG536)</f>
        <v/>
      </c>
    </row>
    <row r="559">
      <c r="A559" s="24">
        <f>IF('ORDENES'!$A537="","",IF('ORDENES'!$O537="","-",'ORDENES'!$O537))</f>
        <v/>
      </c>
      <c r="B559" s="24">
        <f>IF('ORDENES'!$A537="","",IF('ORDENES'!$S537="","-",'ORDENES'!$S537))</f>
        <v/>
      </c>
      <c r="C559" s="24">
        <f>IF('ORDENES'!$A537="","",IF('ORDENES'!$AI537="","-",'ORDENES'!$AI537))</f>
        <v/>
      </c>
      <c r="D559" s="24">
        <f>IF('ORDENES'!$A537="","",IF('ORDENES'!$AA537="","-",'ORDENES'!$AA537))</f>
        <v/>
      </c>
      <c r="E559" s="24">
        <f>IF('ORDENES'!$A537="","",IF('ORDENES'!$Y537="","-",'ORDENES'!$Y537))</f>
        <v/>
      </c>
      <c r="F559" s="24">
        <f>IF('ORDENES'!$A537="","",IF('ORDENES'!$AB537="","-",'ORDENES'!$AB537))</f>
        <v/>
      </c>
      <c r="G559" s="24">
        <f>IF('ORDENES'!$A537="","",IF('ORDENES'!$Z537="","-",'ORDENES'!$Z537))</f>
        <v/>
      </c>
      <c r="H559" s="24">
        <f>IF('ORDENES'!$A537="","",IF('ORDENES'!$AH537="","-",'ORDENES'!$AH537))</f>
        <v/>
      </c>
      <c r="I559" s="24">
        <f>IF('ORDENES'!$A537="","",IF('ORDENES'!$AU537="","-",'ORDENES'!$AU537))</f>
        <v/>
      </c>
      <c r="J559" s="24">
        <f>IF('ORDENES'!$A537="","",IF('ORDENES'!$D537="","-",'ORDENES'!$D537))</f>
        <v/>
      </c>
      <c r="K559" s="24">
        <f>IF('ORDENES'!$A537="","",IF('ORDENES'!$E537="","-",'ORDENES'!$E537))</f>
        <v/>
      </c>
      <c r="L559" s="26">
        <f>IF('ORDENES'!$A537="","",IF('ORDENES'!$M537="",0,'ORDENES'!$M537))</f>
        <v/>
      </c>
      <c r="M559" s="24">
        <f>IF('ORDENES'!$A537="","",IF('ORDENES'!$N537="","-",'ORDENES'!$N537))</f>
        <v/>
      </c>
      <c r="N559" s="24">
        <f>IF('ORDENES'!$A537="","",'ORDENES'!$AG537)</f>
        <v/>
      </c>
    </row>
    <row r="560">
      <c r="A560" s="24">
        <f>IF('ORDENES'!$A538="","",IF('ORDENES'!$O538="","-",'ORDENES'!$O538))</f>
        <v/>
      </c>
      <c r="B560" s="24">
        <f>IF('ORDENES'!$A538="","",IF('ORDENES'!$S538="","-",'ORDENES'!$S538))</f>
        <v/>
      </c>
      <c r="C560" s="24">
        <f>IF('ORDENES'!$A538="","",IF('ORDENES'!$AI538="","-",'ORDENES'!$AI538))</f>
        <v/>
      </c>
      <c r="D560" s="24">
        <f>IF('ORDENES'!$A538="","",IF('ORDENES'!$AA538="","-",'ORDENES'!$AA538))</f>
        <v/>
      </c>
      <c r="E560" s="24">
        <f>IF('ORDENES'!$A538="","",IF('ORDENES'!$Y538="","-",'ORDENES'!$Y538))</f>
        <v/>
      </c>
      <c r="F560" s="24">
        <f>IF('ORDENES'!$A538="","",IF('ORDENES'!$AB538="","-",'ORDENES'!$AB538))</f>
        <v/>
      </c>
      <c r="G560" s="24">
        <f>IF('ORDENES'!$A538="","",IF('ORDENES'!$Z538="","-",'ORDENES'!$Z538))</f>
        <v/>
      </c>
      <c r="H560" s="24">
        <f>IF('ORDENES'!$A538="","",IF('ORDENES'!$AH538="","-",'ORDENES'!$AH538))</f>
        <v/>
      </c>
      <c r="I560" s="24">
        <f>IF('ORDENES'!$A538="","",IF('ORDENES'!$AU538="","-",'ORDENES'!$AU538))</f>
        <v/>
      </c>
      <c r="J560" s="24">
        <f>IF('ORDENES'!$A538="","",IF('ORDENES'!$D538="","-",'ORDENES'!$D538))</f>
        <v/>
      </c>
      <c r="K560" s="24">
        <f>IF('ORDENES'!$A538="","",IF('ORDENES'!$E538="","-",'ORDENES'!$E538))</f>
        <v/>
      </c>
      <c r="L560" s="26">
        <f>IF('ORDENES'!$A538="","",IF('ORDENES'!$M538="",0,'ORDENES'!$M538))</f>
        <v/>
      </c>
      <c r="M560" s="24">
        <f>IF('ORDENES'!$A538="","",IF('ORDENES'!$N538="","-",'ORDENES'!$N538))</f>
        <v/>
      </c>
      <c r="N560" s="24">
        <f>IF('ORDENES'!$A538="","",'ORDENES'!$AG538)</f>
        <v/>
      </c>
    </row>
    <row r="561">
      <c r="A561" s="24">
        <f>IF('ORDENES'!$A539="","",IF('ORDENES'!$O539="","-",'ORDENES'!$O539))</f>
        <v/>
      </c>
      <c r="B561" s="24">
        <f>IF('ORDENES'!$A539="","",IF('ORDENES'!$S539="","-",'ORDENES'!$S539))</f>
        <v/>
      </c>
      <c r="C561" s="24">
        <f>IF('ORDENES'!$A539="","",IF('ORDENES'!$AI539="","-",'ORDENES'!$AI539))</f>
        <v/>
      </c>
      <c r="D561" s="24">
        <f>IF('ORDENES'!$A539="","",IF('ORDENES'!$AA539="","-",'ORDENES'!$AA539))</f>
        <v/>
      </c>
      <c r="E561" s="24">
        <f>IF('ORDENES'!$A539="","",IF('ORDENES'!$Y539="","-",'ORDENES'!$Y539))</f>
        <v/>
      </c>
      <c r="F561" s="24">
        <f>IF('ORDENES'!$A539="","",IF('ORDENES'!$AB539="","-",'ORDENES'!$AB539))</f>
        <v/>
      </c>
      <c r="G561" s="24">
        <f>IF('ORDENES'!$A539="","",IF('ORDENES'!$Z539="","-",'ORDENES'!$Z539))</f>
        <v/>
      </c>
      <c r="H561" s="24">
        <f>IF('ORDENES'!$A539="","",IF('ORDENES'!$AH539="","-",'ORDENES'!$AH539))</f>
        <v/>
      </c>
      <c r="I561" s="24">
        <f>IF('ORDENES'!$A539="","",IF('ORDENES'!$AU539="","-",'ORDENES'!$AU539))</f>
        <v/>
      </c>
      <c r="J561" s="24">
        <f>IF('ORDENES'!$A539="","",IF('ORDENES'!$D539="","-",'ORDENES'!$D539))</f>
        <v/>
      </c>
      <c r="K561" s="24">
        <f>IF('ORDENES'!$A539="","",IF('ORDENES'!$E539="","-",'ORDENES'!$E539))</f>
        <v/>
      </c>
      <c r="L561" s="26">
        <f>IF('ORDENES'!$A539="","",IF('ORDENES'!$M539="",0,'ORDENES'!$M539))</f>
        <v/>
      </c>
      <c r="M561" s="24">
        <f>IF('ORDENES'!$A539="","",IF('ORDENES'!$N539="","-",'ORDENES'!$N539))</f>
        <v/>
      </c>
      <c r="N561" s="24">
        <f>IF('ORDENES'!$A539="","",'ORDENES'!$AG539)</f>
        <v/>
      </c>
    </row>
    <row r="562">
      <c r="A562" s="24">
        <f>IF('ORDENES'!$A540="","",IF('ORDENES'!$O540="","-",'ORDENES'!$O540))</f>
        <v/>
      </c>
      <c r="B562" s="24">
        <f>IF('ORDENES'!$A540="","",IF('ORDENES'!$S540="","-",'ORDENES'!$S540))</f>
        <v/>
      </c>
      <c r="C562" s="24">
        <f>IF('ORDENES'!$A540="","",IF('ORDENES'!$AI540="","-",'ORDENES'!$AI540))</f>
        <v/>
      </c>
      <c r="D562" s="24">
        <f>IF('ORDENES'!$A540="","",IF('ORDENES'!$AA540="","-",'ORDENES'!$AA540))</f>
        <v/>
      </c>
      <c r="E562" s="24">
        <f>IF('ORDENES'!$A540="","",IF('ORDENES'!$Y540="","-",'ORDENES'!$Y540))</f>
        <v/>
      </c>
      <c r="F562" s="24">
        <f>IF('ORDENES'!$A540="","",IF('ORDENES'!$AB540="","-",'ORDENES'!$AB540))</f>
        <v/>
      </c>
      <c r="G562" s="24">
        <f>IF('ORDENES'!$A540="","",IF('ORDENES'!$Z540="","-",'ORDENES'!$Z540))</f>
        <v/>
      </c>
      <c r="H562" s="24">
        <f>IF('ORDENES'!$A540="","",IF('ORDENES'!$AH540="","-",'ORDENES'!$AH540))</f>
        <v/>
      </c>
      <c r="I562" s="24">
        <f>IF('ORDENES'!$A540="","",IF('ORDENES'!$AU540="","-",'ORDENES'!$AU540))</f>
        <v/>
      </c>
      <c r="J562" s="24">
        <f>IF('ORDENES'!$A540="","",IF('ORDENES'!$D540="","-",'ORDENES'!$D540))</f>
        <v/>
      </c>
      <c r="K562" s="24">
        <f>IF('ORDENES'!$A540="","",IF('ORDENES'!$E540="","-",'ORDENES'!$E540))</f>
        <v/>
      </c>
      <c r="L562" s="26">
        <f>IF('ORDENES'!$A540="","",IF('ORDENES'!$M540="",0,'ORDENES'!$M540))</f>
        <v/>
      </c>
      <c r="M562" s="24">
        <f>IF('ORDENES'!$A540="","",IF('ORDENES'!$N540="","-",'ORDENES'!$N540))</f>
        <v/>
      </c>
      <c r="N562" s="24">
        <f>IF('ORDENES'!$A540="","",'ORDENES'!$AG540)</f>
        <v/>
      </c>
    </row>
    <row r="563">
      <c r="A563" s="24">
        <f>IF('ORDENES'!$A541="","",IF('ORDENES'!$O541="","-",'ORDENES'!$O541))</f>
        <v/>
      </c>
      <c r="B563" s="24">
        <f>IF('ORDENES'!$A541="","",IF('ORDENES'!$S541="","-",'ORDENES'!$S541))</f>
        <v/>
      </c>
      <c r="C563" s="24">
        <f>IF('ORDENES'!$A541="","",IF('ORDENES'!$AI541="","-",'ORDENES'!$AI541))</f>
        <v/>
      </c>
      <c r="D563" s="24">
        <f>IF('ORDENES'!$A541="","",IF('ORDENES'!$AA541="","-",'ORDENES'!$AA541))</f>
        <v/>
      </c>
      <c r="E563" s="24">
        <f>IF('ORDENES'!$A541="","",IF('ORDENES'!$Y541="","-",'ORDENES'!$Y541))</f>
        <v/>
      </c>
      <c r="F563" s="24">
        <f>IF('ORDENES'!$A541="","",IF('ORDENES'!$AB541="","-",'ORDENES'!$AB541))</f>
        <v/>
      </c>
      <c r="G563" s="24">
        <f>IF('ORDENES'!$A541="","",IF('ORDENES'!$Z541="","-",'ORDENES'!$Z541))</f>
        <v/>
      </c>
      <c r="H563" s="24">
        <f>IF('ORDENES'!$A541="","",IF('ORDENES'!$AH541="","-",'ORDENES'!$AH541))</f>
        <v/>
      </c>
      <c r="I563" s="24">
        <f>IF('ORDENES'!$A541="","",IF('ORDENES'!$AU541="","-",'ORDENES'!$AU541))</f>
        <v/>
      </c>
      <c r="J563" s="24">
        <f>IF('ORDENES'!$A541="","",IF('ORDENES'!$D541="","-",'ORDENES'!$D541))</f>
        <v/>
      </c>
      <c r="K563" s="24">
        <f>IF('ORDENES'!$A541="","",IF('ORDENES'!$E541="","-",'ORDENES'!$E541))</f>
        <v/>
      </c>
      <c r="L563" s="26">
        <f>IF('ORDENES'!$A541="","",IF('ORDENES'!$M541="",0,'ORDENES'!$M541))</f>
        <v/>
      </c>
      <c r="M563" s="24">
        <f>IF('ORDENES'!$A541="","",IF('ORDENES'!$N541="","-",'ORDENES'!$N541))</f>
        <v/>
      </c>
      <c r="N563" s="24">
        <f>IF('ORDENES'!$A541="","",'ORDENES'!$AG541)</f>
        <v/>
      </c>
    </row>
    <row r="564">
      <c r="A564" s="24">
        <f>IF('ORDENES'!$A542="","",IF('ORDENES'!$O542="","-",'ORDENES'!$O542))</f>
        <v/>
      </c>
      <c r="B564" s="24">
        <f>IF('ORDENES'!$A542="","",IF('ORDENES'!$S542="","-",'ORDENES'!$S542))</f>
        <v/>
      </c>
      <c r="C564" s="24">
        <f>IF('ORDENES'!$A542="","",IF('ORDENES'!$AI542="","-",'ORDENES'!$AI542))</f>
        <v/>
      </c>
      <c r="D564" s="24">
        <f>IF('ORDENES'!$A542="","",IF('ORDENES'!$AA542="","-",'ORDENES'!$AA542))</f>
        <v/>
      </c>
      <c r="E564" s="24">
        <f>IF('ORDENES'!$A542="","",IF('ORDENES'!$Y542="","-",'ORDENES'!$Y542))</f>
        <v/>
      </c>
      <c r="F564" s="24">
        <f>IF('ORDENES'!$A542="","",IF('ORDENES'!$AB542="","-",'ORDENES'!$AB542))</f>
        <v/>
      </c>
      <c r="G564" s="24">
        <f>IF('ORDENES'!$A542="","",IF('ORDENES'!$Z542="","-",'ORDENES'!$Z542))</f>
        <v/>
      </c>
      <c r="H564" s="24">
        <f>IF('ORDENES'!$A542="","",IF('ORDENES'!$AH542="","-",'ORDENES'!$AH542))</f>
        <v/>
      </c>
      <c r="I564" s="24">
        <f>IF('ORDENES'!$A542="","",IF('ORDENES'!$AU542="","-",'ORDENES'!$AU542))</f>
        <v/>
      </c>
      <c r="J564" s="24">
        <f>IF('ORDENES'!$A542="","",IF('ORDENES'!$D542="","-",'ORDENES'!$D542))</f>
        <v/>
      </c>
      <c r="K564" s="24">
        <f>IF('ORDENES'!$A542="","",IF('ORDENES'!$E542="","-",'ORDENES'!$E542))</f>
        <v/>
      </c>
      <c r="L564" s="26">
        <f>IF('ORDENES'!$A542="","",IF('ORDENES'!$M542="",0,'ORDENES'!$M542))</f>
        <v/>
      </c>
      <c r="M564" s="24">
        <f>IF('ORDENES'!$A542="","",IF('ORDENES'!$N542="","-",'ORDENES'!$N542))</f>
        <v/>
      </c>
      <c r="N564" s="24">
        <f>IF('ORDENES'!$A542="","",'ORDENES'!$AG542)</f>
        <v/>
      </c>
    </row>
    <row r="565">
      <c r="A565" s="24">
        <f>IF('ORDENES'!$A543="","",IF('ORDENES'!$O543="","-",'ORDENES'!$O543))</f>
        <v/>
      </c>
      <c r="B565" s="24">
        <f>IF('ORDENES'!$A543="","",IF('ORDENES'!$S543="","-",'ORDENES'!$S543))</f>
        <v/>
      </c>
      <c r="C565" s="24">
        <f>IF('ORDENES'!$A543="","",IF('ORDENES'!$AI543="","-",'ORDENES'!$AI543))</f>
        <v/>
      </c>
      <c r="D565" s="24">
        <f>IF('ORDENES'!$A543="","",IF('ORDENES'!$AA543="","-",'ORDENES'!$AA543))</f>
        <v/>
      </c>
      <c r="E565" s="24">
        <f>IF('ORDENES'!$A543="","",IF('ORDENES'!$Y543="","-",'ORDENES'!$Y543))</f>
        <v/>
      </c>
      <c r="F565" s="24">
        <f>IF('ORDENES'!$A543="","",IF('ORDENES'!$AB543="","-",'ORDENES'!$AB543))</f>
        <v/>
      </c>
      <c r="G565" s="24">
        <f>IF('ORDENES'!$A543="","",IF('ORDENES'!$Z543="","-",'ORDENES'!$Z543))</f>
        <v/>
      </c>
      <c r="H565" s="24">
        <f>IF('ORDENES'!$A543="","",IF('ORDENES'!$AH543="","-",'ORDENES'!$AH543))</f>
        <v/>
      </c>
      <c r="I565" s="24">
        <f>IF('ORDENES'!$A543="","",IF('ORDENES'!$AU543="","-",'ORDENES'!$AU543))</f>
        <v/>
      </c>
      <c r="J565" s="24">
        <f>IF('ORDENES'!$A543="","",IF('ORDENES'!$D543="","-",'ORDENES'!$D543))</f>
        <v/>
      </c>
      <c r="K565" s="24">
        <f>IF('ORDENES'!$A543="","",IF('ORDENES'!$E543="","-",'ORDENES'!$E543))</f>
        <v/>
      </c>
      <c r="L565" s="26">
        <f>IF('ORDENES'!$A543="","",IF('ORDENES'!$M543="",0,'ORDENES'!$M543))</f>
        <v/>
      </c>
      <c r="M565" s="24">
        <f>IF('ORDENES'!$A543="","",IF('ORDENES'!$N543="","-",'ORDENES'!$N543))</f>
        <v/>
      </c>
      <c r="N565" s="24">
        <f>IF('ORDENES'!$A543="","",'ORDENES'!$AG543)</f>
        <v/>
      </c>
    </row>
    <row r="566">
      <c r="A566" s="24">
        <f>IF('ORDENES'!$A544="","",IF('ORDENES'!$O544="","-",'ORDENES'!$O544))</f>
        <v/>
      </c>
      <c r="B566" s="24">
        <f>IF('ORDENES'!$A544="","",IF('ORDENES'!$S544="","-",'ORDENES'!$S544))</f>
        <v/>
      </c>
      <c r="C566" s="24">
        <f>IF('ORDENES'!$A544="","",IF('ORDENES'!$AI544="","-",'ORDENES'!$AI544))</f>
        <v/>
      </c>
      <c r="D566" s="24">
        <f>IF('ORDENES'!$A544="","",IF('ORDENES'!$AA544="","-",'ORDENES'!$AA544))</f>
        <v/>
      </c>
      <c r="E566" s="24">
        <f>IF('ORDENES'!$A544="","",IF('ORDENES'!$Y544="","-",'ORDENES'!$Y544))</f>
        <v/>
      </c>
      <c r="F566" s="24">
        <f>IF('ORDENES'!$A544="","",IF('ORDENES'!$AB544="","-",'ORDENES'!$AB544))</f>
        <v/>
      </c>
      <c r="G566" s="24">
        <f>IF('ORDENES'!$A544="","",IF('ORDENES'!$Z544="","-",'ORDENES'!$Z544))</f>
        <v/>
      </c>
      <c r="H566" s="24">
        <f>IF('ORDENES'!$A544="","",IF('ORDENES'!$AH544="","-",'ORDENES'!$AH544))</f>
        <v/>
      </c>
      <c r="I566" s="24">
        <f>IF('ORDENES'!$A544="","",IF('ORDENES'!$AU544="","-",'ORDENES'!$AU544))</f>
        <v/>
      </c>
      <c r="J566" s="24">
        <f>IF('ORDENES'!$A544="","",IF('ORDENES'!$D544="","-",'ORDENES'!$D544))</f>
        <v/>
      </c>
      <c r="K566" s="24">
        <f>IF('ORDENES'!$A544="","",IF('ORDENES'!$E544="","-",'ORDENES'!$E544))</f>
        <v/>
      </c>
      <c r="L566" s="26">
        <f>IF('ORDENES'!$A544="","",IF('ORDENES'!$M544="",0,'ORDENES'!$M544))</f>
        <v/>
      </c>
      <c r="M566" s="24">
        <f>IF('ORDENES'!$A544="","",IF('ORDENES'!$N544="","-",'ORDENES'!$N544))</f>
        <v/>
      </c>
      <c r="N566" s="24">
        <f>IF('ORDENES'!$A544="","",'ORDENES'!$AG544)</f>
        <v/>
      </c>
    </row>
    <row r="567">
      <c r="A567" s="24">
        <f>IF('ORDENES'!$A545="","",IF('ORDENES'!$O545="","-",'ORDENES'!$O545))</f>
        <v/>
      </c>
      <c r="B567" s="24">
        <f>IF('ORDENES'!$A545="","",IF('ORDENES'!$S545="","-",'ORDENES'!$S545))</f>
        <v/>
      </c>
      <c r="C567" s="24">
        <f>IF('ORDENES'!$A545="","",IF('ORDENES'!$AI545="","-",'ORDENES'!$AI545))</f>
        <v/>
      </c>
      <c r="D567" s="24">
        <f>IF('ORDENES'!$A545="","",IF('ORDENES'!$AA545="","-",'ORDENES'!$AA545))</f>
        <v/>
      </c>
      <c r="E567" s="24">
        <f>IF('ORDENES'!$A545="","",IF('ORDENES'!$Y545="","-",'ORDENES'!$Y545))</f>
        <v/>
      </c>
      <c r="F567" s="24">
        <f>IF('ORDENES'!$A545="","",IF('ORDENES'!$AB545="","-",'ORDENES'!$AB545))</f>
        <v/>
      </c>
      <c r="G567" s="24">
        <f>IF('ORDENES'!$A545="","",IF('ORDENES'!$Z545="","-",'ORDENES'!$Z545))</f>
        <v/>
      </c>
      <c r="H567" s="24">
        <f>IF('ORDENES'!$A545="","",IF('ORDENES'!$AH545="","-",'ORDENES'!$AH545))</f>
        <v/>
      </c>
      <c r="I567" s="24">
        <f>IF('ORDENES'!$A545="","",IF('ORDENES'!$AU545="","-",'ORDENES'!$AU545))</f>
        <v/>
      </c>
      <c r="J567" s="24">
        <f>IF('ORDENES'!$A545="","",IF('ORDENES'!$D545="","-",'ORDENES'!$D545))</f>
        <v/>
      </c>
      <c r="K567" s="24">
        <f>IF('ORDENES'!$A545="","",IF('ORDENES'!$E545="","-",'ORDENES'!$E545))</f>
        <v/>
      </c>
      <c r="L567" s="26">
        <f>IF('ORDENES'!$A545="","",IF('ORDENES'!$M545="",0,'ORDENES'!$M545))</f>
        <v/>
      </c>
      <c r="M567" s="24">
        <f>IF('ORDENES'!$A545="","",IF('ORDENES'!$N545="","-",'ORDENES'!$N545))</f>
        <v/>
      </c>
      <c r="N567" s="24">
        <f>IF('ORDENES'!$A545="","",'ORDENES'!$AG545)</f>
        <v/>
      </c>
    </row>
    <row r="568">
      <c r="A568" s="24">
        <f>IF('ORDENES'!$A546="","",IF('ORDENES'!$O546="","-",'ORDENES'!$O546))</f>
        <v/>
      </c>
      <c r="B568" s="24">
        <f>IF('ORDENES'!$A546="","",IF('ORDENES'!$S546="","-",'ORDENES'!$S546))</f>
        <v/>
      </c>
      <c r="C568" s="24">
        <f>IF('ORDENES'!$A546="","",IF('ORDENES'!$AI546="","-",'ORDENES'!$AI546))</f>
        <v/>
      </c>
      <c r="D568" s="24">
        <f>IF('ORDENES'!$A546="","",IF('ORDENES'!$AA546="","-",'ORDENES'!$AA546))</f>
        <v/>
      </c>
      <c r="E568" s="24">
        <f>IF('ORDENES'!$A546="","",IF('ORDENES'!$Y546="","-",'ORDENES'!$Y546))</f>
        <v/>
      </c>
      <c r="F568" s="24">
        <f>IF('ORDENES'!$A546="","",IF('ORDENES'!$AB546="","-",'ORDENES'!$AB546))</f>
        <v/>
      </c>
      <c r="G568" s="24">
        <f>IF('ORDENES'!$A546="","",IF('ORDENES'!$Z546="","-",'ORDENES'!$Z546))</f>
        <v/>
      </c>
      <c r="H568" s="24">
        <f>IF('ORDENES'!$A546="","",IF('ORDENES'!$AH546="","-",'ORDENES'!$AH546))</f>
        <v/>
      </c>
      <c r="I568" s="24">
        <f>IF('ORDENES'!$A546="","",IF('ORDENES'!$AU546="","-",'ORDENES'!$AU546))</f>
        <v/>
      </c>
      <c r="J568" s="24">
        <f>IF('ORDENES'!$A546="","",IF('ORDENES'!$D546="","-",'ORDENES'!$D546))</f>
        <v/>
      </c>
      <c r="K568" s="24">
        <f>IF('ORDENES'!$A546="","",IF('ORDENES'!$E546="","-",'ORDENES'!$E546))</f>
        <v/>
      </c>
      <c r="L568" s="26">
        <f>IF('ORDENES'!$A546="","",IF('ORDENES'!$M546="",0,'ORDENES'!$M546))</f>
        <v/>
      </c>
      <c r="M568" s="24">
        <f>IF('ORDENES'!$A546="","",IF('ORDENES'!$N546="","-",'ORDENES'!$N546))</f>
        <v/>
      </c>
      <c r="N568" s="24">
        <f>IF('ORDENES'!$A546="","",'ORDENES'!$AG546)</f>
        <v/>
      </c>
    </row>
    <row r="569">
      <c r="A569" s="24">
        <f>IF('ORDENES'!$A547="","",IF('ORDENES'!$O547="","-",'ORDENES'!$O547))</f>
        <v/>
      </c>
      <c r="B569" s="24">
        <f>IF('ORDENES'!$A547="","",IF('ORDENES'!$S547="","-",'ORDENES'!$S547))</f>
        <v/>
      </c>
      <c r="C569" s="24">
        <f>IF('ORDENES'!$A547="","",IF('ORDENES'!$AI547="","-",'ORDENES'!$AI547))</f>
        <v/>
      </c>
      <c r="D569" s="24">
        <f>IF('ORDENES'!$A547="","",IF('ORDENES'!$AA547="","-",'ORDENES'!$AA547))</f>
        <v/>
      </c>
      <c r="E569" s="24">
        <f>IF('ORDENES'!$A547="","",IF('ORDENES'!$Y547="","-",'ORDENES'!$Y547))</f>
        <v/>
      </c>
      <c r="F569" s="24">
        <f>IF('ORDENES'!$A547="","",IF('ORDENES'!$AB547="","-",'ORDENES'!$AB547))</f>
        <v/>
      </c>
      <c r="G569" s="24">
        <f>IF('ORDENES'!$A547="","",IF('ORDENES'!$Z547="","-",'ORDENES'!$Z547))</f>
        <v/>
      </c>
      <c r="H569" s="24">
        <f>IF('ORDENES'!$A547="","",IF('ORDENES'!$AH547="","-",'ORDENES'!$AH547))</f>
        <v/>
      </c>
      <c r="I569" s="24">
        <f>IF('ORDENES'!$A547="","",IF('ORDENES'!$AU547="","-",'ORDENES'!$AU547))</f>
        <v/>
      </c>
      <c r="J569" s="24">
        <f>IF('ORDENES'!$A547="","",IF('ORDENES'!$D547="","-",'ORDENES'!$D547))</f>
        <v/>
      </c>
      <c r="K569" s="24">
        <f>IF('ORDENES'!$A547="","",IF('ORDENES'!$E547="","-",'ORDENES'!$E547))</f>
        <v/>
      </c>
      <c r="L569" s="26">
        <f>IF('ORDENES'!$A547="","",IF('ORDENES'!$M547="",0,'ORDENES'!$M547))</f>
        <v/>
      </c>
      <c r="M569" s="24">
        <f>IF('ORDENES'!$A547="","",IF('ORDENES'!$N547="","-",'ORDENES'!$N547))</f>
        <v/>
      </c>
      <c r="N569" s="24">
        <f>IF('ORDENES'!$A547="","",'ORDENES'!$AG547)</f>
        <v/>
      </c>
    </row>
    <row r="570">
      <c r="A570" s="24">
        <f>IF('ORDENES'!$A548="","",IF('ORDENES'!$O548="","-",'ORDENES'!$O548))</f>
        <v/>
      </c>
      <c r="B570" s="24">
        <f>IF('ORDENES'!$A548="","",IF('ORDENES'!$S548="","-",'ORDENES'!$S548))</f>
        <v/>
      </c>
      <c r="C570" s="24">
        <f>IF('ORDENES'!$A548="","",IF('ORDENES'!$AI548="","-",'ORDENES'!$AI548))</f>
        <v/>
      </c>
      <c r="D570" s="24">
        <f>IF('ORDENES'!$A548="","",IF('ORDENES'!$AA548="","-",'ORDENES'!$AA548))</f>
        <v/>
      </c>
      <c r="E570" s="24">
        <f>IF('ORDENES'!$A548="","",IF('ORDENES'!$Y548="","-",'ORDENES'!$Y548))</f>
        <v/>
      </c>
      <c r="F570" s="24">
        <f>IF('ORDENES'!$A548="","",IF('ORDENES'!$AB548="","-",'ORDENES'!$AB548))</f>
        <v/>
      </c>
      <c r="G570" s="24">
        <f>IF('ORDENES'!$A548="","",IF('ORDENES'!$Z548="","-",'ORDENES'!$Z548))</f>
        <v/>
      </c>
      <c r="H570" s="24">
        <f>IF('ORDENES'!$A548="","",IF('ORDENES'!$AH548="","-",'ORDENES'!$AH548))</f>
        <v/>
      </c>
      <c r="I570" s="24">
        <f>IF('ORDENES'!$A548="","",IF('ORDENES'!$AU548="","-",'ORDENES'!$AU548))</f>
        <v/>
      </c>
      <c r="J570" s="24">
        <f>IF('ORDENES'!$A548="","",IF('ORDENES'!$D548="","-",'ORDENES'!$D548))</f>
        <v/>
      </c>
      <c r="K570" s="24">
        <f>IF('ORDENES'!$A548="","",IF('ORDENES'!$E548="","-",'ORDENES'!$E548))</f>
        <v/>
      </c>
      <c r="L570" s="26">
        <f>IF('ORDENES'!$A548="","",IF('ORDENES'!$M548="",0,'ORDENES'!$M548))</f>
        <v/>
      </c>
      <c r="M570" s="24">
        <f>IF('ORDENES'!$A548="","",IF('ORDENES'!$N548="","-",'ORDENES'!$N548))</f>
        <v/>
      </c>
      <c r="N570" s="24">
        <f>IF('ORDENES'!$A548="","",'ORDENES'!$AG548)</f>
        <v/>
      </c>
    </row>
    <row r="571">
      <c r="A571" s="24">
        <f>IF('ORDENES'!$A549="","",IF('ORDENES'!$O549="","-",'ORDENES'!$O549))</f>
        <v/>
      </c>
      <c r="B571" s="24">
        <f>IF('ORDENES'!$A549="","",IF('ORDENES'!$S549="","-",'ORDENES'!$S549))</f>
        <v/>
      </c>
      <c r="C571" s="24">
        <f>IF('ORDENES'!$A549="","",IF('ORDENES'!$AI549="","-",'ORDENES'!$AI549))</f>
        <v/>
      </c>
      <c r="D571" s="24">
        <f>IF('ORDENES'!$A549="","",IF('ORDENES'!$AA549="","-",'ORDENES'!$AA549))</f>
        <v/>
      </c>
      <c r="E571" s="24">
        <f>IF('ORDENES'!$A549="","",IF('ORDENES'!$Y549="","-",'ORDENES'!$Y549))</f>
        <v/>
      </c>
      <c r="F571" s="24">
        <f>IF('ORDENES'!$A549="","",IF('ORDENES'!$AB549="","-",'ORDENES'!$AB549))</f>
        <v/>
      </c>
      <c r="G571" s="24">
        <f>IF('ORDENES'!$A549="","",IF('ORDENES'!$Z549="","-",'ORDENES'!$Z549))</f>
        <v/>
      </c>
      <c r="H571" s="24">
        <f>IF('ORDENES'!$A549="","",IF('ORDENES'!$AH549="","-",'ORDENES'!$AH549))</f>
        <v/>
      </c>
      <c r="I571" s="24">
        <f>IF('ORDENES'!$A549="","",IF('ORDENES'!$AU549="","-",'ORDENES'!$AU549))</f>
        <v/>
      </c>
      <c r="J571" s="24">
        <f>IF('ORDENES'!$A549="","",IF('ORDENES'!$D549="","-",'ORDENES'!$D549))</f>
        <v/>
      </c>
      <c r="K571" s="24">
        <f>IF('ORDENES'!$A549="","",IF('ORDENES'!$E549="","-",'ORDENES'!$E549))</f>
        <v/>
      </c>
      <c r="L571" s="26">
        <f>IF('ORDENES'!$A549="","",IF('ORDENES'!$M549="",0,'ORDENES'!$M549))</f>
        <v/>
      </c>
      <c r="M571" s="24">
        <f>IF('ORDENES'!$A549="","",IF('ORDENES'!$N549="","-",'ORDENES'!$N549))</f>
        <v/>
      </c>
      <c r="N571" s="24">
        <f>IF('ORDENES'!$A549="","",'ORDENES'!$AG549)</f>
        <v/>
      </c>
    </row>
    <row r="572">
      <c r="A572" s="24">
        <f>IF('ORDENES'!$A550="","",IF('ORDENES'!$O550="","-",'ORDENES'!$O550))</f>
        <v/>
      </c>
      <c r="B572" s="24">
        <f>IF('ORDENES'!$A550="","",IF('ORDENES'!$S550="","-",'ORDENES'!$S550))</f>
        <v/>
      </c>
      <c r="C572" s="24">
        <f>IF('ORDENES'!$A550="","",IF('ORDENES'!$AI550="","-",'ORDENES'!$AI550))</f>
        <v/>
      </c>
      <c r="D572" s="24">
        <f>IF('ORDENES'!$A550="","",IF('ORDENES'!$AA550="","-",'ORDENES'!$AA550))</f>
        <v/>
      </c>
      <c r="E572" s="24">
        <f>IF('ORDENES'!$A550="","",IF('ORDENES'!$Y550="","-",'ORDENES'!$Y550))</f>
        <v/>
      </c>
      <c r="F572" s="24">
        <f>IF('ORDENES'!$A550="","",IF('ORDENES'!$AB550="","-",'ORDENES'!$AB550))</f>
        <v/>
      </c>
      <c r="G572" s="24">
        <f>IF('ORDENES'!$A550="","",IF('ORDENES'!$Z550="","-",'ORDENES'!$Z550))</f>
        <v/>
      </c>
      <c r="H572" s="24">
        <f>IF('ORDENES'!$A550="","",IF('ORDENES'!$AH550="","-",'ORDENES'!$AH550))</f>
        <v/>
      </c>
      <c r="I572" s="24">
        <f>IF('ORDENES'!$A550="","",IF('ORDENES'!$AU550="","-",'ORDENES'!$AU550))</f>
        <v/>
      </c>
      <c r="J572" s="24">
        <f>IF('ORDENES'!$A550="","",IF('ORDENES'!$D550="","-",'ORDENES'!$D550))</f>
        <v/>
      </c>
      <c r="K572" s="24">
        <f>IF('ORDENES'!$A550="","",IF('ORDENES'!$E550="","-",'ORDENES'!$E550))</f>
        <v/>
      </c>
      <c r="L572" s="26">
        <f>IF('ORDENES'!$A550="","",IF('ORDENES'!$M550="",0,'ORDENES'!$M550))</f>
        <v/>
      </c>
      <c r="M572" s="24">
        <f>IF('ORDENES'!$A550="","",IF('ORDENES'!$N550="","-",'ORDENES'!$N550))</f>
        <v/>
      </c>
      <c r="N572" s="24">
        <f>IF('ORDENES'!$A550="","",'ORDENES'!$AG550)</f>
        <v/>
      </c>
    </row>
    <row r="573">
      <c r="A573" s="24">
        <f>IF('ORDENES'!$A551="","",IF('ORDENES'!$O551="","-",'ORDENES'!$O551))</f>
        <v/>
      </c>
      <c r="B573" s="24">
        <f>IF('ORDENES'!$A551="","",IF('ORDENES'!$S551="","-",'ORDENES'!$S551))</f>
        <v/>
      </c>
      <c r="C573" s="24">
        <f>IF('ORDENES'!$A551="","",IF('ORDENES'!$AI551="","-",'ORDENES'!$AI551))</f>
        <v/>
      </c>
      <c r="D573" s="24">
        <f>IF('ORDENES'!$A551="","",IF('ORDENES'!$AA551="","-",'ORDENES'!$AA551))</f>
        <v/>
      </c>
      <c r="E573" s="24">
        <f>IF('ORDENES'!$A551="","",IF('ORDENES'!$Y551="","-",'ORDENES'!$Y551))</f>
        <v/>
      </c>
      <c r="F573" s="24">
        <f>IF('ORDENES'!$A551="","",IF('ORDENES'!$AB551="","-",'ORDENES'!$AB551))</f>
        <v/>
      </c>
      <c r="G573" s="24">
        <f>IF('ORDENES'!$A551="","",IF('ORDENES'!$Z551="","-",'ORDENES'!$Z551))</f>
        <v/>
      </c>
      <c r="H573" s="24">
        <f>IF('ORDENES'!$A551="","",IF('ORDENES'!$AH551="","-",'ORDENES'!$AH551))</f>
        <v/>
      </c>
      <c r="I573" s="24">
        <f>IF('ORDENES'!$A551="","",IF('ORDENES'!$AU551="","-",'ORDENES'!$AU551))</f>
        <v/>
      </c>
      <c r="J573" s="24">
        <f>IF('ORDENES'!$A551="","",IF('ORDENES'!$D551="","-",'ORDENES'!$D551))</f>
        <v/>
      </c>
      <c r="K573" s="24">
        <f>IF('ORDENES'!$A551="","",IF('ORDENES'!$E551="","-",'ORDENES'!$E551))</f>
        <v/>
      </c>
      <c r="L573" s="26">
        <f>IF('ORDENES'!$A551="","",IF('ORDENES'!$M551="",0,'ORDENES'!$M551))</f>
        <v/>
      </c>
      <c r="M573" s="24">
        <f>IF('ORDENES'!$A551="","",IF('ORDENES'!$N551="","-",'ORDENES'!$N551))</f>
        <v/>
      </c>
      <c r="N573" s="24">
        <f>IF('ORDENES'!$A551="","",'ORDENES'!$AG551)</f>
        <v/>
      </c>
    </row>
    <row r="574">
      <c r="A574" s="24">
        <f>IF('ORDENES'!$A552="","",IF('ORDENES'!$O552="","-",'ORDENES'!$O552))</f>
        <v/>
      </c>
      <c r="B574" s="24">
        <f>IF('ORDENES'!$A552="","",IF('ORDENES'!$S552="","-",'ORDENES'!$S552))</f>
        <v/>
      </c>
      <c r="C574" s="24">
        <f>IF('ORDENES'!$A552="","",IF('ORDENES'!$AI552="","-",'ORDENES'!$AI552))</f>
        <v/>
      </c>
      <c r="D574" s="24">
        <f>IF('ORDENES'!$A552="","",IF('ORDENES'!$AA552="","-",'ORDENES'!$AA552))</f>
        <v/>
      </c>
      <c r="E574" s="24">
        <f>IF('ORDENES'!$A552="","",IF('ORDENES'!$Y552="","-",'ORDENES'!$Y552))</f>
        <v/>
      </c>
      <c r="F574" s="24">
        <f>IF('ORDENES'!$A552="","",IF('ORDENES'!$AB552="","-",'ORDENES'!$AB552))</f>
        <v/>
      </c>
      <c r="G574" s="24">
        <f>IF('ORDENES'!$A552="","",IF('ORDENES'!$Z552="","-",'ORDENES'!$Z552))</f>
        <v/>
      </c>
      <c r="H574" s="24">
        <f>IF('ORDENES'!$A552="","",IF('ORDENES'!$AH552="","-",'ORDENES'!$AH552))</f>
        <v/>
      </c>
      <c r="I574" s="24">
        <f>IF('ORDENES'!$A552="","",IF('ORDENES'!$AU552="","-",'ORDENES'!$AU552))</f>
        <v/>
      </c>
      <c r="J574" s="24">
        <f>IF('ORDENES'!$A552="","",IF('ORDENES'!$D552="","-",'ORDENES'!$D552))</f>
        <v/>
      </c>
      <c r="K574" s="24">
        <f>IF('ORDENES'!$A552="","",IF('ORDENES'!$E552="","-",'ORDENES'!$E552))</f>
        <v/>
      </c>
      <c r="L574" s="26">
        <f>IF('ORDENES'!$A552="","",IF('ORDENES'!$M552="",0,'ORDENES'!$M552))</f>
        <v/>
      </c>
      <c r="M574" s="24">
        <f>IF('ORDENES'!$A552="","",IF('ORDENES'!$N552="","-",'ORDENES'!$N552))</f>
        <v/>
      </c>
      <c r="N574" s="24">
        <f>IF('ORDENES'!$A552="","",'ORDENES'!$AG552)</f>
        <v/>
      </c>
    </row>
    <row r="575">
      <c r="A575" s="24">
        <f>IF('ORDENES'!$A553="","",IF('ORDENES'!$O553="","-",'ORDENES'!$O553))</f>
        <v/>
      </c>
      <c r="B575" s="24">
        <f>IF('ORDENES'!$A553="","",IF('ORDENES'!$S553="","-",'ORDENES'!$S553))</f>
        <v/>
      </c>
      <c r="C575" s="24">
        <f>IF('ORDENES'!$A553="","",IF('ORDENES'!$AI553="","-",'ORDENES'!$AI553))</f>
        <v/>
      </c>
      <c r="D575" s="24">
        <f>IF('ORDENES'!$A553="","",IF('ORDENES'!$AA553="","-",'ORDENES'!$AA553))</f>
        <v/>
      </c>
      <c r="E575" s="24">
        <f>IF('ORDENES'!$A553="","",IF('ORDENES'!$Y553="","-",'ORDENES'!$Y553))</f>
        <v/>
      </c>
      <c r="F575" s="24">
        <f>IF('ORDENES'!$A553="","",IF('ORDENES'!$AB553="","-",'ORDENES'!$AB553))</f>
        <v/>
      </c>
      <c r="G575" s="24">
        <f>IF('ORDENES'!$A553="","",IF('ORDENES'!$Z553="","-",'ORDENES'!$Z553))</f>
        <v/>
      </c>
      <c r="H575" s="24">
        <f>IF('ORDENES'!$A553="","",IF('ORDENES'!$AH553="","-",'ORDENES'!$AH553))</f>
        <v/>
      </c>
      <c r="I575" s="24">
        <f>IF('ORDENES'!$A553="","",IF('ORDENES'!$AU553="","-",'ORDENES'!$AU553))</f>
        <v/>
      </c>
      <c r="J575" s="24">
        <f>IF('ORDENES'!$A553="","",IF('ORDENES'!$D553="","-",'ORDENES'!$D553))</f>
        <v/>
      </c>
      <c r="K575" s="24">
        <f>IF('ORDENES'!$A553="","",IF('ORDENES'!$E553="","-",'ORDENES'!$E553))</f>
        <v/>
      </c>
      <c r="L575" s="26">
        <f>IF('ORDENES'!$A553="","",IF('ORDENES'!$M553="",0,'ORDENES'!$M553))</f>
        <v/>
      </c>
      <c r="M575" s="24">
        <f>IF('ORDENES'!$A553="","",IF('ORDENES'!$N553="","-",'ORDENES'!$N553))</f>
        <v/>
      </c>
      <c r="N575" s="24">
        <f>IF('ORDENES'!$A553="","",'ORDENES'!$AG553)</f>
        <v/>
      </c>
    </row>
    <row r="576">
      <c r="A576" s="24">
        <f>IF('ORDENES'!$A554="","",IF('ORDENES'!$O554="","-",'ORDENES'!$O554))</f>
        <v/>
      </c>
      <c r="B576" s="24">
        <f>IF('ORDENES'!$A554="","",IF('ORDENES'!$S554="","-",'ORDENES'!$S554))</f>
        <v/>
      </c>
      <c r="C576" s="24">
        <f>IF('ORDENES'!$A554="","",IF('ORDENES'!$AI554="","-",'ORDENES'!$AI554))</f>
        <v/>
      </c>
      <c r="D576" s="24">
        <f>IF('ORDENES'!$A554="","",IF('ORDENES'!$AA554="","-",'ORDENES'!$AA554))</f>
        <v/>
      </c>
      <c r="E576" s="24">
        <f>IF('ORDENES'!$A554="","",IF('ORDENES'!$Y554="","-",'ORDENES'!$Y554))</f>
        <v/>
      </c>
      <c r="F576" s="24">
        <f>IF('ORDENES'!$A554="","",IF('ORDENES'!$AB554="","-",'ORDENES'!$AB554))</f>
        <v/>
      </c>
      <c r="G576" s="24">
        <f>IF('ORDENES'!$A554="","",IF('ORDENES'!$Z554="","-",'ORDENES'!$Z554))</f>
        <v/>
      </c>
      <c r="H576" s="24">
        <f>IF('ORDENES'!$A554="","",IF('ORDENES'!$AH554="","-",'ORDENES'!$AH554))</f>
        <v/>
      </c>
      <c r="I576" s="24">
        <f>IF('ORDENES'!$A554="","",IF('ORDENES'!$AU554="","-",'ORDENES'!$AU554))</f>
        <v/>
      </c>
      <c r="J576" s="24">
        <f>IF('ORDENES'!$A554="","",IF('ORDENES'!$D554="","-",'ORDENES'!$D554))</f>
        <v/>
      </c>
      <c r="K576" s="24">
        <f>IF('ORDENES'!$A554="","",IF('ORDENES'!$E554="","-",'ORDENES'!$E554))</f>
        <v/>
      </c>
      <c r="L576" s="26">
        <f>IF('ORDENES'!$A554="","",IF('ORDENES'!$M554="",0,'ORDENES'!$M554))</f>
        <v/>
      </c>
      <c r="M576" s="24">
        <f>IF('ORDENES'!$A554="","",IF('ORDENES'!$N554="","-",'ORDENES'!$N554))</f>
        <v/>
      </c>
      <c r="N576" s="24">
        <f>IF('ORDENES'!$A554="","",'ORDENES'!$AG554)</f>
        <v/>
      </c>
    </row>
    <row r="577">
      <c r="A577" s="24">
        <f>IF('ORDENES'!$A555="","",IF('ORDENES'!$O555="","-",'ORDENES'!$O555))</f>
        <v/>
      </c>
      <c r="B577" s="24">
        <f>IF('ORDENES'!$A555="","",IF('ORDENES'!$S555="","-",'ORDENES'!$S555))</f>
        <v/>
      </c>
      <c r="C577" s="24">
        <f>IF('ORDENES'!$A555="","",IF('ORDENES'!$AI555="","-",'ORDENES'!$AI555))</f>
        <v/>
      </c>
      <c r="D577" s="24">
        <f>IF('ORDENES'!$A555="","",IF('ORDENES'!$AA555="","-",'ORDENES'!$AA555))</f>
        <v/>
      </c>
      <c r="E577" s="24">
        <f>IF('ORDENES'!$A555="","",IF('ORDENES'!$Y555="","-",'ORDENES'!$Y555))</f>
        <v/>
      </c>
      <c r="F577" s="24">
        <f>IF('ORDENES'!$A555="","",IF('ORDENES'!$AB555="","-",'ORDENES'!$AB555))</f>
        <v/>
      </c>
      <c r="G577" s="24">
        <f>IF('ORDENES'!$A555="","",IF('ORDENES'!$Z555="","-",'ORDENES'!$Z555))</f>
        <v/>
      </c>
      <c r="H577" s="24">
        <f>IF('ORDENES'!$A555="","",IF('ORDENES'!$AH555="","-",'ORDENES'!$AH555))</f>
        <v/>
      </c>
      <c r="I577" s="24">
        <f>IF('ORDENES'!$A555="","",IF('ORDENES'!$AU555="","-",'ORDENES'!$AU555))</f>
        <v/>
      </c>
      <c r="J577" s="24">
        <f>IF('ORDENES'!$A555="","",IF('ORDENES'!$D555="","-",'ORDENES'!$D555))</f>
        <v/>
      </c>
      <c r="K577" s="24">
        <f>IF('ORDENES'!$A555="","",IF('ORDENES'!$E555="","-",'ORDENES'!$E555))</f>
        <v/>
      </c>
      <c r="L577" s="26">
        <f>IF('ORDENES'!$A555="","",IF('ORDENES'!$M555="",0,'ORDENES'!$M555))</f>
        <v/>
      </c>
      <c r="M577" s="24">
        <f>IF('ORDENES'!$A555="","",IF('ORDENES'!$N555="","-",'ORDENES'!$N555))</f>
        <v/>
      </c>
      <c r="N577" s="24">
        <f>IF('ORDENES'!$A555="","",'ORDENES'!$AG555)</f>
        <v/>
      </c>
    </row>
    <row r="578">
      <c r="A578" s="24">
        <f>IF('ORDENES'!$A556="","",IF('ORDENES'!$O556="","-",'ORDENES'!$O556))</f>
        <v/>
      </c>
      <c r="B578" s="24">
        <f>IF('ORDENES'!$A556="","",IF('ORDENES'!$S556="","-",'ORDENES'!$S556))</f>
        <v/>
      </c>
      <c r="C578" s="24">
        <f>IF('ORDENES'!$A556="","",IF('ORDENES'!$AI556="","-",'ORDENES'!$AI556))</f>
        <v/>
      </c>
      <c r="D578" s="24">
        <f>IF('ORDENES'!$A556="","",IF('ORDENES'!$AA556="","-",'ORDENES'!$AA556))</f>
        <v/>
      </c>
      <c r="E578" s="24">
        <f>IF('ORDENES'!$A556="","",IF('ORDENES'!$Y556="","-",'ORDENES'!$Y556))</f>
        <v/>
      </c>
      <c r="F578" s="24">
        <f>IF('ORDENES'!$A556="","",IF('ORDENES'!$AB556="","-",'ORDENES'!$AB556))</f>
        <v/>
      </c>
      <c r="G578" s="24">
        <f>IF('ORDENES'!$A556="","",IF('ORDENES'!$Z556="","-",'ORDENES'!$Z556))</f>
        <v/>
      </c>
      <c r="H578" s="24">
        <f>IF('ORDENES'!$A556="","",IF('ORDENES'!$AH556="","-",'ORDENES'!$AH556))</f>
        <v/>
      </c>
      <c r="I578" s="24">
        <f>IF('ORDENES'!$A556="","",IF('ORDENES'!$AU556="","-",'ORDENES'!$AU556))</f>
        <v/>
      </c>
      <c r="J578" s="24">
        <f>IF('ORDENES'!$A556="","",IF('ORDENES'!$D556="","-",'ORDENES'!$D556))</f>
        <v/>
      </c>
      <c r="K578" s="24">
        <f>IF('ORDENES'!$A556="","",IF('ORDENES'!$E556="","-",'ORDENES'!$E556))</f>
        <v/>
      </c>
      <c r="L578" s="26">
        <f>IF('ORDENES'!$A556="","",IF('ORDENES'!$M556="",0,'ORDENES'!$M556))</f>
        <v/>
      </c>
      <c r="M578" s="24">
        <f>IF('ORDENES'!$A556="","",IF('ORDENES'!$N556="","-",'ORDENES'!$N556))</f>
        <v/>
      </c>
      <c r="N578" s="24">
        <f>IF('ORDENES'!$A556="","",'ORDENES'!$AG556)</f>
        <v/>
      </c>
    </row>
    <row r="579">
      <c r="A579" s="24">
        <f>IF('ORDENES'!$A557="","",IF('ORDENES'!$O557="","-",'ORDENES'!$O557))</f>
        <v/>
      </c>
      <c r="B579" s="24">
        <f>IF('ORDENES'!$A557="","",IF('ORDENES'!$S557="","-",'ORDENES'!$S557))</f>
        <v/>
      </c>
      <c r="C579" s="24">
        <f>IF('ORDENES'!$A557="","",IF('ORDENES'!$AI557="","-",'ORDENES'!$AI557))</f>
        <v/>
      </c>
      <c r="D579" s="24">
        <f>IF('ORDENES'!$A557="","",IF('ORDENES'!$AA557="","-",'ORDENES'!$AA557))</f>
        <v/>
      </c>
      <c r="E579" s="24">
        <f>IF('ORDENES'!$A557="","",IF('ORDENES'!$Y557="","-",'ORDENES'!$Y557))</f>
        <v/>
      </c>
      <c r="F579" s="24">
        <f>IF('ORDENES'!$A557="","",IF('ORDENES'!$AB557="","-",'ORDENES'!$AB557))</f>
        <v/>
      </c>
      <c r="G579" s="24">
        <f>IF('ORDENES'!$A557="","",IF('ORDENES'!$Z557="","-",'ORDENES'!$Z557))</f>
        <v/>
      </c>
      <c r="H579" s="24">
        <f>IF('ORDENES'!$A557="","",IF('ORDENES'!$AH557="","-",'ORDENES'!$AH557))</f>
        <v/>
      </c>
      <c r="I579" s="24">
        <f>IF('ORDENES'!$A557="","",IF('ORDENES'!$AU557="","-",'ORDENES'!$AU557))</f>
        <v/>
      </c>
      <c r="J579" s="24">
        <f>IF('ORDENES'!$A557="","",IF('ORDENES'!$D557="","-",'ORDENES'!$D557))</f>
        <v/>
      </c>
      <c r="K579" s="24">
        <f>IF('ORDENES'!$A557="","",IF('ORDENES'!$E557="","-",'ORDENES'!$E557))</f>
        <v/>
      </c>
      <c r="L579" s="26">
        <f>IF('ORDENES'!$A557="","",IF('ORDENES'!$M557="",0,'ORDENES'!$M557))</f>
        <v/>
      </c>
      <c r="M579" s="24">
        <f>IF('ORDENES'!$A557="","",IF('ORDENES'!$N557="","-",'ORDENES'!$N557))</f>
        <v/>
      </c>
      <c r="N579" s="24">
        <f>IF('ORDENES'!$A557="","",'ORDENES'!$AG557)</f>
        <v/>
      </c>
    </row>
    <row r="580">
      <c r="A580" s="24">
        <f>IF('ORDENES'!$A558="","",IF('ORDENES'!$O558="","-",'ORDENES'!$O558))</f>
        <v/>
      </c>
      <c r="B580" s="24">
        <f>IF('ORDENES'!$A558="","",IF('ORDENES'!$S558="","-",'ORDENES'!$S558))</f>
        <v/>
      </c>
      <c r="C580" s="24">
        <f>IF('ORDENES'!$A558="","",IF('ORDENES'!$AI558="","-",'ORDENES'!$AI558))</f>
        <v/>
      </c>
      <c r="D580" s="24">
        <f>IF('ORDENES'!$A558="","",IF('ORDENES'!$AA558="","-",'ORDENES'!$AA558))</f>
        <v/>
      </c>
      <c r="E580" s="24">
        <f>IF('ORDENES'!$A558="","",IF('ORDENES'!$Y558="","-",'ORDENES'!$Y558))</f>
        <v/>
      </c>
      <c r="F580" s="24">
        <f>IF('ORDENES'!$A558="","",IF('ORDENES'!$AB558="","-",'ORDENES'!$AB558))</f>
        <v/>
      </c>
      <c r="G580" s="24">
        <f>IF('ORDENES'!$A558="","",IF('ORDENES'!$Z558="","-",'ORDENES'!$Z558))</f>
        <v/>
      </c>
      <c r="H580" s="24">
        <f>IF('ORDENES'!$A558="","",IF('ORDENES'!$AH558="","-",'ORDENES'!$AH558))</f>
        <v/>
      </c>
      <c r="I580" s="24">
        <f>IF('ORDENES'!$A558="","",IF('ORDENES'!$AU558="","-",'ORDENES'!$AU558))</f>
        <v/>
      </c>
      <c r="J580" s="24">
        <f>IF('ORDENES'!$A558="","",IF('ORDENES'!$D558="","-",'ORDENES'!$D558))</f>
        <v/>
      </c>
      <c r="K580" s="24">
        <f>IF('ORDENES'!$A558="","",IF('ORDENES'!$E558="","-",'ORDENES'!$E558))</f>
        <v/>
      </c>
      <c r="L580" s="26">
        <f>IF('ORDENES'!$A558="","",IF('ORDENES'!$M558="",0,'ORDENES'!$M558))</f>
        <v/>
      </c>
      <c r="M580" s="24">
        <f>IF('ORDENES'!$A558="","",IF('ORDENES'!$N558="","-",'ORDENES'!$N558))</f>
        <v/>
      </c>
      <c r="N580" s="24">
        <f>IF('ORDENES'!$A558="","",'ORDENES'!$AG558)</f>
        <v/>
      </c>
    </row>
    <row r="581">
      <c r="A581" s="24">
        <f>IF('ORDENES'!$A559="","",IF('ORDENES'!$O559="","-",'ORDENES'!$O559))</f>
        <v/>
      </c>
      <c r="B581" s="24">
        <f>IF('ORDENES'!$A559="","",IF('ORDENES'!$S559="","-",'ORDENES'!$S559))</f>
        <v/>
      </c>
      <c r="C581" s="24">
        <f>IF('ORDENES'!$A559="","",IF('ORDENES'!$AI559="","-",'ORDENES'!$AI559))</f>
        <v/>
      </c>
      <c r="D581" s="24">
        <f>IF('ORDENES'!$A559="","",IF('ORDENES'!$AA559="","-",'ORDENES'!$AA559))</f>
        <v/>
      </c>
      <c r="E581" s="24">
        <f>IF('ORDENES'!$A559="","",IF('ORDENES'!$Y559="","-",'ORDENES'!$Y559))</f>
        <v/>
      </c>
      <c r="F581" s="24">
        <f>IF('ORDENES'!$A559="","",IF('ORDENES'!$AB559="","-",'ORDENES'!$AB559))</f>
        <v/>
      </c>
      <c r="G581" s="24">
        <f>IF('ORDENES'!$A559="","",IF('ORDENES'!$Z559="","-",'ORDENES'!$Z559))</f>
        <v/>
      </c>
      <c r="H581" s="24">
        <f>IF('ORDENES'!$A559="","",IF('ORDENES'!$AH559="","-",'ORDENES'!$AH559))</f>
        <v/>
      </c>
      <c r="I581" s="24">
        <f>IF('ORDENES'!$A559="","",IF('ORDENES'!$AU559="","-",'ORDENES'!$AU559))</f>
        <v/>
      </c>
      <c r="J581" s="24">
        <f>IF('ORDENES'!$A559="","",IF('ORDENES'!$D559="","-",'ORDENES'!$D559))</f>
        <v/>
      </c>
      <c r="K581" s="24">
        <f>IF('ORDENES'!$A559="","",IF('ORDENES'!$E559="","-",'ORDENES'!$E559))</f>
        <v/>
      </c>
      <c r="L581" s="26">
        <f>IF('ORDENES'!$A559="","",IF('ORDENES'!$M559="",0,'ORDENES'!$M559))</f>
        <v/>
      </c>
      <c r="M581" s="24">
        <f>IF('ORDENES'!$A559="","",IF('ORDENES'!$N559="","-",'ORDENES'!$N559))</f>
        <v/>
      </c>
      <c r="N581" s="24">
        <f>IF('ORDENES'!$A559="","",'ORDENES'!$AG559)</f>
        <v/>
      </c>
    </row>
    <row r="582">
      <c r="A582" s="24">
        <f>IF('ORDENES'!$A560="","",IF('ORDENES'!$O560="","-",'ORDENES'!$O560))</f>
        <v/>
      </c>
      <c r="B582" s="24">
        <f>IF('ORDENES'!$A560="","",IF('ORDENES'!$S560="","-",'ORDENES'!$S560))</f>
        <v/>
      </c>
      <c r="C582" s="24">
        <f>IF('ORDENES'!$A560="","",IF('ORDENES'!$AI560="","-",'ORDENES'!$AI560))</f>
        <v/>
      </c>
      <c r="D582" s="24">
        <f>IF('ORDENES'!$A560="","",IF('ORDENES'!$AA560="","-",'ORDENES'!$AA560))</f>
        <v/>
      </c>
      <c r="E582" s="24">
        <f>IF('ORDENES'!$A560="","",IF('ORDENES'!$Y560="","-",'ORDENES'!$Y560))</f>
        <v/>
      </c>
      <c r="F582" s="24">
        <f>IF('ORDENES'!$A560="","",IF('ORDENES'!$AB560="","-",'ORDENES'!$AB560))</f>
        <v/>
      </c>
      <c r="G582" s="24">
        <f>IF('ORDENES'!$A560="","",IF('ORDENES'!$Z560="","-",'ORDENES'!$Z560))</f>
        <v/>
      </c>
      <c r="H582" s="24">
        <f>IF('ORDENES'!$A560="","",IF('ORDENES'!$AH560="","-",'ORDENES'!$AH560))</f>
        <v/>
      </c>
      <c r="I582" s="24">
        <f>IF('ORDENES'!$A560="","",IF('ORDENES'!$AU560="","-",'ORDENES'!$AU560))</f>
        <v/>
      </c>
      <c r="J582" s="24">
        <f>IF('ORDENES'!$A560="","",IF('ORDENES'!$D560="","-",'ORDENES'!$D560))</f>
        <v/>
      </c>
      <c r="K582" s="24">
        <f>IF('ORDENES'!$A560="","",IF('ORDENES'!$E560="","-",'ORDENES'!$E560))</f>
        <v/>
      </c>
      <c r="L582" s="26">
        <f>IF('ORDENES'!$A560="","",IF('ORDENES'!$M560="",0,'ORDENES'!$M560))</f>
        <v/>
      </c>
      <c r="M582" s="24">
        <f>IF('ORDENES'!$A560="","",IF('ORDENES'!$N560="","-",'ORDENES'!$N560))</f>
        <v/>
      </c>
      <c r="N582" s="24">
        <f>IF('ORDENES'!$A560="","",'ORDENES'!$AG560)</f>
        <v/>
      </c>
    </row>
    <row r="583">
      <c r="A583" s="24">
        <f>IF('ORDENES'!$A561="","",IF('ORDENES'!$O561="","-",'ORDENES'!$O561))</f>
        <v/>
      </c>
      <c r="B583" s="24">
        <f>IF('ORDENES'!$A561="","",IF('ORDENES'!$S561="","-",'ORDENES'!$S561))</f>
        <v/>
      </c>
      <c r="C583" s="24">
        <f>IF('ORDENES'!$A561="","",IF('ORDENES'!$AI561="","-",'ORDENES'!$AI561))</f>
        <v/>
      </c>
      <c r="D583" s="24">
        <f>IF('ORDENES'!$A561="","",IF('ORDENES'!$AA561="","-",'ORDENES'!$AA561))</f>
        <v/>
      </c>
      <c r="E583" s="24">
        <f>IF('ORDENES'!$A561="","",IF('ORDENES'!$Y561="","-",'ORDENES'!$Y561))</f>
        <v/>
      </c>
      <c r="F583" s="24">
        <f>IF('ORDENES'!$A561="","",IF('ORDENES'!$AB561="","-",'ORDENES'!$AB561))</f>
        <v/>
      </c>
      <c r="G583" s="24">
        <f>IF('ORDENES'!$A561="","",IF('ORDENES'!$Z561="","-",'ORDENES'!$Z561))</f>
        <v/>
      </c>
      <c r="H583" s="24">
        <f>IF('ORDENES'!$A561="","",IF('ORDENES'!$AH561="","-",'ORDENES'!$AH561))</f>
        <v/>
      </c>
      <c r="I583" s="24">
        <f>IF('ORDENES'!$A561="","",IF('ORDENES'!$AU561="","-",'ORDENES'!$AU561))</f>
        <v/>
      </c>
      <c r="J583" s="24">
        <f>IF('ORDENES'!$A561="","",IF('ORDENES'!$D561="","-",'ORDENES'!$D561))</f>
        <v/>
      </c>
      <c r="K583" s="24">
        <f>IF('ORDENES'!$A561="","",IF('ORDENES'!$E561="","-",'ORDENES'!$E561))</f>
        <v/>
      </c>
      <c r="L583" s="26">
        <f>IF('ORDENES'!$A561="","",IF('ORDENES'!$M561="",0,'ORDENES'!$M561))</f>
        <v/>
      </c>
      <c r="M583" s="24">
        <f>IF('ORDENES'!$A561="","",IF('ORDENES'!$N561="","-",'ORDENES'!$N561))</f>
        <v/>
      </c>
      <c r="N583" s="24">
        <f>IF('ORDENES'!$A561="","",'ORDENES'!$AG561)</f>
        <v/>
      </c>
    </row>
    <row r="584">
      <c r="A584" s="24">
        <f>IF('ORDENES'!$A562="","",IF('ORDENES'!$O562="","-",'ORDENES'!$O562))</f>
        <v/>
      </c>
      <c r="B584" s="24">
        <f>IF('ORDENES'!$A562="","",IF('ORDENES'!$S562="","-",'ORDENES'!$S562))</f>
        <v/>
      </c>
      <c r="C584" s="24">
        <f>IF('ORDENES'!$A562="","",IF('ORDENES'!$AI562="","-",'ORDENES'!$AI562))</f>
        <v/>
      </c>
      <c r="D584" s="24">
        <f>IF('ORDENES'!$A562="","",IF('ORDENES'!$AA562="","-",'ORDENES'!$AA562))</f>
        <v/>
      </c>
      <c r="E584" s="24">
        <f>IF('ORDENES'!$A562="","",IF('ORDENES'!$Y562="","-",'ORDENES'!$Y562))</f>
        <v/>
      </c>
      <c r="F584" s="24">
        <f>IF('ORDENES'!$A562="","",IF('ORDENES'!$AB562="","-",'ORDENES'!$AB562))</f>
        <v/>
      </c>
      <c r="G584" s="24">
        <f>IF('ORDENES'!$A562="","",IF('ORDENES'!$Z562="","-",'ORDENES'!$Z562))</f>
        <v/>
      </c>
      <c r="H584" s="24">
        <f>IF('ORDENES'!$A562="","",IF('ORDENES'!$AH562="","-",'ORDENES'!$AH562))</f>
        <v/>
      </c>
      <c r="I584" s="24">
        <f>IF('ORDENES'!$A562="","",IF('ORDENES'!$AU562="","-",'ORDENES'!$AU562))</f>
        <v/>
      </c>
      <c r="J584" s="24">
        <f>IF('ORDENES'!$A562="","",IF('ORDENES'!$D562="","-",'ORDENES'!$D562))</f>
        <v/>
      </c>
      <c r="K584" s="24">
        <f>IF('ORDENES'!$A562="","",IF('ORDENES'!$E562="","-",'ORDENES'!$E562))</f>
        <v/>
      </c>
      <c r="L584" s="26">
        <f>IF('ORDENES'!$A562="","",IF('ORDENES'!$M562="",0,'ORDENES'!$M562))</f>
        <v/>
      </c>
      <c r="M584" s="24">
        <f>IF('ORDENES'!$A562="","",IF('ORDENES'!$N562="","-",'ORDENES'!$N562))</f>
        <v/>
      </c>
      <c r="N584" s="24">
        <f>IF('ORDENES'!$A562="","",'ORDENES'!$AG562)</f>
        <v/>
      </c>
    </row>
    <row r="585">
      <c r="A585" s="24">
        <f>IF('ORDENES'!$A563="","",IF('ORDENES'!$O563="","-",'ORDENES'!$O563))</f>
        <v/>
      </c>
      <c r="B585" s="24">
        <f>IF('ORDENES'!$A563="","",IF('ORDENES'!$S563="","-",'ORDENES'!$S563))</f>
        <v/>
      </c>
      <c r="C585" s="24">
        <f>IF('ORDENES'!$A563="","",IF('ORDENES'!$AI563="","-",'ORDENES'!$AI563))</f>
        <v/>
      </c>
      <c r="D585" s="24">
        <f>IF('ORDENES'!$A563="","",IF('ORDENES'!$AA563="","-",'ORDENES'!$AA563))</f>
        <v/>
      </c>
      <c r="E585" s="24">
        <f>IF('ORDENES'!$A563="","",IF('ORDENES'!$Y563="","-",'ORDENES'!$Y563))</f>
        <v/>
      </c>
      <c r="F585" s="24">
        <f>IF('ORDENES'!$A563="","",IF('ORDENES'!$AB563="","-",'ORDENES'!$AB563))</f>
        <v/>
      </c>
      <c r="G585" s="24">
        <f>IF('ORDENES'!$A563="","",IF('ORDENES'!$Z563="","-",'ORDENES'!$Z563))</f>
        <v/>
      </c>
      <c r="H585" s="24">
        <f>IF('ORDENES'!$A563="","",IF('ORDENES'!$AH563="","-",'ORDENES'!$AH563))</f>
        <v/>
      </c>
      <c r="I585" s="24">
        <f>IF('ORDENES'!$A563="","",IF('ORDENES'!$AU563="","-",'ORDENES'!$AU563))</f>
        <v/>
      </c>
      <c r="J585" s="24">
        <f>IF('ORDENES'!$A563="","",IF('ORDENES'!$D563="","-",'ORDENES'!$D563))</f>
        <v/>
      </c>
      <c r="K585" s="24">
        <f>IF('ORDENES'!$A563="","",IF('ORDENES'!$E563="","-",'ORDENES'!$E563))</f>
        <v/>
      </c>
      <c r="L585" s="26">
        <f>IF('ORDENES'!$A563="","",IF('ORDENES'!$M563="",0,'ORDENES'!$M563))</f>
        <v/>
      </c>
      <c r="M585" s="24">
        <f>IF('ORDENES'!$A563="","",IF('ORDENES'!$N563="","-",'ORDENES'!$N563))</f>
        <v/>
      </c>
      <c r="N585" s="24">
        <f>IF('ORDENES'!$A563="","",'ORDENES'!$AG563)</f>
        <v/>
      </c>
    </row>
    <row r="586">
      <c r="A586" s="24">
        <f>IF('ORDENES'!$A564="","",IF('ORDENES'!$O564="","-",'ORDENES'!$O564))</f>
        <v/>
      </c>
      <c r="B586" s="24">
        <f>IF('ORDENES'!$A564="","",IF('ORDENES'!$S564="","-",'ORDENES'!$S564))</f>
        <v/>
      </c>
      <c r="C586" s="24">
        <f>IF('ORDENES'!$A564="","",IF('ORDENES'!$AI564="","-",'ORDENES'!$AI564))</f>
        <v/>
      </c>
      <c r="D586" s="24">
        <f>IF('ORDENES'!$A564="","",IF('ORDENES'!$AA564="","-",'ORDENES'!$AA564))</f>
        <v/>
      </c>
      <c r="E586" s="24">
        <f>IF('ORDENES'!$A564="","",IF('ORDENES'!$Y564="","-",'ORDENES'!$Y564))</f>
        <v/>
      </c>
      <c r="F586" s="24">
        <f>IF('ORDENES'!$A564="","",IF('ORDENES'!$AB564="","-",'ORDENES'!$AB564))</f>
        <v/>
      </c>
      <c r="G586" s="24">
        <f>IF('ORDENES'!$A564="","",IF('ORDENES'!$Z564="","-",'ORDENES'!$Z564))</f>
        <v/>
      </c>
      <c r="H586" s="24">
        <f>IF('ORDENES'!$A564="","",IF('ORDENES'!$AH564="","-",'ORDENES'!$AH564))</f>
        <v/>
      </c>
      <c r="I586" s="24">
        <f>IF('ORDENES'!$A564="","",IF('ORDENES'!$AU564="","-",'ORDENES'!$AU564))</f>
        <v/>
      </c>
      <c r="J586" s="24">
        <f>IF('ORDENES'!$A564="","",IF('ORDENES'!$D564="","-",'ORDENES'!$D564))</f>
        <v/>
      </c>
      <c r="K586" s="24">
        <f>IF('ORDENES'!$A564="","",IF('ORDENES'!$E564="","-",'ORDENES'!$E564))</f>
        <v/>
      </c>
      <c r="L586" s="26">
        <f>IF('ORDENES'!$A564="","",IF('ORDENES'!$M564="",0,'ORDENES'!$M564))</f>
        <v/>
      </c>
      <c r="M586" s="24">
        <f>IF('ORDENES'!$A564="","",IF('ORDENES'!$N564="","-",'ORDENES'!$N564))</f>
        <v/>
      </c>
      <c r="N586" s="24">
        <f>IF('ORDENES'!$A564="","",'ORDENES'!$AG564)</f>
        <v/>
      </c>
    </row>
    <row r="587">
      <c r="A587" s="24">
        <f>IF('ORDENES'!$A565="","",IF('ORDENES'!$O565="","-",'ORDENES'!$O565))</f>
        <v/>
      </c>
      <c r="B587" s="24">
        <f>IF('ORDENES'!$A565="","",IF('ORDENES'!$S565="","-",'ORDENES'!$S565))</f>
        <v/>
      </c>
      <c r="C587" s="24">
        <f>IF('ORDENES'!$A565="","",IF('ORDENES'!$AI565="","-",'ORDENES'!$AI565))</f>
        <v/>
      </c>
      <c r="D587" s="24">
        <f>IF('ORDENES'!$A565="","",IF('ORDENES'!$AA565="","-",'ORDENES'!$AA565))</f>
        <v/>
      </c>
      <c r="E587" s="24">
        <f>IF('ORDENES'!$A565="","",IF('ORDENES'!$Y565="","-",'ORDENES'!$Y565))</f>
        <v/>
      </c>
      <c r="F587" s="24">
        <f>IF('ORDENES'!$A565="","",IF('ORDENES'!$AB565="","-",'ORDENES'!$AB565))</f>
        <v/>
      </c>
      <c r="G587" s="24">
        <f>IF('ORDENES'!$A565="","",IF('ORDENES'!$Z565="","-",'ORDENES'!$Z565))</f>
        <v/>
      </c>
      <c r="H587" s="24">
        <f>IF('ORDENES'!$A565="","",IF('ORDENES'!$AH565="","-",'ORDENES'!$AH565))</f>
        <v/>
      </c>
      <c r="I587" s="24">
        <f>IF('ORDENES'!$A565="","",IF('ORDENES'!$AU565="","-",'ORDENES'!$AU565))</f>
        <v/>
      </c>
      <c r="J587" s="24">
        <f>IF('ORDENES'!$A565="","",IF('ORDENES'!$D565="","-",'ORDENES'!$D565))</f>
        <v/>
      </c>
      <c r="K587" s="24">
        <f>IF('ORDENES'!$A565="","",IF('ORDENES'!$E565="","-",'ORDENES'!$E565))</f>
        <v/>
      </c>
      <c r="L587" s="26">
        <f>IF('ORDENES'!$A565="","",IF('ORDENES'!$M565="",0,'ORDENES'!$M565))</f>
        <v/>
      </c>
      <c r="M587" s="24">
        <f>IF('ORDENES'!$A565="","",IF('ORDENES'!$N565="","-",'ORDENES'!$N565))</f>
        <v/>
      </c>
      <c r="N587" s="24">
        <f>IF('ORDENES'!$A565="","",'ORDENES'!$AG565)</f>
        <v/>
      </c>
    </row>
    <row r="588">
      <c r="A588" s="24">
        <f>IF('ORDENES'!$A566="","",IF('ORDENES'!$O566="","-",'ORDENES'!$O566))</f>
        <v/>
      </c>
      <c r="B588" s="24">
        <f>IF('ORDENES'!$A566="","",IF('ORDENES'!$S566="","-",'ORDENES'!$S566))</f>
        <v/>
      </c>
      <c r="C588" s="24">
        <f>IF('ORDENES'!$A566="","",IF('ORDENES'!$AI566="","-",'ORDENES'!$AI566))</f>
        <v/>
      </c>
      <c r="D588" s="24">
        <f>IF('ORDENES'!$A566="","",IF('ORDENES'!$AA566="","-",'ORDENES'!$AA566))</f>
        <v/>
      </c>
      <c r="E588" s="24">
        <f>IF('ORDENES'!$A566="","",IF('ORDENES'!$Y566="","-",'ORDENES'!$Y566))</f>
        <v/>
      </c>
      <c r="F588" s="24">
        <f>IF('ORDENES'!$A566="","",IF('ORDENES'!$AB566="","-",'ORDENES'!$AB566))</f>
        <v/>
      </c>
      <c r="G588" s="24">
        <f>IF('ORDENES'!$A566="","",IF('ORDENES'!$Z566="","-",'ORDENES'!$Z566))</f>
        <v/>
      </c>
      <c r="H588" s="24">
        <f>IF('ORDENES'!$A566="","",IF('ORDENES'!$AH566="","-",'ORDENES'!$AH566))</f>
        <v/>
      </c>
      <c r="I588" s="24">
        <f>IF('ORDENES'!$A566="","",IF('ORDENES'!$AU566="","-",'ORDENES'!$AU566))</f>
        <v/>
      </c>
      <c r="J588" s="24">
        <f>IF('ORDENES'!$A566="","",IF('ORDENES'!$D566="","-",'ORDENES'!$D566))</f>
        <v/>
      </c>
      <c r="K588" s="24">
        <f>IF('ORDENES'!$A566="","",IF('ORDENES'!$E566="","-",'ORDENES'!$E566))</f>
        <v/>
      </c>
      <c r="L588" s="26">
        <f>IF('ORDENES'!$A566="","",IF('ORDENES'!$M566="",0,'ORDENES'!$M566))</f>
        <v/>
      </c>
      <c r="M588" s="24">
        <f>IF('ORDENES'!$A566="","",IF('ORDENES'!$N566="","-",'ORDENES'!$N566))</f>
        <v/>
      </c>
      <c r="N588" s="24">
        <f>IF('ORDENES'!$A566="","",'ORDENES'!$AG566)</f>
        <v/>
      </c>
    </row>
    <row r="589">
      <c r="A589" s="24">
        <f>IF('ORDENES'!$A567="","",IF('ORDENES'!$O567="","-",'ORDENES'!$O567))</f>
        <v/>
      </c>
      <c r="B589" s="24">
        <f>IF('ORDENES'!$A567="","",IF('ORDENES'!$S567="","-",'ORDENES'!$S567))</f>
        <v/>
      </c>
      <c r="C589" s="24">
        <f>IF('ORDENES'!$A567="","",IF('ORDENES'!$AI567="","-",'ORDENES'!$AI567))</f>
        <v/>
      </c>
      <c r="D589" s="24">
        <f>IF('ORDENES'!$A567="","",IF('ORDENES'!$AA567="","-",'ORDENES'!$AA567))</f>
        <v/>
      </c>
      <c r="E589" s="24">
        <f>IF('ORDENES'!$A567="","",IF('ORDENES'!$Y567="","-",'ORDENES'!$Y567))</f>
        <v/>
      </c>
      <c r="F589" s="24">
        <f>IF('ORDENES'!$A567="","",IF('ORDENES'!$AB567="","-",'ORDENES'!$AB567))</f>
        <v/>
      </c>
      <c r="G589" s="24">
        <f>IF('ORDENES'!$A567="","",IF('ORDENES'!$Z567="","-",'ORDENES'!$Z567))</f>
        <v/>
      </c>
      <c r="H589" s="24">
        <f>IF('ORDENES'!$A567="","",IF('ORDENES'!$AH567="","-",'ORDENES'!$AH567))</f>
        <v/>
      </c>
      <c r="I589" s="24">
        <f>IF('ORDENES'!$A567="","",IF('ORDENES'!$AU567="","-",'ORDENES'!$AU567))</f>
        <v/>
      </c>
      <c r="J589" s="24">
        <f>IF('ORDENES'!$A567="","",IF('ORDENES'!$D567="","-",'ORDENES'!$D567))</f>
        <v/>
      </c>
      <c r="K589" s="24">
        <f>IF('ORDENES'!$A567="","",IF('ORDENES'!$E567="","-",'ORDENES'!$E567))</f>
        <v/>
      </c>
      <c r="L589" s="26">
        <f>IF('ORDENES'!$A567="","",IF('ORDENES'!$M567="",0,'ORDENES'!$M567))</f>
        <v/>
      </c>
      <c r="M589" s="24">
        <f>IF('ORDENES'!$A567="","",IF('ORDENES'!$N567="","-",'ORDENES'!$N567))</f>
        <v/>
      </c>
      <c r="N589" s="24">
        <f>IF('ORDENES'!$A567="","",'ORDENES'!$AG567)</f>
        <v/>
      </c>
    </row>
    <row r="590">
      <c r="A590" s="24">
        <f>IF('ORDENES'!$A568="","",IF('ORDENES'!$O568="","-",'ORDENES'!$O568))</f>
        <v/>
      </c>
      <c r="B590" s="24">
        <f>IF('ORDENES'!$A568="","",IF('ORDENES'!$S568="","-",'ORDENES'!$S568))</f>
        <v/>
      </c>
      <c r="C590" s="24">
        <f>IF('ORDENES'!$A568="","",IF('ORDENES'!$AI568="","-",'ORDENES'!$AI568))</f>
        <v/>
      </c>
      <c r="D590" s="24">
        <f>IF('ORDENES'!$A568="","",IF('ORDENES'!$AA568="","-",'ORDENES'!$AA568))</f>
        <v/>
      </c>
      <c r="E590" s="24">
        <f>IF('ORDENES'!$A568="","",IF('ORDENES'!$Y568="","-",'ORDENES'!$Y568))</f>
        <v/>
      </c>
      <c r="F590" s="24">
        <f>IF('ORDENES'!$A568="","",IF('ORDENES'!$AB568="","-",'ORDENES'!$AB568))</f>
        <v/>
      </c>
      <c r="G590" s="24">
        <f>IF('ORDENES'!$A568="","",IF('ORDENES'!$Z568="","-",'ORDENES'!$Z568))</f>
        <v/>
      </c>
      <c r="H590" s="24">
        <f>IF('ORDENES'!$A568="","",IF('ORDENES'!$AH568="","-",'ORDENES'!$AH568))</f>
        <v/>
      </c>
      <c r="I590" s="24">
        <f>IF('ORDENES'!$A568="","",IF('ORDENES'!$AU568="","-",'ORDENES'!$AU568))</f>
        <v/>
      </c>
      <c r="J590" s="24">
        <f>IF('ORDENES'!$A568="","",IF('ORDENES'!$D568="","-",'ORDENES'!$D568))</f>
        <v/>
      </c>
      <c r="K590" s="24">
        <f>IF('ORDENES'!$A568="","",IF('ORDENES'!$E568="","-",'ORDENES'!$E568))</f>
        <v/>
      </c>
      <c r="L590" s="26">
        <f>IF('ORDENES'!$A568="","",IF('ORDENES'!$M568="",0,'ORDENES'!$M568))</f>
        <v/>
      </c>
      <c r="M590" s="24">
        <f>IF('ORDENES'!$A568="","",IF('ORDENES'!$N568="","-",'ORDENES'!$N568))</f>
        <v/>
      </c>
      <c r="N590" s="24">
        <f>IF('ORDENES'!$A568="","",'ORDENES'!$AG568)</f>
        <v/>
      </c>
    </row>
    <row r="591">
      <c r="A591" s="24">
        <f>IF('ORDENES'!$A569="","",IF('ORDENES'!$O569="","-",'ORDENES'!$O569))</f>
        <v/>
      </c>
      <c r="B591" s="24">
        <f>IF('ORDENES'!$A569="","",IF('ORDENES'!$S569="","-",'ORDENES'!$S569))</f>
        <v/>
      </c>
      <c r="C591" s="24">
        <f>IF('ORDENES'!$A569="","",IF('ORDENES'!$AI569="","-",'ORDENES'!$AI569))</f>
        <v/>
      </c>
      <c r="D591" s="24">
        <f>IF('ORDENES'!$A569="","",IF('ORDENES'!$AA569="","-",'ORDENES'!$AA569))</f>
        <v/>
      </c>
      <c r="E591" s="24">
        <f>IF('ORDENES'!$A569="","",IF('ORDENES'!$Y569="","-",'ORDENES'!$Y569))</f>
        <v/>
      </c>
      <c r="F591" s="24">
        <f>IF('ORDENES'!$A569="","",IF('ORDENES'!$AB569="","-",'ORDENES'!$AB569))</f>
        <v/>
      </c>
      <c r="G591" s="24">
        <f>IF('ORDENES'!$A569="","",IF('ORDENES'!$Z569="","-",'ORDENES'!$Z569))</f>
        <v/>
      </c>
      <c r="H591" s="24">
        <f>IF('ORDENES'!$A569="","",IF('ORDENES'!$AH569="","-",'ORDENES'!$AH569))</f>
        <v/>
      </c>
      <c r="I591" s="24">
        <f>IF('ORDENES'!$A569="","",IF('ORDENES'!$AU569="","-",'ORDENES'!$AU569))</f>
        <v/>
      </c>
      <c r="J591" s="24">
        <f>IF('ORDENES'!$A569="","",IF('ORDENES'!$D569="","-",'ORDENES'!$D569))</f>
        <v/>
      </c>
      <c r="K591" s="24">
        <f>IF('ORDENES'!$A569="","",IF('ORDENES'!$E569="","-",'ORDENES'!$E569))</f>
        <v/>
      </c>
      <c r="L591" s="26">
        <f>IF('ORDENES'!$A569="","",IF('ORDENES'!$M569="",0,'ORDENES'!$M569))</f>
        <v/>
      </c>
      <c r="M591" s="24">
        <f>IF('ORDENES'!$A569="","",IF('ORDENES'!$N569="","-",'ORDENES'!$N569))</f>
        <v/>
      </c>
      <c r="N591" s="24">
        <f>IF('ORDENES'!$A569="","",'ORDENES'!$AG569)</f>
        <v/>
      </c>
    </row>
    <row r="592">
      <c r="A592" s="24">
        <f>IF('ORDENES'!$A570="","",IF('ORDENES'!$O570="","-",'ORDENES'!$O570))</f>
        <v/>
      </c>
      <c r="B592" s="24">
        <f>IF('ORDENES'!$A570="","",IF('ORDENES'!$S570="","-",'ORDENES'!$S570))</f>
        <v/>
      </c>
      <c r="C592" s="24">
        <f>IF('ORDENES'!$A570="","",IF('ORDENES'!$AI570="","-",'ORDENES'!$AI570))</f>
        <v/>
      </c>
      <c r="D592" s="24">
        <f>IF('ORDENES'!$A570="","",IF('ORDENES'!$AA570="","-",'ORDENES'!$AA570))</f>
        <v/>
      </c>
      <c r="E592" s="24">
        <f>IF('ORDENES'!$A570="","",IF('ORDENES'!$Y570="","-",'ORDENES'!$Y570))</f>
        <v/>
      </c>
      <c r="F592" s="24">
        <f>IF('ORDENES'!$A570="","",IF('ORDENES'!$AB570="","-",'ORDENES'!$AB570))</f>
        <v/>
      </c>
      <c r="G592" s="24">
        <f>IF('ORDENES'!$A570="","",IF('ORDENES'!$Z570="","-",'ORDENES'!$Z570))</f>
        <v/>
      </c>
      <c r="H592" s="24">
        <f>IF('ORDENES'!$A570="","",IF('ORDENES'!$AH570="","-",'ORDENES'!$AH570))</f>
        <v/>
      </c>
      <c r="I592" s="24">
        <f>IF('ORDENES'!$A570="","",IF('ORDENES'!$AU570="","-",'ORDENES'!$AU570))</f>
        <v/>
      </c>
      <c r="J592" s="24">
        <f>IF('ORDENES'!$A570="","",IF('ORDENES'!$D570="","-",'ORDENES'!$D570))</f>
        <v/>
      </c>
      <c r="K592" s="24">
        <f>IF('ORDENES'!$A570="","",IF('ORDENES'!$E570="","-",'ORDENES'!$E570))</f>
        <v/>
      </c>
      <c r="L592" s="26">
        <f>IF('ORDENES'!$A570="","",IF('ORDENES'!$M570="",0,'ORDENES'!$M570))</f>
        <v/>
      </c>
      <c r="M592" s="24">
        <f>IF('ORDENES'!$A570="","",IF('ORDENES'!$N570="","-",'ORDENES'!$N570))</f>
        <v/>
      </c>
      <c r="N592" s="24">
        <f>IF('ORDENES'!$A570="","",'ORDENES'!$AG570)</f>
        <v/>
      </c>
    </row>
    <row r="593">
      <c r="A593" s="24">
        <f>IF('ORDENES'!$A571="","",IF('ORDENES'!$O571="","-",'ORDENES'!$O571))</f>
        <v/>
      </c>
      <c r="B593" s="24">
        <f>IF('ORDENES'!$A571="","",IF('ORDENES'!$S571="","-",'ORDENES'!$S571))</f>
        <v/>
      </c>
      <c r="C593" s="24">
        <f>IF('ORDENES'!$A571="","",IF('ORDENES'!$AI571="","-",'ORDENES'!$AI571))</f>
        <v/>
      </c>
      <c r="D593" s="24">
        <f>IF('ORDENES'!$A571="","",IF('ORDENES'!$AA571="","-",'ORDENES'!$AA571))</f>
        <v/>
      </c>
      <c r="E593" s="24">
        <f>IF('ORDENES'!$A571="","",IF('ORDENES'!$Y571="","-",'ORDENES'!$Y571))</f>
        <v/>
      </c>
      <c r="F593" s="24">
        <f>IF('ORDENES'!$A571="","",IF('ORDENES'!$AB571="","-",'ORDENES'!$AB571))</f>
        <v/>
      </c>
      <c r="G593" s="24">
        <f>IF('ORDENES'!$A571="","",IF('ORDENES'!$Z571="","-",'ORDENES'!$Z571))</f>
        <v/>
      </c>
      <c r="H593" s="24">
        <f>IF('ORDENES'!$A571="","",IF('ORDENES'!$AH571="","-",'ORDENES'!$AH571))</f>
        <v/>
      </c>
      <c r="I593" s="24">
        <f>IF('ORDENES'!$A571="","",IF('ORDENES'!$AU571="","-",'ORDENES'!$AU571))</f>
        <v/>
      </c>
      <c r="J593" s="24">
        <f>IF('ORDENES'!$A571="","",IF('ORDENES'!$D571="","-",'ORDENES'!$D571))</f>
        <v/>
      </c>
      <c r="K593" s="24">
        <f>IF('ORDENES'!$A571="","",IF('ORDENES'!$E571="","-",'ORDENES'!$E571))</f>
        <v/>
      </c>
      <c r="L593" s="26">
        <f>IF('ORDENES'!$A571="","",IF('ORDENES'!$M571="",0,'ORDENES'!$M571))</f>
        <v/>
      </c>
      <c r="M593" s="24">
        <f>IF('ORDENES'!$A571="","",IF('ORDENES'!$N571="","-",'ORDENES'!$N571))</f>
        <v/>
      </c>
      <c r="N593" s="24">
        <f>IF('ORDENES'!$A571="","",'ORDENES'!$AG571)</f>
        <v/>
      </c>
    </row>
    <row r="594">
      <c r="A594" s="24">
        <f>IF('ORDENES'!$A572="","",IF('ORDENES'!$O572="","-",'ORDENES'!$O572))</f>
        <v/>
      </c>
      <c r="B594" s="24">
        <f>IF('ORDENES'!$A572="","",IF('ORDENES'!$S572="","-",'ORDENES'!$S572))</f>
        <v/>
      </c>
      <c r="C594" s="24">
        <f>IF('ORDENES'!$A572="","",IF('ORDENES'!$AI572="","-",'ORDENES'!$AI572))</f>
        <v/>
      </c>
      <c r="D594" s="24">
        <f>IF('ORDENES'!$A572="","",IF('ORDENES'!$AA572="","-",'ORDENES'!$AA572))</f>
        <v/>
      </c>
      <c r="E594" s="24">
        <f>IF('ORDENES'!$A572="","",IF('ORDENES'!$Y572="","-",'ORDENES'!$Y572))</f>
        <v/>
      </c>
      <c r="F594" s="24">
        <f>IF('ORDENES'!$A572="","",IF('ORDENES'!$AB572="","-",'ORDENES'!$AB572))</f>
        <v/>
      </c>
      <c r="G594" s="24">
        <f>IF('ORDENES'!$A572="","",IF('ORDENES'!$Z572="","-",'ORDENES'!$Z572))</f>
        <v/>
      </c>
      <c r="H594" s="24">
        <f>IF('ORDENES'!$A572="","",IF('ORDENES'!$AH572="","-",'ORDENES'!$AH572))</f>
        <v/>
      </c>
      <c r="I594" s="24">
        <f>IF('ORDENES'!$A572="","",IF('ORDENES'!$AU572="","-",'ORDENES'!$AU572))</f>
        <v/>
      </c>
      <c r="J594" s="24">
        <f>IF('ORDENES'!$A572="","",IF('ORDENES'!$D572="","-",'ORDENES'!$D572))</f>
        <v/>
      </c>
      <c r="K594" s="24">
        <f>IF('ORDENES'!$A572="","",IF('ORDENES'!$E572="","-",'ORDENES'!$E572))</f>
        <v/>
      </c>
      <c r="L594" s="26">
        <f>IF('ORDENES'!$A572="","",IF('ORDENES'!$M572="",0,'ORDENES'!$M572))</f>
        <v/>
      </c>
      <c r="M594" s="24">
        <f>IF('ORDENES'!$A572="","",IF('ORDENES'!$N572="","-",'ORDENES'!$N572))</f>
        <v/>
      </c>
      <c r="N594" s="24">
        <f>IF('ORDENES'!$A572="","",'ORDENES'!$AG572)</f>
        <v/>
      </c>
    </row>
    <row r="595">
      <c r="A595" s="24">
        <f>IF('ORDENES'!$A573="","",IF('ORDENES'!$O573="","-",'ORDENES'!$O573))</f>
        <v/>
      </c>
      <c r="B595" s="24">
        <f>IF('ORDENES'!$A573="","",IF('ORDENES'!$S573="","-",'ORDENES'!$S573))</f>
        <v/>
      </c>
      <c r="C595" s="24">
        <f>IF('ORDENES'!$A573="","",IF('ORDENES'!$AI573="","-",'ORDENES'!$AI573))</f>
        <v/>
      </c>
      <c r="D595" s="24">
        <f>IF('ORDENES'!$A573="","",IF('ORDENES'!$AA573="","-",'ORDENES'!$AA573))</f>
        <v/>
      </c>
      <c r="E595" s="24">
        <f>IF('ORDENES'!$A573="","",IF('ORDENES'!$Y573="","-",'ORDENES'!$Y573))</f>
        <v/>
      </c>
      <c r="F595" s="24">
        <f>IF('ORDENES'!$A573="","",IF('ORDENES'!$AB573="","-",'ORDENES'!$AB573))</f>
        <v/>
      </c>
      <c r="G595" s="24">
        <f>IF('ORDENES'!$A573="","",IF('ORDENES'!$Z573="","-",'ORDENES'!$Z573))</f>
        <v/>
      </c>
      <c r="H595" s="24">
        <f>IF('ORDENES'!$A573="","",IF('ORDENES'!$AH573="","-",'ORDENES'!$AH573))</f>
        <v/>
      </c>
      <c r="I595" s="24">
        <f>IF('ORDENES'!$A573="","",IF('ORDENES'!$AU573="","-",'ORDENES'!$AU573))</f>
        <v/>
      </c>
      <c r="J595" s="24">
        <f>IF('ORDENES'!$A573="","",IF('ORDENES'!$D573="","-",'ORDENES'!$D573))</f>
        <v/>
      </c>
      <c r="K595" s="24">
        <f>IF('ORDENES'!$A573="","",IF('ORDENES'!$E573="","-",'ORDENES'!$E573))</f>
        <v/>
      </c>
      <c r="L595" s="26">
        <f>IF('ORDENES'!$A573="","",IF('ORDENES'!$M573="",0,'ORDENES'!$M573))</f>
        <v/>
      </c>
      <c r="M595" s="24">
        <f>IF('ORDENES'!$A573="","",IF('ORDENES'!$N573="","-",'ORDENES'!$N573))</f>
        <v/>
      </c>
      <c r="N595" s="24">
        <f>IF('ORDENES'!$A573="","",'ORDENES'!$AG573)</f>
        <v/>
      </c>
    </row>
    <row r="596">
      <c r="A596" s="24">
        <f>IF('ORDENES'!$A574="","",IF('ORDENES'!$O574="","-",'ORDENES'!$O574))</f>
        <v/>
      </c>
      <c r="B596" s="24">
        <f>IF('ORDENES'!$A574="","",IF('ORDENES'!$S574="","-",'ORDENES'!$S574))</f>
        <v/>
      </c>
      <c r="C596" s="24">
        <f>IF('ORDENES'!$A574="","",IF('ORDENES'!$AI574="","-",'ORDENES'!$AI574))</f>
        <v/>
      </c>
      <c r="D596" s="24">
        <f>IF('ORDENES'!$A574="","",IF('ORDENES'!$AA574="","-",'ORDENES'!$AA574))</f>
        <v/>
      </c>
      <c r="E596" s="24">
        <f>IF('ORDENES'!$A574="","",IF('ORDENES'!$Y574="","-",'ORDENES'!$Y574))</f>
        <v/>
      </c>
      <c r="F596" s="24">
        <f>IF('ORDENES'!$A574="","",IF('ORDENES'!$AB574="","-",'ORDENES'!$AB574))</f>
        <v/>
      </c>
      <c r="G596" s="24">
        <f>IF('ORDENES'!$A574="","",IF('ORDENES'!$Z574="","-",'ORDENES'!$Z574))</f>
        <v/>
      </c>
      <c r="H596" s="24">
        <f>IF('ORDENES'!$A574="","",IF('ORDENES'!$AH574="","-",'ORDENES'!$AH574))</f>
        <v/>
      </c>
      <c r="I596" s="24">
        <f>IF('ORDENES'!$A574="","",IF('ORDENES'!$AU574="","-",'ORDENES'!$AU574))</f>
        <v/>
      </c>
      <c r="J596" s="24">
        <f>IF('ORDENES'!$A574="","",IF('ORDENES'!$D574="","-",'ORDENES'!$D574))</f>
        <v/>
      </c>
      <c r="K596" s="24">
        <f>IF('ORDENES'!$A574="","",IF('ORDENES'!$E574="","-",'ORDENES'!$E574))</f>
        <v/>
      </c>
      <c r="L596" s="26">
        <f>IF('ORDENES'!$A574="","",IF('ORDENES'!$M574="",0,'ORDENES'!$M574))</f>
        <v/>
      </c>
      <c r="M596" s="24">
        <f>IF('ORDENES'!$A574="","",IF('ORDENES'!$N574="","-",'ORDENES'!$N574))</f>
        <v/>
      </c>
      <c r="N596" s="24">
        <f>IF('ORDENES'!$A574="","",'ORDENES'!$AG574)</f>
        <v/>
      </c>
    </row>
    <row r="597">
      <c r="A597" s="24">
        <f>IF('ORDENES'!$A575="","",IF('ORDENES'!$O575="","-",'ORDENES'!$O575))</f>
        <v/>
      </c>
      <c r="B597" s="24">
        <f>IF('ORDENES'!$A575="","",IF('ORDENES'!$S575="","-",'ORDENES'!$S575))</f>
        <v/>
      </c>
      <c r="C597" s="24">
        <f>IF('ORDENES'!$A575="","",IF('ORDENES'!$AI575="","-",'ORDENES'!$AI575))</f>
        <v/>
      </c>
      <c r="D597" s="24">
        <f>IF('ORDENES'!$A575="","",IF('ORDENES'!$AA575="","-",'ORDENES'!$AA575))</f>
        <v/>
      </c>
      <c r="E597" s="24">
        <f>IF('ORDENES'!$A575="","",IF('ORDENES'!$Y575="","-",'ORDENES'!$Y575))</f>
        <v/>
      </c>
      <c r="F597" s="24">
        <f>IF('ORDENES'!$A575="","",IF('ORDENES'!$AB575="","-",'ORDENES'!$AB575))</f>
        <v/>
      </c>
      <c r="G597" s="24">
        <f>IF('ORDENES'!$A575="","",IF('ORDENES'!$Z575="","-",'ORDENES'!$Z575))</f>
        <v/>
      </c>
      <c r="H597" s="24">
        <f>IF('ORDENES'!$A575="","",IF('ORDENES'!$AH575="","-",'ORDENES'!$AH575))</f>
        <v/>
      </c>
      <c r="I597" s="24">
        <f>IF('ORDENES'!$A575="","",IF('ORDENES'!$AU575="","-",'ORDENES'!$AU575))</f>
        <v/>
      </c>
      <c r="J597" s="24">
        <f>IF('ORDENES'!$A575="","",IF('ORDENES'!$D575="","-",'ORDENES'!$D575))</f>
        <v/>
      </c>
      <c r="K597" s="24">
        <f>IF('ORDENES'!$A575="","",IF('ORDENES'!$E575="","-",'ORDENES'!$E575))</f>
        <v/>
      </c>
      <c r="L597" s="26">
        <f>IF('ORDENES'!$A575="","",IF('ORDENES'!$M575="",0,'ORDENES'!$M575))</f>
        <v/>
      </c>
      <c r="M597" s="24">
        <f>IF('ORDENES'!$A575="","",IF('ORDENES'!$N575="","-",'ORDENES'!$N575))</f>
        <v/>
      </c>
      <c r="N597" s="24">
        <f>IF('ORDENES'!$A575="","",'ORDENES'!$AG575)</f>
        <v/>
      </c>
    </row>
    <row r="598">
      <c r="A598" s="24">
        <f>IF('ORDENES'!$A576="","",IF('ORDENES'!$O576="","-",'ORDENES'!$O576))</f>
        <v/>
      </c>
      <c r="B598" s="24">
        <f>IF('ORDENES'!$A576="","",IF('ORDENES'!$S576="","-",'ORDENES'!$S576))</f>
        <v/>
      </c>
      <c r="C598" s="24">
        <f>IF('ORDENES'!$A576="","",IF('ORDENES'!$AI576="","-",'ORDENES'!$AI576))</f>
        <v/>
      </c>
      <c r="D598" s="24">
        <f>IF('ORDENES'!$A576="","",IF('ORDENES'!$AA576="","-",'ORDENES'!$AA576))</f>
        <v/>
      </c>
      <c r="E598" s="24">
        <f>IF('ORDENES'!$A576="","",IF('ORDENES'!$Y576="","-",'ORDENES'!$Y576))</f>
        <v/>
      </c>
      <c r="F598" s="24">
        <f>IF('ORDENES'!$A576="","",IF('ORDENES'!$AB576="","-",'ORDENES'!$AB576))</f>
        <v/>
      </c>
      <c r="G598" s="24">
        <f>IF('ORDENES'!$A576="","",IF('ORDENES'!$Z576="","-",'ORDENES'!$Z576))</f>
        <v/>
      </c>
      <c r="H598" s="24">
        <f>IF('ORDENES'!$A576="","",IF('ORDENES'!$AH576="","-",'ORDENES'!$AH576))</f>
        <v/>
      </c>
      <c r="I598" s="24">
        <f>IF('ORDENES'!$A576="","",IF('ORDENES'!$AU576="","-",'ORDENES'!$AU576))</f>
        <v/>
      </c>
      <c r="J598" s="24">
        <f>IF('ORDENES'!$A576="","",IF('ORDENES'!$D576="","-",'ORDENES'!$D576))</f>
        <v/>
      </c>
      <c r="K598" s="24">
        <f>IF('ORDENES'!$A576="","",IF('ORDENES'!$E576="","-",'ORDENES'!$E576))</f>
        <v/>
      </c>
      <c r="L598" s="26">
        <f>IF('ORDENES'!$A576="","",IF('ORDENES'!$M576="",0,'ORDENES'!$M576))</f>
        <v/>
      </c>
      <c r="M598" s="24">
        <f>IF('ORDENES'!$A576="","",IF('ORDENES'!$N576="","-",'ORDENES'!$N576))</f>
        <v/>
      </c>
      <c r="N598" s="24">
        <f>IF('ORDENES'!$A576="","",'ORDENES'!$AG576)</f>
        <v/>
      </c>
    </row>
    <row r="599">
      <c r="A599" s="24">
        <f>IF('ORDENES'!$A577="","",IF('ORDENES'!$O577="","-",'ORDENES'!$O577))</f>
        <v/>
      </c>
      <c r="B599" s="24">
        <f>IF('ORDENES'!$A577="","",IF('ORDENES'!$S577="","-",'ORDENES'!$S577))</f>
        <v/>
      </c>
      <c r="C599" s="24">
        <f>IF('ORDENES'!$A577="","",IF('ORDENES'!$AI577="","-",'ORDENES'!$AI577))</f>
        <v/>
      </c>
      <c r="D599" s="24">
        <f>IF('ORDENES'!$A577="","",IF('ORDENES'!$AA577="","-",'ORDENES'!$AA577))</f>
        <v/>
      </c>
      <c r="E599" s="24">
        <f>IF('ORDENES'!$A577="","",IF('ORDENES'!$Y577="","-",'ORDENES'!$Y577))</f>
        <v/>
      </c>
      <c r="F599" s="24">
        <f>IF('ORDENES'!$A577="","",IF('ORDENES'!$AB577="","-",'ORDENES'!$AB577))</f>
        <v/>
      </c>
      <c r="G599" s="24">
        <f>IF('ORDENES'!$A577="","",IF('ORDENES'!$Z577="","-",'ORDENES'!$Z577))</f>
        <v/>
      </c>
      <c r="H599" s="24">
        <f>IF('ORDENES'!$A577="","",IF('ORDENES'!$AH577="","-",'ORDENES'!$AH577))</f>
        <v/>
      </c>
      <c r="I599" s="24">
        <f>IF('ORDENES'!$A577="","",IF('ORDENES'!$AU577="","-",'ORDENES'!$AU577))</f>
        <v/>
      </c>
      <c r="J599" s="24">
        <f>IF('ORDENES'!$A577="","",IF('ORDENES'!$D577="","-",'ORDENES'!$D577))</f>
        <v/>
      </c>
      <c r="K599" s="24">
        <f>IF('ORDENES'!$A577="","",IF('ORDENES'!$E577="","-",'ORDENES'!$E577))</f>
        <v/>
      </c>
      <c r="L599" s="26">
        <f>IF('ORDENES'!$A577="","",IF('ORDENES'!$M577="",0,'ORDENES'!$M577))</f>
        <v/>
      </c>
      <c r="M599" s="24">
        <f>IF('ORDENES'!$A577="","",IF('ORDENES'!$N577="","-",'ORDENES'!$N577))</f>
        <v/>
      </c>
      <c r="N599" s="24">
        <f>IF('ORDENES'!$A577="","",'ORDENES'!$AG577)</f>
        <v/>
      </c>
    </row>
    <row r="600">
      <c r="A600" s="24">
        <f>IF('ORDENES'!$A578="","",IF('ORDENES'!$O578="","-",'ORDENES'!$O578))</f>
        <v/>
      </c>
      <c r="B600" s="24">
        <f>IF('ORDENES'!$A578="","",IF('ORDENES'!$S578="","-",'ORDENES'!$S578))</f>
        <v/>
      </c>
      <c r="C600" s="24">
        <f>IF('ORDENES'!$A578="","",IF('ORDENES'!$AI578="","-",'ORDENES'!$AI578))</f>
        <v/>
      </c>
      <c r="D600" s="24">
        <f>IF('ORDENES'!$A578="","",IF('ORDENES'!$AA578="","-",'ORDENES'!$AA578))</f>
        <v/>
      </c>
      <c r="E600" s="24">
        <f>IF('ORDENES'!$A578="","",IF('ORDENES'!$Y578="","-",'ORDENES'!$Y578))</f>
        <v/>
      </c>
      <c r="F600" s="24">
        <f>IF('ORDENES'!$A578="","",IF('ORDENES'!$AB578="","-",'ORDENES'!$AB578))</f>
        <v/>
      </c>
      <c r="G600" s="24">
        <f>IF('ORDENES'!$A578="","",IF('ORDENES'!$Z578="","-",'ORDENES'!$Z578))</f>
        <v/>
      </c>
      <c r="H600" s="24">
        <f>IF('ORDENES'!$A578="","",IF('ORDENES'!$AH578="","-",'ORDENES'!$AH578))</f>
        <v/>
      </c>
      <c r="I600" s="24">
        <f>IF('ORDENES'!$A578="","",IF('ORDENES'!$AU578="","-",'ORDENES'!$AU578))</f>
        <v/>
      </c>
      <c r="J600" s="24">
        <f>IF('ORDENES'!$A578="","",IF('ORDENES'!$D578="","-",'ORDENES'!$D578))</f>
        <v/>
      </c>
      <c r="K600" s="24">
        <f>IF('ORDENES'!$A578="","",IF('ORDENES'!$E578="","-",'ORDENES'!$E578))</f>
        <v/>
      </c>
      <c r="L600" s="26">
        <f>IF('ORDENES'!$A578="","",IF('ORDENES'!$M578="",0,'ORDENES'!$M578))</f>
        <v/>
      </c>
      <c r="M600" s="24">
        <f>IF('ORDENES'!$A578="","",IF('ORDENES'!$N578="","-",'ORDENES'!$N578))</f>
        <v/>
      </c>
      <c r="N600" s="24">
        <f>IF('ORDENES'!$A578="","",'ORDENES'!$AG578)</f>
        <v/>
      </c>
    </row>
    <row r="601">
      <c r="A601" s="24">
        <f>IF('ORDENES'!$A579="","",IF('ORDENES'!$O579="","-",'ORDENES'!$O579))</f>
        <v/>
      </c>
      <c r="B601" s="24">
        <f>IF('ORDENES'!$A579="","",IF('ORDENES'!$S579="","-",'ORDENES'!$S579))</f>
        <v/>
      </c>
      <c r="C601" s="24">
        <f>IF('ORDENES'!$A579="","",IF('ORDENES'!$AI579="","-",'ORDENES'!$AI579))</f>
        <v/>
      </c>
      <c r="D601" s="24">
        <f>IF('ORDENES'!$A579="","",IF('ORDENES'!$AA579="","-",'ORDENES'!$AA579))</f>
        <v/>
      </c>
      <c r="E601" s="24">
        <f>IF('ORDENES'!$A579="","",IF('ORDENES'!$Y579="","-",'ORDENES'!$Y579))</f>
        <v/>
      </c>
      <c r="F601" s="24">
        <f>IF('ORDENES'!$A579="","",IF('ORDENES'!$AB579="","-",'ORDENES'!$AB579))</f>
        <v/>
      </c>
      <c r="G601" s="24">
        <f>IF('ORDENES'!$A579="","",IF('ORDENES'!$Z579="","-",'ORDENES'!$Z579))</f>
        <v/>
      </c>
      <c r="H601" s="24">
        <f>IF('ORDENES'!$A579="","",IF('ORDENES'!$AH579="","-",'ORDENES'!$AH579))</f>
        <v/>
      </c>
      <c r="I601" s="24">
        <f>IF('ORDENES'!$A579="","",IF('ORDENES'!$AU579="","-",'ORDENES'!$AU579))</f>
        <v/>
      </c>
      <c r="J601" s="24">
        <f>IF('ORDENES'!$A579="","",IF('ORDENES'!$D579="","-",'ORDENES'!$D579))</f>
        <v/>
      </c>
      <c r="K601" s="24">
        <f>IF('ORDENES'!$A579="","",IF('ORDENES'!$E579="","-",'ORDENES'!$E579))</f>
        <v/>
      </c>
      <c r="L601" s="26">
        <f>IF('ORDENES'!$A579="","",IF('ORDENES'!$M579="",0,'ORDENES'!$M579))</f>
        <v/>
      </c>
      <c r="M601" s="24">
        <f>IF('ORDENES'!$A579="","",IF('ORDENES'!$N579="","-",'ORDENES'!$N579))</f>
        <v/>
      </c>
      <c r="N601" s="24">
        <f>IF('ORDENES'!$A579="","",'ORDENES'!$AG579)</f>
        <v/>
      </c>
    </row>
    <row r="602">
      <c r="A602" s="24">
        <f>IF('ORDENES'!$A580="","",IF('ORDENES'!$O580="","-",'ORDENES'!$O580))</f>
        <v/>
      </c>
      <c r="B602" s="24">
        <f>IF('ORDENES'!$A580="","",IF('ORDENES'!$S580="","-",'ORDENES'!$S580))</f>
        <v/>
      </c>
      <c r="C602" s="24">
        <f>IF('ORDENES'!$A580="","",IF('ORDENES'!$AI580="","-",'ORDENES'!$AI580))</f>
        <v/>
      </c>
      <c r="D602" s="24">
        <f>IF('ORDENES'!$A580="","",IF('ORDENES'!$AA580="","-",'ORDENES'!$AA580))</f>
        <v/>
      </c>
      <c r="E602" s="24">
        <f>IF('ORDENES'!$A580="","",IF('ORDENES'!$Y580="","-",'ORDENES'!$Y580))</f>
        <v/>
      </c>
      <c r="F602" s="24">
        <f>IF('ORDENES'!$A580="","",IF('ORDENES'!$AB580="","-",'ORDENES'!$AB580))</f>
        <v/>
      </c>
      <c r="G602" s="24">
        <f>IF('ORDENES'!$A580="","",IF('ORDENES'!$Z580="","-",'ORDENES'!$Z580))</f>
        <v/>
      </c>
      <c r="H602" s="24">
        <f>IF('ORDENES'!$A580="","",IF('ORDENES'!$AH580="","-",'ORDENES'!$AH580))</f>
        <v/>
      </c>
      <c r="I602" s="24">
        <f>IF('ORDENES'!$A580="","",IF('ORDENES'!$AU580="","-",'ORDENES'!$AU580))</f>
        <v/>
      </c>
      <c r="J602" s="24">
        <f>IF('ORDENES'!$A580="","",IF('ORDENES'!$D580="","-",'ORDENES'!$D580))</f>
        <v/>
      </c>
      <c r="K602" s="24">
        <f>IF('ORDENES'!$A580="","",IF('ORDENES'!$E580="","-",'ORDENES'!$E580))</f>
        <v/>
      </c>
      <c r="L602" s="26">
        <f>IF('ORDENES'!$A580="","",IF('ORDENES'!$M580="",0,'ORDENES'!$M580))</f>
        <v/>
      </c>
      <c r="M602" s="24">
        <f>IF('ORDENES'!$A580="","",IF('ORDENES'!$N580="","-",'ORDENES'!$N580))</f>
        <v/>
      </c>
      <c r="N602" s="24">
        <f>IF('ORDENES'!$A580="","",'ORDENES'!$AG580)</f>
        <v/>
      </c>
    </row>
    <row r="603">
      <c r="A603" s="24">
        <f>IF('ORDENES'!$A581="","",IF('ORDENES'!$O581="","-",'ORDENES'!$O581))</f>
        <v/>
      </c>
      <c r="B603" s="24">
        <f>IF('ORDENES'!$A581="","",IF('ORDENES'!$S581="","-",'ORDENES'!$S581))</f>
        <v/>
      </c>
      <c r="C603" s="24">
        <f>IF('ORDENES'!$A581="","",IF('ORDENES'!$AI581="","-",'ORDENES'!$AI581))</f>
        <v/>
      </c>
      <c r="D603" s="24">
        <f>IF('ORDENES'!$A581="","",IF('ORDENES'!$AA581="","-",'ORDENES'!$AA581))</f>
        <v/>
      </c>
      <c r="E603" s="24">
        <f>IF('ORDENES'!$A581="","",IF('ORDENES'!$Y581="","-",'ORDENES'!$Y581))</f>
        <v/>
      </c>
      <c r="F603" s="24">
        <f>IF('ORDENES'!$A581="","",IF('ORDENES'!$AB581="","-",'ORDENES'!$AB581))</f>
        <v/>
      </c>
      <c r="G603" s="24">
        <f>IF('ORDENES'!$A581="","",IF('ORDENES'!$Z581="","-",'ORDENES'!$Z581))</f>
        <v/>
      </c>
      <c r="H603" s="24">
        <f>IF('ORDENES'!$A581="","",IF('ORDENES'!$AH581="","-",'ORDENES'!$AH581))</f>
        <v/>
      </c>
      <c r="I603" s="24">
        <f>IF('ORDENES'!$A581="","",IF('ORDENES'!$AU581="","-",'ORDENES'!$AU581))</f>
        <v/>
      </c>
      <c r="J603" s="24">
        <f>IF('ORDENES'!$A581="","",IF('ORDENES'!$D581="","-",'ORDENES'!$D581))</f>
        <v/>
      </c>
      <c r="K603" s="24">
        <f>IF('ORDENES'!$A581="","",IF('ORDENES'!$E581="","-",'ORDENES'!$E581))</f>
        <v/>
      </c>
      <c r="L603" s="26">
        <f>IF('ORDENES'!$A581="","",IF('ORDENES'!$M581="",0,'ORDENES'!$M581))</f>
        <v/>
      </c>
      <c r="M603" s="24">
        <f>IF('ORDENES'!$A581="","",IF('ORDENES'!$N581="","-",'ORDENES'!$N581))</f>
        <v/>
      </c>
      <c r="N603" s="24">
        <f>IF('ORDENES'!$A581="","",'ORDENES'!$AG581)</f>
        <v/>
      </c>
    </row>
    <row r="604">
      <c r="A604" s="24">
        <f>IF('ORDENES'!$A582="","",IF('ORDENES'!$O582="","-",'ORDENES'!$O582))</f>
        <v/>
      </c>
      <c r="B604" s="24">
        <f>IF('ORDENES'!$A582="","",IF('ORDENES'!$S582="","-",'ORDENES'!$S582))</f>
        <v/>
      </c>
      <c r="C604" s="24">
        <f>IF('ORDENES'!$A582="","",IF('ORDENES'!$AI582="","-",'ORDENES'!$AI582))</f>
        <v/>
      </c>
      <c r="D604" s="24">
        <f>IF('ORDENES'!$A582="","",IF('ORDENES'!$AA582="","-",'ORDENES'!$AA582))</f>
        <v/>
      </c>
      <c r="E604" s="24">
        <f>IF('ORDENES'!$A582="","",IF('ORDENES'!$Y582="","-",'ORDENES'!$Y582))</f>
        <v/>
      </c>
      <c r="F604" s="24">
        <f>IF('ORDENES'!$A582="","",IF('ORDENES'!$AB582="","-",'ORDENES'!$AB582))</f>
        <v/>
      </c>
      <c r="G604" s="24">
        <f>IF('ORDENES'!$A582="","",IF('ORDENES'!$Z582="","-",'ORDENES'!$Z582))</f>
        <v/>
      </c>
      <c r="H604" s="24">
        <f>IF('ORDENES'!$A582="","",IF('ORDENES'!$AH582="","-",'ORDENES'!$AH582))</f>
        <v/>
      </c>
      <c r="I604" s="24">
        <f>IF('ORDENES'!$A582="","",IF('ORDENES'!$AU582="","-",'ORDENES'!$AU582))</f>
        <v/>
      </c>
      <c r="J604" s="24">
        <f>IF('ORDENES'!$A582="","",IF('ORDENES'!$D582="","-",'ORDENES'!$D582))</f>
        <v/>
      </c>
      <c r="K604" s="24">
        <f>IF('ORDENES'!$A582="","",IF('ORDENES'!$E582="","-",'ORDENES'!$E582))</f>
        <v/>
      </c>
      <c r="L604" s="26">
        <f>IF('ORDENES'!$A582="","",IF('ORDENES'!$M582="",0,'ORDENES'!$M582))</f>
        <v/>
      </c>
      <c r="M604" s="24">
        <f>IF('ORDENES'!$A582="","",IF('ORDENES'!$N582="","-",'ORDENES'!$N582))</f>
        <v/>
      </c>
      <c r="N604" s="24">
        <f>IF('ORDENES'!$A582="","",'ORDENES'!$AG582)</f>
        <v/>
      </c>
    </row>
    <row r="605">
      <c r="A605" s="24">
        <f>IF('ORDENES'!$A583="","",IF('ORDENES'!$O583="","-",'ORDENES'!$O583))</f>
        <v/>
      </c>
      <c r="B605" s="24">
        <f>IF('ORDENES'!$A583="","",IF('ORDENES'!$S583="","-",'ORDENES'!$S583))</f>
        <v/>
      </c>
      <c r="C605" s="24">
        <f>IF('ORDENES'!$A583="","",IF('ORDENES'!$AI583="","-",'ORDENES'!$AI583))</f>
        <v/>
      </c>
      <c r="D605" s="24">
        <f>IF('ORDENES'!$A583="","",IF('ORDENES'!$AA583="","-",'ORDENES'!$AA583))</f>
        <v/>
      </c>
      <c r="E605" s="24">
        <f>IF('ORDENES'!$A583="","",IF('ORDENES'!$Y583="","-",'ORDENES'!$Y583))</f>
        <v/>
      </c>
      <c r="F605" s="24">
        <f>IF('ORDENES'!$A583="","",IF('ORDENES'!$AB583="","-",'ORDENES'!$AB583))</f>
        <v/>
      </c>
      <c r="G605" s="24">
        <f>IF('ORDENES'!$A583="","",IF('ORDENES'!$Z583="","-",'ORDENES'!$Z583))</f>
        <v/>
      </c>
      <c r="H605" s="24">
        <f>IF('ORDENES'!$A583="","",IF('ORDENES'!$AH583="","-",'ORDENES'!$AH583))</f>
        <v/>
      </c>
      <c r="I605" s="24">
        <f>IF('ORDENES'!$A583="","",IF('ORDENES'!$AU583="","-",'ORDENES'!$AU583))</f>
        <v/>
      </c>
      <c r="J605" s="24">
        <f>IF('ORDENES'!$A583="","",IF('ORDENES'!$D583="","-",'ORDENES'!$D583))</f>
        <v/>
      </c>
      <c r="K605" s="24">
        <f>IF('ORDENES'!$A583="","",IF('ORDENES'!$E583="","-",'ORDENES'!$E583))</f>
        <v/>
      </c>
      <c r="L605" s="26">
        <f>IF('ORDENES'!$A583="","",IF('ORDENES'!$M583="",0,'ORDENES'!$M583))</f>
        <v/>
      </c>
      <c r="M605" s="24">
        <f>IF('ORDENES'!$A583="","",IF('ORDENES'!$N583="","-",'ORDENES'!$N583))</f>
        <v/>
      </c>
      <c r="N605" s="24">
        <f>IF('ORDENES'!$A583="","",'ORDENES'!$AG583)</f>
        <v/>
      </c>
    </row>
    <row r="606">
      <c r="A606" s="24">
        <f>IF('ORDENES'!$A584="","",IF('ORDENES'!$O584="","-",'ORDENES'!$O584))</f>
        <v/>
      </c>
      <c r="B606" s="24">
        <f>IF('ORDENES'!$A584="","",IF('ORDENES'!$S584="","-",'ORDENES'!$S584))</f>
        <v/>
      </c>
      <c r="C606" s="24">
        <f>IF('ORDENES'!$A584="","",IF('ORDENES'!$AI584="","-",'ORDENES'!$AI584))</f>
        <v/>
      </c>
      <c r="D606" s="24">
        <f>IF('ORDENES'!$A584="","",IF('ORDENES'!$AA584="","-",'ORDENES'!$AA584))</f>
        <v/>
      </c>
      <c r="E606" s="24">
        <f>IF('ORDENES'!$A584="","",IF('ORDENES'!$Y584="","-",'ORDENES'!$Y584))</f>
        <v/>
      </c>
      <c r="F606" s="24">
        <f>IF('ORDENES'!$A584="","",IF('ORDENES'!$AB584="","-",'ORDENES'!$AB584))</f>
        <v/>
      </c>
      <c r="G606" s="24">
        <f>IF('ORDENES'!$A584="","",IF('ORDENES'!$Z584="","-",'ORDENES'!$Z584))</f>
        <v/>
      </c>
      <c r="H606" s="24">
        <f>IF('ORDENES'!$A584="","",IF('ORDENES'!$AH584="","-",'ORDENES'!$AH584))</f>
        <v/>
      </c>
      <c r="I606" s="24">
        <f>IF('ORDENES'!$A584="","",IF('ORDENES'!$AU584="","-",'ORDENES'!$AU584))</f>
        <v/>
      </c>
      <c r="J606" s="24">
        <f>IF('ORDENES'!$A584="","",IF('ORDENES'!$D584="","-",'ORDENES'!$D584))</f>
        <v/>
      </c>
      <c r="K606" s="24">
        <f>IF('ORDENES'!$A584="","",IF('ORDENES'!$E584="","-",'ORDENES'!$E584))</f>
        <v/>
      </c>
      <c r="L606" s="26">
        <f>IF('ORDENES'!$A584="","",IF('ORDENES'!$M584="",0,'ORDENES'!$M584))</f>
        <v/>
      </c>
      <c r="M606" s="24">
        <f>IF('ORDENES'!$A584="","",IF('ORDENES'!$N584="","-",'ORDENES'!$N584))</f>
        <v/>
      </c>
      <c r="N606" s="24">
        <f>IF('ORDENES'!$A584="","",'ORDENES'!$AG584)</f>
        <v/>
      </c>
    </row>
    <row r="607">
      <c r="A607" s="24">
        <f>IF('ORDENES'!$A585="","",IF('ORDENES'!$O585="","-",'ORDENES'!$O585))</f>
        <v/>
      </c>
      <c r="B607" s="24">
        <f>IF('ORDENES'!$A585="","",IF('ORDENES'!$S585="","-",'ORDENES'!$S585))</f>
        <v/>
      </c>
      <c r="C607" s="24">
        <f>IF('ORDENES'!$A585="","",IF('ORDENES'!$AI585="","-",'ORDENES'!$AI585))</f>
        <v/>
      </c>
      <c r="D607" s="24">
        <f>IF('ORDENES'!$A585="","",IF('ORDENES'!$AA585="","-",'ORDENES'!$AA585))</f>
        <v/>
      </c>
      <c r="E607" s="24">
        <f>IF('ORDENES'!$A585="","",IF('ORDENES'!$Y585="","-",'ORDENES'!$Y585))</f>
        <v/>
      </c>
      <c r="F607" s="24">
        <f>IF('ORDENES'!$A585="","",IF('ORDENES'!$AB585="","-",'ORDENES'!$AB585))</f>
        <v/>
      </c>
      <c r="G607" s="24">
        <f>IF('ORDENES'!$A585="","",IF('ORDENES'!$Z585="","-",'ORDENES'!$Z585))</f>
        <v/>
      </c>
      <c r="H607" s="24">
        <f>IF('ORDENES'!$A585="","",IF('ORDENES'!$AH585="","-",'ORDENES'!$AH585))</f>
        <v/>
      </c>
      <c r="I607" s="24">
        <f>IF('ORDENES'!$A585="","",IF('ORDENES'!$AU585="","-",'ORDENES'!$AU585))</f>
        <v/>
      </c>
      <c r="J607" s="24">
        <f>IF('ORDENES'!$A585="","",IF('ORDENES'!$D585="","-",'ORDENES'!$D585))</f>
        <v/>
      </c>
      <c r="K607" s="24">
        <f>IF('ORDENES'!$A585="","",IF('ORDENES'!$E585="","-",'ORDENES'!$E585))</f>
        <v/>
      </c>
      <c r="L607" s="26">
        <f>IF('ORDENES'!$A585="","",IF('ORDENES'!$M585="",0,'ORDENES'!$M585))</f>
        <v/>
      </c>
      <c r="M607" s="24">
        <f>IF('ORDENES'!$A585="","",IF('ORDENES'!$N585="","-",'ORDENES'!$N585))</f>
        <v/>
      </c>
      <c r="N607" s="24">
        <f>IF('ORDENES'!$A585="","",'ORDENES'!$AG585)</f>
        <v/>
      </c>
    </row>
    <row r="608">
      <c r="A608" s="24">
        <f>IF('ORDENES'!$A586="","",IF('ORDENES'!$O586="","-",'ORDENES'!$O586))</f>
        <v/>
      </c>
      <c r="B608" s="24">
        <f>IF('ORDENES'!$A586="","",IF('ORDENES'!$S586="","-",'ORDENES'!$S586))</f>
        <v/>
      </c>
      <c r="C608" s="24">
        <f>IF('ORDENES'!$A586="","",IF('ORDENES'!$AI586="","-",'ORDENES'!$AI586))</f>
        <v/>
      </c>
      <c r="D608" s="24">
        <f>IF('ORDENES'!$A586="","",IF('ORDENES'!$AA586="","-",'ORDENES'!$AA586))</f>
        <v/>
      </c>
      <c r="E608" s="24">
        <f>IF('ORDENES'!$A586="","",IF('ORDENES'!$Y586="","-",'ORDENES'!$Y586))</f>
        <v/>
      </c>
      <c r="F608" s="24">
        <f>IF('ORDENES'!$A586="","",IF('ORDENES'!$AB586="","-",'ORDENES'!$AB586))</f>
        <v/>
      </c>
      <c r="G608" s="24">
        <f>IF('ORDENES'!$A586="","",IF('ORDENES'!$Z586="","-",'ORDENES'!$Z586))</f>
        <v/>
      </c>
      <c r="H608" s="24">
        <f>IF('ORDENES'!$A586="","",IF('ORDENES'!$AH586="","-",'ORDENES'!$AH586))</f>
        <v/>
      </c>
      <c r="I608" s="24">
        <f>IF('ORDENES'!$A586="","",IF('ORDENES'!$AU586="","-",'ORDENES'!$AU586))</f>
        <v/>
      </c>
      <c r="J608" s="24">
        <f>IF('ORDENES'!$A586="","",IF('ORDENES'!$D586="","-",'ORDENES'!$D586))</f>
        <v/>
      </c>
      <c r="K608" s="24">
        <f>IF('ORDENES'!$A586="","",IF('ORDENES'!$E586="","-",'ORDENES'!$E586))</f>
        <v/>
      </c>
      <c r="L608" s="26">
        <f>IF('ORDENES'!$A586="","",IF('ORDENES'!$M586="",0,'ORDENES'!$M586))</f>
        <v/>
      </c>
      <c r="M608" s="24">
        <f>IF('ORDENES'!$A586="","",IF('ORDENES'!$N586="","-",'ORDENES'!$N586))</f>
        <v/>
      </c>
      <c r="N608" s="24">
        <f>IF('ORDENES'!$A586="","",'ORDENES'!$AG586)</f>
        <v/>
      </c>
    </row>
    <row r="609">
      <c r="A609" s="24">
        <f>IF('ORDENES'!$A587="","",IF('ORDENES'!$O587="","-",'ORDENES'!$O587))</f>
        <v/>
      </c>
      <c r="B609" s="24">
        <f>IF('ORDENES'!$A587="","",IF('ORDENES'!$S587="","-",'ORDENES'!$S587))</f>
        <v/>
      </c>
      <c r="C609" s="24">
        <f>IF('ORDENES'!$A587="","",IF('ORDENES'!$AI587="","-",'ORDENES'!$AI587))</f>
        <v/>
      </c>
      <c r="D609" s="24">
        <f>IF('ORDENES'!$A587="","",IF('ORDENES'!$AA587="","-",'ORDENES'!$AA587))</f>
        <v/>
      </c>
      <c r="E609" s="24">
        <f>IF('ORDENES'!$A587="","",IF('ORDENES'!$Y587="","-",'ORDENES'!$Y587))</f>
        <v/>
      </c>
      <c r="F609" s="24">
        <f>IF('ORDENES'!$A587="","",IF('ORDENES'!$AB587="","-",'ORDENES'!$AB587))</f>
        <v/>
      </c>
      <c r="G609" s="24">
        <f>IF('ORDENES'!$A587="","",IF('ORDENES'!$Z587="","-",'ORDENES'!$Z587))</f>
        <v/>
      </c>
      <c r="H609" s="24">
        <f>IF('ORDENES'!$A587="","",IF('ORDENES'!$AH587="","-",'ORDENES'!$AH587))</f>
        <v/>
      </c>
      <c r="I609" s="24">
        <f>IF('ORDENES'!$A587="","",IF('ORDENES'!$AU587="","-",'ORDENES'!$AU587))</f>
        <v/>
      </c>
      <c r="J609" s="24">
        <f>IF('ORDENES'!$A587="","",IF('ORDENES'!$D587="","-",'ORDENES'!$D587))</f>
        <v/>
      </c>
      <c r="K609" s="24">
        <f>IF('ORDENES'!$A587="","",IF('ORDENES'!$E587="","-",'ORDENES'!$E587))</f>
        <v/>
      </c>
      <c r="L609" s="26">
        <f>IF('ORDENES'!$A587="","",IF('ORDENES'!$M587="",0,'ORDENES'!$M587))</f>
        <v/>
      </c>
      <c r="M609" s="24">
        <f>IF('ORDENES'!$A587="","",IF('ORDENES'!$N587="","-",'ORDENES'!$N587))</f>
        <v/>
      </c>
      <c r="N609" s="24">
        <f>IF('ORDENES'!$A587="","",'ORDENES'!$AG587)</f>
        <v/>
      </c>
    </row>
    <row r="610">
      <c r="A610" s="24">
        <f>IF('ORDENES'!$A588="","",IF('ORDENES'!$O588="","-",'ORDENES'!$O588))</f>
        <v/>
      </c>
      <c r="B610" s="24">
        <f>IF('ORDENES'!$A588="","",IF('ORDENES'!$S588="","-",'ORDENES'!$S588))</f>
        <v/>
      </c>
      <c r="C610" s="24">
        <f>IF('ORDENES'!$A588="","",IF('ORDENES'!$AI588="","-",'ORDENES'!$AI588))</f>
        <v/>
      </c>
      <c r="D610" s="24">
        <f>IF('ORDENES'!$A588="","",IF('ORDENES'!$AA588="","-",'ORDENES'!$AA588))</f>
        <v/>
      </c>
      <c r="E610" s="24">
        <f>IF('ORDENES'!$A588="","",IF('ORDENES'!$Y588="","-",'ORDENES'!$Y588))</f>
        <v/>
      </c>
      <c r="F610" s="24">
        <f>IF('ORDENES'!$A588="","",IF('ORDENES'!$AB588="","-",'ORDENES'!$AB588))</f>
        <v/>
      </c>
      <c r="G610" s="24">
        <f>IF('ORDENES'!$A588="","",IF('ORDENES'!$Z588="","-",'ORDENES'!$Z588))</f>
        <v/>
      </c>
      <c r="H610" s="24">
        <f>IF('ORDENES'!$A588="","",IF('ORDENES'!$AH588="","-",'ORDENES'!$AH588))</f>
        <v/>
      </c>
      <c r="I610" s="24">
        <f>IF('ORDENES'!$A588="","",IF('ORDENES'!$AU588="","-",'ORDENES'!$AU588))</f>
        <v/>
      </c>
      <c r="J610" s="24">
        <f>IF('ORDENES'!$A588="","",IF('ORDENES'!$D588="","-",'ORDENES'!$D588))</f>
        <v/>
      </c>
      <c r="K610" s="24">
        <f>IF('ORDENES'!$A588="","",IF('ORDENES'!$E588="","-",'ORDENES'!$E588))</f>
        <v/>
      </c>
      <c r="L610" s="26">
        <f>IF('ORDENES'!$A588="","",IF('ORDENES'!$M588="",0,'ORDENES'!$M588))</f>
        <v/>
      </c>
      <c r="M610" s="24">
        <f>IF('ORDENES'!$A588="","",IF('ORDENES'!$N588="","-",'ORDENES'!$N588))</f>
        <v/>
      </c>
      <c r="N610" s="24">
        <f>IF('ORDENES'!$A588="","",'ORDENES'!$AG588)</f>
        <v/>
      </c>
    </row>
    <row r="611">
      <c r="A611" s="24">
        <f>IF('ORDENES'!$A589="","",IF('ORDENES'!$O589="","-",'ORDENES'!$O589))</f>
        <v/>
      </c>
      <c r="B611" s="24">
        <f>IF('ORDENES'!$A589="","",IF('ORDENES'!$S589="","-",'ORDENES'!$S589))</f>
        <v/>
      </c>
      <c r="C611" s="24">
        <f>IF('ORDENES'!$A589="","",IF('ORDENES'!$AI589="","-",'ORDENES'!$AI589))</f>
        <v/>
      </c>
      <c r="D611" s="24">
        <f>IF('ORDENES'!$A589="","",IF('ORDENES'!$AA589="","-",'ORDENES'!$AA589))</f>
        <v/>
      </c>
      <c r="E611" s="24">
        <f>IF('ORDENES'!$A589="","",IF('ORDENES'!$Y589="","-",'ORDENES'!$Y589))</f>
        <v/>
      </c>
      <c r="F611" s="24">
        <f>IF('ORDENES'!$A589="","",IF('ORDENES'!$AB589="","-",'ORDENES'!$AB589))</f>
        <v/>
      </c>
      <c r="G611" s="24">
        <f>IF('ORDENES'!$A589="","",IF('ORDENES'!$Z589="","-",'ORDENES'!$Z589))</f>
        <v/>
      </c>
      <c r="H611" s="24">
        <f>IF('ORDENES'!$A589="","",IF('ORDENES'!$AH589="","-",'ORDENES'!$AH589))</f>
        <v/>
      </c>
      <c r="I611" s="24">
        <f>IF('ORDENES'!$A589="","",IF('ORDENES'!$AU589="","-",'ORDENES'!$AU589))</f>
        <v/>
      </c>
      <c r="J611" s="24">
        <f>IF('ORDENES'!$A589="","",IF('ORDENES'!$D589="","-",'ORDENES'!$D589))</f>
        <v/>
      </c>
      <c r="K611" s="24">
        <f>IF('ORDENES'!$A589="","",IF('ORDENES'!$E589="","-",'ORDENES'!$E589))</f>
        <v/>
      </c>
      <c r="L611" s="26">
        <f>IF('ORDENES'!$A589="","",IF('ORDENES'!$M589="",0,'ORDENES'!$M589))</f>
        <v/>
      </c>
      <c r="M611" s="24">
        <f>IF('ORDENES'!$A589="","",IF('ORDENES'!$N589="","-",'ORDENES'!$N589))</f>
        <v/>
      </c>
      <c r="N611" s="24">
        <f>IF('ORDENES'!$A589="","",'ORDENES'!$AG589)</f>
        <v/>
      </c>
    </row>
    <row r="612">
      <c r="A612" s="24">
        <f>IF('ORDENES'!$A590="","",IF('ORDENES'!$O590="","-",'ORDENES'!$O590))</f>
        <v/>
      </c>
      <c r="B612" s="24">
        <f>IF('ORDENES'!$A590="","",IF('ORDENES'!$S590="","-",'ORDENES'!$S590))</f>
        <v/>
      </c>
      <c r="C612" s="24">
        <f>IF('ORDENES'!$A590="","",IF('ORDENES'!$AI590="","-",'ORDENES'!$AI590))</f>
        <v/>
      </c>
      <c r="D612" s="24">
        <f>IF('ORDENES'!$A590="","",IF('ORDENES'!$AA590="","-",'ORDENES'!$AA590))</f>
        <v/>
      </c>
      <c r="E612" s="24">
        <f>IF('ORDENES'!$A590="","",IF('ORDENES'!$Y590="","-",'ORDENES'!$Y590))</f>
        <v/>
      </c>
      <c r="F612" s="24">
        <f>IF('ORDENES'!$A590="","",IF('ORDENES'!$AB590="","-",'ORDENES'!$AB590))</f>
        <v/>
      </c>
      <c r="G612" s="24">
        <f>IF('ORDENES'!$A590="","",IF('ORDENES'!$Z590="","-",'ORDENES'!$Z590))</f>
        <v/>
      </c>
      <c r="H612" s="24">
        <f>IF('ORDENES'!$A590="","",IF('ORDENES'!$AH590="","-",'ORDENES'!$AH590))</f>
        <v/>
      </c>
      <c r="I612" s="24">
        <f>IF('ORDENES'!$A590="","",IF('ORDENES'!$AU590="","-",'ORDENES'!$AU590))</f>
        <v/>
      </c>
      <c r="J612" s="24">
        <f>IF('ORDENES'!$A590="","",IF('ORDENES'!$D590="","-",'ORDENES'!$D590))</f>
        <v/>
      </c>
      <c r="K612" s="24">
        <f>IF('ORDENES'!$A590="","",IF('ORDENES'!$E590="","-",'ORDENES'!$E590))</f>
        <v/>
      </c>
      <c r="L612" s="26">
        <f>IF('ORDENES'!$A590="","",IF('ORDENES'!$M590="",0,'ORDENES'!$M590))</f>
        <v/>
      </c>
      <c r="M612" s="24">
        <f>IF('ORDENES'!$A590="","",IF('ORDENES'!$N590="","-",'ORDENES'!$N590))</f>
        <v/>
      </c>
      <c r="N612" s="24">
        <f>IF('ORDENES'!$A590="","",'ORDENES'!$AG590)</f>
        <v/>
      </c>
    </row>
    <row r="613">
      <c r="A613" s="24">
        <f>IF('ORDENES'!$A591="","",IF('ORDENES'!$O591="","-",'ORDENES'!$O591))</f>
        <v/>
      </c>
      <c r="B613" s="24">
        <f>IF('ORDENES'!$A591="","",IF('ORDENES'!$S591="","-",'ORDENES'!$S591))</f>
        <v/>
      </c>
      <c r="C613" s="24">
        <f>IF('ORDENES'!$A591="","",IF('ORDENES'!$AI591="","-",'ORDENES'!$AI591))</f>
        <v/>
      </c>
      <c r="D613" s="24">
        <f>IF('ORDENES'!$A591="","",IF('ORDENES'!$AA591="","-",'ORDENES'!$AA591))</f>
        <v/>
      </c>
      <c r="E613" s="24">
        <f>IF('ORDENES'!$A591="","",IF('ORDENES'!$Y591="","-",'ORDENES'!$Y591))</f>
        <v/>
      </c>
      <c r="F613" s="24">
        <f>IF('ORDENES'!$A591="","",IF('ORDENES'!$AB591="","-",'ORDENES'!$AB591))</f>
        <v/>
      </c>
      <c r="G613" s="24">
        <f>IF('ORDENES'!$A591="","",IF('ORDENES'!$Z591="","-",'ORDENES'!$Z591))</f>
        <v/>
      </c>
      <c r="H613" s="24">
        <f>IF('ORDENES'!$A591="","",IF('ORDENES'!$AH591="","-",'ORDENES'!$AH591))</f>
        <v/>
      </c>
      <c r="I613" s="24">
        <f>IF('ORDENES'!$A591="","",IF('ORDENES'!$AU591="","-",'ORDENES'!$AU591))</f>
        <v/>
      </c>
      <c r="J613" s="24">
        <f>IF('ORDENES'!$A591="","",IF('ORDENES'!$D591="","-",'ORDENES'!$D591))</f>
        <v/>
      </c>
      <c r="K613" s="24">
        <f>IF('ORDENES'!$A591="","",IF('ORDENES'!$E591="","-",'ORDENES'!$E591))</f>
        <v/>
      </c>
      <c r="L613" s="26">
        <f>IF('ORDENES'!$A591="","",IF('ORDENES'!$M591="",0,'ORDENES'!$M591))</f>
        <v/>
      </c>
      <c r="M613" s="24">
        <f>IF('ORDENES'!$A591="","",IF('ORDENES'!$N591="","-",'ORDENES'!$N591))</f>
        <v/>
      </c>
      <c r="N613" s="24">
        <f>IF('ORDENES'!$A591="","",'ORDENES'!$AG591)</f>
        <v/>
      </c>
    </row>
    <row r="614">
      <c r="A614" s="24">
        <f>IF('ORDENES'!$A592="","",IF('ORDENES'!$O592="","-",'ORDENES'!$O592))</f>
        <v/>
      </c>
      <c r="B614" s="24">
        <f>IF('ORDENES'!$A592="","",IF('ORDENES'!$S592="","-",'ORDENES'!$S592))</f>
        <v/>
      </c>
      <c r="C614" s="24">
        <f>IF('ORDENES'!$A592="","",IF('ORDENES'!$AI592="","-",'ORDENES'!$AI592))</f>
        <v/>
      </c>
      <c r="D614" s="24">
        <f>IF('ORDENES'!$A592="","",IF('ORDENES'!$AA592="","-",'ORDENES'!$AA592))</f>
        <v/>
      </c>
      <c r="E614" s="24">
        <f>IF('ORDENES'!$A592="","",IF('ORDENES'!$Y592="","-",'ORDENES'!$Y592))</f>
        <v/>
      </c>
      <c r="F614" s="24">
        <f>IF('ORDENES'!$A592="","",IF('ORDENES'!$AB592="","-",'ORDENES'!$AB592))</f>
        <v/>
      </c>
      <c r="G614" s="24">
        <f>IF('ORDENES'!$A592="","",IF('ORDENES'!$Z592="","-",'ORDENES'!$Z592))</f>
        <v/>
      </c>
      <c r="H614" s="24">
        <f>IF('ORDENES'!$A592="","",IF('ORDENES'!$AH592="","-",'ORDENES'!$AH592))</f>
        <v/>
      </c>
      <c r="I614" s="24">
        <f>IF('ORDENES'!$A592="","",IF('ORDENES'!$AU592="","-",'ORDENES'!$AU592))</f>
        <v/>
      </c>
      <c r="J614" s="24">
        <f>IF('ORDENES'!$A592="","",IF('ORDENES'!$D592="","-",'ORDENES'!$D592))</f>
        <v/>
      </c>
      <c r="K614" s="24">
        <f>IF('ORDENES'!$A592="","",IF('ORDENES'!$E592="","-",'ORDENES'!$E592))</f>
        <v/>
      </c>
      <c r="L614" s="26">
        <f>IF('ORDENES'!$A592="","",IF('ORDENES'!$M592="",0,'ORDENES'!$M592))</f>
        <v/>
      </c>
      <c r="M614" s="24">
        <f>IF('ORDENES'!$A592="","",IF('ORDENES'!$N592="","-",'ORDENES'!$N592))</f>
        <v/>
      </c>
      <c r="N614" s="24">
        <f>IF('ORDENES'!$A592="","",'ORDENES'!$AG592)</f>
        <v/>
      </c>
    </row>
    <row r="615">
      <c r="A615" s="24">
        <f>IF('ORDENES'!$A593="","",IF('ORDENES'!$O593="","-",'ORDENES'!$O593))</f>
        <v/>
      </c>
      <c r="B615" s="24">
        <f>IF('ORDENES'!$A593="","",IF('ORDENES'!$S593="","-",'ORDENES'!$S593))</f>
        <v/>
      </c>
      <c r="C615" s="24">
        <f>IF('ORDENES'!$A593="","",IF('ORDENES'!$AI593="","-",'ORDENES'!$AI593))</f>
        <v/>
      </c>
      <c r="D615" s="24">
        <f>IF('ORDENES'!$A593="","",IF('ORDENES'!$AA593="","-",'ORDENES'!$AA593))</f>
        <v/>
      </c>
      <c r="E615" s="24">
        <f>IF('ORDENES'!$A593="","",IF('ORDENES'!$Y593="","-",'ORDENES'!$Y593))</f>
        <v/>
      </c>
      <c r="F615" s="24">
        <f>IF('ORDENES'!$A593="","",IF('ORDENES'!$AB593="","-",'ORDENES'!$AB593))</f>
        <v/>
      </c>
      <c r="G615" s="24">
        <f>IF('ORDENES'!$A593="","",IF('ORDENES'!$Z593="","-",'ORDENES'!$Z593))</f>
        <v/>
      </c>
      <c r="H615" s="24">
        <f>IF('ORDENES'!$A593="","",IF('ORDENES'!$AH593="","-",'ORDENES'!$AH593))</f>
        <v/>
      </c>
      <c r="I615" s="24">
        <f>IF('ORDENES'!$A593="","",IF('ORDENES'!$AU593="","-",'ORDENES'!$AU593))</f>
        <v/>
      </c>
      <c r="J615" s="24">
        <f>IF('ORDENES'!$A593="","",IF('ORDENES'!$D593="","-",'ORDENES'!$D593))</f>
        <v/>
      </c>
      <c r="K615" s="24">
        <f>IF('ORDENES'!$A593="","",IF('ORDENES'!$E593="","-",'ORDENES'!$E593))</f>
        <v/>
      </c>
      <c r="L615" s="26">
        <f>IF('ORDENES'!$A593="","",IF('ORDENES'!$M593="",0,'ORDENES'!$M593))</f>
        <v/>
      </c>
      <c r="M615" s="24">
        <f>IF('ORDENES'!$A593="","",IF('ORDENES'!$N593="","-",'ORDENES'!$N593))</f>
        <v/>
      </c>
      <c r="N615" s="24">
        <f>IF('ORDENES'!$A593="","",'ORDENES'!$AG593)</f>
        <v/>
      </c>
    </row>
    <row r="616">
      <c r="A616" s="24">
        <f>IF('ORDENES'!$A594="","",IF('ORDENES'!$O594="","-",'ORDENES'!$O594))</f>
        <v/>
      </c>
      <c r="B616" s="24">
        <f>IF('ORDENES'!$A594="","",IF('ORDENES'!$S594="","-",'ORDENES'!$S594))</f>
        <v/>
      </c>
      <c r="C616" s="24">
        <f>IF('ORDENES'!$A594="","",IF('ORDENES'!$AI594="","-",'ORDENES'!$AI594))</f>
        <v/>
      </c>
      <c r="D616" s="24">
        <f>IF('ORDENES'!$A594="","",IF('ORDENES'!$AA594="","-",'ORDENES'!$AA594))</f>
        <v/>
      </c>
      <c r="E616" s="24">
        <f>IF('ORDENES'!$A594="","",IF('ORDENES'!$Y594="","-",'ORDENES'!$Y594))</f>
        <v/>
      </c>
      <c r="F616" s="24">
        <f>IF('ORDENES'!$A594="","",IF('ORDENES'!$AB594="","-",'ORDENES'!$AB594))</f>
        <v/>
      </c>
      <c r="G616" s="24">
        <f>IF('ORDENES'!$A594="","",IF('ORDENES'!$Z594="","-",'ORDENES'!$Z594))</f>
        <v/>
      </c>
      <c r="H616" s="24">
        <f>IF('ORDENES'!$A594="","",IF('ORDENES'!$AH594="","-",'ORDENES'!$AH594))</f>
        <v/>
      </c>
      <c r="I616" s="24">
        <f>IF('ORDENES'!$A594="","",IF('ORDENES'!$AU594="","-",'ORDENES'!$AU594))</f>
        <v/>
      </c>
      <c r="J616" s="24">
        <f>IF('ORDENES'!$A594="","",IF('ORDENES'!$D594="","-",'ORDENES'!$D594))</f>
        <v/>
      </c>
      <c r="K616" s="24">
        <f>IF('ORDENES'!$A594="","",IF('ORDENES'!$E594="","-",'ORDENES'!$E594))</f>
        <v/>
      </c>
      <c r="L616" s="26">
        <f>IF('ORDENES'!$A594="","",IF('ORDENES'!$M594="",0,'ORDENES'!$M594))</f>
        <v/>
      </c>
      <c r="M616" s="24">
        <f>IF('ORDENES'!$A594="","",IF('ORDENES'!$N594="","-",'ORDENES'!$N594))</f>
        <v/>
      </c>
      <c r="N616" s="24">
        <f>IF('ORDENES'!$A594="","",'ORDENES'!$AG594)</f>
        <v/>
      </c>
    </row>
    <row r="617">
      <c r="A617" s="24">
        <f>IF('ORDENES'!$A595="","",IF('ORDENES'!$O595="","-",'ORDENES'!$O595))</f>
        <v/>
      </c>
      <c r="B617" s="24">
        <f>IF('ORDENES'!$A595="","",IF('ORDENES'!$S595="","-",'ORDENES'!$S595))</f>
        <v/>
      </c>
      <c r="C617" s="24">
        <f>IF('ORDENES'!$A595="","",IF('ORDENES'!$AI595="","-",'ORDENES'!$AI595))</f>
        <v/>
      </c>
      <c r="D617" s="24">
        <f>IF('ORDENES'!$A595="","",IF('ORDENES'!$AA595="","-",'ORDENES'!$AA595))</f>
        <v/>
      </c>
      <c r="E617" s="24">
        <f>IF('ORDENES'!$A595="","",IF('ORDENES'!$Y595="","-",'ORDENES'!$Y595))</f>
        <v/>
      </c>
      <c r="F617" s="24">
        <f>IF('ORDENES'!$A595="","",IF('ORDENES'!$AB595="","-",'ORDENES'!$AB595))</f>
        <v/>
      </c>
      <c r="G617" s="24">
        <f>IF('ORDENES'!$A595="","",IF('ORDENES'!$Z595="","-",'ORDENES'!$Z595))</f>
        <v/>
      </c>
      <c r="H617" s="24">
        <f>IF('ORDENES'!$A595="","",IF('ORDENES'!$AH595="","-",'ORDENES'!$AH595))</f>
        <v/>
      </c>
      <c r="I617" s="24">
        <f>IF('ORDENES'!$A595="","",IF('ORDENES'!$AU595="","-",'ORDENES'!$AU595))</f>
        <v/>
      </c>
      <c r="J617" s="24">
        <f>IF('ORDENES'!$A595="","",IF('ORDENES'!$D595="","-",'ORDENES'!$D595))</f>
        <v/>
      </c>
      <c r="K617" s="24">
        <f>IF('ORDENES'!$A595="","",IF('ORDENES'!$E595="","-",'ORDENES'!$E595))</f>
        <v/>
      </c>
      <c r="L617" s="26">
        <f>IF('ORDENES'!$A595="","",IF('ORDENES'!$M595="",0,'ORDENES'!$M595))</f>
        <v/>
      </c>
      <c r="M617" s="24">
        <f>IF('ORDENES'!$A595="","",IF('ORDENES'!$N595="","-",'ORDENES'!$N595))</f>
        <v/>
      </c>
      <c r="N617" s="24">
        <f>IF('ORDENES'!$A595="","",'ORDENES'!$AG595)</f>
        <v/>
      </c>
    </row>
    <row r="618">
      <c r="A618" s="24">
        <f>IF('ORDENES'!$A596="","",IF('ORDENES'!$O596="","-",'ORDENES'!$O596))</f>
        <v/>
      </c>
      <c r="B618" s="24">
        <f>IF('ORDENES'!$A596="","",IF('ORDENES'!$S596="","-",'ORDENES'!$S596))</f>
        <v/>
      </c>
      <c r="C618" s="24">
        <f>IF('ORDENES'!$A596="","",IF('ORDENES'!$AI596="","-",'ORDENES'!$AI596))</f>
        <v/>
      </c>
      <c r="D618" s="24">
        <f>IF('ORDENES'!$A596="","",IF('ORDENES'!$AA596="","-",'ORDENES'!$AA596))</f>
        <v/>
      </c>
      <c r="E618" s="24">
        <f>IF('ORDENES'!$A596="","",IF('ORDENES'!$Y596="","-",'ORDENES'!$Y596))</f>
        <v/>
      </c>
      <c r="F618" s="24">
        <f>IF('ORDENES'!$A596="","",IF('ORDENES'!$AB596="","-",'ORDENES'!$AB596))</f>
        <v/>
      </c>
      <c r="G618" s="24">
        <f>IF('ORDENES'!$A596="","",IF('ORDENES'!$Z596="","-",'ORDENES'!$Z596))</f>
        <v/>
      </c>
      <c r="H618" s="24">
        <f>IF('ORDENES'!$A596="","",IF('ORDENES'!$AH596="","-",'ORDENES'!$AH596))</f>
        <v/>
      </c>
      <c r="I618" s="24">
        <f>IF('ORDENES'!$A596="","",IF('ORDENES'!$AU596="","-",'ORDENES'!$AU596))</f>
        <v/>
      </c>
      <c r="J618" s="24">
        <f>IF('ORDENES'!$A596="","",IF('ORDENES'!$D596="","-",'ORDENES'!$D596))</f>
        <v/>
      </c>
      <c r="K618" s="24">
        <f>IF('ORDENES'!$A596="","",IF('ORDENES'!$E596="","-",'ORDENES'!$E596))</f>
        <v/>
      </c>
      <c r="L618" s="26">
        <f>IF('ORDENES'!$A596="","",IF('ORDENES'!$M596="",0,'ORDENES'!$M596))</f>
        <v/>
      </c>
      <c r="M618" s="24">
        <f>IF('ORDENES'!$A596="","",IF('ORDENES'!$N596="","-",'ORDENES'!$N596))</f>
        <v/>
      </c>
      <c r="N618" s="24">
        <f>IF('ORDENES'!$A596="","",'ORDENES'!$AG596)</f>
        <v/>
      </c>
    </row>
    <row r="619">
      <c r="A619" s="24">
        <f>IF('ORDENES'!$A597="","",IF('ORDENES'!$O597="","-",'ORDENES'!$O597))</f>
        <v/>
      </c>
      <c r="B619" s="24">
        <f>IF('ORDENES'!$A597="","",IF('ORDENES'!$S597="","-",'ORDENES'!$S597))</f>
        <v/>
      </c>
      <c r="C619" s="24">
        <f>IF('ORDENES'!$A597="","",IF('ORDENES'!$AI597="","-",'ORDENES'!$AI597))</f>
        <v/>
      </c>
      <c r="D619" s="24">
        <f>IF('ORDENES'!$A597="","",IF('ORDENES'!$AA597="","-",'ORDENES'!$AA597))</f>
        <v/>
      </c>
      <c r="E619" s="24">
        <f>IF('ORDENES'!$A597="","",IF('ORDENES'!$Y597="","-",'ORDENES'!$Y597))</f>
        <v/>
      </c>
      <c r="F619" s="24">
        <f>IF('ORDENES'!$A597="","",IF('ORDENES'!$AB597="","-",'ORDENES'!$AB597))</f>
        <v/>
      </c>
      <c r="G619" s="24">
        <f>IF('ORDENES'!$A597="","",IF('ORDENES'!$Z597="","-",'ORDENES'!$Z597))</f>
        <v/>
      </c>
      <c r="H619" s="24">
        <f>IF('ORDENES'!$A597="","",IF('ORDENES'!$AH597="","-",'ORDENES'!$AH597))</f>
        <v/>
      </c>
      <c r="I619" s="24">
        <f>IF('ORDENES'!$A597="","",IF('ORDENES'!$AU597="","-",'ORDENES'!$AU597))</f>
        <v/>
      </c>
      <c r="J619" s="24">
        <f>IF('ORDENES'!$A597="","",IF('ORDENES'!$D597="","-",'ORDENES'!$D597))</f>
        <v/>
      </c>
      <c r="K619" s="24">
        <f>IF('ORDENES'!$A597="","",IF('ORDENES'!$E597="","-",'ORDENES'!$E597))</f>
        <v/>
      </c>
      <c r="L619" s="26">
        <f>IF('ORDENES'!$A597="","",IF('ORDENES'!$M597="",0,'ORDENES'!$M597))</f>
        <v/>
      </c>
      <c r="M619" s="24">
        <f>IF('ORDENES'!$A597="","",IF('ORDENES'!$N597="","-",'ORDENES'!$N597))</f>
        <v/>
      </c>
      <c r="N619" s="24">
        <f>IF('ORDENES'!$A597="","",'ORDENES'!$AG597)</f>
        <v/>
      </c>
    </row>
    <row r="620">
      <c r="A620" s="24">
        <f>IF('ORDENES'!$A598="","",IF('ORDENES'!$O598="","-",'ORDENES'!$O598))</f>
        <v/>
      </c>
      <c r="B620" s="24">
        <f>IF('ORDENES'!$A598="","",IF('ORDENES'!$S598="","-",'ORDENES'!$S598))</f>
        <v/>
      </c>
      <c r="C620" s="24">
        <f>IF('ORDENES'!$A598="","",IF('ORDENES'!$AI598="","-",'ORDENES'!$AI598))</f>
        <v/>
      </c>
      <c r="D620" s="24">
        <f>IF('ORDENES'!$A598="","",IF('ORDENES'!$AA598="","-",'ORDENES'!$AA598))</f>
        <v/>
      </c>
      <c r="E620" s="24">
        <f>IF('ORDENES'!$A598="","",IF('ORDENES'!$Y598="","-",'ORDENES'!$Y598))</f>
        <v/>
      </c>
      <c r="F620" s="24">
        <f>IF('ORDENES'!$A598="","",IF('ORDENES'!$AB598="","-",'ORDENES'!$AB598))</f>
        <v/>
      </c>
      <c r="G620" s="24">
        <f>IF('ORDENES'!$A598="","",IF('ORDENES'!$Z598="","-",'ORDENES'!$Z598))</f>
        <v/>
      </c>
      <c r="H620" s="24">
        <f>IF('ORDENES'!$A598="","",IF('ORDENES'!$AH598="","-",'ORDENES'!$AH598))</f>
        <v/>
      </c>
      <c r="I620" s="24">
        <f>IF('ORDENES'!$A598="","",IF('ORDENES'!$AU598="","-",'ORDENES'!$AU598))</f>
        <v/>
      </c>
      <c r="J620" s="24">
        <f>IF('ORDENES'!$A598="","",IF('ORDENES'!$D598="","-",'ORDENES'!$D598))</f>
        <v/>
      </c>
      <c r="K620" s="24">
        <f>IF('ORDENES'!$A598="","",IF('ORDENES'!$E598="","-",'ORDENES'!$E598))</f>
        <v/>
      </c>
      <c r="L620" s="26">
        <f>IF('ORDENES'!$A598="","",IF('ORDENES'!$M598="",0,'ORDENES'!$M598))</f>
        <v/>
      </c>
      <c r="M620" s="24">
        <f>IF('ORDENES'!$A598="","",IF('ORDENES'!$N598="","-",'ORDENES'!$N598))</f>
        <v/>
      </c>
      <c r="N620" s="24">
        <f>IF('ORDENES'!$A598="","",'ORDENES'!$AG598)</f>
        <v/>
      </c>
    </row>
    <row r="621">
      <c r="A621" s="24">
        <f>IF('ORDENES'!$A599="","",IF('ORDENES'!$O599="","-",'ORDENES'!$O599))</f>
        <v/>
      </c>
      <c r="B621" s="24">
        <f>IF('ORDENES'!$A599="","",IF('ORDENES'!$S599="","-",'ORDENES'!$S599))</f>
        <v/>
      </c>
      <c r="C621" s="24">
        <f>IF('ORDENES'!$A599="","",IF('ORDENES'!$AI599="","-",'ORDENES'!$AI599))</f>
        <v/>
      </c>
      <c r="D621" s="24">
        <f>IF('ORDENES'!$A599="","",IF('ORDENES'!$AA599="","-",'ORDENES'!$AA599))</f>
        <v/>
      </c>
      <c r="E621" s="24">
        <f>IF('ORDENES'!$A599="","",IF('ORDENES'!$Y599="","-",'ORDENES'!$Y599))</f>
        <v/>
      </c>
      <c r="F621" s="24">
        <f>IF('ORDENES'!$A599="","",IF('ORDENES'!$AB599="","-",'ORDENES'!$AB599))</f>
        <v/>
      </c>
      <c r="G621" s="24">
        <f>IF('ORDENES'!$A599="","",IF('ORDENES'!$Z599="","-",'ORDENES'!$Z599))</f>
        <v/>
      </c>
      <c r="H621" s="24">
        <f>IF('ORDENES'!$A599="","",IF('ORDENES'!$AH599="","-",'ORDENES'!$AH599))</f>
        <v/>
      </c>
      <c r="I621" s="24">
        <f>IF('ORDENES'!$A599="","",IF('ORDENES'!$AU599="","-",'ORDENES'!$AU599))</f>
        <v/>
      </c>
      <c r="J621" s="24">
        <f>IF('ORDENES'!$A599="","",IF('ORDENES'!$D599="","-",'ORDENES'!$D599))</f>
        <v/>
      </c>
      <c r="K621" s="24">
        <f>IF('ORDENES'!$A599="","",IF('ORDENES'!$E599="","-",'ORDENES'!$E599))</f>
        <v/>
      </c>
      <c r="L621" s="26">
        <f>IF('ORDENES'!$A599="","",IF('ORDENES'!$M599="",0,'ORDENES'!$M599))</f>
        <v/>
      </c>
      <c r="M621" s="24">
        <f>IF('ORDENES'!$A599="","",IF('ORDENES'!$N599="","-",'ORDENES'!$N599))</f>
        <v/>
      </c>
      <c r="N621" s="24">
        <f>IF('ORDENES'!$A599="","",'ORDENES'!$AG599)</f>
        <v/>
      </c>
    </row>
    <row r="622">
      <c r="A622" s="24">
        <f>IF('ORDENES'!$A600="","",IF('ORDENES'!$O600="","-",'ORDENES'!$O600))</f>
        <v/>
      </c>
      <c r="B622" s="24">
        <f>IF('ORDENES'!$A600="","",IF('ORDENES'!$S600="","-",'ORDENES'!$S600))</f>
        <v/>
      </c>
      <c r="C622" s="24">
        <f>IF('ORDENES'!$A600="","",IF('ORDENES'!$AI600="","-",'ORDENES'!$AI600))</f>
        <v/>
      </c>
      <c r="D622" s="24">
        <f>IF('ORDENES'!$A600="","",IF('ORDENES'!$AA600="","-",'ORDENES'!$AA600))</f>
        <v/>
      </c>
      <c r="E622" s="24">
        <f>IF('ORDENES'!$A600="","",IF('ORDENES'!$Y600="","-",'ORDENES'!$Y600))</f>
        <v/>
      </c>
      <c r="F622" s="24">
        <f>IF('ORDENES'!$A600="","",IF('ORDENES'!$AB600="","-",'ORDENES'!$AB600))</f>
        <v/>
      </c>
      <c r="G622" s="24">
        <f>IF('ORDENES'!$A600="","",IF('ORDENES'!$Z600="","-",'ORDENES'!$Z600))</f>
        <v/>
      </c>
      <c r="H622" s="24">
        <f>IF('ORDENES'!$A600="","",IF('ORDENES'!$AH600="","-",'ORDENES'!$AH600))</f>
        <v/>
      </c>
      <c r="I622" s="24">
        <f>IF('ORDENES'!$A600="","",IF('ORDENES'!$AU600="","-",'ORDENES'!$AU600))</f>
        <v/>
      </c>
      <c r="J622" s="24">
        <f>IF('ORDENES'!$A600="","",IF('ORDENES'!$D600="","-",'ORDENES'!$D600))</f>
        <v/>
      </c>
      <c r="K622" s="24">
        <f>IF('ORDENES'!$A600="","",IF('ORDENES'!$E600="","-",'ORDENES'!$E600))</f>
        <v/>
      </c>
      <c r="L622" s="26">
        <f>IF('ORDENES'!$A600="","",IF('ORDENES'!$M600="",0,'ORDENES'!$M600))</f>
        <v/>
      </c>
      <c r="M622" s="24">
        <f>IF('ORDENES'!$A600="","",IF('ORDENES'!$N600="","-",'ORDENES'!$N600))</f>
        <v/>
      </c>
      <c r="N622" s="24">
        <f>IF('ORDENES'!$A600="","",'ORDENES'!$AG600)</f>
        <v/>
      </c>
    </row>
    <row r="623">
      <c r="A623" s="24">
        <f>IF('ORDENES'!$A601="","",IF('ORDENES'!$O601="","-",'ORDENES'!$O601))</f>
        <v/>
      </c>
      <c r="B623" s="24">
        <f>IF('ORDENES'!$A601="","",IF('ORDENES'!$S601="","-",'ORDENES'!$S601))</f>
        <v/>
      </c>
      <c r="C623" s="24">
        <f>IF('ORDENES'!$A601="","",IF('ORDENES'!$AI601="","-",'ORDENES'!$AI601))</f>
        <v/>
      </c>
      <c r="D623" s="24">
        <f>IF('ORDENES'!$A601="","",IF('ORDENES'!$AA601="","-",'ORDENES'!$AA601))</f>
        <v/>
      </c>
      <c r="E623" s="24">
        <f>IF('ORDENES'!$A601="","",IF('ORDENES'!$Y601="","-",'ORDENES'!$Y601))</f>
        <v/>
      </c>
      <c r="F623" s="24">
        <f>IF('ORDENES'!$A601="","",IF('ORDENES'!$AB601="","-",'ORDENES'!$AB601))</f>
        <v/>
      </c>
      <c r="G623" s="24">
        <f>IF('ORDENES'!$A601="","",IF('ORDENES'!$Z601="","-",'ORDENES'!$Z601))</f>
        <v/>
      </c>
      <c r="H623" s="24">
        <f>IF('ORDENES'!$A601="","",IF('ORDENES'!$AH601="","-",'ORDENES'!$AH601))</f>
        <v/>
      </c>
      <c r="I623" s="24">
        <f>IF('ORDENES'!$A601="","",IF('ORDENES'!$AU601="","-",'ORDENES'!$AU601))</f>
        <v/>
      </c>
      <c r="J623" s="24">
        <f>IF('ORDENES'!$A601="","",IF('ORDENES'!$D601="","-",'ORDENES'!$D601))</f>
        <v/>
      </c>
      <c r="K623" s="24">
        <f>IF('ORDENES'!$A601="","",IF('ORDENES'!$E601="","-",'ORDENES'!$E601))</f>
        <v/>
      </c>
      <c r="L623" s="26">
        <f>IF('ORDENES'!$A601="","",IF('ORDENES'!$M601="",0,'ORDENES'!$M601))</f>
        <v/>
      </c>
      <c r="M623" s="24">
        <f>IF('ORDENES'!$A601="","",IF('ORDENES'!$N601="","-",'ORDENES'!$N601))</f>
        <v/>
      </c>
      <c r="N623" s="24">
        <f>IF('ORDENES'!$A601="","",'ORDENES'!$AG601)</f>
        <v/>
      </c>
    </row>
    <row r="624">
      <c r="A624" s="24">
        <f>IF('ORDENES'!$A602="","",IF('ORDENES'!$O602="","-",'ORDENES'!$O602))</f>
        <v/>
      </c>
      <c r="B624" s="24">
        <f>IF('ORDENES'!$A602="","",IF('ORDENES'!$S602="","-",'ORDENES'!$S602))</f>
        <v/>
      </c>
      <c r="C624" s="24">
        <f>IF('ORDENES'!$A602="","",IF('ORDENES'!$AI602="","-",'ORDENES'!$AI602))</f>
        <v/>
      </c>
      <c r="D624" s="24">
        <f>IF('ORDENES'!$A602="","",IF('ORDENES'!$AA602="","-",'ORDENES'!$AA602))</f>
        <v/>
      </c>
      <c r="E624" s="24">
        <f>IF('ORDENES'!$A602="","",IF('ORDENES'!$Y602="","-",'ORDENES'!$Y602))</f>
        <v/>
      </c>
      <c r="F624" s="24">
        <f>IF('ORDENES'!$A602="","",IF('ORDENES'!$AB602="","-",'ORDENES'!$AB602))</f>
        <v/>
      </c>
      <c r="G624" s="24">
        <f>IF('ORDENES'!$A602="","",IF('ORDENES'!$Z602="","-",'ORDENES'!$Z602))</f>
        <v/>
      </c>
      <c r="H624" s="24">
        <f>IF('ORDENES'!$A602="","",IF('ORDENES'!$AH602="","-",'ORDENES'!$AH602))</f>
        <v/>
      </c>
      <c r="I624" s="24">
        <f>IF('ORDENES'!$A602="","",IF('ORDENES'!$AU602="","-",'ORDENES'!$AU602))</f>
        <v/>
      </c>
      <c r="J624" s="24">
        <f>IF('ORDENES'!$A602="","",IF('ORDENES'!$D602="","-",'ORDENES'!$D602))</f>
        <v/>
      </c>
      <c r="K624" s="24">
        <f>IF('ORDENES'!$A602="","",IF('ORDENES'!$E602="","-",'ORDENES'!$E602))</f>
        <v/>
      </c>
      <c r="L624" s="26">
        <f>IF('ORDENES'!$A602="","",IF('ORDENES'!$M602="",0,'ORDENES'!$M602))</f>
        <v/>
      </c>
      <c r="M624" s="24">
        <f>IF('ORDENES'!$A602="","",IF('ORDENES'!$N602="","-",'ORDENES'!$N602))</f>
        <v/>
      </c>
      <c r="N624" s="24">
        <f>IF('ORDENES'!$A602="","",'ORDENES'!$AG602)</f>
        <v/>
      </c>
    </row>
    <row r="625">
      <c r="A625" s="24">
        <f>IF('ORDENES'!$A603="","",IF('ORDENES'!$O603="","-",'ORDENES'!$O603))</f>
        <v/>
      </c>
      <c r="B625" s="24">
        <f>IF('ORDENES'!$A603="","",IF('ORDENES'!$S603="","-",'ORDENES'!$S603))</f>
        <v/>
      </c>
      <c r="C625" s="24">
        <f>IF('ORDENES'!$A603="","",IF('ORDENES'!$AI603="","-",'ORDENES'!$AI603))</f>
        <v/>
      </c>
      <c r="D625" s="24">
        <f>IF('ORDENES'!$A603="","",IF('ORDENES'!$AA603="","-",'ORDENES'!$AA603))</f>
        <v/>
      </c>
      <c r="E625" s="24">
        <f>IF('ORDENES'!$A603="","",IF('ORDENES'!$Y603="","-",'ORDENES'!$Y603))</f>
        <v/>
      </c>
      <c r="F625" s="24">
        <f>IF('ORDENES'!$A603="","",IF('ORDENES'!$AB603="","-",'ORDENES'!$AB603))</f>
        <v/>
      </c>
      <c r="G625" s="24">
        <f>IF('ORDENES'!$A603="","",IF('ORDENES'!$Z603="","-",'ORDENES'!$Z603))</f>
        <v/>
      </c>
      <c r="H625" s="24">
        <f>IF('ORDENES'!$A603="","",IF('ORDENES'!$AH603="","-",'ORDENES'!$AH603))</f>
        <v/>
      </c>
      <c r="I625" s="24">
        <f>IF('ORDENES'!$A603="","",IF('ORDENES'!$AU603="","-",'ORDENES'!$AU603))</f>
        <v/>
      </c>
      <c r="J625" s="24">
        <f>IF('ORDENES'!$A603="","",IF('ORDENES'!$D603="","-",'ORDENES'!$D603))</f>
        <v/>
      </c>
      <c r="K625" s="24">
        <f>IF('ORDENES'!$A603="","",IF('ORDENES'!$E603="","-",'ORDENES'!$E603))</f>
        <v/>
      </c>
      <c r="L625" s="26">
        <f>IF('ORDENES'!$A603="","",IF('ORDENES'!$M603="",0,'ORDENES'!$M603))</f>
        <v/>
      </c>
      <c r="M625" s="24">
        <f>IF('ORDENES'!$A603="","",IF('ORDENES'!$N603="","-",'ORDENES'!$N603))</f>
        <v/>
      </c>
      <c r="N625" s="24">
        <f>IF('ORDENES'!$A603="","",'ORDENES'!$AG603)</f>
        <v/>
      </c>
    </row>
    <row r="626">
      <c r="A626" s="24">
        <f>IF('ORDENES'!$A604="","",IF('ORDENES'!$O604="","-",'ORDENES'!$O604))</f>
        <v/>
      </c>
      <c r="B626" s="24">
        <f>IF('ORDENES'!$A604="","",IF('ORDENES'!$S604="","-",'ORDENES'!$S604))</f>
        <v/>
      </c>
      <c r="C626" s="24">
        <f>IF('ORDENES'!$A604="","",IF('ORDENES'!$AI604="","-",'ORDENES'!$AI604))</f>
        <v/>
      </c>
      <c r="D626" s="24">
        <f>IF('ORDENES'!$A604="","",IF('ORDENES'!$AA604="","-",'ORDENES'!$AA604))</f>
        <v/>
      </c>
      <c r="E626" s="24">
        <f>IF('ORDENES'!$A604="","",IF('ORDENES'!$Y604="","-",'ORDENES'!$Y604))</f>
        <v/>
      </c>
      <c r="F626" s="24">
        <f>IF('ORDENES'!$A604="","",IF('ORDENES'!$AB604="","-",'ORDENES'!$AB604))</f>
        <v/>
      </c>
      <c r="G626" s="24">
        <f>IF('ORDENES'!$A604="","",IF('ORDENES'!$Z604="","-",'ORDENES'!$Z604))</f>
        <v/>
      </c>
      <c r="H626" s="24">
        <f>IF('ORDENES'!$A604="","",IF('ORDENES'!$AH604="","-",'ORDENES'!$AH604))</f>
        <v/>
      </c>
      <c r="I626" s="24">
        <f>IF('ORDENES'!$A604="","",IF('ORDENES'!$AU604="","-",'ORDENES'!$AU604))</f>
        <v/>
      </c>
      <c r="J626" s="24">
        <f>IF('ORDENES'!$A604="","",IF('ORDENES'!$D604="","-",'ORDENES'!$D604))</f>
        <v/>
      </c>
      <c r="K626" s="24">
        <f>IF('ORDENES'!$A604="","",IF('ORDENES'!$E604="","-",'ORDENES'!$E604))</f>
        <v/>
      </c>
      <c r="L626" s="26">
        <f>IF('ORDENES'!$A604="","",IF('ORDENES'!$M604="",0,'ORDENES'!$M604))</f>
        <v/>
      </c>
      <c r="M626" s="24">
        <f>IF('ORDENES'!$A604="","",IF('ORDENES'!$N604="","-",'ORDENES'!$N604))</f>
        <v/>
      </c>
      <c r="N626" s="24">
        <f>IF('ORDENES'!$A604="","",'ORDENES'!$AG604)</f>
        <v/>
      </c>
    </row>
    <row r="627">
      <c r="A627" s="24">
        <f>IF('ORDENES'!$A605="","",IF('ORDENES'!$O605="","-",'ORDENES'!$O605))</f>
        <v/>
      </c>
      <c r="B627" s="24">
        <f>IF('ORDENES'!$A605="","",IF('ORDENES'!$S605="","-",'ORDENES'!$S605))</f>
        <v/>
      </c>
      <c r="C627" s="24">
        <f>IF('ORDENES'!$A605="","",IF('ORDENES'!$AI605="","-",'ORDENES'!$AI605))</f>
        <v/>
      </c>
      <c r="D627" s="24">
        <f>IF('ORDENES'!$A605="","",IF('ORDENES'!$AA605="","-",'ORDENES'!$AA605))</f>
        <v/>
      </c>
      <c r="E627" s="24">
        <f>IF('ORDENES'!$A605="","",IF('ORDENES'!$Y605="","-",'ORDENES'!$Y605))</f>
        <v/>
      </c>
      <c r="F627" s="24">
        <f>IF('ORDENES'!$A605="","",IF('ORDENES'!$AB605="","-",'ORDENES'!$AB605))</f>
        <v/>
      </c>
      <c r="G627" s="24">
        <f>IF('ORDENES'!$A605="","",IF('ORDENES'!$Z605="","-",'ORDENES'!$Z605))</f>
        <v/>
      </c>
      <c r="H627" s="24">
        <f>IF('ORDENES'!$A605="","",IF('ORDENES'!$AH605="","-",'ORDENES'!$AH605))</f>
        <v/>
      </c>
      <c r="I627" s="24">
        <f>IF('ORDENES'!$A605="","",IF('ORDENES'!$AU605="","-",'ORDENES'!$AU605))</f>
        <v/>
      </c>
      <c r="J627" s="24">
        <f>IF('ORDENES'!$A605="","",IF('ORDENES'!$D605="","-",'ORDENES'!$D605))</f>
        <v/>
      </c>
      <c r="K627" s="24">
        <f>IF('ORDENES'!$A605="","",IF('ORDENES'!$E605="","-",'ORDENES'!$E605))</f>
        <v/>
      </c>
      <c r="L627" s="26">
        <f>IF('ORDENES'!$A605="","",IF('ORDENES'!$M605="",0,'ORDENES'!$M605))</f>
        <v/>
      </c>
      <c r="M627" s="24">
        <f>IF('ORDENES'!$A605="","",IF('ORDENES'!$N605="","-",'ORDENES'!$N605))</f>
        <v/>
      </c>
      <c r="N627" s="24">
        <f>IF('ORDENES'!$A605="","",'ORDENES'!$AG605)</f>
        <v/>
      </c>
    </row>
    <row r="628">
      <c r="A628" s="24">
        <f>IF('ORDENES'!$A606="","",IF('ORDENES'!$O606="","-",'ORDENES'!$O606))</f>
        <v/>
      </c>
      <c r="B628" s="24">
        <f>IF('ORDENES'!$A606="","",IF('ORDENES'!$S606="","-",'ORDENES'!$S606))</f>
        <v/>
      </c>
      <c r="C628" s="24">
        <f>IF('ORDENES'!$A606="","",IF('ORDENES'!$AI606="","-",'ORDENES'!$AI606))</f>
        <v/>
      </c>
      <c r="D628" s="24">
        <f>IF('ORDENES'!$A606="","",IF('ORDENES'!$AA606="","-",'ORDENES'!$AA606))</f>
        <v/>
      </c>
      <c r="E628" s="24">
        <f>IF('ORDENES'!$A606="","",IF('ORDENES'!$Y606="","-",'ORDENES'!$Y606))</f>
        <v/>
      </c>
      <c r="F628" s="24">
        <f>IF('ORDENES'!$A606="","",IF('ORDENES'!$AB606="","-",'ORDENES'!$AB606))</f>
        <v/>
      </c>
      <c r="G628" s="24">
        <f>IF('ORDENES'!$A606="","",IF('ORDENES'!$Z606="","-",'ORDENES'!$Z606))</f>
        <v/>
      </c>
      <c r="H628" s="24">
        <f>IF('ORDENES'!$A606="","",IF('ORDENES'!$AH606="","-",'ORDENES'!$AH606))</f>
        <v/>
      </c>
      <c r="I628" s="24">
        <f>IF('ORDENES'!$A606="","",IF('ORDENES'!$AU606="","-",'ORDENES'!$AU606))</f>
        <v/>
      </c>
      <c r="J628" s="24">
        <f>IF('ORDENES'!$A606="","",IF('ORDENES'!$D606="","-",'ORDENES'!$D606))</f>
        <v/>
      </c>
      <c r="K628" s="24">
        <f>IF('ORDENES'!$A606="","",IF('ORDENES'!$E606="","-",'ORDENES'!$E606))</f>
        <v/>
      </c>
      <c r="L628" s="26">
        <f>IF('ORDENES'!$A606="","",IF('ORDENES'!$M606="",0,'ORDENES'!$M606))</f>
        <v/>
      </c>
      <c r="M628" s="24">
        <f>IF('ORDENES'!$A606="","",IF('ORDENES'!$N606="","-",'ORDENES'!$N606))</f>
        <v/>
      </c>
      <c r="N628" s="24">
        <f>IF('ORDENES'!$A606="","",'ORDENES'!$AG606)</f>
        <v/>
      </c>
    </row>
    <row r="629">
      <c r="A629" s="24">
        <f>IF('ORDENES'!$A607="","",IF('ORDENES'!$O607="","-",'ORDENES'!$O607))</f>
        <v/>
      </c>
      <c r="B629" s="24">
        <f>IF('ORDENES'!$A607="","",IF('ORDENES'!$S607="","-",'ORDENES'!$S607))</f>
        <v/>
      </c>
      <c r="C629" s="24">
        <f>IF('ORDENES'!$A607="","",IF('ORDENES'!$AI607="","-",'ORDENES'!$AI607))</f>
        <v/>
      </c>
      <c r="D629" s="24">
        <f>IF('ORDENES'!$A607="","",IF('ORDENES'!$AA607="","-",'ORDENES'!$AA607))</f>
        <v/>
      </c>
      <c r="E629" s="24">
        <f>IF('ORDENES'!$A607="","",IF('ORDENES'!$Y607="","-",'ORDENES'!$Y607))</f>
        <v/>
      </c>
      <c r="F629" s="24">
        <f>IF('ORDENES'!$A607="","",IF('ORDENES'!$AB607="","-",'ORDENES'!$AB607))</f>
        <v/>
      </c>
      <c r="G629" s="24">
        <f>IF('ORDENES'!$A607="","",IF('ORDENES'!$Z607="","-",'ORDENES'!$Z607))</f>
        <v/>
      </c>
      <c r="H629" s="24">
        <f>IF('ORDENES'!$A607="","",IF('ORDENES'!$AH607="","-",'ORDENES'!$AH607))</f>
        <v/>
      </c>
      <c r="I629" s="24">
        <f>IF('ORDENES'!$A607="","",IF('ORDENES'!$AU607="","-",'ORDENES'!$AU607))</f>
        <v/>
      </c>
      <c r="J629" s="24">
        <f>IF('ORDENES'!$A607="","",IF('ORDENES'!$D607="","-",'ORDENES'!$D607))</f>
        <v/>
      </c>
      <c r="K629" s="24">
        <f>IF('ORDENES'!$A607="","",IF('ORDENES'!$E607="","-",'ORDENES'!$E607))</f>
        <v/>
      </c>
      <c r="L629" s="26">
        <f>IF('ORDENES'!$A607="","",IF('ORDENES'!$M607="",0,'ORDENES'!$M607))</f>
        <v/>
      </c>
      <c r="M629" s="24">
        <f>IF('ORDENES'!$A607="","",IF('ORDENES'!$N607="","-",'ORDENES'!$N607))</f>
        <v/>
      </c>
      <c r="N629" s="24">
        <f>IF('ORDENES'!$A607="","",'ORDENES'!$AG607)</f>
        <v/>
      </c>
    </row>
    <row r="630">
      <c r="A630" s="24">
        <f>IF('ORDENES'!$A608="","",IF('ORDENES'!$O608="","-",'ORDENES'!$O608))</f>
        <v/>
      </c>
      <c r="B630" s="24">
        <f>IF('ORDENES'!$A608="","",IF('ORDENES'!$S608="","-",'ORDENES'!$S608))</f>
        <v/>
      </c>
      <c r="C630" s="24">
        <f>IF('ORDENES'!$A608="","",IF('ORDENES'!$AI608="","-",'ORDENES'!$AI608))</f>
        <v/>
      </c>
      <c r="D630" s="24">
        <f>IF('ORDENES'!$A608="","",IF('ORDENES'!$AA608="","-",'ORDENES'!$AA608))</f>
        <v/>
      </c>
      <c r="E630" s="24">
        <f>IF('ORDENES'!$A608="","",IF('ORDENES'!$Y608="","-",'ORDENES'!$Y608))</f>
        <v/>
      </c>
      <c r="F630" s="24">
        <f>IF('ORDENES'!$A608="","",IF('ORDENES'!$AB608="","-",'ORDENES'!$AB608))</f>
        <v/>
      </c>
      <c r="G630" s="24">
        <f>IF('ORDENES'!$A608="","",IF('ORDENES'!$Z608="","-",'ORDENES'!$Z608))</f>
        <v/>
      </c>
      <c r="H630" s="24">
        <f>IF('ORDENES'!$A608="","",IF('ORDENES'!$AH608="","-",'ORDENES'!$AH608))</f>
        <v/>
      </c>
      <c r="I630" s="24">
        <f>IF('ORDENES'!$A608="","",IF('ORDENES'!$AU608="","-",'ORDENES'!$AU608))</f>
        <v/>
      </c>
      <c r="J630" s="24">
        <f>IF('ORDENES'!$A608="","",IF('ORDENES'!$D608="","-",'ORDENES'!$D608))</f>
        <v/>
      </c>
      <c r="K630" s="24">
        <f>IF('ORDENES'!$A608="","",IF('ORDENES'!$E608="","-",'ORDENES'!$E608))</f>
        <v/>
      </c>
      <c r="L630" s="26">
        <f>IF('ORDENES'!$A608="","",IF('ORDENES'!$M608="",0,'ORDENES'!$M608))</f>
        <v/>
      </c>
      <c r="M630" s="24">
        <f>IF('ORDENES'!$A608="","",IF('ORDENES'!$N608="","-",'ORDENES'!$N608))</f>
        <v/>
      </c>
      <c r="N630" s="24">
        <f>IF('ORDENES'!$A608="","",'ORDENES'!$AG608)</f>
        <v/>
      </c>
    </row>
    <row r="631">
      <c r="A631" s="24">
        <f>IF('ORDENES'!$A609="","",IF('ORDENES'!$O609="","-",'ORDENES'!$O609))</f>
        <v/>
      </c>
      <c r="B631" s="24">
        <f>IF('ORDENES'!$A609="","",IF('ORDENES'!$S609="","-",'ORDENES'!$S609))</f>
        <v/>
      </c>
      <c r="C631" s="24">
        <f>IF('ORDENES'!$A609="","",IF('ORDENES'!$AI609="","-",'ORDENES'!$AI609))</f>
        <v/>
      </c>
      <c r="D631" s="24">
        <f>IF('ORDENES'!$A609="","",IF('ORDENES'!$AA609="","-",'ORDENES'!$AA609))</f>
        <v/>
      </c>
      <c r="E631" s="24">
        <f>IF('ORDENES'!$A609="","",IF('ORDENES'!$Y609="","-",'ORDENES'!$Y609))</f>
        <v/>
      </c>
      <c r="F631" s="24">
        <f>IF('ORDENES'!$A609="","",IF('ORDENES'!$AB609="","-",'ORDENES'!$AB609))</f>
        <v/>
      </c>
      <c r="G631" s="24">
        <f>IF('ORDENES'!$A609="","",IF('ORDENES'!$Z609="","-",'ORDENES'!$Z609))</f>
        <v/>
      </c>
      <c r="H631" s="24">
        <f>IF('ORDENES'!$A609="","",IF('ORDENES'!$AH609="","-",'ORDENES'!$AH609))</f>
        <v/>
      </c>
      <c r="I631" s="24">
        <f>IF('ORDENES'!$A609="","",IF('ORDENES'!$AU609="","-",'ORDENES'!$AU609))</f>
        <v/>
      </c>
      <c r="J631" s="24">
        <f>IF('ORDENES'!$A609="","",IF('ORDENES'!$D609="","-",'ORDENES'!$D609))</f>
        <v/>
      </c>
      <c r="K631" s="24">
        <f>IF('ORDENES'!$A609="","",IF('ORDENES'!$E609="","-",'ORDENES'!$E609))</f>
        <v/>
      </c>
      <c r="L631" s="26">
        <f>IF('ORDENES'!$A609="","",IF('ORDENES'!$M609="",0,'ORDENES'!$M609))</f>
        <v/>
      </c>
      <c r="M631" s="24">
        <f>IF('ORDENES'!$A609="","",IF('ORDENES'!$N609="","-",'ORDENES'!$N609))</f>
        <v/>
      </c>
      <c r="N631" s="24">
        <f>IF('ORDENES'!$A609="","",'ORDENES'!$AG609)</f>
        <v/>
      </c>
    </row>
    <row r="632">
      <c r="A632" s="24">
        <f>IF('ORDENES'!$A610="","",IF('ORDENES'!$O610="","-",'ORDENES'!$O610))</f>
        <v/>
      </c>
      <c r="B632" s="24">
        <f>IF('ORDENES'!$A610="","",IF('ORDENES'!$S610="","-",'ORDENES'!$S610))</f>
        <v/>
      </c>
      <c r="C632" s="24">
        <f>IF('ORDENES'!$A610="","",IF('ORDENES'!$AI610="","-",'ORDENES'!$AI610))</f>
        <v/>
      </c>
      <c r="D632" s="24">
        <f>IF('ORDENES'!$A610="","",IF('ORDENES'!$AA610="","-",'ORDENES'!$AA610))</f>
        <v/>
      </c>
      <c r="E632" s="24">
        <f>IF('ORDENES'!$A610="","",IF('ORDENES'!$Y610="","-",'ORDENES'!$Y610))</f>
        <v/>
      </c>
      <c r="F632" s="24">
        <f>IF('ORDENES'!$A610="","",IF('ORDENES'!$AB610="","-",'ORDENES'!$AB610))</f>
        <v/>
      </c>
      <c r="G632" s="24">
        <f>IF('ORDENES'!$A610="","",IF('ORDENES'!$Z610="","-",'ORDENES'!$Z610))</f>
        <v/>
      </c>
      <c r="H632" s="24">
        <f>IF('ORDENES'!$A610="","",IF('ORDENES'!$AH610="","-",'ORDENES'!$AH610))</f>
        <v/>
      </c>
      <c r="I632" s="24">
        <f>IF('ORDENES'!$A610="","",IF('ORDENES'!$AU610="","-",'ORDENES'!$AU610))</f>
        <v/>
      </c>
      <c r="J632" s="24">
        <f>IF('ORDENES'!$A610="","",IF('ORDENES'!$D610="","-",'ORDENES'!$D610))</f>
        <v/>
      </c>
      <c r="K632" s="24">
        <f>IF('ORDENES'!$A610="","",IF('ORDENES'!$E610="","-",'ORDENES'!$E610))</f>
        <v/>
      </c>
      <c r="L632" s="26">
        <f>IF('ORDENES'!$A610="","",IF('ORDENES'!$M610="",0,'ORDENES'!$M610))</f>
        <v/>
      </c>
      <c r="M632" s="24">
        <f>IF('ORDENES'!$A610="","",IF('ORDENES'!$N610="","-",'ORDENES'!$N610))</f>
        <v/>
      </c>
      <c r="N632" s="24">
        <f>IF('ORDENES'!$A610="","",'ORDENES'!$AG610)</f>
        <v/>
      </c>
    </row>
    <row r="633">
      <c r="A633" s="24">
        <f>IF('ORDENES'!$A611="","",IF('ORDENES'!$O611="","-",'ORDENES'!$O611))</f>
        <v/>
      </c>
      <c r="B633" s="24">
        <f>IF('ORDENES'!$A611="","",IF('ORDENES'!$S611="","-",'ORDENES'!$S611))</f>
        <v/>
      </c>
      <c r="C633" s="24">
        <f>IF('ORDENES'!$A611="","",IF('ORDENES'!$AI611="","-",'ORDENES'!$AI611))</f>
        <v/>
      </c>
      <c r="D633" s="24">
        <f>IF('ORDENES'!$A611="","",IF('ORDENES'!$AA611="","-",'ORDENES'!$AA611))</f>
        <v/>
      </c>
      <c r="E633" s="24">
        <f>IF('ORDENES'!$A611="","",IF('ORDENES'!$Y611="","-",'ORDENES'!$Y611))</f>
        <v/>
      </c>
      <c r="F633" s="24">
        <f>IF('ORDENES'!$A611="","",IF('ORDENES'!$AB611="","-",'ORDENES'!$AB611))</f>
        <v/>
      </c>
      <c r="G633" s="24">
        <f>IF('ORDENES'!$A611="","",IF('ORDENES'!$Z611="","-",'ORDENES'!$Z611))</f>
        <v/>
      </c>
      <c r="H633" s="24">
        <f>IF('ORDENES'!$A611="","",IF('ORDENES'!$AH611="","-",'ORDENES'!$AH611))</f>
        <v/>
      </c>
      <c r="I633" s="24">
        <f>IF('ORDENES'!$A611="","",IF('ORDENES'!$AU611="","-",'ORDENES'!$AU611))</f>
        <v/>
      </c>
      <c r="J633" s="24">
        <f>IF('ORDENES'!$A611="","",IF('ORDENES'!$D611="","-",'ORDENES'!$D611))</f>
        <v/>
      </c>
      <c r="K633" s="24">
        <f>IF('ORDENES'!$A611="","",IF('ORDENES'!$E611="","-",'ORDENES'!$E611))</f>
        <v/>
      </c>
      <c r="L633" s="26">
        <f>IF('ORDENES'!$A611="","",IF('ORDENES'!$M611="",0,'ORDENES'!$M611))</f>
        <v/>
      </c>
      <c r="M633" s="24">
        <f>IF('ORDENES'!$A611="","",IF('ORDENES'!$N611="","-",'ORDENES'!$N611))</f>
        <v/>
      </c>
      <c r="N633" s="24">
        <f>IF('ORDENES'!$A611="","",'ORDENES'!$AG611)</f>
        <v/>
      </c>
    </row>
    <row r="634">
      <c r="A634" s="24">
        <f>IF('ORDENES'!$A612="","",IF('ORDENES'!$O612="","-",'ORDENES'!$O612))</f>
        <v/>
      </c>
      <c r="B634" s="24">
        <f>IF('ORDENES'!$A612="","",IF('ORDENES'!$S612="","-",'ORDENES'!$S612))</f>
        <v/>
      </c>
      <c r="C634" s="24">
        <f>IF('ORDENES'!$A612="","",IF('ORDENES'!$AI612="","-",'ORDENES'!$AI612))</f>
        <v/>
      </c>
      <c r="D634" s="24">
        <f>IF('ORDENES'!$A612="","",IF('ORDENES'!$AA612="","-",'ORDENES'!$AA612))</f>
        <v/>
      </c>
      <c r="E634" s="24">
        <f>IF('ORDENES'!$A612="","",IF('ORDENES'!$Y612="","-",'ORDENES'!$Y612))</f>
        <v/>
      </c>
      <c r="F634" s="24">
        <f>IF('ORDENES'!$A612="","",IF('ORDENES'!$AB612="","-",'ORDENES'!$AB612))</f>
        <v/>
      </c>
      <c r="G634" s="24">
        <f>IF('ORDENES'!$A612="","",IF('ORDENES'!$Z612="","-",'ORDENES'!$Z612))</f>
        <v/>
      </c>
      <c r="H634" s="24">
        <f>IF('ORDENES'!$A612="","",IF('ORDENES'!$AH612="","-",'ORDENES'!$AH612))</f>
        <v/>
      </c>
      <c r="I634" s="24">
        <f>IF('ORDENES'!$A612="","",IF('ORDENES'!$AU612="","-",'ORDENES'!$AU612))</f>
        <v/>
      </c>
      <c r="J634" s="24">
        <f>IF('ORDENES'!$A612="","",IF('ORDENES'!$D612="","-",'ORDENES'!$D612))</f>
        <v/>
      </c>
      <c r="K634" s="24">
        <f>IF('ORDENES'!$A612="","",IF('ORDENES'!$E612="","-",'ORDENES'!$E612))</f>
        <v/>
      </c>
      <c r="L634" s="26">
        <f>IF('ORDENES'!$A612="","",IF('ORDENES'!$M612="",0,'ORDENES'!$M612))</f>
        <v/>
      </c>
      <c r="M634" s="24">
        <f>IF('ORDENES'!$A612="","",IF('ORDENES'!$N612="","-",'ORDENES'!$N612))</f>
        <v/>
      </c>
      <c r="N634" s="24">
        <f>IF('ORDENES'!$A612="","",'ORDENES'!$AG612)</f>
        <v/>
      </c>
    </row>
    <row r="635">
      <c r="A635" s="24">
        <f>IF('ORDENES'!$A613="","",IF('ORDENES'!$O613="","-",'ORDENES'!$O613))</f>
        <v/>
      </c>
      <c r="B635" s="24">
        <f>IF('ORDENES'!$A613="","",IF('ORDENES'!$S613="","-",'ORDENES'!$S613))</f>
        <v/>
      </c>
      <c r="C635" s="24">
        <f>IF('ORDENES'!$A613="","",IF('ORDENES'!$AI613="","-",'ORDENES'!$AI613))</f>
        <v/>
      </c>
      <c r="D635" s="24">
        <f>IF('ORDENES'!$A613="","",IF('ORDENES'!$AA613="","-",'ORDENES'!$AA613))</f>
        <v/>
      </c>
      <c r="E635" s="24">
        <f>IF('ORDENES'!$A613="","",IF('ORDENES'!$Y613="","-",'ORDENES'!$Y613))</f>
        <v/>
      </c>
      <c r="F635" s="24">
        <f>IF('ORDENES'!$A613="","",IF('ORDENES'!$AB613="","-",'ORDENES'!$AB613))</f>
        <v/>
      </c>
      <c r="G635" s="24">
        <f>IF('ORDENES'!$A613="","",IF('ORDENES'!$Z613="","-",'ORDENES'!$Z613))</f>
        <v/>
      </c>
      <c r="H635" s="24">
        <f>IF('ORDENES'!$A613="","",IF('ORDENES'!$AH613="","-",'ORDENES'!$AH613))</f>
        <v/>
      </c>
      <c r="I635" s="24">
        <f>IF('ORDENES'!$A613="","",IF('ORDENES'!$AU613="","-",'ORDENES'!$AU613))</f>
        <v/>
      </c>
      <c r="J635" s="24">
        <f>IF('ORDENES'!$A613="","",IF('ORDENES'!$D613="","-",'ORDENES'!$D613))</f>
        <v/>
      </c>
      <c r="K635" s="24">
        <f>IF('ORDENES'!$A613="","",IF('ORDENES'!$E613="","-",'ORDENES'!$E613))</f>
        <v/>
      </c>
      <c r="L635" s="26">
        <f>IF('ORDENES'!$A613="","",IF('ORDENES'!$M613="",0,'ORDENES'!$M613))</f>
        <v/>
      </c>
      <c r="M635" s="24">
        <f>IF('ORDENES'!$A613="","",IF('ORDENES'!$N613="","-",'ORDENES'!$N613))</f>
        <v/>
      </c>
      <c r="N635" s="24">
        <f>IF('ORDENES'!$A613="","",'ORDENES'!$AG613)</f>
        <v/>
      </c>
    </row>
    <row r="636">
      <c r="A636" s="24">
        <f>IF('ORDENES'!$A614="","",IF('ORDENES'!$O614="","-",'ORDENES'!$O614))</f>
        <v/>
      </c>
      <c r="B636" s="24">
        <f>IF('ORDENES'!$A614="","",IF('ORDENES'!$S614="","-",'ORDENES'!$S614))</f>
        <v/>
      </c>
      <c r="C636" s="24">
        <f>IF('ORDENES'!$A614="","",IF('ORDENES'!$AI614="","-",'ORDENES'!$AI614))</f>
        <v/>
      </c>
      <c r="D636" s="24">
        <f>IF('ORDENES'!$A614="","",IF('ORDENES'!$AA614="","-",'ORDENES'!$AA614))</f>
        <v/>
      </c>
      <c r="E636" s="24">
        <f>IF('ORDENES'!$A614="","",IF('ORDENES'!$Y614="","-",'ORDENES'!$Y614))</f>
        <v/>
      </c>
      <c r="F636" s="24">
        <f>IF('ORDENES'!$A614="","",IF('ORDENES'!$AB614="","-",'ORDENES'!$AB614))</f>
        <v/>
      </c>
      <c r="G636" s="24">
        <f>IF('ORDENES'!$A614="","",IF('ORDENES'!$Z614="","-",'ORDENES'!$Z614))</f>
        <v/>
      </c>
      <c r="H636" s="24">
        <f>IF('ORDENES'!$A614="","",IF('ORDENES'!$AH614="","-",'ORDENES'!$AH614))</f>
        <v/>
      </c>
      <c r="I636" s="24">
        <f>IF('ORDENES'!$A614="","",IF('ORDENES'!$AU614="","-",'ORDENES'!$AU614))</f>
        <v/>
      </c>
      <c r="J636" s="24">
        <f>IF('ORDENES'!$A614="","",IF('ORDENES'!$D614="","-",'ORDENES'!$D614))</f>
        <v/>
      </c>
      <c r="K636" s="24">
        <f>IF('ORDENES'!$A614="","",IF('ORDENES'!$E614="","-",'ORDENES'!$E614))</f>
        <v/>
      </c>
      <c r="L636" s="26">
        <f>IF('ORDENES'!$A614="","",IF('ORDENES'!$M614="",0,'ORDENES'!$M614))</f>
        <v/>
      </c>
      <c r="M636" s="24">
        <f>IF('ORDENES'!$A614="","",IF('ORDENES'!$N614="","-",'ORDENES'!$N614))</f>
        <v/>
      </c>
      <c r="N636" s="24">
        <f>IF('ORDENES'!$A614="","",'ORDENES'!$AG614)</f>
        <v/>
      </c>
    </row>
    <row r="637">
      <c r="A637" s="24">
        <f>IF('ORDENES'!$A615="","",IF('ORDENES'!$O615="","-",'ORDENES'!$O615))</f>
        <v/>
      </c>
      <c r="B637" s="24">
        <f>IF('ORDENES'!$A615="","",IF('ORDENES'!$S615="","-",'ORDENES'!$S615))</f>
        <v/>
      </c>
      <c r="C637" s="24">
        <f>IF('ORDENES'!$A615="","",IF('ORDENES'!$AI615="","-",'ORDENES'!$AI615))</f>
        <v/>
      </c>
      <c r="D637" s="24">
        <f>IF('ORDENES'!$A615="","",IF('ORDENES'!$AA615="","-",'ORDENES'!$AA615))</f>
        <v/>
      </c>
      <c r="E637" s="24">
        <f>IF('ORDENES'!$A615="","",IF('ORDENES'!$Y615="","-",'ORDENES'!$Y615))</f>
        <v/>
      </c>
      <c r="F637" s="24">
        <f>IF('ORDENES'!$A615="","",IF('ORDENES'!$AB615="","-",'ORDENES'!$AB615))</f>
        <v/>
      </c>
      <c r="G637" s="24">
        <f>IF('ORDENES'!$A615="","",IF('ORDENES'!$Z615="","-",'ORDENES'!$Z615))</f>
        <v/>
      </c>
      <c r="H637" s="24">
        <f>IF('ORDENES'!$A615="","",IF('ORDENES'!$AH615="","-",'ORDENES'!$AH615))</f>
        <v/>
      </c>
      <c r="I637" s="24">
        <f>IF('ORDENES'!$A615="","",IF('ORDENES'!$AU615="","-",'ORDENES'!$AU615))</f>
        <v/>
      </c>
      <c r="J637" s="24">
        <f>IF('ORDENES'!$A615="","",IF('ORDENES'!$D615="","-",'ORDENES'!$D615))</f>
        <v/>
      </c>
      <c r="K637" s="24">
        <f>IF('ORDENES'!$A615="","",IF('ORDENES'!$E615="","-",'ORDENES'!$E615))</f>
        <v/>
      </c>
      <c r="L637" s="26">
        <f>IF('ORDENES'!$A615="","",IF('ORDENES'!$M615="",0,'ORDENES'!$M615))</f>
        <v/>
      </c>
      <c r="M637" s="24">
        <f>IF('ORDENES'!$A615="","",IF('ORDENES'!$N615="","-",'ORDENES'!$N615))</f>
        <v/>
      </c>
      <c r="N637" s="24">
        <f>IF('ORDENES'!$A615="","",'ORDENES'!$AG615)</f>
        <v/>
      </c>
    </row>
    <row r="638">
      <c r="A638" s="24">
        <f>IF('ORDENES'!$A616="","",IF('ORDENES'!$O616="","-",'ORDENES'!$O616))</f>
        <v/>
      </c>
      <c r="B638" s="24">
        <f>IF('ORDENES'!$A616="","",IF('ORDENES'!$S616="","-",'ORDENES'!$S616))</f>
        <v/>
      </c>
      <c r="C638" s="24">
        <f>IF('ORDENES'!$A616="","",IF('ORDENES'!$AI616="","-",'ORDENES'!$AI616))</f>
        <v/>
      </c>
      <c r="D638" s="24">
        <f>IF('ORDENES'!$A616="","",IF('ORDENES'!$AA616="","-",'ORDENES'!$AA616))</f>
        <v/>
      </c>
      <c r="E638" s="24">
        <f>IF('ORDENES'!$A616="","",IF('ORDENES'!$Y616="","-",'ORDENES'!$Y616))</f>
        <v/>
      </c>
      <c r="F638" s="24">
        <f>IF('ORDENES'!$A616="","",IF('ORDENES'!$AB616="","-",'ORDENES'!$AB616))</f>
        <v/>
      </c>
      <c r="G638" s="24">
        <f>IF('ORDENES'!$A616="","",IF('ORDENES'!$Z616="","-",'ORDENES'!$Z616))</f>
        <v/>
      </c>
      <c r="H638" s="24">
        <f>IF('ORDENES'!$A616="","",IF('ORDENES'!$AH616="","-",'ORDENES'!$AH616))</f>
        <v/>
      </c>
      <c r="I638" s="24">
        <f>IF('ORDENES'!$A616="","",IF('ORDENES'!$AU616="","-",'ORDENES'!$AU616))</f>
        <v/>
      </c>
      <c r="J638" s="24">
        <f>IF('ORDENES'!$A616="","",IF('ORDENES'!$D616="","-",'ORDENES'!$D616))</f>
        <v/>
      </c>
      <c r="K638" s="24">
        <f>IF('ORDENES'!$A616="","",IF('ORDENES'!$E616="","-",'ORDENES'!$E616))</f>
        <v/>
      </c>
      <c r="L638" s="26">
        <f>IF('ORDENES'!$A616="","",IF('ORDENES'!$M616="",0,'ORDENES'!$M616))</f>
        <v/>
      </c>
      <c r="M638" s="24">
        <f>IF('ORDENES'!$A616="","",IF('ORDENES'!$N616="","-",'ORDENES'!$N616))</f>
        <v/>
      </c>
      <c r="N638" s="24">
        <f>IF('ORDENES'!$A616="","",'ORDENES'!$AG616)</f>
        <v/>
      </c>
    </row>
    <row r="639">
      <c r="A639" s="24">
        <f>IF('ORDENES'!$A617="","",IF('ORDENES'!$O617="","-",'ORDENES'!$O617))</f>
        <v/>
      </c>
      <c r="B639" s="24">
        <f>IF('ORDENES'!$A617="","",IF('ORDENES'!$S617="","-",'ORDENES'!$S617))</f>
        <v/>
      </c>
      <c r="C639" s="24">
        <f>IF('ORDENES'!$A617="","",IF('ORDENES'!$AI617="","-",'ORDENES'!$AI617))</f>
        <v/>
      </c>
      <c r="D639" s="24">
        <f>IF('ORDENES'!$A617="","",IF('ORDENES'!$AA617="","-",'ORDENES'!$AA617))</f>
        <v/>
      </c>
      <c r="E639" s="24">
        <f>IF('ORDENES'!$A617="","",IF('ORDENES'!$Y617="","-",'ORDENES'!$Y617))</f>
        <v/>
      </c>
      <c r="F639" s="24">
        <f>IF('ORDENES'!$A617="","",IF('ORDENES'!$AB617="","-",'ORDENES'!$AB617))</f>
        <v/>
      </c>
      <c r="G639" s="24">
        <f>IF('ORDENES'!$A617="","",IF('ORDENES'!$Z617="","-",'ORDENES'!$Z617))</f>
        <v/>
      </c>
      <c r="H639" s="24">
        <f>IF('ORDENES'!$A617="","",IF('ORDENES'!$AH617="","-",'ORDENES'!$AH617))</f>
        <v/>
      </c>
      <c r="I639" s="24">
        <f>IF('ORDENES'!$A617="","",IF('ORDENES'!$AU617="","-",'ORDENES'!$AU617))</f>
        <v/>
      </c>
      <c r="J639" s="24">
        <f>IF('ORDENES'!$A617="","",IF('ORDENES'!$D617="","-",'ORDENES'!$D617))</f>
        <v/>
      </c>
      <c r="K639" s="24">
        <f>IF('ORDENES'!$A617="","",IF('ORDENES'!$E617="","-",'ORDENES'!$E617))</f>
        <v/>
      </c>
      <c r="L639" s="26">
        <f>IF('ORDENES'!$A617="","",IF('ORDENES'!$M617="",0,'ORDENES'!$M617))</f>
        <v/>
      </c>
      <c r="M639" s="24">
        <f>IF('ORDENES'!$A617="","",IF('ORDENES'!$N617="","-",'ORDENES'!$N617))</f>
        <v/>
      </c>
      <c r="N639" s="24">
        <f>IF('ORDENES'!$A617="","",'ORDENES'!$AG617)</f>
        <v/>
      </c>
    </row>
    <row r="640">
      <c r="A640" s="24">
        <f>IF('ORDENES'!$A618="","",IF('ORDENES'!$O618="","-",'ORDENES'!$O618))</f>
        <v/>
      </c>
      <c r="B640" s="24">
        <f>IF('ORDENES'!$A618="","",IF('ORDENES'!$S618="","-",'ORDENES'!$S618))</f>
        <v/>
      </c>
      <c r="C640" s="24">
        <f>IF('ORDENES'!$A618="","",IF('ORDENES'!$AI618="","-",'ORDENES'!$AI618))</f>
        <v/>
      </c>
      <c r="D640" s="24">
        <f>IF('ORDENES'!$A618="","",IF('ORDENES'!$AA618="","-",'ORDENES'!$AA618))</f>
        <v/>
      </c>
      <c r="E640" s="24">
        <f>IF('ORDENES'!$A618="","",IF('ORDENES'!$Y618="","-",'ORDENES'!$Y618))</f>
        <v/>
      </c>
      <c r="F640" s="24">
        <f>IF('ORDENES'!$A618="","",IF('ORDENES'!$AB618="","-",'ORDENES'!$AB618))</f>
        <v/>
      </c>
      <c r="G640" s="24">
        <f>IF('ORDENES'!$A618="","",IF('ORDENES'!$Z618="","-",'ORDENES'!$Z618))</f>
        <v/>
      </c>
      <c r="H640" s="24">
        <f>IF('ORDENES'!$A618="","",IF('ORDENES'!$AH618="","-",'ORDENES'!$AH618))</f>
        <v/>
      </c>
      <c r="I640" s="24">
        <f>IF('ORDENES'!$A618="","",IF('ORDENES'!$AU618="","-",'ORDENES'!$AU618))</f>
        <v/>
      </c>
      <c r="J640" s="24">
        <f>IF('ORDENES'!$A618="","",IF('ORDENES'!$D618="","-",'ORDENES'!$D618))</f>
        <v/>
      </c>
      <c r="K640" s="24">
        <f>IF('ORDENES'!$A618="","",IF('ORDENES'!$E618="","-",'ORDENES'!$E618))</f>
        <v/>
      </c>
      <c r="L640" s="26">
        <f>IF('ORDENES'!$A618="","",IF('ORDENES'!$M618="",0,'ORDENES'!$M618))</f>
        <v/>
      </c>
      <c r="M640" s="24">
        <f>IF('ORDENES'!$A618="","",IF('ORDENES'!$N618="","-",'ORDENES'!$N618))</f>
        <v/>
      </c>
      <c r="N640" s="24">
        <f>IF('ORDENES'!$A618="","",'ORDENES'!$AG618)</f>
        <v/>
      </c>
    </row>
    <row r="641">
      <c r="A641" s="24">
        <f>IF('ORDENES'!$A619="","",IF('ORDENES'!$O619="","-",'ORDENES'!$O619))</f>
        <v/>
      </c>
      <c r="B641" s="24">
        <f>IF('ORDENES'!$A619="","",IF('ORDENES'!$S619="","-",'ORDENES'!$S619))</f>
        <v/>
      </c>
      <c r="C641" s="24">
        <f>IF('ORDENES'!$A619="","",IF('ORDENES'!$AI619="","-",'ORDENES'!$AI619))</f>
        <v/>
      </c>
      <c r="D641" s="24">
        <f>IF('ORDENES'!$A619="","",IF('ORDENES'!$AA619="","-",'ORDENES'!$AA619))</f>
        <v/>
      </c>
      <c r="E641" s="24">
        <f>IF('ORDENES'!$A619="","",IF('ORDENES'!$Y619="","-",'ORDENES'!$Y619))</f>
        <v/>
      </c>
      <c r="F641" s="24">
        <f>IF('ORDENES'!$A619="","",IF('ORDENES'!$AB619="","-",'ORDENES'!$AB619))</f>
        <v/>
      </c>
      <c r="G641" s="24">
        <f>IF('ORDENES'!$A619="","",IF('ORDENES'!$Z619="","-",'ORDENES'!$Z619))</f>
        <v/>
      </c>
      <c r="H641" s="24">
        <f>IF('ORDENES'!$A619="","",IF('ORDENES'!$AH619="","-",'ORDENES'!$AH619))</f>
        <v/>
      </c>
      <c r="I641" s="24">
        <f>IF('ORDENES'!$A619="","",IF('ORDENES'!$AU619="","-",'ORDENES'!$AU619))</f>
        <v/>
      </c>
      <c r="J641" s="24">
        <f>IF('ORDENES'!$A619="","",IF('ORDENES'!$D619="","-",'ORDENES'!$D619))</f>
        <v/>
      </c>
      <c r="K641" s="24">
        <f>IF('ORDENES'!$A619="","",IF('ORDENES'!$E619="","-",'ORDENES'!$E619))</f>
        <v/>
      </c>
      <c r="L641" s="26">
        <f>IF('ORDENES'!$A619="","",IF('ORDENES'!$M619="",0,'ORDENES'!$M619))</f>
        <v/>
      </c>
      <c r="M641" s="24">
        <f>IF('ORDENES'!$A619="","",IF('ORDENES'!$N619="","-",'ORDENES'!$N619))</f>
        <v/>
      </c>
      <c r="N641" s="24">
        <f>IF('ORDENES'!$A619="","",'ORDENES'!$AG619)</f>
        <v/>
      </c>
    </row>
    <row r="642">
      <c r="A642" s="24">
        <f>IF('ORDENES'!$A620="","",IF('ORDENES'!$O620="","-",'ORDENES'!$O620))</f>
        <v/>
      </c>
      <c r="B642" s="24">
        <f>IF('ORDENES'!$A620="","",IF('ORDENES'!$S620="","-",'ORDENES'!$S620))</f>
        <v/>
      </c>
      <c r="C642" s="24">
        <f>IF('ORDENES'!$A620="","",IF('ORDENES'!$AI620="","-",'ORDENES'!$AI620))</f>
        <v/>
      </c>
      <c r="D642" s="24">
        <f>IF('ORDENES'!$A620="","",IF('ORDENES'!$AA620="","-",'ORDENES'!$AA620))</f>
        <v/>
      </c>
      <c r="E642" s="24">
        <f>IF('ORDENES'!$A620="","",IF('ORDENES'!$Y620="","-",'ORDENES'!$Y620))</f>
        <v/>
      </c>
      <c r="F642" s="24">
        <f>IF('ORDENES'!$A620="","",IF('ORDENES'!$AB620="","-",'ORDENES'!$AB620))</f>
        <v/>
      </c>
      <c r="G642" s="24">
        <f>IF('ORDENES'!$A620="","",IF('ORDENES'!$Z620="","-",'ORDENES'!$Z620))</f>
        <v/>
      </c>
      <c r="H642" s="24">
        <f>IF('ORDENES'!$A620="","",IF('ORDENES'!$AH620="","-",'ORDENES'!$AH620))</f>
        <v/>
      </c>
      <c r="I642" s="24">
        <f>IF('ORDENES'!$A620="","",IF('ORDENES'!$AU620="","-",'ORDENES'!$AU620))</f>
        <v/>
      </c>
      <c r="J642" s="24">
        <f>IF('ORDENES'!$A620="","",IF('ORDENES'!$D620="","-",'ORDENES'!$D620))</f>
        <v/>
      </c>
      <c r="K642" s="24">
        <f>IF('ORDENES'!$A620="","",IF('ORDENES'!$E620="","-",'ORDENES'!$E620))</f>
        <v/>
      </c>
      <c r="L642" s="26">
        <f>IF('ORDENES'!$A620="","",IF('ORDENES'!$M620="",0,'ORDENES'!$M620))</f>
        <v/>
      </c>
      <c r="M642" s="24">
        <f>IF('ORDENES'!$A620="","",IF('ORDENES'!$N620="","-",'ORDENES'!$N620))</f>
        <v/>
      </c>
      <c r="N642" s="24">
        <f>IF('ORDENES'!$A620="","",'ORDENES'!$AG620)</f>
        <v/>
      </c>
    </row>
    <row r="643">
      <c r="A643" s="24">
        <f>IF('ORDENES'!$A621="","",IF('ORDENES'!$O621="","-",'ORDENES'!$O621))</f>
        <v/>
      </c>
      <c r="B643" s="24">
        <f>IF('ORDENES'!$A621="","",IF('ORDENES'!$S621="","-",'ORDENES'!$S621))</f>
        <v/>
      </c>
      <c r="C643" s="24">
        <f>IF('ORDENES'!$A621="","",IF('ORDENES'!$AI621="","-",'ORDENES'!$AI621))</f>
        <v/>
      </c>
      <c r="D643" s="24">
        <f>IF('ORDENES'!$A621="","",IF('ORDENES'!$AA621="","-",'ORDENES'!$AA621))</f>
        <v/>
      </c>
      <c r="E643" s="24">
        <f>IF('ORDENES'!$A621="","",IF('ORDENES'!$Y621="","-",'ORDENES'!$Y621))</f>
        <v/>
      </c>
      <c r="F643" s="24">
        <f>IF('ORDENES'!$A621="","",IF('ORDENES'!$AB621="","-",'ORDENES'!$AB621))</f>
        <v/>
      </c>
      <c r="G643" s="24">
        <f>IF('ORDENES'!$A621="","",IF('ORDENES'!$Z621="","-",'ORDENES'!$Z621))</f>
        <v/>
      </c>
      <c r="H643" s="24">
        <f>IF('ORDENES'!$A621="","",IF('ORDENES'!$AH621="","-",'ORDENES'!$AH621))</f>
        <v/>
      </c>
      <c r="I643" s="24">
        <f>IF('ORDENES'!$A621="","",IF('ORDENES'!$AU621="","-",'ORDENES'!$AU621))</f>
        <v/>
      </c>
      <c r="J643" s="24">
        <f>IF('ORDENES'!$A621="","",IF('ORDENES'!$D621="","-",'ORDENES'!$D621))</f>
        <v/>
      </c>
      <c r="K643" s="24">
        <f>IF('ORDENES'!$A621="","",IF('ORDENES'!$E621="","-",'ORDENES'!$E621))</f>
        <v/>
      </c>
      <c r="L643" s="26">
        <f>IF('ORDENES'!$A621="","",IF('ORDENES'!$M621="",0,'ORDENES'!$M621))</f>
        <v/>
      </c>
      <c r="M643" s="24">
        <f>IF('ORDENES'!$A621="","",IF('ORDENES'!$N621="","-",'ORDENES'!$N621))</f>
        <v/>
      </c>
      <c r="N643" s="24">
        <f>IF('ORDENES'!$A621="","",'ORDENES'!$AG621)</f>
        <v/>
      </c>
    </row>
    <row r="644">
      <c r="A644" s="24">
        <f>IF('ORDENES'!$A622="","",IF('ORDENES'!$O622="","-",'ORDENES'!$O622))</f>
        <v/>
      </c>
      <c r="B644" s="24">
        <f>IF('ORDENES'!$A622="","",IF('ORDENES'!$S622="","-",'ORDENES'!$S622))</f>
        <v/>
      </c>
      <c r="C644" s="24">
        <f>IF('ORDENES'!$A622="","",IF('ORDENES'!$AI622="","-",'ORDENES'!$AI622))</f>
        <v/>
      </c>
      <c r="D644" s="24">
        <f>IF('ORDENES'!$A622="","",IF('ORDENES'!$AA622="","-",'ORDENES'!$AA622))</f>
        <v/>
      </c>
      <c r="E644" s="24">
        <f>IF('ORDENES'!$A622="","",IF('ORDENES'!$Y622="","-",'ORDENES'!$Y622))</f>
        <v/>
      </c>
      <c r="F644" s="24">
        <f>IF('ORDENES'!$A622="","",IF('ORDENES'!$AB622="","-",'ORDENES'!$AB622))</f>
        <v/>
      </c>
      <c r="G644" s="24">
        <f>IF('ORDENES'!$A622="","",IF('ORDENES'!$Z622="","-",'ORDENES'!$Z622))</f>
        <v/>
      </c>
      <c r="H644" s="24">
        <f>IF('ORDENES'!$A622="","",IF('ORDENES'!$AH622="","-",'ORDENES'!$AH622))</f>
        <v/>
      </c>
      <c r="I644" s="24">
        <f>IF('ORDENES'!$A622="","",IF('ORDENES'!$AU622="","-",'ORDENES'!$AU622))</f>
        <v/>
      </c>
      <c r="J644" s="24">
        <f>IF('ORDENES'!$A622="","",IF('ORDENES'!$D622="","-",'ORDENES'!$D622))</f>
        <v/>
      </c>
      <c r="K644" s="24">
        <f>IF('ORDENES'!$A622="","",IF('ORDENES'!$E622="","-",'ORDENES'!$E622))</f>
        <v/>
      </c>
      <c r="L644" s="26">
        <f>IF('ORDENES'!$A622="","",IF('ORDENES'!$M622="",0,'ORDENES'!$M622))</f>
        <v/>
      </c>
      <c r="M644" s="24">
        <f>IF('ORDENES'!$A622="","",IF('ORDENES'!$N622="","-",'ORDENES'!$N622))</f>
        <v/>
      </c>
      <c r="N644" s="24">
        <f>IF('ORDENES'!$A622="","",'ORDENES'!$AG622)</f>
        <v/>
      </c>
    </row>
    <row r="645">
      <c r="A645" s="24">
        <f>IF('ORDENES'!$A623="","",IF('ORDENES'!$O623="","-",'ORDENES'!$O623))</f>
        <v/>
      </c>
      <c r="B645" s="24">
        <f>IF('ORDENES'!$A623="","",IF('ORDENES'!$S623="","-",'ORDENES'!$S623))</f>
        <v/>
      </c>
      <c r="C645" s="24">
        <f>IF('ORDENES'!$A623="","",IF('ORDENES'!$AI623="","-",'ORDENES'!$AI623))</f>
        <v/>
      </c>
      <c r="D645" s="24">
        <f>IF('ORDENES'!$A623="","",IF('ORDENES'!$AA623="","-",'ORDENES'!$AA623))</f>
        <v/>
      </c>
      <c r="E645" s="24">
        <f>IF('ORDENES'!$A623="","",IF('ORDENES'!$Y623="","-",'ORDENES'!$Y623))</f>
        <v/>
      </c>
      <c r="F645" s="24">
        <f>IF('ORDENES'!$A623="","",IF('ORDENES'!$AB623="","-",'ORDENES'!$AB623))</f>
        <v/>
      </c>
      <c r="G645" s="24">
        <f>IF('ORDENES'!$A623="","",IF('ORDENES'!$Z623="","-",'ORDENES'!$Z623))</f>
        <v/>
      </c>
      <c r="H645" s="24">
        <f>IF('ORDENES'!$A623="","",IF('ORDENES'!$AH623="","-",'ORDENES'!$AH623))</f>
        <v/>
      </c>
      <c r="I645" s="24">
        <f>IF('ORDENES'!$A623="","",IF('ORDENES'!$AU623="","-",'ORDENES'!$AU623))</f>
        <v/>
      </c>
      <c r="J645" s="24">
        <f>IF('ORDENES'!$A623="","",IF('ORDENES'!$D623="","-",'ORDENES'!$D623))</f>
        <v/>
      </c>
      <c r="K645" s="24">
        <f>IF('ORDENES'!$A623="","",IF('ORDENES'!$E623="","-",'ORDENES'!$E623))</f>
        <v/>
      </c>
      <c r="L645" s="26">
        <f>IF('ORDENES'!$A623="","",IF('ORDENES'!$M623="",0,'ORDENES'!$M623))</f>
        <v/>
      </c>
      <c r="M645" s="24">
        <f>IF('ORDENES'!$A623="","",IF('ORDENES'!$N623="","-",'ORDENES'!$N623))</f>
        <v/>
      </c>
      <c r="N645" s="24">
        <f>IF('ORDENES'!$A623="","",'ORDENES'!$AG623)</f>
        <v/>
      </c>
    </row>
    <row r="646">
      <c r="A646" s="24">
        <f>IF('ORDENES'!$A624="","",IF('ORDENES'!$O624="","-",'ORDENES'!$O624))</f>
        <v/>
      </c>
      <c r="B646" s="24">
        <f>IF('ORDENES'!$A624="","",IF('ORDENES'!$S624="","-",'ORDENES'!$S624))</f>
        <v/>
      </c>
      <c r="C646" s="24">
        <f>IF('ORDENES'!$A624="","",IF('ORDENES'!$AI624="","-",'ORDENES'!$AI624))</f>
        <v/>
      </c>
      <c r="D646" s="24">
        <f>IF('ORDENES'!$A624="","",IF('ORDENES'!$AA624="","-",'ORDENES'!$AA624))</f>
        <v/>
      </c>
      <c r="E646" s="24">
        <f>IF('ORDENES'!$A624="","",IF('ORDENES'!$Y624="","-",'ORDENES'!$Y624))</f>
        <v/>
      </c>
      <c r="F646" s="24">
        <f>IF('ORDENES'!$A624="","",IF('ORDENES'!$AB624="","-",'ORDENES'!$AB624))</f>
        <v/>
      </c>
      <c r="G646" s="24">
        <f>IF('ORDENES'!$A624="","",IF('ORDENES'!$Z624="","-",'ORDENES'!$Z624))</f>
        <v/>
      </c>
      <c r="H646" s="24">
        <f>IF('ORDENES'!$A624="","",IF('ORDENES'!$AH624="","-",'ORDENES'!$AH624))</f>
        <v/>
      </c>
      <c r="I646" s="24">
        <f>IF('ORDENES'!$A624="","",IF('ORDENES'!$AU624="","-",'ORDENES'!$AU624))</f>
        <v/>
      </c>
      <c r="J646" s="24">
        <f>IF('ORDENES'!$A624="","",IF('ORDENES'!$D624="","-",'ORDENES'!$D624))</f>
        <v/>
      </c>
      <c r="K646" s="24">
        <f>IF('ORDENES'!$A624="","",IF('ORDENES'!$E624="","-",'ORDENES'!$E624))</f>
        <v/>
      </c>
      <c r="L646" s="26">
        <f>IF('ORDENES'!$A624="","",IF('ORDENES'!$M624="",0,'ORDENES'!$M624))</f>
        <v/>
      </c>
      <c r="M646" s="24">
        <f>IF('ORDENES'!$A624="","",IF('ORDENES'!$N624="","-",'ORDENES'!$N624))</f>
        <v/>
      </c>
      <c r="N646" s="24">
        <f>IF('ORDENES'!$A624="","",'ORDENES'!$AG624)</f>
        <v/>
      </c>
    </row>
    <row r="647">
      <c r="A647" s="24">
        <f>IF('ORDENES'!$A625="","",IF('ORDENES'!$O625="","-",'ORDENES'!$O625))</f>
        <v/>
      </c>
      <c r="B647" s="24">
        <f>IF('ORDENES'!$A625="","",IF('ORDENES'!$S625="","-",'ORDENES'!$S625))</f>
        <v/>
      </c>
      <c r="C647" s="24">
        <f>IF('ORDENES'!$A625="","",IF('ORDENES'!$AI625="","-",'ORDENES'!$AI625))</f>
        <v/>
      </c>
      <c r="D647" s="24">
        <f>IF('ORDENES'!$A625="","",IF('ORDENES'!$AA625="","-",'ORDENES'!$AA625))</f>
        <v/>
      </c>
      <c r="E647" s="24">
        <f>IF('ORDENES'!$A625="","",IF('ORDENES'!$Y625="","-",'ORDENES'!$Y625))</f>
        <v/>
      </c>
      <c r="F647" s="24">
        <f>IF('ORDENES'!$A625="","",IF('ORDENES'!$AB625="","-",'ORDENES'!$AB625))</f>
        <v/>
      </c>
      <c r="G647" s="24">
        <f>IF('ORDENES'!$A625="","",IF('ORDENES'!$Z625="","-",'ORDENES'!$Z625))</f>
        <v/>
      </c>
      <c r="H647" s="24">
        <f>IF('ORDENES'!$A625="","",IF('ORDENES'!$AH625="","-",'ORDENES'!$AH625))</f>
        <v/>
      </c>
      <c r="I647" s="24">
        <f>IF('ORDENES'!$A625="","",IF('ORDENES'!$AU625="","-",'ORDENES'!$AU625))</f>
        <v/>
      </c>
      <c r="J647" s="24">
        <f>IF('ORDENES'!$A625="","",IF('ORDENES'!$D625="","-",'ORDENES'!$D625))</f>
        <v/>
      </c>
      <c r="K647" s="24">
        <f>IF('ORDENES'!$A625="","",IF('ORDENES'!$E625="","-",'ORDENES'!$E625))</f>
        <v/>
      </c>
      <c r="L647" s="26">
        <f>IF('ORDENES'!$A625="","",IF('ORDENES'!$M625="",0,'ORDENES'!$M625))</f>
        <v/>
      </c>
      <c r="M647" s="24">
        <f>IF('ORDENES'!$A625="","",IF('ORDENES'!$N625="","-",'ORDENES'!$N625))</f>
        <v/>
      </c>
      <c r="N647" s="24">
        <f>IF('ORDENES'!$A625="","",'ORDENES'!$AG625)</f>
        <v/>
      </c>
    </row>
    <row r="648">
      <c r="A648" s="24">
        <f>IF('ORDENES'!$A626="","",IF('ORDENES'!$O626="","-",'ORDENES'!$O626))</f>
        <v/>
      </c>
      <c r="B648" s="24">
        <f>IF('ORDENES'!$A626="","",IF('ORDENES'!$S626="","-",'ORDENES'!$S626))</f>
        <v/>
      </c>
      <c r="C648" s="24">
        <f>IF('ORDENES'!$A626="","",IF('ORDENES'!$AI626="","-",'ORDENES'!$AI626))</f>
        <v/>
      </c>
      <c r="D648" s="24">
        <f>IF('ORDENES'!$A626="","",IF('ORDENES'!$AA626="","-",'ORDENES'!$AA626))</f>
        <v/>
      </c>
      <c r="E648" s="24">
        <f>IF('ORDENES'!$A626="","",IF('ORDENES'!$Y626="","-",'ORDENES'!$Y626))</f>
        <v/>
      </c>
      <c r="F648" s="24">
        <f>IF('ORDENES'!$A626="","",IF('ORDENES'!$AB626="","-",'ORDENES'!$AB626))</f>
        <v/>
      </c>
      <c r="G648" s="24">
        <f>IF('ORDENES'!$A626="","",IF('ORDENES'!$Z626="","-",'ORDENES'!$Z626))</f>
        <v/>
      </c>
      <c r="H648" s="24">
        <f>IF('ORDENES'!$A626="","",IF('ORDENES'!$AH626="","-",'ORDENES'!$AH626))</f>
        <v/>
      </c>
      <c r="I648" s="24">
        <f>IF('ORDENES'!$A626="","",IF('ORDENES'!$AU626="","-",'ORDENES'!$AU626))</f>
        <v/>
      </c>
      <c r="J648" s="24">
        <f>IF('ORDENES'!$A626="","",IF('ORDENES'!$D626="","-",'ORDENES'!$D626))</f>
        <v/>
      </c>
      <c r="K648" s="24">
        <f>IF('ORDENES'!$A626="","",IF('ORDENES'!$E626="","-",'ORDENES'!$E626))</f>
        <v/>
      </c>
      <c r="L648" s="26">
        <f>IF('ORDENES'!$A626="","",IF('ORDENES'!$M626="",0,'ORDENES'!$M626))</f>
        <v/>
      </c>
      <c r="M648" s="24">
        <f>IF('ORDENES'!$A626="","",IF('ORDENES'!$N626="","-",'ORDENES'!$N626))</f>
        <v/>
      </c>
      <c r="N648" s="24">
        <f>IF('ORDENES'!$A626="","",'ORDENES'!$AG626)</f>
        <v/>
      </c>
    </row>
    <row r="649">
      <c r="A649" s="24">
        <f>IF('ORDENES'!$A627="","",IF('ORDENES'!$O627="","-",'ORDENES'!$O627))</f>
        <v/>
      </c>
      <c r="B649" s="24">
        <f>IF('ORDENES'!$A627="","",IF('ORDENES'!$S627="","-",'ORDENES'!$S627))</f>
        <v/>
      </c>
      <c r="C649" s="24">
        <f>IF('ORDENES'!$A627="","",IF('ORDENES'!$AI627="","-",'ORDENES'!$AI627))</f>
        <v/>
      </c>
      <c r="D649" s="24">
        <f>IF('ORDENES'!$A627="","",IF('ORDENES'!$AA627="","-",'ORDENES'!$AA627))</f>
        <v/>
      </c>
      <c r="E649" s="24">
        <f>IF('ORDENES'!$A627="","",IF('ORDENES'!$Y627="","-",'ORDENES'!$Y627))</f>
        <v/>
      </c>
      <c r="F649" s="24">
        <f>IF('ORDENES'!$A627="","",IF('ORDENES'!$AB627="","-",'ORDENES'!$AB627))</f>
        <v/>
      </c>
      <c r="G649" s="24">
        <f>IF('ORDENES'!$A627="","",IF('ORDENES'!$Z627="","-",'ORDENES'!$Z627))</f>
        <v/>
      </c>
      <c r="H649" s="24">
        <f>IF('ORDENES'!$A627="","",IF('ORDENES'!$AH627="","-",'ORDENES'!$AH627))</f>
        <v/>
      </c>
      <c r="I649" s="24">
        <f>IF('ORDENES'!$A627="","",IF('ORDENES'!$AU627="","-",'ORDENES'!$AU627))</f>
        <v/>
      </c>
      <c r="J649" s="24">
        <f>IF('ORDENES'!$A627="","",IF('ORDENES'!$D627="","-",'ORDENES'!$D627))</f>
        <v/>
      </c>
      <c r="K649" s="24">
        <f>IF('ORDENES'!$A627="","",IF('ORDENES'!$E627="","-",'ORDENES'!$E627))</f>
        <v/>
      </c>
      <c r="L649" s="26">
        <f>IF('ORDENES'!$A627="","",IF('ORDENES'!$M627="",0,'ORDENES'!$M627))</f>
        <v/>
      </c>
      <c r="M649" s="24">
        <f>IF('ORDENES'!$A627="","",IF('ORDENES'!$N627="","-",'ORDENES'!$N627))</f>
        <v/>
      </c>
      <c r="N649" s="24">
        <f>IF('ORDENES'!$A627="","",'ORDENES'!$AG627)</f>
        <v/>
      </c>
    </row>
    <row r="650">
      <c r="A650" s="24">
        <f>IF('ORDENES'!$A628="","",IF('ORDENES'!$O628="","-",'ORDENES'!$O628))</f>
        <v/>
      </c>
      <c r="B650" s="24">
        <f>IF('ORDENES'!$A628="","",IF('ORDENES'!$S628="","-",'ORDENES'!$S628))</f>
        <v/>
      </c>
      <c r="C650" s="24">
        <f>IF('ORDENES'!$A628="","",IF('ORDENES'!$AI628="","-",'ORDENES'!$AI628))</f>
        <v/>
      </c>
      <c r="D650" s="24">
        <f>IF('ORDENES'!$A628="","",IF('ORDENES'!$AA628="","-",'ORDENES'!$AA628))</f>
        <v/>
      </c>
      <c r="E650" s="24">
        <f>IF('ORDENES'!$A628="","",IF('ORDENES'!$Y628="","-",'ORDENES'!$Y628))</f>
        <v/>
      </c>
      <c r="F650" s="24">
        <f>IF('ORDENES'!$A628="","",IF('ORDENES'!$AB628="","-",'ORDENES'!$AB628))</f>
        <v/>
      </c>
      <c r="G650" s="24">
        <f>IF('ORDENES'!$A628="","",IF('ORDENES'!$Z628="","-",'ORDENES'!$Z628))</f>
        <v/>
      </c>
      <c r="H650" s="24">
        <f>IF('ORDENES'!$A628="","",IF('ORDENES'!$AH628="","-",'ORDENES'!$AH628))</f>
        <v/>
      </c>
      <c r="I650" s="24">
        <f>IF('ORDENES'!$A628="","",IF('ORDENES'!$AU628="","-",'ORDENES'!$AU628))</f>
        <v/>
      </c>
      <c r="J650" s="24">
        <f>IF('ORDENES'!$A628="","",IF('ORDENES'!$D628="","-",'ORDENES'!$D628))</f>
        <v/>
      </c>
      <c r="K650" s="24">
        <f>IF('ORDENES'!$A628="","",IF('ORDENES'!$E628="","-",'ORDENES'!$E628))</f>
        <v/>
      </c>
      <c r="L650" s="26">
        <f>IF('ORDENES'!$A628="","",IF('ORDENES'!$M628="",0,'ORDENES'!$M628))</f>
        <v/>
      </c>
      <c r="M650" s="24">
        <f>IF('ORDENES'!$A628="","",IF('ORDENES'!$N628="","-",'ORDENES'!$N628))</f>
        <v/>
      </c>
      <c r="N650" s="24">
        <f>IF('ORDENES'!$A628="","",'ORDENES'!$AG628)</f>
        <v/>
      </c>
    </row>
    <row r="651">
      <c r="A651" s="24">
        <f>IF('ORDENES'!$A629="","",IF('ORDENES'!$O629="","-",'ORDENES'!$O629))</f>
        <v/>
      </c>
      <c r="B651" s="24">
        <f>IF('ORDENES'!$A629="","",IF('ORDENES'!$S629="","-",'ORDENES'!$S629))</f>
        <v/>
      </c>
      <c r="C651" s="24">
        <f>IF('ORDENES'!$A629="","",IF('ORDENES'!$AI629="","-",'ORDENES'!$AI629))</f>
        <v/>
      </c>
      <c r="D651" s="24">
        <f>IF('ORDENES'!$A629="","",IF('ORDENES'!$AA629="","-",'ORDENES'!$AA629))</f>
        <v/>
      </c>
      <c r="E651" s="24">
        <f>IF('ORDENES'!$A629="","",IF('ORDENES'!$Y629="","-",'ORDENES'!$Y629))</f>
        <v/>
      </c>
      <c r="F651" s="24">
        <f>IF('ORDENES'!$A629="","",IF('ORDENES'!$AB629="","-",'ORDENES'!$AB629))</f>
        <v/>
      </c>
      <c r="G651" s="24">
        <f>IF('ORDENES'!$A629="","",IF('ORDENES'!$Z629="","-",'ORDENES'!$Z629))</f>
        <v/>
      </c>
      <c r="H651" s="24">
        <f>IF('ORDENES'!$A629="","",IF('ORDENES'!$AH629="","-",'ORDENES'!$AH629))</f>
        <v/>
      </c>
      <c r="I651" s="24">
        <f>IF('ORDENES'!$A629="","",IF('ORDENES'!$AU629="","-",'ORDENES'!$AU629))</f>
        <v/>
      </c>
      <c r="J651" s="24">
        <f>IF('ORDENES'!$A629="","",IF('ORDENES'!$D629="","-",'ORDENES'!$D629))</f>
        <v/>
      </c>
      <c r="K651" s="24">
        <f>IF('ORDENES'!$A629="","",IF('ORDENES'!$E629="","-",'ORDENES'!$E629))</f>
        <v/>
      </c>
      <c r="L651" s="26">
        <f>IF('ORDENES'!$A629="","",IF('ORDENES'!$M629="",0,'ORDENES'!$M629))</f>
        <v/>
      </c>
      <c r="M651" s="24">
        <f>IF('ORDENES'!$A629="","",IF('ORDENES'!$N629="","-",'ORDENES'!$N629))</f>
        <v/>
      </c>
      <c r="N651" s="24">
        <f>IF('ORDENES'!$A629="","",'ORDENES'!$AG629)</f>
        <v/>
      </c>
    </row>
    <row r="652">
      <c r="A652" s="24">
        <f>IF('ORDENES'!$A630="","",IF('ORDENES'!$O630="","-",'ORDENES'!$O630))</f>
        <v/>
      </c>
      <c r="B652" s="24">
        <f>IF('ORDENES'!$A630="","",IF('ORDENES'!$S630="","-",'ORDENES'!$S630))</f>
        <v/>
      </c>
      <c r="C652" s="24">
        <f>IF('ORDENES'!$A630="","",IF('ORDENES'!$AI630="","-",'ORDENES'!$AI630))</f>
        <v/>
      </c>
      <c r="D652" s="24">
        <f>IF('ORDENES'!$A630="","",IF('ORDENES'!$AA630="","-",'ORDENES'!$AA630))</f>
        <v/>
      </c>
      <c r="E652" s="24">
        <f>IF('ORDENES'!$A630="","",IF('ORDENES'!$Y630="","-",'ORDENES'!$Y630))</f>
        <v/>
      </c>
      <c r="F652" s="24">
        <f>IF('ORDENES'!$A630="","",IF('ORDENES'!$AB630="","-",'ORDENES'!$AB630))</f>
        <v/>
      </c>
      <c r="G652" s="24">
        <f>IF('ORDENES'!$A630="","",IF('ORDENES'!$Z630="","-",'ORDENES'!$Z630))</f>
        <v/>
      </c>
      <c r="H652" s="24">
        <f>IF('ORDENES'!$A630="","",IF('ORDENES'!$AH630="","-",'ORDENES'!$AH630))</f>
        <v/>
      </c>
      <c r="I652" s="24">
        <f>IF('ORDENES'!$A630="","",IF('ORDENES'!$AU630="","-",'ORDENES'!$AU630))</f>
        <v/>
      </c>
      <c r="J652" s="24">
        <f>IF('ORDENES'!$A630="","",IF('ORDENES'!$D630="","-",'ORDENES'!$D630))</f>
        <v/>
      </c>
      <c r="K652" s="24">
        <f>IF('ORDENES'!$A630="","",IF('ORDENES'!$E630="","-",'ORDENES'!$E630))</f>
        <v/>
      </c>
      <c r="L652" s="26">
        <f>IF('ORDENES'!$A630="","",IF('ORDENES'!$M630="",0,'ORDENES'!$M630))</f>
        <v/>
      </c>
      <c r="M652" s="24">
        <f>IF('ORDENES'!$A630="","",IF('ORDENES'!$N630="","-",'ORDENES'!$N630))</f>
        <v/>
      </c>
      <c r="N652" s="24">
        <f>IF('ORDENES'!$A630="","",'ORDENES'!$AG630)</f>
        <v/>
      </c>
    </row>
    <row r="653">
      <c r="A653" s="24">
        <f>IF('ORDENES'!$A631="","",IF('ORDENES'!$O631="","-",'ORDENES'!$O631))</f>
        <v/>
      </c>
      <c r="B653" s="24">
        <f>IF('ORDENES'!$A631="","",IF('ORDENES'!$S631="","-",'ORDENES'!$S631))</f>
        <v/>
      </c>
      <c r="C653" s="24">
        <f>IF('ORDENES'!$A631="","",IF('ORDENES'!$AI631="","-",'ORDENES'!$AI631))</f>
        <v/>
      </c>
      <c r="D653" s="24">
        <f>IF('ORDENES'!$A631="","",IF('ORDENES'!$AA631="","-",'ORDENES'!$AA631))</f>
        <v/>
      </c>
      <c r="E653" s="24">
        <f>IF('ORDENES'!$A631="","",IF('ORDENES'!$Y631="","-",'ORDENES'!$Y631))</f>
        <v/>
      </c>
      <c r="F653" s="24">
        <f>IF('ORDENES'!$A631="","",IF('ORDENES'!$AB631="","-",'ORDENES'!$AB631))</f>
        <v/>
      </c>
      <c r="G653" s="24">
        <f>IF('ORDENES'!$A631="","",IF('ORDENES'!$Z631="","-",'ORDENES'!$Z631))</f>
        <v/>
      </c>
      <c r="H653" s="24">
        <f>IF('ORDENES'!$A631="","",IF('ORDENES'!$AH631="","-",'ORDENES'!$AH631))</f>
        <v/>
      </c>
      <c r="I653" s="24">
        <f>IF('ORDENES'!$A631="","",IF('ORDENES'!$AU631="","-",'ORDENES'!$AU631))</f>
        <v/>
      </c>
      <c r="J653" s="24">
        <f>IF('ORDENES'!$A631="","",IF('ORDENES'!$D631="","-",'ORDENES'!$D631))</f>
        <v/>
      </c>
      <c r="K653" s="24">
        <f>IF('ORDENES'!$A631="","",IF('ORDENES'!$E631="","-",'ORDENES'!$E631))</f>
        <v/>
      </c>
      <c r="L653" s="26">
        <f>IF('ORDENES'!$A631="","",IF('ORDENES'!$M631="",0,'ORDENES'!$M631))</f>
        <v/>
      </c>
      <c r="M653" s="24">
        <f>IF('ORDENES'!$A631="","",IF('ORDENES'!$N631="","-",'ORDENES'!$N631))</f>
        <v/>
      </c>
      <c r="N653" s="24">
        <f>IF('ORDENES'!$A631="","",'ORDENES'!$AG631)</f>
        <v/>
      </c>
    </row>
    <row r="654">
      <c r="A654" s="24">
        <f>IF('ORDENES'!$A632="","",IF('ORDENES'!$O632="","-",'ORDENES'!$O632))</f>
        <v/>
      </c>
      <c r="B654" s="24">
        <f>IF('ORDENES'!$A632="","",IF('ORDENES'!$S632="","-",'ORDENES'!$S632))</f>
        <v/>
      </c>
      <c r="C654" s="24">
        <f>IF('ORDENES'!$A632="","",IF('ORDENES'!$AI632="","-",'ORDENES'!$AI632))</f>
        <v/>
      </c>
      <c r="D654" s="24">
        <f>IF('ORDENES'!$A632="","",IF('ORDENES'!$AA632="","-",'ORDENES'!$AA632))</f>
        <v/>
      </c>
      <c r="E654" s="24">
        <f>IF('ORDENES'!$A632="","",IF('ORDENES'!$Y632="","-",'ORDENES'!$Y632))</f>
        <v/>
      </c>
      <c r="F654" s="24">
        <f>IF('ORDENES'!$A632="","",IF('ORDENES'!$AB632="","-",'ORDENES'!$AB632))</f>
        <v/>
      </c>
      <c r="G654" s="24">
        <f>IF('ORDENES'!$A632="","",IF('ORDENES'!$Z632="","-",'ORDENES'!$Z632))</f>
        <v/>
      </c>
      <c r="H654" s="24">
        <f>IF('ORDENES'!$A632="","",IF('ORDENES'!$AH632="","-",'ORDENES'!$AH632))</f>
        <v/>
      </c>
      <c r="I654" s="24">
        <f>IF('ORDENES'!$A632="","",IF('ORDENES'!$AU632="","-",'ORDENES'!$AU632))</f>
        <v/>
      </c>
      <c r="J654" s="24">
        <f>IF('ORDENES'!$A632="","",IF('ORDENES'!$D632="","-",'ORDENES'!$D632))</f>
        <v/>
      </c>
      <c r="K654" s="24">
        <f>IF('ORDENES'!$A632="","",IF('ORDENES'!$E632="","-",'ORDENES'!$E632))</f>
        <v/>
      </c>
      <c r="L654" s="26">
        <f>IF('ORDENES'!$A632="","",IF('ORDENES'!$M632="",0,'ORDENES'!$M632))</f>
        <v/>
      </c>
      <c r="M654" s="24">
        <f>IF('ORDENES'!$A632="","",IF('ORDENES'!$N632="","-",'ORDENES'!$N632))</f>
        <v/>
      </c>
      <c r="N654" s="24">
        <f>IF('ORDENES'!$A632="","",'ORDENES'!$AG632)</f>
        <v/>
      </c>
    </row>
    <row r="655">
      <c r="A655" s="24">
        <f>IF('ORDENES'!$A633="","",IF('ORDENES'!$O633="","-",'ORDENES'!$O633))</f>
        <v/>
      </c>
      <c r="B655" s="24">
        <f>IF('ORDENES'!$A633="","",IF('ORDENES'!$S633="","-",'ORDENES'!$S633))</f>
        <v/>
      </c>
      <c r="C655" s="24">
        <f>IF('ORDENES'!$A633="","",IF('ORDENES'!$AI633="","-",'ORDENES'!$AI633))</f>
        <v/>
      </c>
      <c r="D655" s="24">
        <f>IF('ORDENES'!$A633="","",IF('ORDENES'!$AA633="","-",'ORDENES'!$AA633))</f>
        <v/>
      </c>
      <c r="E655" s="24">
        <f>IF('ORDENES'!$A633="","",IF('ORDENES'!$Y633="","-",'ORDENES'!$Y633))</f>
        <v/>
      </c>
      <c r="F655" s="24">
        <f>IF('ORDENES'!$A633="","",IF('ORDENES'!$AB633="","-",'ORDENES'!$AB633))</f>
        <v/>
      </c>
      <c r="G655" s="24">
        <f>IF('ORDENES'!$A633="","",IF('ORDENES'!$Z633="","-",'ORDENES'!$Z633))</f>
        <v/>
      </c>
      <c r="H655" s="24">
        <f>IF('ORDENES'!$A633="","",IF('ORDENES'!$AH633="","-",'ORDENES'!$AH633))</f>
        <v/>
      </c>
      <c r="I655" s="24">
        <f>IF('ORDENES'!$A633="","",IF('ORDENES'!$AU633="","-",'ORDENES'!$AU633))</f>
        <v/>
      </c>
      <c r="J655" s="24">
        <f>IF('ORDENES'!$A633="","",IF('ORDENES'!$D633="","-",'ORDENES'!$D633))</f>
        <v/>
      </c>
      <c r="K655" s="24">
        <f>IF('ORDENES'!$A633="","",IF('ORDENES'!$E633="","-",'ORDENES'!$E633))</f>
        <v/>
      </c>
      <c r="L655" s="26">
        <f>IF('ORDENES'!$A633="","",IF('ORDENES'!$M633="",0,'ORDENES'!$M633))</f>
        <v/>
      </c>
      <c r="M655" s="24">
        <f>IF('ORDENES'!$A633="","",IF('ORDENES'!$N633="","-",'ORDENES'!$N633))</f>
        <v/>
      </c>
      <c r="N655" s="24">
        <f>IF('ORDENES'!$A633="","",'ORDENES'!$AG633)</f>
        <v/>
      </c>
    </row>
    <row r="656">
      <c r="A656" s="24">
        <f>IF('ORDENES'!$A634="","",IF('ORDENES'!$O634="","-",'ORDENES'!$O634))</f>
        <v/>
      </c>
      <c r="B656" s="24">
        <f>IF('ORDENES'!$A634="","",IF('ORDENES'!$S634="","-",'ORDENES'!$S634))</f>
        <v/>
      </c>
      <c r="C656" s="24">
        <f>IF('ORDENES'!$A634="","",IF('ORDENES'!$AI634="","-",'ORDENES'!$AI634))</f>
        <v/>
      </c>
      <c r="D656" s="24">
        <f>IF('ORDENES'!$A634="","",IF('ORDENES'!$AA634="","-",'ORDENES'!$AA634))</f>
        <v/>
      </c>
      <c r="E656" s="24">
        <f>IF('ORDENES'!$A634="","",IF('ORDENES'!$Y634="","-",'ORDENES'!$Y634))</f>
        <v/>
      </c>
      <c r="F656" s="24">
        <f>IF('ORDENES'!$A634="","",IF('ORDENES'!$AB634="","-",'ORDENES'!$AB634))</f>
        <v/>
      </c>
      <c r="G656" s="24">
        <f>IF('ORDENES'!$A634="","",IF('ORDENES'!$Z634="","-",'ORDENES'!$Z634))</f>
        <v/>
      </c>
      <c r="H656" s="24">
        <f>IF('ORDENES'!$A634="","",IF('ORDENES'!$AH634="","-",'ORDENES'!$AH634))</f>
        <v/>
      </c>
      <c r="I656" s="24">
        <f>IF('ORDENES'!$A634="","",IF('ORDENES'!$AU634="","-",'ORDENES'!$AU634))</f>
        <v/>
      </c>
      <c r="J656" s="24">
        <f>IF('ORDENES'!$A634="","",IF('ORDENES'!$D634="","-",'ORDENES'!$D634))</f>
        <v/>
      </c>
      <c r="K656" s="24">
        <f>IF('ORDENES'!$A634="","",IF('ORDENES'!$E634="","-",'ORDENES'!$E634))</f>
        <v/>
      </c>
      <c r="L656" s="26">
        <f>IF('ORDENES'!$A634="","",IF('ORDENES'!$M634="",0,'ORDENES'!$M634))</f>
        <v/>
      </c>
      <c r="M656" s="24">
        <f>IF('ORDENES'!$A634="","",IF('ORDENES'!$N634="","-",'ORDENES'!$N634))</f>
        <v/>
      </c>
      <c r="N656" s="24">
        <f>IF('ORDENES'!$A634="","",'ORDENES'!$AG634)</f>
        <v/>
      </c>
    </row>
    <row r="657">
      <c r="A657" s="24">
        <f>IF('ORDENES'!$A635="","",IF('ORDENES'!$O635="","-",'ORDENES'!$O635))</f>
        <v/>
      </c>
      <c r="B657" s="24">
        <f>IF('ORDENES'!$A635="","",IF('ORDENES'!$S635="","-",'ORDENES'!$S635))</f>
        <v/>
      </c>
      <c r="C657" s="24">
        <f>IF('ORDENES'!$A635="","",IF('ORDENES'!$AI635="","-",'ORDENES'!$AI635))</f>
        <v/>
      </c>
      <c r="D657" s="24">
        <f>IF('ORDENES'!$A635="","",IF('ORDENES'!$AA635="","-",'ORDENES'!$AA635))</f>
        <v/>
      </c>
      <c r="E657" s="24">
        <f>IF('ORDENES'!$A635="","",IF('ORDENES'!$Y635="","-",'ORDENES'!$Y635))</f>
        <v/>
      </c>
      <c r="F657" s="24">
        <f>IF('ORDENES'!$A635="","",IF('ORDENES'!$AB635="","-",'ORDENES'!$AB635))</f>
        <v/>
      </c>
      <c r="G657" s="24">
        <f>IF('ORDENES'!$A635="","",IF('ORDENES'!$Z635="","-",'ORDENES'!$Z635))</f>
        <v/>
      </c>
      <c r="H657" s="24">
        <f>IF('ORDENES'!$A635="","",IF('ORDENES'!$AH635="","-",'ORDENES'!$AH635))</f>
        <v/>
      </c>
      <c r="I657" s="24">
        <f>IF('ORDENES'!$A635="","",IF('ORDENES'!$AU635="","-",'ORDENES'!$AU635))</f>
        <v/>
      </c>
      <c r="J657" s="24">
        <f>IF('ORDENES'!$A635="","",IF('ORDENES'!$D635="","-",'ORDENES'!$D635))</f>
        <v/>
      </c>
      <c r="K657" s="24">
        <f>IF('ORDENES'!$A635="","",IF('ORDENES'!$E635="","-",'ORDENES'!$E635))</f>
        <v/>
      </c>
      <c r="L657" s="26">
        <f>IF('ORDENES'!$A635="","",IF('ORDENES'!$M635="",0,'ORDENES'!$M635))</f>
        <v/>
      </c>
      <c r="M657" s="24">
        <f>IF('ORDENES'!$A635="","",IF('ORDENES'!$N635="","-",'ORDENES'!$N635))</f>
        <v/>
      </c>
      <c r="N657" s="24">
        <f>IF('ORDENES'!$A635="","",'ORDENES'!$AG635)</f>
        <v/>
      </c>
    </row>
    <row r="658">
      <c r="A658" s="24">
        <f>IF('ORDENES'!$A636="","",IF('ORDENES'!$O636="","-",'ORDENES'!$O636))</f>
        <v/>
      </c>
      <c r="B658" s="24">
        <f>IF('ORDENES'!$A636="","",IF('ORDENES'!$S636="","-",'ORDENES'!$S636))</f>
        <v/>
      </c>
      <c r="C658" s="24">
        <f>IF('ORDENES'!$A636="","",IF('ORDENES'!$AI636="","-",'ORDENES'!$AI636))</f>
        <v/>
      </c>
      <c r="D658" s="24">
        <f>IF('ORDENES'!$A636="","",IF('ORDENES'!$AA636="","-",'ORDENES'!$AA636))</f>
        <v/>
      </c>
      <c r="E658" s="24">
        <f>IF('ORDENES'!$A636="","",IF('ORDENES'!$Y636="","-",'ORDENES'!$Y636))</f>
        <v/>
      </c>
      <c r="F658" s="24">
        <f>IF('ORDENES'!$A636="","",IF('ORDENES'!$AB636="","-",'ORDENES'!$AB636))</f>
        <v/>
      </c>
      <c r="G658" s="24">
        <f>IF('ORDENES'!$A636="","",IF('ORDENES'!$Z636="","-",'ORDENES'!$Z636))</f>
        <v/>
      </c>
      <c r="H658" s="24">
        <f>IF('ORDENES'!$A636="","",IF('ORDENES'!$AH636="","-",'ORDENES'!$AH636))</f>
        <v/>
      </c>
      <c r="I658" s="24">
        <f>IF('ORDENES'!$A636="","",IF('ORDENES'!$AU636="","-",'ORDENES'!$AU636))</f>
        <v/>
      </c>
      <c r="J658" s="24">
        <f>IF('ORDENES'!$A636="","",IF('ORDENES'!$D636="","-",'ORDENES'!$D636))</f>
        <v/>
      </c>
      <c r="K658" s="24">
        <f>IF('ORDENES'!$A636="","",IF('ORDENES'!$E636="","-",'ORDENES'!$E636))</f>
        <v/>
      </c>
      <c r="L658" s="26">
        <f>IF('ORDENES'!$A636="","",IF('ORDENES'!$M636="",0,'ORDENES'!$M636))</f>
        <v/>
      </c>
      <c r="M658" s="24">
        <f>IF('ORDENES'!$A636="","",IF('ORDENES'!$N636="","-",'ORDENES'!$N636))</f>
        <v/>
      </c>
      <c r="N658" s="24">
        <f>IF('ORDENES'!$A636="","",'ORDENES'!$AG636)</f>
        <v/>
      </c>
    </row>
    <row r="659">
      <c r="A659" s="24">
        <f>IF('ORDENES'!$A637="","",IF('ORDENES'!$O637="","-",'ORDENES'!$O637))</f>
        <v/>
      </c>
      <c r="B659" s="24">
        <f>IF('ORDENES'!$A637="","",IF('ORDENES'!$S637="","-",'ORDENES'!$S637))</f>
        <v/>
      </c>
      <c r="C659" s="24">
        <f>IF('ORDENES'!$A637="","",IF('ORDENES'!$AI637="","-",'ORDENES'!$AI637))</f>
        <v/>
      </c>
      <c r="D659" s="24">
        <f>IF('ORDENES'!$A637="","",IF('ORDENES'!$AA637="","-",'ORDENES'!$AA637))</f>
        <v/>
      </c>
      <c r="E659" s="24">
        <f>IF('ORDENES'!$A637="","",IF('ORDENES'!$Y637="","-",'ORDENES'!$Y637))</f>
        <v/>
      </c>
      <c r="F659" s="24">
        <f>IF('ORDENES'!$A637="","",IF('ORDENES'!$AB637="","-",'ORDENES'!$AB637))</f>
        <v/>
      </c>
      <c r="G659" s="24">
        <f>IF('ORDENES'!$A637="","",IF('ORDENES'!$Z637="","-",'ORDENES'!$Z637))</f>
        <v/>
      </c>
      <c r="H659" s="24">
        <f>IF('ORDENES'!$A637="","",IF('ORDENES'!$AH637="","-",'ORDENES'!$AH637))</f>
        <v/>
      </c>
      <c r="I659" s="24">
        <f>IF('ORDENES'!$A637="","",IF('ORDENES'!$AU637="","-",'ORDENES'!$AU637))</f>
        <v/>
      </c>
      <c r="J659" s="24">
        <f>IF('ORDENES'!$A637="","",IF('ORDENES'!$D637="","-",'ORDENES'!$D637))</f>
        <v/>
      </c>
      <c r="K659" s="24">
        <f>IF('ORDENES'!$A637="","",IF('ORDENES'!$E637="","-",'ORDENES'!$E637))</f>
        <v/>
      </c>
      <c r="L659" s="26">
        <f>IF('ORDENES'!$A637="","",IF('ORDENES'!$M637="",0,'ORDENES'!$M637))</f>
        <v/>
      </c>
      <c r="M659" s="24">
        <f>IF('ORDENES'!$A637="","",IF('ORDENES'!$N637="","-",'ORDENES'!$N637))</f>
        <v/>
      </c>
      <c r="N659" s="24">
        <f>IF('ORDENES'!$A637="","",'ORDENES'!$AG637)</f>
        <v/>
      </c>
    </row>
    <row r="660">
      <c r="A660" s="24">
        <f>IF('ORDENES'!$A638="","",IF('ORDENES'!$O638="","-",'ORDENES'!$O638))</f>
        <v/>
      </c>
      <c r="B660" s="24">
        <f>IF('ORDENES'!$A638="","",IF('ORDENES'!$S638="","-",'ORDENES'!$S638))</f>
        <v/>
      </c>
      <c r="C660" s="24">
        <f>IF('ORDENES'!$A638="","",IF('ORDENES'!$AI638="","-",'ORDENES'!$AI638))</f>
        <v/>
      </c>
      <c r="D660" s="24">
        <f>IF('ORDENES'!$A638="","",IF('ORDENES'!$AA638="","-",'ORDENES'!$AA638))</f>
        <v/>
      </c>
      <c r="E660" s="24">
        <f>IF('ORDENES'!$A638="","",IF('ORDENES'!$Y638="","-",'ORDENES'!$Y638))</f>
        <v/>
      </c>
      <c r="F660" s="24">
        <f>IF('ORDENES'!$A638="","",IF('ORDENES'!$AB638="","-",'ORDENES'!$AB638))</f>
        <v/>
      </c>
      <c r="G660" s="24">
        <f>IF('ORDENES'!$A638="","",IF('ORDENES'!$Z638="","-",'ORDENES'!$Z638))</f>
        <v/>
      </c>
      <c r="H660" s="24">
        <f>IF('ORDENES'!$A638="","",IF('ORDENES'!$AH638="","-",'ORDENES'!$AH638))</f>
        <v/>
      </c>
      <c r="I660" s="24">
        <f>IF('ORDENES'!$A638="","",IF('ORDENES'!$AU638="","-",'ORDENES'!$AU638))</f>
        <v/>
      </c>
      <c r="J660" s="24">
        <f>IF('ORDENES'!$A638="","",IF('ORDENES'!$D638="","-",'ORDENES'!$D638))</f>
        <v/>
      </c>
      <c r="K660" s="24">
        <f>IF('ORDENES'!$A638="","",IF('ORDENES'!$E638="","-",'ORDENES'!$E638))</f>
        <v/>
      </c>
      <c r="L660" s="26">
        <f>IF('ORDENES'!$A638="","",IF('ORDENES'!$M638="",0,'ORDENES'!$M638))</f>
        <v/>
      </c>
      <c r="M660" s="24">
        <f>IF('ORDENES'!$A638="","",IF('ORDENES'!$N638="","-",'ORDENES'!$N638))</f>
        <v/>
      </c>
      <c r="N660" s="24">
        <f>IF('ORDENES'!$A638="","",'ORDENES'!$AG638)</f>
        <v/>
      </c>
    </row>
    <row r="661">
      <c r="A661" s="24">
        <f>IF('ORDENES'!$A639="","",IF('ORDENES'!$O639="","-",'ORDENES'!$O639))</f>
        <v/>
      </c>
      <c r="B661" s="24">
        <f>IF('ORDENES'!$A639="","",IF('ORDENES'!$S639="","-",'ORDENES'!$S639))</f>
        <v/>
      </c>
      <c r="C661" s="24">
        <f>IF('ORDENES'!$A639="","",IF('ORDENES'!$AI639="","-",'ORDENES'!$AI639))</f>
        <v/>
      </c>
      <c r="D661" s="24">
        <f>IF('ORDENES'!$A639="","",IF('ORDENES'!$AA639="","-",'ORDENES'!$AA639))</f>
        <v/>
      </c>
      <c r="E661" s="24">
        <f>IF('ORDENES'!$A639="","",IF('ORDENES'!$Y639="","-",'ORDENES'!$Y639))</f>
        <v/>
      </c>
      <c r="F661" s="24">
        <f>IF('ORDENES'!$A639="","",IF('ORDENES'!$AB639="","-",'ORDENES'!$AB639))</f>
        <v/>
      </c>
      <c r="G661" s="24">
        <f>IF('ORDENES'!$A639="","",IF('ORDENES'!$Z639="","-",'ORDENES'!$Z639))</f>
        <v/>
      </c>
      <c r="H661" s="24">
        <f>IF('ORDENES'!$A639="","",IF('ORDENES'!$AH639="","-",'ORDENES'!$AH639))</f>
        <v/>
      </c>
      <c r="I661" s="24">
        <f>IF('ORDENES'!$A639="","",IF('ORDENES'!$AU639="","-",'ORDENES'!$AU639))</f>
        <v/>
      </c>
      <c r="J661" s="24">
        <f>IF('ORDENES'!$A639="","",IF('ORDENES'!$D639="","-",'ORDENES'!$D639))</f>
        <v/>
      </c>
      <c r="K661" s="24">
        <f>IF('ORDENES'!$A639="","",IF('ORDENES'!$E639="","-",'ORDENES'!$E639))</f>
        <v/>
      </c>
      <c r="L661" s="26">
        <f>IF('ORDENES'!$A639="","",IF('ORDENES'!$M639="",0,'ORDENES'!$M639))</f>
        <v/>
      </c>
      <c r="M661" s="24">
        <f>IF('ORDENES'!$A639="","",IF('ORDENES'!$N639="","-",'ORDENES'!$N639))</f>
        <v/>
      </c>
      <c r="N661" s="24">
        <f>IF('ORDENES'!$A639="","",'ORDENES'!$AG639)</f>
        <v/>
      </c>
    </row>
    <row r="662">
      <c r="A662" s="24">
        <f>IF('ORDENES'!$A640="","",IF('ORDENES'!$O640="","-",'ORDENES'!$O640))</f>
        <v/>
      </c>
      <c r="B662" s="24">
        <f>IF('ORDENES'!$A640="","",IF('ORDENES'!$S640="","-",'ORDENES'!$S640))</f>
        <v/>
      </c>
      <c r="C662" s="24">
        <f>IF('ORDENES'!$A640="","",IF('ORDENES'!$AI640="","-",'ORDENES'!$AI640))</f>
        <v/>
      </c>
      <c r="D662" s="24">
        <f>IF('ORDENES'!$A640="","",IF('ORDENES'!$AA640="","-",'ORDENES'!$AA640))</f>
        <v/>
      </c>
      <c r="E662" s="24">
        <f>IF('ORDENES'!$A640="","",IF('ORDENES'!$Y640="","-",'ORDENES'!$Y640))</f>
        <v/>
      </c>
      <c r="F662" s="24">
        <f>IF('ORDENES'!$A640="","",IF('ORDENES'!$AB640="","-",'ORDENES'!$AB640))</f>
        <v/>
      </c>
      <c r="G662" s="24">
        <f>IF('ORDENES'!$A640="","",IF('ORDENES'!$Z640="","-",'ORDENES'!$Z640))</f>
        <v/>
      </c>
      <c r="H662" s="24">
        <f>IF('ORDENES'!$A640="","",IF('ORDENES'!$AH640="","-",'ORDENES'!$AH640))</f>
        <v/>
      </c>
      <c r="I662" s="24">
        <f>IF('ORDENES'!$A640="","",IF('ORDENES'!$AU640="","-",'ORDENES'!$AU640))</f>
        <v/>
      </c>
      <c r="J662" s="24">
        <f>IF('ORDENES'!$A640="","",IF('ORDENES'!$D640="","-",'ORDENES'!$D640))</f>
        <v/>
      </c>
      <c r="K662" s="24">
        <f>IF('ORDENES'!$A640="","",IF('ORDENES'!$E640="","-",'ORDENES'!$E640))</f>
        <v/>
      </c>
      <c r="L662" s="26">
        <f>IF('ORDENES'!$A640="","",IF('ORDENES'!$M640="",0,'ORDENES'!$M640))</f>
        <v/>
      </c>
      <c r="M662" s="24">
        <f>IF('ORDENES'!$A640="","",IF('ORDENES'!$N640="","-",'ORDENES'!$N640))</f>
        <v/>
      </c>
      <c r="N662" s="24">
        <f>IF('ORDENES'!$A640="","",'ORDENES'!$AG640)</f>
        <v/>
      </c>
    </row>
    <row r="663">
      <c r="A663" s="24">
        <f>IF('ORDENES'!$A641="","",IF('ORDENES'!$O641="","-",'ORDENES'!$O641))</f>
        <v/>
      </c>
      <c r="B663" s="24">
        <f>IF('ORDENES'!$A641="","",IF('ORDENES'!$S641="","-",'ORDENES'!$S641))</f>
        <v/>
      </c>
      <c r="C663" s="24">
        <f>IF('ORDENES'!$A641="","",IF('ORDENES'!$AI641="","-",'ORDENES'!$AI641))</f>
        <v/>
      </c>
      <c r="D663" s="24">
        <f>IF('ORDENES'!$A641="","",IF('ORDENES'!$AA641="","-",'ORDENES'!$AA641))</f>
        <v/>
      </c>
      <c r="E663" s="24">
        <f>IF('ORDENES'!$A641="","",IF('ORDENES'!$Y641="","-",'ORDENES'!$Y641))</f>
        <v/>
      </c>
      <c r="F663" s="24">
        <f>IF('ORDENES'!$A641="","",IF('ORDENES'!$AB641="","-",'ORDENES'!$AB641))</f>
        <v/>
      </c>
      <c r="G663" s="24">
        <f>IF('ORDENES'!$A641="","",IF('ORDENES'!$Z641="","-",'ORDENES'!$Z641))</f>
        <v/>
      </c>
      <c r="H663" s="24">
        <f>IF('ORDENES'!$A641="","",IF('ORDENES'!$AH641="","-",'ORDENES'!$AH641))</f>
        <v/>
      </c>
      <c r="I663" s="24">
        <f>IF('ORDENES'!$A641="","",IF('ORDENES'!$AU641="","-",'ORDENES'!$AU641))</f>
        <v/>
      </c>
      <c r="J663" s="24">
        <f>IF('ORDENES'!$A641="","",IF('ORDENES'!$D641="","-",'ORDENES'!$D641))</f>
        <v/>
      </c>
      <c r="K663" s="24">
        <f>IF('ORDENES'!$A641="","",IF('ORDENES'!$E641="","-",'ORDENES'!$E641))</f>
        <v/>
      </c>
      <c r="L663" s="26">
        <f>IF('ORDENES'!$A641="","",IF('ORDENES'!$M641="",0,'ORDENES'!$M641))</f>
        <v/>
      </c>
      <c r="M663" s="24">
        <f>IF('ORDENES'!$A641="","",IF('ORDENES'!$N641="","-",'ORDENES'!$N641))</f>
        <v/>
      </c>
      <c r="N663" s="24">
        <f>IF('ORDENES'!$A641="","",'ORDENES'!$AG641)</f>
        <v/>
      </c>
    </row>
    <row r="664">
      <c r="A664" s="24">
        <f>IF('ORDENES'!$A642="","",IF('ORDENES'!$O642="","-",'ORDENES'!$O642))</f>
        <v/>
      </c>
      <c r="B664" s="24">
        <f>IF('ORDENES'!$A642="","",IF('ORDENES'!$S642="","-",'ORDENES'!$S642))</f>
        <v/>
      </c>
      <c r="C664" s="24">
        <f>IF('ORDENES'!$A642="","",IF('ORDENES'!$AI642="","-",'ORDENES'!$AI642))</f>
        <v/>
      </c>
      <c r="D664" s="24">
        <f>IF('ORDENES'!$A642="","",IF('ORDENES'!$AA642="","-",'ORDENES'!$AA642))</f>
        <v/>
      </c>
      <c r="E664" s="24">
        <f>IF('ORDENES'!$A642="","",IF('ORDENES'!$Y642="","-",'ORDENES'!$Y642))</f>
        <v/>
      </c>
      <c r="F664" s="24">
        <f>IF('ORDENES'!$A642="","",IF('ORDENES'!$AB642="","-",'ORDENES'!$AB642))</f>
        <v/>
      </c>
      <c r="G664" s="24">
        <f>IF('ORDENES'!$A642="","",IF('ORDENES'!$Z642="","-",'ORDENES'!$Z642))</f>
        <v/>
      </c>
      <c r="H664" s="24">
        <f>IF('ORDENES'!$A642="","",IF('ORDENES'!$AH642="","-",'ORDENES'!$AH642))</f>
        <v/>
      </c>
      <c r="I664" s="24">
        <f>IF('ORDENES'!$A642="","",IF('ORDENES'!$AU642="","-",'ORDENES'!$AU642))</f>
        <v/>
      </c>
      <c r="J664" s="24">
        <f>IF('ORDENES'!$A642="","",IF('ORDENES'!$D642="","-",'ORDENES'!$D642))</f>
        <v/>
      </c>
      <c r="K664" s="24">
        <f>IF('ORDENES'!$A642="","",IF('ORDENES'!$E642="","-",'ORDENES'!$E642))</f>
        <v/>
      </c>
      <c r="L664" s="26">
        <f>IF('ORDENES'!$A642="","",IF('ORDENES'!$M642="",0,'ORDENES'!$M642))</f>
        <v/>
      </c>
      <c r="M664" s="24">
        <f>IF('ORDENES'!$A642="","",IF('ORDENES'!$N642="","-",'ORDENES'!$N642))</f>
        <v/>
      </c>
      <c r="N664" s="24">
        <f>IF('ORDENES'!$A642="","",'ORDENES'!$AG642)</f>
        <v/>
      </c>
    </row>
    <row r="665">
      <c r="A665" s="24">
        <f>IF('ORDENES'!$A643="","",IF('ORDENES'!$O643="","-",'ORDENES'!$O643))</f>
        <v/>
      </c>
      <c r="B665" s="24">
        <f>IF('ORDENES'!$A643="","",IF('ORDENES'!$S643="","-",'ORDENES'!$S643))</f>
        <v/>
      </c>
      <c r="C665" s="24">
        <f>IF('ORDENES'!$A643="","",IF('ORDENES'!$AI643="","-",'ORDENES'!$AI643))</f>
        <v/>
      </c>
      <c r="D665" s="24">
        <f>IF('ORDENES'!$A643="","",IF('ORDENES'!$AA643="","-",'ORDENES'!$AA643))</f>
        <v/>
      </c>
      <c r="E665" s="24">
        <f>IF('ORDENES'!$A643="","",IF('ORDENES'!$Y643="","-",'ORDENES'!$Y643))</f>
        <v/>
      </c>
      <c r="F665" s="24">
        <f>IF('ORDENES'!$A643="","",IF('ORDENES'!$AB643="","-",'ORDENES'!$AB643))</f>
        <v/>
      </c>
      <c r="G665" s="24">
        <f>IF('ORDENES'!$A643="","",IF('ORDENES'!$Z643="","-",'ORDENES'!$Z643))</f>
        <v/>
      </c>
      <c r="H665" s="24">
        <f>IF('ORDENES'!$A643="","",IF('ORDENES'!$AH643="","-",'ORDENES'!$AH643))</f>
        <v/>
      </c>
      <c r="I665" s="24">
        <f>IF('ORDENES'!$A643="","",IF('ORDENES'!$AU643="","-",'ORDENES'!$AU643))</f>
        <v/>
      </c>
      <c r="J665" s="24">
        <f>IF('ORDENES'!$A643="","",IF('ORDENES'!$D643="","-",'ORDENES'!$D643))</f>
        <v/>
      </c>
      <c r="K665" s="24">
        <f>IF('ORDENES'!$A643="","",IF('ORDENES'!$E643="","-",'ORDENES'!$E643))</f>
        <v/>
      </c>
      <c r="L665" s="26">
        <f>IF('ORDENES'!$A643="","",IF('ORDENES'!$M643="",0,'ORDENES'!$M643))</f>
        <v/>
      </c>
      <c r="M665" s="24">
        <f>IF('ORDENES'!$A643="","",IF('ORDENES'!$N643="","-",'ORDENES'!$N643))</f>
        <v/>
      </c>
      <c r="N665" s="24">
        <f>IF('ORDENES'!$A643="","",'ORDENES'!$AG643)</f>
        <v/>
      </c>
    </row>
    <row r="666">
      <c r="A666" s="24">
        <f>IF('ORDENES'!$A644="","",IF('ORDENES'!$O644="","-",'ORDENES'!$O644))</f>
        <v/>
      </c>
      <c r="B666" s="24">
        <f>IF('ORDENES'!$A644="","",IF('ORDENES'!$S644="","-",'ORDENES'!$S644))</f>
        <v/>
      </c>
      <c r="C666" s="24">
        <f>IF('ORDENES'!$A644="","",IF('ORDENES'!$AI644="","-",'ORDENES'!$AI644))</f>
        <v/>
      </c>
      <c r="D666" s="24">
        <f>IF('ORDENES'!$A644="","",IF('ORDENES'!$AA644="","-",'ORDENES'!$AA644))</f>
        <v/>
      </c>
      <c r="E666" s="24">
        <f>IF('ORDENES'!$A644="","",IF('ORDENES'!$Y644="","-",'ORDENES'!$Y644))</f>
        <v/>
      </c>
      <c r="F666" s="24">
        <f>IF('ORDENES'!$A644="","",IF('ORDENES'!$AB644="","-",'ORDENES'!$AB644))</f>
        <v/>
      </c>
      <c r="G666" s="24">
        <f>IF('ORDENES'!$A644="","",IF('ORDENES'!$Z644="","-",'ORDENES'!$Z644))</f>
        <v/>
      </c>
      <c r="H666" s="24">
        <f>IF('ORDENES'!$A644="","",IF('ORDENES'!$AH644="","-",'ORDENES'!$AH644))</f>
        <v/>
      </c>
      <c r="I666" s="24">
        <f>IF('ORDENES'!$A644="","",IF('ORDENES'!$AU644="","-",'ORDENES'!$AU644))</f>
        <v/>
      </c>
      <c r="J666" s="24">
        <f>IF('ORDENES'!$A644="","",IF('ORDENES'!$D644="","-",'ORDENES'!$D644))</f>
        <v/>
      </c>
      <c r="K666" s="24">
        <f>IF('ORDENES'!$A644="","",IF('ORDENES'!$E644="","-",'ORDENES'!$E644))</f>
        <v/>
      </c>
      <c r="L666" s="26">
        <f>IF('ORDENES'!$A644="","",IF('ORDENES'!$M644="",0,'ORDENES'!$M644))</f>
        <v/>
      </c>
      <c r="M666" s="24">
        <f>IF('ORDENES'!$A644="","",IF('ORDENES'!$N644="","-",'ORDENES'!$N644))</f>
        <v/>
      </c>
      <c r="N666" s="24">
        <f>IF('ORDENES'!$A644="","",'ORDENES'!$AG644)</f>
        <v/>
      </c>
    </row>
    <row r="667">
      <c r="A667" s="24">
        <f>IF('ORDENES'!$A645="","",IF('ORDENES'!$O645="","-",'ORDENES'!$O645))</f>
        <v/>
      </c>
      <c r="B667" s="24">
        <f>IF('ORDENES'!$A645="","",IF('ORDENES'!$S645="","-",'ORDENES'!$S645))</f>
        <v/>
      </c>
      <c r="C667" s="24">
        <f>IF('ORDENES'!$A645="","",IF('ORDENES'!$AI645="","-",'ORDENES'!$AI645))</f>
        <v/>
      </c>
      <c r="D667" s="24">
        <f>IF('ORDENES'!$A645="","",IF('ORDENES'!$AA645="","-",'ORDENES'!$AA645))</f>
        <v/>
      </c>
      <c r="E667" s="24">
        <f>IF('ORDENES'!$A645="","",IF('ORDENES'!$Y645="","-",'ORDENES'!$Y645))</f>
        <v/>
      </c>
      <c r="F667" s="24">
        <f>IF('ORDENES'!$A645="","",IF('ORDENES'!$AB645="","-",'ORDENES'!$AB645))</f>
        <v/>
      </c>
      <c r="G667" s="24">
        <f>IF('ORDENES'!$A645="","",IF('ORDENES'!$Z645="","-",'ORDENES'!$Z645))</f>
        <v/>
      </c>
      <c r="H667" s="24">
        <f>IF('ORDENES'!$A645="","",IF('ORDENES'!$AH645="","-",'ORDENES'!$AH645))</f>
        <v/>
      </c>
      <c r="I667" s="24">
        <f>IF('ORDENES'!$A645="","",IF('ORDENES'!$AU645="","-",'ORDENES'!$AU645))</f>
        <v/>
      </c>
      <c r="J667" s="24">
        <f>IF('ORDENES'!$A645="","",IF('ORDENES'!$D645="","-",'ORDENES'!$D645))</f>
        <v/>
      </c>
      <c r="K667" s="24">
        <f>IF('ORDENES'!$A645="","",IF('ORDENES'!$E645="","-",'ORDENES'!$E645))</f>
        <v/>
      </c>
      <c r="L667" s="26">
        <f>IF('ORDENES'!$A645="","",IF('ORDENES'!$M645="",0,'ORDENES'!$M645))</f>
        <v/>
      </c>
      <c r="M667" s="24">
        <f>IF('ORDENES'!$A645="","",IF('ORDENES'!$N645="","-",'ORDENES'!$N645))</f>
        <v/>
      </c>
      <c r="N667" s="24">
        <f>IF('ORDENES'!$A645="","",'ORDENES'!$AG645)</f>
        <v/>
      </c>
    </row>
    <row r="668">
      <c r="A668" s="24">
        <f>IF('ORDENES'!$A646="","",IF('ORDENES'!$O646="","-",'ORDENES'!$O646))</f>
        <v/>
      </c>
      <c r="B668" s="24">
        <f>IF('ORDENES'!$A646="","",IF('ORDENES'!$S646="","-",'ORDENES'!$S646))</f>
        <v/>
      </c>
      <c r="C668" s="24">
        <f>IF('ORDENES'!$A646="","",IF('ORDENES'!$AI646="","-",'ORDENES'!$AI646))</f>
        <v/>
      </c>
      <c r="D668" s="24">
        <f>IF('ORDENES'!$A646="","",IF('ORDENES'!$AA646="","-",'ORDENES'!$AA646))</f>
        <v/>
      </c>
      <c r="E668" s="24">
        <f>IF('ORDENES'!$A646="","",IF('ORDENES'!$Y646="","-",'ORDENES'!$Y646))</f>
        <v/>
      </c>
      <c r="F668" s="24">
        <f>IF('ORDENES'!$A646="","",IF('ORDENES'!$AB646="","-",'ORDENES'!$AB646))</f>
        <v/>
      </c>
      <c r="G668" s="24">
        <f>IF('ORDENES'!$A646="","",IF('ORDENES'!$Z646="","-",'ORDENES'!$Z646))</f>
        <v/>
      </c>
      <c r="H668" s="24">
        <f>IF('ORDENES'!$A646="","",IF('ORDENES'!$AH646="","-",'ORDENES'!$AH646))</f>
        <v/>
      </c>
      <c r="I668" s="24">
        <f>IF('ORDENES'!$A646="","",IF('ORDENES'!$AU646="","-",'ORDENES'!$AU646))</f>
        <v/>
      </c>
      <c r="J668" s="24">
        <f>IF('ORDENES'!$A646="","",IF('ORDENES'!$D646="","-",'ORDENES'!$D646))</f>
        <v/>
      </c>
      <c r="K668" s="24">
        <f>IF('ORDENES'!$A646="","",IF('ORDENES'!$E646="","-",'ORDENES'!$E646))</f>
        <v/>
      </c>
      <c r="L668" s="26">
        <f>IF('ORDENES'!$A646="","",IF('ORDENES'!$M646="",0,'ORDENES'!$M646))</f>
        <v/>
      </c>
      <c r="M668" s="24">
        <f>IF('ORDENES'!$A646="","",IF('ORDENES'!$N646="","-",'ORDENES'!$N646))</f>
        <v/>
      </c>
      <c r="N668" s="24">
        <f>IF('ORDENES'!$A646="","",'ORDENES'!$AG646)</f>
        <v/>
      </c>
    </row>
    <row r="669">
      <c r="A669" s="24">
        <f>IF('ORDENES'!$A647="","",IF('ORDENES'!$O647="","-",'ORDENES'!$O647))</f>
        <v/>
      </c>
      <c r="B669" s="24">
        <f>IF('ORDENES'!$A647="","",IF('ORDENES'!$S647="","-",'ORDENES'!$S647))</f>
        <v/>
      </c>
      <c r="C669" s="24">
        <f>IF('ORDENES'!$A647="","",IF('ORDENES'!$AI647="","-",'ORDENES'!$AI647))</f>
        <v/>
      </c>
      <c r="D669" s="24">
        <f>IF('ORDENES'!$A647="","",IF('ORDENES'!$AA647="","-",'ORDENES'!$AA647))</f>
        <v/>
      </c>
      <c r="E669" s="24">
        <f>IF('ORDENES'!$A647="","",IF('ORDENES'!$Y647="","-",'ORDENES'!$Y647))</f>
        <v/>
      </c>
      <c r="F669" s="24">
        <f>IF('ORDENES'!$A647="","",IF('ORDENES'!$AB647="","-",'ORDENES'!$AB647))</f>
        <v/>
      </c>
      <c r="G669" s="24">
        <f>IF('ORDENES'!$A647="","",IF('ORDENES'!$Z647="","-",'ORDENES'!$Z647))</f>
        <v/>
      </c>
      <c r="H669" s="24">
        <f>IF('ORDENES'!$A647="","",IF('ORDENES'!$AH647="","-",'ORDENES'!$AH647))</f>
        <v/>
      </c>
      <c r="I669" s="24">
        <f>IF('ORDENES'!$A647="","",IF('ORDENES'!$AU647="","-",'ORDENES'!$AU647))</f>
        <v/>
      </c>
      <c r="J669" s="24">
        <f>IF('ORDENES'!$A647="","",IF('ORDENES'!$D647="","-",'ORDENES'!$D647))</f>
        <v/>
      </c>
      <c r="K669" s="24">
        <f>IF('ORDENES'!$A647="","",IF('ORDENES'!$E647="","-",'ORDENES'!$E647))</f>
        <v/>
      </c>
      <c r="L669" s="26">
        <f>IF('ORDENES'!$A647="","",IF('ORDENES'!$M647="",0,'ORDENES'!$M647))</f>
        <v/>
      </c>
      <c r="M669" s="24">
        <f>IF('ORDENES'!$A647="","",IF('ORDENES'!$N647="","-",'ORDENES'!$N647))</f>
        <v/>
      </c>
      <c r="N669" s="24">
        <f>IF('ORDENES'!$A647="","",'ORDENES'!$AG647)</f>
        <v/>
      </c>
    </row>
    <row r="670">
      <c r="A670" s="24">
        <f>IF('ORDENES'!$A648="","",IF('ORDENES'!$O648="","-",'ORDENES'!$O648))</f>
        <v/>
      </c>
      <c r="B670" s="24">
        <f>IF('ORDENES'!$A648="","",IF('ORDENES'!$S648="","-",'ORDENES'!$S648))</f>
        <v/>
      </c>
      <c r="C670" s="24">
        <f>IF('ORDENES'!$A648="","",IF('ORDENES'!$AI648="","-",'ORDENES'!$AI648))</f>
        <v/>
      </c>
      <c r="D670" s="24">
        <f>IF('ORDENES'!$A648="","",IF('ORDENES'!$AA648="","-",'ORDENES'!$AA648))</f>
        <v/>
      </c>
      <c r="E670" s="24">
        <f>IF('ORDENES'!$A648="","",IF('ORDENES'!$Y648="","-",'ORDENES'!$Y648))</f>
        <v/>
      </c>
      <c r="F670" s="24">
        <f>IF('ORDENES'!$A648="","",IF('ORDENES'!$AB648="","-",'ORDENES'!$AB648))</f>
        <v/>
      </c>
      <c r="G670" s="24">
        <f>IF('ORDENES'!$A648="","",IF('ORDENES'!$Z648="","-",'ORDENES'!$Z648))</f>
        <v/>
      </c>
      <c r="H670" s="24">
        <f>IF('ORDENES'!$A648="","",IF('ORDENES'!$AH648="","-",'ORDENES'!$AH648))</f>
        <v/>
      </c>
      <c r="I670" s="24">
        <f>IF('ORDENES'!$A648="","",IF('ORDENES'!$AU648="","-",'ORDENES'!$AU648))</f>
        <v/>
      </c>
      <c r="J670" s="24">
        <f>IF('ORDENES'!$A648="","",IF('ORDENES'!$D648="","-",'ORDENES'!$D648))</f>
        <v/>
      </c>
      <c r="K670" s="24">
        <f>IF('ORDENES'!$A648="","",IF('ORDENES'!$E648="","-",'ORDENES'!$E648))</f>
        <v/>
      </c>
      <c r="L670" s="26">
        <f>IF('ORDENES'!$A648="","",IF('ORDENES'!$M648="",0,'ORDENES'!$M648))</f>
        <v/>
      </c>
      <c r="M670" s="24">
        <f>IF('ORDENES'!$A648="","",IF('ORDENES'!$N648="","-",'ORDENES'!$N648))</f>
        <v/>
      </c>
      <c r="N670" s="24">
        <f>IF('ORDENES'!$A648="","",'ORDENES'!$AG648)</f>
        <v/>
      </c>
    </row>
    <row r="671">
      <c r="A671" s="24">
        <f>IF('ORDENES'!$A649="","",IF('ORDENES'!$O649="","-",'ORDENES'!$O649))</f>
        <v/>
      </c>
      <c r="B671" s="24">
        <f>IF('ORDENES'!$A649="","",IF('ORDENES'!$S649="","-",'ORDENES'!$S649))</f>
        <v/>
      </c>
      <c r="C671" s="24">
        <f>IF('ORDENES'!$A649="","",IF('ORDENES'!$AI649="","-",'ORDENES'!$AI649))</f>
        <v/>
      </c>
      <c r="D671" s="24">
        <f>IF('ORDENES'!$A649="","",IF('ORDENES'!$AA649="","-",'ORDENES'!$AA649))</f>
        <v/>
      </c>
      <c r="E671" s="24">
        <f>IF('ORDENES'!$A649="","",IF('ORDENES'!$Y649="","-",'ORDENES'!$Y649))</f>
        <v/>
      </c>
      <c r="F671" s="24">
        <f>IF('ORDENES'!$A649="","",IF('ORDENES'!$AB649="","-",'ORDENES'!$AB649))</f>
        <v/>
      </c>
      <c r="G671" s="24">
        <f>IF('ORDENES'!$A649="","",IF('ORDENES'!$Z649="","-",'ORDENES'!$Z649))</f>
        <v/>
      </c>
      <c r="H671" s="24">
        <f>IF('ORDENES'!$A649="","",IF('ORDENES'!$AH649="","-",'ORDENES'!$AH649))</f>
        <v/>
      </c>
      <c r="I671" s="24">
        <f>IF('ORDENES'!$A649="","",IF('ORDENES'!$AU649="","-",'ORDENES'!$AU649))</f>
        <v/>
      </c>
      <c r="J671" s="24">
        <f>IF('ORDENES'!$A649="","",IF('ORDENES'!$D649="","-",'ORDENES'!$D649))</f>
        <v/>
      </c>
      <c r="K671" s="24">
        <f>IF('ORDENES'!$A649="","",IF('ORDENES'!$E649="","-",'ORDENES'!$E649))</f>
        <v/>
      </c>
      <c r="L671" s="26">
        <f>IF('ORDENES'!$A649="","",IF('ORDENES'!$M649="",0,'ORDENES'!$M649))</f>
        <v/>
      </c>
      <c r="M671" s="24">
        <f>IF('ORDENES'!$A649="","",IF('ORDENES'!$N649="","-",'ORDENES'!$N649))</f>
        <v/>
      </c>
      <c r="N671" s="24">
        <f>IF('ORDENES'!$A649="","",'ORDENES'!$AG649)</f>
        <v/>
      </c>
    </row>
    <row r="672">
      <c r="A672" s="24">
        <f>IF('ORDENES'!$A650="","",IF('ORDENES'!$O650="","-",'ORDENES'!$O650))</f>
        <v/>
      </c>
      <c r="B672" s="24">
        <f>IF('ORDENES'!$A650="","",IF('ORDENES'!$S650="","-",'ORDENES'!$S650))</f>
        <v/>
      </c>
      <c r="C672" s="24">
        <f>IF('ORDENES'!$A650="","",IF('ORDENES'!$AI650="","-",'ORDENES'!$AI650))</f>
        <v/>
      </c>
      <c r="D672" s="24">
        <f>IF('ORDENES'!$A650="","",IF('ORDENES'!$AA650="","-",'ORDENES'!$AA650))</f>
        <v/>
      </c>
      <c r="E672" s="24">
        <f>IF('ORDENES'!$A650="","",IF('ORDENES'!$Y650="","-",'ORDENES'!$Y650))</f>
        <v/>
      </c>
      <c r="F672" s="24">
        <f>IF('ORDENES'!$A650="","",IF('ORDENES'!$AB650="","-",'ORDENES'!$AB650))</f>
        <v/>
      </c>
      <c r="G672" s="24">
        <f>IF('ORDENES'!$A650="","",IF('ORDENES'!$Z650="","-",'ORDENES'!$Z650))</f>
        <v/>
      </c>
      <c r="H672" s="24">
        <f>IF('ORDENES'!$A650="","",IF('ORDENES'!$AH650="","-",'ORDENES'!$AH650))</f>
        <v/>
      </c>
      <c r="I672" s="24">
        <f>IF('ORDENES'!$A650="","",IF('ORDENES'!$AU650="","-",'ORDENES'!$AU650))</f>
        <v/>
      </c>
      <c r="J672" s="24">
        <f>IF('ORDENES'!$A650="","",IF('ORDENES'!$D650="","-",'ORDENES'!$D650))</f>
        <v/>
      </c>
      <c r="K672" s="24">
        <f>IF('ORDENES'!$A650="","",IF('ORDENES'!$E650="","-",'ORDENES'!$E650))</f>
        <v/>
      </c>
      <c r="L672" s="26">
        <f>IF('ORDENES'!$A650="","",IF('ORDENES'!$M650="",0,'ORDENES'!$M650))</f>
        <v/>
      </c>
      <c r="M672" s="24">
        <f>IF('ORDENES'!$A650="","",IF('ORDENES'!$N650="","-",'ORDENES'!$N650))</f>
        <v/>
      </c>
      <c r="N672" s="24">
        <f>IF('ORDENES'!$A650="","",'ORDENES'!$AG650)</f>
        <v/>
      </c>
    </row>
    <row r="673">
      <c r="A673" s="24">
        <f>IF('ORDENES'!$A651="","",IF('ORDENES'!$O651="","-",'ORDENES'!$O651))</f>
        <v/>
      </c>
      <c r="B673" s="24">
        <f>IF('ORDENES'!$A651="","",IF('ORDENES'!$S651="","-",'ORDENES'!$S651))</f>
        <v/>
      </c>
      <c r="C673" s="24">
        <f>IF('ORDENES'!$A651="","",IF('ORDENES'!$AI651="","-",'ORDENES'!$AI651))</f>
        <v/>
      </c>
      <c r="D673" s="24">
        <f>IF('ORDENES'!$A651="","",IF('ORDENES'!$AA651="","-",'ORDENES'!$AA651))</f>
        <v/>
      </c>
      <c r="E673" s="24">
        <f>IF('ORDENES'!$A651="","",IF('ORDENES'!$Y651="","-",'ORDENES'!$Y651))</f>
        <v/>
      </c>
      <c r="F673" s="24">
        <f>IF('ORDENES'!$A651="","",IF('ORDENES'!$AB651="","-",'ORDENES'!$AB651))</f>
        <v/>
      </c>
      <c r="G673" s="24">
        <f>IF('ORDENES'!$A651="","",IF('ORDENES'!$Z651="","-",'ORDENES'!$Z651))</f>
        <v/>
      </c>
      <c r="H673" s="24">
        <f>IF('ORDENES'!$A651="","",IF('ORDENES'!$AH651="","-",'ORDENES'!$AH651))</f>
        <v/>
      </c>
      <c r="I673" s="24">
        <f>IF('ORDENES'!$A651="","",IF('ORDENES'!$AU651="","-",'ORDENES'!$AU651))</f>
        <v/>
      </c>
      <c r="J673" s="24">
        <f>IF('ORDENES'!$A651="","",IF('ORDENES'!$D651="","-",'ORDENES'!$D651))</f>
        <v/>
      </c>
      <c r="K673" s="24">
        <f>IF('ORDENES'!$A651="","",IF('ORDENES'!$E651="","-",'ORDENES'!$E651))</f>
        <v/>
      </c>
      <c r="L673" s="26">
        <f>IF('ORDENES'!$A651="","",IF('ORDENES'!$M651="",0,'ORDENES'!$M651))</f>
        <v/>
      </c>
      <c r="M673" s="24">
        <f>IF('ORDENES'!$A651="","",IF('ORDENES'!$N651="","-",'ORDENES'!$N651))</f>
        <v/>
      </c>
      <c r="N673" s="24">
        <f>IF('ORDENES'!$A651="","",'ORDENES'!$AG651)</f>
        <v/>
      </c>
    </row>
    <row r="674">
      <c r="A674" s="24">
        <f>IF('ORDENES'!$A652="","",IF('ORDENES'!$O652="","-",'ORDENES'!$O652))</f>
        <v/>
      </c>
      <c r="B674" s="24">
        <f>IF('ORDENES'!$A652="","",IF('ORDENES'!$S652="","-",'ORDENES'!$S652))</f>
        <v/>
      </c>
      <c r="C674" s="24">
        <f>IF('ORDENES'!$A652="","",IF('ORDENES'!$AI652="","-",'ORDENES'!$AI652))</f>
        <v/>
      </c>
      <c r="D674" s="24">
        <f>IF('ORDENES'!$A652="","",IF('ORDENES'!$AA652="","-",'ORDENES'!$AA652))</f>
        <v/>
      </c>
      <c r="E674" s="24">
        <f>IF('ORDENES'!$A652="","",IF('ORDENES'!$Y652="","-",'ORDENES'!$Y652))</f>
        <v/>
      </c>
      <c r="F674" s="24">
        <f>IF('ORDENES'!$A652="","",IF('ORDENES'!$AB652="","-",'ORDENES'!$AB652))</f>
        <v/>
      </c>
      <c r="G674" s="24">
        <f>IF('ORDENES'!$A652="","",IF('ORDENES'!$Z652="","-",'ORDENES'!$Z652))</f>
        <v/>
      </c>
      <c r="H674" s="24">
        <f>IF('ORDENES'!$A652="","",IF('ORDENES'!$AH652="","-",'ORDENES'!$AH652))</f>
        <v/>
      </c>
      <c r="I674" s="24">
        <f>IF('ORDENES'!$A652="","",IF('ORDENES'!$AU652="","-",'ORDENES'!$AU652))</f>
        <v/>
      </c>
      <c r="J674" s="24">
        <f>IF('ORDENES'!$A652="","",IF('ORDENES'!$D652="","-",'ORDENES'!$D652))</f>
        <v/>
      </c>
      <c r="K674" s="24">
        <f>IF('ORDENES'!$A652="","",IF('ORDENES'!$E652="","-",'ORDENES'!$E652))</f>
        <v/>
      </c>
      <c r="L674" s="26">
        <f>IF('ORDENES'!$A652="","",IF('ORDENES'!$M652="",0,'ORDENES'!$M652))</f>
        <v/>
      </c>
      <c r="M674" s="24">
        <f>IF('ORDENES'!$A652="","",IF('ORDENES'!$N652="","-",'ORDENES'!$N652))</f>
        <v/>
      </c>
      <c r="N674" s="24">
        <f>IF('ORDENES'!$A652="","",'ORDENES'!$AG652)</f>
        <v/>
      </c>
    </row>
    <row r="675">
      <c r="A675" s="24">
        <f>IF('ORDENES'!$A653="","",IF('ORDENES'!$O653="","-",'ORDENES'!$O653))</f>
        <v/>
      </c>
      <c r="B675" s="24">
        <f>IF('ORDENES'!$A653="","",IF('ORDENES'!$S653="","-",'ORDENES'!$S653))</f>
        <v/>
      </c>
      <c r="C675" s="24">
        <f>IF('ORDENES'!$A653="","",IF('ORDENES'!$AI653="","-",'ORDENES'!$AI653))</f>
        <v/>
      </c>
      <c r="D675" s="24">
        <f>IF('ORDENES'!$A653="","",IF('ORDENES'!$AA653="","-",'ORDENES'!$AA653))</f>
        <v/>
      </c>
      <c r="E675" s="24">
        <f>IF('ORDENES'!$A653="","",IF('ORDENES'!$Y653="","-",'ORDENES'!$Y653))</f>
        <v/>
      </c>
      <c r="F675" s="24">
        <f>IF('ORDENES'!$A653="","",IF('ORDENES'!$AB653="","-",'ORDENES'!$AB653))</f>
        <v/>
      </c>
      <c r="G675" s="24">
        <f>IF('ORDENES'!$A653="","",IF('ORDENES'!$Z653="","-",'ORDENES'!$Z653))</f>
        <v/>
      </c>
      <c r="H675" s="24">
        <f>IF('ORDENES'!$A653="","",IF('ORDENES'!$AH653="","-",'ORDENES'!$AH653))</f>
        <v/>
      </c>
      <c r="I675" s="24">
        <f>IF('ORDENES'!$A653="","",IF('ORDENES'!$AU653="","-",'ORDENES'!$AU653))</f>
        <v/>
      </c>
      <c r="J675" s="24">
        <f>IF('ORDENES'!$A653="","",IF('ORDENES'!$D653="","-",'ORDENES'!$D653))</f>
        <v/>
      </c>
      <c r="K675" s="24">
        <f>IF('ORDENES'!$A653="","",IF('ORDENES'!$E653="","-",'ORDENES'!$E653))</f>
        <v/>
      </c>
      <c r="L675" s="26">
        <f>IF('ORDENES'!$A653="","",IF('ORDENES'!$M653="",0,'ORDENES'!$M653))</f>
        <v/>
      </c>
      <c r="M675" s="24">
        <f>IF('ORDENES'!$A653="","",IF('ORDENES'!$N653="","-",'ORDENES'!$N653))</f>
        <v/>
      </c>
      <c r="N675" s="24">
        <f>IF('ORDENES'!$A653="","",'ORDENES'!$AG653)</f>
        <v/>
      </c>
    </row>
    <row r="676">
      <c r="A676" s="24">
        <f>IF('ORDENES'!$A654="","",IF('ORDENES'!$O654="","-",'ORDENES'!$O654))</f>
        <v/>
      </c>
      <c r="B676" s="24">
        <f>IF('ORDENES'!$A654="","",IF('ORDENES'!$S654="","-",'ORDENES'!$S654))</f>
        <v/>
      </c>
      <c r="C676" s="24">
        <f>IF('ORDENES'!$A654="","",IF('ORDENES'!$AI654="","-",'ORDENES'!$AI654))</f>
        <v/>
      </c>
      <c r="D676" s="24">
        <f>IF('ORDENES'!$A654="","",IF('ORDENES'!$AA654="","-",'ORDENES'!$AA654))</f>
        <v/>
      </c>
      <c r="E676" s="24">
        <f>IF('ORDENES'!$A654="","",IF('ORDENES'!$Y654="","-",'ORDENES'!$Y654))</f>
        <v/>
      </c>
      <c r="F676" s="24">
        <f>IF('ORDENES'!$A654="","",IF('ORDENES'!$AB654="","-",'ORDENES'!$AB654))</f>
        <v/>
      </c>
      <c r="G676" s="24">
        <f>IF('ORDENES'!$A654="","",IF('ORDENES'!$Z654="","-",'ORDENES'!$Z654))</f>
        <v/>
      </c>
      <c r="H676" s="24">
        <f>IF('ORDENES'!$A654="","",IF('ORDENES'!$AH654="","-",'ORDENES'!$AH654))</f>
        <v/>
      </c>
      <c r="I676" s="24">
        <f>IF('ORDENES'!$A654="","",IF('ORDENES'!$AU654="","-",'ORDENES'!$AU654))</f>
        <v/>
      </c>
      <c r="J676" s="24">
        <f>IF('ORDENES'!$A654="","",IF('ORDENES'!$D654="","-",'ORDENES'!$D654))</f>
        <v/>
      </c>
      <c r="K676" s="24">
        <f>IF('ORDENES'!$A654="","",IF('ORDENES'!$E654="","-",'ORDENES'!$E654))</f>
        <v/>
      </c>
      <c r="L676" s="26">
        <f>IF('ORDENES'!$A654="","",IF('ORDENES'!$M654="",0,'ORDENES'!$M654))</f>
        <v/>
      </c>
      <c r="M676" s="24">
        <f>IF('ORDENES'!$A654="","",IF('ORDENES'!$N654="","-",'ORDENES'!$N654))</f>
        <v/>
      </c>
      <c r="N676" s="24">
        <f>IF('ORDENES'!$A654="","",'ORDENES'!$AG654)</f>
        <v/>
      </c>
    </row>
    <row r="677">
      <c r="A677" s="24">
        <f>IF('ORDENES'!$A655="","",IF('ORDENES'!$O655="","-",'ORDENES'!$O655))</f>
        <v/>
      </c>
      <c r="B677" s="24">
        <f>IF('ORDENES'!$A655="","",IF('ORDENES'!$S655="","-",'ORDENES'!$S655))</f>
        <v/>
      </c>
      <c r="C677" s="24">
        <f>IF('ORDENES'!$A655="","",IF('ORDENES'!$AI655="","-",'ORDENES'!$AI655))</f>
        <v/>
      </c>
      <c r="D677" s="24">
        <f>IF('ORDENES'!$A655="","",IF('ORDENES'!$AA655="","-",'ORDENES'!$AA655))</f>
        <v/>
      </c>
      <c r="E677" s="24">
        <f>IF('ORDENES'!$A655="","",IF('ORDENES'!$Y655="","-",'ORDENES'!$Y655))</f>
        <v/>
      </c>
      <c r="F677" s="24">
        <f>IF('ORDENES'!$A655="","",IF('ORDENES'!$AB655="","-",'ORDENES'!$AB655))</f>
        <v/>
      </c>
      <c r="G677" s="24">
        <f>IF('ORDENES'!$A655="","",IF('ORDENES'!$Z655="","-",'ORDENES'!$Z655))</f>
        <v/>
      </c>
      <c r="H677" s="24">
        <f>IF('ORDENES'!$A655="","",IF('ORDENES'!$AH655="","-",'ORDENES'!$AH655))</f>
        <v/>
      </c>
      <c r="I677" s="24">
        <f>IF('ORDENES'!$A655="","",IF('ORDENES'!$AU655="","-",'ORDENES'!$AU655))</f>
        <v/>
      </c>
      <c r="J677" s="24">
        <f>IF('ORDENES'!$A655="","",IF('ORDENES'!$D655="","-",'ORDENES'!$D655))</f>
        <v/>
      </c>
      <c r="K677" s="24">
        <f>IF('ORDENES'!$A655="","",IF('ORDENES'!$E655="","-",'ORDENES'!$E655))</f>
        <v/>
      </c>
      <c r="L677" s="26">
        <f>IF('ORDENES'!$A655="","",IF('ORDENES'!$M655="",0,'ORDENES'!$M655))</f>
        <v/>
      </c>
      <c r="M677" s="24">
        <f>IF('ORDENES'!$A655="","",IF('ORDENES'!$N655="","-",'ORDENES'!$N655))</f>
        <v/>
      </c>
      <c r="N677" s="24">
        <f>IF('ORDENES'!$A655="","",'ORDENES'!$AG655)</f>
        <v/>
      </c>
    </row>
    <row r="678">
      <c r="A678" s="24">
        <f>IF('ORDENES'!$A656="","",IF('ORDENES'!$O656="","-",'ORDENES'!$O656))</f>
        <v/>
      </c>
      <c r="B678" s="24">
        <f>IF('ORDENES'!$A656="","",IF('ORDENES'!$S656="","-",'ORDENES'!$S656))</f>
        <v/>
      </c>
      <c r="C678" s="24">
        <f>IF('ORDENES'!$A656="","",IF('ORDENES'!$AI656="","-",'ORDENES'!$AI656))</f>
        <v/>
      </c>
      <c r="D678" s="24">
        <f>IF('ORDENES'!$A656="","",IF('ORDENES'!$AA656="","-",'ORDENES'!$AA656))</f>
        <v/>
      </c>
      <c r="E678" s="24">
        <f>IF('ORDENES'!$A656="","",IF('ORDENES'!$Y656="","-",'ORDENES'!$Y656))</f>
        <v/>
      </c>
      <c r="F678" s="24">
        <f>IF('ORDENES'!$A656="","",IF('ORDENES'!$AB656="","-",'ORDENES'!$AB656))</f>
        <v/>
      </c>
      <c r="G678" s="24">
        <f>IF('ORDENES'!$A656="","",IF('ORDENES'!$Z656="","-",'ORDENES'!$Z656))</f>
        <v/>
      </c>
      <c r="H678" s="24">
        <f>IF('ORDENES'!$A656="","",IF('ORDENES'!$AH656="","-",'ORDENES'!$AH656))</f>
        <v/>
      </c>
      <c r="I678" s="24">
        <f>IF('ORDENES'!$A656="","",IF('ORDENES'!$AU656="","-",'ORDENES'!$AU656))</f>
        <v/>
      </c>
      <c r="J678" s="24">
        <f>IF('ORDENES'!$A656="","",IF('ORDENES'!$D656="","-",'ORDENES'!$D656))</f>
        <v/>
      </c>
      <c r="K678" s="24">
        <f>IF('ORDENES'!$A656="","",IF('ORDENES'!$E656="","-",'ORDENES'!$E656))</f>
        <v/>
      </c>
      <c r="L678" s="26">
        <f>IF('ORDENES'!$A656="","",IF('ORDENES'!$M656="",0,'ORDENES'!$M656))</f>
        <v/>
      </c>
      <c r="M678" s="24">
        <f>IF('ORDENES'!$A656="","",IF('ORDENES'!$N656="","-",'ORDENES'!$N656))</f>
        <v/>
      </c>
      <c r="N678" s="24">
        <f>IF('ORDENES'!$A656="","",'ORDENES'!$AG656)</f>
        <v/>
      </c>
    </row>
    <row r="679">
      <c r="A679" s="24">
        <f>IF('ORDENES'!$A657="","",IF('ORDENES'!$O657="","-",'ORDENES'!$O657))</f>
        <v/>
      </c>
      <c r="B679" s="24">
        <f>IF('ORDENES'!$A657="","",IF('ORDENES'!$S657="","-",'ORDENES'!$S657))</f>
        <v/>
      </c>
      <c r="C679" s="24">
        <f>IF('ORDENES'!$A657="","",IF('ORDENES'!$AI657="","-",'ORDENES'!$AI657))</f>
        <v/>
      </c>
      <c r="D679" s="24">
        <f>IF('ORDENES'!$A657="","",IF('ORDENES'!$AA657="","-",'ORDENES'!$AA657))</f>
        <v/>
      </c>
      <c r="E679" s="24">
        <f>IF('ORDENES'!$A657="","",IF('ORDENES'!$Y657="","-",'ORDENES'!$Y657))</f>
        <v/>
      </c>
      <c r="F679" s="24">
        <f>IF('ORDENES'!$A657="","",IF('ORDENES'!$AB657="","-",'ORDENES'!$AB657))</f>
        <v/>
      </c>
      <c r="G679" s="24">
        <f>IF('ORDENES'!$A657="","",IF('ORDENES'!$Z657="","-",'ORDENES'!$Z657))</f>
        <v/>
      </c>
      <c r="H679" s="24">
        <f>IF('ORDENES'!$A657="","",IF('ORDENES'!$AH657="","-",'ORDENES'!$AH657))</f>
        <v/>
      </c>
      <c r="I679" s="24">
        <f>IF('ORDENES'!$A657="","",IF('ORDENES'!$AU657="","-",'ORDENES'!$AU657))</f>
        <v/>
      </c>
      <c r="J679" s="24">
        <f>IF('ORDENES'!$A657="","",IF('ORDENES'!$D657="","-",'ORDENES'!$D657))</f>
        <v/>
      </c>
      <c r="K679" s="24">
        <f>IF('ORDENES'!$A657="","",IF('ORDENES'!$E657="","-",'ORDENES'!$E657))</f>
        <v/>
      </c>
      <c r="L679" s="26">
        <f>IF('ORDENES'!$A657="","",IF('ORDENES'!$M657="",0,'ORDENES'!$M657))</f>
        <v/>
      </c>
      <c r="M679" s="24">
        <f>IF('ORDENES'!$A657="","",IF('ORDENES'!$N657="","-",'ORDENES'!$N657))</f>
        <v/>
      </c>
      <c r="N679" s="24">
        <f>IF('ORDENES'!$A657="","",'ORDENES'!$AG657)</f>
        <v/>
      </c>
    </row>
    <row r="680">
      <c r="A680" s="24">
        <f>IF('ORDENES'!$A658="","",IF('ORDENES'!$O658="","-",'ORDENES'!$O658))</f>
        <v/>
      </c>
      <c r="B680" s="24">
        <f>IF('ORDENES'!$A658="","",IF('ORDENES'!$S658="","-",'ORDENES'!$S658))</f>
        <v/>
      </c>
      <c r="C680" s="24">
        <f>IF('ORDENES'!$A658="","",IF('ORDENES'!$AI658="","-",'ORDENES'!$AI658))</f>
        <v/>
      </c>
      <c r="D680" s="24">
        <f>IF('ORDENES'!$A658="","",IF('ORDENES'!$AA658="","-",'ORDENES'!$AA658))</f>
        <v/>
      </c>
      <c r="E680" s="24">
        <f>IF('ORDENES'!$A658="","",IF('ORDENES'!$Y658="","-",'ORDENES'!$Y658))</f>
        <v/>
      </c>
      <c r="F680" s="24">
        <f>IF('ORDENES'!$A658="","",IF('ORDENES'!$AB658="","-",'ORDENES'!$AB658))</f>
        <v/>
      </c>
      <c r="G680" s="24">
        <f>IF('ORDENES'!$A658="","",IF('ORDENES'!$Z658="","-",'ORDENES'!$Z658))</f>
        <v/>
      </c>
      <c r="H680" s="24">
        <f>IF('ORDENES'!$A658="","",IF('ORDENES'!$AH658="","-",'ORDENES'!$AH658))</f>
        <v/>
      </c>
      <c r="I680" s="24">
        <f>IF('ORDENES'!$A658="","",IF('ORDENES'!$AU658="","-",'ORDENES'!$AU658))</f>
        <v/>
      </c>
      <c r="J680" s="24">
        <f>IF('ORDENES'!$A658="","",IF('ORDENES'!$D658="","-",'ORDENES'!$D658))</f>
        <v/>
      </c>
      <c r="K680" s="24">
        <f>IF('ORDENES'!$A658="","",IF('ORDENES'!$E658="","-",'ORDENES'!$E658))</f>
        <v/>
      </c>
      <c r="L680" s="26">
        <f>IF('ORDENES'!$A658="","",IF('ORDENES'!$M658="",0,'ORDENES'!$M658))</f>
        <v/>
      </c>
      <c r="M680" s="24">
        <f>IF('ORDENES'!$A658="","",IF('ORDENES'!$N658="","-",'ORDENES'!$N658))</f>
        <v/>
      </c>
      <c r="N680" s="24">
        <f>IF('ORDENES'!$A658="","",'ORDENES'!$AG658)</f>
        <v/>
      </c>
    </row>
    <row r="681">
      <c r="A681" s="24">
        <f>IF('ORDENES'!$A659="","",IF('ORDENES'!$O659="","-",'ORDENES'!$O659))</f>
        <v/>
      </c>
      <c r="B681" s="24">
        <f>IF('ORDENES'!$A659="","",IF('ORDENES'!$S659="","-",'ORDENES'!$S659))</f>
        <v/>
      </c>
      <c r="C681" s="24">
        <f>IF('ORDENES'!$A659="","",IF('ORDENES'!$AI659="","-",'ORDENES'!$AI659))</f>
        <v/>
      </c>
      <c r="D681" s="24">
        <f>IF('ORDENES'!$A659="","",IF('ORDENES'!$AA659="","-",'ORDENES'!$AA659))</f>
        <v/>
      </c>
      <c r="E681" s="24">
        <f>IF('ORDENES'!$A659="","",IF('ORDENES'!$Y659="","-",'ORDENES'!$Y659))</f>
        <v/>
      </c>
      <c r="F681" s="24">
        <f>IF('ORDENES'!$A659="","",IF('ORDENES'!$AB659="","-",'ORDENES'!$AB659))</f>
        <v/>
      </c>
      <c r="G681" s="24">
        <f>IF('ORDENES'!$A659="","",IF('ORDENES'!$Z659="","-",'ORDENES'!$Z659))</f>
        <v/>
      </c>
      <c r="H681" s="24">
        <f>IF('ORDENES'!$A659="","",IF('ORDENES'!$AH659="","-",'ORDENES'!$AH659))</f>
        <v/>
      </c>
      <c r="I681" s="24">
        <f>IF('ORDENES'!$A659="","",IF('ORDENES'!$AU659="","-",'ORDENES'!$AU659))</f>
        <v/>
      </c>
      <c r="J681" s="24">
        <f>IF('ORDENES'!$A659="","",IF('ORDENES'!$D659="","-",'ORDENES'!$D659))</f>
        <v/>
      </c>
      <c r="K681" s="24">
        <f>IF('ORDENES'!$A659="","",IF('ORDENES'!$E659="","-",'ORDENES'!$E659))</f>
        <v/>
      </c>
      <c r="L681" s="26">
        <f>IF('ORDENES'!$A659="","",IF('ORDENES'!$M659="",0,'ORDENES'!$M659))</f>
        <v/>
      </c>
      <c r="M681" s="24">
        <f>IF('ORDENES'!$A659="","",IF('ORDENES'!$N659="","-",'ORDENES'!$N659))</f>
        <v/>
      </c>
      <c r="N681" s="24">
        <f>IF('ORDENES'!$A659="","",'ORDENES'!$AG659)</f>
        <v/>
      </c>
    </row>
    <row r="682">
      <c r="A682" s="24">
        <f>IF('ORDENES'!$A660="","",IF('ORDENES'!$O660="","-",'ORDENES'!$O660))</f>
        <v/>
      </c>
      <c r="B682" s="24">
        <f>IF('ORDENES'!$A660="","",IF('ORDENES'!$S660="","-",'ORDENES'!$S660))</f>
        <v/>
      </c>
      <c r="C682" s="24">
        <f>IF('ORDENES'!$A660="","",IF('ORDENES'!$AI660="","-",'ORDENES'!$AI660))</f>
        <v/>
      </c>
      <c r="D682" s="24">
        <f>IF('ORDENES'!$A660="","",IF('ORDENES'!$AA660="","-",'ORDENES'!$AA660))</f>
        <v/>
      </c>
      <c r="E682" s="24">
        <f>IF('ORDENES'!$A660="","",IF('ORDENES'!$Y660="","-",'ORDENES'!$Y660))</f>
        <v/>
      </c>
      <c r="F682" s="24">
        <f>IF('ORDENES'!$A660="","",IF('ORDENES'!$AB660="","-",'ORDENES'!$AB660))</f>
        <v/>
      </c>
      <c r="G682" s="24">
        <f>IF('ORDENES'!$A660="","",IF('ORDENES'!$Z660="","-",'ORDENES'!$Z660))</f>
        <v/>
      </c>
      <c r="H682" s="24">
        <f>IF('ORDENES'!$A660="","",IF('ORDENES'!$AH660="","-",'ORDENES'!$AH660))</f>
        <v/>
      </c>
      <c r="I682" s="24">
        <f>IF('ORDENES'!$A660="","",IF('ORDENES'!$AU660="","-",'ORDENES'!$AU660))</f>
        <v/>
      </c>
      <c r="J682" s="24">
        <f>IF('ORDENES'!$A660="","",IF('ORDENES'!$D660="","-",'ORDENES'!$D660))</f>
        <v/>
      </c>
      <c r="K682" s="24">
        <f>IF('ORDENES'!$A660="","",IF('ORDENES'!$E660="","-",'ORDENES'!$E660))</f>
        <v/>
      </c>
      <c r="L682" s="26">
        <f>IF('ORDENES'!$A660="","",IF('ORDENES'!$M660="",0,'ORDENES'!$M660))</f>
        <v/>
      </c>
      <c r="M682" s="24">
        <f>IF('ORDENES'!$A660="","",IF('ORDENES'!$N660="","-",'ORDENES'!$N660))</f>
        <v/>
      </c>
      <c r="N682" s="24">
        <f>IF('ORDENES'!$A660="","",'ORDENES'!$AG660)</f>
        <v/>
      </c>
    </row>
    <row r="683">
      <c r="A683" s="24">
        <f>IF('ORDENES'!$A661="","",IF('ORDENES'!$O661="","-",'ORDENES'!$O661))</f>
        <v/>
      </c>
      <c r="B683" s="24">
        <f>IF('ORDENES'!$A661="","",IF('ORDENES'!$S661="","-",'ORDENES'!$S661))</f>
        <v/>
      </c>
      <c r="C683" s="24">
        <f>IF('ORDENES'!$A661="","",IF('ORDENES'!$AI661="","-",'ORDENES'!$AI661))</f>
        <v/>
      </c>
      <c r="D683" s="24">
        <f>IF('ORDENES'!$A661="","",IF('ORDENES'!$AA661="","-",'ORDENES'!$AA661))</f>
        <v/>
      </c>
      <c r="E683" s="24">
        <f>IF('ORDENES'!$A661="","",IF('ORDENES'!$Y661="","-",'ORDENES'!$Y661))</f>
        <v/>
      </c>
      <c r="F683" s="24">
        <f>IF('ORDENES'!$A661="","",IF('ORDENES'!$AB661="","-",'ORDENES'!$AB661))</f>
        <v/>
      </c>
      <c r="G683" s="24">
        <f>IF('ORDENES'!$A661="","",IF('ORDENES'!$Z661="","-",'ORDENES'!$Z661))</f>
        <v/>
      </c>
      <c r="H683" s="24">
        <f>IF('ORDENES'!$A661="","",IF('ORDENES'!$AH661="","-",'ORDENES'!$AH661))</f>
        <v/>
      </c>
      <c r="I683" s="24">
        <f>IF('ORDENES'!$A661="","",IF('ORDENES'!$AU661="","-",'ORDENES'!$AU661))</f>
        <v/>
      </c>
      <c r="J683" s="24">
        <f>IF('ORDENES'!$A661="","",IF('ORDENES'!$D661="","-",'ORDENES'!$D661))</f>
        <v/>
      </c>
      <c r="K683" s="24">
        <f>IF('ORDENES'!$A661="","",IF('ORDENES'!$E661="","-",'ORDENES'!$E661))</f>
        <v/>
      </c>
      <c r="L683" s="26">
        <f>IF('ORDENES'!$A661="","",IF('ORDENES'!$M661="",0,'ORDENES'!$M661))</f>
        <v/>
      </c>
      <c r="M683" s="24">
        <f>IF('ORDENES'!$A661="","",IF('ORDENES'!$N661="","-",'ORDENES'!$N661))</f>
        <v/>
      </c>
      <c r="N683" s="24">
        <f>IF('ORDENES'!$A661="","",'ORDENES'!$AG661)</f>
        <v/>
      </c>
    </row>
    <row r="684">
      <c r="A684" s="24">
        <f>IF('ORDENES'!$A662="","",IF('ORDENES'!$O662="","-",'ORDENES'!$O662))</f>
        <v/>
      </c>
      <c r="B684" s="24">
        <f>IF('ORDENES'!$A662="","",IF('ORDENES'!$S662="","-",'ORDENES'!$S662))</f>
        <v/>
      </c>
      <c r="C684" s="24">
        <f>IF('ORDENES'!$A662="","",IF('ORDENES'!$AI662="","-",'ORDENES'!$AI662))</f>
        <v/>
      </c>
      <c r="D684" s="24">
        <f>IF('ORDENES'!$A662="","",IF('ORDENES'!$AA662="","-",'ORDENES'!$AA662))</f>
        <v/>
      </c>
      <c r="E684" s="24">
        <f>IF('ORDENES'!$A662="","",IF('ORDENES'!$Y662="","-",'ORDENES'!$Y662))</f>
        <v/>
      </c>
      <c r="F684" s="24">
        <f>IF('ORDENES'!$A662="","",IF('ORDENES'!$AB662="","-",'ORDENES'!$AB662))</f>
        <v/>
      </c>
      <c r="G684" s="24">
        <f>IF('ORDENES'!$A662="","",IF('ORDENES'!$Z662="","-",'ORDENES'!$Z662))</f>
        <v/>
      </c>
      <c r="H684" s="24">
        <f>IF('ORDENES'!$A662="","",IF('ORDENES'!$AH662="","-",'ORDENES'!$AH662))</f>
        <v/>
      </c>
      <c r="I684" s="24">
        <f>IF('ORDENES'!$A662="","",IF('ORDENES'!$AU662="","-",'ORDENES'!$AU662))</f>
        <v/>
      </c>
      <c r="J684" s="24">
        <f>IF('ORDENES'!$A662="","",IF('ORDENES'!$D662="","-",'ORDENES'!$D662))</f>
        <v/>
      </c>
      <c r="K684" s="24">
        <f>IF('ORDENES'!$A662="","",IF('ORDENES'!$E662="","-",'ORDENES'!$E662))</f>
        <v/>
      </c>
      <c r="L684" s="26">
        <f>IF('ORDENES'!$A662="","",IF('ORDENES'!$M662="",0,'ORDENES'!$M662))</f>
        <v/>
      </c>
      <c r="M684" s="24">
        <f>IF('ORDENES'!$A662="","",IF('ORDENES'!$N662="","-",'ORDENES'!$N662))</f>
        <v/>
      </c>
      <c r="N684" s="24">
        <f>IF('ORDENES'!$A662="","",'ORDENES'!$AG662)</f>
        <v/>
      </c>
    </row>
    <row r="685">
      <c r="A685" s="24">
        <f>IF('ORDENES'!$A663="","",IF('ORDENES'!$O663="","-",'ORDENES'!$O663))</f>
        <v/>
      </c>
      <c r="B685" s="24">
        <f>IF('ORDENES'!$A663="","",IF('ORDENES'!$S663="","-",'ORDENES'!$S663))</f>
        <v/>
      </c>
      <c r="C685" s="24">
        <f>IF('ORDENES'!$A663="","",IF('ORDENES'!$AI663="","-",'ORDENES'!$AI663))</f>
        <v/>
      </c>
      <c r="D685" s="24">
        <f>IF('ORDENES'!$A663="","",IF('ORDENES'!$AA663="","-",'ORDENES'!$AA663))</f>
        <v/>
      </c>
      <c r="E685" s="24">
        <f>IF('ORDENES'!$A663="","",IF('ORDENES'!$Y663="","-",'ORDENES'!$Y663))</f>
        <v/>
      </c>
      <c r="F685" s="24">
        <f>IF('ORDENES'!$A663="","",IF('ORDENES'!$AB663="","-",'ORDENES'!$AB663))</f>
        <v/>
      </c>
      <c r="G685" s="24">
        <f>IF('ORDENES'!$A663="","",IF('ORDENES'!$Z663="","-",'ORDENES'!$Z663))</f>
        <v/>
      </c>
      <c r="H685" s="24">
        <f>IF('ORDENES'!$A663="","",IF('ORDENES'!$AH663="","-",'ORDENES'!$AH663))</f>
        <v/>
      </c>
      <c r="I685" s="24">
        <f>IF('ORDENES'!$A663="","",IF('ORDENES'!$AU663="","-",'ORDENES'!$AU663))</f>
        <v/>
      </c>
      <c r="J685" s="24">
        <f>IF('ORDENES'!$A663="","",IF('ORDENES'!$D663="","-",'ORDENES'!$D663))</f>
        <v/>
      </c>
      <c r="K685" s="24">
        <f>IF('ORDENES'!$A663="","",IF('ORDENES'!$E663="","-",'ORDENES'!$E663))</f>
        <v/>
      </c>
      <c r="L685" s="26">
        <f>IF('ORDENES'!$A663="","",IF('ORDENES'!$M663="",0,'ORDENES'!$M663))</f>
        <v/>
      </c>
      <c r="M685" s="24">
        <f>IF('ORDENES'!$A663="","",IF('ORDENES'!$N663="","-",'ORDENES'!$N663))</f>
        <v/>
      </c>
      <c r="N685" s="24">
        <f>IF('ORDENES'!$A663="","",'ORDENES'!$AG663)</f>
        <v/>
      </c>
    </row>
    <row r="686">
      <c r="A686" s="24">
        <f>IF('ORDENES'!$A664="","",IF('ORDENES'!$O664="","-",'ORDENES'!$O664))</f>
        <v/>
      </c>
      <c r="B686" s="24">
        <f>IF('ORDENES'!$A664="","",IF('ORDENES'!$S664="","-",'ORDENES'!$S664))</f>
        <v/>
      </c>
      <c r="C686" s="24">
        <f>IF('ORDENES'!$A664="","",IF('ORDENES'!$AI664="","-",'ORDENES'!$AI664))</f>
        <v/>
      </c>
      <c r="D686" s="24">
        <f>IF('ORDENES'!$A664="","",IF('ORDENES'!$AA664="","-",'ORDENES'!$AA664))</f>
        <v/>
      </c>
      <c r="E686" s="24">
        <f>IF('ORDENES'!$A664="","",IF('ORDENES'!$Y664="","-",'ORDENES'!$Y664))</f>
        <v/>
      </c>
      <c r="F686" s="24">
        <f>IF('ORDENES'!$A664="","",IF('ORDENES'!$AB664="","-",'ORDENES'!$AB664))</f>
        <v/>
      </c>
      <c r="G686" s="24">
        <f>IF('ORDENES'!$A664="","",IF('ORDENES'!$Z664="","-",'ORDENES'!$Z664))</f>
        <v/>
      </c>
      <c r="H686" s="24">
        <f>IF('ORDENES'!$A664="","",IF('ORDENES'!$AH664="","-",'ORDENES'!$AH664))</f>
        <v/>
      </c>
      <c r="I686" s="24">
        <f>IF('ORDENES'!$A664="","",IF('ORDENES'!$AU664="","-",'ORDENES'!$AU664))</f>
        <v/>
      </c>
      <c r="J686" s="24">
        <f>IF('ORDENES'!$A664="","",IF('ORDENES'!$D664="","-",'ORDENES'!$D664))</f>
        <v/>
      </c>
      <c r="K686" s="24">
        <f>IF('ORDENES'!$A664="","",IF('ORDENES'!$E664="","-",'ORDENES'!$E664))</f>
        <v/>
      </c>
      <c r="L686" s="26">
        <f>IF('ORDENES'!$A664="","",IF('ORDENES'!$M664="",0,'ORDENES'!$M664))</f>
        <v/>
      </c>
      <c r="M686" s="24">
        <f>IF('ORDENES'!$A664="","",IF('ORDENES'!$N664="","-",'ORDENES'!$N664))</f>
        <v/>
      </c>
      <c r="N686" s="24">
        <f>IF('ORDENES'!$A664="","",'ORDENES'!$AG664)</f>
        <v/>
      </c>
    </row>
    <row r="687">
      <c r="A687" s="24">
        <f>IF('ORDENES'!$A665="","",IF('ORDENES'!$O665="","-",'ORDENES'!$O665))</f>
        <v/>
      </c>
      <c r="B687" s="24">
        <f>IF('ORDENES'!$A665="","",IF('ORDENES'!$S665="","-",'ORDENES'!$S665))</f>
        <v/>
      </c>
      <c r="C687" s="24">
        <f>IF('ORDENES'!$A665="","",IF('ORDENES'!$AI665="","-",'ORDENES'!$AI665))</f>
        <v/>
      </c>
      <c r="D687" s="24">
        <f>IF('ORDENES'!$A665="","",IF('ORDENES'!$AA665="","-",'ORDENES'!$AA665))</f>
        <v/>
      </c>
      <c r="E687" s="24">
        <f>IF('ORDENES'!$A665="","",IF('ORDENES'!$Y665="","-",'ORDENES'!$Y665))</f>
        <v/>
      </c>
      <c r="F687" s="24">
        <f>IF('ORDENES'!$A665="","",IF('ORDENES'!$AB665="","-",'ORDENES'!$AB665))</f>
        <v/>
      </c>
      <c r="G687" s="24">
        <f>IF('ORDENES'!$A665="","",IF('ORDENES'!$Z665="","-",'ORDENES'!$Z665))</f>
        <v/>
      </c>
      <c r="H687" s="24">
        <f>IF('ORDENES'!$A665="","",IF('ORDENES'!$AH665="","-",'ORDENES'!$AH665))</f>
        <v/>
      </c>
      <c r="I687" s="24">
        <f>IF('ORDENES'!$A665="","",IF('ORDENES'!$AU665="","-",'ORDENES'!$AU665))</f>
        <v/>
      </c>
      <c r="J687" s="24">
        <f>IF('ORDENES'!$A665="","",IF('ORDENES'!$D665="","-",'ORDENES'!$D665))</f>
        <v/>
      </c>
      <c r="K687" s="24">
        <f>IF('ORDENES'!$A665="","",IF('ORDENES'!$E665="","-",'ORDENES'!$E665))</f>
        <v/>
      </c>
      <c r="L687" s="26">
        <f>IF('ORDENES'!$A665="","",IF('ORDENES'!$M665="",0,'ORDENES'!$M665))</f>
        <v/>
      </c>
      <c r="M687" s="24">
        <f>IF('ORDENES'!$A665="","",IF('ORDENES'!$N665="","-",'ORDENES'!$N665))</f>
        <v/>
      </c>
      <c r="N687" s="24">
        <f>IF('ORDENES'!$A665="","",'ORDENES'!$AG665)</f>
        <v/>
      </c>
    </row>
    <row r="688">
      <c r="A688" s="24">
        <f>IF('ORDENES'!$A666="","",IF('ORDENES'!$O666="","-",'ORDENES'!$O666))</f>
        <v/>
      </c>
      <c r="B688" s="24">
        <f>IF('ORDENES'!$A666="","",IF('ORDENES'!$S666="","-",'ORDENES'!$S666))</f>
        <v/>
      </c>
      <c r="C688" s="24">
        <f>IF('ORDENES'!$A666="","",IF('ORDENES'!$AI666="","-",'ORDENES'!$AI666))</f>
        <v/>
      </c>
      <c r="D688" s="24">
        <f>IF('ORDENES'!$A666="","",IF('ORDENES'!$AA666="","-",'ORDENES'!$AA666))</f>
        <v/>
      </c>
      <c r="E688" s="24">
        <f>IF('ORDENES'!$A666="","",IF('ORDENES'!$Y666="","-",'ORDENES'!$Y666))</f>
        <v/>
      </c>
      <c r="F688" s="24">
        <f>IF('ORDENES'!$A666="","",IF('ORDENES'!$AB666="","-",'ORDENES'!$AB666))</f>
        <v/>
      </c>
      <c r="G688" s="24">
        <f>IF('ORDENES'!$A666="","",IF('ORDENES'!$Z666="","-",'ORDENES'!$Z666))</f>
        <v/>
      </c>
      <c r="H688" s="24">
        <f>IF('ORDENES'!$A666="","",IF('ORDENES'!$AH666="","-",'ORDENES'!$AH666))</f>
        <v/>
      </c>
      <c r="I688" s="24">
        <f>IF('ORDENES'!$A666="","",IF('ORDENES'!$AU666="","-",'ORDENES'!$AU666))</f>
        <v/>
      </c>
      <c r="J688" s="24">
        <f>IF('ORDENES'!$A666="","",IF('ORDENES'!$D666="","-",'ORDENES'!$D666))</f>
        <v/>
      </c>
      <c r="K688" s="24">
        <f>IF('ORDENES'!$A666="","",IF('ORDENES'!$E666="","-",'ORDENES'!$E666))</f>
        <v/>
      </c>
      <c r="L688" s="26">
        <f>IF('ORDENES'!$A666="","",IF('ORDENES'!$M666="",0,'ORDENES'!$M666))</f>
        <v/>
      </c>
      <c r="M688" s="24">
        <f>IF('ORDENES'!$A666="","",IF('ORDENES'!$N666="","-",'ORDENES'!$N666))</f>
        <v/>
      </c>
      <c r="N688" s="24">
        <f>IF('ORDENES'!$A666="","",'ORDENES'!$AG666)</f>
        <v/>
      </c>
    </row>
    <row r="689">
      <c r="A689" s="24">
        <f>IF('ORDENES'!$A667="","",IF('ORDENES'!$O667="","-",'ORDENES'!$O667))</f>
        <v/>
      </c>
      <c r="B689" s="24">
        <f>IF('ORDENES'!$A667="","",IF('ORDENES'!$S667="","-",'ORDENES'!$S667))</f>
        <v/>
      </c>
      <c r="C689" s="24">
        <f>IF('ORDENES'!$A667="","",IF('ORDENES'!$AI667="","-",'ORDENES'!$AI667))</f>
        <v/>
      </c>
      <c r="D689" s="24">
        <f>IF('ORDENES'!$A667="","",IF('ORDENES'!$AA667="","-",'ORDENES'!$AA667))</f>
        <v/>
      </c>
      <c r="E689" s="24">
        <f>IF('ORDENES'!$A667="","",IF('ORDENES'!$Y667="","-",'ORDENES'!$Y667))</f>
        <v/>
      </c>
      <c r="F689" s="24">
        <f>IF('ORDENES'!$A667="","",IF('ORDENES'!$AB667="","-",'ORDENES'!$AB667))</f>
        <v/>
      </c>
      <c r="G689" s="24">
        <f>IF('ORDENES'!$A667="","",IF('ORDENES'!$Z667="","-",'ORDENES'!$Z667))</f>
        <v/>
      </c>
      <c r="H689" s="24">
        <f>IF('ORDENES'!$A667="","",IF('ORDENES'!$AH667="","-",'ORDENES'!$AH667))</f>
        <v/>
      </c>
      <c r="I689" s="24">
        <f>IF('ORDENES'!$A667="","",IF('ORDENES'!$AU667="","-",'ORDENES'!$AU667))</f>
        <v/>
      </c>
      <c r="J689" s="24">
        <f>IF('ORDENES'!$A667="","",IF('ORDENES'!$D667="","-",'ORDENES'!$D667))</f>
        <v/>
      </c>
      <c r="K689" s="24">
        <f>IF('ORDENES'!$A667="","",IF('ORDENES'!$E667="","-",'ORDENES'!$E667))</f>
        <v/>
      </c>
      <c r="L689" s="26">
        <f>IF('ORDENES'!$A667="","",IF('ORDENES'!$M667="",0,'ORDENES'!$M667))</f>
        <v/>
      </c>
      <c r="M689" s="24">
        <f>IF('ORDENES'!$A667="","",IF('ORDENES'!$N667="","-",'ORDENES'!$N667))</f>
        <v/>
      </c>
      <c r="N689" s="24">
        <f>IF('ORDENES'!$A667="","",'ORDENES'!$AG667)</f>
        <v/>
      </c>
    </row>
    <row r="690">
      <c r="A690" s="24">
        <f>IF('ORDENES'!$A668="","",IF('ORDENES'!$O668="","-",'ORDENES'!$O668))</f>
        <v/>
      </c>
      <c r="B690" s="24">
        <f>IF('ORDENES'!$A668="","",IF('ORDENES'!$S668="","-",'ORDENES'!$S668))</f>
        <v/>
      </c>
      <c r="C690" s="24">
        <f>IF('ORDENES'!$A668="","",IF('ORDENES'!$AI668="","-",'ORDENES'!$AI668))</f>
        <v/>
      </c>
      <c r="D690" s="24">
        <f>IF('ORDENES'!$A668="","",IF('ORDENES'!$AA668="","-",'ORDENES'!$AA668))</f>
        <v/>
      </c>
      <c r="E690" s="24">
        <f>IF('ORDENES'!$A668="","",IF('ORDENES'!$Y668="","-",'ORDENES'!$Y668))</f>
        <v/>
      </c>
      <c r="F690" s="24">
        <f>IF('ORDENES'!$A668="","",IF('ORDENES'!$AB668="","-",'ORDENES'!$AB668))</f>
        <v/>
      </c>
      <c r="G690" s="24">
        <f>IF('ORDENES'!$A668="","",IF('ORDENES'!$Z668="","-",'ORDENES'!$Z668))</f>
        <v/>
      </c>
      <c r="H690" s="24">
        <f>IF('ORDENES'!$A668="","",IF('ORDENES'!$AH668="","-",'ORDENES'!$AH668))</f>
        <v/>
      </c>
      <c r="I690" s="24">
        <f>IF('ORDENES'!$A668="","",IF('ORDENES'!$AU668="","-",'ORDENES'!$AU668))</f>
        <v/>
      </c>
      <c r="J690" s="24">
        <f>IF('ORDENES'!$A668="","",IF('ORDENES'!$D668="","-",'ORDENES'!$D668))</f>
        <v/>
      </c>
      <c r="K690" s="24">
        <f>IF('ORDENES'!$A668="","",IF('ORDENES'!$E668="","-",'ORDENES'!$E668))</f>
        <v/>
      </c>
      <c r="L690" s="26">
        <f>IF('ORDENES'!$A668="","",IF('ORDENES'!$M668="",0,'ORDENES'!$M668))</f>
        <v/>
      </c>
      <c r="M690" s="24">
        <f>IF('ORDENES'!$A668="","",IF('ORDENES'!$N668="","-",'ORDENES'!$N668))</f>
        <v/>
      </c>
      <c r="N690" s="24">
        <f>IF('ORDENES'!$A668="","",'ORDENES'!$AG668)</f>
        <v/>
      </c>
    </row>
    <row r="691">
      <c r="A691" s="24">
        <f>IF('ORDENES'!$A669="","",IF('ORDENES'!$O669="","-",'ORDENES'!$O669))</f>
        <v/>
      </c>
      <c r="B691" s="24">
        <f>IF('ORDENES'!$A669="","",IF('ORDENES'!$S669="","-",'ORDENES'!$S669))</f>
        <v/>
      </c>
      <c r="C691" s="24">
        <f>IF('ORDENES'!$A669="","",IF('ORDENES'!$AI669="","-",'ORDENES'!$AI669))</f>
        <v/>
      </c>
      <c r="D691" s="24">
        <f>IF('ORDENES'!$A669="","",IF('ORDENES'!$AA669="","-",'ORDENES'!$AA669))</f>
        <v/>
      </c>
      <c r="E691" s="24">
        <f>IF('ORDENES'!$A669="","",IF('ORDENES'!$Y669="","-",'ORDENES'!$Y669))</f>
        <v/>
      </c>
      <c r="F691" s="24">
        <f>IF('ORDENES'!$A669="","",IF('ORDENES'!$AB669="","-",'ORDENES'!$AB669))</f>
        <v/>
      </c>
      <c r="G691" s="24">
        <f>IF('ORDENES'!$A669="","",IF('ORDENES'!$Z669="","-",'ORDENES'!$Z669))</f>
        <v/>
      </c>
      <c r="H691" s="24">
        <f>IF('ORDENES'!$A669="","",IF('ORDENES'!$AH669="","-",'ORDENES'!$AH669))</f>
        <v/>
      </c>
      <c r="I691" s="24">
        <f>IF('ORDENES'!$A669="","",IF('ORDENES'!$AU669="","-",'ORDENES'!$AU669))</f>
        <v/>
      </c>
      <c r="J691" s="24">
        <f>IF('ORDENES'!$A669="","",IF('ORDENES'!$D669="","-",'ORDENES'!$D669))</f>
        <v/>
      </c>
      <c r="K691" s="24">
        <f>IF('ORDENES'!$A669="","",IF('ORDENES'!$E669="","-",'ORDENES'!$E669))</f>
        <v/>
      </c>
      <c r="L691" s="26">
        <f>IF('ORDENES'!$A669="","",IF('ORDENES'!$M669="",0,'ORDENES'!$M669))</f>
        <v/>
      </c>
      <c r="M691" s="24">
        <f>IF('ORDENES'!$A669="","",IF('ORDENES'!$N669="","-",'ORDENES'!$N669))</f>
        <v/>
      </c>
      <c r="N691" s="24">
        <f>IF('ORDENES'!$A669="","",'ORDENES'!$AG669)</f>
        <v/>
      </c>
    </row>
    <row r="692">
      <c r="A692" s="24">
        <f>IF('ORDENES'!$A670="","",IF('ORDENES'!$O670="","-",'ORDENES'!$O670))</f>
        <v/>
      </c>
      <c r="B692" s="24">
        <f>IF('ORDENES'!$A670="","",IF('ORDENES'!$S670="","-",'ORDENES'!$S670))</f>
        <v/>
      </c>
      <c r="C692" s="24">
        <f>IF('ORDENES'!$A670="","",IF('ORDENES'!$AI670="","-",'ORDENES'!$AI670))</f>
        <v/>
      </c>
      <c r="D692" s="24">
        <f>IF('ORDENES'!$A670="","",IF('ORDENES'!$AA670="","-",'ORDENES'!$AA670))</f>
        <v/>
      </c>
      <c r="E692" s="24">
        <f>IF('ORDENES'!$A670="","",IF('ORDENES'!$Y670="","-",'ORDENES'!$Y670))</f>
        <v/>
      </c>
      <c r="F692" s="24">
        <f>IF('ORDENES'!$A670="","",IF('ORDENES'!$AB670="","-",'ORDENES'!$AB670))</f>
        <v/>
      </c>
      <c r="G692" s="24">
        <f>IF('ORDENES'!$A670="","",IF('ORDENES'!$Z670="","-",'ORDENES'!$Z670))</f>
        <v/>
      </c>
      <c r="H692" s="24">
        <f>IF('ORDENES'!$A670="","",IF('ORDENES'!$AH670="","-",'ORDENES'!$AH670))</f>
        <v/>
      </c>
      <c r="I692" s="24">
        <f>IF('ORDENES'!$A670="","",IF('ORDENES'!$AU670="","-",'ORDENES'!$AU670))</f>
        <v/>
      </c>
      <c r="J692" s="24">
        <f>IF('ORDENES'!$A670="","",IF('ORDENES'!$D670="","-",'ORDENES'!$D670))</f>
        <v/>
      </c>
      <c r="K692" s="24">
        <f>IF('ORDENES'!$A670="","",IF('ORDENES'!$E670="","-",'ORDENES'!$E670))</f>
        <v/>
      </c>
      <c r="L692" s="26">
        <f>IF('ORDENES'!$A670="","",IF('ORDENES'!$M670="",0,'ORDENES'!$M670))</f>
        <v/>
      </c>
      <c r="M692" s="24">
        <f>IF('ORDENES'!$A670="","",IF('ORDENES'!$N670="","-",'ORDENES'!$N670))</f>
        <v/>
      </c>
      <c r="N692" s="24">
        <f>IF('ORDENES'!$A670="","",'ORDENES'!$AG670)</f>
        <v/>
      </c>
    </row>
    <row r="693">
      <c r="A693" s="24">
        <f>IF('ORDENES'!$A671="","",IF('ORDENES'!$O671="","-",'ORDENES'!$O671))</f>
        <v/>
      </c>
      <c r="B693" s="24">
        <f>IF('ORDENES'!$A671="","",IF('ORDENES'!$S671="","-",'ORDENES'!$S671))</f>
        <v/>
      </c>
      <c r="C693" s="24">
        <f>IF('ORDENES'!$A671="","",IF('ORDENES'!$AI671="","-",'ORDENES'!$AI671))</f>
        <v/>
      </c>
      <c r="D693" s="24">
        <f>IF('ORDENES'!$A671="","",IF('ORDENES'!$AA671="","-",'ORDENES'!$AA671))</f>
        <v/>
      </c>
      <c r="E693" s="24">
        <f>IF('ORDENES'!$A671="","",IF('ORDENES'!$Y671="","-",'ORDENES'!$Y671))</f>
        <v/>
      </c>
      <c r="F693" s="24">
        <f>IF('ORDENES'!$A671="","",IF('ORDENES'!$AB671="","-",'ORDENES'!$AB671))</f>
        <v/>
      </c>
      <c r="G693" s="24">
        <f>IF('ORDENES'!$A671="","",IF('ORDENES'!$Z671="","-",'ORDENES'!$Z671))</f>
        <v/>
      </c>
      <c r="H693" s="24">
        <f>IF('ORDENES'!$A671="","",IF('ORDENES'!$AH671="","-",'ORDENES'!$AH671))</f>
        <v/>
      </c>
      <c r="I693" s="24">
        <f>IF('ORDENES'!$A671="","",IF('ORDENES'!$AU671="","-",'ORDENES'!$AU671))</f>
        <v/>
      </c>
      <c r="J693" s="24">
        <f>IF('ORDENES'!$A671="","",IF('ORDENES'!$D671="","-",'ORDENES'!$D671))</f>
        <v/>
      </c>
      <c r="K693" s="24">
        <f>IF('ORDENES'!$A671="","",IF('ORDENES'!$E671="","-",'ORDENES'!$E671))</f>
        <v/>
      </c>
      <c r="L693" s="26">
        <f>IF('ORDENES'!$A671="","",IF('ORDENES'!$M671="",0,'ORDENES'!$M671))</f>
        <v/>
      </c>
      <c r="M693" s="24">
        <f>IF('ORDENES'!$A671="","",IF('ORDENES'!$N671="","-",'ORDENES'!$N671))</f>
        <v/>
      </c>
      <c r="N693" s="24">
        <f>IF('ORDENES'!$A671="","",'ORDENES'!$AG671)</f>
        <v/>
      </c>
    </row>
    <row r="694">
      <c r="A694" s="24">
        <f>IF('ORDENES'!$A672="","",IF('ORDENES'!$O672="","-",'ORDENES'!$O672))</f>
        <v/>
      </c>
      <c r="B694" s="24">
        <f>IF('ORDENES'!$A672="","",IF('ORDENES'!$S672="","-",'ORDENES'!$S672))</f>
        <v/>
      </c>
      <c r="C694" s="24">
        <f>IF('ORDENES'!$A672="","",IF('ORDENES'!$AI672="","-",'ORDENES'!$AI672))</f>
        <v/>
      </c>
      <c r="D694" s="24">
        <f>IF('ORDENES'!$A672="","",IF('ORDENES'!$AA672="","-",'ORDENES'!$AA672))</f>
        <v/>
      </c>
      <c r="E694" s="24">
        <f>IF('ORDENES'!$A672="","",IF('ORDENES'!$Y672="","-",'ORDENES'!$Y672))</f>
        <v/>
      </c>
      <c r="F694" s="24">
        <f>IF('ORDENES'!$A672="","",IF('ORDENES'!$AB672="","-",'ORDENES'!$AB672))</f>
        <v/>
      </c>
      <c r="G694" s="24">
        <f>IF('ORDENES'!$A672="","",IF('ORDENES'!$Z672="","-",'ORDENES'!$Z672))</f>
        <v/>
      </c>
      <c r="H694" s="24">
        <f>IF('ORDENES'!$A672="","",IF('ORDENES'!$AH672="","-",'ORDENES'!$AH672))</f>
        <v/>
      </c>
      <c r="I694" s="24">
        <f>IF('ORDENES'!$A672="","",IF('ORDENES'!$AU672="","-",'ORDENES'!$AU672))</f>
        <v/>
      </c>
      <c r="J694" s="24">
        <f>IF('ORDENES'!$A672="","",IF('ORDENES'!$D672="","-",'ORDENES'!$D672))</f>
        <v/>
      </c>
      <c r="K694" s="24">
        <f>IF('ORDENES'!$A672="","",IF('ORDENES'!$E672="","-",'ORDENES'!$E672))</f>
        <v/>
      </c>
      <c r="L694" s="26">
        <f>IF('ORDENES'!$A672="","",IF('ORDENES'!$M672="",0,'ORDENES'!$M672))</f>
        <v/>
      </c>
      <c r="M694" s="24">
        <f>IF('ORDENES'!$A672="","",IF('ORDENES'!$N672="","-",'ORDENES'!$N672))</f>
        <v/>
      </c>
      <c r="N694" s="24">
        <f>IF('ORDENES'!$A672="","",'ORDENES'!$AG672)</f>
        <v/>
      </c>
    </row>
    <row r="695">
      <c r="A695" s="24">
        <f>IF('ORDENES'!$A673="","",IF('ORDENES'!$O673="","-",'ORDENES'!$O673))</f>
        <v/>
      </c>
      <c r="B695" s="24">
        <f>IF('ORDENES'!$A673="","",IF('ORDENES'!$S673="","-",'ORDENES'!$S673))</f>
        <v/>
      </c>
      <c r="C695" s="24">
        <f>IF('ORDENES'!$A673="","",IF('ORDENES'!$AI673="","-",'ORDENES'!$AI673))</f>
        <v/>
      </c>
      <c r="D695" s="24">
        <f>IF('ORDENES'!$A673="","",IF('ORDENES'!$AA673="","-",'ORDENES'!$AA673))</f>
        <v/>
      </c>
      <c r="E695" s="24">
        <f>IF('ORDENES'!$A673="","",IF('ORDENES'!$Y673="","-",'ORDENES'!$Y673))</f>
        <v/>
      </c>
      <c r="F695" s="24">
        <f>IF('ORDENES'!$A673="","",IF('ORDENES'!$AB673="","-",'ORDENES'!$AB673))</f>
        <v/>
      </c>
      <c r="G695" s="24">
        <f>IF('ORDENES'!$A673="","",IF('ORDENES'!$Z673="","-",'ORDENES'!$Z673))</f>
        <v/>
      </c>
      <c r="H695" s="24">
        <f>IF('ORDENES'!$A673="","",IF('ORDENES'!$AH673="","-",'ORDENES'!$AH673))</f>
        <v/>
      </c>
      <c r="I695" s="24">
        <f>IF('ORDENES'!$A673="","",IF('ORDENES'!$AU673="","-",'ORDENES'!$AU673))</f>
        <v/>
      </c>
      <c r="J695" s="24">
        <f>IF('ORDENES'!$A673="","",IF('ORDENES'!$D673="","-",'ORDENES'!$D673))</f>
        <v/>
      </c>
      <c r="K695" s="24">
        <f>IF('ORDENES'!$A673="","",IF('ORDENES'!$E673="","-",'ORDENES'!$E673))</f>
        <v/>
      </c>
      <c r="L695" s="26">
        <f>IF('ORDENES'!$A673="","",IF('ORDENES'!$M673="",0,'ORDENES'!$M673))</f>
        <v/>
      </c>
      <c r="M695" s="24">
        <f>IF('ORDENES'!$A673="","",IF('ORDENES'!$N673="","-",'ORDENES'!$N673))</f>
        <v/>
      </c>
      <c r="N695" s="24">
        <f>IF('ORDENES'!$A673="","",'ORDENES'!$AG673)</f>
        <v/>
      </c>
    </row>
    <row r="696">
      <c r="A696" s="24">
        <f>IF('ORDENES'!$A674="","",IF('ORDENES'!$O674="","-",'ORDENES'!$O674))</f>
        <v/>
      </c>
      <c r="B696" s="24">
        <f>IF('ORDENES'!$A674="","",IF('ORDENES'!$S674="","-",'ORDENES'!$S674))</f>
        <v/>
      </c>
      <c r="C696" s="24">
        <f>IF('ORDENES'!$A674="","",IF('ORDENES'!$AI674="","-",'ORDENES'!$AI674))</f>
        <v/>
      </c>
      <c r="D696" s="24">
        <f>IF('ORDENES'!$A674="","",IF('ORDENES'!$AA674="","-",'ORDENES'!$AA674))</f>
        <v/>
      </c>
      <c r="E696" s="24">
        <f>IF('ORDENES'!$A674="","",IF('ORDENES'!$Y674="","-",'ORDENES'!$Y674))</f>
        <v/>
      </c>
      <c r="F696" s="24">
        <f>IF('ORDENES'!$A674="","",IF('ORDENES'!$AB674="","-",'ORDENES'!$AB674))</f>
        <v/>
      </c>
      <c r="G696" s="24">
        <f>IF('ORDENES'!$A674="","",IF('ORDENES'!$Z674="","-",'ORDENES'!$Z674))</f>
        <v/>
      </c>
      <c r="H696" s="24">
        <f>IF('ORDENES'!$A674="","",IF('ORDENES'!$AH674="","-",'ORDENES'!$AH674))</f>
        <v/>
      </c>
      <c r="I696" s="24">
        <f>IF('ORDENES'!$A674="","",IF('ORDENES'!$AU674="","-",'ORDENES'!$AU674))</f>
        <v/>
      </c>
      <c r="J696" s="24">
        <f>IF('ORDENES'!$A674="","",IF('ORDENES'!$D674="","-",'ORDENES'!$D674))</f>
        <v/>
      </c>
      <c r="K696" s="24">
        <f>IF('ORDENES'!$A674="","",IF('ORDENES'!$E674="","-",'ORDENES'!$E674))</f>
        <v/>
      </c>
      <c r="L696" s="26">
        <f>IF('ORDENES'!$A674="","",IF('ORDENES'!$M674="",0,'ORDENES'!$M674))</f>
        <v/>
      </c>
      <c r="M696" s="24">
        <f>IF('ORDENES'!$A674="","",IF('ORDENES'!$N674="","-",'ORDENES'!$N674))</f>
        <v/>
      </c>
      <c r="N696" s="24">
        <f>IF('ORDENES'!$A674="","",'ORDENES'!$AG674)</f>
        <v/>
      </c>
    </row>
    <row r="697">
      <c r="A697" s="24">
        <f>IF('ORDENES'!$A675="","",IF('ORDENES'!$O675="","-",'ORDENES'!$O675))</f>
        <v/>
      </c>
      <c r="B697" s="24">
        <f>IF('ORDENES'!$A675="","",IF('ORDENES'!$S675="","-",'ORDENES'!$S675))</f>
        <v/>
      </c>
      <c r="C697" s="24">
        <f>IF('ORDENES'!$A675="","",IF('ORDENES'!$AI675="","-",'ORDENES'!$AI675))</f>
        <v/>
      </c>
      <c r="D697" s="24">
        <f>IF('ORDENES'!$A675="","",IF('ORDENES'!$AA675="","-",'ORDENES'!$AA675))</f>
        <v/>
      </c>
      <c r="E697" s="24">
        <f>IF('ORDENES'!$A675="","",IF('ORDENES'!$Y675="","-",'ORDENES'!$Y675))</f>
        <v/>
      </c>
      <c r="F697" s="24">
        <f>IF('ORDENES'!$A675="","",IF('ORDENES'!$AB675="","-",'ORDENES'!$AB675))</f>
        <v/>
      </c>
      <c r="G697" s="24">
        <f>IF('ORDENES'!$A675="","",IF('ORDENES'!$Z675="","-",'ORDENES'!$Z675))</f>
        <v/>
      </c>
      <c r="H697" s="24">
        <f>IF('ORDENES'!$A675="","",IF('ORDENES'!$AH675="","-",'ORDENES'!$AH675))</f>
        <v/>
      </c>
      <c r="I697" s="24">
        <f>IF('ORDENES'!$A675="","",IF('ORDENES'!$AU675="","-",'ORDENES'!$AU675))</f>
        <v/>
      </c>
      <c r="J697" s="24">
        <f>IF('ORDENES'!$A675="","",IF('ORDENES'!$D675="","-",'ORDENES'!$D675))</f>
        <v/>
      </c>
      <c r="K697" s="24">
        <f>IF('ORDENES'!$A675="","",IF('ORDENES'!$E675="","-",'ORDENES'!$E675))</f>
        <v/>
      </c>
      <c r="L697" s="26">
        <f>IF('ORDENES'!$A675="","",IF('ORDENES'!$M675="",0,'ORDENES'!$M675))</f>
        <v/>
      </c>
      <c r="M697" s="24">
        <f>IF('ORDENES'!$A675="","",IF('ORDENES'!$N675="","-",'ORDENES'!$N675))</f>
        <v/>
      </c>
      <c r="N697" s="24">
        <f>IF('ORDENES'!$A675="","",'ORDENES'!$AG675)</f>
        <v/>
      </c>
    </row>
    <row r="698">
      <c r="A698" s="24">
        <f>IF('ORDENES'!$A676="","",IF('ORDENES'!$O676="","-",'ORDENES'!$O676))</f>
        <v/>
      </c>
      <c r="B698" s="24">
        <f>IF('ORDENES'!$A676="","",IF('ORDENES'!$S676="","-",'ORDENES'!$S676))</f>
        <v/>
      </c>
      <c r="C698" s="24">
        <f>IF('ORDENES'!$A676="","",IF('ORDENES'!$AI676="","-",'ORDENES'!$AI676))</f>
        <v/>
      </c>
      <c r="D698" s="24">
        <f>IF('ORDENES'!$A676="","",IF('ORDENES'!$AA676="","-",'ORDENES'!$AA676))</f>
        <v/>
      </c>
      <c r="E698" s="24">
        <f>IF('ORDENES'!$A676="","",IF('ORDENES'!$Y676="","-",'ORDENES'!$Y676))</f>
        <v/>
      </c>
      <c r="F698" s="24">
        <f>IF('ORDENES'!$A676="","",IF('ORDENES'!$AB676="","-",'ORDENES'!$AB676))</f>
        <v/>
      </c>
      <c r="G698" s="24">
        <f>IF('ORDENES'!$A676="","",IF('ORDENES'!$Z676="","-",'ORDENES'!$Z676))</f>
        <v/>
      </c>
      <c r="H698" s="24">
        <f>IF('ORDENES'!$A676="","",IF('ORDENES'!$AH676="","-",'ORDENES'!$AH676))</f>
        <v/>
      </c>
      <c r="I698" s="24">
        <f>IF('ORDENES'!$A676="","",IF('ORDENES'!$AU676="","-",'ORDENES'!$AU676))</f>
        <v/>
      </c>
      <c r="J698" s="24">
        <f>IF('ORDENES'!$A676="","",IF('ORDENES'!$D676="","-",'ORDENES'!$D676))</f>
        <v/>
      </c>
      <c r="K698" s="24">
        <f>IF('ORDENES'!$A676="","",IF('ORDENES'!$E676="","-",'ORDENES'!$E676))</f>
        <v/>
      </c>
      <c r="L698" s="26">
        <f>IF('ORDENES'!$A676="","",IF('ORDENES'!$M676="",0,'ORDENES'!$M676))</f>
        <v/>
      </c>
      <c r="M698" s="24">
        <f>IF('ORDENES'!$A676="","",IF('ORDENES'!$N676="","-",'ORDENES'!$N676))</f>
        <v/>
      </c>
      <c r="N698" s="24">
        <f>IF('ORDENES'!$A676="","",'ORDENES'!$AG676)</f>
        <v/>
      </c>
    </row>
    <row r="699">
      <c r="A699" s="24">
        <f>IF('ORDENES'!$A677="","",IF('ORDENES'!$O677="","-",'ORDENES'!$O677))</f>
        <v/>
      </c>
      <c r="B699" s="24">
        <f>IF('ORDENES'!$A677="","",IF('ORDENES'!$S677="","-",'ORDENES'!$S677))</f>
        <v/>
      </c>
      <c r="C699" s="24">
        <f>IF('ORDENES'!$A677="","",IF('ORDENES'!$AI677="","-",'ORDENES'!$AI677))</f>
        <v/>
      </c>
      <c r="D699" s="24">
        <f>IF('ORDENES'!$A677="","",IF('ORDENES'!$AA677="","-",'ORDENES'!$AA677))</f>
        <v/>
      </c>
      <c r="E699" s="24">
        <f>IF('ORDENES'!$A677="","",IF('ORDENES'!$Y677="","-",'ORDENES'!$Y677))</f>
        <v/>
      </c>
      <c r="F699" s="24">
        <f>IF('ORDENES'!$A677="","",IF('ORDENES'!$AB677="","-",'ORDENES'!$AB677))</f>
        <v/>
      </c>
      <c r="G699" s="24">
        <f>IF('ORDENES'!$A677="","",IF('ORDENES'!$Z677="","-",'ORDENES'!$Z677))</f>
        <v/>
      </c>
      <c r="H699" s="24">
        <f>IF('ORDENES'!$A677="","",IF('ORDENES'!$AH677="","-",'ORDENES'!$AH677))</f>
        <v/>
      </c>
      <c r="I699" s="24">
        <f>IF('ORDENES'!$A677="","",IF('ORDENES'!$AU677="","-",'ORDENES'!$AU677))</f>
        <v/>
      </c>
      <c r="J699" s="24">
        <f>IF('ORDENES'!$A677="","",IF('ORDENES'!$D677="","-",'ORDENES'!$D677))</f>
        <v/>
      </c>
      <c r="K699" s="24">
        <f>IF('ORDENES'!$A677="","",IF('ORDENES'!$E677="","-",'ORDENES'!$E677))</f>
        <v/>
      </c>
      <c r="L699" s="26">
        <f>IF('ORDENES'!$A677="","",IF('ORDENES'!$M677="",0,'ORDENES'!$M677))</f>
        <v/>
      </c>
      <c r="M699" s="24">
        <f>IF('ORDENES'!$A677="","",IF('ORDENES'!$N677="","-",'ORDENES'!$N677))</f>
        <v/>
      </c>
      <c r="N699" s="24">
        <f>IF('ORDENES'!$A677="","",'ORDENES'!$AG677)</f>
        <v/>
      </c>
    </row>
    <row r="700">
      <c r="A700" s="24">
        <f>IF('ORDENES'!$A678="","",IF('ORDENES'!$O678="","-",'ORDENES'!$O678))</f>
        <v/>
      </c>
      <c r="B700" s="24">
        <f>IF('ORDENES'!$A678="","",IF('ORDENES'!$S678="","-",'ORDENES'!$S678))</f>
        <v/>
      </c>
      <c r="C700" s="24">
        <f>IF('ORDENES'!$A678="","",IF('ORDENES'!$AI678="","-",'ORDENES'!$AI678))</f>
        <v/>
      </c>
      <c r="D700" s="24">
        <f>IF('ORDENES'!$A678="","",IF('ORDENES'!$AA678="","-",'ORDENES'!$AA678))</f>
        <v/>
      </c>
      <c r="E700" s="24">
        <f>IF('ORDENES'!$A678="","",IF('ORDENES'!$Y678="","-",'ORDENES'!$Y678))</f>
        <v/>
      </c>
      <c r="F700" s="24">
        <f>IF('ORDENES'!$A678="","",IF('ORDENES'!$AB678="","-",'ORDENES'!$AB678))</f>
        <v/>
      </c>
      <c r="G700" s="24">
        <f>IF('ORDENES'!$A678="","",IF('ORDENES'!$Z678="","-",'ORDENES'!$Z678))</f>
        <v/>
      </c>
      <c r="H700" s="24">
        <f>IF('ORDENES'!$A678="","",IF('ORDENES'!$AH678="","-",'ORDENES'!$AH678))</f>
        <v/>
      </c>
      <c r="I700" s="24">
        <f>IF('ORDENES'!$A678="","",IF('ORDENES'!$AU678="","-",'ORDENES'!$AU678))</f>
        <v/>
      </c>
      <c r="J700" s="24">
        <f>IF('ORDENES'!$A678="","",IF('ORDENES'!$D678="","-",'ORDENES'!$D678))</f>
        <v/>
      </c>
      <c r="K700" s="24">
        <f>IF('ORDENES'!$A678="","",IF('ORDENES'!$E678="","-",'ORDENES'!$E678))</f>
        <v/>
      </c>
      <c r="L700" s="26">
        <f>IF('ORDENES'!$A678="","",IF('ORDENES'!$M678="",0,'ORDENES'!$M678))</f>
        <v/>
      </c>
      <c r="M700" s="24">
        <f>IF('ORDENES'!$A678="","",IF('ORDENES'!$N678="","-",'ORDENES'!$N678))</f>
        <v/>
      </c>
      <c r="N700" s="24">
        <f>IF('ORDENES'!$A678="","",'ORDENES'!$AG678)</f>
        <v/>
      </c>
    </row>
    <row r="701">
      <c r="A701" s="24">
        <f>IF('ORDENES'!$A679="","",IF('ORDENES'!$O679="","-",'ORDENES'!$O679))</f>
        <v/>
      </c>
      <c r="B701" s="24">
        <f>IF('ORDENES'!$A679="","",IF('ORDENES'!$S679="","-",'ORDENES'!$S679))</f>
        <v/>
      </c>
      <c r="C701" s="24">
        <f>IF('ORDENES'!$A679="","",IF('ORDENES'!$AI679="","-",'ORDENES'!$AI679))</f>
        <v/>
      </c>
      <c r="D701" s="24">
        <f>IF('ORDENES'!$A679="","",IF('ORDENES'!$AA679="","-",'ORDENES'!$AA679))</f>
        <v/>
      </c>
      <c r="E701" s="24">
        <f>IF('ORDENES'!$A679="","",IF('ORDENES'!$Y679="","-",'ORDENES'!$Y679))</f>
        <v/>
      </c>
      <c r="F701" s="24">
        <f>IF('ORDENES'!$A679="","",IF('ORDENES'!$AB679="","-",'ORDENES'!$AB679))</f>
        <v/>
      </c>
      <c r="G701" s="24">
        <f>IF('ORDENES'!$A679="","",IF('ORDENES'!$Z679="","-",'ORDENES'!$Z679))</f>
        <v/>
      </c>
      <c r="H701" s="24">
        <f>IF('ORDENES'!$A679="","",IF('ORDENES'!$AH679="","-",'ORDENES'!$AH679))</f>
        <v/>
      </c>
      <c r="I701" s="24">
        <f>IF('ORDENES'!$A679="","",IF('ORDENES'!$AU679="","-",'ORDENES'!$AU679))</f>
        <v/>
      </c>
      <c r="J701" s="24">
        <f>IF('ORDENES'!$A679="","",IF('ORDENES'!$D679="","-",'ORDENES'!$D679))</f>
        <v/>
      </c>
      <c r="K701" s="24">
        <f>IF('ORDENES'!$A679="","",IF('ORDENES'!$E679="","-",'ORDENES'!$E679))</f>
        <v/>
      </c>
      <c r="L701" s="26">
        <f>IF('ORDENES'!$A679="","",IF('ORDENES'!$M679="",0,'ORDENES'!$M679))</f>
        <v/>
      </c>
      <c r="M701" s="24">
        <f>IF('ORDENES'!$A679="","",IF('ORDENES'!$N679="","-",'ORDENES'!$N679))</f>
        <v/>
      </c>
      <c r="N701" s="24">
        <f>IF('ORDENES'!$A679="","",'ORDENES'!$AG679)</f>
        <v/>
      </c>
    </row>
    <row r="702">
      <c r="A702" s="24">
        <f>IF('ORDENES'!$A680="","",IF('ORDENES'!$O680="","-",'ORDENES'!$O680))</f>
        <v/>
      </c>
      <c r="B702" s="24">
        <f>IF('ORDENES'!$A680="","",IF('ORDENES'!$S680="","-",'ORDENES'!$S680))</f>
        <v/>
      </c>
      <c r="C702" s="24">
        <f>IF('ORDENES'!$A680="","",IF('ORDENES'!$AI680="","-",'ORDENES'!$AI680))</f>
        <v/>
      </c>
      <c r="D702" s="24">
        <f>IF('ORDENES'!$A680="","",IF('ORDENES'!$AA680="","-",'ORDENES'!$AA680))</f>
        <v/>
      </c>
      <c r="E702" s="24">
        <f>IF('ORDENES'!$A680="","",IF('ORDENES'!$Y680="","-",'ORDENES'!$Y680))</f>
        <v/>
      </c>
      <c r="F702" s="24">
        <f>IF('ORDENES'!$A680="","",IF('ORDENES'!$AB680="","-",'ORDENES'!$AB680))</f>
        <v/>
      </c>
      <c r="G702" s="24">
        <f>IF('ORDENES'!$A680="","",IF('ORDENES'!$Z680="","-",'ORDENES'!$Z680))</f>
        <v/>
      </c>
      <c r="H702" s="24">
        <f>IF('ORDENES'!$A680="","",IF('ORDENES'!$AH680="","-",'ORDENES'!$AH680))</f>
        <v/>
      </c>
      <c r="I702" s="24">
        <f>IF('ORDENES'!$A680="","",IF('ORDENES'!$AU680="","-",'ORDENES'!$AU680))</f>
        <v/>
      </c>
      <c r="J702" s="24">
        <f>IF('ORDENES'!$A680="","",IF('ORDENES'!$D680="","-",'ORDENES'!$D680))</f>
        <v/>
      </c>
      <c r="K702" s="24">
        <f>IF('ORDENES'!$A680="","",IF('ORDENES'!$E680="","-",'ORDENES'!$E680))</f>
        <v/>
      </c>
      <c r="L702" s="26">
        <f>IF('ORDENES'!$A680="","",IF('ORDENES'!$M680="",0,'ORDENES'!$M680))</f>
        <v/>
      </c>
      <c r="M702" s="24">
        <f>IF('ORDENES'!$A680="","",IF('ORDENES'!$N680="","-",'ORDENES'!$N680))</f>
        <v/>
      </c>
      <c r="N702" s="24">
        <f>IF('ORDENES'!$A680="","",'ORDENES'!$AG680)</f>
        <v/>
      </c>
    </row>
    <row r="703">
      <c r="A703" s="24">
        <f>IF('ORDENES'!$A681="","",IF('ORDENES'!$O681="","-",'ORDENES'!$O681))</f>
        <v/>
      </c>
      <c r="B703" s="24">
        <f>IF('ORDENES'!$A681="","",IF('ORDENES'!$S681="","-",'ORDENES'!$S681))</f>
        <v/>
      </c>
      <c r="C703" s="24">
        <f>IF('ORDENES'!$A681="","",IF('ORDENES'!$AI681="","-",'ORDENES'!$AI681))</f>
        <v/>
      </c>
      <c r="D703" s="24">
        <f>IF('ORDENES'!$A681="","",IF('ORDENES'!$AA681="","-",'ORDENES'!$AA681))</f>
        <v/>
      </c>
      <c r="E703" s="24">
        <f>IF('ORDENES'!$A681="","",IF('ORDENES'!$Y681="","-",'ORDENES'!$Y681))</f>
        <v/>
      </c>
      <c r="F703" s="24">
        <f>IF('ORDENES'!$A681="","",IF('ORDENES'!$AB681="","-",'ORDENES'!$AB681))</f>
        <v/>
      </c>
      <c r="G703" s="24">
        <f>IF('ORDENES'!$A681="","",IF('ORDENES'!$Z681="","-",'ORDENES'!$Z681))</f>
        <v/>
      </c>
      <c r="H703" s="24">
        <f>IF('ORDENES'!$A681="","",IF('ORDENES'!$AH681="","-",'ORDENES'!$AH681))</f>
        <v/>
      </c>
      <c r="I703" s="24">
        <f>IF('ORDENES'!$A681="","",IF('ORDENES'!$AU681="","-",'ORDENES'!$AU681))</f>
        <v/>
      </c>
      <c r="J703" s="24">
        <f>IF('ORDENES'!$A681="","",IF('ORDENES'!$D681="","-",'ORDENES'!$D681))</f>
        <v/>
      </c>
      <c r="K703" s="24">
        <f>IF('ORDENES'!$A681="","",IF('ORDENES'!$E681="","-",'ORDENES'!$E681))</f>
        <v/>
      </c>
      <c r="L703" s="26">
        <f>IF('ORDENES'!$A681="","",IF('ORDENES'!$M681="",0,'ORDENES'!$M681))</f>
        <v/>
      </c>
      <c r="M703" s="24">
        <f>IF('ORDENES'!$A681="","",IF('ORDENES'!$N681="","-",'ORDENES'!$N681))</f>
        <v/>
      </c>
      <c r="N703" s="24">
        <f>IF('ORDENES'!$A681="","",'ORDENES'!$AG681)</f>
        <v/>
      </c>
    </row>
    <row r="704">
      <c r="A704" s="24">
        <f>IF('ORDENES'!$A682="","",IF('ORDENES'!$O682="","-",'ORDENES'!$O682))</f>
        <v/>
      </c>
      <c r="B704" s="24">
        <f>IF('ORDENES'!$A682="","",IF('ORDENES'!$S682="","-",'ORDENES'!$S682))</f>
        <v/>
      </c>
      <c r="C704" s="24">
        <f>IF('ORDENES'!$A682="","",IF('ORDENES'!$AI682="","-",'ORDENES'!$AI682))</f>
        <v/>
      </c>
      <c r="D704" s="24">
        <f>IF('ORDENES'!$A682="","",IF('ORDENES'!$AA682="","-",'ORDENES'!$AA682))</f>
        <v/>
      </c>
      <c r="E704" s="24">
        <f>IF('ORDENES'!$A682="","",IF('ORDENES'!$Y682="","-",'ORDENES'!$Y682))</f>
        <v/>
      </c>
      <c r="F704" s="24">
        <f>IF('ORDENES'!$A682="","",IF('ORDENES'!$AB682="","-",'ORDENES'!$AB682))</f>
        <v/>
      </c>
      <c r="G704" s="24">
        <f>IF('ORDENES'!$A682="","",IF('ORDENES'!$Z682="","-",'ORDENES'!$Z682))</f>
        <v/>
      </c>
      <c r="H704" s="24">
        <f>IF('ORDENES'!$A682="","",IF('ORDENES'!$AH682="","-",'ORDENES'!$AH682))</f>
        <v/>
      </c>
      <c r="I704" s="24">
        <f>IF('ORDENES'!$A682="","",IF('ORDENES'!$AU682="","-",'ORDENES'!$AU682))</f>
        <v/>
      </c>
      <c r="J704" s="24">
        <f>IF('ORDENES'!$A682="","",IF('ORDENES'!$D682="","-",'ORDENES'!$D682))</f>
        <v/>
      </c>
      <c r="K704" s="24">
        <f>IF('ORDENES'!$A682="","",IF('ORDENES'!$E682="","-",'ORDENES'!$E682))</f>
        <v/>
      </c>
      <c r="L704" s="26">
        <f>IF('ORDENES'!$A682="","",IF('ORDENES'!$M682="",0,'ORDENES'!$M682))</f>
        <v/>
      </c>
      <c r="M704" s="24">
        <f>IF('ORDENES'!$A682="","",IF('ORDENES'!$N682="","-",'ORDENES'!$N682))</f>
        <v/>
      </c>
      <c r="N704" s="24">
        <f>IF('ORDENES'!$A682="","",'ORDENES'!$AG682)</f>
        <v/>
      </c>
    </row>
    <row r="705">
      <c r="A705" s="24">
        <f>IF('ORDENES'!$A683="","",IF('ORDENES'!$O683="","-",'ORDENES'!$O683))</f>
        <v/>
      </c>
      <c r="B705" s="24">
        <f>IF('ORDENES'!$A683="","",IF('ORDENES'!$S683="","-",'ORDENES'!$S683))</f>
        <v/>
      </c>
      <c r="C705" s="24">
        <f>IF('ORDENES'!$A683="","",IF('ORDENES'!$AI683="","-",'ORDENES'!$AI683))</f>
        <v/>
      </c>
      <c r="D705" s="24">
        <f>IF('ORDENES'!$A683="","",IF('ORDENES'!$AA683="","-",'ORDENES'!$AA683))</f>
        <v/>
      </c>
      <c r="E705" s="24">
        <f>IF('ORDENES'!$A683="","",IF('ORDENES'!$Y683="","-",'ORDENES'!$Y683))</f>
        <v/>
      </c>
      <c r="F705" s="24">
        <f>IF('ORDENES'!$A683="","",IF('ORDENES'!$AB683="","-",'ORDENES'!$AB683))</f>
        <v/>
      </c>
      <c r="G705" s="24">
        <f>IF('ORDENES'!$A683="","",IF('ORDENES'!$Z683="","-",'ORDENES'!$Z683))</f>
        <v/>
      </c>
      <c r="H705" s="24">
        <f>IF('ORDENES'!$A683="","",IF('ORDENES'!$AH683="","-",'ORDENES'!$AH683))</f>
        <v/>
      </c>
      <c r="I705" s="24">
        <f>IF('ORDENES'!$A683="","",IF('ORDENES'!$AU683="","-",'ORDENES'!$AU683))</f>
        <v/>
      </c>
      <c r="J705" s="24">
        <f>IF('ORDENES'!$A683="","",IF('ORDENES'!$D683="","-",'ORDENES'!$D683))</f>
        <v/>
      </c>
      <c r="K705" s="24">
        <f>IF('ORDENES'!$A683="","",IF('ORDENES'!$E683="","-",'ORDENES'!$E683))</f>
        <v/>
      </c>
      <c r="L705" s="26">
        <f>IF('ORDENES'!$A683="","",IF('ORDENES'!$M683="",0,'ORDENES'!$M683))</f>
        <v/>
      </c>
      <c r="M705" s="24">
        <f>IF('ORDENES'!$A683="","",IF('ORDENES'!$N683="","-",'ORDENES'!$N683))</f>
        <v/>
      </c>
      <c r="N705" s="24">
        <f>IF('ORDENES'!$A683="","",'ORDENES'!$AG683)</f>
        <v/>
      </c>
    </row>
    <row r="706">
      <c r="A706" s="24">
        <f>IF('ORDENES'!$A684="","",IF('ORDENES'!$O684="","-",'ORDENES'!$O684))</f>
        <v/>
      </c>
      <c r="B706" s="24">
        <f>IF('ORDENES'!$A684="","",IF('ORDENES'!$S684="","-",'ORDENES'!$S684))</f>
        <v/>
      </c>
      <c r="C706" s="24">
        <f>IF('ORDENES'!$A684="","",IF('ORDENES'!$AI684="","-",'ORDENES'!$AI684))</f>
        <v/>
      </c>
      <c r="D706" s="24">
        <f>IF('ORDENES'!$A684="","",IF('ORDENES'!$AA684="","-",'ORDENES'!$AA684))</f>
        <v/>
      </c>
      <c r="E706" s="24">
        <f>IF('ORDENES'!$A684="","",IF('ORDENES'!$Y684="","-",'ORDENES'!$Y684))</f>
        <v/>
      </c>
      <c r="F706" s="24">
        <f>IF('ORDENES'!$A684="","",IF('ORDENES'!$AB684="","-",'ORDENES'!$AB684))</f>
        <v/>
      </c>
      <c r="G706" s="24">
        <f>IF('ORDENES'!$A684="","",IF('ORDENES'!$Z684="","-",'ORDENES'!$Z684))</f>
        <v/>
      </c>
      <c r="H706" s="24">
        <f>IF('ORDENES'!$A684="","",IF('ORDENES'!$AH684="","-",'ORDENES'!$AH684))</f>
        <v/>
      </c>
      <c r="I706" s="24">
        <f>IF('ORDENES'!$A684="","",IF('ORDENES'!$AU684="","-",'ORDENES'!$AU684))</f>
        <v/>
      </c>
      <c r="J706" s="24">
        <f>IF('ORDENES'!$A684="","",IF('ORDENES'!$D684="","-",'ORDENES'!$D684))</f>
        <v/>
      </c>
      <c r="K706" s="24">
        <f>IF('ORDENES'!$A684="","",IF('ORDENES'!$E684="","-",'ORDENES'!$E684))</f>
        <v/>
      </c>
      <c r="L706" s="26">
        <f>IF('ORDENES'!$A684="","",IF('ORDENES'!$M684="",0,'ORDENES'!$M684))</f>
        <v/>
      </c>
      <c r="M706" s="24">
        <f>IF('ORDENES'!$A684="","",IF('ORDENES'!$N684="","-",'ORDENES'!$N684))</f>
        <v/>
      </c>
      <c r="N706" s="24">
        <f>IF('ORDENES'!$A684="","",'ORDENES'!$AG684)</f>
        <v/>
      </c>
    </row>
    <row r="707">
      <c r="A707" s="24">
        <f>IF('ORDENES'!$A685="","",IF('ORDENES'!$O685="","-",'ORDENES'!$O685))</f>
        <v/>
      </c>
      <c r="B707" s="24">
        <f>IF('ORDENES'!$A685="","",IF('ORDENES'!$S685="","-",'ORDENES'!$S685))</f>
        <v/>
      </c>
      <c r="C707" s="24">
        <f>IF('ORDENES'!$A685="","",IF('ORDENES'!$AI685="","-",'ORDENES'!$AI685))</f>
        <v/>
      </c>
      <c r="D707" s="24">
        <f>IF('ORDENES'!$A685="","",IF('ORDENES'!$AA685="","-",'ORDENES'!$AA685))</f>
        <v/>
      </c>
      <c r="E707" s="24">
        <f>IF('ORDENES'!$A685="","",IF('ORDENES'!$Y685="","-",'ORDENES'!$Y685))</f>
        <v/>
      </c>
      <c r="F707" s="24">
        <f>IF('ORDENES'!$A685="","",IF('ORDENES'!$AB685="","-",'ORDENES'!$AB685))</f>
        <v/>
      </c>
      <c r="G707" s="24">
        <f>IF('ORDENES'!$A685="","",IF('ORDENES'!$Z685="","-",'ORDENES'!$Z685))</f>
        <v/>
      </c>
      <c r="H707" s="24">
        <f>IF('ORDENES'!$A685="","",IF('ORDENES'!$AH685="","-",'ORDENES'!$AH685))</f>
        <v/>
      </c>
      <c r="I707" s="24">
        <f>IF('ORDENES'!$A685="","",IF('ORDENES'!$AU685="","-",'ORDENES'!$AU685))</f>
        <v/>
      </c>
      <c r="J707" s="24">
        <f>IF('ORDENES'!$A685="","",IF('ORDENES'!$D685="","-",'ORDENES'!$D685))</f>
        <v/>
      </c>
      <c r="K707" s="24">
        <f>IF('ORDENES'!$A685="","",IF('ORDENES'!$E685="","-",'ORDENES'!$E685))</f>
        <v/>
      </c>
      <c r="L707" s="26">
        <f>IF('ORDENES'!$A685="","",IF('ORDENES'!$M685="",0,'ORDENES'!$M685))</f>
        <v/>
      </c>
      <c r="M707" s="24">
        <f>IF('ORDENES'!$A685="","",IF('ORDENES'!$N685="","-",'ORDENES'!$N685))</f>
        <v/>
      </c>
      <c r="N707" s="24">
        <f>IF('ORDENES'!$A685="","",'ORDENES'!$AG685)</f>
        <v/>
      </c>
    </row>
    <row r="708">
      <c r="A708" s="24">
        <f>IF('ORDENES'!$A686="","",IF('ORDENES'!$O686="","-",'ORDENES'!$O686))</f>
        <v/>
      </c>
      <c r="B708" s="24">
        <f>IF('ORDENES'!$A686="","",IF('ORDENES'!$S686="","-",'ORDENES'!$S686))</f>
        <v/>
      </c>
      <c r="C708" s="24">
        <f>IF('ORDENES'!$A686="","",IF('ORDENES'!$AI686="","-",'ORDENES'!$AI686))</f>
        <v/>
      </c>
      <c r="D708" s="24">
        <f>IF('ORDENES'!$A686="","",IF('ORDENES'!$AA686="","-",'ORDENES'!$AA686))</f>
        <v/>
      </c>
      <c r="E708" s="24">
        <f>IF('ORDENES'!$A686="","",IF('ORDENES'!$Y686="","-",'ORDENES'!$Y686))</f>
        <v/>
      </c>
      <c r="F708" s="24">
        <f>IF('ORDENES'!$A686="","",IF('ORDENES'!$AB686="","-",'ORDENES'!$AB686))</f>
        <v/>
      </c>
      <c r="G708" s="24">
        <f>IF('ORDENES'!$A686="","",IF('ORDENES'!$Z686="","-",'ORDENES'!$Z686))</f>
        <v/>
      </c>
      <c r="H708" s="24">
        <f>IF('ORDENES'!$A686="","",IF('ORDENES'!$AH686="","-",'ORDENES'!$AH686))</f>
        <v/>
      </c>
      <c r="I708" s="24">
        <f>IF('ORDENES'!$A686="","",IF('ORDENES'!$AU686="","-",'ORDENES'!$AU686))</f>
        <v/>
      </c>
      <c r="J708" s="24">
        <f>IF('ORDENES'!$A686="","",IF('ORDENES'!$D686="","-",'ORDENES'!$D686))</f>
        <v/>
      </c>
      <c r="K708" s="24">
        <f>IF('ORDENES'!$A686="","",IF('ORDENES'!$E686="","-",'ORDENES'!$E686))</f>
        <v/>
      </c>
      <c r="L708" s="26">
        <f>IF('ORDENES'!$A686="","",IF('ORDENES'!$M686="",0,'ORDENES'!$M686))</f>
        <v/>
      </c>
      <c r="M708" s="24">
        <f>IF('ORDENES'!$A686="","",IF('ORDENES'!$N686="","-",'ORDENES'!$N686))</f>
        <v/>
      </c>
      <c r="N708" s="24">
        <f>IF('ORDENES'!$A686="","",'ORDENES'!$AG686)</f>
        <v/>
      </c>
    </row>
    <row r="709">
      <c r="A709" s="24">
        <f>IF('ORDENES'!$A687="","",IF('ORDENES'!$O687="","-",'ORDENES'!$O687))</f>
        <v/>
      </c>
      <c r="B709" s="24">
        <f>IF('ORDENES'!$A687="","",IF('ORDENES'!$S687="","-",'ORDENES'!$S687))</f>
        <v/>
      </c>
      <c r="C709" s="24">
        <f>IF('ORDENES'!$A687="","",IF('ORDENES'!$AI687="","-",'ORDENES'!$AI687))</f>
        <v/>
      </c>
      <c r="D709" s="24">
        <f>IF('ORDENES'!$A687="","",IF('ORDENES'!$AA687="","-",'ORDENES'!$AA687))</f>
        <v/>
      </c>
      <c r="E709" s="24">
        <f>IF('ORDENES'!$A687="","",IF('ORDENES'!$Y687="","-",'ORDENES'!$Y687))</f>
        <v/>
      </c>
      <c r="F709" s="24">
        <f>IF('ORDENES'!$A687="","",IF('ORDENES'!$AB687="","-",'ORDENES'!$AB687))</f>
        <v/>
      </c>
      <c r="G709" s="24">
        <f>IF('ORDENES'!$A687="","",IF('ORDENES'!$Z687="","-",'ORDENES'!$Z687))</f>
        <v/>
      </c>
      <c r="H709" s="24">
        <f>IF('ORDENES'!$A687="","",IF('ORDENES'!$AH687="","-",'ORDENES'!$AH687))</f>
        <v/>
      </c>
      <c r="I709" s="24">
        <f>IF('ORDENES'!$A687="","",IF('ORDENES'!$AU687="","-",'ORDENES'!$AU687))</f>
        <v/>
      </c>
      <c r="J709" s="24">
        <f>IF('ORDENES'!$A687="","",IF('ORDENES'!$D687="","-",'ORDENES'!$D687))</f>
        <v/>
      </c>
      <c r="K709" s="24">
        <f>IF('ORDENES'!$A687="","",IF('ORDENES'!$E687="","-",'ORDENES'!$E687))</f>
        <v/>
      </c>
      <c r="L709" s="26">
        <f>IF('ORDENES'!$A687="","",IF('ORDENES'!$M687="",0,'ORDENES'!$M687))</f>
        <v/>
      </c>
      <c r="M709" s="24">
        <f>IF('ORDENES'!$A687="","",IF('ORDENES'!$N687="","-",'ORDENES'!$N687))</f>
        <v/>
      </c>
      <c r="N709" s="24">
        <f>IF('ORDENES'!$A687="","",'ORDENES'!$AG687)</f>
        <v/>
      </c>
    </row>
    <row r="710">
      <c r="A710" s="24">
        <f>IF('ORDENES'!$A688="","",IF('ORDENES'!$O688="","-",'ORDENES'!$O688))</f>
        <v/>
      </c>
      <c r="B710" s="24">
        <f>IF('ORDENES'!$A688="","",IF('ORDENES'!$S688="","-",'ORDENES'!$S688))</f>
        <v/>
      </c>
      <c r="C710" s="24">
        <f>IF('ORDENES'!$A688="","",IF('ORDENES'!$AI688="","-",'ORDENES'!$AI688))</f>
        <v/>
      </c>
      <c r="D710" s="24">
        <f>IF('ORDENES'!$A688="","",IF('ORDENES'!$AA688="","-",'ORDENES'!$AA688))</f>
        <v/>
      </c>
      <c r="E710" s="24">
        <f>IF('ORDENES'!$A688="","",IF('ORDENES'!$Y688="","-",'ORDENES'!$Y688))</f>
        <v/>
      </c>
      <c r="F710" s="24">
        <f>IF('ORDENES'!$A688="","",IF('ORDENES'!$AB688="","-",'ORDENES'!$AB688))</f>
        <v/>
      </c>
      <c r="G710" s="24">
        <f>IF('ORDENES'!$A688="","",IF('ORDENES'!$Z688="","-",'ORDENES'!$Z688))</f>
        <v/>
      </c>
      <c r="H710" s="24">
        <f>IF('ORDENES'!$A688="","",IF('ORDENES'!$AH688="","-",'ORDENES'!$AH688))</f>
        <v/>
      </c>
      <c r="I710" s="24">
        <f>IF('ORDENES'!$A688="","",IF('ORDENES'!$AU688="","-",'ORDENES'!$AU688))</f>
        <v/>
      </c>
      <c r="J710" s="24">
        <f>IF('ORDENES'!$A688="","",IF('ORDENES'!$D688="","-",'ORDENES'!$D688))</f>
        <v/>
      </c>
      <c r="K710" s="24">
        <f>IF('ORDENES'!$A688="","",IF('ORDENES'!$E688="","-",'ORDENES'!$E688))</f>
        <v/>
      </c>
      <c r="L710" s="26">
        <f>IF('ORDENES'!$A688="","",IF('ORDENES'!$M688="",0,'ORDENES'!$M688))</f>
        <v/>
      </c>
      <c r="M710" s="24">
        <f>IF('ORDENES'!$A688="","",IF('ORDENES'!$N688="","-",'ORDENES'!$N688))</f>
        <v/>
      </c>
      <c r="N710" s="24">
        <f>IF('ORDENES'!$A688="","",'ORDENES'!$AG688)</f>
        <v/>
      </c>
    </row>
    <row r="711">
      <c r="A711" s="24">
        <f>IF('ORDENES'!$A689="","",IF('ORDENES'!$O689="","-",'ORDENES'!$O689))</f>
        <v/>
      </c>
      <c r="B711" s="24">
        <f>IF('ORDENES'!$A689="","",IF('ORDENES'!$S689="","-",'ORDENES'!$S689))</f>
        <v/>
      </c>
      <c r="C711" s="24">
        <f>IF('ORDENES'!$A689="","",IF('ORDENES'!$AI689="","-",'ORDENES'!$AI689))</f>
        <v/>
      </c>
      <c r="D711" s="24">
        <f>IF('ORDENES'!$A689="","",IF('ORDENES'!$AA689="","-",'ORDENES'!$AA689))</f>
        <v/>
      </c>
      <c r="E711" s="24">
        <f>IF('ORDENES'!$A689="","",IF('ORDENES'!$Y689="","-",'ORDENES'!$Y689))</f>
        <v/>
      </c>
      <c r="F711" s="24">
        <f>IF('ORDENES'!$A689="","",IF('ORDENES'!$AB689="","-",'ORDENES'!$AB689))</f>
        <v/>
      </c>
      <c r="G711" s="24">
        <f>IF('ORDENES'!$A689="","",IF('ORDENES'!$Z689="","-",'ORDENES'!$Z689))</f>
        <v/>
      </c>
      <c r="H711" s="24">
        <f>IF('ORDENES'!$A689="","",IF('ORDENES'!$AH689="","-",'ORDENES'!$AH689))</f>
        <v/>
      </c>
      <c r="I711" s="24">
        <f>IF('ORDENES'!$A689="","",IF('ORDENES'!$AU689="","-",'ORDENES'!$AU689))</f>
        <v/>
      </c>
      <c r="J711" s="24">
        <f>IF('ORDENES'!$A689="","",IF('ORDENES'!$D689="","-",'ORDENES'!$D689))</f>
        <v/>
      </c>
      <c r="K711" s="24">
        <f>IF('ORDENES'!$A689="","",IF('ORDENES'!$E689="","-",'ORDENES'!$E689))</f>
        <v/>
      </c>
      <c r="L711" s="26">
        <f>IF('ORDENES'!$A689="","",IF('ORDENES'!$M689="",0,'ORDENES'!$M689))</f>
        <v/>
      </c>
      <c r="M711" s="24">
        <f>IF('ORDENES'!$A689="","",IF('ORDENES'!$N689="","-",'ORDENES'!$N689))</f>
        <v/>
      </c>
      <c r="N711" s="24">
        <f>IF('ORDENES'!$A689="","",'ORDENES'!$AG689)</f>
        <v/>
      </c>
    </row>
    <row r="712">
      <c r="A712" s="24">
        <f>IF('ORDENES'!$A690="","",IF('ORDENES'!$O690="","-",'ORDENES'!$O690))</f>
        <v/>
      </c>
      <c r="B712" s="24">
        <f>IF('ORDENES'!$A690="","",IF('ORDENES'!$S690="","-",'ORDENES'!$S690))</f>
        <v/>
      </c>
      <c r="C712" s="24">
        <f>IF('ORDENES'!$A690="","",IF('ORDENES'!$AI690="","-",'ORDENES'!$AI690))</f>
        <v/>
      </c>
      <c r="D712" s="24">
        <f>IF('ORDENES'!$A690="","",IF('ORDENES'!$AA690="","-",'ORDENES'!$AA690))</f>
        <v/>
      </c>
      <c r="E712" s="24">
        <f>IF('ORDENES'!$A690="","",IF('ORDENES'!$Y690="","-",'ORDENES'!$Y690))</f>
        <v/>
      </c>
      <c r="F712" s="24">
        <f>IF('ORDENES'!$A690="","",IF('ORDENES'!$AB690="","-",'ORDENES'!$AB690))</f>
        <v/>
      </c>
      <c r="G712" s="24">
        <f>IF('ORDENES'!$A690="","",IF('ORDENES'!$Z690="","-",'ORDENES'!$Z690))</f>
        <v/>
      </c>
      <c r="H712" s="24">
        <f>IF('ORDENES'!$A690="","",IF('ORDENES'!$AH690="","-",'ORDENES'!$AH690))</f>
        <v/>
      </c>
      <c r="I712" s="24">
        <f>IF('ORDENES'!$A690="","",IF('ORDENES'!$AU690="","-",'ORDENES'!$AU690))</f>
        <v/>
      </c>
      <c r="J712" s="24">
        <f>IF('ORDENES'!$A690="","",IF('ORDENES'!$D690="","-",'ORDENES'!$D690))</f>
        <v/>
      </c>
      <c r="K712" s="24">
        <f>IF('ORDENES'!$A690="","",IF('ORDENES'!$E690="","-",'ORDENES'!$E690))</f>
        <v/>
      </c>
      <c r="L712" s="26">
        <f>IF('ORDENES'!$A690="","",IF('ORDENES'!$M690="",0,'ORDENES'!$M690))</f>
        <v/>
      </c>
      <c r="M712" s="24">
        <f>IF('ORDENES'!$A690="","",IF('ORDENES'!$N690="","-",'ORDENES'!$N690))</f>
        <v/>
      </c>
      <c r="N712" s="24">
        <f>IF('ORDENES'!$A690="","",'ORDENES'!$AG690)</f>
        <v/>
      </c>
    </row>
    <row r="713">
      <c r="A713" s="24">
        <f>IF('ORDENES'!$A691="","",IF('ORDENES'!$O691="","-",'ORDENES'!$O691))</f>
        <v/>
      </c>
      <c r="B713" s="24">
        <f>IF('ORDENES'!$A691="","",IF('ORDENES'!$S691="","-",'ORDENES'!$S691))</f>
        <v/>
      </c>
      <c r="C713" s="24">
        <f>IF('ORDENES'!$A691="","",IF('ORDENES'!$AI691="","-",'ORDENES'!$AI691))</f>
        <v/>
      </c>
      <c r="D713" s="24">
        <f>IF('ORDENES'!$A691="","",IF('ORDENES'!$AA691="","-",'ORDENES'!$AA691))</f>
        <v/>
      </c>
      <c r="E713" s="24">
        <f>IF('ORDENES'!$A691="","",IF('ORDENES'!$Y691="","-",'ORDENES'!$Y691))</f>
        <v/>
      </c>
      <c r="F713" s="24">
        <f>IF('ORDENES'!$A691="","",IF('ORDENES'!$AB691="","-",'ORDENES'!$AB691))</f>
        <v/>
      </c>
      <c r="G713" s="24">
        <f>IF('ORDENES'!$A691="","",IF('ORDENES'!$Z691="","-",'ORDENES'!$Z691))</f>
        <v/>
      </c>
      <c r="H713" s="24">
        <f>IF('ORDENES'!$A691="","",IF('ORDENES'!$AH691="","-",'ORDENES'!$AH691))</f>
        <v/>
      </c>
      <c r="I713" s="24">
        <f>IF('ORDENES'!$A691="","",IF('ORDENES'!$AU691="","-",'ORDENES'!$AU691))</f>
        <v/>
      </c>
      <c r="J713" s="24">
        <f>IF('ORDENES'!$A691="","",IF('ORDENES'!$D691="","-",'ORDENES'!$D691))</f>
        <v/>
      </c>
      <c r="K713" s="24">
        <f>IF('ORDENES'!$A691="","",IF('ORDENES'!$E691="","-",'ORDENES'!$E691))</f>
        <v/>
      </c>
      <c r="L713" s="26">
        <f>IF('ORDENES'!$A691="","",IF('ORDENES'!$M691="",0,'ORDENES'!$M691))</f>
        <v/>
      </c>
      <c r="M713" s="24">
        <f>IF('ORDENES'!$A691="","",IF('ORDENES'!$N691="","-",'ORDENES'!$N691))</f>
        <v/>
      </c>
      <c r="N713" s="24">
        <f>IF('ORDENES'!$A691="","",'ORDENES'!$AG691)</f>
        <v/>
      </c>
    </row>
    <row r="714">
      <c r="A714" s="24">
        <f>IF('ORDENES'!$A692="","",IF('ORDENES'!$O692="","-",'ORDENES'!$O692))</f>
        <v/>
      </c>
      <c r="B714" s="24">
        <f>IF('ORDENES'!$A692="","",IF('ORDENES'!$S692="","-",'ORDENES'!$S692))</f>
        <v/>
      </c>
      <c r="C714" s="24">
        <f>IF('ORDENES'!$A692="","",IF('ORDENES'!$AI692="","-",'ORDENES'!$AI692))</f>
        <v/>
      </c>
      <c r="D714" s="24">
        <f>IF('ORDENES'!$A692="","",IF('ORDENES'!$AA692="","-",'ORDENES'!$AA692))</f>
        <v/>
      </c>
      <c r="E714" s="24">
        <f>IF('ORDENES'!$A692="","",IF('ORDENES'!$Y692="","-",'ORDENES'!$Y692))</f>
        <v/>
      </c>
      <c r="F714" s="24">
        <f>IF('ORDENES'!$A692="","",IF('ORDENES'!$AB692="","-",'ORDENES'!$AB692))</f>
        <v/>
      </c>
      <c r="G714" s="24">
        <f>IF('ORDENES'!$A692="","",IF('ORDENES'!$Z692="","-",'ORDENES'!$Z692))</f>
        <v/>
      </c>
      <c r="H714" s="24">
        <f>IF('ORDENES'!$A692="","",IF('ORDENES'!$AH692="","-",'ORDENES'!$AH692))</f>
        <v/>
      </c>
      <c r="I714" s="24">
        <f>IF('ORDENES'!$A692="","",IF('ORDENES'!$AU692="","-",'ORDENES'!$AU692))</f>
        <v/>
      </c>
      <c r="J714" s="24">
        <f>IF('ORDENES'!$A692="","",IF('ORDENES'!$D692="","-",'ORDENES'!$D692))</f>
        <v/>
      </c>
      <c r="K714" s="24">
        <f>IF('ORDENES'!$A692="","",IF('ORDENES'!$E692="","-",'ORDENES'!$E692))</f>
        <v/>
      </c>
      <c r="L714" s="26">
        <f>IF('ORDENES'!$A692="","",IF('ORDENES'!$M692="",0,'ORDENES'!$M692))</f>
        <v/>
      </c>
      <c r="M714" s="24">
        <f>IF('ORDENES'!$A692="","",IF('ORDENES'!$N692="","-",'ORDENES'!$N692))</f>
        <v/>
      </c>
      <c r="N714" s="24">
        <f>IF('ORDENES'!$A692="","",'ORDENES'!$AG692)</f>
        <v/>
      </c>
    </row>
    <row r="715">
      <c r="A715" s="24">
        <f>IF('ORDENES'!$A693="","",IF('ORDENES'!$O693="","-",'ORDENES'!$O693))</f>
        <v/>
      </c>
      <c r="B715" s="24">
        <f>IF('ORDENES'!$A693="","",IF('ORDENES'!$S693="","-",'ORDENES'!$S693))</f>
        <v/>
      </c>
      <c r="C715" s="24">
        <f>IF('ORDENES'!$A693="","",IF('ORDENES'!$AI693="","-",'ORDENES'!$AI693))</f>
        <v/>
      </c>
      <c r="D715" s="24">
        <f>IF('ORDENES'!$A693="","",IF('ORDENES'!$AA693="","-",'ORDENES'!$AA693))</f>
        <v/>
      </c>
      <c r="E715" s="24">
        <f>IF('ORDENES'!$A693="","",IF('ORDENES'!$Y693="","-",'ORDENES'!$Y693))</f>
        <v/>
      </c>
      <c r="F715" s="24">
        <f>IF('ORDENES'!$A693="","",IF('ORDENES'!$AB693="","-",'ORDENES'!$AB693))</f>
        <v/>
      </c>
      <c r="G715" s="24">
        <f>IF('ORDENES'!$A693="","",IF('ORDENES'!$Z693="","-",'ORDENES'!$Z693))</f>
        <v/>
      </c>
      <c r="H715" s="24">
        <f>IF('ORDENES'!$A693="","",IF('ORDENES'!$AH693="","-",'ORDENES'!$AH693))</f>
        <v/>
      </c>
      <c r="I715" s="24">
        <f>IF('ORDENES'!$A693="","",IF('ORDENES'!$AU693="","-",'ORDENES'!$AU693))</f>
        <v/>
      </c>
      <c r="J715" s="24">
        <f>IF('ORDENES'!$A693="","",IF('ORDENES'!$D693="","-",'ORDENES'!$D693))</f>
        <v/>
      </c>
      <c r="K715" s="24">
        <f>IF('ORDENES'!$A693="","",IF('ORDENES'!$E693="","-",'ORDENES'!$E693))</f>
        <v/>
      </c>
      <c r="L715" s="26">
        <f>IF('ORDENES'!$A693="","",IF('ORDENES'!$M693="",0,'ORDENES'!$M693))</f>
        <v/>
      </c>
      <c r="M715" s="24">
        <f>IF('ORDENES'!$A693="","",IF('ORDENES'!$N693="","-",'ORDENES'!$N693))</f>
        <v/>
      </c>
      <c r="N715" s="24">
        <f>IF('ORDENES'!$A693="","",'ORDENES'!$AG693)</f>
        <v/>
      </c>
    </row>
    <row r="716">
      <c r="A716" s="24">
        <f>IF('ORDENES'!$A694="","",IF('ORDENES'!$O694="","-",'ORDENES'!$O694))</f>
        <v/>
      </c>
      <c r="B716" s="24">
        <f>IF('ORDENES'!$A694="","",IF('ORDENES'!$S694="","-",'ORDENES'!$S694))</f>
        <v/>
      </c>
      <c r="C716" s="24">
        <f>IF('ORDENES'!$A694="","",IF('ORDENES'!$AI694="","-",'ORDENES'!$AI694))</f>
        <v/>
      </c>
      <c r="D716" s="24">
        <f>IF('ORDENES'!$A694="","",IF('ORDENES'!$AA694="","-",'ORDENES'!$AA694))</f>
        <v/>
      </c>
      <c r="E716" s="24">
        <f>IF('ORDENES'!$A694="","",IF('ORDENES'!$Y694="","-",'ORDENES'!$Y694))</f>
        <v/>
      </c>
      <c r="F716" s="24">
        <f>IF('ORDENES'!$A694="","",IF('ORDENES'!$AB694="","-",'ORDENES'!$AB694))</f>
        <v/>
      </c>
      <c r="G716" s="24">
        <f>IF('ORDENES'!$A694="","",IF('ORDENES'!$Z694="","-",'ORDENES'!$Z694))</f>
        <v/>
      </c>
      <c r="H716" s="24">
        <f>IF('ORDENES'!$A694="","",IF('ORDENES'!$AH694="","-",'ORDENES'!$AH694))</f>
        <v/>
      </c>
      <c r="I716" s="24">
        <f>IF('ORDENES'!$A694="","",IF('ORDENES'!$AU694="","-",'ORDENES'!$AU694))</f>
        <v/>
      </c>
      <c r="J716" s="24">
        <f>IF('ORDENES'!$A694="","",IF('ORDENES'!$D694="","-",'ORDENES'!$D694))</f>
        <v/>
      </c>
      <c r="K716" s="24">
        <f>IF('ORDENES'!$A694="","",IF('ORDENES'!$E694="","-",'ORDENES'!$E694))</f>
        <v/>
      </c>
      <c r="L716" s="26">
        <f>IF('ORDENES'!$A694="","",IF('ORDENES'!$M694="",0,'ORDENES'!$M694))</f>
        <v/>
      </c>
      <c r="M716" s="24">
        <f>IF('ORDENES'!$A694="","",IF('ORDENES'!$N694="","-",'ORDENES'!$N694))</f>
        <v/>
      </c>
      <c r="N716" s="24">
        <f>IF('ORDENES'!$A694="","",'ORDENES'!$AG694)</f>
        <v/>
      </c>
    </row>
    <row r="717">
      <c r="A717" s="24">
        <f>IF('ORDENES'!$A695="","",IF('ORDENES'!$O695="","-",'ORDENES'!$O695))</f>
        <v/>
      </c>
      <c r="B717" s="24">
        <f>IF('ORDENES'!$A695="","",IF('ORDENES'!$S695="","-",'ORDENES'!$S695))</f>
        <v/>
      </c>
      <c r="C717" s="24">
        <f>IF('ORDENES'!$A695="","",IF('ORDENES'!$AI695="","-",'ORDENES'!$AI695))</f>
        <v/>
      </c>
      <c r="D717" s="24">
        <f>IF('ORDENES'!$A695="","",IF('ORDENES'!$AA695="","-",'ORDENES'!$AA695))</f>
        <v/>
      </c>
      <c r="E717" s="24">
        <f>IF('ORDENES'!$A695="","",IF('ORDENES'!$Y695="","-",'ORDENES'!$Y695))</f>
        <v/>
      </c>
      <c r="F717" s="24">
        <f>IF('ORDENES'!$A695="","",IF('ORDENES'!$AB695="","-",'ORDENES'!$AB695))</f>
        <v/>
      </c>
      <c r="G717" s="24">
        <f>IF('ORDENES'!$A695="","",IF('ORDENES'!$Z695="","-",'ORDENES'!$Z695))</f>
        <v/>
      </c>
      <c r="H717" s="24">
        <f>IF('ORDENES'!$A695="","",IF('ORDENES'!$AH695="","-",'ORDENES'!$AH695))</f>
        <v/>
      </c>
      <c r="I717" s="24">
        <f>IF('ORDENES'!$A695="","",IF('ORDENES'!$AU695="","-",'ORDENES'!$AU695))</f>
        <v/>
      </c>
      <c r="J717" s="24">
        <f>IF('ORDENES'!$A695="","",IF('ORDENES'!$D695="","-",'ORDENES'!$D695))</f>
        <v/>
      </c>
      <c r="K717" s="24">
        <f>IF('ORDENES'!$A695="","",IF('ORDENES'!$E695="","-",'ORDENES'!$E695))</f>
        <v/>
      </c>
      <c r="L717" s="26">
        <f>IF('ORDENES'!$A695="","",IF('ORDENES'!$M695="",0,'ORDENES'!$M695))</f>
        <v/>
      </c>
      <c r="M717" s="24">
        <f>IF('ORDENES'!$A695="","",IF('ORDENES'!$N695="","-",'ORDENES'!$N695))</f>
        <v/>
      </c>
      <c r="N717" s="24">
        <f>IF('ORDENES'!$A695="","",'ORDENES'!$AG695)</f>
        <v/>
      </c>
    </row>
    <row r="718">
      <c r="A718" s="24">
        <f>IF('ORDENES'!$A696="","",IF('ORDENES'!$O696="","-",'ORDENES'!$O696))</f>
        <v/>
      </c>
      <c r="B718" s="24">
        <f>IF('ORDENES'!$A696="","",IF('ORDENES'!$S696="","-",'ORDENES'!$S696))</f>
        <v/>
      </c>
      <c r="C718" s="24">
        <f>IF('ORDENES'!$A696="","",IF('ORDENES'!$AI696="","-",'ORDENES'!$AI696))</f>
        <v/>
      </c>
      <c r="D718" s="24">
        <f>IF('ORDENES'!$A696="","",IF('ORDENES'!$AA696="","-",'ORDENES'!$AA696))</f>
        <v/>
      </c>
      <c r="E718" s="24">
        <f>IF('ORDENES'!$A696="","",IF('ORDENES'!$Y696="","-",'ORDENES'!$Y696))</f>
        <v/>
      </c>
      <c r="F718" s="24">
        <f>IF('ORDENES'!$A696="","",IF('ORDENES'!$AB696="","-",'ORDENES'!$AB696))</f>
        <v/>
      </c>
      <c r="G718" s="24">
        <f>IF('ORDENES'!$A696="","",IF('ORDENES'!$Z696="","-",'ORDENES'!$Z696))</f>
        <v/>
      </c>
      <c r="H718" s="24">
        <f>IF('ORDENES'!$A696="","",IF('ORDENES'!$AH696="","-",'ORDENES'!$AH696))</f>
        <v/>
      </c>
      <c r="I718" s="24">
        <f>IF('ORDENES'!$A696="","",IF('ORDENES'!$AU696="","-",'ORDENES'!$AU696))</f>
        <v/>
      </c>
      <c r="J718" s="24">
        <f>IF('ORDENES'!$A696="","",IF('ORDENES'!$D696="","-",'ORDENES'!$D696))</f>
        <v/>
      </c>
      <c r="K718" s="24">
        <f>IF('ORDENES'!$A696="","",IF('ORDENES'!$E696="","-",'ORDENES'!$E696))</f>
        <v/>
      </c>
      <c r="L718" s="26">
        <f>IF('ORDENES'!$A696="","",IF('ORDENES'!$M696="",0,'ORDENES'!$M696))</f>
        <v/>
      </c>
      <c r="M718" s="24">
        <f>IF('ORDENES'!$A696="","",IF('ORDENES'!$N696="","-",'ORDENES'!$N696))</f>
        <v/>
      </c>
      <c r="N718" s="24">
        <f>IF('ORDENES'!$A696="","",'ORDENES'!$AG696)</f>
        <v/>
      </c>
    </row>
    <row r="719">
      <c r="A719" s="24">
        <f>IF('ORDENES'!$A697="","",IF('ORDENES'!$O697="","-",'ORDENES'!$O697))</f>
        <v/>
      </c>
      <c r="B719" s="24">
        <f>IF('ORDENES'!$A697="","",IF('ORDENES'!$S697="","-",'ORDENES'!$S697))</f>
        <v/>
      </c>
      <c r="C719" s="24">
        <f>IF('ORDENES'!$A697="","",IF('ORDENES'!$AI697="","-",'ORDENES'!$AI697))</f>
        <v/>
      </c>
      <c r="D719" s="24">
        <f>IF('ORDENES'!$A697="","",IF('ORDENES'!$AA697="","-",'ORDENES'!$AA697))</f>
        <v/>
      </c>
      <c r="E719" s="24">
        <f>IF('ORDENES'!$A697="","",IF('ORDENES'!$Y697="","-",'ORDENES'!$Y697))</f>
        <v/>
      </c>
      <c r="F719" s="24">
        <f>IF('ORDENES'!$A697="","",IF('ORDENES'!$AB697="","-",'ORDENES'!$AB697))</f>
        <v/>
      </c>
      <c r="G719" s="24">
        <f>IF('ORDENES'!$A697="","",IF('ORDENES'!$Z697="","-",'ORDENES'!$Z697))</f>
        <v/>
      </c>
      <c r="H719" s="24">
        <f>IF('ORDENES'!$A697="","",IF('ORDENES'!$AH697="","-",'ORDENES'!$AH697))</f>
        <v/>
      </c>
      <c r="I719" s="24">
        <f>IF('ORDENES'!$A697="","",IF('ORDENES'!$AU697="","-",'ORDENES'!$AU697))</f>
        <v/>
      </c>
      <c r="J719" s="24">
        <f>IF('ORDENES'!$A697="","",IF('ORDENES'!$D697="","-",'ORDENES'!$D697))</f>
        <v/>
      </c>
      <c r="K719" s="24">
        <f>IF('ORDENES'!$A697="","",IF('ORDENES'!$E697="","-",'ORDENES'!$E697))</f>
        <v/>
      </c>
      <c r="L719" s="26">
        <f>IF('ORDENES'!$A697="","",IF('ORDENES'!$M697="",0,'ORDENES'!$M697))</f>
        <v/>
      </c>
      <c r="M719" s="24">
        <f>IF('ORDENES'!$A697="","",IF('ORDENES'!$N697="","-",'ORDENES'!$N697))</f>
        <v/>
      </c>
      <c r="N719" s="24">
        <f>IF('ORDENES'!$A697="","",'ORDENES'!$AG697)</f>
        <v/>
      </c>
    </row>
    <row r="720">
      <c r="A720" s="24">
        <f>IF('ORDENES'!$A698="","",IF('ORDENES'!$O698="","-",'ORDENES'!$O698))</f>
        <v/>
      </c>
      <c r="B720" s="24">
        <f>IF('ORDENES'!$A698="","",IF('ORDENES'!$S698="","-",'ORDENES'!$S698))</f>
        <v/>
      </c>
      <c r="C720" s="24">
        <f>IF('ORDENES'!$A698="","",IF('ORDENES'!$AI698="","-",'ORDENES'!$AI698))</f>
        <v/>
      </c>
      <c r="D720" s="24">
        <f>IF('ORDENES'!$A698="","",IF('ORDENES'!$AA698="","-",'ORDENES'!$AA698))</f>
        <v/>
      </c>
      <c r="E720" s="24">
        <f>IF('ORDENES'!$A698="","",IF('ORDENES'!$Y698="","-",'ORDENES'!$Y698))</f>
        <v/>
      </c>
      <c r="F720" s="24">
        <f>IF('ORDENES'!$A698="","",IF('ORDENES'!$AB698="","-",'ORDENES'!$AB698))</f>
        <v/>
      </c>
      <c r="G720" s="24">
        <f>IF('ORDENES'!$A698="","",IF('ORDENES'!$Z698="","-",'ORDENES'!$Z698))</f>
        <v/>
      </c>
      <c r="H720" s="24">
        <f>IF('ORDENES'!$A698="","",IF('ORDENES'!$AH698="","-",'ORDENES'!$AH698))</f>
        <v/>
      </c>
      <c r="I720" s="24">
        <f>IF('ORDENES'!$A698="","",IF('ORDENES'!$AU698="","-",'ORDENES'!$AU698))</f>
        <v/>
      </c>
      <c r="J720" s="24">
        <f>IF('ORDENES'!$A698="","",IF('ORDENES'!$D698="","-",'ORDENES'!$D698))</f>
        <v/>
      </c>
      <c r="K720" s="24">
        <f>IF('ORDENES'!$A698="","",IF('ORDENES'!$E698="","-",'ORDENES'!$E698))</f>
        <v/>
      </c>
      <c r="L720" s="26">
        <f>IF('ORDENES'!$A698="","",IF('ORDENES'!$M698="",0,'ORDENES'!$M698))</f>
        <v/>
      </c>
      <c r="M720" s="24">
        <f>IF('ORDENES'!$A698="","",IF('ORDENES'!$N698="","-",'ORDENES'!$N698))</f>
        <v/>
      </c>
      <c r="N720" s="24">
        <f>IF('ORDENES'!$A698="","",'ORDENES'!$AG698)</f>
        <v/>
      </c>
    </row>
    <row r="721">
      <c r="A721" s="24">
        <f>IF('ORDENES'!$A699="","",IF('ORDENES'!$O699="","-",'ORDENES'!$O699))</f>
        <v/>
      </c>
      <c r="B721" s="24">
        <f>IF('ORDENES'!$A699="","",IF('ORDENES'!$S699="","-",'ORDENES'!$S699))</f>
        <v/>
      </c>
      <c r="C721" s="24">
        <f>IF('ORDENES'!$A699="","",IF('ORDENES'!$AI699="","-",'ORDENES'!$AI699))</f>
        <v/>
      </c>
      <c r="D721" s="24">
        <f>IF('ORDENES'!$A699="","",IF('ORDENES'!$AA699="","-",'ORDENES'!$AA699))</f>
        <v/>
      </c>
      <c r="E721" s="24">
        <f>IF('ORDENES'!$A699="","",IF('ORDENES'!$Y699="","-",'ORDENES'!$Y699))</f>
        <v/>
      </c>
      <c r="F721" s="24">
        <f>IF('ORDENES'!$A699="","",IF('ORDENES'!$AB699="","-",'ORDENES'!$AB699))</f>
        <v/>
      </c>
      <c r="G721" s="24">
        <f>IF('ORDENES'!$A699="","",IF('ORDENES'!$Z699="","-",'ORDENES'!$Z699))</f>
        <v/>
      </c>
      <c r="H721" s="24">
        <f>IF('ORDENES'!$A699="","",IF('ORDENES'!$AH699="","-",'ORDENES'!$AH699))</f>
        <v/>
      </c>
      <c r="I721" s="24">
        <f>IF('ORDENES'!$A699="","",IF('ORDENES'!$AU699="","-",'ORDENES'!$AU699))</f>
        <v/>
      </c>
      <c r="J721" s="24">
        <f>IF('ORDENES'!$A699="","",IF('ORDENES'!$D699="","-",'ORDENES'!$D699))</f>
        <v/>
      </c>
      <c r="K721" s="24">
        <f>IF('ORDENES'!$A699="","",IF('ORDENES'!$E699="","-",'ORDENES'!$E699))</f>
        <v/>
      </c>
      <c r="L721" s="26">
        <f>IF('ORDENES'!$A699="","",IF('ORDENES'!$M699="",0,'ORDENES'!$M699))</f>
        <v/>
      </c>
      <c r="M721" s="24">
        <f>IF('ORDENES'!$A699="","",IF('ORDENES'!$N699="","-",'ORDENES'!$N699))</f>
        <v/>
      </c>
      <c r="N721" s="24">
        <f>IF('ORDENES'!$A699="","",'ORDENES'!$AG699)</f>
        <v/>
      </c>
    </row>
    <row r="722">
      <c r="A722" s="24">
        <f>IF('ORDENES'!$A700="","",IF('ORDENES'!$O700="","-",'ORDENES'!$O700))</f>
        <v/>
      </c>
      <c r="B722" s="24">
        <f>IF('ORDENES'!$A700="","",IF('ORDENES'!$S700="","-",'ORDENES'!$S700))</f>
        <v/>
      </c>
      <c r="C722" s="24">
        <f>IF('ORDENES'!$A700="","",IF('ORDENES'!$AI700="","-",'ORDENES'!$AI700))</f>
        <v/>
      </c>
      <c r="D722" s="24">
        <f>IF('ORDENES'!$A700="","",IF('ORDENES'!$AA700="","-",'ORDENES'!$AA700))</f>
        <v/>
      </c>
      <c r="E722" s="24">
        <f>IF('ORDENES'!$A700="","",IF('ORDENES'!$Y700="","-",'ORDENES'!$Y700))</f>
        <v/>
      </c>
      <c r="F722" s="24">
        <f>IF('ORDENES'!$A700="","",IF('ORDENES'!$AB700="","-",'ORDENES'!$AB700))</f>
        <v/>
      </c>
      <c r="G722" s="24">
        <f>IF('ORDENES'!$A700="","",IF('ORDENES'!$Z700="","-",'ORDENES'!$Z700))</f>
        <v/>
      </c>
      <c r="H722" s="24">
        <f>IF('ORDENES'!$A700="","",IF('ORDENES'!$AH700="","-",'ORDENES'!$AH700))</f>
        <v/>
      </c>
      <c r="I722" s="24">
        <f>IF('ORDENES'!$A700="","",IF('ORDENES'!$AU700="","-",'ORDENES'!$AU700))</f>
        <v/>
      </c>
      <c r="J722" s="24">
        <f>IF('ORDENES'!$A700="","",IF('ORDENES'!$D700="","-",'ORDENES'!$D700))</f>
        <v/>
      </c>
      <c r="K722" s="24">
        <f>IF('ORDENES'!$A700="","",IF('ORDENES'!$E700="","-",'ORDENES'!$E700))</f>
        <v/>
      </c>
      <c r="L722" s="26">
        <f>IF('ORDENES'!$A700="","",IF('ORDENES'!$M700="",0,'ORDENES'!$M700))</f>
        <v/>
      </c>
      <c r="M722" s="24">
        <f>IF('ORDENES'!$A700="","",IF('ORDENES'!$N700="","-",'ORDENES'!$N700))</f>
        <v/>
      </c>
      <c r="N722" s="24">
        <f>IF('ORDENES'!$A700="","",'ORDENES'!$AG700)</f>
        <v/>
      </c>
    </row>
    <row r="723">
      <c r="A723" s="24">
        <f>IF('ORDENES'!$A701="","",IF('ORDENES'!$O701="","-",'ORDENES'!$O701))</f>
        <v/>
      </c>
      <c r="B723" s="24">
        <f>IF('ORDENES'!$A701="","",IF('ORDENES'!$S701="","-",'ORDENES'!$S701))</f>
        <v/>
      </c>
      <c r="C723" s="24">
        <f>IF('ORDENES'!$A701="","",IF('ORDENES'!$AI701="","-",'ORDENES'!$AI701))</f>
        <v/>
      </c>
      <c r="D723" s="24">
        <f>IF('ORDENES'!$A701="","",IF('ORDENES'!$AA701="","-",'ORDENES'!$AA701))</f>
        <v/>
      </c>
      <c r="E723" s="24">
        <f>IF('ORDENES'!$A701="","",IF('ORDENES'!$Y701="","-",'ORDENES'!$Y701))</f>
        <v/>
      </c>
      <c r="F723" s="24">
        <f>IF('ORDENES'!$A701="","",IF('ORDENES'!$AB701="","-",'ORDENES'!$AB701))</f>
        <v/>
      </c>
      <c r="G723" s="24">
        <f>IF('ORDENES'!$A701="","",IF('ORDENES'!$Z701="","-",'ORDENES'!$Z701))</f>
        <v/>
      </c>
      <c r="H723" s="24">
        <f>IF('ORDENES'!$A701="","",IF('ORDENES'!$AH701="","-",'ORDENES'!$AH701))</f>
        <v/>
      </c>
      <c r="I723" s="24">
        <f>IF('ORDENES'!$A701="","",IF('ORDENES'!$AU701="","-",'ORDENES'!$AU701))</f>
        <v/>
      </c>
      <c r="J723" s="24">
        <f>IF('ORDENES'!$A701="","",IF('ORDENES'!$D701="","-",'ORDENES'!$D701))</f>
        <v/>
      </c>
      <c r="K723" s="24">
        <f>IF('ORDENES'!$A701="","",IF('ORDENES'!$E701="","-",'ORDENES'!$E701))</f>
        <v/>
      </c>
      <c r="L723" s="26">
        <f>IF('ORDENES'!$A701="","",IF('ORDENES'!$M701="",0,'ORDENES'!$M701))</f>
        <v/>
      </c>
      <c r="M723" s="24">
        <f>IF('ORDENES'!$A701="","",IF('ORDENES'!$N701="","-",'ORDENES'!$N701))</f>
        <v/>
      </c>
      <c r="N723" s="24">
        <f>IF('ORDENES'!$A701="","",'ORDENES'!$AG701)</f>
        <v/>
      </c>
    </row>
    <row r="724">
      <c r="A724" s="24">
        <f>IF('ORDENES'!$A702="","",IF('ORDENES'!$O702="","-",'ORDENES'!$O702))</f>
        <v/>
      </c>
      <c r="B724" s="24">
        <f>IF('ORDENES'!$A702="","",IF('ORDENES'!$S702="","-",'ORDENES'!$S702))</f>
        <v/>
      </c>
      <c r="C724" s="24">
        <f>IF('ORDENES'!$A702="","",IF('ORDENES'!$AI702="","-",'ORDENES'!$AI702))</f>
        <v/>
      </c>
      <c r="D724" s="24">
        <f>IF('ORDENES'!$A702="","",IF('ORDENES'!$AA702="","-",'ORDENES'!$AA702))</f>
        <v/>
      </c>
      <c r="E724" s="24">
        <f>IF('ORDENES'!$A702="","",IF('ORDENES'!$Y702="","-",'ORDENES'!$Y702))</f>
        <v/>
      </c>
      <c r="F724" s="24">
        <f>IF('ORDENES'!$A702="","",IF('ORDENES'!$AB702="","-",'ORDENES'!$AB702))</f>
        <v/>
      </c>
      <c r="G724" s="24">
        <f>IF('ORDENES'!$A702="","",IF('ORDENES'!$Z702="","-",'ORDENES'!$Z702))</f>
        <v/>
      </c>
      <c r="H724" s="24">
        <f>IF('ORDENES'!$A702="","",IF('ORDENES'!$AH702="","-",'ORDENES'!$AH702))</f>
        <v/>
      </c>
      <c r="I724" s="24">
        <f>IF('ORDENES'!$A702="","",IF('ORDENES'!$AU702="","-",'ORDENES'!$AU702))</f>
        <v/>
      </c>
      <c r="J724" s="24">
        <f>IF('ORDENES'!$A702="","",IF('ORDENES'!$D702="","-",'ORDENES'!$D702))</f>
        <v/>
      </c>
      <c r="K724" s="24">
        <f>IF('ORDENES'!$A702="","",IF('ORDENES'!$E702="","-",'ORDENES'!$E702))</f>
        <v/>
      </c>
      <c r="L724" s="26">
        <f>IF('ORDENES'!$A702="","",IF('ORDENES'!$M702="",0,'ORDENES'!$M702))</f>
        <v/>
      </c>
      <c r="M724" s="24">
        <f>IF('ORDENES'!$A702="","",IF('ORDENES'!$N702="","-",'ORDENES'!$N702))</f>
        <v/>
      </c>
      <c r="N724" s="24">
        <f>IF('ORDENES'!$A702="","",'ORDENES'!$AG702)</f>
        <v/>
      </c>
    </row>
    <row r="725">
      <c r="A725" s="24">
        <f>IF('ORDENES'!$A703="","",IF('ORDENES'!$O703="","-",'ORDENES'!$O703))</f>
        <v/>
      </c>
      <c r="B725" s="24">
        <f>IF('ORDENES'!$A703="","",IF('ORDENES'!$S703="","-",'ORDENES'!$S703))</f>
        <v/>
      </c>
      <c r="C725" s="24">
        <f>IF('ORDENES'!$A703="","",IF('ORDENES'!$AI703="","-",'ORDENES'!$AI703))</f>
        <v/>
      </c>
      <c r="D725" s="24">
        <f>IF('ORDENES'!$A703="","",IF('ORDENES'!$AA703="","-",'ORDENES'!$AA703))</f>
        <v/>
      </c>
      <c r="E725" s="24">
        <f>IF('ORDENES'!$A703="","",IF('ORDENES'!$Y703="","-",'ORDENES'!$Y703))</f>
        <v/>
      </c>
      <c r="F725" s="24">
        <f>IF('ORDENES'!$A703="","",IF('ORDENES'!$AB703="","-",'ORDENES'!$AB703))</f>
        <v/>
      </c>
      <c r="G725" s="24">
        <f>IF('ORDENES'!$A703="","",IF('ORDENES'!$Z703="","-",'ORDENES'!$Z703))</f>
        <v/>
      </c>
      <c r="H725" s="24">
        <f>IF('ORDENES'!$A703="","",IF('ORDENES'!$AH703="","-",'ORDENES'!$AH703))</f>
        <v/>
      </c>
      <c r="I725" s="24">
        <f>IF('ORDENES'!$A703="","",IF('ORDENES'!$AU703="","-",'ORDENES'!$AU703))</f>
        <v/>
      </c>
      <c r="J725" s="24">
        <f>IF('ORDENES'!$A703="","",IF('ORDENES'!$D703="","-",'ORDENES'!$D703))</f>
        <v/>
      </c>
      <c r="K725" s="24">
        <f>IF('ORDENES'!$A703="","",IF('ORDENES'!$E703="","-",'ORDENES'!$E703))</f>
        <v/>
      </c>
      <c r="L725" s="26">
        <f>IF('ORDENES'!$A703="","",IF('ORDENES'!$M703="",0,'ORDENES'!$M703))</f>
        <v/>
      </c>
      <c r="M725" s="24">
        <f>IF('ORDENES'!$A703="","",IF('ORDENES'!$N703="","-",'ORDENES'!$N703))</f>
        <v/>
      </c>
      <c r="N725" s="24">
        <f>IF('ORDENES'!$A703="","",'ORDENES'!$AG703)</f>
        <v/>
      </c>
    </row>
    <row r="726">
      <c r="A726" s="24">
        <f>IF('ORDENES'!$A704="","",IF('ORDENES'!$O704="","-",'ORDENES'!$O704))</f>
        <v/>
      </c>
      <c r="B726" s="24">
        <f>IF('ORDENES'!$A704="","",IF('ORDENES'!$S704="","-",'ORDENES'!$S704))</f>
        <v/>
      </c>
      <c r="C726" s="24">
        <f>IF('ORDENES'!$A704="","",IF('ORDENES'!$AI704="","-",'ORDENES'!$AI704))</f>
        <v/>
      </c>
      <c r="D726" s="24">
        <f>IF('ORDENES'!$A704="","",IF('ORDENES'!$AA704="","-",'ORDENES'!$AA704))</f>
        <v/>
      </c>
      <c r="E726" s="24">
        <f>IF('ORDENES'!$A704="","",IF('ORDENES'!$Y704="","-",'ORDENES'!$Y704))</f>
        <v/>
      </c>
      <c r="F726" s="24">
        <f>IF('ORDENES'!$A704="","",IF('ORDENES'!$AB704="","-",'ORDENES'!$AB704))</f>
        <v/>
      </c>
      <c r="G726" s="24">
        <f>IF('ORDENES'!$A704="","",IF('ORDENES'!$Z704="","-",'ORDENES'!$Z704))</f>
        <v/>
      </c>
      <c r="H726" s="24">
        <f>IF('ORDENES'!$A704="","",IF('ORDENES'!$AH704="","-",'ORDENES'!$AH704))</f>
        <v/>
      </c>
      <c r="I726" s="24">
        <f>IF('ORDENES'!$A704="","",IF('ORDENES'!$AU704="","-",'ORDENES'!$AU704))</f>
        <v/>
      </c>
      <c r="J726" s="24">
        <f>IF('ORDENES'!$A704="","",IF('ORDENES'!$D704="","-",'ORDENES'!$D704))</f>
        <v/>
      </c>
      <c r="K726" s="24">
        <f>IF('ORDENES'!$A704="","",IF('ORDENES'!$E704="","-",'ORDENES'!$E704))</f>
        <v/>
      </c>
      <c r="L726" s="26">
        <f>IF('ORDENES'!$A704="","",IF('ORDENES'!$M704="",0,'ORDENES'!$M704))</f>
        <v/>
      </c>
      <c r="M726" s="24">
        <f>IF('ORDENES'!$A704="","",IF('ORDENES'!$N704="","-",'ORDENES'!$N704))</f>
        <v/>
      </c>
      <c r="N726" s="24">
        <f>IF('ORDENES'!$A704="","",'ORDENES'!$AG704)</f>
        <v/>
      </c>
    </row>
    <row r="727">
      <c r="A727" s="24">
        <f>IF('ORDENES'!$A705="","",IF('ORDENES'!$O705="","-",'ORDENES'!$O705))</f>
        <v/>
      </c>
      <c r="B727" s="24">
        <f>IF('ORDENES'!$A705="","",IF('ORDENES'!$S705="","-",'ORDENES'!$S705))</f>
        <v/>
      </c>
      <c r="C727" s="24">
        <f>IF('ORDENES'!$A705="","",IF('ORDENES'!$AI705="","-",'ORDENES'!$AI705))</f>
        <v/>
      </c>
      <c r="D727" s="24">
        <f>IF('ORDENES'!$A705="","",IF('ORDENES'!$AA705="","-",'ORDENES'!$AA705))</f>
        <v/>
      </c>
      <c r="E727" s="24">
        <f>IF('ORDENES'!$A705="","",IF('ORDENES'!$Y705="","-",'ORDENES'!$Y705))</f>
        <v/>
      </c>
      <c r="F727" s="24">
        <f>IF('ORDENES'!$A705="","",IF('ORDENES'!$AB705="","-",'ORDENES'!$AB705))</f>
        <v/>
      </c>
      <c r="G727" s="24">
        <f>IF('ORDENES'!$A705="","",IF('ORDENES'!$Z705="","-",'ORDENES'!$Z705))</f>
        <v/>
      </c>
      <c r="H727" s="24">
        <f>IF('ORDENES'!$A705="","",IF('ORDENES'!$AH705="","-",'ORDENES'!$AH705))</f>
        <v/>
      </c>
      <c r="I727" s="24">
        <f>IF('ORDENES'!$A705="","",IF('ORDENES'!$AU705="","-",'ORDENES'!$AU705))</f>
        <v/>
      </c>
      <c r="J727" s="24">
        <f>IF('ORDENES'!$A705="","",IF('ORDENES'!$D705="","-",'ORDENES'!$D705))</f>
        <v/>
      </c>
      <c r="K727" s="24">
        <f>IF('ORDENES'!$A705="","",IF('ORDENES'!$E705="","-",'ORDENES'!$E705))</f>
        <v/>
      </c>
      <c r="L727" s="26">
        <f>IF('ORDENES'!$A705="","",IF('ORDENES'!$M705="",0,'ORDENES'!$M705))</f>
        <v/>
      </c>
      <c r="M727" s="24">
        <f>IF('ORDENES'!$A705="","",IF('ORDENES'!$N705="","-",'ORDENES'!$N705))</f>
        <v/>
      </c>
      <c r="N727" s="24">
        <f>IF('ORDENES'!$A705="","",'ORDENES'!$AG705)</f>
        <v/>
      </c>
    </row>
    <row r="728">
      <c r="A728" s="24">
        <f>IF('ORDENES'!$A706="","",IF('ORDENES'!$O706="","-",'ORDENES'!$O706))</f>
        <v/>
      </c>
      <c r="B728" s="24">
        <f>IF('ORDENES'!$A706="","",IF('ORDENES'!$S706="","-",'ORDENES'!$S706))</f>
        <v/>
      </c>
      <c r="C728" s="24">
        <f>IF('ORDENES'!$A706="","",IF('ORDENES'!$AI706="","-",'ORDENES'!$AI706))</f>
        <v/>
      </c>
      <c r="D728" s="24">
        <f>IF('ORDENES'!$A706="","",IF('ORDENES'!$AA706="","-",'ORDENES'!$AA706))</f>
        <v/>
      </c>
      <c r="E728" s="24">
        <f>IF('ORDENES'!$A706="","",IF('ORDENES'!$Y706="","-",'ORDENES'!$Y706))</f>
        <v/>
      </c>
      <c r="F728" s="24">
        <f>IF('ORDENES'!$A706="","",IF('ORDENES'!$AB706="","-",'ORDENES'!$AB706))</f>
        <v/>
      </c>
      <c r="G728" s="24">
        <f>IF('ORDENES'!$A706="","",IF('ORDENES'!$Z706="","-",'ORDENES'!$Z706))</f>
        <v/>
      </c>
      <c r="H728" s="24">
        <f>IF('ORDENES'!$A706="","",IF('ORDENES'!$AH706="","-",'ORDENES'!$AH706))</f>
        <v/>
      </c>
      <c r="I728" s="24">
        <f>IF('ORDENES'!$A706="","",IF('ORDENES'!$AU706="","-",'ORDENES'!$AU706))</f>
        <v/>
      </c>
      <c r="J728" s="24">
        <f>IF('ORDENES'!$A706="","",IF('ORDENES'!$D706="","-",'ORDENES'!$D706))</f>
        <v/>
      </c>
      <c r="K728" s="24">
        <f>IF('ORDENES'!$A706="","",IF('ORDENES'!$E706="","-",'ORDENES'!$E706))</f>
        <v/>
      </c>
      <c r="L728" s="26">
        <f>IF('ORDENES'!$A706="","",IF('ORDENES'!$M706="",0,'ORDENES'!$M706))</f>
        <v/>
      </c>
      <c r="M728" s="24">
        <f>IF('ORDENES'!$A706="","",IF('ORDENES'!$N706="","-",'ORDENES'!$N706))</f>
        <v/>
      </c>
      <c r="N728" s="24">
        <f>IF('ORDENES'!$A706="","",'ORDENES'!$AG706)</f>
        <v/>
      </c>
    </row>
    <row r="729">
      <c r="A729" s="24">
        <f>IF('ORDENES'!$A707="","",IF('ORDENES'!$O707="","-",'ORDENES'!$O707))</f>
        <v/>
      </c>
      <c r="B729" s="24">
        <f>IF('ORDENES'!$A707="","",IF('ORDENES'!$S707="","-",'ORDENES'!$S707))</f>
        <v/>
      </c>
      <c r="C729" s="24">
        <f>IF('ORDENES'!$A707="","",IF('ORDENES'!$AI707="","-",'ORDENES'!$AI707))</f>
        <v/>
      </c>
      <c r="D729" s="24">
        <f>IF('ORDENES'!$A707="","",IF('ORDENES'!$AA707="","-",'ORDENES'!$AA707))</f>
        <v/>
      </c>
      <c r="E729" s="24">
        <f>IF('ORDENES'!$A707="","",IF('ORDENES'!$Y707="","-",'ORDENES'!$Y707))</f>
        <v/>
      </c>
      <c r="F729" s="24">
        <f>IF('ORDENES'!$A707="","",IF('ORDENES'!$AB707="","-",'ORDENES'!$AB707))</f>
        <v/>
      </c>
      <c r="G729" s="24">
        <f>IF('ORDENES'!$A707="","",IF('ORDENES'!$Z707="","-",'ORDENES'!$Z707))</f>
        <v/>
      </c>
      <c r="H729" s="24">
        <f>IF('ORDENES'!$A707="","",IF('ORDENES'!$AH707="","-",'ORDENES'!$AH707))</f>
        <v/>
      </c>
      <c r="I729" s="24">
        <f>IF('ORDENES'!$A707="","",IF('ORDENES'!$AU707="","-",'ORDENES'!$AU707))</f>
        <v/>
      </c>
      <c r="J729" s="24">
        <f>IF('ORDENES'!$A707="","",IF('ORDENES'!$D707="","-",'ORDENES'!$D707))</f>
        <v/>
      </c>
      <c r="K729" s="24">
        <f>IF('ORDENES'!$A707="","",IF('ORDENES'!$E707="","-",'ORDENES'!$E707))</f>
        <v/>
      </c>
      <c r="L729" s="26">
        <f>IF('ORDENES'!$A707="","",IF('ORDENES'!$M707="",0,'ORDENES'!$M707))</f>
        <v/>
      </c>
      <c r="M729" s="24">
        <f>IF('ORDENES'!$A707="","",IF('ORDENES'!$N707="","-",'ORDENES'!$N707))</f>
        <v/>
      </c>
      <c r="N729" s="24">
        <f>IF('ORDENES'!$A707="","",'ORDENES'!$AG707)</f>
        <v/>
      </c>
    </row>
    <row r="730">
      <c r="A730" s="24">
        <f>IF('ORDENES'!$A708="","",IF('ORDENES'!$O708="","-",'ORDENES'!$O708))</f>
        <v/>
      </c>
      <c r="B730" s="24">
        <f>IF('ORDENES'!$A708="","",IF('ORDENES'!$S708="","-",'ORDENES'!$S708))</f>
        <v/>
      </c>
      <c r="C730" s="24">
        <f>IF('ORDENES'!$A708="","",IF('ORDENES'!$AI708="","-",'ORDENES'!$AI708))</f>
        <v/>
      </c>
      <c r="D730" s="24">
        <f>IF('ORDENES'!$A708="","",IF('ORDENES'!$AA708="","-",'ORDENES'!$AA708))</f>
        <v/>
      </c>
      <c r="E730" s="24">
        <f>IF('ORDENES'!$A708="","",IF('ORDENES'!$Y708="","-",'ORDENES'!$Y708))</f>
        <v/>
      </c>
      <c r="F730" s="24">
        <f>IF('ORDENES'!$A708="","",IF('ORDENES'!$AB708="","-",'ORDENES'!$AB708))</f>
        <v/>
      </c>
      <c r="G730" s="24">
        <f>IF('ORDENES'!$A708="","",IF('ORDENES'!$Z708="","-",'ORDENES'!$Z708))</f>
        <v/>
      </c>
      <c r="H730" s="24">
        <f>IF('ORDENES'!$A708="","",IF('ORDENES'!$AH708="","-",'ORDENES'!$AH708))</f>
        <v/>
      </c>
      <c r="I730" s="24">
        <f>IF('ORDENES'!$A708="","",IF('ORDENES'!$AU708="","-",'ORDENES'!$AU708))</f>
        <v/>
      </c>
      <c r="J730" s="24">
        <f>IF('ORDENES'!$A708="","",IF('ORDENES'!$D708="","-",'ORDENES'!$D708))</f>
        <v/>
      </c>
      <c r="K730" s="24">
        <f>IF('ORDENES'!$A708="","",IF('ORDENES'!$E708="","-",'ORDENES'!$E708))</f>
        <v/>
      </c>
      <c r="L730" s="26">
        <f>IF('ORDENES'!$A708="","",IF('ORDENES'!$M708="",0,'ORDENES'!$M708))</f>
        <v/>
      </c>
      <c r="M730" s="24">
        <f>IF('ORDENES'!$A708="","",IF('ORDENES'!$N708="","-",'ORDENES'!$N708))</f>
        <v/>
      </c>
      <c r="N730" s="24">
        <f>IF('ORDENES'!$A708="","",'ORDENES'!$AG708)</f>
        <v/>
      </c>
    </row>
    <row r="731">
      <c r="A731" s="24">
        <f>IF('ORDENES'!$A709="","",IF('ORDENES'!$O709="","-",'ORDENES'!$O709))</f>
        <v/>
      </c>
      <c r="B731" s="24">
        <f>IF('ORDENES'!$A709="","",IF('ORDENES'!$S709="","-",'ORDENES'!$S709))</f>
        <v/>
      </c>
      <c r="C731" s="24">
        <f>IF('ORDENES'!$A709="","",IF('ORDENES'!$AI709="","-",'ORDENES'!$AI709))</f>
        <v/>
      </c>
      <c r="D731" s="24">
        <f>IF('ORDENES'!$A709="","",IF('ORDENES'!$AA709="","-",'ORDENES'!$AA709))</f>
        <v/>
      </c>
      <c r="E731" s="24">
        <f>IF('ORDENES'!$A709="","",IF('ORDENES'!$Y709="","-",'ORDENES'!$Y709))</f>
        <v/>
      </c>
      <c r="F731" s="24">
        <f>IF('ORDENES'!$A709="","",IF('ORDENES'!$AB709="","-",'ORDENES'!$AB709))</f>
        <v/>
      </c>
      <c r="G731" s="24">
        <f>IF('ORDENES'!$A709="","",IF('ORDENES'!$Z709="","-",'ORDENES'!$Z709))</f>
        <v/>
      </c>
      <c r="H731" s="24">
        <f>IF('ORDENES'!$A709="","",IF('ORDENES'!$AH709="","-",'ORDENES'!$AH709))</f>
        <v/>
      </c>
      <c r="I731" s="24">
        <f>IF('ORDENES'!$A709="","",IF('ORDENES'!$AU709="","-",'ORDENES'!$AU709))</f>
        <v/>
      </c>
      <c r="J731" s="24">
        <f>IF('ORDENES'!$A709="","",IF('ORDENES'!$D709="","-",'ORDENES'!$D709))</f>
        <v/>
      </c>
      <c r="K731" s="24">
        <f>IF('ORDENES'!$A709="","",IF('ORDENES'!$E709="","-",'ORDENES'!$E709))</f>
        <v/>
      </c>
      <c r="L731" s="26">
        <f>IF('ORDENES'!$A709="","",IF('ORDENES'!$M709="",0,'ORDENES'!$M709))</f>
        <v/>
      </c>
      <c r="M731" s="24">
        <f>IF('ORDENES'!$A709="","",IF('ORDENES'!$N709="","-",'ORDENES'!$N709))</f>
        <v/>
      </c>
      <c r="N731" s="24">
        <f>IF('ORDENES'!$A709="","",'ORDENES'!$AG709)</f>
        <v/>
      </c>
    </row>
    <row r="732">
      <c r="A732" s="24">
        <f>IF('ORDENES'!$A710="","",IF('ORDENES'!$O710="","-",'ORDENES'!$O710))</f>
        <v/>
      </c>
      <c r="B732" s="24">
        <f>IF('ORDENES'!$A710="","",IF('ORDENES'!$S710="","-",'ORDENES'!$S710))</f>
        <v/>
      </c>
      <c r="C732" s="24">
        <f>IF('ORDENES'!$A710="","",IF('ORDENES'!$AI710="","-",'ORDENES'!$AI710))</f>
        <v/>
      </c>
      <c r="D732" s="24">
        <f>IF('ORDENES'!$A710="","",IF('ORDENES'!$AA710="","-",'ORDENES'!$AA710))</f>
        <v/>
      </c>
      <c r="E732" s="24">
        <f>IF('ORDENES'!$A710="","",IF('ORDENES'!$Y710="","-",'ORDENES'!$Y710))</f>
        <v/>
      </c>
      <c r="F732" s="24">
        <f>IF('ORDENES'!$A710="","",IF('ORDENES'!$AB710="","-",'ORDENES'!$AB710))</f>
        <v/>
      </c>
      <c r="G732" s="24">
        <f>IF('ORDENES'!$A710="","",IF('ORDENES'!$Z710="","-",'ORDENES'!$Z710))</f>
        <v/>
      </c>
      <c r="H732" s="24">
        <f>IF('ORDENES'!$A710="","",IF('ORDENES'!$AH710="","-",'ORDENES'!$AH710))</f>
        <v/>
      </c>
      <c r="I732" s="24">
        <f>IF('ORDENES'!$A710="","",IF('ORDENES'!$AU710="","-",'ORDENES'!$AU710))</f>
        <v/>
      </c>
      <c r="J732" s="24">
        <f>IF('ORDENES'!$A710="","",IF('ORDENES'!$D710="","-",'ORDENES'!$D710))</f>
        <v/>
      </c>
      <c r="K732" s="24">
        <f>IF('ORDENES'!$A710="","",IF('ORDENES'!$E710="","-",'ORDENES'!$E710))</f>
        <v/>
      </c>
      <c r="L732" s="26">
        <f>IF('ORDENES'!$A710="","",IF('ORDENES'!$M710="",0,'ORDENES'!$M710))</f>
        <v/>
      </c>
      <c r="M732" s="24">
        <f>IF('ORDENES'!$A710="","",IF('ORDENES'!$N710="","-",'ORDENES'!$N710))</f>
        <v/>
      </c>
      <c r="N732" s="24">
        <f>IF('ORDENES'!$A710="","",'ORDENES'!$AG710)</f>
        <v/>
      </c>
    </row>
    <row r="733">
      <c r="A733" s="24">
        <f>IF('ORDENES'!$A711="","",IF('ORDENES'!$O711="","-",'ORDENES'!$O711))</f>
        <v/>
      </c>
      <c r="B733" s="24">
        <f>IF('ORDENES'!$A711="","",IF('ORDENES'!$S711="","-",'ORDENES'!$S711))</f>
        <v/>
      </c>
      <c r="C733" s="24">
        <f>IF('ORDENES'!$A711="","",IF('ORDENES'!$AI711="","-",'ORDENES'!$AI711))</f>
        <v/>
      </c>
      <c r="D733" s="24">
        <f>IF('ORDENES'!$A711="","",IF('ORDENES'!$AA711="","-",'ORDENES'!$AA711))</f>
        <v/>
      </c>
      <c r="E733" s="24">
        <f>IF('ORDENES'!$A711="","",IF('ORDENES'!$Y711="","-",'ORDENES'!$Y711))</f>
        <v/>
      </c>
      <c r="F733" s="24">
        <f>IF('ORDENES'!$A711="","",IF('ORDENES'!$AB711="","-",'ORDENES'!$AB711))</f>
        <v/>
      </c>
      <c r="G733" s="24">
        <f>IF('ORDENES'!$A711="","",IF('ORDENES'!$Z711="","-",'ORDENES'!$Z711))</f>
        <v/>
      </c>
      <c r="H733" s="24">
        <f>IF('ORDENES'!$A711="","",IF('ORDENES'!$AH711="","-",'ORDENES'!$AH711))</f>
        <v/>
      </c>
      <c r="I733" s="24">
        <f>IF('ORDENES'!$A711="","",IF('ORDENES'!$AU711="","-",'ORDENES'!$AU711))</f>
        <v/>
      </c>
      <c r="J733" s="24">
        <f>IF('ORDENES'!$A711="","",IF('ORDENES'!$D711="","-",'ORDENES'!$D711))</f>
        <v/>
      </c>
      <c r="K733" s="24">
        <f>IF('ORDENES'!$A711="","",IF('ORDENES'!$E711="","-",'ORDENES'!$E711))</f>
        <v/>
      </c>
      <c r="L733" s="26">
        <f>IF('ORDENES'!$A711="","",IF('ORDENES'!$M711="",0,'ORDENES'!$M711))</f>
        <v/>
      </c>
      <c r="M733" s="24">
        <f>IF('ORDENES'!$A711="","",IF('ORDENES'!$N711="","-",'ORDENES'!$N711))</f>
        <v/>
      </c>
      <c r="N733" s="24">
        <f>IF('ORDENES'!$A711="","",'ORDENES'!$AG711)</f>
        <v/>
      </c>
    </row>
    <row r="734">
      <c r="A734" s="24">
        <f>IF('ORDENES'!$A712="","",IF('ORDENES'!$O712="","-",'ORDENES'!$O712))</f>
        <v/>
      </c>
      <c r="B734" s="24">
        <f>IF('ORDENES'!$A712="","",IF('ORDENES'!$S712="","-",'ORDENES'!$S712))</f>
        <v/>
      </c>
      <c r="C734" s="24">
        <f>IF('ORDENES'!$A712="","",IF('ORDENES'!$AI712="","-",'ORDENES'!$AI712))</f>
        <v/>
      </c>
      <c r="D734" s="24">
        <f>IF('ORDENES'!$A712="","",IF('ORDENES'!$AA712="","-",'ORDENES'!$AA712))</f>
        <v/>
      </c>
      <c r="E734" s="24">
        <f>IF('ORDENES'!$A712="","",IF('ORDENES'!$Y712="","-",'ORDENES'!$Y712))</f>
        <v/>
      </c>
      <c r="F734" s="24">
        <f>IF('ORDENES'!$A712="","",IF('ORDENES'!$AB712="","-",'ORDENES'!$AB712))</f>
        <v/>
      </c>
      <c r="G734" s="24">
        <f>IF('ORDENES'!$A712="","",IF('ORDENES'!$Z712="","-",'ORDENES'!$Z712))</f>
        <v/>
      </c>
      <c r="H734" s="24">
        <f>IF('ORDENES'!$A712="","",IF('ORDENES'!$AH712="","-",'ORDENES'!$AH712))</f>
        <v/>
      </c>
      <c r="I734" s="24">
        <f>IF('ORDENES'!$A712="","",IF('ORDENES'!$AU712="","-",'ORDENES'!$AU712))</f>
        <v/>
      </c>
      <c r="J734" s="24">
        <f>IF('ORDENES'!$A712="","",IF('ORDENES'!$D712="","-",'ORDENES'!$D712))</f>
        <v/>
      </c>
      <c r="K734" s="24">
        <f>IF('ORDENES'!$A712="","",IF('ORDENES'!$E712="","-",'ORDENES'!$E712))</f>
        <v/>
      </c>
      <c r="L734" s="26">
        <f>IF('ORDENES'!$A712="","",IF('ORDENES'!$M712="",0,'ORDENES'!$M712))</f>
        <v/>
      </c>
      <c r="M734" s="24">
        <f>IF('ORDENES'!$A712="","",IF('ORDENES'!$N712="","-",'ORDENES'!$N712))</f>
        <v/>
      </c>
      <c r="N734" s="24">
        <f>IF('ORDENES'!$A712="","",'ORDENES'!$AG712)</f>
        <v/>
      </c>
    </row>
    <row r="735">
      <c r="A735" s="24">
        <f>IF('ORDENES'!$A713="","",IF('ORDENES'!$O713="","-",'ORDENES'!$O713))</f>
        <v/>
      </c>
      <c r="B735" s="24">
        <f>IF('ORDENES'!$A713="","",IF('ORDENES'!$S713="","-",'ORDENES'!$S713))</f>
        <v/>
      </c>
      <c r="C735" s="24">
        <f>IF('ORDENES'!$A713="","",IF('ORDENES'!$AI713="","-",'ORDENES'!$AI713))</f>
        <v/>
      </c>
      <c r="D735" s="24">
        <f>IF('ORDENES'!$A713="","",IF('ORDENES'!$AA713="","-",'ORDENES'!$AA713))</f>
        <v/>
      </c>
      <c r="E735" s="24">
        <f>IF('ORDENES'!$A713="","",IF('ORDENES'!$Y713="","-",'ORDENES'!$Y713))</f>
        <v/>
      </c>
      <c r="F735" s="24">
        <f>IF('ORDENES'!$A713="","",IF('ORDENES'!$AB713="","-",'ORDENES'!$AB713))</f>
        <v/>
      </c>
      <c r="G735" s="24">
        <f>IF('ORDENES'!$A713="","",IF('ORDENES'!$Z713="","-",'ORDENES'!$Z713))</f>
        <v/>
      </c>
      <c r="H735" s="24">
        <f>IF('ORDENES'!$A713="","",IF('ORDENES'!$AH713="","-",'ORDENES'!$AH713))</f>
        <v/>
      </c>
      <c r="I735" s="24">
        <f>IF('ORDENES'!$A713="","",IF('ORDENES'!$AU713="","-",'ORDENES'!$AU713))</f>
        <v/>
      </c>
      <c r="J735" s="24">
        <f>IF('ORDENES'!$A713="","",IF('ORDENES'!$D713="","-",'ORDENES'!$D713))</f>
        <v/>
      </c>
      <c r="K735" s="24">
        <f>IF('ORDENES'!$A713="","",IF('ORDENES'!$E713="","-",'ORDENES'!$E713))</f>
        <v/>
      </c>
      <c r="L735" s="26">
        <f>IF('ORDENES'!$A713="","",IF('ORDENES'!$M713="",0,'ORDENES'!$M713))</f>
        <v/>
      </c>
      <c r="M735" s="24">
        <f>IF('ORDENES'!$A713="","",IF('ORDENES'!$N713="","-",'ORDENES'!$N713))</f>
        <v/>
      </c>
      <c r="N735" s="24">
        <f>IF('ORDENES'!$A713="","",'ORDENES'!$AG713)</f>
        <v/>
      </c>
    </row>
    <row r="736">
      <c r="A736" s="24">
        <f>IF('ORDENES'!$A714="","",IF('ORDENES'!$O714="","-",'ORDENES'!$O714))</f>
        <v/>
      </c>
      <c r="B736" s="24">
        <f>IF('ORDENES'!$A714="","",IF('ORDENES'!$S714="","-",'ORDENES'!$S714))</f>
        <v/>
      </c>
      <c r="C736" s="24">
        <f>IF('ORDENES'!$A714="","",IF('ORDENES'!$AI714="","-",'ORDENES'!$AI714))</f>
        <v/>
      </c>
      <c r="D736" s="24">
        <f>IF('ORDENES'!$A714="","",IF('ORDENES'!$AA714="","-",'ORDENES'!$AA714))</f>
        <v/>
      </c>
      <c r="E736" s="24">
        <f>IF('ORDENES'!$A714="","",IF('ORDENES'!$Y714="","-",'ORDENES'!$Y714))</f>
        <v/>
      </c>
      <c r="F736" s="24">
        <f>IF('ORDENES'!$A714="","",IF('ORDENES'!$AB714="","-",'ORDENES'!$AB714))</f>
        <v/>
      </c>
      <c r="G736" s="24">
        <f>IF('ORDENES'!$A714="","",IF('ORDENES'!$Z714="","-",'ORDENES'!$Z714))</f>
        <v/>
      </c>
      <c r="H736" s="24">
        <f>IF('ORDENES'!$A714="","",IF('ORDENES'!$AH714="","-",'ORDENES'!$AH714))</f>
        <v/>
      </c>
      <c r="I736" s="24">
        <f>IF('ORDENES'!$A714="","",IF('ORDENES'!$AU714="","-",'ORDENES'!$AU714))</f>
        <v/>
      </c>
      <c r="J736" s="24">
        <f>IF('ORDENES'!$A714="","",IF('ORDENES'!$D714="","-",'ORDENES'!$D714))</f>
        <v/>
      </c>
      <c r="K736" s="24">
        <f>IF('ORDENES'!$A714="","",IF('ORDENES'!$E714="","-",'ORDENES'!$E714))</f>
        <v/>
      </c>
      <c r="L736" s="26">
        <f>IF('ORDENES'!$A714="","",IF('ORDENES'!$M714="",0,'ORDENES'!$M714))</f>
        <v/>
      </c>
      <c r="M736" s="24">
        <f>IF('ORDENES'!$A714="","",IF('ORDENES'!$N714="","-",'ORDENES'!$N714))</f>
        <v/>
      </c>
      <c r="N736" s="24">
        <f>IF('ORDENES'!$A714="","",'ORDENES'!$AG714)</f>
        <v/>
      </c>
    </row>
    <row r="737">
      <c r="A737" s="24">
        <f>IF('ORDENES'!$A715="","",IF('ORDENES'!$O715="","-",'ORDENES'!$O715))</f>
        <v/>
      </c>
      <c r="B737" s="24">
        <f>IF('ORDENES'!$A715="","",IF('ORDENES'!$S715="","-",'ORDENES'!$S715))</f>
        <v/>
      </c>
      <c r="C737" s="24">
        <f>IF('ORDENES'!$A715="","",IF('ORDENES'!$AI715="","-",'ORDENES'!$AI715))</f>
        <v/>
      </c>
      <c r="D737" s="24">
        <f>IF('ORDENES'!$A715="","",IF('ORDENES'!$AA715="","-",'ORDENES'!$AA715))</f>
        <v/>
      </c>
      <c r="E737" s="24">
        <f>IF('ORDENES'!$A715="","",IF('ORDENES'!$Y715="","-",'ORDENES'!$Y715))</f>
        <v/>
      </c>
      <c r="F737" s="24">
        <f>IF('ORDENES'!$A715="","",IF('ORDENES'!$AB715="","-",'ORDENES'!$AB715))</f>
        <v/>
      </c>
      <c r="G737" s="24">
        <f>IF('ORDENES'!$A715="","",IF('ORDENES'!$Z715="","-",'ORDENES'!$Z715))</f>
        <v/>
      </c>
      <c r="H737" s="24">
        <f>IF('ORDENES'!$A715="","",IF('ORDENES'!$AH715="","-",'ORDENES'!$AH715))</f>
        <v/>
      </c>
      <c r="I737" s="24">
        <f>IF('ORDENES'!$A715="","",IF('ORDENES'!$AU715="","-",'ORDENES'!$AU715))</f>
        <v/>
      </c>
      <c r="J737" s="24">
        <f>IF('ORDENES'!$A715="","",IF('ORDENES'!$D715="","-",'ORDENES'!$D715))</f>
        <v/>
      </c>
      <c r="K737" s="24">
        <f>IF('ORDENES'!$A715="","",IF('ORDENES'!$E715="","-",'ORDENES'!$E715))</f>
        <v/>
      </c>
      <c r="L737" s="26">
        <f>IF('ORDENES'!$A715="","",IF('ORDENES'!$M715="",0,'ORDENES'!$M715))</f>
        <v/>
      </c>
      <c r="M737" s="24">
        <f>IF('ORDENES'!$A715="","",IF('ORDENES'!$N715="","-",'ORDENES'!$N715))</f>
        <v/>
      </c>
      <c r="N737" s="24">
        <f>IF('ORDENES'!$A715="","",'ORDENES'!$AG715)</f>
        <v/>
      </c>
    </row>
    <row r="738">
      <c r="A738" s="24">
        <f>IF('ORDENES'!$A716="","",IF('ORDENES'!$O716="","-",'ORDENES'!$O716))</f>
        <v/>
      </c>
      <c r="B738" s="24">
        <f>IF('ORDENES'!$A716="","",IF('ORDENES'!$S716="","-",'ORDENES'!$S716))</f>
        <v/>
      </c>
      <c r="C738" s="24">
        <f>IF('ORDENES'!$A716="","",IF('ORDENES'!$AI716="","-",'ORDENES'!$AI716))</f>
        <v/>
      </c>
      <c r="D738" s="24">
        <f>IF('ORDENES'!$A716="","",IF('ORDENES'!$AA716="","-",'ORDENES'!$AA716))</f>
        <v/>
      </c>
      <c r="E738" s="24">
        <f>IF('ORDENES'!$A716="","",IF('ORDENES'!$Y716="","-",'ORDENES'!$Y716))</f>
        <v/>
      </c>
      <c r="F738" s="24">
        <f>IF('ORDENES'!$A716="","",IF('ORDENES'!$AB716="","-",'ORDENES'!$AB716))</f>
        <v/>
      </c>
      <c r="G738" s="24">
        <f>IF('ORDENES'!$A716="","",IF('ORDENES'!$Z716="","-",'ORDENES'!$Z716))</f>
        <v/>
      </c>
      <c r="H738" s="24">
        <f>IF('ORDENES'!$A716="","",IF('ORDENES'!$AH716="","-",'ORDENES'!$AH716))</f>
        <v/>
      </c>
      <c r="I738" s="24">
        <f>IF('ORDENES'!$A716="","",IF('ORDENES'!$AU716="","-",'ORDENES'!$AU716))</f>
        <v/>
      </c>
      <c r="J738" s="24">
        <f>IF('ORDENES'!$A716="","",IF('ORDENES'!$D716="","-",'ORDENES'!$D716))</f>
        <v/>
      </c>
      <c r="K738" s="24">
        <f>IF('ORDENES'!$A716="","",IF('ORDENES'!$E716="","-",'ORDENES'!$E716))</f>
        <v/>
      </c>
      <c r="L738" s="26">
        <f>IF('ORDENES'!$A716="","",IF('ORDENES'!$M716="",0,'ORDENES'!$M716))</f>
        <v/>
      </c>
      <c r="M738" s="24">
        <f>IF('ORDENES'!$A716="","",IF('ORDENES'!$N716="","-",'ORDENES'!$N716))</f>
        <v/>
      </c>
      <c r="N738" s="24">
        <f>IF('ORDENES'!$A716="","",'ORDENES'!$AG716)</f>
        <v/>
      </c>
    </row>
    <row r="739">
      <c r="A739" s="24">
        <f>IF('ORDENES'!$A717="","",IF('ORDENES'!$O717="","-",'ORDENES'!$O717))</f>
        <v/>
      </c>
      <c r="B739" s="24">
        <f>IF('ORDENES'!$A717="","",IF('ORDENES'!$S717="","-",'ORDENES'!$S717))</f>
        <v/>
      </c>
      <c r="C739" s="24">
        <f>IF('ORDENES'!$A717="","",IF('ORDENES'!$AI717="","-",'ORDENES'!$AI717))</f>
        <v/>
      </c>
      <c r="D739" s="24">
        <f>IF('ORDENES'!$A717="","",IF('ORDENES'!$AA717="","-",'ORDENES'!$AA717))</f>
        <v/>
      </c>
      <c r="E739" s="24">
        <f>IF('ORDENES'!$A717="","",IF('ORDENES'!$Y717="","-",'ORDENES'!$Y717))</f>
        <v/>
      </c>
      <c r="F739" s="24">
        <f>IF('ORDENES'!$A717="","",IF('ORDENES'!$AB717="","-",'ORDENES'!$AB717))</f>
        <v/>
      </c>
      <c r="G739" s="24">
        <f>IF('ORDENES'!$A717="","",IF('ORDENES'!$Z717="","-",'ORDENES'!$Z717))</f>
        <v/>
      </c>
      <c r="H739" s="24">
        <f>IF('ORDENES'!$A717="","",IF('ORDENES'!$AH717="","-",'ORDENES'!$AH717))</f>
        <v/>
      </c>
      <c r="I739" s="24">
        <f>IF('ORDENES'!$A717="","",IF('ORDENES'!$AU717="","-",'ORDENES'!$AU717))</f>
        <v/>
      </c>
      <c r="J739" s="24">
        <f>IF('ORDENES'!$A717="","",IF('ORDENES'!$D717="","-",'ORDENES'!$D717))</f>
        <v/>
      </c>
      <c r="K739" s="24">
        <f>IF('ORDENES'!$A717="","",IF('ORDENES'!$E717="","-",'ORDENES'!$E717))</f>
        <v/>
      </c>
      <c r="L739" s="26">
        <f>IF('ORDENES'!$A717="","",IF('ORDENES'!$M717="",0,'ORDENES'!$M717))</f>
        <v/>
      </c>
      <c r="M739" s="24">
        <f>IF('ORDENES'!$A717="","",IF('ORDENES'!$N717="","-",'ORDENES'!$N717))</f>
        <v/>
      </c>
      <c r="N739" s="24">
        <f>IF('ORDENES'!$A717="","",'ORDENES'!$AG717)</f>
        <v/>
      </c>
    </row>
    <row r="740">
      <c r="A740" s="24">
        <f>IF('ORDENES'!$A718="","",IF('ORDENES'!$O718="","-",'ORDENES'!$O718))</f>
        <v/>
      </c>
      <c r="B740" s="24">
        <f>IF('ORDENES'!$A718="","",IF('ORDENES'!$S718="","-",'ORDENES'!$S718))</f>
        <v/>
      </c>
      <c r="C740" s="24">
        <f>IF('ORDENES'!$A718="","",IF('ORDENES'!$AI718="","-",'ORDENES'!$AI718))</f>
        <v/>
      </c>
      <c r="D740" s="24">
        <f>IF('ORDENES'!$A718="","",IF('ORDENES'!$AA718="","-",'ORDENES'!$AA718))</f>
        <v/>
      </c>
      <c r="E740" s="24">
        <f>IF('ORDENES'!$A718="","",IF('ORDENES'!$Y718="","-",'ORDENES'!$Y718))</f>
        <v/>
      </c>
      <c r="F740" s="24">
        <f>IF('ORDENES'!$A718="","",IF('ORDENES'!$AB718="","-",'ORDENES'!$AB718))</f>
        <v/>
      </c>
      <c r="G740" s="24">
        <f>IF('ORDENES'!$A718="","",IF('ORDENES'!$Z718="","-",'ORDENES'!$Z718))</f>
        <v/>
      </c>
      <c r="H740" s="24">
        <f>IF('ORDENES'!$A718="","",IF('ORDENES'!$AH718="","-",'ORDENES'!$AH718))</f>
        <v/>
      </c>
      <c r="I740" s="24">
        <f>IF('ORDENES'!$A718="","",IF('ORDENES'!$AU718="","-",'ORDENES'!$AU718))</f>
        <v/>
      </c>
      <c r="J740" s="24">
        <f>IF('ORDENES'!$A718="","",IF('ORDENES'!$D718="","-",'ORDENES'!$D718))</f>
        <v/>
      </c>
      <c r="K740" s="24">
        <f>IF('ORDENES'!$A718="","",IF('ORDENES'!$E718="","-",'ORDENES'!$E718))</f>
        <v/>
      </c>
      <c r="L740" s="26">
        <f>IF('ORDENES'!$A718="","",IF('ORDENES'!$M718="",0,'ORDENES'!$M718))</f>
        <v/>
      </c>
      <c r="M740" s="24">
        <f>IF('ORDENES'!$A718="","",IF('ORDENES'!$N718="","-",'ORDENES'!$N718))</f>
        <v/>
      </c>
      <c r="N740" s="24">
        <f>IF('ORDENES'!$A718="","",'ORDENES'!$AG718)</f>
        <v/>
      </c>
    </row>
    <row r="741">
      <c r="A741" s="24">
        <f>IF('ORDENES'!$A719="","",IF('ORDENES'!$O719="","-",'ORDENES'!$O719))</f>
        <v/>
      </c>
      <c r="B741" s="24">
        <f>IF('ORDENES'!$A719="","",IF('ORDENES'!$S719="","-",'ORDENES'!$S719))</f>
        <v/>
      </c>
      <c r="C741" s="24">
        <f>IF('ORDENES'!$A719="","",IF('ORDENES'!$AI719="","-",'ORDENES'!$AI719))</f>
        <v/>
      </c>
      <c r="D741" s="24">
        <f>IF('ORDENES'!$A719="","",IF('ORDENES'!$AA719="","-",'ORDENES'!$AA719))</f>
        <v/>
      </c>
      <c r="E741" s="24">
        <f>IF('ORDENES'!$A719="","",IF('ORDENES'!$Y719="","-",'ORDENES'!$Y719))</f>
        <v/>
      </c>
      <c r="F741" s="24">
        <f>IF('ORDENES'!$A719="","",IF('ORDENES'!$AB719="","-",'ORDENES'!$AB719))</f>
        <v/>
      </c>
      <c r="G741" s="24">
        <f>IF('ORDENES'!$A719="","",IF('ORDENES'!$Z719="","-",'ORDENES'!$Z719))</f>
        <v/>
      </c>
      <c r="H741" s="24">
        <f>IF('ORDENES'!$A719="","",IF('ORDENES'!$AH719="","-",'ORDENES'!$AH719))</f>
        <v/>
      </c>
      <c r="I741" s="24">
        <f>IF('ORDENES'!$A719="","",IF('ORDENES'!$AU719="","-",'ORDENES'!$AU719))</f>
        <v/>
      </c>
      <c r="J741" s="24">
        <f>IF('ORDENES'!$A719="","",IF('ORDENES'!$D719="","-",'ORDENES'!$D719))</f>
        <v/>
      </c>
      <c r="K741" s="24">
        <f>IF('ORDENES'!$A719="","",IF('ORDENES'!$E719="","-",'ORDENES'!$E719))</f>
        <v/>
      </c>
      <c r="L741" s="26">
        <f>IF('ORDENES'!$A719="","",IF('ORDENES'!$M719="",0,'ORDENES'!$M719))</f>
        <v/>
      </c>
      <c r="M741" s="24">
        <f>IF('ORDENES'!$A719="","",IF('ORDENES'!$N719="","-",'ORDENES'!$N719))</f>
        <v/>
      </c>
      <c r="N741" s="24">
        <f>IF('ORDENES'!$A719="","",'ORDENES'!$AG719)</f>
        <v/>
      </c>
    </row>
    <row r="742">
      <c r="A742" s="24">
        <f>IF('ORDENES'!$A720="","",IF('ORDENES'!$O720="","-",'ORDENES'!$O720))</f>
        <v/>
      </c>
      <c r="B742" s="24">
        <f>IF('ORDENES'!$A720="","",IF('ORDENES'!$S720="","-",'ORDENES'!$S720))</f>
        <v/>
      </c>
      <c r="C742" s="24">
        <f>IF('ORDENES'!$A720="","",IF('ORDENES'!$AI720="","-",'ORDENES'!$AI720))</f>
        <v/>
      </c>
      <c r="D742" s="24">
        <f>IF('ORDENES'!$A720="","",IF('ORDENES'!$AA720="","-",'ORDENES'!$AA720))</f>
        <v/>
      </c>
      <c r="E742" s="24">
        <f>IF('ORDENES'!$A720="","",IF('ORDENES'!$Y720="","-",'ORDENES'!$Y720))</f>
        <v/>
      </c>
      <c r="F742" s="24">
        <f>IF('ORDENES'!$A720="","",IF('ORDENES'!$AB720="","-",'ORDENES'!$AB720))</f>
        <v/>
      </c>
      <c r="G742" s="24">
        <f>IF('ORDENES'!$A720="","",IF('ORDENES'!$Z720="","-",'ORDENES'!$Z720))</f>
        <v/>
      </c>
      <c r="H742" s="24">
        <f>IF('ORDENES'!$A720="","",IF('ORDENES'!$AH720="","-",'ORDENES'!$AH720))</f>
        <v/>
      </c>
      <c r="I742" s="24">
        <f>IF('ORDENES'!$A720="","",IF('ORDENES'!$AU720="","-",'ORDENES'!$AU720))</f>
        <v/>
      </c>
      <c r="J742" s="24">
        <f>IF('ORDENES'!$A720="","",IF('ORDENES'!$D720="","-",'ORDENES'!$D720))</f>
        <v/>
      </c>
      <c r="K742" s="24">
        <f>IF('ORDENES'!$A720="","",IF('ORDENES'!$E720="","-",'ORDENES'!$E720))</f>
        <v/>
      </c>
      <c r="L742" s="26">
        <f>IF('ORDENES'!$A720="","",IF('ORDENES'!$M720="",0,'ORDENES'!$M720))</f>
        <v/>
      </c>
      <c r="M742" s="24">
        <f>IF('ORDENES'!$A720="","",IF('ORDENES'!$N720="","-",'ORDENES'!$N720))</f>
        <v/>
      </c>
      <c r="N742" s="24">
        <f>IF('ORDENES'!$A720="","",'ORDENES'!$AG720)</f>
        <v/>
      </c>
    </row>
    <row r="743">
      <c r="A743" s="24">
        <f>IF('ORDENES'!$A721="","",IF('ORDENES'!$O721="","-",'ORDENES'!$O721))</f>
        <v/>
      </c>
      <c r="B743" s="24">
        <f>IF('ORDENES'!$A721="","",IF('ORDENES'!$S721="","-",'ORDENES'!$S721))</f>
        <v/>
      </c>
      <c r="C743" s="24">
        <f>IF('ORDENES'!$A721="","",IF('ORDENES'!$AI721="","-",'ORDENES'!$AI721))</f>
        <v/>
      </c>
      <c r="D743" s="24">
        <f>IF('ORDENES'!$A721="","",IF('ORDENES'!$AA721="","-",'ORDENES'!$AA721))</f>
        <v/>
      </c>
      <c r="E743" s="24">
        <f>IF('ORDENES'!$A721="","",IF('ORDENES'!$Y721="","-",'ORDENES'!$Y721))</f>
        <v/>
      </c>
      <c r="F743" s="24">
        <f>IF('ORDENES'!$A721="","",IF('ORDENES'!$AB721="","-",'ORDENES'!$AB721))</f>
        <v/>
      </c>
      <c r="G743" s="24">
        <f>IF('ORDENES'!$A721="","",IF('ORDENES'!$Z721="","-",'ORDENES'!$Z721))</f>
        <v/>
      </c>
      <c r="H743" s="24">
        <f>IF('ORDENES'!$A721="","",IF('ORDENES'!$AH721="","-",'ORDENES'!$AH721))</f>
        <v/>
      </c>
      <c r="I743" s="24">
        <f>IF('ORDENES'!$A721="","",IF('ORDENES'!$AU721="","-",'ORDENES'!$AU721))</f>
        <v/>
      </c>
      <c r="J743" s="24">
        <f>IF('ORDENES'!$A721="","",IF('ORDENES'!$D721="","-",'ORDENES'!$D721))</f>
        <v/>
      </c>
      <c r="K743" s="24">
        <f>IF('ORDENES'!$A721="","",IF('ORDENES'!$E721="","-",'ORDENES'!$E721))</f>
        <v/>
      </c>
      <c r="L743" s="26">
        <f>IF('ORDENES'!$A721="","",IF('ORDENES'!$M721="",0,'ORDENES'!$M721))</f>
        <v/>
      </c>
      <c r="M743" s="24">
        <f>IF('ORDENES'!$A721="","",IF('ORDENES'!$N721="","-",'ORDENES'!$N721))</f>
        <v/>
      </c>
      <c r="N743" s="24">
        <f>IF('ORDENES'!$A721="","",'ORDENES'!$AG721)</f>
        <v/>
      </c>
    </row>
    <row r="744">
      <c r="A744" s="24">
        <f>IF('ORDENES'!$A722="","",IF('ORDENES'!$O722="","-",'ORDENES'!$O722))</f>
        <v/>
      </c>
      <c r="B744" s="24">
        <f>IF('ORDENES'!$A722="","",IF('ORDENES'!$S722="","-",'ORDENES'!$S722))</f>
        <v/>
      </c>
      <c r="C744" s="24">
        <f>IF('ORDENES'!$A722="","",IF('ORDENES'!$AI722="","-",'ORDENES'!$AI722))</f>
        <v/>
      </c>
      <c r="D744" s="24">
        <f>IF('ORDENES'!$A722="","",IF('ORDENES'!$AA722="","-",'ORDENES'!$AA722))</f>
        <v/>
      </c>
      <c r="E744" s="24">
        <f>IF('ORDENES'!$A722="","",IF('ORDENES'!$Y722="","-",'ORDENES'!$Y722))</f>
        <v/>
      </c>
      <c r="F744" s="24">
        <f>IF('ORDENES'!$A722="","",IF('ORDENES'!$AB722="","-",'ORDENES'!$AB722))</f>
        <v/>
      </c>
      <c r="G744" s="24">
        <f>IF('ORDENES'!$A722="","",IF('ORDENES'!$Z722="","-",'ORDENES'!$Z722))</f>
        <v/>
      </c>
      <c r="H744" s="24">
        <f>IF('ORDENES'!$A722="","",IF('ORDENES'!$AH722="","-",'ORDENES'!$AH722))</f>
        <v/>
      </c>
      <c r="I744" s="24">
        <f>IF('ORDENES'!$A722="","",IF('ORDENES'!$AU722="","-",'ORDENES'!$AU722))</f>
        <v/>
      </c>
      <c r="J744" s="24">
        <f>IF('ORDENES'!$A722="","",IF('ORDENES'!$D722="","-",'ORDENES'!$D722))</f>
        <v/>
      </c>
      <c r="K744" s="24">
        <f>IF('ORDENES'!$A722="","",IF('ORDENES'!$E722="","-",'ORDENES'!$E722))</f>
        <v/>
      </c>
      <c r="L744" s="26">
        <f>IF('ORDENES'!$A722="","",IF('ORDENES'!$M722="",0,'ORDENES'!$M722))</f>
        <v/>
      </c>
      <c r="M744" s="24">
        <f>IF('ORDENES'!$A722="","",IF('ORDENES'!$N722="","-",'ORDENES'!$N722))</f>
        <v/>
      </c>
      <c r="N744" s="24">
        <f>IF('ORDENES'!$A722="","",'ORDENES'!$AG722)</f>
        <v/>
      </c>
    </row>
    <row r="745">
      <c r="A745" s="24">
        <f>IF('ORDENES'!$A723="","",IF('ORDENES'!$O723="","-",'ORDENES'!$O723))</f>
        <v/>
      </c>
      <c r="B745" s="24">
        <f>IF('ORDENES'!$A723="","",IF('ORDENES'!$S723="","-",'ORDENES'!$S723))</f>
        <v/>
      </c>
      <c r="C745" s="24">
        <f>IF('ORDENES'!$A723="","",IF('ORDENES'!$AI723="","-",'ORDENES'!$AI723))</f>
        <v/>
      </c>
      <c r="D745" s="24">
        <f>IF('ORDENES'!$A723="","",IF('ORDENES'!$AA723="","-",'ORDENES'!$AA723))</f>
        <v/>
      </c>
      <c r="E745" s="24">
        <f>IF('ORDENES'!$A723="","",IF('ORDENES'!$Y723="","-",'ORDENES'!$Y723))</f>
        <v/>
      </c>
      <c r="F745" s="24">
        <f>IF('ORDENES'!$A723="","",IF('ORDENES'!$AB723="","-",'ORDENES'!$AB723))</f>
        <v/>
      </c>
      <c r="G745" s="24">
        <f>IF('ORDENES'!$A723="","",IF('ORDENES'!$Z723="","-",'ORDENES'!$Z723))</f>
        <v/>
      </c>
      <c r="H745" s="24">
        <f>IF('ORDENES'!$A723="","",IF('ORDENES'!$AH723="","-",'ORDENES'!$AH723))</f>
        <v/>
      </c>
      <c r="I745" s="24">
        <f>IF('ORDENES'!$A723="","",IF('ORDENES'!$AU723="","-",'ORDENES'!$AU723))</f>
        <v/>
      </c>
      <c r="J745" s="24">
        <f>IF('ORDENES'!$A723="","",IF('ORDENES'!$D723="","-",'ORDENES'!$D723))</f>
        <v/>
      </c>
      <c r="K745" s="24">
        <f>IF('ORDENES'!$A723="","",IF('ORDENES'!$E723="","-",'ORDENES'!$E723))</f>
        <v/>
      </c>
      <c r="L745" s="26">
        <f>IF('ORDENES'!$A723="","",IF('ORDENES'!$M723="",0,'ORDENES'!$M723))</f>
        <v/>
      </c>
      <c r="M745" s="24">
        <f>IF('ORDENES'!$A723="","",IF('ORDENES'!$N723="","-",'ORDENES'!$N723))</f>
        <v/>
      </c>
      <c r="N745" s="24">
        <f>IF('ORDENES'!$A723="","",'ORDENES'!$AG723)</f>
        <v/>
      </c>
    </row>
    <row r="746">
      <c r="A746" s="24">
        <f>IF('ORDENES'!$A724="","",IF('ORDENES'!$O724="","-",'ORDENES'!$O724))</f>
        <v/>
      </c>
      <c r="B746" s="24">
        <f>IF('ORDENES'!$A724="","",IF('ORDENES'!$S724="","-",'ORDENES'!$S724))</f>
        <v/>
      </c>
      <c r="C746" s="24">
        <f>IF('ORDENES'!$A724="","",IF('ORDENES'!$AI724="","-",'ORDENES'!$AI724))</f>
        <v/>
      </c>
      <c r="D746" s="24">
        <f>IF('ORDENES'!$A724="","",IF('ORDENES'!$AA724="","-",'ORDENES'!$AA724))</f>
        <v/>
      </c>
      <c r="E746" s="24">
        <f>IF('ORDENES'!$A724="","",IF('ORDENES'!$Y724="","-",'ORDENES'!$Y724))</f>
        <v/>
      </c>
      <c r="F746" s="24">
        <f>IF('ORDENES'!$A724="","",IF('ORDENES'!$AB724="","-",'ORDENES'!$AB724))</f>
        <v/>
      </c>
      <c r="G746" s="24">
        <f>IF('ORDENES'!$A724="","",IF('ORDENES'!$Z724="","-",'ORDENES'!$Z724))</f>
        <v/>
      </c>
      <c r="H746" s="24">
        <f>IF('ORDENES'!$A724="","",IF('ORDENES'!$AH724="","-",'ORDENES'!$AH724))</f>
        <v/>
      </c>
      <c r="I746" s="24">
        <f>IF('ORDENES'!$A724="","",IF('ORDENES'!$AU724="","-",'ORDENES'!$AU724))</f>
        <v/>
      </c>
      <c r="J746" s="24">
        <f>IF('ORDENES'!$A724="","",IF('ORDENES'!$D724="","-",'ORDENES'!$D724))</f>
        <v/>
      </c>
      <c r="K746" s="24">
        <f>IF('ORDENES'!$A724="","",IF('ORDENES'!$E724="","-",'ORDENES'!$E724))</f>
        <v/>
      </c>
      <c r="L746" s="26">
        <f>IF('ORDENES'!$A724="","",IF('ORDENES'!$M724="",0,'ORDENES'!$M724))</f>
        <v/>
      </c>
      <c r="M746" s="24">
        <f>IF('ORDENES'!$A724="","",IF('ORDENES'!$N724="","-",'ORDENES'!$N724))</f>
        <v/>
      </c>
      <c r="N746" s="24">
        <f>IF('ORDENES'!$A724="","",'ORDENES'!$AG724)</f>
        <v/>
      </c>
    </row>
    <row r="747">
      <c r="A747" s="24">
        <f>IF('ORDENES'!$A725="","",IF('ORDENES'!$O725="","-",'ORDENES'!$O725))</f>
        <v/>
      </c>
      <c r="B747" s="24">
        <f>IF('ORDENES'!$A725="","",IF('ORDENES'!$S725="","-",'ORDENES'!$S725))</f>
        <v/>
      </c>
      <c r="C747" s="24">
        <f>IF('ORDENES'!$A725="","",IF('ORDENES'!$AI725="","-",'ORDENES'!$AI725))</f>
        <v/>
      </c>
      <c r="D747" s="24">
        <f>IF('ORDENES'!$A725="","",IF('ORDENES'!$AA725="","-",'ORDENES'!$AA725))</f>
        <v/>
      </c>
      <c r="E747" s="24">
        <f>IF('ORDENES'!$A725="","",IF('ORDENES'!$Y725="","-",'ORDENES'!$Y725))</f>
        <v/>
      </c>
      <c r="F747" s="24">
        <f>IF('ORDENES'!$A725="","",IF('ORDENES'!$AB725="","-",'ORDENES'!$AB725))</f>
        <v/>
      </c>
      <c r="G747" s="24">
        <f>IF('ORDENES'!$A725="","",IF('ORDENES'!$Z725="","-",'ORDENES'!$Z725))</f>
        <v/>
      </c>
      <c r="H747" s="24">
        <f>IF('ORDENES'!$A725="","",IF('ORDENES'!$AH725="","-",'ORDENES'!$AH725))</f>
        <v/>
      </c>
      <c r="I747" s="24">
        <f>IF('ORDENES'!$A725="","",IF('ORDENES'!$AU725="","-",'ORDENES'!$AU725))</f>
        <v/>
      </c>
      <c r="J747" s="24">
        <f>IF('ORDENES'!$A725="","",IF('ORDENES'!$D725="","-",'ORDENES'!$D725))</f>
        <v/>
      </c>
      <c r="K747" s="24">
        <f>IF('ORDENES'!$A725="","",IF('ORDENES'!$E725="","-",'ORDENES'!$E725))</f>
        <v/>
      </c>
      <c r="L747" s="26">
        <f>IF('ORDENES'!$A725="","",IF('ORDENES'!$M725="",0,'ORDENES'!$M725))</f>
        <v/>
      </c>
      <c r="M747" s="24">
        <f>IF('ORDENES'!$A725="","",IF('ORDENES'!$N725="","-",'ORDENES'!$N725))</f>
        <v/>
      </c>
      <c r="N747" s="24">
        <f>IF('ORDENES'!$A725="","",'ORDENES'!$AG725)</f>
        <v/>
      </c>
    </row>
    <row r="748">
      <c r="A748" s="24">
        <f>IF('ORDENES'!$A726="","",IF('ORDENES'!$O726="","-",'ORDENES'!$O726))</f>
        <v/>
      </c>
      <c r="B748" s="24">
        <f>IF('ORDENES'!$A726="","",IF('ORDENES'!$S726="","-",'ORDENES'!$S726))</f>
        <v/>
      </c>
      <c r="C748" s="24">
        <f>IF('ORDENES'!$A726="","",IF('ORDENES'!$AI726="","-",'ORDENES'!$AI726))</f>
        <v/>
      </c>
      <c r="D748" s="24">
        <f>IF('ORDENES'!$A726="","",IF('ORDENES'!$AA726="","-",'ORDENES'!$AA726))</f>
        <v/>
      </c>
      <c r="E748" s="24">
        <f>IF('ORDENES'!$A726="","",IF('ORDENES'!$Y726="","-",'ORDENES'!$Y726))</f>
        <v/>
      </c>
      <c r="F748" s="24">
        <f>IF('ORDENES'!$A726="","",IF('ORDENES'!$AB726="","-",'ORDENES'!$AB726))</f>
        <v/>
      </c>
      <c r="G748" s="24">
        <f>IF('ORDENES'!$A726="","",IF('ORDENES'!$Z726="","-",'ORDENES'!$Z726))</f>
        <v/>
      </c>
      <c r="H748" s="24">
        <f>IF('ORDENES'!$A726="","",IF('ORDENES'!$AH726="","-",'ORDENES'!$AH726))</f>
        <v/>
      </c>
      <c r="I748" s="24">
        <f>IF('ORDENES'!$A726="","",IF('ORDENES'!$AU726="","-",'ORDENES'!$AU726))</f>
        <v/>
      </c>
      <c r="J748" s="24">
        <f>IF('ORDENES'!$A726="","",IF('ORDENES'!$D726="","-",'ORDENES'!$D726))</f>
        <v/>
      </c>
      <c r="K748" s="24">
        <f>IF('ORDENES'!$A726="","",IF('ORDENES'!$E726="","-",'ORDENES'!$E726))</f>
        <v/>
      </c>
      <c r="L748" s="26">
        <f>IF('ORDENES'!$A726="","",IF('ORDENES'!$M726="",0,'ORDENES'!$M726))</f>
        <v/>
      </c>
      <c r="M748" s="24">
        <f>IF('ORDENES'!$A726="","",IF('ORDENES'!$N726="","-",'ORDENES'!$N726))</f>
        <v/>
      </c>
      <c r="N748" s="24">
        <f>IF('ORDENES'!$A726="","",'ORDENES'!$AG726)</f>
        <v/>
      </c>
    </row>
    <row r="749">
      <c r="A749" s="24">
        <f>IF('ORDENES'!$A727="","",IF('ORDENES'!$O727="","-",'ORDENES'!$O727))</f>
        <v/>
      </c>
      <c r="B749" s="24">
        <f>IF('ORDENES'!$A727="","",IF('ORDENES'!$S727="","-",'ORDENES'!$S727))</f>
        <v/>
      </c>
      <c r="C749" s="24">
        <f>IF('ORDENES'!$A727="","",IF('ORDENES'!$AI727="","-",'ORDENES'!$AI727))</f>
        <v/>
      </c>
      <c r="D749" s="24">
        <f>IF('ORDENES'!$A727="","",IF('ORDENES'!$AA727="","-",'ORDENES'!$AA727))</f>
        <v/>
      </c>
      <c r="E749" s="24">
        <f>IF('ORDENES'!$A727="","",IF('ORDENES'!$Y727="","-",'ORDENES'!$Y727))</f>
        <v/>
      </c>
      <c r="F749" s="24">
        <f>IF('ORDENES'!$A727="","",IF('ORDENES'!$AB727="","-",'ORDENES'!$AB727))</f>
        <v/>
      </c>
      <c r="G749" s="24">
        <f>IF('ORDENES'!$A727="","",IF('ORDENES'!$Z727="","-",'ORDENES'!$Z727))</f>
        <v/>
      </c>
      <c r="H749" s="24">
        <f>IF('ORDENES'!$A727="","",IF('ORDENES'!$AH727="","-",'ORDENES'!$AH727))</f>
        <v/>
      </c>
      <c r="I749" s="24">
        <f>IF('ORDENES'!$A727="","",IF('ORDENES'!$AU727="","-",'ORDENES'!$AU727))</f>
        <v/>
      </c>
      <c r="J749" s="24">
        <f>IF('ORDENES'!$A727="","",IF('ORDENES'!$D727="","-",'ORDENES'!$D727))</f>
        <v/>
      </c>
      <c r="K749" s="24">
        <f>IF('ORDENES'!$A727="","",IF('ORDENES'!$E727="","-",'ORDENES'!$E727))</f>
        <v/>
      </c>
      <c r="L749" s="26">
        <f>IF('ORDENES'!$A727="","",IF('ORDENES'!$M727="",0,'ORDENES'!$M727))</f>
        <v/>
      </c>
      <c r="M749" s="24">
        <f>IF('ORDENES'!$A727="","",IF('ORDENES'!$N727="","-",'ORDENES'!$N727))</f>
        <v/>
      </c>
      <c r="N749" s="24">
        <f>IF('ORDENES'!$A727="","",'ORDENES'!$AG727)</f>
        <v/>
      </c>
    </row>
    <row r="750">
      <c r="A750" s="24">
        <f>IF('ORDENES'!$A728="","",IF('ORDENES'!$O728="","-",'ORDENES'!$O728))</f>
        <v/>
      </c>
      <c r="B750" s="24">
        <f>IF('ORDENES'!$A728="","",IF('ORDENES'!$S728="","-",'ORDENES'!$S728))</f>
        <v/>
      </c>
      <c r="C750" s="24">
        <f>IF('ORDENES'!$A728="","",IF('ORDENES'!$AI728="","-",'ORDENES'!$AI728))</f>
        <v/>
      </c>
      <c r="D750" s="24">
        <f>IF('ORDENES'!$A728="","",IF('ORDENES'!$AA728="","-",'ORDENES'!$AA728))</f>
        <v/>
      </c>
      <c r="E750" s="24">
        <f>IF('ORDENES'!$A728="","",IF('ORDENES'!$Y728="","-",'ORDENES'!$Y728))</f>
        <v/>
      </c>
      <c r="F750" s="24">
        <f>IF('ORDENES'!$A728="","",IF('ORDENES'!$AB728="","-",'ORDENES'!$AB728))</f>
        <v/>
      </c>
      <c r="G750" s="24">
        <f>IF('ORDENES'!$A728="","",IF('ORDENES'!$Z728="","-",'ORDENES'!$Z728))</f>
        <v/>
      </c>
      <c r="H750" s="24">
        <f>IF('ORDENES'!$A728="","",IF('ORDENES'!$AH728="","-",'ORDENES'!$AH728))</f>
        <v/>
      </c>
      <c r="I750" s="24">
        <f>IF('ORDENES'!$A728="","",IF('ORDENES'!$AU728="","-",'ORDENES'!$AU728))</f>
        <v/>
      </c>
      <c r="J750" s="24">
        <f>IF('ORDENES'!$A728="","",IF('ORDENES'!$D728="","-",'ORDENES'!$D728))</f>
        <v/>
      </c>
      <c r="K750" s="24">
        <f>IF('ORDENES'!$A728="","",IF('ORDENES'!$E728="","-",'ORDENES'!$E728))</f>
        <v/>
      </c>
      <c r="L750" s="26">
        <f>IF('ORDENES'!$A728="","",IF('ORDENES'!$M728="",0,'ORDENES'!$M728))</f>
        <v/>
      </c>
      <c r="M750" s="24">
        <f>IF('ORDENES'!$A728="","",IF('ORDENES'!$N728="","-",'ORDENES'!$N728))</f>
        <v/>
      </c>
      <c r="N750" s="24">
        <f>IF('ORDENES'!$A728="","",'ORDENES'!$AG728)</f>
        <v/>
      </c>
    </row>
    <row r="751">
      <c r="A751" s="24">
        <f>IF('ORDENES'!$A729="","",IF('ORDENES'!$O729="","-",'ORDENES'!$O729))</f>
        <v/>
      </c>
      <c r="B751" s="24">
        <f>IF('ORDENES'!$A729="","",IF('ORDENES'!$S729="","-",'ORDENES'!$S729))</f>
        <v/>
      </c>
      <c r="C751" s="24">
        <f>IF('ORDENES'!$A729="","",IF('ORDENES'!$AI729="","-",'ORDENES'!$AI729))</f>
        <v/>
      </c>
      <c r="D751" s="24">
        <f>IF('ORDENES'!$A729="","",IF('ORDENES'!$AA729="","-",'ORDENES'!$AA729))</f>
        <v/>
      </c>
      <c r="E751" s="24">
        <f>IF('ORDENES'!$A729="","",IF('ORDENES'!$Y729="","-",'ORDENES'!$Y729))</f>
        <v/>
      </c>
      <c r="F751" s="24">
        <f>IF('ORDENES'!$A729="","",IF('ORDENES'!$AB729="","-",'ORDENES'!$AB729))</f>
        <v/>
      </c>
      <c r="G751" s="24">
        <f>IF('ORDENES'!$A729="","",IF('ORDENES'!$Z729="","-",'ORDENES'!$Z729))</f>
        <v/>
      </c>
      <c r="H751" s="24">
        <f>IF('ORDENES'!$A729="","",IF('ORDENES'!$AH729="","-",'ORDENES'!$AH729))</f>
        <v/>
      </c>
      <c r="I751" s="24">
        <f>IF('ORDENES'!$A729="","",IF('ORDENES'!$AU729="","-",'ORDENES'!$AU729))</f>
        <v/>
      </c>
      <c r="J751" s="24">
        <f>IF('ORDENES'!$A729="","",IF('ORDENES'!$D729="","-",'ORDENES'!$D729))</f>
        <v/>
      </c>
      <c r="K751" s="24">
        <f>IF('ORDENES'!$A729="","",IF('ORDENES'!$E729="","-",'ORDENES'!$E729))</f>
        <v/>
      </c>
      <c r="L751" s="26">
        <f>IF('ORDENES'!$A729="","",IF('ORDENES'!$M729="",0,'ORDENES'!$M729))</f>
        <v/>
      </c>
      <c r="M751" s="24">
        <f>IF('ORDENES'!$A729="","",IF('ORDENES'!$N729="","-",'ORDENES'!$N729))</f>
        <v/>
      </c>
      <c r="N751" s="24">
        <f>IF('ORDENES'!$A729="","",'ORDENES'!$AG729)</f>
        <v/>
      </c>
    </row>
    <row r="752">
      <c r="A752" s="24">
        <f>IF('ORDENES'!$A730="","",IF('ORDENES'!$O730="","-",'ORDENES'!$O730))</f>
        <v/>
      </c>
      <c r="B752" s="24">
        <f>IF('ORDENES'!$A730="","",IF('ORDENES'!$S730="","-",'ORDENES'!$S730))</f>
        <v/>
      </c>
      <c r="C752" s="24">
        <f>IF('ORDENES'!$A730="","",IF('ORDENES'!$AI730="","-",'ORDENES'!$AI730))</f>
        <v/>
      </c>
      <c r="D752" s="24">
        <f>IF('ORDENES'!$A730="","",IF('ORDENES'!$AA730="","-",'ORDENES'!$AA730))</f>
        <v/>
      </c>
      <c r="E752" s="24">
        <f>IF('ORDENES'!$A730="","",IF('ORDENES'!$Y730="","-",'ORDENES'!$Y730))</f>
        <v/>
      </c>
      <c r="F752" s="24">
        <f>IF('ORDENES'!$A730="","",IF('ORDENES'!$AB730="","-",'ORDENES'!$AB730))</f>
        <v/>
      </c>
      <c r="G752" s="24">
        <f>IF('ORDENES'!$A730="","",IF('ORDENES'!$Z730="","-",'ORDENES'!$Z730))</f>
        <v/>
      </c>
      <c r="H752" s="24">
        <f>IF('ORDENES'!$A730="","",IF('ORDENES'!$AH730="","-",'ORDENES'!$AH730))</f>
        <v/>
      </c>
      <c r="I752" s="24">
        <f>IF('ORDENES'!$A730="","",IF('ORDENES'!$AU730="","-",'ORDENES'!$AU730))</f>
        <v/>
      </c>
      <c r="J752" s="24">
        <f>IF('ORDENES'!$A730="","",IF('ORDENES'!$D730="","-",'ORDENES'!$D730))</f>
        <v/>
      </c>
      <c r="K752" s="24">
        <f>IF('ORDENES'!$A730="","",IF('ORDENES'!$E730="","-",'ORDENES'!$E730))</f>
        <v/>
      </c>
      <c r="L752" s="26">
        <f>IF('ORDENES'!$A730="","",IF('ORDENES'!$M730="",0,'ORDENES'!$M730))</f>
        <v/>
      </c>
      <c r="M752" s="24">
        <f>IF('ORDENES'!$A730="","",IF('ORDENES'!$N730="","-",'ORDENES'!$N730))</f>
        <v/>
      </c>
      <c r="N752" s="24">
        <f>IF('ORDENES'!$A730="","",'ORDENES'!$AG730)</f>
        <v/>
      </c>
    </row>
    <row r="753">
      <c r="A753" s="24">
        <f>IF('ORDENES'!$A731="","",IF('ORDENES'!$O731="","-",'ORDENES'!$O731))</f>
        <v/>
      </c>
      <c r="B753" s="24">
        <f>IF('ORDENES'!$A731="","",IF('ORDENES'!$S731="","-",'ORDENES'!$S731))</f>
        <v/>
      </c>
      <c r="C753" s="24">
        <f>IF('ORDENES'!$A731="","",IF('ORDENES'!$AI731="","-",'ORDENES'!$AI731))</f>
        <v/>
      </c>
      <c r="D753" s="24">
        <f>IF('ORDENES'!$A731="","",IF('ORDENES'!$AA731="","-",'ORDENES'!$AA731))</f>
        <v/>
      </c>
      <c r="E753" s="24">
        <f>IF('ORDENES'!$A731="","",IF('ORDENES'!$Y731="","-",'ORDENES'!$Y731))</f>
        <v/>
      </c>
      <c r="F753" s="24">
        <f>IF('ORDENES'!$A731="","",IF('ORDENES'!$AB731="","-",'ORDENES'!$AB731))</f>
        <v/>
      </c>
      <c r="G753" s="24">
        <f>IF('ORDENES'!$A731="","",IF('ORDENES'!$Z731="","-",'ORDENES'!$Z731))</f>
        <v/>
      </c>
      <c r="H753" s="24">
        <f>IF('ORDENES'!$A731="","",IF('ORDENES'!$AH731="","-",'ORDENES'!$AH731))</f>
        <v/>
      </c>
      <c r="I753" s="24">
        <f>IF('ORDENES'!$A731="","",IF('ORDENES'!$AU731="","-",'ORDENES'!$AU731))</f>
        <v/>
      </c>
      <c r="J753" s="24">
        <f>IF('ORDENES'!$A731="","",IF('ORDENES'!$D731="","-",'ORDENES'!$D731))</f>
        <v/>
      </c>
      <c r="K753" s="24">
        <f>IF('ORDENES'!$A731="","",IF('ORDENES'!$E731="","-",'ORDENES'!$E731))</f>
        <v/>
      </c>
      <c r="L753" s="26">
        <f>IF('ORDENES'!$A731="","",IF('ORDENES'!$M731="",0,'ORDENES'!$M731))</f>
        <v/>
      </c>
      <c r="M753" s="24">
        <f>IF('ORDENES'!$A731="","",IF('ORDENES'!$N731="","-",'ORDENES'!$N731))</f>
        <v/>
      </c>
      <c r="N753" s="24">
        <f>IF('ORDENES'!$A731="","",'ORDENES'!$AG731)</f>
        <v/>
      </c>
    </row>
    <row r="754">
      <c r="A754" s="24">
        <f>IF('ORDENES'!$A732="","",IF('ORDENES'!$O732="","-",'ORDENES'!$O732))</f>
        <v/>
      </c>
      <c r="B754" s="24">
        <f>IF('ORDENES'!$A732="","",IF('ORDENES'!$S732="","-",'ORDENES'!$S732))</f>
        <v/>
      </c>
      <c r="C754" s="24">
        <f>IF('ORDENES'!$A732="","",IF('ORDENES'!$AI732="","-",'ORDENES'!$AI732))</f>
        <v/>
      </c>
      <c r="D754" s="24">
        <f>IF('ORDENES'!$A732="","",IF('ORDENES'!$AA732="","-",'ORDENES'!$AA732))</f>
        <v/>
      </c>
      <c r="E754" s="24">
        <f>IF('ORDENES'!$A732="","",IF('ORDENES'!$Y732="","-",'ORDENES'!$Y732))</f>
        <v/>
      </c>
      <c r="F754" s="24">
        <f>IF('ORDENES'!$A732="","",IF('ORDENES'!$AB732="","-",'ORDENES'!$AB732))</f>
        <v/>
      </c>
      <c r="G754" s="24">
        <f>IF('ORDENES'!$A732="","",IF('ORDENES'!$Z732="","-",'ORDENES'!$Z732))</f>
        <v/>
      </c>
      <c r="H754" s="24">
        <f>IF('ORDENES'!$A732="","",IF('ORDENES'!$AH732="","-",'ORDENES'!$AH732))</f>
        <v/>
      </c>
      <c r="I754" s="24">
        <f>IF('ORDENES'!$A732="","",IF('ORDENES'!$AU732="","-",'ORDENES'!$AU732))</f>
        <v/>
      </c>
      <c r="J754" s="24">
        <f>IF('ORDENES'!$A732="","",IF('ORDENES'!$D732="","-",'ORDENES'!$D732))</f>
        <v/>
      </c>
      <c r="K754" s="24">
        <f>IF('ORDENES'!$A732="","",IF('ORDENES'!$E732="","-",'ORDENES'!$E732))</f>
        <v/>
      </c>
      <c r="L754" s="26">
        <f>IF('ORDENES'!$A732="","",IF('ORDENES'!$M732="",0,'ORDENES'!$M732))</f>
        <v/>
      </c>
      <c r="M754" s="24">
        <f>IF('ORDENES'!$A732="","",IF('ORDENES'!$N732="","-",'ORDENES'!$N732))</f>
        <v/>
      </c>
      <c r="N754" s="24">
        <f>IF('ORDENES'!$A732="","",'ORDENES'!$AG732)</f>
        <v/>
      </c>
    </row>
    <row r="755">
      <c r="A755" s="24">
        <f>IF('ORDENES'!$A733="","",IF('ORDENES'!$O733="","-",'ORDENES'!$O733))</f>
        <v/>
      </c>
      <c r="B755" s="24">
        <f>IF('ORDENES'!$A733="","",IF('ORDENES'!$S733="","-",'ORDENES'!$S733))</f>
        <v/>
      </c>
      <c r="C755" s="24">
        <f>IF('ORDENES'!$A733="","",IF('ORDENES'!$AI733="","-",'ORDENES'!$AI733))</f>
        <v/>
      </c>
      <c r="D755" s="24">
        <f>IF('ORDENES'!$A733="","",IF('ORDENES'!$AA733="","-",'ORDENES'!$AA733))</f>
        <v/>
      </c>
      <c r="E755" s="24">
        <f>IF('ORDENES'!$A733="","",IF('ORDENES'!$Y733="","-",'ORDENES'!$Y733))</f>
        <v/>
      </c>
      <c r="F755" s="24">
        <f>IF('ORDENES'!$A733="","",IF('ORDENES'!$AB733="","-",'ORDENES'!$AB733))</f>
        <v/>
      </c>
      <c r="G755" s="24">
        <f>IF('ORDENES'!$A733="","",IF('ORDENES'!$Z733="","-",'ORDENES'!$Z733))</f>
        <v/>
      </c>
      <c r="H755" s="24">
        <f>IF('ORDENES'!$A733="","",IF('ORDENES'!$AH733="","-",'ORDENES'!$AH733))</f>
        <v/>
      </c>
      <c r="I755" s="24">
        <f>IF('ORDENES'!$A733="","",IF('ORDENES'!$AU733="","-",'ORDENES'!$AU733))</f>
        <v/>
      </c>
      <c r="J755" s="24">
        <f>IF('ORDENES'!$A733="","",IF('ORDENES'!$D733="","-",'ORDENES'!$D733))</f>
        <v/>
      </c>
      <c r="K755" s="24">
        <f>IF('ORDENES'!$A733="","",IF('ORDENES'!$E733="","-",'ORDENES'!$E733))</f>
        <v/>
      </c>
      <c r="L755" s="26">
        <f>IF('ORDENES'!$A733="","",IF('ORDENES'!$M733="",0,'ORDENES'!$M733))</f>
        <v/>
      </c>
      <c r="M755" s="24">
        <f>IF('ORDENES'!$A733="","",IF('ORDENES'!$N733="","-",'ORDENES'!$N733))</f>
        <v/>
      </c>
      <c r="N755" s="24">
        <f>IF('ORDENES'!$A733="","",'ORDENES'!$AG733)</f>
        <v/>
      </c>
    </row>
    <row r="756">
      <c r="A756" s="24">
        <f>IF('ORDENES'!$A734="","",IF('ORDENES'!$O734="","-",'ORDENES'!$O734))</f>
        <v/>
      </c>
      <c r="B756" s="24">
        <f>IF('ORDENES'!$A734="","",IF('ORDENES'!$S734="","-",'ORDENES'!$S734))</f>
        <v/>
      </c>
      <c r="C756" s="24">
        <f>IF('ORDENES'!$A734="","",IF('ORDENES'!$AI734="","-",'ORDENES'!$AI734))</f>
        <v/>
      </c>
      <c r="D756" s="24">
        <f>IF('ORDENES'!$A734="","",IF('ORDENES'!$AA734="","-",'ORDENES'!$AA734))</f>
        <v/>
      </c>
      <c r="E756" s="24">
        <f>IF('ORDENES'!$A734="","",IF('ORDENES'!$Y734="","-",'ORDENES'!$Y734))</f>
        <v/>
      </c>
      <c r="F756" s="24">
        <f>IF('ORDENES'!$A734="","",IF('ORDENES'!$AB734="","-",'ORDENES'!$AB734))</f>
        <v/>
      </c>
      <c r="G756" s="24">
        <f>IF('ORDENES'!$A734="","",IF('ORDENES'!$Z734="","-",'ORDENES'!$Z734))</f>
        <v/>
      </c>
      <c r="H756" s="24">
        <f>IF('ORDENES'!$A734="","",IF('ORDENES'!$AH734="","-",'ORDENES'!$AH734))</f>
        <v/>
      </c>
      <c r="I756" s="24">
        <f>IF('ORDENES'!$A734="","",IF('ORDENES'!$AU734="","-",'ORDENES'!$AU734))</f>
        <v/>
      </c>
      <c r="J756" s="24">
        <f>IF('ORDENES'!$A734="","",IF('ORDENES'!$D734="","-",'ORDENES'!$D734))</f>
        <v/>
      </c>
      <c r="K756" s="24">
        <f>IF('ORDENES'!$A734="","",IF('ORDENES'!$E734="","-",'ORDENES'!$E734))</f>
        <v/>
      </c>
      <c r="L756" s="26">
        <f>IF('ORDENES'!$A734="","",IF('ORDENES'!$M734="",0,'ORDENES'!$M734))</f>
        <v/>
      </c>
      <c r="M756" s="24">
        <f>IF('ORDENES'!$A734="","",IF('ORDENES'!$N734="","-",'ORDENES'!$N734))</f>
        <v/>
      </c>
      <c r="N756" s="24">
        <f>IF('ORDENES'!$A734="","",'ORDENES'!$AG734)</f>
        <v/>
      </c>
    </row>
    <row r="757">
      <c r="A757" s="24">
        <f>IF('ORDENES'!$A735="","",IF('ORDENES'!$O735="","-",'ORDENES'!$O735))</f>
        <v/>
      </c>
      <c r="B757" s="24">
        <f>IF('ORDENES'!$A735="","",IF('ORDENES'!$S735="","-",'ORDENES'!$S735))</f>
        <v/>
      </c>
      <c r="C757" s="24">
        <f>IF('ORDENES'!$A735="","",IF('ORDENES'!$AI735="","-",'ORDENES'!$AI735))</f>
        <v/>
      </c>
      <c r="D757" s="24">
        <f>IF('ORDENES'!$A735="","",IF('ORDENES'!$AA735="","-",'ORDENES'!$AA735))</f>
        <v/>
      </c>
      <c r="E757" s="24">
        <f>IF('ORDENES'!$A735="","",IF('ORDENES'!$Y735="","-",'ORDENES'!$Y735))</f>
        <v/>
      </c>
      <c r="F757" s="24">
        <f>IF('ORDENES'!$A735="","",IF('ORDENES'!$AB735="","-",'ORDENES'!$AB735))</f>
        <v/>
      </c>
      <c r="G757" s="24">
        <f>IF('ORDENES'!$A735="","",IF('ORDENES'!$Z735="","-",'ORDENES'!$Z735))</f>
        <v/>
      </c>
      <c r="H757" s="24">
        <f>IF('ORDENES'!$A735="","",IF('ORDENES'!$AH735="","-",'ORDENES'!$AH735))</f>
        <v/>
      </c>
      <c r="I757" s="24">
        <f>IF('ORDENES'!$A735="","",IF('ORDENES'!$AU735="","-",'ORDENES'!$AU735))</f>
        <v/>
      </c>
      <c r="J757" s="24">
        <f>IF('ORDENES'!$A735="","",IF('ORDENES'!$D735="","-",'ORDENES'!$D735))</f>
        <v/>
      </c>
      <c r="K757" s="24">
        <f>IF('ORDENES'!$A735="","",IF('ORDENES'!$E735="","-",'ORDENES'!$E735))</f>
        <v/>
      </c>
      <c r="L757" s="26">
        <f>IF('ORDENES'!$A735="","",IF('ORDENES'!$M735="",0,'ORDENES'!$M735))</f>
        <v/>
      </c>
      <c r="M757" s="24">
        <f>IF('ORDENES'!$A735="","",IF('ORDENES'!$N735="","-",'ORDENES'!$N735))</f>
        <v/>
      </c>
      <c r="N757" s="24">
        <f>IF('ORDENES'!$A735="","",'ORDENES'!$AG735)</f>
        <v/>
      </c>
    </row>
    <row r="758">
      <c r="A758" s="24">
        <f>IF('ORDENES'!$A736="","",IF('ORDENES'!$O736="","-",'ORDENES'!$O736))</f>
        <v/>
      </c>
      <c r="B758" s="24">
        <f>IF('ORDENES'!$A736="","",IF('ORDENES'!$S736="","-",'ORDENES'!$S736))</f>
        <v/>
      </c>
      <c r="C758" s="24">
        <f>IF('ORDENES'!$A736="","",IF('ORDENES'!$AI736="","-",'ORDENES'!$AI736))</f>
        <v/>
      </c>
      <c r="D758" s="24">
        <f>IF('ORDENES'!$A736="","",IF('ORDENES'!$AA736="","-",'ORDENES'!$AA736))</f>
        <v/>
      </c>
      <c r="E758" s="24">
        <f>IF('ORDENES'!$A736="","",IF('ORDENES'!$Y736="","-",'ORDENES'!$Y736))</f>
        <v/>
      </c>
      <c r="F758" s="24">
        <f>IF('ORDENES'!$A736="","",IF('ORDENES'!$AB736="","-",'ORDENES'!$AB736))</f>
        <v/>
      </c>
      <c r="G758" s="24">
        <f>IF('ORDENES'!$A736="","",IF('ORDENES'!$Z736="","-",'ORDENES'!$Z736))</f>
        <v/>
      </c>
      <c r="H758" s="24">
        <f>IF('ORDENES'!$A736="","",IF('ORDENES'!$AH736="","-",'ORDENES'!$AH736))</f>
        <v/>
      </c>
      <c r="I758" s="24">
        <f>IF('ORDENES'!$A736="","",IF('ORDENES'!$AU736="","-",'ORDENES'!$AU736))</f>
        <v/>
      </c>
      <c r="J758" s="24">
        <f>IF('ORDENES'!$A736="","",IF('ORDENES'!$D736="","-",'ORDENES'!$D736))</f>
        <v/>
      </c>
      <c r="K758" s="24">
        <f>IF('ORDENES'!$A736="","",IF('ORDENES'!$E736="","-",'ORDENES'!$E736))</f>
        <v/>
      </c>
      <c r="L758" s="26">
        <f>IF('ORDENES'!$A736="","",IF('ORDENES'!$M736="",0,'ORDENES'!$M736))</f>
        <v/>
      </c>
      <c r="M758" s="24">
        <f>IF('ORDENES'!$A736="","",IF('ORDENES'!$N736="","-",'ORDENES'!$N736))</f>
        <v/>
      </c>
      <c r="N758" s="24">
        <f>IF('ORDENES'!$A736="","",'ORDENES'!$AG736)</f>
        <v/>
      </c>
    </row>
    <row r="759">
      <c r="A759" s="24">
        <f>IF('ORDENES'!$A737="","",IF('ORDENES'!$O737="","-",'ORDENES'!$O737))</f>
        <v/>
      </c>
      <c r="B759" s="24">
        <f>IF('ORDENES'!$A737="","",IF('ORDENES'!$S737="","-",'ORDENES'!$S737))</f>
        <v/>
      </c>
      <c r="C759" s="24">
        <f>IF('ORDENES'!$A737="","",IF('ORDENES'!$AI737="","-",'ORDENES'!$AI737))</f>
        <v/>
      </c>
      <c r="D759" s="24">
        <f>IF('ORDENES'!$A737="","",IF('ORDENES'!$AA737="","-",'ORDENES'!$AA737))</f>
        <v/>
      </c>
      <c r="E759" s="24">
        <f>IF('ORDENES'!$A737="","",IF('ORDENES'!$Y737="","-",'ORDENES'!$Y737))</f>
        <v/>
      </c>
      <c r="F759" s="24">
        <f>IF('ORDENES'!$A737="","",IF('ORDENES'!$AB737="","-",'ORDENES'!$AB737))</f>
        <v/>
      </c>
      <c r="G759" s="24">
        <f>IF('ORDENES'!$A737="","",IF('ORDENES'!$Z737="","-",'ORDENES'!$Z737))</f>
        <v/>
      </c>
      <c r="H759" s="24">
        <f>IF('ORDENES'!$A737="","",IF('ORDENES'!$AH737="","-",'ORDENES'!$AH737))</f>
        <v/>
      </c>
      <c r="I759" s="24">
        <f>IF('ORDENES'!$A737="","",IF('ORDENES'!$AU737="","-",'ORDENES'!$AU737))</f>
        <v/>
      </c>
      <c r="J759" s="24">
        <f>IF('ORDENES'!$A737="","",IF('ORDENES'!$D737="","-",'ORDENES'!$D737))</f>
        <v/>
      </c>
      <c r="K759" s="24">
        <f>IF('ORDENES'!$A737="","",IF('ORDENES'!$E737="","-",'ORDENES'!$E737))</f>
        <v/>
      </c>
      <c r="L759" s="26">
        <f>IF('ORDENES'!$A737="","",IF('ORDENES'!$M737="",0,'ORDENES'!$M737))</f>
        <v/>
      </c>
      <c r="M759" s="24">
        <f>IF('ORDENES'!$A737="","",IF('ORDENES'!$N737="","-",'ORDENES'!$N737))</f>
        <v/>
      </c>
      <c r="N759" s="24">
        <f>IF('ORDENES'!$A737="","",'ORDENES'!$AG737)</f>
        <v/>
      </c>
    </row>
    <row r="760">
      <c r="A760" s="24">
        <f>IF('ORDENES'!$A738="","",IF('ORDENES'!$O738="","-",'ORDENES'!$O738))</f>
        <v/>
      </c>
      <c r="B760" s="24">
        <f>IF('ORDENES'!$A738="","",IF('ORDENES'!$S738="","-",'ORDENES'!$S738))</f>
        <v/>
      </c>
      <c r="C760" s="24">
        <f>IF('ORDENES'!$A738="","",IF('ORDENES'!$AI738="","-",'ORDENES'!$AI738))</f>
        <v/>
      </c>
      <c r="D760" s="24">
        <f>IF('ORDENES'!$A738="","",IF('ORDENES'!$AA738="","-",'ORDENES'!$AA738))</f>
        <v/>
      </c>
      <c r="E760" s="24">
        <f>IF('ORDENES'!$A738="","",IF('ORDENES'!$Y738="","-",'ORDENES'!$Y738))</f>
        <v/>
      </c>
      <c r="F760" s="24">
        <f>IF('ORDENES'!$A738="","",IF('ORDENES'!$AB738="","-",'ORDENES'!$AB738))</f>
        <v/>
      </c>
      <c r="G760" s="24">
        <f>IF('ORDENES'!$A738="","",IF('ORDENES'!$Z738="","-",'ORDENES'!$Z738))</f>
        <v/>
      </c>
      <c r="H760" s="24">
        <f>IF('ORDENES'!$A738="","",IF('ORDENES'!$AH738="","-",'ORDENES'!$AH738))</f>
        <v/>
      </c>
      <c r="I760" s="24">
        <f>IF('ORDENES'!$A738="","",IF('ORDENES'!$AU738="","-",'ORDENES'!$AU738))</f>
        <v/>
      </c>
      <c r="J760" s="24">
        <f>IF('ORDENES'!$A738="","",IF('ORDENES'!$D738="","-",'ORDENES'!$D738))</f>
        <v/>
      </c>
      <c r="K760" s="24">
        <f>IF('ORDENES'!$A738="","",IF('ORDENES'!$E738="","-",'ORDENES'!$E738))</f>
        <v/>
      </c>
      <c r="L760" s="26">
        <f>IF('ORDENES'!$A738="","",IF('ORDENES'!$M738="",0,'ORDENES'!$M738))</f>
        <v/>
      </c>
      <c r="M760" s="24">
        <f>IF('ORDENES'!$A738="","",IF('ORDENES'!$N738="","-",'ORDENES'!$N738))</f>
        <v/>
      </c>
      <c r="N760" s="24">
        <f>IF('ORDENES'!$A738="","",'ORDENES'!$AG738)</f>
        <v/>
      </c>
    </row>
    <row r="761">
      <c r="A761" s="24">
        <f>IF('ORDENES'!$A739="","",IF('ORDENES'!$O739="","-",'ORDENES'!$O739))</f>
        <v/>
      </c>
      <c r="B761" s="24">
        <f>IF('ORDENES'!$A739="","",IF('ORDENES'!$S739="","-",'ORDENES'!$S739))</f>
        <v/>
      </c>
      <c r="C761" s="24">
        <f>IF('ORDENES'!$A739="","",IF('ORDENES'!$AI739="","-",'ORDENES'!$AI739))</f>
        <v/>
      </c>
      <c r="D761" s="24">
        <f>IF('ORDENES'!$A739="","",IF('ORDENES'!$AA739="","-",'ORDENES'!$AA739))</f>
        <v/>
      </c>
      <c r="E761" s="24">
        <f>IF('ORDENES'!$A739="","",IF('ORDENES'!$Y739="","-",'ORDENES'!$Y739))</f>
        <v/>
      </c>
      <c r="F761" s="24">
        <f>IF('ORDENES'!$A739="","",IF('ORDENES'!$AB739="","-",'ORDENES'!$AB739))</f>
        <v/>
      </c>
      <c r="G761" s="24">
        <f>IF('ORDENES'!$A739="","",IF('ORDENES'!$Z739="","-",'ORDENES'!$Z739))</f>
        <v/>
      </c>
      <c r="H761" s="24">
        <f>IF('ORDENES'!$A739="","",IF('ORDENES'!$AH739="","-",'ORDENES'!$AH739))</f>
        <v/>
      </c>
      <c r="I761" s="24">
        <f>IF('ORDENES'!$A739="","",IF('ORDENES'!$AU739="","-",'ORDENES'!$AU739))</f>
        <v/>
      </c>
      <c r="J761" s="24">
        <f>IF('ORDENES'!$A739="","",IF('ORDENES'!$D739="","-",'ORDENES'!$D739))</f>
        <v/>
      </c>
      <c r="K761" s="24">
        <f>IF('ORDENES'!$A739="","",IF('ORDENES'!$E739="","-",'ORDENES'!$E739))</f>
        <v/>
      </c>
      <c r="L761" s="26">
        <f>IF('ORDENES'!$A739="","",IF('ORDENES'!$M739="",0,'ORDENES'!$M739))</f>
        <v/>
      </c>
      <c r="M761" s="24">
        <f>IF('ORDENES'!$A739="","",IF('ORDENES'!$N739="","-",'ORDENES'!$N739))</f>
        <v/>
      </c>
      <c r="N761" s="24">
        <f>IF('ORDENES'!$A739="","",'ORDENES'!$AG739)</f>
        <v/>
      </c>
    </row>
    <row r="762">
      <c r="A762" s="24">
        <f>IF('ORDENES'!$A740="","",IF('ORDENES'!$O740="","-",'ORDENES'!$O740))</f>
        <v/>
      </c>
      <c r="B762" s="24">
        <f>IF('ORDENES'!$A740="","",IF('ORDENES'!$S740="","-",'ORDENES'!$S740))</f>
        <v/>
      </c>
      <c r="C762" s="24">
        <f>IF('ORDENES'!$A740="","",IF('ORDENES'!$AI740="","-",'ORDENES'!$AI740))</f>
        <v/>
      </c>
      <c r="D762" s="24">
        <f>IF('ORDENES'!$A740="","",IF('ORDENES'!$AA740="","-",'ORDENES'!$AA740))</f>
        <v/>
      </c>
      <c r="E762" s="24">
        <f>IF('ORDENES'!$A740="","",IF('ORDENES'!$Y740="","-",'ORDENES'!$Y740))</f>
        <v/>
      </c>
      <c r="F762" s="24">
        <f>IF('ORDENES'!$A740="","",IF('ORDENES'!$AB740="","-",'ORDENES'!$AB740))</f>
        <v/>
      </c>
      <c r="G762" s="24">
        <f>IF('ORDENES'!$A740="","",IF('ORDENES'!$Z740="","-",'ORDENES'!$Z740))</f>
        <v/>
      </c>
      <c r="H762" s="24">
        <f>IF('ORDENES'!$A740="","",IF('ORDENES'!$AH740="","-",'ORDENES'!$AH740))</f>
        <v/>
      </c>
      <c r="I762" s="24">
        <f>IF('ORDENES'!$A740="","",IF('ORDENES'!$AU740="","-",'ORDENES'!$AU740))</f>
        <v/>
      </c>
      <c r="J762" s="24">
        <f>IF('ORDENES'!$A740="","",IF('ORDENES'!$D740="","-",'ORDENES'!$D740))</f>
        <v/>
      </c>
      <c r="K762" s="24">
        <f>IF('ORDENES'!$A740="","",IF('ORDENES'!$E740="","-",'ORDENES'!$E740))</f>
        <v/>
      </c>
      <c r="L762" s="26">
        <f>IF('ORDENES'!$A740="","",IF('ORDENES'!$M740="",0,'ORDENES'!$M740))</f>
        <v/>
      </c>
      <c r="M762" s="24">
        <f>IF('ORDENES'!$A740="","",IF('ORDENES'!$N740="","-",'ORDENES'!$N740))</f>
        <v/>
      </c>
      <c r="N762" s="24">
        <f>IF('ORDENES'!$A740="","",'ORDENES'!$AG740)</f>
        <v/>
      </c>
    </row>
    <row r="763">
      <c r="A763" s="24">
        <f>IF('ORDENES'!$A741="","",IF('ORDENES'!$O741="","-",'ORDENES'!$O741))</f>
        <v/>
      </c>
      <c r="B763" s="24">
        <f>IF('ORDENES'!$A741="","",IF('ORDENES'!$S741="","-",'ORDENES'!$S741))</f>
        <v/>
      </c>
      <c r="C763" s="24">
        <f>IF('ORDENES'!$A741="","",IF('ORDENES'!$AI741="","-",'ORDENES'!$AI741))</f>
        <v/>
      </c>
      <c r="D763" s="24">
        <f>IF('ORDENES'!$A741="","",IF('ORDENES'!$AA741="","-",'ORDENES'!$AA741))</f>
        <v/>
      </c>
      <c r="E763" s="24">
        <f>IF('ORDENES'!$A741="","",IF('ORDENES'!$Y741="","-",'ORDENES'!$Y741))</f>
        <v/>
      </c>
      <c r="F763" s="24">
        <f>IF('ORDENES'!$A741="","",IF('ORDENES'!$AB741="","-",'ORDENES'!$AB741))</f>
        <v/>
      </c>
      <c r="G763" s="24">
        <f>IF('ORDENES'!$A741="","",IF('ORDENES'!$Z741="","-",'ORDENES'!$Z741))</f>
        <v/>
      </c>
      <c r="H763" s="24">
        <f>IF('ORDENES'!$A741="","",IF('ORDENES'!$AH741="","-",'ORDENES'!$AH741))</f>
        <v/>
      </c>
      <c r="I763" s="24">
        <f>IF('ORDENES'!$A741="","",IF('ORDENES'!$AU741="","-",'ORDENES'!$AU741))</f>
        <v/>
      </c>
      <c r="J763" s="24">
        <f>IF('ORDENES'!$A741="","",IF('ORDENES'!$D741="","-",'ORDENES'!$D741))</f>
        <v/>
      </c>
      <c r="K763" s="24">
        <f>IF('ORDENES'!$A741="","",IF('ORDENES'!$E741="","-",'ORDENES'!$E741))</f>
        <v/>
      </c>
      <c r="L763" s="26">
        <f>IF('ORDENES'!$A741="","",IF('ORDENES'!$M741="",0,'ORDENES'!$M741))</f>
        <v/>
      </c>
      <c r="M763" s="24">
        <f>IF('ORDENES'!$A741="","",IF('ORDENES'!$N741="","-",'ORDENES'!$N741))</f>
        <v/>
      </c>
      <c r="N763" s="24">
        <f>IF('ORDENES'!$A741="","",'ORDENES'!$AG741)</f>
        <v/>
      </c>
    </row>
    <row r="764">
      <c r="A764" s="24">
        <f>IF('ORDENES'!$A742="","",IF('ORDENES'!$O742="","-",'ORDENES'!$O742))</f>
        <v/>
      </c>
      <c r="B764" s="24">
        <f>IF('ORDENES'!$A742="","",IF('ORDENES'!$S742="","-",'ORDENES'!$S742))</f>
        <v/>
      </c>
      <c r="C764" s="24">
        <f>IF('ORDENES'!$A742="","",IF('ORDENES'!$AI742="","-",'ORDENES'!$AI742))</f>
        <v/>
      </c>
      <c r="D764" s="24">
        <f>IF('ORDENES'!$A742="","",IF('ORDENES'!$AA742="","-",'ORDENES'!$AA742))</f>
        <v/>
      </c>
      <c r="E764" s="24">
        <f>IF('ORDENES'!$A742="","",IF('ORDENES'!$Y742="","-",'ORDENES'!$Y742))</f>
        <v/>
      </c>
      <c r="F764" s="24">
        <f>IF('ORDENES'!$A742="","",IF('ORDENES'!$AB742="","-",'ORDENES'!$AB742))</f>
        <v/>
      </c>
      <c r="G764" s="24">
        <f>IF('ORDENES'!$A742="","",IF('ORDENES'!$Z742="","-",'ORDENES'!$Z742))</f>
        <v/>
      </c>
      <c r="H764" s="24">
        <f>IF('ORDENES'!$A742="","",IF('ORDENES'!$AH742="","-",'ORDENES'!$AH742))</f>
        <v/>
      </c>
      <c r="I764" s="24">
        <f>IF('ORDENES'!$A742="","",IF('ORDENES'!$AU742="","-",'ORDENES'!$AU742))</f>
        <v/>
      </c>
      <c r="J764" s="24">
        <f>IF('ORDENES'!$A742="","",IF('ORDENES'!$D742="","-",'ORDENES'!$D742))</f>
        <v/>
      </c>
      <c r="K764" s="24">
        <f>IF('ORDENES'!$A742="","",IF('ORDENES'!$E742="","-",'ORDENES'!$E742))</f>
        <v/>
      </c>
      <c r="L764" s="26">
        <f>IF('ORDENES'!$A742="","",IF('ORDENES'!$M742="",0,'ORDENES'!$M742))</f>
        <v/>
      </c>
      <c r="M764" s="24">
        <f>IF('ORDENES'!$A742="","",IF('ORDENES'!$N742="","-",'ORDENES'!$N742))</f>
        <v/>
      </c>
      <c r="N764" s="24">
        <f>IF('ORDENES'!$A742="","",'ORDENES'!$AG742)</f>
        <v/>
      </c>
    </row>
    <row r="765">
      <c r="A765" s="24">
        <f>IF('ORDENES'!$A743="","",IF('ORDENES'!$O743="","-",'ORDENES'!$O743))</f>
        <v/>
      </c>
      <c r="B765" s="24">
        <f>IF('ORDENES'!$A743="","",IF('ORDENES'!$S743="","-",'ORDENES'!$S743))</f>
        <v/>
      </c>
      <c r="C765" s="24">
        <f>IF('ORDENES'!$A743="","",IF('ORDENES'!$AI743="","-",'ORDENES'!$AI743))</f>
        <v/>
      </c>
      <c r="D765" s="24">
        <f>IF('ORDENES'!$A743="","",IF('ORDENES'!$AA743="","-",'ORDENES'!$AA743))</f>
        <v/>
      </c>
      <c r="E765" s="24">
        <f>IF('ORDENES'!$A743="","",IF('ORDENES'!$Y743="","-",'ORDENES'!$Y743))</f>
        <v/>
      </c>
      <c r="F765" s="24">
        <f>IF('ORDENES'!$A743="","",IF('ORDENES'!$AB743="","-",'ORDENES'!$AB743))</f>
        <v/>
      </c>
      <c r="G765" s="24">
        <f>IF('ORDENES'!$A743="","",IF('ORDENES'!$Z743="","-",'ORDENES'!$Z743))</f>
        <v/>
      </c>
      <c r="H765" s="24">
        <f>IF('ORDENES'!$A743="","",IF('ORDENES'!$AH743="","-",'ORDENES'!$AH743))</f>
        <v/>
      </c>
      <c r="I765" s="24">
        <f>IF('ORDENES'!$A743="","",IF('ORDENES'!$AU743="","-",'ORDENES'!$AU743))</f>
        <v/>
      </c>
      <c r="J765" s="24">
        <f>IF('ORDENES'!$A743="","",IF('ORDENES'!$D743="","-",'ORDENES'!$D743))</f>
        <v/>
      </c>
      <c r="K765" s="24">
        <f>IF('ORDENES'!$A743="","",IF('ORDENES'!$E743="","-",'ORDENES'!$E743))</f>
        <v/>
      </c>
      <c r="L765" s="26">
        <f>IF('ORDENES'!$A743="","",IF('ORDENES'!$M743="",0,'ORDENES'!$M743))</f>
        <v/>
      </c>
      <c r="M765" s="24">
        <f>IF('ORDENES'!$A743="","",IF('ORDENES'!$N743="","-",'ORDENES'!$N743))</f>
        <v/>
      </c>
      <c r="N765" s="24">
        <f>IF('ORDENES'!$A743="","",'ORDENES'!$AG743)</f>
        <v/>
      </c>
    </row>
    <row r="766">
      <c r="A766" s="24">
        <f>IF('ORDENES'!$A744="","",IF('ORDENES'!$O744="","-",'ORDENES'!$O744))</f>
        <v/>
      </c>
      <c r="B766" s="24">
        <f>IF('ORDENES'!$A744="","",IF('ORDENES'!$S744="","-",'ORDENES'!$S744))</f>
        <v/>
      </c>
      <c r="C766" s="24">
        <f>IF('ORDENES'!$A744="","",IF('ORDENES'!$AI744="","-",'ORDENES'!$AI744))</f>
        <v/>
      </c>
      <c r="D766" s="24">
        <f>IF('ORDENES'!$A744="","",IF('ORDENES'!$AA744="","-",'ORDENES'!$AA744))</f>
        <v/>
      </c>
      <c r="E766" s="24">
        <f>IF('ORDENES'!$A744="","",IF('ORDENES'!$Y744="","-",'ORDENES'!$Y744))</f>
        <v/>
      </c>
      <c r="F766" s="24">
        <f>IF('ORDENES'!$A744="","",IF('ORDENES'!$AB744="","-",'ORDENES'!$AB744))</f>
        <v/>
      </c>
      <c r="G766" s="24">
        <f>IF('ORDENES'!$A744="","",IF('ORDENES'!$Z744="","-",'ORDENES'!$Z744))</f>
        <v/>
      </c>
      <c r="H766" s="24">
        <f>IF('ORDENES'!$A744="","",IF('ORDENES'!$AH744="","-",'ORDENES'!$AH744))</f>
        <v/>
      </c>
      <c r="I766" s="24">
        <f>IF('ORDENES'!$A744="","",IF('ORDENES'!$AU744="","-",'ORDENES'!$AU744))</f>
        <v/>
      </c>
      <c r="J766" s="24">
        <f>IF('ORDENES'!$A744="","",IF('ORDENES'!$D744="","-",'ORDENES'!$D744))</f>
        <v/>
      </c>
      <c r="K766" s="24">
        <f>IF('ORDENES'!$A744="","",IF('ORDENES'!$E744="","-",'ORDENES'!$E744))</f>
        <v/>
      </c>
      <c r="L766" s="26">
        <f>IF('ORDENES'!$A744="","",IF('ORDENES'!$M744="",0,'ORDENES'!$M744))</f>
        <v/>
      </c>
      <c r="M766" s="24">
        <f>IF('ORDENES'!$A744="","",IF('ORDENES'!$N744="","-",'ORDENES'!$N744))</f>
        <v/>
      </c>
      <c r="N766" s="24">
        <f>IF('ORDENES'!$A744="","",'ORDENES'!$AG744)</f>
        <v/>
      </c>
    </row>
    <row r="767">
      <c r="A767" s="24">
        <f>IF('ORDENES'!$A745="","",IF('ORDENES'!$O745="","-",'ORDENES'!$O745))</f>
        <v/>
      </c>
      <c r="B767" s="24">
        <f>IF('ORDENES'!$A745="","",IF('ORDENES'!$S745="","-",'ORDENES'!$S745))</f>
        <v/>
      </c>
      <c r="C767" s="24">
        <f>IF('ORDENES'!$A745="","",IF('ORDENES'!$AI745="","-",'ORDENES'!$AI745))</f>
        <v/>
      </c>
      <c r="D767" s="24">
        <f>IF('ORDENES'!$A745="","",IF('ORDENES'!$AA745="","-",'ORDENES'!$AA745))</f>
        <v/>
      </c>
      <c r="E767" s="24">
        <f>IF('ORDENES'!$A745="","",IF('ORDENES'!$Y745="","-",'ORDENES'!$Y745))</f>
        <v/>
      </c>
      <c r="F767" s="24">
        <f>IF('ORDENES'!$A745="","",IF('ORDENES'!$AB745="","-",'ORDENES'!$AB745))</f>
        <v/>
      </c>
      <c r="G767" s="24">
        <f>IF('ORDENES'!$A745="","",IF('ORDENES'!$Z745="","-",'ORDENES'!$Z745))</f>
        <v/>
      </c>
      <c r="H767" s="24">
        <f>IF('ORDENES'!$A745="","",IF('ORDENES'!$AH745="","-",'ORDENES'!$AH745))</f>
        <v/>
      </c>
      <c r="I767" s="24">
        <f>IF('ORDENES'!$A745="","",IF('ORDENES'!$AU745="","-",'ORDENES'!$AU745))</f>
        <v/>
      </c>
      <c r="J767" s="24">
        <f>IF('ORDENES'!$A745="","",IF('ORDENES'!$D745="","-",'ORDENES'!$D745))</f>
        <v/>
      </c>
      <c r="K767" s="24">
        <f>IF('ORDENES'!$A745="","",IF('ORDENES'!$E745="","-",'ORDENES'!$E745))</f>
        <v/>
      </c>
      <c r="L767" s="26">
        <f>IF('ORDENES'!$A745="","",IF('ORDENES'!$M745="",0,'ORDENES'!$M745))</f>
        <v/>
      </c>
      <c r="M767" s="24">
        <f>IF('ORDENES'!$A745="","",IF('ORDENES'!$N745="","-",'ORDENES'!$N745))</f>
        <v/>
      </c>
      <c r="N767" s="24">
        <f>IF('ORDENES'!$A745="","",'ORDENES'!$AG745)</f>
        <v/>
      </c>
    </row>
    <row r="768">
      <c r="A768" s="24">
        <f>IF('ORDENES'!$A746="","",IF('ORDENES'!$O746="","-",'ORDENES'!$O746))</f>
        <v/>
      </c>
      <c r="B768" s="24">
        <f>IF('ORDENES'!$A746="","",IF('ORDENES'!$S746="","-",'ORDENES'!$S746))</f>
        <v/>
      </c>
      <c r="C768" s="24">
        <f>IF('ORDENES'!$A746="","",IF('ORDENES'!$AI746="","-",'ORDENES'!$AI746))</f>
        <v/>
      </c>
      <c r="D768" s="24">
        <f>IF('ORDENES'!$A746="","",IF('ORDENES'!$AA746="","-",'ORDENES'!$AA746))</f>
        <v/>
      </c>
      <c r="E768" s="24">
        <f>IF('ORDENES'!$A746="","",IF('ORDENES'!$Y746="","-",'ORDENES'!$Y746))</f>
        <v/>
      </c>
      <c r="F768" s="24">
        <f>IF('ORDENES'!$A746="","",IF('ORDENES'!$AB746="","-",'ORDENES'!$AB746))</f>
        <v/>
      </c>
      <c r="G768" s="24">
        <f>IF('ORDENES'!$A746="","",IF('ORDENES'!$Z746="","-",'ORDENES'!$Z746))</f>
        <v/>
      </c>
      <c r="H768" s="24">
        <f>IF('ORDENES'!$A746="","",IF('ORDENES'!$AH746="","-",'ORDENES'!$AH746))</f>
        <v/>
      </c>
      <c r="I768" s="24">
        <f>IF('ORDENES'!$A746="","",IF('ORDENES'!$AU746="","-",'ORDENES'!$AU746))</f>
        <v/>
      </c>
      <c r="J768" s="24">
        <f>IF('ORDENES'!$A746="","",IF('ORDENES'!$D746="","-",'ORDENES'!$D746))</f>
        <v/>
      </c>
      <c r="K768" s="24">
        <f>IF('ORDENES'!$A746="","",IF('ORDENES'!$E746="","-",'ORDENES'!$E746))</f>
        <v/>
      </c>
      <c r="L768" s="26">
        <f>IF('ORDENES'!$A746="","",IF('ORDENES'!$M746="",0,'ORDENES'!$M746))</f>
        <v/>
      </c>
      <c r="M768" s="24">
        <f>IF('ORDENES'!$A746="","",IF('ORDENES'!$N746="","-",'ORDENES'!$N746))</f>
        <v/>
      </c>
      <c r="N768" s="24">
        <f>IF('ORDENES'!$A746="","",'ORDENES'!$AG746)</f>
        <v/>
      </c>
    </row>
    <row r="769">
      <c r="A769" s="24">
        <f>IF('ORDENES'!$A747="","",IF('ORDENES'!$O747="","-",'ORDENES'!$O747))</f>
        <v/>
      </c>
      <c r="B769" s="24">
        <f>IF('ORDENES'!$A747="","",IF('ORDENES'!$S747="","-",'ORDENES'!$S747))</f>
        <v/>
      </c>
      <c r="C769" s="24">
        <f>IF('ORDENES'!$A747="","",IF('ORDENES'!$AI747="","-",'ORDENES'!$AI747))</f>
        <v/>
      </c>
      <c r="D769" s="24">
        <f>IF('ORDENES'!$A747="","",IF('ORDENES'!$AA747="","-",'ORDENES'!$AA747))</f>
        <v/>
      </c>
      <c r="E769" s="24">
        <f>IF('ORDENES'!$A747="","",IF('ORDENES'!$Y747="","-",'ORDENES'!$Y747))</f>
        <v/>
      </c>
      <c r="F769" s="24">
        <f>IF('ORDENES'!$A747="","",IF('ORDENES'!$AB747="","-",'ORDENES'!$AB747))</f>
        <v/>
      </c>
      <c r="G769" s="24">
        <f>IF('ORDENES'!$A747="","",IF('ORDENES'!$Z747="","-",'ORDENES'!$Z747))</f>
        <v/>
      </c>
      <c r="H769" s="24">
        <f>IF('ORDENES'!$A747="","",IF('ORDENES'!$AH747="","-",'ORDENES'!$AH747))</f>
        <v/>
      </c>
      <c r="I769" s="24">
        <f>IF('ORDENES'!$A747="","",IF('ORDENES'!$AU747="","-",'ORDENES'!$AU747))</f>
        <v/>
      </c>
      <c r="J769" s="24">
        <f>IF('ORDENES'!$A747="","",IF('ORDENES'!$D747="","-",'ORDENES'!$D747))</f>
        <v/>
      </c>
      <c r="K769" s="24">
        <f>IF('ORDENES'!$A747="","",IF('ORDENES'!$E747="","-",'ORDENES'!$E747))</f>
        <v/>
      </c>
      <c r="L769" s="26">
        <f>IF('ORDENES'!$A747="","",IF('ORDENES'!$M747="",0,'ORDENES'!$M747))</f>
        <v/>
      </c>
      <c r="M769" s="24">
        <f>IF('ORDENES'!$A747="","",IF('ORDENES'!$N747="","-",'ORDENES'!$N747))</f>
        <v/>
      </c>
      <c r="N769" s="24">
        <f>IF('ORDENES'!$A747="","",'ORDENES'!$AG747)</f>
        <v/>
      </c>
    </row>
    <row r="770">
      <c r="A770" s="24">
        <f>IF('ORDENES'!$A748="","",IF('ORDENES'!$O748="","-",'ORDENES'!$O748))</f>
        <v/>
      </c>
      <c r="B770" s="24">
        <f>IF('ORDENES'!$A748="","",IF('ORDENES'!$S748="","-",'ORDENES'!$S748))</f>
        <v/>
      </c>
      <c r="C770" s="24">
        <f>IF('ORDENES'!$A748="","",IF('ORDENES'!$AI748="","-",'ORDENES'!$AI748))</f>
        <v/>
      </c>
      <c r="D770" s="24">
        <f>IF('ORDENES'!$A748="","",IF('ORDENES'!$AA748="","-",'ORDENES'!$AA748))</f>
        <v/>
      </c>
      <c r="E770" s="24">
        <f>IF('ORDENES'!$A748="","",IF('ORDENES'!$Y748="","-",'ORDENES'!$Y748))</f>
        <v/>
      </c>
      <c r="F770" s="24">
        <f>IF('ORDENES'!$A748="","",IF('ORDENES'!$AB748="","-",'ORDENES'!$AB748))</f>
        <v/>
      </c>
      <c r="G770" s="24">
        <f>IF('ORDENES'!$A748="","",IF('ORDENES'!$Z748="","-",'ORDENES'!$Z748))</f>
        <v/>
      </c>
      <c r="H770" s="24">
        <f>IF('ORDENES'!$A748="","",IF('ORDENES'!$AH748="","-",'ORDENES'!$AH748))</f>
        <v/>
      </c>
      <c r="I770" s="24">
        <f>IF('ORDENES'!$A748="","",IF('ORDENES'!$AU748="","-",'ORDENES'!$AU748))</f>
        <v/>
      </c>
      <c r="J770" s="24">
        <f>IF('ORDENES'!$A748="","",IF('ORDENES'!$D748="","-",'ORDENES'!$D748))</f>
        <v/>
      </c>
      <c r="K770" s="24">
        <f>IF('ORDENES'!$A748="","",IF('ORDENES'!$E748="","-",'ORDENES'!$E748))</f>
        <v/>
      </c>
      <c r="L770" s="26">
        <f>IF('ORDENES'!$A748="","",IF('ORDENES'!$M748="",0,'ORDENES'!$M748))</f>
        <v/>
      </c>
      <c r="M770" s="24">
        <f>IF('ORDENES'!$A748="","",IF('ORDENES'!$N748="","-",'ORDENES'!$N748))</f>
        <v/>
      </c>
      <c r="N770" s="24">
        <f>IF('ORDENES'!$A748="","",'ORDENES'!$AG748)</f>
        <v/>
      </c>
    </row>
    <row r="771">
      <c r="A771" s="24">
        <f>IF('ORDENES'!$A749="","",IF('ORDENES'!$O749="","-",'ORDENES'!$O749))</f>
        <v/>
      </c>
      <c r="B771" s="24">
        <f>IF('ORDENES'!$A749="","",IF('ORDENES'!$S749="","-",'ORDENES'!$S749))</f>
        <v/>
      </c>
      <c r="C771" s="24">
        <f>IF('ORDENES'!$A749="","",IF('ORDENES'!$AI749="","-",'ORDENES'!$AI749))</f>
        <v/>
      </c>
      <c r="D771" s="24">
        <f>IF('ORDENES'!$A749="","",IF('ORDENES'!$AA749="","-",'ORDENES'!$AA749))</f>
        <v/>
      </c>
      <c r="E771" s="24">
        <f>IF('ORDENES'!$A749="","",IF('ORDENES'!$Y749="","-",'ORDENES'!$Y749))</f>
        <v/>
      </c>
      <c r="F771" s="24">
        <f>IF('ORDENES'!$A749="","",IF('ORDENES'!$AB749="","-",'ORDENES'!$AB749))</f>
        <v/>
      </c>
      <c r="G771" s="24">
        <f>IF('ORDENES'!$A749="","",IF('ORDENES'!$Z749="","-",'ORDENES'!$Z749))</f>
        <v/>
      </c>
      <c r="H771" s="24">
        <f>IF('ORDENES'!$A749="","",IF('ORDENES'!$AH749="","-",'ORDENES'!$AH749))</f>
        <v/>
      </c>
      <c r="I771" s="24">
        <f>IF('ORDENES'!$A749="","",IF('ORDENES'!$AU749="","-",'ORDENES'!$AU749))</f>
        <v/>
      </c>
      <c r="J771" s="24">
        <f>IF('ORDENES'!$A749="","",IF('ORDENES'!$D749="","-",'ORDENES'!$D749))</f>
        <v/>
      </c>
      <c r="K771" s="24">
        <f>IF('ORDENES'!$A749="","",IF('ORDENES'!$E749="","-",'ORDENES'!$E749))</f>
        <v/>
      </c>
      <c r="L771" s="26">
        <f>IF('ORDENES'!$A749="","",IF('ORDENES'!$M749="",0,'ORDENES'!$M749))</f>
        <v/>
      </c>
      <c r="M771" s="24">
        <f>IF('ORDENES'!$A749="","",IF('ORDENES'!$N749="","-",'ORDENES'!$N749))</f>
        <v/>
      </c>
      <c r="N771" s="24">
        <f>IF('ORDENES'!$A749="","",'ORDENES'!$AG749)</f>
        <v/>
      </c>
    </row>
    <row r="772">
      <c r="A772" s="24">
        <f>IF('ORDENES'!$A750="","",IF('ORDENES'!$O750="","-",'ORDENES'!$O750))</f>
        <v/>
      </c>
      <c r="B772" s="24">
        <f>IF('ORDENES'!$A750="","",IF('ORDENES'!$S750="","-",'ORDENES'!$S750))</f>
        <v/>
      </c>
      <c r="C772" s="24">
        <f>IF('ORDENES'!$A750="","",IF('ORDENES'!$AI750="","-",'ORDENES'!$AI750))</f>
        <v/>
      </c>
      <c r="D772" s="24">
        <f>IF('ORDENES'!$A750="","",IF('ORDENES'!$AA750="","-",'ORDENES'!$AA750))</f>
        <v/>
      </c>
      <c r="E772" s="24">
        <f>IF('ORDENES'!$A750="","",IF('ORDENES'!$Y750="","-",'ORDENES'!$Y750))</f>
        <v/>
      </c>
      <c r="F772" s="24">
        <f>IF('ORDENES'!$A750="","",IF('ORDENES'!$AB750="","-",'ORDENES'!$AB750))</f>
        <v/>
      </c>
      <c r="G772" s="24">
        <f>IF('ORDENES'!$A750="","",IF('ORDENES'!$Z750="","-",'ORDENES'!$Z750))</f>
        <v/>
      </c>
      <c r="H772" s="24">
        <f>IF('ORDENES'!$A750="","",IF('ORDENES'!$AH750="","-",'ORDENES'!$AH750))</f>
        <v/>
      </c>
      <c r="I772" s="24">
        <f>IF('ORDENES'!$A750="","",IF('ORDENES'!$AU750="","-",'ORDENES'!$AU750))</f>
        <v/>
      </c>
      <c r="J772" s="24">
        <f>IF('ORDENES'!$A750="","",IF('ORDENES'!$D750="","-",'ORDENES'!$D750))</f>
        <v/>
      </c>
      <c r="K772" s="24">
        <f>IF('ORDENES'!$A750="","",IF('ORDENES'!$E750="","-",'ORDENES'!$E750))</f>
        <v/>
      </c>
      <c r="L772" s="26">
        <f>IF('ORDENES'!$A750="","",IF('ORDENES'!$M750="",0,'ORDENES'!$M750))</f>
        <v/>
      </c>
      <c r="M772" s="24">
        <f>IF('ORDENES'!$A750="","",IF('ORDENES'!$N750="","-",'ORDENES'!$N750))</f>
        <v/>
      </c>
      <c r="N772" s="24">
        <f>IF('ORDENES'!$A750="","",'ORDENES'!$AG750)</f>
        <v/>
      </c>
    </row>
    <row r="773">
      <c r="A773" s="24">
        <f>IF('ORDENES'!$A751="","",IF('ORDENES'!$O751="","-",'ORDENES'!$O751))</f>
        <v/>
      </c>
      <c r="B773" s="24">
        <f>IF('ORDENES'!$A751="","",IF('ORDENES'!$S751="","-",'ORDENES'!$S751))</f>
        <v/>
      </c>
      <c r="C773" s="24">
        <f>IF('ORDENES'!$A751="","",IF('ORDENES'!$AI751="","-",'ORDENES'!$AI751))</f>
        <v/>
      </c>
      <c r="D773" s="24">
        <f>IF('ORDENES'!$A751="","",IF('ORDENES'!$AA751="","-",'ORDENES'!$AA751))</f>
        <v/>
      </c>
      <c r="E773" s="24">
        <f>IF('ORDENES'!$A751="","",IF('ORDENES'!$Y751="","-",'ORDENES'!$Y751))</f>
        <v/>
      </c>
      <c r="F773" s="24">
        <f>IF('ORDENES'!$A751="","",IF('ORDENES'!$AB751="","-",'ORDENES'!$AB751))</f>
        <v/>
      </c>
      <c r="G773" s="24">
        <f>IF('ORDENES'!$A751="","",IF('ORDENES'!$Z751="","-",'ORDENES'!$Z751))</f>
        <v/>
      </c>
      <c r="H773" s="24">
        <f>IF('ORDENES'!$A751="","",IF('ORDENES'!$AH751="","-",'ORDENES'!$AH751))</f>
        <v/>
      </c>
      <c r="I773" s="24">
        <f>IF('ORDENES'!$A751="","",IF('ORDENES'!$AU751="","-",'ORDENES'!$AU751))</f>
        <v/>
      </c>
      <c r="J773" s="24">
        <f>IF('ORDENES'!$A751="","",IF('ORDENES'!$D751="","-",'ORDENES'!$D751))</f>
        <v/>
      </c>
      <c r="K773" s="24">
        <f>IF('ORDENES'!$A751="","",IF('ORDENES'!$E751="","-",'ORDENES'!$E751))</f>
        <v/>
      </c>
      <c r="L773" s="26">
        <f>IF('ORDENES'!$A751="","",IF('ORDENES'!$M751="",0,'ORDENES'!$M751))</f>
        <v/>
      </c>
      <c r="M773" s="24">
        <f>IF('ORDENES'!$A751="","",IF('ORDENES'!$N751="","-",'ORDENES'!$N751))</f>
        <v/>
      </c>
      <c r="N773" s="24">
        <f>IF('ORDENES'!$A751="","",'ORDENES'!$AG751)</f>
        <v/>
      </c>
    </row>
    <row r="774">
      <c r="A774" s="24">
        <f>IF('ORDENES'!$A752="","",IF('ORDENES'!$O752="","-",'ORDENES'!$O752))</f>
        <v/>
      </c>
      <c r="B774" s="24">
        <f>IF('ORDENES'!$A752="","",IF('ORDENES'!$S752="","-",'ORDENES'!$S752))</f>
        <v/>
      </c>
      <c r="C774" s="24">
        <f>IF('ORDENES'!$A752="","",IF('ORDENES'!$AI752="","-",'ORDENES'!$AI752))</f>
        <v/>
      </c>
      <c r="D774" s="24">
        <f>IF('ORDENES'!$A752="","",IF('ORDENES'!$AA752="","-",'ORDENES'!$AA752))</f>
        <v/>
      </c>
      <c r="E774" s="24">
        <f>IF('ORDENES'!$A752="","",IF('ORDENES'!$Y752="","-",'ORDENES'!$Y752))</f>
        <v/>
      </c>
      <c r="F774" s="24">
        <f>IF('ORDENES'!$A752="","",IF('ORDENES'!$AB752="","-",'ORDENES'!$AB752))</f>
        <v/>
      </c>
      <c r="G774" s="24">
        <f>IF('ORDENES'!$A752="","",IF('ORDENES'!$Z752="","-",'ORDENES'!$Z752))</f>
        <v/>
      </c>
      <c r="H774" s="24">
        <f>IF('ORDENES'!$A752="","",IF('ORDENES'!$AH752="","-",'ORDENES'!$AH752))</f>
        <v/>
      </c>
      <c r="I774" s="24">
        <f>IF('ORDENES'!$A752="","",IF('ORDENES'!$AU752="","-",'ORDENES'!$AU752))</f>
        <v/>
      </c>
      <c r="J774" s="24">
        <f>IF('ORDENES'!$A752="","",IF('ORDENES'!$D752="","-",'ORDENES'!$D752))</f>
        <v/>
      </c>
      <c r="K774" s="24">
        <f>IF('ORDENES'!$A752="","",IF('ORDENES'!$E752="","-",'ORDENES'!$E752))</f>
        <v/>
      </c>
      <c r="L774" s="26">
        <f>IF('ORDENES'!$A752="","",IF('ORDENES'!$M752="",0,'ORDENES'!$M752))</f>
        <v/>
      </c>
      <c r="M774" s="24">
        <f>IF('ORDENES'!$A752="","",IF('ORDENES'!$N752="","-",'ORDENES'!$N752))</f>
        <v/>
      </c>
      <c r="N774" s="24">
        <f>IF('ORDENES'!$A752="","",'ORDENES'!$AG752)</f>
        <v/>
      </c>
    </row>
    <row r="775">
      <c r="A775" s="24">
        <f>IF('ORDENES'!$A753="","",IF('ORDENES'!$O753="","-",'ORDENES'!$O753))</f>
        <v/>
      </c>
      <c r="B775" s="24">
        <f>IF('ORDENES'!$A753="","",IF('ORDENES'!$S753="","-",'ORDENES'!$S753))</f>
        <v/>
      </c>
      <c r="C775" s="24">
        <f>IF('ORDENES'!$A753="","",IF('ORDENES'!$AI753="","-",'ORDENES'!$AI753))</f>
        <v/>
      </c>
      <c r="D775" s="24">
        <f>IF('ORDENES'!$A753="","",IF('ORDENES'!$AA753="","-",'ORDENES'!$AA753))</f>
        <v/>
      </c>
      <c r="E775" s="24">
        <f>IF('ORDENES'!$A753="","",IF('ORDENES'!$Y753="","-",'ORDENES'!$Y753))</f>
        <v/>
      </c>
      <c r="F775" s="24">
        <f>IF('ORDENES'!$A753="","",IF('ORDENES'!$AB753="","-",'ORDENES'!$AB753))</f>
        <v/>
      </c>
      <c r="G775" s="24">
        <f>IF('ORDENES'!$A753="","",IF('ORDENES'!$Z753="","-",'ORDENES'!$Z753))</f>
        <v/>
      </c>
      <c r="H775" s="24">
        <f>IF('ORDENES'!$A753="","",IF('ORDENES'!$AH753="","-",'ORDENES'!$AH753))</f>
        <v/>
      </c>
      <c r="I775" s="24">
        <f>IF('ORDENES'!$A753="","",IF('ORDENES'!$AU753="","-",'ORDENES'!$AU753))</f>
        <v/>
      </c>
      <c r="J775" s="24">
        <f>IF('ORDENES'!$A753="","",IF('ORDENES'!$D753="","-",'ORDENES'!$D753))</f>
        <v/>
      </c>
      <c r="K775" s="24">
        <f>IF('ORDENES'!$A753="","",IF('ORDENES'!$E753="","-",'ORDENES'!$E753))</f>
        <v/>
      </c>
      <c r="L775" s="26">
        <f>IF('ORDENES'!$A753="","",IF('ORDENES'!$M753="",0,'ORDENES'!$M753))</f>
        <v/>
      </c>
      <c r="M775" s="24">
        <f>IF('ORDENES'!$A753="","",IF('ORDENES'!$N753="","-",'ORDENES'!$N753))</f>
        <v/>
      </c>
      <c r="N775" s="24">
        <f>IF('ORDENES'!$A753="","",'ORDENES'!$AG753)</f>
        <v/>
      </c>
    </row>
    <row r="776">
      <c r="A776" s="24">
        <f>IF('ORDENES'!$A754="","",IF('ORDENES'!$O754="","-",'ORDENES'!$O754))</f>
        <v/>
      </c>
      <c r="B776" s="24">
        <f>IF('ORDENES'!$A754="","",IF('ORDENES'!$S754="","-",'ORDENES'!$S754))</f>
        <v/>
      </c>
      <c r="C776" s="24">
        <f>IF('ORDENES'!$A754="","",IF('ORDENES'!$AI754="","-",'ORDENES'!$AI754))</f>
        <v/>
      </c>
      <c r="D776" s="24">
        <f>IF('ORDENES'!$A754="","",IF('ORDENES'!$AA754="","-",'ORDENES'!$AA754))</f>
        <v/>
      </c>
      <c r="E776" s="24">
        <f>IF('ORDENES'!$A754="","",IF('ORDENES'!$Y754="","-",'ORDENES'!$Y754))</f>
        <v/>
      </c>
      <c r="F776" s="24">
        <f>IF('ORDENES'!$A754="","",IF('ORDENES'!$AB754="","-",'ORDENES'!$AB754))</f>
        <v/>
      </c>
      <c r="G776" s="24">
        <f>IF('ORDENES'!$A754="","",IF('ORDENES'!$Z754="","-",'ORDENES'!$Z754))</f>
        <v/>
      </c>
      <c r="H776" s="24">
        <f>IF('ORDENES'!$A754="","",IF('ORDENES'!$AH754="","-",'ORDENES'!$AH754))</f>
        <v/>
      </c>
      <c r="I776" s="24">
        <f>IF('ORDENES'!$A754="","",IF('ORDENES'!$AU754="","-",'ORDENES'!$AU754))</f>
        <v/>
      </c>
      <c r="J776" s="24">
        <f>IF('ORDENES'!$A754="","",IF('ORDENES'!$D754="","-",'ORDENES'!$D754))</f>
        <v/>
      </c>
      <c r="K776" s="24">
        <f>IF('ORDENES'!$A754="","",IF('ORDENES'!$E754="","-",'ORDENES'!$E754))</f>
        <v/>
      </c>
      <c r="L776" s="26">
        <f>IF('ORDENES'!$A754="","",IF('ORDENES'!$M754="",0,'ORDENES'!$M754))</f>
        <v/>
      </c>
      <c r="M776" s="24">
        <f>IF('ORDENES'!$A754="","",IF('ORDENES'!$N754="","-",'ORDENES'!$N754))</f>
        <v/>
      </c>
      <c r="N776" s="24">
        <f>IF('ORDENES'!$A754="","",'ORDENES'!$AG754)</f>
        <v/>
      </c>
    </row>
    <row r="777">
      <c r="A777" s="24">
        <f>IF('ORDENES'!$A755="","",IF('ORDENES'!$O755="","-",'ORDENES'!$O755))</f>
        <v/>
      </c>
      <c r="B777" s="24">
        <f>IF('ORDENES'!$A755="","",IF('ORDENES'!$S755="","-",'ORDENES'!$S755))</f>
        <v/>
      </c>
      <c r="C777" s="24">
        <f>IF('ORDENES'!$A755="","",IF('ORDENES'!$AI755="","-",'ORDENES'!$AI755))</f>
        <v/>
      </c>
      <c r="D777" s="24">
        <f>IF('ORDENES'!$A755="","",IF('ORDENES'!$AA755="","-",'ORDENES'!$AA755))</f>
        <v/>
      </c>
      <c r="E777" s="24">
        <f>IF('ORDENES'!$A755="","",IF('ORDENES'!$Y755="","-",'ORDENES'!$Y755))</f>
        <v/>
      </c>
      <c r="F777" s="24">
        <f>IF('ORDENES'!$A755="","",IF('ORDENES'!$AB755="","-",'ORDENES'!$AB755))</f>
        <v/>
      </c>
      <c r="G777" s="24">
        <f>IF('ORDENES'!$A755="","",IF('ORDENES'!$Z755="","-",'ORDENES'!$Z755))</f>
        <v/>
      </c>
      <c r="H777" s="24">
        <f>IF('ORDENES'!$A755="","",IF('ORDENES'!$AH755="","-",'ORDENES'!$AH755))</f>
        <v/>
      </c>
      <c r="I777" s="24">
        <f>IF('ORDENES'!$A755="","",IF('ORDENES'!$AU755="","-",'ORDENES'!$AU755))</f>
        <v/>
      </c>
      <c r="J777" s="24">
        <f>IF('ORDENES'!$A755="","",IF('ORDENES'!$D755="","-",'ORDENES'!$D755))</f>
        <v/>
      </c>
      <c r="K777" s="24">
        <f>IF('ORDENES'!$A755="","",IF('ORDENES'!$E755="","-",'ORDENES'!$E755))</f>
        <v/>
      </c>
      <c r="L777" s="26">
        <f>IF('ORDENES'!$A755="","",IF('ORDENES'!$M755="",0,'ORDENES'!$M755))</f>
        <v/>
      </c>
      <c r="M777" s="24">
        <f>IF('ORDENES'!$A755="","",IF('ORDENES'!$N755="","-",'ORDENES'!$N755))</f>
        <v/>
      </c>
      <c r="N777" s="24">
        <f>IF('ORDENES'!$A755="","",'ORDENES'!$AG755)</f>
        <v/>
      </c>
    </row>
    <row r="778">
      <c r="A778" s="24">
        <f>IF('ORDENES'!$A756="","",IF('ORDENES'!$O756="","-",'ORDENES'!$O756))</f>
        <v/>
      </c>
      <c r="B778" s="24">
        <f>IF('ORDENES'!$A756="","",IF('ORDENES'!$S756="","-",'ORDENES'!$S756))</f>
        <v/>
      </c>
      <c r="C778" s="24">
        <f>IF('ORDENES'!$A756="","",IF('ORDENES'!$AI756="","-",'ORDENES'!$AI756))</f>
        <v/>
      </c>
      <c r="D778" s="24">
        <f>IF('ORDENES'!$A756="","",IF('ORDENES'!$AA756="","-",'ORDENES'!$AA756))</f>
        <v/>
      </c>
      <c r="E778" s="24">
        <f>IF('ORDENES'!$A756="","",IF('ORDENES'!$Y756="","-",'ORDENES'!$Y756))</f>
        <v/>
      </c>
      <c r="F778" s="24">
        <f>IF('ORDENES'!$A756="","",IF('ORDENES'!$AB756="","-",'ORDENES'!$AB756))</f>
        <v/>
      </c>
      <c r="G778" s="24">
        <f>IF('ORDENES'!$A756="","",IF('ORDENES'!$Z756="","-",'ORDENES'!$Z756))</f>
        <v/>
      </c>
      <c r="H778" s="24">
        <f>IF('ORDENES'!$A756="","",IF('ORDENES'!$AH756="","-",'ORDENES'!$AH756))</f>
        <v/>
      </c>
      <c r="I778" s="24">
        <f>IF('ORDENES'!$A756="","",IF('ORDENES'!$AU756="","-",'ORDENES'!$AU756))</f>
        <v/>
      </c>
      <c r="J778" s="24">
        <f>IF('ORDENES'!$A756="","",IF('ORDENES'!$D756="","-",'ORDENES'!$D756))</f>
        <v/>
      </c>
      <c r="K778" s="24">
        <f>IF('ORDENES'!$A756="","",IF('ORDENES'!$E756="","-",'ORDENES'!$E756))</f>
        <v/>
      </c>
      <c r="L778" s="26">
        <f>IF('ORDENES'!$A756="","",IF('ORDENES'!$M756="",0,'ORDENES'!$M756))</f>
        <v/>
      </c>
      <c r="M778" s="24">
        <f>IF('ORDENES'!$A756="","",IF('ORDENES'!$N756="","-",'ORDENES'!$N756))</f>
        <v/>
      </c>
      <c r="N778" s="24">
        <f>IF('ORDENES'!$A756="","",'ORDENES'!$AG756)</f>
        <v/>
      </c>
    </row>
    <row r="779">
      <c r="A779" s="24">
        <f>IF('ORDENES'!$A757="","",IF('ORDENES'!$O757="","-",'ORDENES'!$O757))</f>
        <v/>
      </c>
      <c r="B779" s="24">
        <f>IF('ORDENES'!$A757="","",IF('ORDENES'!$S757="","-",'ORDENES'!$S757))</f>
        <v/>
      </c>
      <c r="C779" s="24">
        <f>IF('ORDENES'!$A757="","",IF('ORDENES'!$AI757="","-",'ORDENES'!$AI757))</f>
        <v/>
      </c>
      <c r="D779" s="24">
        <f>IF('ORDENES'!$A757="","",IF('ORDENES'!$AA757="","-",'ORDENES'!$AA757))</f>
        <v/>
      </c>
      <c r="E779" s="24">
        <f>IF('ORDENES'!$A757="","",IF('ORDENES'!$Y757="","-",'ORDENES'!$Y757))</f>
        <v/>
      </c>
      <c r="F779" s="24">
        <f>IF('ORDENES'!$A757="","",IF('ORDENES'!$AB757="","-",'ORDENES'!$AB757))</f>
        <v/>
      </c>
      <c r="G779" s="24">
        <f>IF('ORDENES'!$A757="","",IF('ORDENES'!$Z757="","-",'ORDENES'!$Z757))</f>
        <v/>
      </c>
      <c r="H779" s="24">
        <f>IF('ORDENES'!$A757="","",IF('ORDENES'!$AH757="","-",'ORDENES'!$AH757))</f>
        <v/>
      </c>
      <c r="I779" s="24">
        <f>IF('ORDENES'!$A757="","",IF('ORDENES'!$AU757="","-",'ORDENES'!$AU757))</f>
        <v/>
      </c>
      <c r="J779" s="24">
        <f>IF('ORDENES'!$A757="","",IF('ORDENES'!$D757="","-",'ORDENES'!$D757))</f>
        <v/>
      </c>
      <c r="K779" s="24">
        <f>IF('ORDENES'!$A757="","",IF('ORDENES'!$E757="","-",'ORDENES'!$E757))</f>
        <v/>
      </c>
      <c r="L779" s="26">
        <f>IF('ORDENES'!$A757="","",IF('ORDENES'!$M757="",0,'ORDENES'!$M757))</f>
        <v/>
      </c>
      <c r="M779" s="24">
        <f>IF('ORDENES'!$A757="","",IF('ORDENES'!$N757="","-",'ORDENES'!$N757))</f>
        <v/>
      </c>
      <c r="N779" s="24">
        <f>IF('ORDENES'!$A757="","",'ORDENES'!$AG757)</f>
        <v/>
      </c>
    </row>
    <row r="780">
      <c r="A780" s="24">
        <f>IF('ORDENES'!$A758="","",IF('ORDENES'!$O758="","-",'ORDENES'!$O758))</f>
        <v/>
      </c>
      <c r="B780" s="24">
        <f>IF('ORDENES'!$A758="","",IF('ORDENES'!$S758="","-",'ORDENES'!$S758))</f>
        <v/>
      </c>
      <c r="C780" s="24">
        <f>IF('ORDENES'!$A758="","",IF('ORDENES'!$AI758="","-",'ORDENES'!$AI758))</f>
        <v/>
      </c>
      <c r="D780" s="24">
        <f>IF('ORDENES'!$A758="","",IF('ORDENES'!$AA758="","-",'ORDENES'!$AA758))</f>
        <v/>
      </c>
      <c r="E780" s="24">
        <f>IF('ORDENES'!$A758="","",IF('ORDENES'!$Y758="","-",'ORDENES'!$Y758))</f>
        <v/>
      </c>
      <c r="F780" s="24">
        <f>IF('ORDENES'!$A758="","",IF('ORDENES'!$AB758="","-",'ORDENES'!$AB758))</f>
        <v/>
      </c>
      <c r="G780" s="24">
        <f>IF('ORDENES'!$A758="","",IF('ORDENES'!$Z758="","-",'ORDENES'!$Z758))</f>
        <v/>
      </c>
      <c r="H780" s="24">
        <f>IF('ORDENES'!$A758="","",IF('ORDENES'!$AH758="","-",'ORDENES'!$AH758))</f>
        <v/>
      </c>
      <c r="I780" s="24">
        <f>IF('ORDENES'!$A758="","",IF('ORDENES'!$AU758="","-",'ORDENES'!$AU758))</f>
        <v/>
      </c>
      <c r="J780" s="24">
        <f>IF('ORDENES'!$A758="","",IF('ORDENES'!$D758="","-",'ORDENES'!$D758))</f>
        <v/>
      </c>
      <c r="K780" s="24">
        <f>IF('ORDENES'!$A758="","",IF('ORDENES'!$E758="","-",'ORDENES'!$E758))</f>
        <v/>
      </c>
      <c r="L780" s="26">
        <f>IF('ORDENES'!$A758="","",IF('ORDENES'!$M758="",0,'ORDENES'!$M758))</f>
        <v/>
      </c>
      <c r="M780" s="24">
        <f>IF('ORDENES'!$A758="","",IF('ORDENES'!$N758="","-",'ORDENES'!$N758))</f>
        <v/>
      </c>
      <c r="N780" s="24">
        <f>IF('ORDENES'!$A758="","",'ORDENES'!$AG758)</f>
        <v/>
      </c>
    </row>
    <row r="781">
      <c r="A781" s="24">
        <f>IF('ORDENES'!$A759="","",IF('ORDENES'!$O759="","-",'ORDENES'!$O759))</f>
        <v/>
      </c>
      <c r="B781" s="24">
        <f>IF('ORDENES'!$A759="","",IF('ORDENES'!$S759="","-",'ORDENES'!$S759))</f>
        <v/>
      </c>
      <c r="C781" s="24">
        <f>IF('ORDENES'!$A759="","",IF('ORDENES'!$AI759="","-",'ORDENES'!$AI759))</f>
        <v/>
      </c>
      <c r="D781" s="24">
        <f>IF('ORDENES'!$A759="","",IF('ORDENES'!$AA759="","-",'ORDENES'!$AA759))</f>
        <v/>
      </c>
      <c r="E781" s="24">
        <f>IF('ORDENES'!$A759="","",IF('ORDENES'!$Y759="","-",'ORDENES'!$Y759))</f>
        <v/>
      </c>
      <c r="F781" s="24">
        <f>IF('ORDENES'!$A759="","",IF('ORDENES'!$AB759="","-",'ORDENES'!$AB759))</f>
        <v/>
      </c>
      <c r="G781" s="24">
        <f>IF('ORDENES'!$A759="","",IF('ORDENES'!$Z759="","-",'ORDENES'!$Z759))</f>
        <v/>
      </c>
      <c r="H781" s="24">
        <f>IF('ORDENES'!$A759="","",IF('ORDENES'!$AH759="","-",'ORDENES'!$AH759))</f>
        <v/>
      </c>
      <c r="I781" s="24">
        <f>IF('ORDENES'!$A759="","",IF('ORDENES'!$AU759="","-",'ORDENES'!$AU759))</f>
        <v/>
      </c>
      <c r="J781" s="24">
        <f>IF('ORDENES'!$A759="","",IF('ORDENES'!$D759="","-",'ORDENES'!$D759))</f>
        <v/>
      </c>
      <c r="K781" s="24">
        <f>IF('ORDENES'!$A759="","",IF('ORDENES'!$E759="","-",'ORDENES'!$E759))</f>
        <v/>
      </c>
      <c r="L781" s="26">
        <f>IF('ORDENES'!$A759="","",IF('ORDENES'!$M759="",0,'ORDENES'!$M759))</f>
        <v/>
      </c>
      <c r="M781" s="24">
        <f>IF('ORDENES'!$A759="","",IF('ORDENES'!$N759="","-",'ORDENES'!$N759))</f>
        <v/>
      </c>
      <c r="N781" s="24">
        <f>IF('ORDENES'!$A759="","",'ORDENES'!$AG759)</f>
        <v/>
      </c>
    </row>
    <row r="782">
      <c r="A782" s="24">
        <f>IF('ORDENES'!$A760="","",IF('ORDENES'!$O760="","-",'ORDENES'!$O760))</f>
        <v/>
      </c>
      <c r="B782" s="24">
        <f>IF('ORDENES'!$A760="","",IF('ORDENES'!$S760="","-",'ORDENES'!$S760))</f>
        <v/>
      </c>
      <c r="C782" s="24">
        <f>IF('ORDENES'!$A760="","",IF('ORDENES'!$AI760="","-",'ORDENES'!$AI760))</f>
        <v/>
      </c>
      <c r="D782" s="24">
        <f>IF('ORDENES'!$A760="","",IF('ORDENES'!$AA760="","-",'ORDENES'!$AA760))</f>
        <v/>
      </c>
      <c r="E782" s="24">
        <f>IF('ORDENES'!$A760="","",IF('ORDENES'!$Y760="","-",'ORDENES'!$Y760))</f>
        <v/>
      </c>
      <c r="F782" s="24">
        <f>IF('ORDENES'!$A760="","",IF('ORDENES'!$AB760="","-",'ORDENES'!$AB760))</f>
        <v/>
      </c>
      <c r="G782" s="24">
        <f>IF('ORDENES'!$A760="","",IF('ORDENES'!$Z760="","-",'ORDENES'!$Z760))</f>
        <v/>
      </c>
      <c r="H782" s="24">
        <f>IF('ORDENES'!$A760="","",IF('ORDENES'!$AH760="","-",'ORDENES'!$AH760))</f>
        <v/>
      </c>
      <c r="I782" s="24">
        <f>IF('ORDENES'!$A760="","",IF('ORDENES'!$AU760="","-",'ORDENES'!$AU760))</f>
        <v/>
      </c>
      <c r="J782" s="24">
        <f>IF('ORDENES'!$A760="","",IF('ORDENES'!$D760="","-",'ORDENES'!$D760))</f>
        <v/>
      </c>
      <c r="K782" s="24">
        <f>IF('ORDENES'!$A760="","",IF('ORDENES'!$E760="","-",'ORDENES'!$E760))</f>
        <v/>
      </c>
      <c r="L782" s="26">
        <f>IF('ORDENES'!$A760="","",IF('ORDENES'!$M760="",0,'ORDENES'!$M760))</f>
        <v/>
      </c>
      <c r="M782" s="24">
        <f>IF('ORDENES'!$A760="","",IF('ORDENES'!$N760="","-",'ORDENES'!$N760))</f>
        <v/>
      </c>
      <c r="N782" s="24">
        <f>IF('ORDENES'!$A760="","",'ORDENES'!$AG760)</f>
        <v/>
      </c>
    </row>
    <row r="783">
      <c r="A783" s="24">
        <f>IF('ORDENES'!$A761="","",IF('ORDENES'!$O761="","-",'ORDENES'!$O761))</f>
        <v/>
      </c>
      <c r="B783" s="24">
        <f>IF('ORDENES'!$A761="","",IF('ORDENES'!$S761="","-",'ORDENES'!$S761))</f>
        <v/>
      </c>
      <c r="C783" s="24">
        <f>IF('ORDENES'!$A761="","",IF('ORDENES'!$AI761="","-",'ORDENES'!$AI761))</f>
        <v/>
      </c>
      <c r="D783" s="24">
        <f>IF('ORDENES'!$A761="","",IF('ORDENES'!$AA761="","-",'ORDENES'!$AA761))</f>
        <v/>
      </c>
      <c r="E783" s="24">
        <f>IF('ORDENES'!$A761="","",IF('ORDENES'!$Y761="","-",'ORDENES'!$Y761))</f>
        <v/>
      </c>
      <c r="F783" s="24">
        <f>IF('ORDENES'!$A761="","",IF('ORDENES'!$AB761="","-",'ORDENES'!$AB761))</f>
        <v/>
      </c>
      <c r="G783" s="24">
        <f>IF('ORDENES'!$A761="","",IF('ORDENES'!$Z761="","-",'ORDENES'!$Z761))</f>
        <v/>
      </c>
      <c r="H783" s="24">
        <f>IF('ORDENES'!$A761="","",IF('ORDENES'!$AH761="","-",'ORDENES'!$AH761))</f>
        <v/>
      </c>
      <c r="I783" s="24">
        <f>IF('ORDENES'!$A761="","",IF('ORDENES'!$AU761="","-",'ORDENES'!$AU761))</f>
        <v/>
      </c>
      <c r="J783" s="24">
        <f>IF('ORDENES'!$A761="","",IF('ORDENES'!$D761="","-",'ORDENES'!$D761))</f>
        <v/>
      </c>
      <c r="K783" s="24">
        <f>IF('ORDENES'!$A761="","",IF('ORDENES'!$E761="","-",'ORDENES'!$E761))</f>
        <v/>
      </c>
      <c r="L783" s="26">
        <f>IF('ORDENES'!$A761="","",IF('ORDENES'!$M761="",0,'ORDENES'!$M761))</f>
        <v/>
      </c>
      <c r="M783" s="24">
        <f>IF('ORDENES'!$A761="","",IF('ORDENES'!$N761="","-",'ORDENES'!$N761))</f>
        <v/>
      </c>
      <c r="N783" s="24">
        <f>IF('ORDENES'!$A761="","",'ORDENES'!$AG761)</f>
        <v/>
      </c>
    </row>
    <row r="784">
      <c r="A784" s="24">
        <f>IF('ORDENES'!$A762="","",IF('ORDENES'!$O762="","-",'ORDENES'!$O762))</f>
        <v/>
      </c>
      <c r="B784" s="24">
        <f>IF('ORDENES'!$A762="","",IF('ORDENES'!$S762="","-",'ORDENES'!$S762))</f>
        <v/>
      </c>
      <c r="C784" s="24">
        <f>IF('ORDENES'!$A762="","",IF('ORDENES'!$AI762="","-",'ORDENES'!$AI762))</f>
        <v/>
      </c>
      <c r="D784" s="24">
        <f>IF('ORDENES'!$A762="","",IF('ORDENES'!$AA762="","-",'ORDENES'!$AA762))</f>
        <v/>
      </c>
      <c r="E784" s="24">
        <f>IF('ORDENES'!$A762="","",IF('ORDENES'!$Y762="","-",'ORDENES'!$Y762))</f>
        <v/>
      </c>
      <c r="F784" s="24">
        <f>IF('ORDENES'!$A762="","",IF('ORDENES'!$AB762="","-",'ORDENES'!$AB762))</f>
        <v/>
      </c>
      <c r="G784" s="24">
        <f>IF('ORDENES'!$A762="","",IF('ORDENES'!$Z762="","-",'ORDENES'!$Z762))</f>
        <v/>
      </c>
      <c r="H784" s="24">
        <f>IF('ORDENES'!$A762="","",IF('ORDENES'!$AH762="","-",'ORDENES'!$AH762))</f>
        <v/>
      </c>
      <c r="I784" s="24">
        <f>IF('ORDENES'!$A762="","",IF('ORDENES'!$AU762="","-",'ORDENES'!$AU762))</f>
        <v/>
      </c>
      <c r="J784" s="24">
        <f>IF('ORDENES'!$A762="","",IF('ORDENES'!$D762="","-",'ORDENES'!$D762))</f>
        <v/>
      </c>
      <c r="K784" s="24">
        <f>IF('ORDENES'!$A762="","",IF('ORDENES'!$E762="","-",'ORDENES'!$E762))</f>
        <v/>
      </c>
      <c r="L784" s="26">
        <f>IF('ORDENES'!$A762="","",IF('ORDENES'!$M762="",0,'ORDENES'!$M762))</f>
        <v/>
      </c>
      <c r="M784" s="24">
        <f>IF('ORDENES'!$A762="","",IF('ORDENES'!$N762="","-",'ORDENES'!$N762))</f>
        <v/>
      </c>
      <c r="N784" s="24">
        <f>IF('ORDENES'!$A762="","",'ORDENES'!$AG762)</f>
        <v/>
      </c>
    </row>
    <row r="785">
      <c r="A785" s="24">
        <f>IF('ORDENES'!$A763="","",IF('ORDENES'!$O763="","-",'ORDENES'!$O763))</f>
        <v/>
      </c>
      <c r="B785" s="24">
        <f>IF('ORDENES'!$A763="","",IF('ORDENES'!$S763="","-",'ORDENES'!$S763))</f>
        <v/>
      </c>
      <c r="C785" s="24">
        <f>IF('ORDENES'!$A763="","",IF('ORDENES'!$AI763="","-",'ORDENES'!$AI763))</f>
        <v/>
      </c>
      <c r="D785" s="24">
        <f>IF('ORDENES'!$A763="","",IF('ORDENES'!$AA763="","-",'ORDENES'!$AA763))</f>
        <v/>
      </c>
      <c r="E785" s="24">
        <f>IF('ORDENES'!$A763="","",IF('ORDENES'!$Y763="","-",'ORDENES'!$Y763))</f>
        <v/>
      </c>
      <c r="F785" s="24">
        <f>IF('ORDENES'!$A763="","",IF('ORDENES'!$AB763="","-",'ORDENES'!$AB763))</f>
        <v/>
      </c>
      <c r="G785" s="24">
        <f>IF('ORDENES'!$A763="","",IF('ORDENES'!$Z763="","-",'ORDENES'!$Z763))</f>
        <v/>
      </c>
      <c r="H785" s="24">
        <f>IF('ORDENES'!$A763="","",IF('ORDENES'!$AH763="","-",'ORDENES'!$AH763))</f>
        <v/>
      </c>
      <c r="I785" s="24">
        <f>IF('ORDENES'!$A763="","",IF('ORDENES'!$AU763="","-",'ORDENES'!$AU763))</f>
        <v/>
      </c>
      <c r="J785" s="24">
        <f>IF('ORDENES'!$A763="","",IF('ORDENES'!$D763="","-",'ORDENES'!$D763))</f>
        <v/>
      </c>
      <c r="K785" s="24">
        <f>IF('ORDENES'!$A763="","",IF('ORDENES'!$E763="","-",'ORDENES'!$E763))</f>
        <v/>
      </c>
      <c r="L785" s="26">
        <f>IF('ORDENES'!$A763="","",IF('ORDENES'!$M763="",0,'ORDENES'!$M763))</f>
        <v/>
      </c>
      <c r="M785" s="24">
        <f>IF('ORDENES'!$A763="","",IF('ORDENES'!$N763="","-",'ORDENES'!$N763))</f>
        <v/>
      </c>
      <c r="N785" s="24">
        <f>IF('ORDENES'!$A763="","",'ORDENES'!$AG763)</f>
        <v/>
      </c>
    </row>
    <row r="786">
      <c r="A786" s="24">
        <f>IF('ORDENES'!$A764="","",IF('ORDENES'!$O764="","-",'ORDENES'!$O764))</f>
        <v/>
      </c>
      <c r="B786" s="24">
        <f>IF('ORDENES'!$A764="","",IF('ORDENES'!$S764="","-",'ORDENES'!$S764))</f>
        <v/>
      </c>
      <c r="C786" s="24">
        <f>IF('ORDENES'!$A764="","",IF('ORDENES'!$AI764="","-",'ORDENES'!$AI764))</f>
        <v/>
      </c>
      <c r="D786" s="24">
        <f>IF('ORDENES'!$A764="","",IF('ORDENES'!$AA764="","-",'ORDENES'!$AA764))</f>
        <v/>
      </c>
      <c r="E786" s="24">
        <f>IF('ORDENES'!$A764="","",IF('ORDENES'!$Y764="","-",'ORDENES'!$Y764))</f>
        <v/>
      </c>
      <c r="F786" s="24">
        <f>IF('ORDENES'!$A764="","",IF('ORDENES'!$AB764="","-",'ORDENES'!$AB764))</f>
        <v/>
      </c>
      <c r="G786" s="24">
        <f>IF('ORDENES'!$A764="","",IF('ORDENES'!$Z764="","-",'ORDENES'!$Z764))</f>
        <v/>
      </c>
      <c r="H786" s="24">
        <f>IF('ORDENES'!$A764="","",IF('ORDENES'!$AH764="","-",'ORDENES'!$AH764))</f>
        <v/>
      </c>
      <c r="I786" s="24">
        <f>IF('ORDENES'!$A764="","",IF('ORDENES'!$AU764="","-",'ORDENES'!$AU764))</f>
        <v/>
      </c>
      <c r="J786" s="24">
        <f>IF('ORDENES'!$A764="","",IF('ORDENES'!$D764="","-",'ORDENES'!$D764))</f>
        <v/>
      </c>
      <c r="K786" s="24">
        <f>IF('ORDENES'!$A764="","",IF('ORDENES'!$E764="","-",'ORDENES'!$E764))</f>
        <v/>
      </c>
      <c r="L786" s="26">
        <f>IF('ORDENES'!$A764="","",IF('ORDENES'!$M764="",0,'ORDENES'!$M764))</f>
        <v/>
      </c>
      <c r="M786" s="24">
        <f>IF('ORDENES'!$A764="","",IF('ORDENES'!$N764="","-",'ORDENES'!$N764))</f>
        <v/>
      </c>
      <c r="N786" s="24">
        <f>IF('ORDENES'!$A764="","",'ORDENES'!$AG764)</f>
        <v/>
      </c>
    </row>
    <row r="787">
      <c r="A787" s="24">
        <f>IF('ORDENES'!$A765="","",IF('ORDENES'!$O765="","-",'ORDENES'!$O765))</f>
        <v/>
      </c>
      <c r="B787" s="24">
        <f>IF('ORDENES'!$A765="","",IF('ORDENES'!$S765="","-",'ORDENES'!$S765))</f>
        <v/>
      </c>
      <c r="C787" s="24">
        <f>IF('ORDENES'!$A765="","",IF('ORDENES'!$AI765="","-",'ORDENES'!$AI765))</f>
        <v/>
      </c>
      <c r="D787" s="24">
        <f>IF('ORDENES'!$A765="","",IF('ORDENES'!$AA765="","-",'ORDENES'!$AA765))</f>
        <v/>
      </c>
      <c r="E787" s="24">
        <f>IF('ORDENES'!$A765="","",IF('ORDENES'!$Y765="","-",'ORDENES'!$Y765))</f>
        <v/>
      </c>
      <c r="F787" s="24">
        <f>IF('ORDENES'!$A765="","",IF('ORDENES'!$AB765="","-",'ORDENES'!$AB765))</f>
        <v/>
      </c>
      <c r="G787" s="24">
        <f>IF('ORDENES'!$A765="","",IF('ORDENES'!$Z765="","-",'ORDENES'!$Z765))</f>
        <v/>
      </c>
      <c r="H787" s="24">
        <f>IF('ORDENES'!$A765="","",IF('ORDENES'!$AH765="","-",'ORDENES'!$AH765))</f>
        <v/>
      </c>
      <c r="I787" s="24">
        <f>IF('ORDENES'!$A765="","",IF('ORDENES'!$AU765="","-",'ORDENES'!$AU765))</f>
        <v/>
      </c>
      <c r="J787" s="24">
        <f>IF('ORDENES'!$A765="","",IF('ORDENES'!$D765="","-",'ORDENES'!$D765))</f>
        <v/>
      </c>
      <c r="K787" s="24">
        <f>IF('ORDENES'!$A765="","",IF('ORDENES'!$E765="","-",'ORDENES'!$E765))</f>
        <v/>
      </c>
      <c r="L787" s="26">
        <f>IF('ORDENES'!$A765="","",IF('ORDENES'!$M765="",0,'ORDENES'!$M765))</f>
        <v/>
      </c>
      <c r="M787" s="24">
        <f>IF('ORDENES'!$A765="","",IF('ORDENES'!$N765="","-",'ORDENES'!$N765))</f>
        <v/>
      </c>
      <c r="N787" s="24">
        <f>IF('ORDENES'!$A765="","",'ORDENES'!$AG765)</f>
        <v/>
      </c>
    </row>
    <row r="788">
      <c r="A788" s="24">
        <f>IF('ORDENES'!$A766="","",IF('ORDENES'!$O766="","-",'ORDENES'!$O766))</f>
        <v/>
      </c>
      <c r="B788" s="24">
        <f>IF('ORDENES'!$A766="","",IF('ORDENES'!$S766="","-",'ORDENES'!$S766))</f>
        <v/>
      </c>
      <c r="C788" s="24">
        <f>IF('ORDENES'!$A766="","",IF('ORDENES'!$AI766="","-",'ORDENES'!$AI766))</f>
        <v/>
      </c>
      <c r="D788" s="24">
        <f>IF('ORDENES'!$A766="","",IF('ORDENES'!$AA766="","-",'ORDENES'!$AA766))</f>
        <v/>
      </c>
      <c r="E788" s="24">
        <f>IF('ORDENES'!$A766="","",IF('ORDENES'!$Y766="","-",'ORDENES'!$Y766))</f>
        <v/>
      </c>
      <c r="F788" s="24">
        <f>IF('ORDENES'!$A766="","",IF('ORDENES'!$AB766="","-",'ORDENES'!$AB766))</f>
        <v/>
      </c>
      <c r="G788" s="24">
        <f>IF('ORDENES'!$A766="","",IF('ORDENES'!$Z766="","-",'ORDENES'!$Z766))</f>
        <v/>
      </c>
      <c r="H788" s="24">
        <f>IF('ORDENES'!$A766="","",IF('ORDENES'!$AH766="","-",'ORDENES'!$AH766))</f>
        <v/>
      </c>
      <c r="I788" s="24">
        <f>IF('ORDENES'!$A766="","",IF('ORDENES'!$AU766="","-",'ORDENES'!$AU766))</f>
        <v/>
      </c>
      <c r="J788" s="24">
        <f>IF('ORDENES'!$A766="","",IF('ORDENES'!$D766="","-",'ORDENES'!$D766))</f>
        <v/>
      </c>
      <c r="K788" s="24">
        <f>IF('ORDENES'!$A766="","",IF('ORDENES'!$E766="","-",'ORDENES'!$E766))</f>
        <v/>
      </c>
      <c r="L788" s="26">
        <f>IF('ORDENES'!$A766="","",IF('ORDENES'!$M766="",0,'ORDENES'!$M766))</f>
        <v/>
      </c>
      <c r="M788" s="24">
        <f>IF('ORDENES'!$A766="","",IF('ORDENES'!$N766="","-",'ORDENES'!$N766))</f>
        <v/>
      </c>
      <c r="N788" s="24">
        <f>IF('ORDENES'!$A766="","",'ORDENES'!$AG766)</f>
        <v/>
      </c>
    </row>
    <row r="789">
      <c r="A789" s="24">
        <f>IF('ORDENES'!$A767="","",IF('ORDENES'!$O767="","-",'ORDENES'!$O767))</f>
        <v/>
      </c>
      <c r="B789" s="24">
        <f>IF('ORDENES'!$A767="","",IF('ORDENES'!$S767="","-",'ORDENES'!$S767))</f>
        <v/>
      </c>
      <c r="C789" s="24">
        <f>IF('ORDENES'!$A767="","",IF('ORDENES'!$AI767="","-",'ORDENES'!$AI767))</f>
        <v/>
      </c>
      <c r="D789" s="24">
        <f>IF('ORDENES'!$A767="","",IF('ORDENES'!$AA767="","-",'ORDENES'!$AA767))</f>
        <v/>
      </c>
      <c r="E789" s="24">
        <f>IF('ORDENES'!$A767="","",IF('ORDENES'!$Y767="","-",'ORDENES'!$Y767))</f>
        <v/>
      </c>
      <c r="F789" s="24">
        <f>IF('ORDENES'!$A767="","",IF('ORDENES'!$AB767="","-",'ORDENES'!$AB767))</f>
        <v/>
      </c>
      <c r="G789" s="24">
        <f>IF('ORDENES'!$A767="","",IF('ORDENES'!$Z767="","-",'ORDENES'!$Z767))</f>
        <v/>
      </c>
      <c r="H789" s="24">
        <f>IF('ORDENES'!$A767="","",IF('ORDENES'!$AH767="","-",'ORDENES'!$AH767))</f>
        <v/>
      </c>
      <c r="I789" s="24">
        <f>IF('ORDENES'!$A767="","",IF('ORDENES'!$AU767="","-",'ORDENES'!$AU767))</f>
        <v/>
      </c>
      <c r="J789" s="24">
        <f>IF('ORDENES'!$A767="","",IF('ORDENES'!$D767="","-",'ORDENES'!$D767))</f>
        <v/>
      </c>
      <c r="K789" s="24">
        <f>IF('ORDENES'!$A767="","",IF('ORDENES'!$E767="","-",'ORDENES'!$E767))</f>
        <v/>
      </c>
      <c r="L789" s="26">
        <f>IF('ORDENES'!$A767="","",IF('ORDENES'!$M767="",0,'ORDENES'!$M767))</f>
        <v/>
      </c>
      <c r="M789" s="24">
        <f>IF('ORDENES'!$A767="","",IF('ORDENES'!$N767="","-",'ORDENES'!$N767))</f>
        <v/>
      </c>
      <c r="N789" s="24">
        <f>IF('ORDENES'!$A767="","",'ORDENES'!$AG767)</f>
        <v/>
      </c>
    </row>
    <row r="790">
      <c r="A790" s="24">
        <f>IF('ORDENES'!$A768="","",IF('ORDENES'!$O768="","-",'ORDENES'!$O768))</f>
        <v/>
      </c>
      <c r="B790" s="24">
        <f>IF('ORDENES'!$A768="","",IF('ORDENES'!$S768="","-",'ORDENES'!$S768))</f>
        <v/>
      </c>
      <c r="C790" s="24">
        <f>IF('ORDENES'!$A768="","",IF('ORDENES'!$AI768="","-",'ORDENES'!$AI768))</f>
        <v/>
      </c>
      <c r="D790" s="24">
        <f>IF('ORDENES'!$A768="","",IF('ORDENES'!$AA768="","-",'ORDENES'!$AA768))</f>
        <v/>
      </c>
      <c r="E790" s="24">
        <f>IF('ORDENES'!$A768="","",IF('ORDENES'!$Y768="","-",'ORDENES'!$Y768))</f>
        <v/>
      </c>
      <c r="F790" s="24">
        <f>IF('ORDENES'!$A768="","",IF('ORDENES'!$AB768="","-",'ORDENES'!$AB768))</f>
        <v/>
      </c>
      <c r="G790" s="24">
        <f>IF('ORDENES'!$A768="","",IF('ORDENES'!$Z768="","-",'ORDENES'!$Z768))</f>
        <v/>
      </c>
      <c r="H790" s="24">
        <f>IF('ORDENES'!$A768="","",IF('ORDENES'!$AH768="","-",'ORDENES'!$AH768))</f>
        <v/>
      </c>
      <c r="I790" s="24">
        <f>IF('ORDENES'!$A768="","",IF('ORDENES'!$AU768="","-",'ORDENES'!$AU768))</f>
        <v/>
      </c>
      <c r="J790" s="24">
        <f>IF('ORDENES'!$A768="","",IF('ORDENES'!$D768="","-",'ORDENES'!$D768))</f>
        <v/>
      </c>
      <c r="K790" s="24">
        <f>IF('ORDENES'!$A768="","",IF('ORDENES'!$E768="","-",'ORDENES'!$E768))</f>
        <v/>
      </c>
      <c r="L790" s="26">
        <f>IF('ORDENES'!$A768="","",IF('ORDENES'!$M768="",0,'ORDENES'!$M768))</f>
        <v/>
      </c>
      <c r="M790" s="24">
        <f>IF('ORDENES'!$A768="","",IF('ORDENES'!$N768="","-",'ORDENES'!$N768))</f>
        <v/>
      </c>
      <c r="N790" s="24">
        <f>IF('ORDENES'!$A768="","",'ORDENES'!$AG768)</f>
        <v/>
      </c>
    </row>
    <row r="791">
      <c r="A791" s="24">
        <f>IF('ORDENES'!$A769="","",IF('ORDENES'!$O769="","-",'ORDENES'!$O769))</f>
        <v/>
      </c>
      <c r="B791" s="24">
        <f>IF('ORDENES'!$A769="","",IF('ORDENES'!$S769="","-",'ORDENES'!$S769))</f>
        <v/>
      </c>
      <c r="C791" s="24">
        <f>IF('ORDENES'!$A769="","",IF('ORDENES'!$AI769="","-",'ORDENES'!$AI769))</f>
        <v/>
      </c>
      <c r="D791" s="24">
        <f>IF('ORDENES'!$A769="","",IF('ORDENES'!$AA769="","-",'ORDENES'!$AA769))</f>
        <v/>
      </c>
      <c r="E791" s="24">
        <f>IF('ORDENES'!$A769="","",IF('ORDENES'!$Y769="","-",'ORDENES'!$Y769))</f>
        <v/>
      </c>
      <c r="F791" s="24">
        <f>IF('ORDENES'!$A769="","",IF('ORDENES'!$AB769="","-",'ORDENES'!$AB769))</f>
        <v/>
      </c>
      <c r="G791" s="24">
        <f>IF('ORDENES'!$A769="","",IF('ORDENES'!$Z769="","-",'ORDENES'!$Z769))</f>
        <v/>
      </c>
      <c r="H791" s="24">
        <f>IF('ORDENES'!$A769="","",IF('ORDENES'!$AH769="","-",'ORDENES'!$AH769))</f>
        <v/>
      </c>
      <c r="I791" s="24">
        <f>IF('ORDENES'!$A769="","",IF('ORDENES'!$AU769="","-",'ORDENES'!$AU769))</f>
        <v/>
      </c>
      <c r="J791" s="24">
        <f>IF('ORDENES'!$A769="","",IF('ORDENES'!$D769="","-",'ORDENES'!$D769))</f>
        <v/>
      </c>
      <c r="K791" s="24">
        <f>IF('ORDENES'!$A769="","",IF('ORDENES'!$E769="","-",'ORDENES'!$E769))</f>
        <v/>
      </c>
      <c r="L791" s="26">
        <f>IF('ORDENES'!$A769="","",IF('ORDENES'!$M769="",0,'ORDENES'!$M769))</f>
        <v/>
      </c>
      <c r="M791" s="24">
        <f>IF('ORDENES'!$A769="","",IF('ORDENES'!$N769="","-",'ORDENES'!$N769))</f>
        <v/>
      </c>
      <c r="N791" s="24">
        <f>IF('ORDENES'!$A769="","",'ORDENES'!$AG769)</f>
        <v/>
      </c>
    </row>
    <row r="792">
      <c r="A792" s="24">
        <f>IF('ORDENES'!$A770="","",IF('ORDENES'!$O770="","-",'ORDENES'!$O770))</f>
        <v/>
      </c>
      <c r="B792" s="24">
        <f>IF('ORDENES'!$A770="","",IF('ORDENES'!$S770="","-",'ORDENES'!$S770))</f>
        <v/>
      </c>
      <c r="C792" s="24">
        <f>IF('ORDENES'!$A770="","",IF('ORDENES'!$AI770="","-",'ORDENES'!$AI770))</f>
        <v/>
      </c>
      <c r="D792" s="24">
        <f>IF('ORDENES'!$A770="","",IF('ORDENES'!$AA770="","-",'ORDENES'!$AA770))</f>
        <v/>
      </c>
      <c r="E792" s="24">
        <f>IF('ORDENES'!$A770="","",IF('ORDENES'!$Y770="","-",'ORDENES'!$Y770))</f>
        <v/>
      </c>
      <c r="F792" s="24">
        <f>IF('ORDENES'!$A770="","",IF('ORDENES'!$AB770="","-",'ORDENES'!$AB770))</f>
        <v/>
      </c>
      <c r="G792" s="24">
        <f>IF('ORDENES'!$A770="","",IF('ORDENES'!$Z770="","-",'ORDENES'!$Z770))</f>
        <v/>
      </c>
      <c r="H792" s="24">
        <f>IF('ORDENES'!$A770="","",IF('ORDENES'!$AH770="","-",'ORDENES'!$AH770))</f>
        <v/>
      </c>
      <c r="I792" s="24">
        <f>IF('ORDENES'!$A770="","",IF('ORDENES'!$AU770="","-",'ORDENES'!$AU770))</f>
        <v/>
      </c>
      <c r="J792" s="24">
        <f>IF('ORDENES'!$A770="","",IF('ORDENES'!$D770="","-",'ORDENES'!$D770))</f>
        <v/>
      </c>
      <c r="K792" s="24">
        <f>IF('ORDENES'!$A770="","",IF('ORDENES'!$E770="","-",'ORDENES'!$E770))</f>
        <v/>
      </c>
      <c r="L792" s="26">
        <f>IF('ORDENES'!$A770="","",IF('ORDENES'!$M770="",0,'ORDENES'!$M770))</f>
        <v/>
      </c>
      <c r="M792" s="24">
        <f>IF('ORDENES'!$A770="","",IF('ORDENES'!$N770="","-",'ORDENES'!$N770))</f>
        <v/>
      </c>
      <c r="N792" s="24">
        <f>IF('ORDENES'!$A770="","",'ORDENES'!$AG770)</f>
        <v/>
      </c>
    </row>
    <row r="793">
      <c r="A793" s="24">
        <f>IF('ORDENES'!$A771="","",IF('ORDENES'!$O771="","-",'ORDENES'!$O771))</f>
        <v/>
      </c>
      <c r="B793" s="24">
        <f>IF('ORDENES'!$A771="","",IF('ORDENES'!$S771="","-",'ORDENES'!$S771))</f>
        <v/>
      </c>
      <c r="C793" s="24">
        <f>IF('ORDENES'!$A771="","",IF('ORDENES'!$AI771="","-",'ORDENES'!$AI771))</f>
        <v/>
      </c>
      <c r="D793" s="24">
        <f>IF('ORDENES'!$A771="","",IF('ORDENES'!$AA771="","-",'ORDENES'!$AA771))</f>
        <v/>
      </c>
      <c r="E793" s="24">
        <f>IF('ORDENES'!$A771="","",IF('ORDENES'!$Y771="","-",'ORDENES'!$Y771))</f>
        <v/>
      </c>
      <c r="F793" s="24">
        <f>IF('ORDENES'!$A771="","",IF('ORDENES'!$AB771="","-",'ORDENES'!$AB771))</f>
        <v/>
      </c>
      <c r="G793" s="24">
        <f>IF('ORDENES'!$A771="","",IF('ORDENES'!$Z771="","-",'ORDENES'!$Z771))</f>
        <v/>
      </c>
      <c r="H793" s="24">
        <f>IF('ORDENES'!$A771="","",IF('ORDENES'!$AH771="","-",'ORDENES'!$AH771))</f>
        <v/>
      </c>
      <c r="I793" s="24">
        <f>IF('ORDENES'!$A771="","",IF('ORDENES'!$AU771="","-",'ORDENES'!$AU771))</f>
        <v/>
      </c>
      <c r="J793" s="24">
        <f>IF('ORDENES'!$A771="","",IF('ORDENES'!$D771="","-",'ORDENES'!$D771))</f>
        <v/>
      </c>
      <c r="K793" s="24">
        <f>IF('ORDENES'!$A771="","",IF('ORDENES'!$E771="","-",'ORDENES'!$E771))</f>
        <v/>
      </c>
      <c r="L793" s="26">
        <f>IF('ORDENES'!$A771="","",IF('ORDENES'!$M771="",0,'ORDENES'!$M771))</f>
        <v/>
      </c>
      <c r="M793" s="24">
        <f>IF('ORDENES'!$A771="","",IF('ORDENES'!$N771="","-",'ORDENES'!$N771))</f>
        <v/>
      </c>
      <c r="N793" s="24">
        <f>IF('ORDENES'!$A771="","",'ORDENES'!$AG771)</f>
        <v/>
      </c>
    </row>
    <row r="794">
      <c r="A794" s="24">
        <f>IF('ORDENES'!$A772="","",IF('ORDENES'!$O772="","-",'ORDENES'!$O772))</f>
        <v/>
      </c>
      <c r="B794" s="24">
        <f>IF('ORDENES'!$A772="","",IF('ORDENES'!$S772="","-",'ORDENES'!$S772))</f>
        <v/>
      </c>
      <c r="C794" s="24">
        <f>IF('ORDENES'!$A772="","",IF('ORDENES'!$AI772="","-",'ORDENES'!$AI772))</f>
        <v/>
      </c>
      <c r="D794" s="24">
        <f>IF('ORDENES'!$A772="","",IF('ORDENES'!$AA772="","-",'ORDENES'!$AA772))</f>
        <v/>
      </c>
      <c r="E794" s="24">
        <f>IF('ORDENES'!$A772="","",IF('ORDENES'!$Y772="","-",'ORDENES'!$Y772))</f>
        <v/>
      </c>
      <c r="F794" s="24">
        <f>IF('ORDENES'!$A772="","",IF('ORDENES'!$AB772="","-",'ORDENES'!$AB772))</f>
        <v/>
      </c>
      <c r="G794" s="24">
        <f>IF('ORDENES'!$A772="","",IF('ORDENES'!$Z772="","-",'ORDENES'!$Z772))</f>
        <v/>
      </c>
      <c r="H794" s="24">
        <f>IF('ORDENES'!$A772="","",IF('ORDENES'!$AH772="","-",'ORDENES'!$AH772))</f>
        <v/>
      </c>
      <c r="I794" s="24">
        <f>IF('ORDENES'!$A772="","",IF('ORDENES'!$AU772="","-",'ORDENES'!$AU772))</f>
        <v/>
      </c>
      <c r="J794" s="24">
        <f>IF('ORDENES'!$A772="","",IF('ORDENES'!$D772="","-",'ORDENES'!$D772))</f>
        <v/>
      </c>
      <c r="K794" s="24">
        <f>IF('ORDENES'!$A772="","",IF('ORDENES'!$E772="","-",'ORDENES'!$E772))</f>
        <v/>
      </c>
      <c r="L794" s="26">
        <f>IF('ORDENES'!$A772="","",IF('ORDENES'!$M772="",0,'ORDENES'!$M772))</f>
        <v/>
      </c>
      <c r="M794" s="24">
        <f>IF('ORDENES'!$A772="","",IF('ORDENES'!$N772="","-",'ORDENES'!$N772))</f>
        <v/>
      </c>
      <c r="N794" s="24">
        <f>IF('ORDENES'!$A772="","",'ORDENES'!$AG772)</f>
        <v/>
      </c>
    </row>
    <row r="795">
      <c r="A795" s="24">
        <f>IF('ORDENES'!$A773="","",IF('ORDENES'!$O773="","-",'ORDENES'!$O773))</f>
        <v/>
      </c>
      <c r="B795" s="24">
        <f>IF('ORDENES'!$A773="","",IF('ORDENES'!$S773="","-",'ORDENES'!$S773))</f>
        <v/>
      </c>
      <c r="C795" s="24">
        <f>IF('ORDENES'!$A773="","",IF('ORDENES'!$AI773="","-",'ORDENES'!$AI773))</f>
        <v/>
      </c>
      <c r="D795" s="24">
        <f>IF('ORDENES'!$A773="","",IF('ORDENES'!$AA773="","-",'ORDENES'!$AA773))</f>
        <v/>
      </c>
      <c r="E795" s="24">
        <f>IF('ORDENES'!$A773="","",IF('ORDENES'!$Y773="","-",'ORDENES'!$Y773))</f>
        <v/>
      </c>
      <c r="F795" s="24">
        <f>IF('ORDENES'!$A773="","",IF('ORDENES'!$AB773="","-",'ORDENES'!$AB773))</f>
        <v/>
      </c>
      <c r="G795" s="24">
        <f>IF('ORDENES'!$A773="","",IF('ORDENES'!$Z773="","-",'ORDENES'!$Z773))</f>
        <v/>
      </c>
      <c r="H795" s="24">
        <f>IF('ORDENES'!$A773="","",IF('ORDENES'!$AH773="","-",'ORDENES'!$AH773))</f>
        <v/>
      </c>
      <c r="I795" s="24">
        <f>IF('ORDENES'!$A773="","",IF('ORDENES'!$AU773="","-",'ORDENES'!$AU773))</f>
        <v/>
      </c>
      <c r="J795" s="24">
        <f>IF('ORDENES'!$A773="","",IF('ORDENES'!$D773="","-",'ORDENES'!$D773))</f>
        <v/>
      </c>
      <c r="K795" s="24">
        <f>IF('ORDENES'!$A773="","",IF('ORDENES'!$E773="","-",'ORDENES'!$E773))</f>
        <v/>
      </c>
      <c r="L795" s="26">
        <f>IF('ORDENES'!$A773="","",IF('ORDENES'!$M773="",0,'ORDENES'!$M773))</f>
        <v/>
      </c>
      <c r="M795" s="24">
        <f>IF('ORDENES'!$A773="","",IF('ORDENES'!$N773="","-",'ORDENES'!$N773))</f>
        <v/>
      </c>
      <c r="N795" s="24">
        <f>IF('ORDENES'!$A773="","",'ORDENES'!$AG773)</f>
        <v/>
      </c>
    </row>
    <row r="796">
      <c r="A796" s="24">
        <f>IF('ORDENES'!$A774="","",IF('ORDENES'!$O774="","-",'ORDENES'!$O774))</f>
        <v/>
      </c>
      <c r="B796" s="24">
        <f>IF('ORDENES'!$A774="","",IF('ORDENES'!$S774="","-",'ORDENES'!$S774))</f>
        <v/>
      </c>
      <c r="C796" s="24">
        <f>IF('ORDENES'!$A774="","",IF('ORDENES'!$AI774="","-",'ORDENES'!$AI774))</f>
        <v/>
      </c>
      <c r="D796" s="24">
        <f>IF('ORDENES'!$A774="","",IF('ORDENES'!$AA774="","-",'ORDENES'!$AA774))</f>
        <v/>
      </c>
      <c r="E796" s="24">
        <f>IF('ORDENES'!$A774="","",IF('ORDENES'!$Y774="","-",'ORDENES'!$Y774))</f>
        <v/>
      </c>
      <c r="F796" s="24">
        <f>IF('ORDENES'!$A774="","",IF('ORDENES'!$AB774="","-",'ORDENES'!$AB774))</f>
        <v/>
      </c>
      <c r="G796" s="24">
        <f>IF('ORDENES'!$A774="","",IF('ORDENES'!$Z774="","-",'ORDENES'!$Z774))</f>
        <v/>
      </c>
      <c r="H796" s="24">
        <f>IF('ORDENES'!$A774="","",IF('ORDENES'!$AH774="","-",'ORDENES'!$AH774))</f>
        <v/>
      </c>
      <c r="I796" s="24">
        <f>IF('ORDENES'!$A774="","",IF('ORDENES'!$AU774="","-",'ORDENES'!$AU774))</f>
        <v/>
      </c>
      <c r="J796" s="24">
        <f>IF('ORDENES'!$A774="","",IF('ORDENES'!$D774="","-",'ORDENES'!$D774))</f>
        <v/>
      </c>
      <c r="K796" s="24">
        <f>IF('ORDENES'!$A774="","",IF('ORDENES'!$E774="","-",'ORDENES'!$E774))</f>
        <v/>
      </c>
      <c r="L796" s="26">
        <f>IF('ORDENES'!$A774="","",IF('ORDENES'!$M774="",0,'ORDENES'!$M774))</f>
        <v/>
      </c>
      <c r="M796" s="24">
        <f>IF('ORDENES'!$A774="","",IF('ORDENES'!$N774="","-",'ORDENES'!$N774))</f>
        <v/>
      </c>
      <c r="N796" s="24">
        <f>IF('ORDENES'!$A774="","",'ORDENES'!$AG774)</f>
        <v/>
      </c>
    </row>
    <row r="797">
      <c r="A797" s="24">
        <f>IF('ORDENES'!$A775="","",IF('ORDENES'!$O775="","-",'ORDENES'!$O775))</f>
        <v/>
      </c>
      <c r="B797" s="24">
        <f>IF('ORDENES'!$A775="","",IF('ORDENES'!$S775="","-",'ORDENES'!$S775))</f>
        <v/>
      </c>
      <c r="C797" s="24">
        <f>IF('ORDENES'!$A775="","",IF('ORDENES'!$AI775="","-",'ORDENES'!$AI775))</f>
        <v/>
      </c>
      <c r="D797" s="24">
        <f>IF('ORDENES'!$A775="","",IF('ORDENES'!$AA775="","-",'ORDENES'!$AA775))</f>
        <v/>
      </c>
      <c r="E797" s="24">
        <f>IF('ORDENES'!$A775="","",IF('ORDENES'!$Y775="","-",'ORDENES'!$Y775))</f>
        <v/>
      </c>
      <c r="F797" s="24">
        <f>IF('ORDENES'!$A775="","",IF('ORDENES'!$AB775="","-",'ORDENES'!$AB775))</f>
        <v/>
      </c>
      <c r="G797" s="24">
        <f>IF('ORDENES'!$A775="","",IF('ORDENES'!$Z775="","-",'ORDENES'!$Z775))</f>
        <v/>
      </c>
      <c r="H797" s="24">
        <f>IF('ORDENES'!$A775="","",IF('ORDENES'!$AH775="","-",'ORDENES'!$AH775))</f>
        <v/>
      </c>
      <c r="I797" s="24">
        <f>IF('ORDENES'!$A775="","",IF('ORDENES'!$AU775="","-",'ORDENES'!$AU775))</f>
        <v/>
      </c>
      <c r="J797" s="24">
        <f>IF('ORDENES'!$A775="","",IF('ORDENES'!$D775="","-",'ORDENES'!$D775))</f>
        <v/>
      </c>
      <c r="K797" s="24">
        <f>IF('ORDENES'!$A775="","",IF('ORDENES'!$E775="","-",'ORDENES'!$E775))</f>
        <v/>
      </c>
      <c r="L797" s="26">
        <f>IF('ORDENES'!$A775="","",IF('ORDENES'!$M775="",0,'ORDENES'!$M775))</f>
        <v/>
      </c>
      <c r="M797" s="24">
        <f>IF('ORDENES'!$A775="","",IF('ORDENES'!$N775="","-",'ORDENES'!$N775))</f>
        <v/>
      </c>
      <c r="N797" s="24">
        <f>IF('ORDENES'!$A775="","",'ORDENES'!$AG775)</f>
        <v/>
      </c>
    </row>
    <row r="798">
      <c r="A798" s="24">
        <f>IF('ORDENES'!$A776="","",IF('ORDENES'!$O776="","-",'ORDENES'!$O776))</f>
        <v/>
      </c>
      <c r="B798" s="24">
        <f>IF('ORDENES'!$A776="","",IF('ORDENES'!$S776="","-",'ORDENES'!$S776))</f>
        <v/>
      </c>
      <c r="C798" s="24">
        <f>IF('ORDENES'!$A776="","",IF('ORDENES'!$AI776="","-",'ORDENES'!$AI776))</f>
        <v/>
      </c>
      <c r="D798" s="24">
        <f>IF('ORDENES'!$A776="","",IF('ORDENES'!$AA776="","-",'ORDENES'!$AA776))</f>
        <v/>
      </c>
      <c r="E798" s="24">
        <f>IF('ORDENES'!$A776="","",IF('ORDENES'!$Y776="","-",'ORDENES'!$Y776))</f>
        <v/>
      </c>
      <c r="F798" s="24">
        <f>IF('ORDENES'!$A776="","",IF('ORDENES'!$AB776="","-",'ORDENES'!$AB776))</f>
        <v/>
      </c>
      <c r="G798" s="24">
        <f>IF('ORDENES'!$A776="","",IF('ORDENES'!$Z776="","-",'ORDENES'!$Z776))</f>
        <v/>
      </c>
      <c r="H798" s="24">
        <f>IF('ORDENES'!$A776="","",IF('ORDENES'!$AH776="","-",'ORDENES'!$AH776))</f>
        <v/>
      </c>
      <c r="I798" s="24">
        <f>IF('ORDENES'!$A776="","",IF('ORDENES'!$AU776="","-",'ORDENES'!$AU776))</f>
        <v/>
      </c>
      <c r="J798" s="24">
        <f>IF('ORDENES'!$A776="","",IF('ORDENES'!$D776="","-",'ORDENES'!$D776))</f>
        <v/>
      </c>
      <c r="K798" s="24">
        <f>IF('ORDENES'!$A776="","",IF('ORDENES'!$E776="","-",'ORDENES'!$E776))</f>
        <v/>
      </c>
      <c r="L798" s="26">
        <f>IF('ORDENES'!$A776="","",IF('ORDENES'!$M776="",0,'ORDENES'!$M776))</f>
        <v/>
      </c>
      <c r="M798" s="24">
        <f>IF('ORDENES'!$A776="","",IF('ORDENES'!$N776="","-",'ORDENES'!$N776))</f>
        <v/>
      </c>
      <c r="N798" s="24">
        <f>IF('ORDENES'!$A776="","",'ORDENES'!$AG776)</f>
        <v/>
      </c>
    </row>
    <row r="799">
      <c r="A799" s="24">
        <f>IF('ORDENES'!$A777="","",IF('ORDENES'!$O777="","-",'ORDENES'!$O777))</f>
        <v/>
      </c>
      <c r="B799" s="24">
        <f>IF('ORDENES'!$A777="","",IF('ORDENES'!$S777="","-",'ORDENES'!$S777))</f>
        <v/>
      </c>
      <c r="C799" s="24">
        <f>IF('ORDENES'!$A777="","",IF('ORDENES'!$AI777="","-",'ORDENES'!$AI777))</f>
        <v/>
      </c>
      <c r="D799" s="24">
        <f>IF('ORDENES'!$A777="","",IF('ORDENES'!$AA777="","-",'ORDENES'!$AA777))</f>
        <v/>
      </c>
      <c r="E799" s="24">
        <f>IF('ORDENES'!$A777="","",IF('ORDENES'!$Y777="","-",'ORDENES'!$Y777))</f>
        <v/>
      </c>
      <c r="F799" s="24">
        <f>IF('ORDENES'!$A777="","",IF('ORDENES'!$AB777="","-",'ORDENES'!$AB777))</f>
        <v/>
      </c>
      <c r="G799" s="24">
        <f>IF('ORDENES'!$A777="","",IF('ORDENES'!$Z777="","-",'ORDENES'!$Z777))</f>
        <v/>
      </c>
      <c r="H799" s="24">
        <f>IF('ORDENES'!$A777="","",IF('ORDENES'!$AH777="","-",'ORDENES'!$AH777))</f>
        <v/>
      </c>
      <c r="I799" s="24">
        <f>IF('ORDENES'!$A777="","",IF('ORDENES'!$AU777="","-",'ORDENES'!$AU777))</f>
        <v/>
      </c>
      <c r="J799" s="24">
        <f>IF('ORDENES'!$A777="","",IF('ORDENES'!$D777="","-",'ORDENES'!$D777))</f>
        <v/>
      </c>
      <c r="K799" s="24">
        <f>IF('ORDENES'!$A777="","",IF('ORDENES'!$E777="","-",'ORDENES'!$E777))</f>
        <v/>
      </c>
      <c r="L799" s="26">
        <f>IF('ORDENES'!$A777="","",IF('ORDENES'!$M777="",0,'ORDENES'!$M777))</f>
        <v/>
      </c>
      <c r="M799" s="24">
        <f>IF('ORDENES'!$A777="","",IF('ORDENES'!$N777="","-",'ORDENES'!$N777))</f>
        <v/>
      </c>
      <c r="N799" s="24">
        <f>IF('ORDENES'!$A777="","",'ORDENES'!$AG777)</f>
        <v/>
      </c>
    </row>
    <row r="800">
      <c r="A800" s="24">
        <f>IF('ORDENES'!$A778="","",IF('ORDENES'!$O778="","-",'ORDENES'!$O778))</f>
        <v/>
      </c>
      <c r="B800" s="24">
        <f>IF('ORDENES'!$A778="","",IF('ORDENES'!$S778="","-",'ORDENES'!$S778))</f>
        <v/>
      </c>
      <c r="C800" s="24">
        <f>IF('ORDENES'!$A778="","",IF('ORDENES'!$AI778="","-",'ORDENES'!$AI778))</f>
        <v/>
      </c>
      <c r="D800" s="24">
        <f>IF('ORDENES'!$A778="","",IF('ORDENES'!$AA778="","-",'ORDENES'!$AA778))</f>
        <v/>
      </c>
      <c r="E800" s="24">
        <f>IF('ORDENES'!$A778="","",IF('ORDENES'!$Y778="","-",'ORDENES'!$Y778))</f>
        <v/>
      </c>
      <c r="F800" s="24">
        <f>IF('ORDENES'!$A778="","",IF('ORDENES'!$AB778="","-",'ORDENES'!$AB778))</f>
        <v/>
      </c>
      <c r="G800" s="24">
        <f>IF('ORDENES'!$A778="","",IF('ORDENES'!$Z778="","-",'ORDENES'!$Z778))</f>
        <v/>
      </c>
      <c r="H800" s="24">
        <f>IF('ORDENES'!$A778="","",IF('ORDENES'!$AH778="","-",'ORDENES'!$AH778))</f>
        <v/>
      </c>
      <c r="I800" s="24">
        <f>IF('ORDENES'!$A778="","",IF('ORDENES'!$AU778="","-",'ORDENES'!$AU778))</f>
        <v/>
      </c>
      <c r="J800" s="24">
        <f>IF('ORDENES'!$A778="","",IF('ORDENES'!$D778="","-",'ORDENES'!$D778))</f>
        <v/>
      </c>
      <c r="K800" s="24">
        <f>IF('ORDENES'!$A778="","",IF('ORDENES'!$E778="","-",'ORDENES'!$E778))</f>
        <v/>
      </c>
      <c r="L800" s="26">
        <f>IF('ORDENES'!$A778="","",IF('ORDENES'!$M778="",0,'ORDENES'!$M778))</f>
        <v/>
      </c>
      <c r="M800" s="24">
        <f>IF('ORDENES'!$A778="","",IF('ORDENES'!$N778="","-",'ORDENES'!$N778))</f>
        <v/>
      </c>
      <c r="N800" s="24">
        <f>IF('ORDENES'!$A778="","",'ORDENES'!$AG778)</f>
        <v/>
      </c>
    </row>
    <row r="801">
      <c r="A801" s="24">
        <f>IF('ORDENES'!$A779="","",IF('ORDENES'!$O779="","-",'ORDENES'!$O779))</f>
        <v/>
      </c>
      <c r="B801" s="24">
        <f>IF('ORDENES'!$A779="","",IF('ORDENES'!$S779="","-",'ORDENES'!$S779))</f>
        <v/>
      </c>
      <c r="C801" s="24">
        <f>IF('ORDENES'!$A779="","",IF('ORDENES'!$AI779="","-",'ORDENES'!$AI779))</f>
        <v/>
      </c>
      <c r="D801" s="24">
        <f>IF('ORDENES'!$A779="","",IF('ORDENES'!$AA779="","-",'ORDENES'!$AA779))</f>
        <v/>
      </c>
      <c r="E801" s="24">
        <f>IF('ORDENES'!$A779="","",IF('ORDENES'!$Y779="","-",'ORDENES'!$Y779))</f>
        <v/>
      </c>
      <c r="F801" s="24">
        <f>IF('ORDENES'!$A779="","",IF('ORDENES'!$AB779="","-",'ORDENES'!$AB779))</f>
        <v/>
      </c>
      <c r="G801" s="24">
        <f>IF('ORDENES'!$A779="","",IF('ORDENES'!$Z779="","-",'ORDENES'!$Z779))</f>
        <v/>
      </c>
      <c r="H801" s="24">
        <f>IF('ORDENES'!$A779="","",IF('ORDENES'!$AH779="","-",'ORDENES'!$AH779))</f>
        <v/>
      </c>
      <c r="I801" s="24">
        <f>IF('ORDENES'!$A779="","",IF('ORDENES'!$AU779="","-",'ORDENES'!$AU779))</f>
        <v/>
      </c>
      <c r="J801" s="24">
        <f>IF('ORDENES'!$A779="","",IF('ORDENES'!$D779="","-",'ORDENES'!$D779))</f>
        <v/>
      </c>
      <c r="K801" s="24">
        <f>IF('ORDENES'!$A779="","",IF('ORDENES'!$E779="","-",'ORDENES'!$E779))</f>
        <v/>
      </c>
      <c r="L801" s="26">
        <f>IF('ORDENES'!$A779="","",IF('ORDENES'!$M779="",0,'ORDENES'!$M779))</f>
        <v/>
      </c>
      <c r="M801" s="24">
        <f>IF('ORDENES'!$A779="","",IF('ORDENES'!$N779="","-",'ORDENES'!$N779))</f>
        <v/>
      </c>
      <c r="N801" s="24">
        <f>IF('ORDENES'!$A779="","",'ORDENES'!$AG779)</f>
        <v/>
      </c>
    </row>
    <row r="802">
      <c r="A802" s="24">
        <f>IF('ORDENES'!$A780="","",IF('ORDENES'!$O780="","-",'ORDENES'!$O780))</f>
        <v/>
      </c>
      <c r="B802" s="24">
        <f>IF('ORDENES'!$A780="","",IF('ORDENES'!$S780="","-",'ORDENES'!$S780))</f>
        <v/>
      </c>
      <c r="C802" s="24">
        <f>IF('ORDENES'!$A780="","",IF('ORDENES'!$AI780="","-",'ORDENES'!$AI780))</f>
        <v/>
      </c>
      <c r="D802" s="24">
        <f>IF('ORDENES'!$A780="","",IF('ORDENES'!$AA780="","-",'ORDENES'!$AA780))</f>
        <v/>
      </c>
      <c r="E802" s="24">
        <f>IF('ORDENES'!$A780="","",IF('ORDENES'!$Y780="","-",'ORDENES'!$Y780))</f>
        <v/>
      </c>
      <c r="F802" s="24">
        <f>IF('ORDENES'!$A780="","",IF('ORDENES'!$AB780="","-",'ORDENES'!$AB780))</f>
        <v/>
      </c>
      <c r="G802" s="24">
        <f>IF('ORDENES'!$A780="","",IF('ORDENES'!$Z780="","-",'ORDENES'!$Z780))</f>
        <v/>
      </c>
      <c r="H802" s="24">
        <f>IF('ORDENES'!$A780="","",IF('ORDENES'!$AH780="","-",'ORDENES'!$AH780))</f>
        <v/>
      </c>
      <c r="I802" s="24">
        <f>IF('ORDENES'!$A780="","",IF('ORDENES'!$AU780="","-",'ORDENES'!$AU780))</f>
        <v/>
      </c>
      <c r="J802" s="24">
        <f>IF('ORDENES'!$A780="","",IF('ORDENES'!$D780="","-",'ORDENES'!$D780))</f>
        <v/>
      </c>
      <c r="K802" s="24">
        <f>IF('ORDENES'!$A780="","",IF('ORDENES'!$E780="","-",'ORDENES'!$E780))</f>
        <v/>
      </c>
      <c r="L802" s="26">
        <f>IF('ORDENES'!$A780="","",IF('ORDENES'!$M780="",0,'ORDENES'!$M780))</f>
        <v/>
      </c>
      <c r="M802" s="24">
        <f>IF('ORDENES'!$A780="","",IF('ORDENES'!$N780="","-",'ORDENES'!$N780))</f>
        <v/>
      </c>
      <c r="N802" s="24">
        <f>IF('ORDENES'!$A780="","",'ORDENES'!$AG780)</f>
        <v/>
      </c>
    </row>
    <row r="803">
      <c r="A803" s="24">
        <f>IF('ORDENES'!$A781="","",IF('ORDENES'!$O781="","-",'ORDENES'!$O781))</f>
        <v/>
      </c>
      <c r="B803" s="24">
        <f>IF('ORDENES'!$A781="","",IF('ORDENES'!$S781="","-",'ORDENES'!$S781))</f>
        <v/>
      </c>
      <c r="C803" s="24">
        <f>IF('ORDENES'!$A781="","",IF('ORDENES'!$AI781="","-",'ORDENES'!$AI781))</f>
        <v/>
      </c>
      <c r="D803" s="24">
        <f>IF('ORDENES'!$A781="","",IF('ORDENES'!$AA781="","-",'ORDENES'!$AA781))</f>
        <v/>
      </c>
      <c r="E803" s="24">
        <f>IF('ORDENES'!$A781="","",IF('ORDENES'!$Y781="","-",'ORDENES'!$Y781))</f>
        <v/>
      </c>
      <c r="F803" s="24">
        <f>IF('ORDENES'!$A781="","",IF('ORDENES'!$AB781="","-",'ORDENES'!$AB781))</f>
        <v/>
      </c>
      <c r="G803" s="24">
        <f>IF('ORDENES'!$A781="","",IF('ORDENES'!$Z781="","-",'ORDENES'!$Z781))</f>
        <v/>
      </c>
      <c r="H803" s="24">
        <f>IF('ORDENES'!$A781="","",IF('ORDENES'!$AH781="","-",'ORDENES'!$AH781))</f>
        <v/>
      </c>
      <c r="I803" s="24">
        <f>IF('ORDENES'!$A781="","",IF('ORDENES'!$AU781="","-",'ORDENES'!$AU781))</f>
        <v/>
      </c>
      <c r="J803" s="24">
        <f>IF('ORDENES'!$A781="","",IF('ORDENES'!$D781="","-",'ORDENES'!$D781))</f>
        <v/>
      </c>
      <c r="K803" s="24">
        <f>IF('ORDENES'!$A781="","",IF('ORDENES'!$E781="","-",'ORDENES'!$E781))</f>
        <v/>
      </c>
      <c r="L803" s="26">
        <f>IF('ORDENES'!$A781="","",IF('ORDENES'!$M781="",0,'ORDENES'!$M781))</f>
        <v/>
      </c>
      <c r="M803" s="24">
        <f>IF('ORDENES'!$A781="","",IF('ORDENES'!$N781="","-",'ORDENES'!$N781))</f>
        <v/>
      </c>
      <c r="N803" s="24">
        <f>IF('ORDENES'!$A781="","",'ORDENES'!$AG781)</f>
        <v/>
      </c>
    </row>
    <row r="804">
      <c r="A804" s="24">
        <f>IF('ORDENES'!$A782="","",IF('ORDENES'!$O782="","-",'ORDENES'!$O782))</f>
        <v/>
      </c>
      <c r="B804" s="24">
        <f>IF('ORDENES'!$A782="","",IF('ORDENES'!$S782="","-",'ORDENES'!$S782))</f>
        <v/>
      </c>
      <c r="C804" s="24">
        <f>IF('ORDENES'!$A782="","",IF('ORDENES'!$AI782="","-",'ORDENES'!$AI782))</f>
        <v/>
      </c>
      <c r="D804" s="24">
        <f>IF('ORDENES'!$A782="","",IF('ORDENES'!$AA782="","-",'ORDENES'!$AA782))</f>
        <v/>
      </c>
      <c r="E804" s="24">
        <f>IF('ORDENES'!$A782="","",IF('ORDENES'!$Y782="","-",'ORDENES'!$Y782))</f>
        <v/>
      </c>
      <c r="F804" s="24">
        <f>IF('ORDENES'!$A782="","",IF('ORDENES'!$AB782="","-",'ORDENES'!$AB782))</f>
        <v/>
      </c>
      <c r="G804" s="24">
        <f>IF('ORDENES'!$A782="","",IF('ORDENES'!$Z782="","-",'ORDENES'!$Z782))</f>
        <v/>
      </c>
      <c r="H804" s="24">
        <f>IF('ORDENES'!$A782="","",IF('ORDENES'!$AH782="","-",'ORDENES'!$AH782))</f>
        <v/>
      </c>
      <c r="I804" s="24">
        <f>IF('ORDENES'!$A782="","",IF('ORDENES'!$AU782="","-",'ORDENES'!$AU782))</f>
        <v/>
      </c>
      <c r="J804" s="24">
        <f>IF('ORDENES'!$A782="","",IF('ORDENES'!$D782="","-",'ORDENES'!$D782))</f>
        <v/>
      </c>
      <c r="K804" s="24">
        <f>IF('ORDENES'!$A782="","",IF('ORDENES'!$E782="","-",'ORDENES'!$E782))</f>
        <v/>
      </c>
      <c r="L804" s="26">
        <f>IF('ORDENES'!$A782="","",IF('ORDENES'!$M782="",0,'ORDENES'!$M782))</f>
        <v/>
      </c>
      <c r="M804" s="24">
        <f>IF('ORDENES'!$A782="","",IF('ORDENES'!$N782="","-",'ORDENES'!$N782))</f>
        <v/>
      </c>
      <c r="N804" s="24">
        <f>IF('ORDENES'!$A782="","",'ORDENES'!$AG782)</f>
        <v/>
      </c>
    </row>
    <row r="805">
      <c r="A805" s="24">
        <f>IF('ORDENES'!$A783="","",IF('ORDENES'!$O783="","-",'ORDENES'!$O783))</f>
        <v/>
      </c>
      <c r="B805" s="24">
        <f>IF('ORDENES'!$A783="","",IF('ORDENES'!$S783="","-",'ORDENES'!$S783))</f>
        <v/>
      </c>
      <c r="C805" s="24">
        <f>IF('ORDENES'!$A783="","",IF('ORDENES'!$AI783="","-",'ORDENES'!$AI783))</f>
        <v/>
      </c>
      <c r="D805" s="24">
        <f>IF('ORDENES'!$A783="","",IF('ORDENES'!$AA783="","-",'ORDENES'!$AA783))</f>
        <v/>
      </c>
      <c r="E805" s="24">
        <f>IF('ORDENES'!$A783="","",IF('ORDENES'!$Y783="","-",'ORDENES'!$Y783))</f>
        <v/>
      </c>
      <c r="F805" s="24">
        <f>IF('ORDENES'!$A783="","",IF('ORDENES'!$AB783="","-",'ORDENES'!$AB783))</f>
        <v/>
      </c>
      <c r="G805" s="24">
        <f>IF('ORDENES'!$A783="","",IF('ORDENES'!$Z783="","-",'ORDENES'!$Z783))</f>
        <v/>
      </c>
      <c r="H805" s="24">
        <f>IF('ORDENES'!$A783="","",IF('ORDENES'!$AH783="","-",'ORDENES'!$AH783))</f>
        <v/>
      </c>
      <c r="I805" s="24">
        <f>IF('ORDENES'!$A783="","",IF('ORDENES'!$AU783="","-",'ORDENES'!$AU783))</f>
        <v/>
      </c>
      <c r="J805" s="24">
        <f>IF('ORDENES'!$A783="","",IF('ORDENES'!$D783="","-",'ORDENES'!$D783))</f>
        <v/>
      </c>
      <c r="K805" s="24">
        <f>IF('ORDENES'!$A783="","",IF('ORDENES'!$E783="","-",'ORDENES'!$E783))</f>
        <v/>
      </c>
      <c r="L805" s="26">
        <f>IF('ORDENES'!$A783="","",IF('ORDENES'!$M783="",0,'ORDENES'!$M783))</f>
        <v/>
      </c>
      <c r="M805" s="24">
        <f>IF('ORDENES'!$A783="","",IF('ORDENES'!$N783="","-",'ORDENES'!$N783))</f>
        <v/>
      </c>
      <c r="N805" s="24">
        <f>IF('ORDENES'!$A783="","",'ORDENES'!$AG783)</f>
        <v/>
      </c>
    </row>
    <row r="806">
      <c r="A806" s="24">
        <f>IF('ORDENES'!$A784="","",IF('ORDENES'!$O784="","-",'ORDENES'!$O784))</f>
        <v/>
      </c>
      <c r="B806" s="24">
        <f>IF('ORDENES'!$A784="","",IF('ORDENES'!$S784="","-",'ORDENES'!$S784))</f>
        <v/>
      </c>
      <c r="C806" s="24">
        <f>IF('ORDENES'!$A784="","",IF('ORDENES'!$AI784="","-",'ORDENES'!$AI784))</f>
        <v/>
      </c>
      <c r="D806" s="24">
        <f>IF('ORDENES'!$A784="","",IF('ORDENES'!$AA784="","-",'ORDENES'!$AA784))</f>
        <v/>
      </c>
      <c r="E806" s="24">
        <f>IF('ORDENES'!$A784="","",IF('ORDENES'!$Y784="","-",'ORDENES'!$Y784))</f>
        <v/>
      </c>
      <c r="F806" s="24">
        <f>IF('ORDENES'!$A784="","",IF('ORDENES'!$AB784="","-",'ORDENES'!$AB784))</f>
        <v/>
      </c>
      <c r="G806" s="24">
        <f>IF('ORDENES'!$A784="","",IF('ORDENES'!$Z784="","-",'ORDENES'!$Z784))</f>
        <v/>
      </c>
      <c r="H806" s="24">
        <f>IF('ORDENES'!$A784="","",IF('ORDENES'!$AH784="","-",'ORDENES'!$AH784))</f>
        <v/>
      </c>
      <c r="I806" s="24">
        <f>IF('ORDENES'!$A784="","",IF('ORDENES'!$AU784="","-",'ORDENES'!$AU784))</f>
        <v/>
      </c>
      <c r="J806" s="24">
        <f>IF('ORDENES'!$A784="","",IF('ORDENES'!$D784="","-",'ORDENES'!$D784))</f>
        <v/>
      </c>
      <c r="K806" s="24">
        <f>IF('ORDENES'!$A784="","",IF('ORDENES'!$E784="","-",'ORDENES'!$E784))</f>
        <v/>
      </c>
      <c r="L806" s="26">
        <f>IF('ORDENES'!$A784="","",IF('ORDENES'!$M784="",0,'ORDENES'!$M784))</f>
        <v/>
      </c>
      <c r="M806" s="24">
        <f>IF('ORDENES'!$A784="","",IF('ORDENES'!$N784="","-",'ORDENES'!$N784))</f>
        <v/>
      </c>
      <c r="N806" s="24">
        <f>IF('ORDENES'!$A784="","",'ORDENES'!$AG784)</f>
        <v/>
      </c>
    </row>
    <row r="807">
      <c r="A807" s="24">
        <f>IF('ORDENES'!$A785="","",IF('ORDENES'!$O785="","-",'ORDENES'!$O785))</f>
        <v/>
      </c>
      <c r="B807" s="24">
        <f>IF('ORDENES'!$A785="","",IF('ORDENES'!$S785="","-",'ORDENES'!$S785))</f>
        <v/>
      </c>
      <c r="C807" s="24">
        <f>IF('ORDENES'!$A785="","",IF('ORDENES'!$AI785="","-",'ORDENES'!$AI785))</f>
        <v/>
      </c>
      <c r="D807" s="24">
        <f>IF('ORDENES'!$A785="","",IF('ORDENES'!$AA785="","-",'ORDENES'!$AA785))</f>
        <v/>
      </c>
      <c r="E807" s="24">
        <f>IF('ORDENES'!$A785="","",IF('ORDENES'!$Y785="","-",'ORDENES'!$Y785))</f>
        <v/>
      </c>
      <c r="F807" s="24">
        <f>IF('ORDENES'!$A785="","",IF('ORDENES'!$AB785="","-",'ORDENES'!$AB785))</f>
        <v/>
      </c>
      <c r="G807" s="24">
        <f>IF('ORDENES'!$A785="","",IF('ORDENES'!$Z785="","-",'ORDENES'!$Z785))</f>
        <v/>
      </c>
      <c r="H807" s="24">
        <f>IF('ORDENES'!$A785="","",IF('ORDENES'!$AH785="","-",'ORDENES'!$AH785))</f>
        <v/>
      </c>
      <c r="I807" s="24">
        <f>IF('ORDENES'!$A785="","",IF('ORDENES'!$AU785="","-",'ORDENES'!$AU785))</f>
        <v/>
      </c>
      <c r="J807" s="24">
        <f>IF('ORDENES'!$A785="","",IF('ORDENES'!$D785="","-",'ORDENES'!$D785))</f>
        <v/>
      </c>
      <c r="K807" s="24">
        <f>IF('ORDENES'!$A785="","",IF('ORDENES'!$E785="","-",'ORDENES'!$E785))</f>
        <v/>
      </c>
      <c r="L807" s="26">
        <f>IF('ORDENES'!$A785="","",IF('ORDENES'!$M785="",0,'ORDENES'!$M785))</f>
        <v/>
      </c>
      <c r="M807" s="24">
        <f>IF('ORDENES'!$A785="","",IF('ORDENES'!$N785="","-",'ORDENES'!$N785))</f>
        <v/>
      </c>
      <c r="N807" s="24">
        <f>IF('ORDENES'!$A785="","",'ORDENES'!$AG785)</f>
        <v/>
      </c>
    </row>
    <row r="808">
      <c r="A808" s="24">
        <f>IF('ORDENES'!$A786="","",IF('ORDENES'!$O786="","-",'ORDENES'!$O786))</f>
        <v/>
      </c>
      <c r="B808" s="24">
        <f>IF('ORDENES'!$A786="","",IF('ORDENES'!$S786="","-",'ORDENES'!$S786))</f>
        <v/>
      </c>
      <c r="C808" s="24">
        <f>IF('ORDENES'!$A786="","",IF('ORDENES'!$AI786="","-",'ORDENES'!$AI786))</f>
        <v/>
      </c>
      <c r="D808" s="24">
        <f>IF('ORDENES'!$A786="","",IF('ORDENES'!$AA786="","-",'ORDENES'!$AA786))</f>
        <v/>
      </c>
      <c r="E808" s="24">
        <f>IF('ORDENES'!$A786="","",IF('ORDENES'!$Y786="","-",'ORDENES'!$Y786))</f>
        <v/>
      </c>
      <c r="F808" s="24">
        <f>IF('ORDENES'!$A786="","",IF('ORDENES'!$AB786="","-",'ORDENES'!$AB786))</f>
        <v/>
      </c>
      <c r="G808" s="24">
        <f>IF('ORDENES'!$A786="","",IF('ORDENES'!$Z786="","-",'ORDENES'!$Z786))</f>
        <v/>
      </c>
      <c r="H808" s="24">
        <f>IF('ORDENES'!$A786="","",IF('ORDENES'!$AH786="","-",'ORDENES'!$AH786))</f>
        <v/>
      </c>
      <c r="I808" s="24">
        <f>IF('ORDENES'!$A786="","",IF('ORDENES'!$AU786="","-",'ORDENES'!$AU786))</f>
        <v/>
      </c>
      <c r="J808" s="24">
        <f>IF('ORDENES'!$A786="","",IF('ORDENES'!$D786="","-",'ORDENES'!$D786))</f>
        <v/>
      </c>
      <c r="K808" s="24">
        <f>IF('ORDENES'!$A786="","",IF('ORDENES'!$E786="","-",'ORDENES'!$E786))</f>
        <v/>
      </c>
      <c r="L808" s="26">
        <f>IF('ORDENES'!$A786="","",IF('ORDENES'!$M786="",0,'ORDENES'!$M786))</f>
        <v/>
      </c>
      <c r="M808" s="24">
        <f>IF('ORDENES'!$A786="","",IF('ORDENES'!$N786="","-",'ORDENES'!$N786))</f>
        <v/>
      </c>
      <c r="N808" s="24">
        <f>IF('ORDENES'!$A786="","",'ORDENES'!$AG786)</f>
        <v/>
      </c>
    </row>
    <row r="809">
      <c r="A809" s="24">
        <f>IF('ORDENES'!$A787="","",IF('ORDENES'!$O787="","-",'ORDENES'!$O787))</f>
        <v/>
      </c>
      <c r="B809" s="24">
        <f>IF('ORDENES'!$A787="","",IF('ORDENES'!$S787="","-",'ORDENES'!$S787))</f>
        <v/>
      </c>
      <c r="C809" s="24">
        <f>IF('ORDENES'!$A787="","",IF('ORDENES'!$AI787="","-",'ORDENES'!$AI787))</f>
        <v/>
      </c>
      <c r="D809" s="24">
        <f>IF('ORDENES'!$A787="","",IF('ORDENES'!$AA787="","-",'ORDENES'!$AA787))</f>
        <v/>
      </c>
      <c r="E809" s="24">
        <f>IF('ORDENES'!$A787="","",IF('ORDENES'!$Y787="","-",'ORDENES'!$Y787))</f>
        <v/>
      </c>
      <c r="F809" s="24">
        <f>IF('ORDENES'!$A787="","",IF('ORDENES'!$AB787="","-",'ORDENES'!$AB787))</f>
        <v/>
      </c>
      <c r="G809" s="24">
        <f>IF('ORDENES'!$A787="","",IF('ORDENES'!$Z787="","-",'ORDENES'!$Z787))</f>
        <v/>
      </c>
      <c r="H809" s="24">
        <f>IF('ORDENES'!$A787="","",IF('ORDENES'!$AH787="","-",'ORDENES'!$AH787))</f>
        <v/>
      </c>
      <c r="I809" s="24">
        <f>IF('ORDENES'!$A787="","",IF('ORDENES'!$AU787="","-",'ORDENES'!$AU787))</f>
        <v/>
      </c>
      <c r="J809" s="24">
        <f>IF('ORDENES'!$A787="","",IF('ORDENES'!$D787="","-",'ORDENES'!$D787))</f>
        <v/>
      </c>
      <c r="K809" s="24">
        <f>IF('ORDENES'!$A787="","",IF('ORDENES'!$E787="","-",'ORDENES'!$E787))</f>
        <v/>
      </c>
      <c r="L809" s="26">
        <f>IF('ORDENES'!$A787="","",IF('ORDENES'!$M787="",0,'ORDENES'!$M787))</f>
        <v/>
      </c>
      <c r="M809" s="24">
        <f>IF('ORDENES'!$A787="","",IF('ORDENES'!$N787="","-",'ORDENES'!$N787))</f>
        <v/>
      </c>
      <c r="N809" s="24">
        <f>IF('ORDENES'!$A787="","",'ORDENES'!$AG787)</f>
        <v/>
      </c>
    </row>
    <row r="810">
      <c r="A810" s="24">
        <f>IF('ORDENES'!$A788="","",IF('ORDENES'!$O788="","-",'ORDENES'!$O788))</f>
        <v/>
      </c>
      <c r="B810" s="24">
        <f>IF('ORDENES'!$A788="","",IF('ORDENES'!$S788="","-",'ORDENES'!$S788))</f>
        <v/>
      </c>
      <c r="C810" s="24">
        <f>IF('ORDENES'!$A788="","",IF('ORDENES'!$AI788="","-",'ORDENES'!$AI788))</f>
        <v/>
      </c>
      <c r="D810" s="24">
        <f>IF('ORDENES'!$A788="","",IF('ORDENES'!$AA788="","-",'ORDENES'!$AA788))</f>
        <v/>
      </c>
      <c r="E810" s="24">
        <f>IF('ORDENES'!$A788="","",IF('ORDENES'!$Y788="","-",'ORDENES'!$Y788))</f>
        <v/>
      </c>
      <c r="F810" s="24">
        <f>IF('ORDENES'!$A788="","",IF('ORDENES'!$AB788="","-",'ORDENES'!$AB788))</f>
        <v/>
      </c>
      <c r="G810" s="24">
        <f>IF('ORDENES'!$A788="","",IF('ORDENES'!$Z788="","-",'ORDENES'!$Z788))</f>
        <v/>
      </c>
      <c r="H810" s="24">
        <f>IF('ORDENES'!$A788="","",IF('ORDENES'!$AH788="","-",'ORDENES'!$AH788))</f>
        <v/>
      </c>
      <c r="I810" s="24">
        <f>IF('ORDENES'!$A788="","",IF('ORDENES'!$AU788="","-",'ORDENES'!$AU788))</f>
        <v/>
      </c>
      <c r="J810" s="24">
        <f>IF('ORDENES'!$A788="","",IF('ORDENES'!$D788="","-",'ORDENES'!$D788))</f>
        <v/>
      </c>
      <c r="K810" s="24">
        <f>IF('ORDENES'!$A788="","",IF('ORDENES'!$E788="","-",'ORDENES'!$E788))</f>
        <v/>
      </c>
      <c r="L810" s="26">
        <f>IF('ORDENES'!$A788="","",IF('ORDENES'!$M788="",0,'ORDENES'!$M788))</f>
        <v/>
      </c>
      <c r="M810" s="24">
        <f>IF('ORDENES'!$A788="","",IF('ORDENES'!$N788="","-",'ORDENES'!$N788))</f>
        <v/>
      </c>
      <c r="N810" s="24">
        <f>IF('ORDENES'!$A788="","",'ORDENES'!$AG788)</f>
        <v/>
      </c>
    </row>
    <row r="811">
      <c r="A811" s="24">
        <f>IF('ORDENES'!$A789="","",IF('ORDENES'!$O789="","-",'ORDENES'!$O789))</f>
        <v/>
      </c>
      <c r="B811" s="24">
        <f>IF('ORDENES'!$A789="","",IF('ORDENES'!$S789="","-",'ORDENES'!$S789))</f>
        <v/>
      </c>
      <c r="C811" s="24">
        <f>IF('ORDENES'!$A789="","",IF('ORDENES'!$AI789="","-",'ORDENES'!$AI789))</f>
        <v/>
      </c>
      <c r="D811" s="24">
        <f>IF('ORDENES'!$A789="","",IF('ORDENES'!$AA789="","-",'ORDENES'!$AA789))</f>
        <v/>
      </c>
      <c r="E811" s="24">
        <f>IF('ORDENES'!$A789="","",IF('ORDENES'!$Y789="","-",'ORDENES'!$Y789))</f>
        <v/>
      </c>
      <c r="F811" s="24">
        <f>IF('ORDENES'!$A789="","",IF('ORDENES'!$AB789="","-",'ORDENES'!$AB789))</f>
        <v/>
      </c>
      <c r="G811" s="24">
        <f>IF('ORDENES'!$A789="","",IF('ORDENES'!$Z789="","-",'ORDENES'!$Z789))</f>
        <v/>
      </c>
      <c r="H811" s="24">
        <f>IF('ORDENES'!$A789="","",IF('ORDENES'!$AH789="","-",'ORDENES'!$AH789))</f>
        <v/>
      </c>
      <c r="I811" s="24">
        <f>IF('ORDENES'!$A789="","",IF('ORDENES'!$AU789="","-",'ORDENES'!$AU789))</f>
        <v/>
      </c>
      <c r="J811" s="24">
        <f>IF('ORDENES'!$A789="","",IF('ORDENES'!$D789="","-",'ORDENES'!$D789))</f>
        <v/>
      </c>
      <c r="K811" s="24">
        <f>IF('ORDENES'!$A789="","",IF('ORDENES'!$E789="","-",'ORDENES'!$E789))</f>
        <v/>
      </c>
      <c r="L811" s="26">
        <f>IF('ORDENES'!$A789="","",IF('ORDENES'!$M789="",0,'ORDENES'!$M789))</f>
        <v/>
      </c>
      <c r="M811" s="24">
        <f>IF('ORDENES'!$A789="","",IF('ORDENES'!$N789="","-",'ORDENES'!$N789))</f>
        <v/>
      </c>
      <c r="N811" s="24">
        <f>IF('ORDENES'!$A789="","",'ORDENES'!$AG789)</f>
        <v/>
      </c>
    </row>
    <row r="812">
      <c r="A812" s="24">
        <f>IF('ORDENES'!$A790="","",IF('ORDENES'!$O790="","-",'ORDENES'!$O790))</f>
        <v/>
      </c>
      <c r="B812" s="24">
        <f>IF('ORDENES'!$A790="","",IF('ORDENES'!$S790="","-",'ORDENES'!$S790))</f>
        <v/>
      </c>
      <c r="C812" s="24">
        <f>IF('ORDENES'!$A790="","",IF('ORDENES'!$AI790="","-",'ORDENES'!$AI790))</f>
        <v/>
      </c>
      <c r="D812" s="24">
        <f>IF('ORDENES'!$A790="","",IF('ORDENES'!$AA790="","-",'ORDENES'!$AA790))</f>
        <v/>
      </c>
      <c r="E812" s="24">
        <f>IF('ORDENES'!$A790="","",IF('ORDENES'!$Y790="","-",'ORDENES'!$Y790))</f>
        <v/>
      </c>
      <c r="F812" s="24">
        <f>IF('ORDENES'!$A790="","",IF('ORDENES'!$AB790="","-",'ORDENES'!$AB790))</f>
        <v/>
      </c>
      <c r="G812" s="24">
        <f>IF('ORDENES'!$A790="","",IF('ORDENES'!$Z790="","-",'ORDENES'!$Z790))</f>
        <v/>
      </c>
      <c r="H812" s="24">
        <f>IF('ORDENES'!$A790="","",IF('ORDENES'!$AH790="","-",'ORDENES'!$AH790))</f>
        <v/>
      </c>
      <c r="I812" s="24">
        <f>IF('ORDENES'!$A790="","",IF('ORDENES'!$AU790="","-",'ORDENES'!$AU790))</f>
        <v/>
      </c>
      <c r="J812" s="24">
        <f>IF('ORDENES'!$A790="","",IF('ORDENES'!$D790="","-",'ORDENES'!$D790))</f>
        <v/>
      </c>
      <c r="K812" s="24">
        <f>IF('ORDENES'!$A790="","",IF('ORDENES'!$E790="","-",'ORDENES'!$E790))</f>
        <v/>
      </c>
      <c r="L812" s="26">
        <f>IF('ORDENES'!$A790="","",IF('ORDENES'!$M790="",0,'ORDENES'!$M790))</f>
        <v/>
      </c>
      <c r="M812" s="24">
        <f>IF('ORDENES'!$A790="","",IF('ORDENES'!$N790="","-",'ORDENES'!$N790))</f>
        <v/>
      </c>
      <c r="N812" s="24">
        <f>IF('ORDENES'!$A790="","",'ORDENES'!$AG790)</f>
        <v/>
      </c>
    </row>
    <row r="813">
      <c r="A813" s="24">
        <f>IF('ORDENES'!$A791="","",IF('ORDENES'!$O791="","-",'ORDENES'!$O791))</f>
        <v/>
      </c>
      <c r="B813" s="24">
        <f>IF('ORDENES'!$A791="","",IF('ORDENES'!$S791="","-",'ORDENES'!$S791))</f>
        <v/>
      </c>
      <c r="C813" s="24">
        <f>IF('ORDENES'!$A791="","",IF('ORDENES'!$AI791="","-",'ORDENES'!$AI791))</f>
        <v/>
      </c>
      <c r="D813" s="24">
        <f>IF('ORDENES'!$A791="","",IF('ORDENES'!$AA791="","-",'ORDENES'!$AA791))</f>
        <v/>
      </c>
      <c r="E813" s="24">
        <f>IF('ORDENES'!$A791="","",IF('ORDENES'!$Y791="","-",'ORDENES'!$Y791))</f>
        <v/>
      </c>
      <c r="F813" s="24">
        <f>IF('ORDENES'!$A791="","",IF('ORDENES'!$AB791="","-",'ORDENES'!$AB791))</f>
        <v/>
      </c>
      <c r="G813" s="24">
        <f>IF('ORDENES'!$A791="","",IF('ORDENES'!$Z791="","-",'ORDENES'!$Z791))</f>
        <v/>
      </c>
      <c r="H813" s="24">
        <f>IF('ORDENES'!$A791="","",IF('ORDENES'!$AH791="","-",'ORDENES'!$AH791))</f>
        <v/>
      </c>
      <c r="I813" s="24">
        <f>IF('ORDENES'!$A791="","",IF('ORDENES'!$AU791="","-",'ORDENES'!$AU791))</f>
        <v/>
      </c>
      <c r="J813" s="24">
        <f>IF('ORDENES'!$A791="","",IF('ORDENES'!$D791="","-",'ORDENES'!$D791))</f>
        <v/>
      </c>
      <c r="K813" s="24">
        <f>IF('ORDENES'!$A791="","",IF('ORDENES'!$E791="","-",'ORDENES'!$E791))</f>
        <v/>
      </c>
      <c r="L813" s="26">
        <f>IF('ORDENES'!$A791="","",IF('ORDENES'!$M791="",0,'ORDENES'!$M791))</f>
        <v/>
      </c>
      <c r="M813" s="24">
        <f>IF('ORDENES'!$A791="","",IF('ORDENES'!$N791="","-",'ORDENES'!$N791))</f>
        <v/>
      </c>
      <c r="N813" s="24">
        <f>IF('ORDENES'!$A791="","",'ORDENES'!$AG791)</f>
        <v/>
      </c>
    </row>
    <row r="814">
      <c r="A814" s="24">
        <f>IF('ORDENES'!$A792="","",IF('ORDENES'!$O792="","-",'ORDENES'!$O792))</f>
        <v/>
      </c>
      <c r="B814" s="24">
        <f>IF('ORDENES'!$A792="","",IF('ORDENES'!$S792="","-",'ORDENES'!$S792))</f>
        <v/>
      </c>
      <c r="C814" s="24">
        <f>IF('ORDENES'!$A792="","",IF('ORDENES'!$AI792="","-",'ORDENES'!$AI792))</f>
        <v/>
      </c>
      <c r="D814" s="24">
        <f>IF('ORDENES'!$A792="","",IF('ORDENES'!$AA792="","-",'ORDENES'!$AA792))</f>
        <v/>
      </c>
      <c r="E814" s="24">
        <f>IF('ORDENES'!$A792="","",IF('ORDENES'!$Y792="","-",'ORDENES'!$Y792))</f>
        <v/>
      </c>
      <c r="F814" s="24">
        <f>IF('ORDENES'!$A792="","",IF('ORDENES'!$AB792="","-",'ORDENES'!$AB792))</f>
        <v/>
      </c>
      <c r="G814" s="24">
        <f>IF('ORDENES'!$A792="","",IF('ORDENES'!$Z792="","-",'ORDENES'!$Z792))</f>
        <v/>
      </c>
      <c r="H814" s="24">
        <f>IF('ORDENES'!$A792="","",IF('ORDENES'!$AH792="","-",'ORDENES'!$AH792))</f>
        <v/>
      </c>
      <c r="I814" s="24">
        <f>IF('ORDENES'!$A792="","",IF('ORDENES'!$AU792="","-",'ORDENES'!$AU792))</f>
        <v/>
      </c>
      <c r="J814" s="24">
        <f>IF('ORDENES'!$A792="","",IF('ORDENES'!$D792="","-",'ORDENES'!$D792))</f>
        <v/>
      </c>
      <c r="K814" s="24">
        <f>IF('ORDENES'!$A792="","",IF('ORDENES'!$E792="","-",'ORDENES'!$E792))</f>
        <v/>
      </c>
      <c r="L814" s="26">
        <f>IF('ORDENES'!$A792="","",IF('ORDENES'!$M792="",0,'ORDENES'!$M792))</f>
        <v/>
      </c>
      <c r="M814" s="24">
        <f>IF('ORDENES'!$A792="","",IF('ORDENES'!$N792="","-",'ORDENES'!$N792))</f>
        <v/>
      </c>
      <c r="N814" s="24">
        <f>IF('ORDENES'!$A792="","",'ORDENES'!$AG792)</f>
        <v/>
      </c>
    </row>
    <row r="815">
      <c r="A815" s="24">
        <f>IF('ORDENES'!$A793="","",IF('ORDENES'!$O793="","-",'ORDENES'!$O793))</f>
        <v/>
      </c>
      <c r="B815" s="24">
        <f>IF('ORDENES'!$A793="","",IF('ORDENES'!$S793="","-",'ORDENES'!$S793))</f>
        <v/>
      </c>
      <c r="C815" s="24">
        <f>IF('ORDENES'!$A793="","",IF('ORDENES'!$AI793="","-",'ORDENES'!$AI793))</f>
        <v/>
      </c>
      <c r="D815" s="24">
        <f>IF('ORDENES'!$A793="","",IF('ORDENES'!$AA793="","-",'ORDENES'!$AA793))</f>
        <v/>
      </c>
      <c r="E815" s="24">
        <f>IF('ORDENES'!$A793="","",IF('ORDENES'!$Y793="","-",'ORDENES'!$Y793))</f>
        <v/>
      </c>
      <c r="F815" s="24">
        <f>IF('ORDENES'!$A793="","",IF('ORDENES'!$AB793="","-",'ORDENES'!$AB793))</f>
        <v/>
      </c>
      <c r="G815" s="24">
        <f>IF('ORDENES'!$A793="","",IF('ORDENES'!$Z793="","-",'ORDENES'!$Z793))</f>
        <v/>
      </c>
      <c r="H815" s="24">
        <f>IF('ORDENES'!$A793="","",IF('ORDENES'!$AH793="","-",'ORDENES'!$AH793))</f>
        <v/>
      </c>
      <c r="I815" s="24">
        <f>IF('ORDENES'!$A793="","",IF('ORDENES'!$AU793="","-",'ORDENES'!$AU793))</f>
        <v/>
      </c>
      <c r="J815" s="24">
        <f>IF('ORDENES'!$A793="","",IF('ORDENES'!$D793="","-",'ORDENES'!$D793))</f>
        <v/>
      </c>
      <c r="K815" s="24">
        <f>IF('ORDENES'!$A793="","",IF('ORDENES'!$E793="","-",'ORDENES'!$E793))</f>
        <v/>
      </c>
      <c r="L815" s="26">
        <f>IF('ORDENES'!$A793="","",IF('ORDENES'!$M793="",0,'ORDENES'!$M793))</f>
        <v/>
      </c>
      <c r="M815" s="24">
        <f>IF('ORDENES'!$A793="","",IF('ORDENES'!$N793="","-",'ORDENES'!$N793))</f>
        <v/>
      </c>
      <c r="N815" s="24">
        <f>IF('ORDENES'!$A793="","",'ORDENES'!$AG793)</f>
        <v/>
      </c>
    </row>
    <row r="816">
      <c r="A816" s="24">
        <f>IF('ORDENES'!$A794="","",IF('ORDENES'!$O794="","-",'ORDENES'!$O794))</f>
        <v/>
      </c>
      <c r="B816" s="24">
        <f>IF('ORDENES'!$A794="","",IF('ORDENES'!$S794="","-",'ORDENES'!$S794))</f>
        <v/>
      </c>
      <c r="C816" s="24">
        <f>IF('ORDENES'!$A794="","",IF('ORDENES'!$AI794="","-",'ORDENES'!$AI794))</f>
        <v/>
      </c>
      <c r="D816" s="24">
        <f>IF('ORDENES'!$A794="","",IF('ORDENES'!$AA794="","-",'ORDENES'!$AA794))</f>
        <v/>
      </c>
      <c r="E816" s="24">
        <f>IF('ORDENES'!$A794="","",IF('ORDENES'!$Y794="","-",'ORDENES'!$Y794))</f>
        <v/>
      </c>
      <c r="F816" s="24">
        <f>IF('ORDENES'!$A794="","",IF('ORDENES'!$AB794="","-",'ORDENES'!$AB794))</f>
        <v/>
      </c>
      <c r="G816" s="24">
        <f>IF('ORDENES'!$A794="","",IF('ORDENES'!$Z794="","-",'ORDENES'!$Z794))</f>
        <v/>
      </c>
      <c r="H816" s="24">
        <f>IF('ORDENES'!$A794="","",IF('ORDENES'!$AH794="","-",'ORDENES'!$AH794))</f>
        <v/>
      </c>
      <c r="I816" s="24">
        <f>IF('ORDENES'!$A794="","",IF('ORDENES'!$AU794="","-",'ORDENES'!$AU794))</f>
        <v/>
      </c>
      <c r="J816" s="24">
        <f>IF('ORDENES'!$A794="","",IF('ORDENES'!$D794="","-",'ORDENES'!$D794))</f>
        <v/>
      </c>
      <c r="K816" s="24">
        <f>IF('ORDENES'!$A794="","",IF('ORDENES'!$E794="","-",'ORDENES'!$E794))</f>
        <v/>
      </c>
      <c r="L816" s="26">
        <f>IF('ORDENES'!$A794="","",IF('ORDENES'!$M794="",0,'ORDENES'!$M794))</f>
        <v/>
      </c>
      <c r="M816" s="24">
        <f>IF('ORDENES'!$A794="","",IF('ORDENES'!$N794="","-",'ORDENES'!$N794))</f>
        <v/>
      </c>
      <c r="N816" s="24">
        <f>IF('ORDENES'!$A794="","",'ORDENES'!$AG794)</f>
        <v/>
      </c>
    </row>
    <row r="817">
      <c r="A817" s="24">
        <f>IF('ORDENES'!$A795="","",IF('ORDENES'!$O795="","-",'ORDENES'!$O795))</f>
        <v/>
      </c>
      <c r="B817" s="24">
        <f>IF('ORDENES'!$A795="","",IF('ORDENES'!$S795="","-",'ORDENES'!$S795))</f>
        <v/>
      </c>
      <c r="C817" s="24">
        <f>IF('ORDENES'!$A795="","",IF('ORDENES'!$AI795="","-",'ORDENES'!$AI795))</f>
        <v/>
      </c>
      <c r="D817" s="24">
        <f>IF('ORDENES'!$A795="","",IF('ORDENES'!$AA795="","-",'ORDENES'!$AA795))</f>
        <v/>
      </c>
      <c r="E817" s="24">
        <f>IF('ORDENES'!$A795="","",IF('ORDENES'!$Y795="","-",'ORDENES'!$Y795))</f>
        <v/>
      </c>
      <c r="F817" s="24">
        <f>IF('ORDENES'!$A795="","",IF('ORDENES'!$AB795="","-",'ORDENES'!$AB795))</f>
        <v/>
      </c>
      <c r="G817" s="24">
        <f>IF('ORDENES'!$A795="","",IF('ORDENES'!$Z795="","-",'ORDENES'!$Z795))</f>
        <v/>
      </c>
      <c r="H817" s="24">
        <f>IF('ORDENES'!$A795="","",IF('ORDENES'!$AH795="","-",'ORDENES'!$AH795))</f>
        <v/>
      </c>
      <c r="I817" s="24">
        <f>IF('ORDENES'!$A795="","",IF('ORDENES'!$AU795="","-",'ORDENES'!$AU795))</f>
        <v/>
      </c>
      <c r="J817" s="24">
        <f>IF('ORDENES'!$A795="","",IF('ORDENES'!$D795="","-",'ORDENES'!$D795))</f>
        <v/>
      </c>
      <c r="K817" s="24">
        <f>IF('ORDENES'!$A795="","",IF('ORDENES'!$E795="","-",'ORDENES'!$E795))</f>
        <v/>
      </c>
      <c r="L817" s="26">
        <f>IF('ORDENES'!$A795="","",IF('ORDENES'!$M795="",0,'ORDENES'!$M795))</f>
        <v/>
      </c>
      <c r="M817" s="24">
        <f>IF('ORDENES'!$A795="","",IF('ORDENES'!$N795="","-",'ORDENES'!$N795))</f>
        <v/>
      </c>
      <c r="N817" s="24">
        <f>IF('ORDENES'!$A795="","",'ORDENES'!$AG795)</f>
        <v/>
      </c>
    </row>
    <row r="818">
      <c r="A818" s="24">
        <f>IF('ORDENES'!$A796="","",IF('ORDENES'!$O796="","-",'ORDENES'!$O796))</f>
        <v/>
      </c>
      <c r="B818" s="24">
        <f>IF('ORDENES'!$A796="","",IF('ORDENES'!$S796="","-",'ORDENES'!$S796))</f>
        <v/>
      </c>
      <c r="C818" s="24">
        <f>IF('ORDENES'!$A796="","",IF('ORDENES'!$AI796="","-",'ORDENES'!$AI796))</f>
        <v/>
      </c>
      <c r="D818" s="24">
        <f>IF('ORDENES'!$A796="","",IF('ORDENES'!$AA796="","-",'ORDENES'!$AA796))</f>
        <v/>
      </c>
      <c r="E818" s="24">
        <f>IF('ORDENES'!$A796="","",IF('ORDENES'!$Y796="","-",'ORDENES'!$Y796))</f>
        <v/>
      </c>
      <c r="F818" s="24">
        <f>IF('ORDENES'!$A796="","",IF('ORDENES'!$AB796="","-",'ORDENES'!$AB796))</f>
        <v/>
      </c>
      <c r="G818" s="24">
        <f>IF('ORDENES'!$A796="","",IF('ORDENES'!$Z796="","-",'ORDENES'!$Z796))</f>
        <v/>
      </c>
      <c r="H818" s="24">
        <f>IF('ORDENES'!$A796="","",IF('ORDENES'!$AH796="","-",'ORDENES'!$AH796))</f>
        <v/>
      </c>
      <c r="I818" s="24">
        <f>IF('ORDENES'!$A796="","",IF('ORDENES'!$AU796="","-",'ORDENES'!$AU796))</f>
        <v/>
      </c>
      <c r="J818" s="24">
        <f>IF('ORDENES'!$A796="","",IF('ORDENES'!$D796="","-",'ORDENES'!$D796))</f>
        <v/>
      </c>
      <c r="K818" s="24">
        <f>IF('ORDENES'!$A796="","",IF('ORDENES'!$E796="","-",'ORDENES'!$E796))</f>
        <v/>
      </c>
      <c r="L818" s="26">
        <f>IF('ORDENES'!$A796="","",IF('ORDENES'!$M796="",0,'ORDENES'!$M796))</f>
        <v/>
      </c>
      <c r="M818" s="24">
        <f>IF('ORDENES'!$A796="","",IF('ORDENES'!$N796="","-",'ORDENES'!$N796))</f>
        <v/>
      </c>
      <c r="N818" s="24">
        <f>IF('ORDENES'!$A796="","",'ORDENES'!$AG796)</f>
        <v/>
      </c>
    </row>
    <row r="819">
      <c r="A819" s="24">
        <f>IF('ORDENES'!$A797="","",IF('ORDENES'!$O797="","-",'ORDENES'!$O797))</f>
        <v/>
      </c>
      <c r="B819" s="24">
        <f>IF('ORDENES'!$A797="","",IF('ORDENES'!$S797="","-",'ORDENES'!$S797))</f>
        <v/>
      </c>
      <c r="C819" s="24">
        <f>IF('ORDENES'!$A797="","",IF('ORDENES'!$AI797="","-",'ORDENES'!$AI797))</f>
        <v/>
      </c>
      <c r="D819" s="24">
        <f>IF('ORDENES'!$A797="","",IF('ORDENES'!$AA797="","-",'ORDENES'!$AA797))</f>
        <v/>
      </c>
      <c r="E819" s="24">
        <f>IF('ORDENES'!$A797="","",IF('ORDENES'!$Y797="","-",'ORDENES'!$Y797))</f>
        <v/>
      </c>
      <c r="F819" s="24">
        <f>IF('ORDENES'!$A797="","",IF('ORDENES'!$AB797="","-",'ORDENES'!$AB797))</f>
        <v/>
      </c>
      <c r="G819" s="24">
        <f>IF('ORDENES'!$A797="","",IF('ORDENES'!$Z797="","-",'ORDENES'!$Z797))</f>
        <v/>
      </c>
      <c r="H819" s="24">
        <f>IF('ORDENES'!$A797="","",IF('ORDENES'!$AH797="","-",'ORDENES'!$AH797))</f>
        <v/>
      </c>
      <c r="I819" s="24">
        <f>IF('ORDENES'!$A797="","",IF('ORDENES'!$AU797="","-",'ORDENES'!$AU797))</f>
        <v/>
      </c>
      <c r="J819" s="24">
        <f>IF('ORDENES'!$A797="","",IF('ORDENES'!$D797="","-",'ORDENES'!$D797))</f>
        <v/>
      </c>
      <c r="K819" s="24">
        <f>IF('ORDENES'!$A797="","",IF('ORDENES'!$E797="","-",'ORDENES'!$E797))</f>
        <v/>
      </c>
      <c r="L819" s="26">
        <f>IF('ORDENES'!$A797="","",IF('ORDENES'!$M797="",0,'ORDENES'!$M797))</f>
        <v/>
      </c>
      <c r="M819" s="24">
        <f>IF('ORDENES'!$A797="","",IF('ORDENES'!$N797="","-",'ORDENES'!$N797))</f>
        <v/>
      </c>
      <c r="N819" s="24">
        <f>IF('ORDENES'!$A797="","",'ORDENES'!$AG797)</f>
        <v/>
      </c>
    </row>
    <row r="820">
      <c r="A820" s="24">
        <f>IF('ORDENES'!$A798="","",IF('ORDENES'!$O798="","-",'ORDENES'!$O798))</f>
        <v/>
      </c>
      <c r="B820" s="24">
        <f>IF('ORDENES'!$A798="","",IF('ORDENES'!$S798="","-",'ORDENES'!$S798))</f>
        <v/>
      </c>
      <c r="C820" s="24">
        <f>IF('ORDENES'!$A798="","",IF('ORDENES'!$AI798="","-",'ORDENES'!$AI798))</f>
        <v/>
      </c>
      <c r="D820" s="24">
        <f>IF('ORDENES'!$A798="","",IF('ORDENES'!$AA798="","-",'ORDENES'!$AA798))</f>
        <v/>
      </c>
      <c r="E820" s="24">
        <f>IF('ORDENES'!$A798="","",IF('ORDENES'!$Y798="","-",'ORDENES'!$Y798))</f>
        <v/>
      </c>
      <c r="F820" s="24">
        <f>IF('ORDENES'!$A798="","",IF('ORDENES'!$AB798="","-",'ORDENES'!$AB798))</f>
        <v/>
      </c>
      <c r="G820" s="24">
        <f>IF('ORDENES'!$A798="","",IF('ORDENES'!$Z798="","-",'ORDENES'!$Z798))</f>
        <v/>
      </c>
      <c r="H820" s="24">
        <f>IF('ORDENES'!$A798="","",IF('ORDENES'!$AH798="","-",'ORDENES'!$AH798))</f>
        <v/>
      </c>
      <c r="I820" s="24">
        <f>IF('ORDENES'!$A798="","",IF('ORDENES'!$AU798="","-",'ORDENES'!$AU798))</f>
        <v/>
      </c>
      <c r="J820" s="24">
        <f>IF('ORDENES'!$A798="","",IF('ORDENES'!$D798="","-",'ORDENES'!$D798))</f>
        <v/>
      </c>
      <c r="K820" s="24">
        <f>IF('ORDENES'!$A798="","",IF('ORDENES'!$E798="","-",'ORDENES'!$E798))</f>
        <v/>
      </c>
      <c r="L820" s="26">
        <f>IF('ORDENES'!$A798="","",IF('ORDENES'!$M798="",0,'ORDENES'!$M798))</f>
        <v/>
      </c>
      <c r="M820" s="24">
        <f>IF('ORDENES'!$A798="","",IF('ORDENES'!$N798="","-",'ORDENES'!$N798))</f>
        <v/>
      </c>
      <c r="N820" s="24">
        <f>IF('ORDENES'!$A798="","",'ORDENES'!$AG798)</f>
        <v/>
      </c>
    </row>
    <row r="821">
      <c r="A821" s="24">
        <f>IF('ORDENES'!$A799="","",IF('ORDENES'!$O799="","-",'ORDENES'!$O799))</f>
        <v/>
      </c>
      <c r="B821" s="24">
        <f>IF('ORDENES'!$A799="","",IF('ORDENES'!$S799="","-",'ORDENES'!$S799))</f>
        <v/>
      </c>
      <c r="C821" s="24">
        <f>IF('ORDENES'!$A799="","",IF('ORDENES'!$AI799="","-",'ORDENES'!$AI799))</f>
        <v/>
      </c>
      <c r="D821" s="24">
        <f>IF('ORDENES'!$A799="","",IF('ORDENES'!$AA799="","-",'ORDENES'!$AA799))</f>
        <v/>
      </c>
      <c r="E821" s="24">
        <f>IF('ORDENES'!$A799="","",IF('ORDENES'!$Y799="","-",'ORDENES'!$Y799))</f>
        <v/>
      </c>
      <c r="F821" s="24">
        <f>IF('ORDENES'!$A799="","",IF('ORDENES'!$AB799="","-",'ORDENES'!$AB799))</f>
        <v/>
      </c>
      <c r="G821" s="24">
        <f>IF('ORDENES'!$A799="","",IF('ORDENES'!$Z799="","-",'ORDENES'!$Z799))</f>
        <v/>
      </c>
      <c r="H821" s="24">
        <f>IF('ORDENES'!$A799="","",IF('ORDENES'!$AH799="","-",'ORDENES'!$AH799))</f>
        <v/>
      </c>
      <c r="I821" s="24">
        <f>IF('ORDENES'!$A799="","",IF('ORDENES'!$AU799="","-",'ORDENES'!$AU799))</f>
        <v/>
      </c>
      <c r="J821" s="24">
        <f>IF('ORDENES'!$A799="","",IF('ORDENES'!$D799="","-",'ORDENES'!$D799))</f>
        <v/>
      </c>
      <c r="K821" s="24">
        <f>IF('ORDENES'!$A799="","",IF('ORDENES'!$E799="","-",'ORDENES'!$E799))</f>
        <v/>
      </c>
      <c r="L821" s="26">
        <f>IF('ORDENES'!$A799="","",IF('ORDENES'!$M799="",0,'ORDENES'!$M799))</f>
        <v/>
      </c>
      <c r="M821" s="24">
        <f>IF('ORDENES'!$A799="","",IF('ORDENES'!$N799="","-",'ORDENES'!$N799))</f>
        <v/>
      </c>
      <c r="N821" s="24">
        <f>IF('ORDENES'!$A799="","",'ORDENES'!$AG799)</f>
        <v/>
      </c>
    </row>
    <row r="822">
      <c r="A822" s="24">
        <f>IF('ORDENES'!$A800="","",IF('ORDENES'!$O800="","-",'ORDENES'!$O800))</f>
        <v/>
      </c>
      <c r="B822" s="24">
        <f>IF('ORDENES'!$A800="","",IF('ORDENES'!$S800="","-",'ORDENES'!$S800))</f>
        <v/>
      </c>
      <c r="C822" s="24">
        <f>IF('ORDENES'!$A800="","",IF('ORDENES'!$AI800="","-",'ORDENES'!$AI800))</f>
        <v/>
      </c>
      <c r="D822" s="24">
        <f>IF('ORDENES'!$A800="","",IF('ORDENES'!$AA800="","-",'ORDENES'!$AA800))</f>
        <v/>
      </c>
      <c r="E822" s="24">
        <f>IF('ORDENES'!$A800="","",IF('ORDENES'!$Y800="","-",'ORDENES'!$Y800))</f>
        <v/>
      </c>
      <c r="F822" s="24">
        <f>IF('ORDENES'!$A800="","",IF('ORDENES'!$AB800="","-",'ORDENES'!$AB800))</f>
        <v/>
      </c>
      <c r="G822" s="24">
        <f>IF('ORDENES'!$A800="","",IF('ORDENES'!$Z800="","-",'ORDENES'!$Z800))</f>
        <v/>
      </c>
      <c r="H822" s="24">
        <f>IF('ORDENES'!$A800="","",IF('ORDENES'!$AH800="","-",'ORDENES'!$AH800))</f>
        <v/>
      </c>
      <c r="I822" s="24">
        <f>IF('ORDENES'!$A800="","",IF('ORDENES'!$AU800="","-",'ORDENES'!$AU800))</f>
        <v/>
      </c>
      <c r="J822" s="24">
        <f>IF('ORDENES'!$A800="","",IF('ORDENES'!$D800="","-",'ORDENES'!$D800))</f>
        <v/>
      </c>
      <c r="K822" s="24">
        <f>IF('ORDENES'!$A800="","",IF('ORDENES'!$E800="","-",'ORDENES'!$E800))</f>
        <v/>
      </c>
      <c r="L822" s="26">
        <f>IF('ORDENES'!$A800="","",IF('ORDENES'!$M800="",0,'ORDENES'!$M800))</f>
        <v/>
      </c>
      <c r="M822" s="24">
        <f>IF('ORDENES'!$A800="","",IF('ORDENES'!$N800="","-",'ORDENES'!$N800))</f>
        <v/>
      </c>
      <c r="N822" s="24">
        <f>IF('ORDENES'!$A800="","",'ORDENES'!$AG800)</f>
        <v/>
      </c>
    </row>
    <row r="823">
      <c r="A823" s="24">
        <f>IF('ORDENES'!$A801="","",IF('ORDENES'!$O801="","-",'ORDENES'!$O801))</f>
        <v/>
      </c>
      <c r="B823" s="24">
        <f>IF('ORDENES'!$A801="","",IF('ORDENES'!$S801="","-",'ORDENES'!$S801))</f>
        <v/>
      </c>
      <c r="C823" s="24">
        <f>IF('ORDENES'!$A801="","",IF('ORDENES'!$AI801="","-",'ORDENES'!$AI801))</f>
        <v/>
      </c>
      <c r="D823" s="24">
        <f>IF('ORDENES'!$A801="","",IF('ORDENES'!$AA801="","-",'ORDENES'!$AA801))</f>
        <v/>
      </c>
      <c r="E823" s="24">
        <f>IF('ORDENES'!$A801="","",IF('ORDENES'!$Y801="","-",'ORDENES'!$Y801))</f>
        <v/>
      </c>
      <c r="F823" s="24">
        <f>IF('ORDENES'!$A801="","",IF('ORDENES'!$AB801="","-",'ORDENES'!$AB801))</f>
        <v/>
      </c>
      <c r="G823" s="24">
        <f>IF('ORDENES'!$A801="","",IF('ORDENES'!$Z801="","-",'ORDENES'!$Z801))</f>
        <v/>
      </c>
      <c r="H823" s="24">
        <f>IF('ORDENES'!$A801="","",IF('ORDENES'!$AH801="","-",'ORDENES'!$AH801))</f>
        <v/>
      </c>
      <c r="I823" s="24">
        <f>IF('ORDENES'!$A801="","",IF('ORDENES'!$AU801="","-",'ORDENES'!$AU801))</f>
        <v/>
      </c>
      <c r="J823" s="24">
        <f>IF('ORDENES'!$A801="","",IF('ORDENES'!$D801="","-",'ORDENES'!$D801))</f>
        <v/>
      </c>
      <c r="K823" s="24">
        <f>IF('ORDENES'!$A801="","",IF('ORDENES'!$E801="","-",'ORDENES'!$E801))</f>
        <v/>
      </c>
      <c r="L823" s="26">
        <f>IF('ORDENES'!$A801="","",IF('ORDENES'!$M801="",0,'ORDENES'!$M801))</f>
        <v/>
      </c>
      <c r="M823" s="24">
        <f>IF('ORDENES'!$A801="","",IF('ORDENES'!$N801="","-",'ORDENES'!$N801))</f>
        <v/>
      </c>
      <c r="N823" s="24">
        <f>IF('ORDENES'!$A801="","",'ORDENES'!$AG801)</f>
        <v/>
      </c>
    </row>
    <row r="824">
      <c r="A824" s="24">
        <f>IF('ORDENES'!$A802="","",IF('ORDENES'!$O802="","-",'ORDENES'!$O802))</f>
        <v/>
      </c>
      <c r="B824" s="24">
        <f>IF('ORDENES'!$A802="","",IF('ORDENES'!$S802="","-",'ORDENES'!$S802))</f>
        <v/>
      </c>
      <c r="C824" s="24">
        <f>IF('ORDENES'!$A802="","",IF('ORDENES'!$AI802="","-",'ORDENES'!$AI802))</f>
        <v/>
      </c>
      <c r="D824" s="24">
        <f>IF('ORDENES'!$A802="","",IF('ORDENES'!$AA802="","-",'ORDENES'!$AA802))</f>
        <v/>
      </c>
      <c r="E824" s="24">
        <f>IF('ORDENES'!$A802="","",IF('ORDENES'!$Y802="","-",'ORDENES'!$Y802))</f>
        <v/>
      </c>
      <c r="F824" s="24">
        <f>IF('ORDENES'!$A802="","",IF('ORDENES'!$AB802="","-",'ORDENES'!$AB802))</f>
        <v/>
      </c>
      <c r="G824" s="24">
        <f>IF('ORDENES'!$A802="","",IF('ORDENES'!$Z802="","-",'ORDENES'!$Z802))</f>
        <v/>
      </c>
      <c r="H824" s="24">
        <f>IF('ORDENES'!$A802="","",IF('ORDENES'!$AH802="","-",'ORDENES'!$AH802))</f>
        <v/>
      </c>
      <c r="I824" s="24">
        <f>IF('ORDENES'!$A802="","",IF('ORDENES'!$AU802="","-",'ORDENES'!$AU802))</f>
        <v/>
      </c>
      <c r="J824" s="24">
        <f>IF('ORDENES'!$A802="","",IF('ORDENES'!$D802="","-",'ORDENES'!$D802))</f>
        <v/>
      </c>
      <c r="K824" s="24">
        <f>IF('ORDENES'!$A802="","",IF('ORDENES'!$E802="","-",'ORDENES'!$E802))</f>
        <v/>
      </c>
      <c r="L824" s="26">
        <f>IF('ORDENES'!$A802="","",IF('ORDENES'!$M802="",0,'ORDENES'!$M802))</f>
        <v/>
      </c>
      <c r="M824" s="24">
        <f>IF('ORDENES'!$A802="","",IF('ORDENES'!$N802="","-",'ORDENES'!$N802))</f>
        <v/>
      </c>
      <c r="N824" s="24">
        <f>IF('ORDENES'!$A802="","",'ORDENES'!$AG802)</f>
        <v/>
      </c>
    </row>
    <row r="825">
      <c r="A825" s="24">
        <f>IF('ORDENES'!$A803="","",IF('ORDENES'!$O803="","-",'ORDENES'!$O803))</f>
        <v/>
      </c>
      <c r="B825" s="24">
        <f>IF('ORDENES'!$A803="","",IF('ORDENES'!$S803="","-",'ORDENES'!$S803))</f>
        <v/>
      </c>
      <c r="C825" s="24">
        <f>IF('ORDENES'!$A803="","",IF('ORDENES'!$AI803="","-",'ORDENES'!$AI803))</f>
        <v/>
      </c>
      <c r="D825" s="24">
        <f>IF('ORDENES'!$A803="","",IF('ORDENES'!$AA803="","-",'ORDENES'!$AA803))</f>
        <v/>
      </c>
      <c r="E825" s="24">
        <f>IF('ORDENES'!$A803="","",IF('ORDENES'!$Y803="","-",'ORDENES'!$Y803))</f>
        <v/>
      </c>
      <c r="F825" s="24">
        <f>IF('ORDENES'!$A803="","",IF('ORDENES'!$AB803="","-",'ORDENES'!$AB803))</f>
        <v/>
      </c>
      <c r="G825" s="24">
        <f>IF('ORDENES'!$A803="","",IF('ORDENES'!$Z803="","-",'ORDENES'!$Z803))</f>
        <v/>
      </c>
      <c r="H825" s="24">
        <f>IF('ORDENES'!$A803="","",IF('ORDENES'!$AH803="","-",'ORDENES'!$AH803))</f>
        <v/>
      </c>
      <c r="I825" s="24">
        <f>IF('ORDENES'!$A803="","",IF('ORDENES'!$AU803="","-",'ORDENES'!$AU803))</f>
        <v/>
      </c>
      <c r="J825" s="24">
        <f>IF('ORDENES'!$A803="","",IF('ORDENES'!$D803="","-",'ORDENES'!$D803))</f>
        <v/>
      </c>
      <c r="K825" s="24">
        <f>IF('ORDENES'!$A803="","",IF('ORDENES'!$E803="","-",'ORDENES'!$E803))</f>
        <v/>
      </c>
      <c r="L825" s="26">
        <f>IF('ORDENES'!$A803="","",IF('ORDENES'!$M803="",0,'ORDENES'!$M803))</f>
        <v/>
      </c>
      <c r="M825" s="24">
        <f>IF('ORDENES'!$A803="","",IF('ORDENES'!$N803="","-",'ORDENES'!$N803))</f>
        <v/>
      </c>
      <c r="N825" s="24">
        <f>IF('ORDENES'!$A803="","",'ORDENES'!$AG803)</f>
        <v/>
      </c>
    </row>
    <row r="826">
      <c r="A826" s="24">
        <f>IF('ORDENES'!$A804="","",IF('ORDENES'!$O804="","-",'ORDENES'!$O804))</f>
        <v/>
      </c>
      <c r="B826" s="24">
        <f>IF('ORDENES'!$A804="","",IF('ORDENES'!$S804="","-",'ORDENES'!$S804))</f>
        <v/>
      </c>
      <c r="C826" s="24">
        <f>IF('ORDENES'!$A804="","",IF('ORDENES'!$AI804="","-",'ORDENES'!$AI804))</f>
        <v/>
      </c>
      <c r="D826" s="24">
        <f>IF('ORDENES'!$A804="","",IF('ORDENES'!$AA804="","-",'ORDENES'!$AA804))</f>
        <v/>
      </c>
      <c r="E826" s="24">
        <f>IF('ORDENES'!$A804="","",IF('ORDENES'!$Y804="","-",'ORDENES'!$Y804))</f>
        <v/>
      </c>
      <c r="F826" s="24">
        <f>IF('ORDENES'!$A804="","",IF('ORDENES'!$AB804="","-",'ORDENES'!$AB804))</f>
        <v/>
      </c>
      <c r="G826" s="24">
        <f>IF('ORDENES'!$A804="","",IF('ORDENES'!$Z804="","-",'ORDENES'!$Z804))</f>
        <v/>
      </c>
      <c r="H826" s="24">
        <f>IF('ORDENES'!$A804="","",IF('ORDENES'!$AH804="","-",'ORDENES'!$AH804))</f>
        <v/>
      </c>
      <c r="I826" s="24">
        <f>IF('ORDENES'!$A804="","",IF('ORDENES'!$AU804="","-",'ORDENES'!$AU804))</f>
        <v/>
      </c>
      <c r="J826" s="24">
        <f>IF('ORDENES'!$A804="","",IF('ORDENES'!$D804="","-",'ORDENES'!$D804))</f>
        <v/>
      </c>
      <c r="K826" s="24">
        <f>IF('ORDENES'!$A804="","",IF('ORDENES'!$E804="","-",'ORDENES'!$E804))</f>
        <v/>
      </c>
      <c r="L826" s="26">
        <f>IF('ORDENES'!$A804="","",IF('ORDENES'!$M804="",0,'ORDENES'!$M804))</f>
        <v/>
      </c>
      <c r="M826" s="24">
        <f>IF('ORDENES'!$A804="","",IF('ORDENES'!$N804="","-",'ORDENES'!$N804))</f>
        <v/>
      </c>
      <c r="N826" s="24">
        <f>IF('ORDENES'!$A804="","",'ORDENES'!$AG804)</f>
        <v/>
      </c>
    </row>
    <row r="827">
      <c r="A827" s="24">
        <f>IF('ORDENES'!$A805="","",IF('ORDENES'!$O805="","-",'ORDENES'!$O805))</f>
        <v/>
      </c>
      <c r="B827" s="24">
        <f>IF('ORDENES'!$A805="","",IF('ORDENES'!$S805="","-",'ORDENES'!$S805))</f>
        <v/>
      </c>
      <c r="C827" s="24">
        <f>IF('ORDENES'!$A805="","",IF('ORDENES'!$AI805="","-",'ORDENES'!$AI805))</f>
        <v/>
      </c>
      <c r="D827" s="24">
        <f>IF('ORDENES'!$A805="","",IF('ORDENES'!$AA805="","-",'ORDENES'!$AA805))</f>
        <v/>
      </c>
      <c r="E827" s="24">
        <f>IF('ORDENES'!$A805="","",IF('ORDENES'!$Y805="","-",'ORDENES'!$Y805))</f>
        <v/>
      </c>
      <c r="F827" s="24">
        <f>IF('ORDENES'!$A805="","",IF('ORDENES'!$AB805="","-",'ORDENES'!$AB805))</f>
        <v/>
      </c>
      <c r="G827" s="24">
        <f>IF('ORDENES'!$A805="","",IF('ORDENES'!$Z805="","-",'ORDENES'!$Z805))</f>
        <v/>
      </c>
      <c r="H827" s="24">
        <f>IF('ORDENES'!$A805="","",IF('ORDENES'!$AH805="","-",'ORDENES'!$AH805))</f>
        <v/>
      </c>
      <c r="I827" s="24">
        <f>IF('ORDENES'!$A805="","",IF('ORDENES'!$AU805="","-",'ORDENES'!$AU805))</f>
        <v/>
      </c>
      <c r="J827" s="24">
        <f>IF('ORDENES'!$A805="","",IF('ORDENES'!$D805="","-",'ORDENES'!$D805))</f>
        <v/>
      </c>
      <c r="K827" s="24">
        <f>IF('ORDENES'!$A805="","",IF('ORDENES'!$E805="","-",'ORDENES'!$E805))</f>
        <v/>
      </c>
      <c r="L827" s="26">
        <f>IF('ORDENES'!$A805="","",IF('ORDENES'!$M805="",0,'ORDENES'!$M805))</f>
        <v/>
      </c>
      <c r="M827" s="24">
        <f>IF('ORDENES'!$A805="","",IF('ORDENES'!$N805="","-",'ORDENES'!$N805))</f>
        <v/>
      </c>
      <c r="N827" s="24">
        <f>IF('ORDENES'!$A805="","",'ORDENES'!$AG805)</f>
        <v/>
      </c>
    </row>
    <row r="828">
      <c r="A828" s="24">
        <f>IF('ORDENES'!$A806="","",IF('ORDENES'!$O806="","-",'ORDENES'!$O806))</f>
        <v/>
      </c>
      <c r="B828" s="24">
        <f>IF('ORDENES'!$A806="","",IF('ORDENES'!$S806="","-",'ORDENES'!$S806))</f>
        <v/>
      </c>
      <c r="C828" s="24">
        <f>IF('ORDENES'!$A806="","",IF('ORDENES'!$AI806="","-",'ORDENES'!$AI806))</f>
        <v/>
      </c>
      <c r="D828" s="24">
        <f>IF('ORDENES'!$A806="","",IF('ORDENES'!$AA806="","-",'ORDENES'!$AA806))</f>
        <v/>
      </c>
      <c r="E828" s="24">
        <f>IF('ORDENES'!$A806="","",IF('ORDENES'!$Y806="","-",'ORDENES'!$Y806))</f>
        <v/>
      </c>
      <c r="F828" s="24">
        <f>IF('ORDENES'!$A806="","",IF('ORDENES'!$AB806="","-",'ORDENES'!$AB806))</f>
        <v/>
      </c>
      <c r="G828" s="24">
        <f>IF('ORDENES'!$A806="","",IF('ORDENES'!$Z806="","-",'ORDENES'!$Z806))</f>
        <v/>
      </c>
      <c r="H828" s="24">
        <f>IF('ORDENES'!$A806="","",IF('ORDENES'!$AH806="","-",'ORDENES'!$AH806))</f>
        <v/>
      </c>
      <c r="I828" s="24">
        <f>IF('ORDENES'!$A806="","",IF('ORDENES'!$AU806="","-",'ORDENES'!$AU806))</f>
        <v/>
      </c>
      <c r="J828" s="24">
        <f>IF('ORDENES'!$A806="","",IF('ORDENES'!$D806="","-",'ORDENES'!$D806))</f>
        <v/>
      </c>
      <c r="K828" s="24">
        <f>IF('ORDENES'!$A806="","",IF('ORDENES'!$E806="","-",'ORDENES'!$E806))</f>
        <v/>
      </c>
      <c r="L828" s="26">
        <f>IF('ORDENES'!$A806="","",IF('ORDENES'!$M806="",0,'ORDENES'!$M806))</f>
        <v/>
      </c>
      <c r="M828" s="24">
        <f>IF('ORDENES'!$A806="","",IF('ORDENES'!$N806="","-",'ORDENES'!$N806))</f>
        <v/>
      </c>
      <c r="N828" s="24">
        <f>IF('ORDENES'!$A806="","",'ORDENES'!$AG806)</f>
        <v/>
      </c>
    </row>
    <row r="829">
      <c r="A829" s="24">
        <f>IF('ORDENES'!$A807="","",IF('ORDENES'!$O807="","-",'ORDENES'!$O807))</f>
        <v/>
      </c>
      <c r="B829" s="24">
        <f>IF('ORDENES'!$A807="","",IF('ORDENES'!$S807="","-",'ORDENES'!$S807))</f>
        <v/>
      </c>
      <c r="C829" s="24">
        <f>IF('ORDENES'!$A807="","",IF('ORDENES'!$AI807="","-",'ORDENES'!$AI807))</f>
        <v/>
      </c>
      <c r="D829" s="24">
        <f>IF('ORDENES'!$A807="","",IF('ORDENES'!$AA807="","-",'ORDENES'!$AA807))</f>
        <v/>
      </c>
      <c r="E829" s="24">
        <f>IF('ORDENES'!$A807="","",IF('ORDENES'!$Y807="","-",'ORDENES'!$Y807))</f>
        <v/>
      </c>
      <c r="F829" s="24">
        <f>IF('ORDENES'!$A807="","",IF('ORDENES'!$AB807="","-",'ORDENES'!$AB807))</f>
        <v/>
      </c>
      <c r="G829" s="24">
        <f>IF('ORDENES'!$A807="","",IF('ORDENES'!$Z807="","-",'ORDENES'!$Z807))</f>
        <v/>
      </c>
      <c r="H829" s="24">
        <f>IF('ORDENES'!$A807="","",IF('ORDENES'!$AH807="","-",'ORDENES'!$AH807))</f>
        <v/>
      </c>
      <c r="I829" s="24">
        <f>IF('ORDENES'!$A807="","",IF('ORDENES'!$AU807="","-",'ORDENES'!$AU807))</f>
        <v/>
      </c>
      <c r="J829" s="24">
        <f>IF('ORDENES'!$A807="","",IF('ORDENES'!$D807="","-",'ORDENES'!$D807))</f>
        <v/>
      </c>
      <c r="K829" s="24">
        <f>IF('ORDENES'!$A807="","",IF('ORDENES'!$E807="","-",'ORDENES'!$E807))</f>
        <v/>
      </c>
      <c r="L829" s="26">
        <f>IF('ORDENES'!$A807="","",IF('ORDENES'!$M807="",0,'ORDENES'!$M807))</f>
        <v/>
      </c>
      <c r="M829" s="24">
        <f>IF('ORDENES'!$A807="","",IF('ORDENES'!$N807="","-",'ORDENES'!$N807))</f>
        <v/>
      </c>
      <c r="N829" s="24">
        <f>IF('ORDENES'!$A807="","",'ORDENES'!$AG807)</f>
        <v/>
      </c>
    </row>
    <row r="830">
      <c r="A830" s="24">
        <f>IF('ORDENES'!$A808="","",IF('ORDENES'!$O808="","-",'ORDENES'!$O808))</f>
        <v/>
      </c>
      <c r="B830" s="24">
        <f>IF('ORDENES'!$A808="","",IF('ORDENES'!$S808="","-",'ORDENES'!$S808))</f>
        <v/>
      </c>
      <c r="C830" s="24">
        <f>IF('ORDENES'!$A808="","",IF('ORDENES'!$AI808="","-",'ORDENES'!$AI808))</f>
        <v/>
      </c>
      <c r="D830" s="24">
        <f>IF('ORDENES'!$A808="","",IF('ORDENES'!$AA808="","-",'ORDENES'!$AA808))</f>
        <v/>
      </c>
      <c r="E830" s="24">
        <f>IF('ORDENES'!$A808="","",IF('ORDENES'!$Y808="","-",'ORDENES'!$Y808))</f>
        <v/>
      </c>
      <c r="F830" s="24">
        <f>IF('ORDENES'!$A808="","",IF('ORDENES'!$AB808="","-",'ORDENES'!$AB808))</f>
        <v/>
      </c>
      <c r="G830" s="24">
        <f>IF('ORDENES'!$A808="","",IF('ORDENES'!$Z808="","-",'ORDENES'!$Z808))</f>
        <v/>
      </c>
      <c r="H830" s="24">
        <f>IF('ORDENES'!$A808="","",IF('ORDENES'!$AH808="","-",'ORDENES'!$AH808))</f>
        <v/>
      </c>
      <c r="I830" s="24">
        <f>IF('ORDENES'!$A808="","",IF('ORDENES'!$AU808="","-",'ORDENES'!$AU808))</f>
        <v/>
      </c>
      <c r="J830" s="24">
        <f>IF('ORDENES'!$A808="","",IF('ORDENES'!$D808="","-",'ORDENES'!$D808))</f>
        <v/>
      </c>
      <c r="K830" s="24">
        <f>IF('ORDENES'!$A808="","",IF('ORDENES'!$E808="","-",'ORDENES'!$E808))</f>
        <v/>
      </c>
      <c r="L830" s="26">
        <f>IF('ORDENES'!$A808="","",IF('ORDENES'!$M808="",0,'ORDENES'!$M808))</f>
        <v/>
      </c>
      <c r="M830" s="24">
        <f>IF('ORDENES'!$A808="","",IF('ORDENES'!$N808="","-",'ORDENES'!$N808))</f>
        <v/>
      </c>
      <c r="N830" s="24">
        <f>IF('ORDENES'!$A808="","",'ORDENES'!$AG808)</f>
        <v/>
      </c>
    </row>
    <row r="831">
      <c r="A831" s="24">
        <f>IF('ORDENES'!$A809="","",IF('ORDENES'!$O809="","-",'ORDENES'!$O809))</f>
        <v/>
      </c>
      <c r="B831" s="24">
        <f>IF('ORDENES'!$A809="","",IF('ORDENES'!$S809="","-",'ORDENES'!$S809))</f>
        <v/>
      </c>
      <c r="C831" s="24">
        <f>IF('ORDENES'!$A809="","",IF('ORDENES'!$AI809="","-",'ORDENES'!$AI809))</f>
        <v/>
      </c>
      <c r="D831" s="24">
        <f>IF('ORDENES'!$A809="","",IF('ORDENES'!$AA809="","-",'ORDENES'!$AA809))</f>
        <v/>
      </c>
      <c r="E831" s="24">
        <f>IF('ORDENES'!$A809="","",IF('ORDENES'!$Y809="","-",'ORDENES'!$Y809))</f>
        <v/>
      </c>
      <c r="F831" s="24">
        <f>IF('ORDENES'!$A809="","",IF('ORDENES'!$AB809="","-",'ORDENES'!$AB809))</f>
        <v/>
      </c>
      <c r="G831" s="24">
        <f>IF('ORDENES'!$A809="","",IF('ORDENES'!$Z809="","-",'ORDENES'!$Z809))</f>
        <v/>
      </c>
      <c r="H831" s="24">
        <f>IF('ORDENES'!$A809="","",IF('ORDENES'!$AH809="","-",'ORDENES'!$AH809))</f>
        <v/>
      </c>
      <c r="I831" s="24">
        <f>IF('ORDENES'!$A809="","",IF('ORDENES'!$AU809="","-",'ORDENES'!$AU809))</f>
        <v/>
      </c>
      <c r="J831" s="24">
        <f>IF('ORDENES'!$A809="","",IF('ORDENES'!$D809="","-",'ORDENES'!$D809))</f>
        <v/>
      </c>
      <c r="K831" s="24">
        <f>IF('ORDENES'!$A809="","",IF('ORDENES'!$E809="","-",'ORDENES'!$E809))</f>
        <v/>
      </c>
      <c r="L831" s="26">
        <f>IF('ORDENES'!$A809="","",IF('ORDENES'!$M809="",0,'ORDENES'!$M809))</f>
        <v/>
      </c>
      <c r="M831" s="24">
        <f>IF('ORDENES'!$A809="","",IF('ORDENES'!$N809="","-",'ORDENES'!$N809))</f>
        <v/>
      </c>
      <c r="N831" s="24">
        <f>IF('ORDENES'!$A809="","",'ORDENES'!$AG809)</f>
        <v/>
      </c>
    </row>
    <row r="832">
      <c r="A832" s="24">
        <f>IF('ORDENES'!$A810="","",IF('ORDENES'!$O810="","-",'ORDENES'!$O810))</f>
        <v/>
      </c>
      <c r="B832" s="24">
        <f>IF('ORDENES'!$A810="","",IF('ORDENES'!$S810="","-",'ORDENES'!$S810))</f>
        <v/>
      </c>
      <c r="C832" s="24">
        <f>IF('ORDENES'!$A810="","",IF('ORDENES'!$AI810="","-",'ORDENES'!$AI810))</f>
        <v/>
      </c>
      <c r="D832" s="24">
        <f>IF('ORDENES'!$A810="","",IF('ORDENES'!$AA810="","-",'ORDENES'!$AA810))</f>
        <v/>
      </c>
      <c r="E832" s="24">
        <f>IF('ORDENES'!$A810="","",IF('ORDENES'!$Y810="","-",'ORDENES'!$Y810))</f>
        <v/>
      </c>
      <c r="F832" s="24">
        <f>IF('ORDENES'!$A810="","",IF('ORDENES'!$AB810="","-",'ORDENES'!$AB810))</f>
        <v/>
      </c>
      <c r="G832" s="24">
        <f>IF('ORDENES'!$A810="","",IF('ORDENES'!$Z810="","-",'ORDENES'!$Z810))</f>
        <v/>
      </c>
      <c r="H832" s="24">
        <f>IF('ORDENES'!$A810="","",IF('ORDENES'!$AH810="","-",'ORDENES'!$AH810))</f>
        <v/>
      </c>
      <c r="I832" s="24">
        <f>IF('ORDENES'!$A810="","",IF('ORDENES'!$AU810="","-",'ORDENES'!$AU810))</f>
        <v/>
      </c>
      <c r="J832" s="24">
        <f>IF('ORDENES'!$A810="","",IF('ORDENES'!$D810="","-",'ORDENES'!$D810))</f>
        <v/>
      </c>
      <c r="K832" s="24">
        <f>IF('ORDENES'!$A810="","",IF('ORDENES'!$E810="","-",'ORDENES'!$E810))</f>
        <v/>
      </c>
      <c r="L832" s="26">
        <f>IF('ORDENES'!$A810="","",IF('ORDENES'!$M810="",0,'ORDENES'!$M810))</f>
        <v/>
      </c>
      <c r="M832" s="24">
        <f>IF('ORDENES'!$A810="","",IF('ORDENES'!$N810="","-",'ORDENES'!$N810))</f>
        <v/>
      </c>
      <c r="N832" s="24">
        <f>IF('ORDENES'!$A810="","",'ORDENES'!$AG810)</f>
        <v/>
      </c>
    </row>
    <row r="833">
      <c r="A833" s="24">
        <f>IF('ORDENES'!$A811="","",IF('ORDENES'!$O811="","-",'ORDENES'!$O811))</f>
        <v/>
      </c>
      <c r="B833" s="24">
        <f>IF('ORDENES'!$A811="","",IF('ORDENES'!$S811="","-",'ORDENES'!$S811))</f>
        <v/>
      </c>
      <c r="C833" s="24">
        <f>IF('ORDENES'!$A811="","",IF('ORDENES'!$AI811="","-",'ORDENES'!$AI811))</f>
        <v/>
      </c>
      <c r="D833" s="24">
        <f>IF('ORDENES'!$A811="","",IF('ORDENES'!$AA811="","-",'ORDENES'!$AA811))</f>
        <v/>
      </c>
      <c r="E833" s="24">
        <f>IF('ORDENES'!$A811="","",IF('ORDENES'!$Y811="","-",'ORDENES'!$Y811))</f>
        <v/>
      </c>
      <c r="F833" s="24">
        <f>IF('ORDENES'!$A811="","",IF('ORDENES'!$AB811="","-",'ORDENES'!$AB811))</f>
        <v/>
      </c>
      <c r="G833" s="24">
        <f>IF('ORDENES'!$A811="","",IF('ORDENES'!$Z811="","-",'ORDENES'!$Z811))</f>
        <v/>
      </c>
      <c r="H833" s="24">
        <f>IF('ORDENES'!$A811="","",IF('ORDENES'!$AH811="","-",'ORDENES'!$AH811))</f>
        <v/>
      </c>
      <c r="I833" s="24">
        <f>IF('ORDENES'!$A811="","",IF('ORDENES'!$AU811="","-",'ORDENES'!$AU811))</f>
        <v/>
      </c>
      <c r="J833" s="24">
        <f>IF('ORDENES'!$A811="","",IF('ORDENES'!$D811="","-",'ORDENES'!$D811))</f>
        <v/>
      </c>
      <c r="K833" s="24">
        <f>IF('ORDENES'!$A811="","",IF('ORDENES'!$E811="","-",'ORDENES'!$E811))</f>
        <v/>
      </c>
      <c r="L833" s="26">
        <f>IF('ORDENES'!$A811="","",IF('ORDENES'!$M811="",0,'ORDENES'!$M811))</f>
        <v/>
      </c>
      <c r="M833" s="24">
        <f>IF('ORDENES'!$A811="","",IF('ORDENES'!$N811="","-",'ORDENES'!$N811))</f>
        <v/>
      </c>
      <c r="N833" s="24">
        <f>IF('ORDENES'!$A811="","",'ORDENES'!$AG811)</f>
        <v/>
      </c>
    </row>
    <row r="834">
      <c r="A834" s="24">
        <f>IF('ORDENES'!$A812="","",IF('ORDENES'!$O812="","-",'ORDENES'!$O812))</f>
        <v/>
      </c>
      <c r="B834" s="24">
        <f>IF('ORDENES'!$A812="","",IF('ORDENES'!$S812="","-",'ORDENES'!$S812))</f>
        <v/>
      </c>
      <c r="C834" s="24">
        <f>IF('ORDENES'!$A812="","",IF('ORDENES'!$AI812="","-",'ORDENES'!$AI812))</f>
        <v/>
      </c>
      <c r="D834" s="24">
        <f>IF('ORDENES'!$A812="","",IF('ORDENES'!$AA812="","-",'ORDENES'!$AA812))</f>
        <v/>
      </c>
      <c r="E834" s="24">
        <f>IF('ORDENES'!$A812="","",IF('ORDENES'!$Y812="","-",'ORDENES'!$Y812))</f>
        <v/>
      </c>
      <c r="F834" s="24">
        <f>IF('ORDENES'!$A812="","",IF('ORDENES'!$AB812="","-",'ORDENES'!$AB812))</f>
        <v/>
      </c>
      <c r="G834" s="24">
        <f>IF('ORDENES'!$A812="","",IF('ORDENES'!$Z812="","-",'ORDENES'!$Z812))</f>
        <v/>
      </c>
      <c r="H834" s="24">
        <f>IF('ORDENES'!$A812="","",IF('ORDENES'!$AH812="","-",'ORDENES'!$AH812))</f>
        <v/>
      </c>
      <c r="I834" s="24">
        <f>IF('ORDENES'!$A812="","",IF('ORDENES'!$AU812="","-",'ORDENES'!$AU812))</f>
        <v/>
      </c>
      <c r="J834" s="24">
        <f>IF('ORDENES'!$A812="","",IF('ORDENES'!$D812="","-",'ORDENES'!$D812))</f>
        <v/>
      </c>
      <c r="K834" s="24">
        <f>IF('ORDENES'!$A812="","",IF('ORDENES'!$E812="","-",'ORDENES'!$E812))</f>
        <v/>
      </c>
      <c r="L834" s="26">
        <f>IF('ORDENES'!$A812="","",IF('ORDENES'!$M812="",0,'ORDENES'!$M812))</f>
        <v/>
      </c>
      <c r="M834" s="24">
        <f>IF('ORDENES'!$A812="","",IF('ORDENES'!$N812="","-",'ORDENES'!$N812))</f>
        <v/>
      </c>
      <c r="N834" s="24">
        <f>IF('ORDENES'!$A812="","",'ORDENES'!$AG812)</f>
        <v/>
      </c>
    </row>
    <row r="835">
      <c r="A835" s="24">
        <f>IF('ORDENES'!$A813="","",IF('ORDENES'!$O813="","-",'ORDENES'!$O813))</f>
        <v/>
      </c>
      <c r="B835" s="24">
        <f>IF('ORDENES'!$A813="","",IF('ORDENES'!$S813="","-",'ORDENES'!$S813))</f>
        <v/>
      </c>
      <c r="C835" s="24">
        <f>IF('ORDENES'!$A813="","",IF('ORDENES'!$AI813="","-",'ORDENES'!$AI813))</f>
        <v/>
      </c>
      <c r="D835" s="24">
        <f>IF('ORDENES'!$A813="","",IF('ORDENES'!$AA813="","-",'ORDENES'!$AA813))</f>
        <v/>
      </c>
      <c r="E835" s="24">
        <f>IF('ORDENES'!$A813="","",IF('ORDENES'!$Y813="","-",'ORDENES'!$Y813))</f>
        <v/>
      </c>
      <c r="F835" s="24">
        <f>IF('ORDENES'!$A813="","",IF('ORDENES'!$AB813="","-",'ORDENES'!$AB813))</f>
        <v/>
      </c>
      <c r="G835" s="24">
        <f>IF('ORDENES'!$A813="","",IF('ORDENES'!$Z813="","-",'ORDENES'!$Z813))</f>
        <v/>
      </c>
      <c r="H835" s="24">
        <f>IF('ORDENES'!$A813="","",IF('ORDENES'!$AH813="","-",'ORDENES'!$AH813))</f>
        <v/>
      </c>
      <c r="I835" s="24">
        <f>IF('ORDENES'!$A813="","",IF('ORDENES'!$AU813="","-",'ORDENES'!$AU813))</f>
        <v/>
      </c>
      <c r="J835" s="24">
        <f>IF('ORDENES'!$A813="","",IF('ORDENES'!$D813="","-",'ORDENES'!$D813))</f>
        <v/>
      </c>
      <c r="K835" s="24">
        <f>IF('ORDENES'!$A813="","",IF('ORDENES'!$E813="","-",'ORDENES'!$E813))</f>
        <v/>
      </c>
      <c r="L835" s="26">
        <f>IF('ORDENES'!$A813="","",IF('ORDENES'!$M813="",0,'ORDENES'!$M813))</f>
        <v/>
      </c>
      <c r="M835" s="24">
        <f>IF('ORDENES'!$A813="","",IF('ORDENES'!$N813="","-",'ORDENES'!$N813))</f>
        <v/>
      </c>
      <c r="N835" s="24">
        <f>IF('ORDENES'!$A813="","",'ORDENES'!$AG813)</f>
        <v/>
      </c>
    </row>
    <row r="836">
      <c r="A836" s="24">
        <f>IF('ORDENES'!$A814="","",IF('ORDENES'!$O814="","-",'ORDENES'!$O814))</f>
        <v/>
      </c>
      <c r="B836" s="24">
        <f>IF('ORDENES'!$A814="","",IF('ORDENES'!$S814="","-",'ORDENES'!$S814))</f>
        <v/>
      </c>
      <c r="C836" s="24">
        <f>IF('ORDENES'!$A814="","",IF('ORDENES'!$AI814="","-",'ORDENES'!$AI814))</f>
        <v/>
      </c>
      <c r="D836" s="24">
        <f>IF('ORDENES'!$A814="","",IF('ORDENES'!$AA814="","-",'ORDENES'!$AA814))</f>
        <v/>
      </c>
      <c r="E836" s="24">
        <f>IF('ORDENES'!$A814="","",IF('ORDENES'!$Y814="","-",'ORDENES'!$Y814))</f>
        <v/>
      </c>
      <c r="F836" s="24">
        <f>IF('ORDENES'!$A814="","",IF('ORDENES'!$AB814="","-",'ORDENES'!$AB814))</f>
        <v/>
      </c>
      <c r="G836" s="24">
        <f>IF('ORDENES'!$A814="","",IF('ORDENES'!$Z814="","-",'ORDENES'!$Z814))</f>
        <v/>
      </c>
      <c r="H836" s="24">
        <f>IF('ORDENES'!$A814="","",IF('ORDENES'!$AH814="","-",'ORDENES'!$AH814))</f>
        <v/>
      </c>
      <c r="I836" s="24">
        <f>IF('ORDENES'!$A814="","",IF('ORDENES'!$AU814="","-",'ORDENES'!$AU814))</f>
        <v/>
      </c>
      <c r="J836" s="24">
        <f>IF('ORDENES'!$A814="","",IF('ORDENES'!$D814="","-",'ORDENES'!$D814))</f>
        <v/>
      </c>
      <c r="K836" s="24">
        <f>IF('ORDENES'!$A814="","",IF('ORDENES'!$E814="","-",'ORDENES'!$E814))</f>
        <v/>
      </c>
      <c r="L836" s="26">
        <f>IF('ORDENES'!$A814="","",IF('ORDENES'!$M814="",0,'ORDENES'!$M814))</f>
        <v/>
      </c>
      <c r="M836" s="24">
        <f>IF('ORDENES'!$A814="","",IF('ORDENES'!$N814="","-",'ORDENES'!$N814))</f>
        <v/>
      </c>
      <c r="N836" s="24">
        <f>IF('ORDENES'!$A814="","",'ORDENES'!$AG814)</f>
        <v/>
      </c>
    </row>
    <row r="837">
      <c r="A837" s="24">
        <f>IF('ORDENES'!$A815="","",IF('ORDENES'!$O815="","-",'ORDENES'!$O815))</f>
        <v/>
      </c>
      <c r="B837" s="24">
        <f>IF('ORDENES'!$A815="","",IF('ORDENES'!$S815="","-",'ORDENES'!$S815))</f>
        <v/>
      </c>
      <c r="C837" s="24">
        <f>IF('ORDENES'!$A815="","",IF('ORDENES'!$AI815="","-",'ORDENES'!$AI815))</f>
        <v/>
      </c>
      <c r="D837" s="24">
        <f>IF('ORDENES'!$A815="","",IF('ORDENES'!$AA815="","-",'ORDENES'!$AA815))</f>
        <v/>
      </c>
      <c r="E837" s="24">
        <f>IF('ORDENES'!$A815="","",IF('ORDENES'!$Y815="","-",'ORDENES'!$Y815))</f>
        <v/>
      </c>
      <c r="F837" s="24">
        <f>IF('ORDENES'!$A815="","",IF('ORDENES'!$AB815="","-",'ORDENES'!$AB815))</f>
        <v/>
      </c>
      <c r="G837" s="24">
        <f>IF('ORDENES'!$A815="","",IF('ORDENES'!$Z815="","-",'ORDENES'!$Z815))</f>
        <v/>
      </c>
      <c r="H837" s="24">
        <f>IF('ORDENES'!$A815="","",IF('ORDENES'!$AH815="","-",'ORDENES'!$AH815))</f>
        <v/>
      </c>
      <c r="I837" s="24">
        <f>IF('ORDENES'!$A815="","",IF('ORDENES'!$AU815="","-",'ORDENES'!$AU815))</f>
        <v/>
      </c>
      <c r="J837" s="24">
        <f>IF('ORDENES'!$A815="","",IF('ORDENES'!$D815="","-",'ORDENES'!$D815))</f>
        <v/>
      </c>
      <c r="K837" s="24">
        <f>IF('ORDENES'!$A815="","",IF('ORDENES'!$E815="","-",'ORDENES'!$E815))</f>
        <v/>
      </c>
      <c r="L837" s="26">
        <f>IF('ORDENES'!$A815="","",IF('ORDENES'!$M815="",0,'ORDENES'!$M815))</f>
        <v/>
      </c>
      <c r="M837" s="24">
        <f>IF('ORDENES'!$A815="","",IF('ORDENES'!$N815="","-",'ORDENES'!$N815))</f>
        <v/>
      </c>
      <c r="N837" s="24">
        <f>IF('ORDENES'!$A815="","",'ORDENES'!$AG815)</f>
        <v/>
      </c>
    </row>
    <row r="838">
      <c r="A838" s="24">
        <f>IF('ORDENES'!$A816="","",IF('ORDENES'!$O816="","-",'ORDENES'!$O816))</f>
        <v/>
      </c>
      <c r="B838" s="24">
        <f>IF('ORDENES'!$A816="","",IF('ORDENES'!$S816="","-",'ORDENES'!$S816))</f>
        <v/>
      </c>
      <c r="C838" s="24">
        <f>IF('ORDENES'!$A816="","",IF('ORDENES'!$AI816="","-",'ORDENES'!$AI816))</f>
        <v/>
      </c>
      <c r="D838" s="24">
        <f>IF('ORDENES'!$A816="","",IF('ORDENES'!$AA816="","-",'ORDENES'!$AA816))</f>
        <v/>
      </c>
      <c r="E838" s="24">
        <f>IF('ORDENES'!$A816="","",IF('ORDENES'!$Y816="","-",'ORDENES'!$Y816))</f>
        <v/>
      </c>
      <c r="F838" s="24">
        <f>IF('ORDENES'!$A816="","",IF('ORDENES'!$AB816="","-",'ORDENES'!$AB816))</f>
        <v/>
      </c>
      <c r="G838" s="24">
        <f>IF('ORDENES'!$A816="","",IF('ORDENES'!$Z816="","-",'ORDENES'!$Z816))</f>
        <v/>
      </c>
      <c r="H838" s="24">
        <f>IF('ORDENES'!$A816="","",IF('ORDENES'!$AH816="","-",'ORDENES'!$AH816))</f>
        <v/>
      </c>
      <c r="I838" s="24">
        <f>IF('ORDENES'!$A816="","",IF('ORDENES'!$AU816="","-",'ORDENES'!$AU816))</f>
        <v/>
      </c>
      <c r="J838" s="24">
        <f>IF('ORDENES'!$A816="","",IF('ORDENES'!$D816="","-",'ORDENES'!$D816))</f>
        <v/>
      </c>
      <c r="K838" s="24">
        <f>IF('ORDENES'!$A816="","",IF('ORDENES'!$E816="","-",'ORDENES'!$E816))</f>
        <v/>
      </c>
      <c r="L838" s="26">
        <f>IF('ORDENES'!$A816="","",IF('ORDENES'!$M816="",0,'ORDENES'!$M816))</f>
        <v/>
      </c>
      <c r="M838" s="24">
        <f>IF('ORDENES'!$A816="","",IF('ORDENES'!$N816="","-",'ORDENES'!$N816))</f>
        <v/>
      </c>
      <c r="N838" s="24">
        <f>IF('ORDENES'!$A816="","",'ORDENES'!$AG816)</f>
        <v/>
      </c>
    </row>
    <row r="839">
      <c r="A839" s="24">
        <f>IF('ORDENES'!$A817="","",IF('ORDENES'!$O817="","-",'ORDENES'!$O817))</f>
        <v/>
      </c>
      <c r="B839" s="24">
        <f>IF('ORDENES'!$A817="","",IF('ORDENES'!$S817="","-",'ORDENES'!$S817))</f>
        <v/>
      </c>
      <c r="C839" s="24">
        <f>IF('ORDENES'!$A817="","",IF('ORDENES'!$AI817="","-",'ORDENES'!$AI817))</f>
        <v/>
      </c>
      <c r="D839" s="24">
        <f>IF('ORDENES'!$A817="","",IF('ORDENES'!$AA817="","-",'ORDENES'!$AA817))</f>
        <v/>
      </c>
      <c r="E839" s="24">
        <f>IF('ORDENES'!$A817="","",IF('ORDENES'!$Y817="","-",'ORDENES'!$Y817))</f>
        <v/>
      </c>
      <c r="F839" s="24">
        <f>IF('ORDENES'!$A817="","",IF('ORDENES'!$AB817="","-",'ORDENES'!$AB817))</f>
        <v/>
      </c>
      <c r="G839" s="24">
        <f>IF('ORDENES'!$A817="","",IF('ORDENES'!$Z817="","-",'ORDENES'!$Z817))</f>
        <v/>
      </c>
      <c r="H839" s="24">
        <f>IF('ORDENES'!$A817="","",IF('ORDENES'!$AH817="","-",'ORDENES'!$AH817))</f>
        <v/>
      </c>
      <c r="I839" s="24">
        <f>IF('ORDENES'!$A817="","",IF('ORDENES'!$AU817="","-",'ORDENES'!$AU817))</f>
        <v/>
      </c>
      <c r="J839" s="24">
        <f>IF('ORDENES'!$A817="","",IF('ORDENES'!$D817="","-",'ORDENES'!$D817))</f>
        <v/>
      </c>
      <c r="K839" s="24">
        <f>IF('ORDENES'!$A817="","",IF('ORDENES'!$E817="","-",'ORDENES'!$E817))</f>
        <v/>
      </c>
      <c r="L839" s="26">
        <f>IF('ORDENES'!$A817="","",IF('ORDENES'!$M817="",0,'ORDENES'!$M817))</f>
        <v/>
      </c>
      <c r="M839" s="24">
        <f>IF('ORDENES'!$A817="","",IF('ORDENES'!$N817="","-",'ORDENES'!$N817))</f>
        <v/>
      </c>
      <c r="N839" s="24">
        <f>IF('ORDENES'!$A817="","",'ORDENES'!$AG817)</f>
        <v/>
      </c>
    </row>
    <row r="840">
      <c r="A840" s="24">
        <f>IF('ORDENES'!$A818="","",IF('ORDENES'!$O818="","-",'ORDENES'!$O818))</f>
        <v/>
      </c>
      <c r="B840" s="24">
        <f>IF('ORDENES'!$A818="","",IF('ORDENES'!$S818="","-",'ORDENES'!$S818))</f>
        <v/>
      </c>
      <c r="C840" s="24">
        <f>IF('ORDENES'!$A818="","",IF('ORDENES'!$AI818="","-",'ORDENES'!$AI818))</f>
        <v/>
      </c>
      <c r="D840" s="24">
        <f>IF('ORDENES'!$A818="","",IF('ORDENES'!$AA818="","-",'ORDENES'!$AA818))</f>
        <v/>
      </c>
      <c r="E840" s="24">
        <f>IF('ORDENES'!$A818="","",IF('ORDENES'!$Y818="","-",'ORDENES'!$Y818))</f>
        <v/>
      </c>
      <c r="F840" s="24">
        <f>IF('ORDENES'!$A818="","",IF('ORDENES'!$AB818="","-",'ORDENES'!$AB818))</f>
        <v/>
      </c>
      <c r="G840" s="24">
        <f>IF('ORDENES'!$A818="","",IF('ORDENES'!$Z818="","-",'ORDENES'!$Z818))</f>
        <v/>
      </c>
      <c r="H840" s="24">
        <f>IF('ORDENES'!$A818="","",IF('ORDENES'!$AH818="","-",'ORDENES'!$AH818))</f>
        <v/>
      </c>
      <c r="I840" s="24">
        <f>IF('ORDENES'!$A818="","",IF('ORDENES'!$AU818="","-",'ORDENES'!$AU818))</f>
        <v/>
      </c>
      <c r="J840" s="24">
        <f>IF('ORDENES'!$A818="","",IF('ORDENES'!$D818="","-",'ORDENES'!$D818))</f>
        <v/>
      </c>
      <c r="K840" s="24">
        <f>IF('ORDENES'!$A818="","",IF('ORDENES'!$E818="","-",'ORDENES'!$E818))</f>
        <v/>
      </c>
      <c r="L840" s="26">
        <f>IF('ORDENES'!$A818="","",IF('ORDENES'!$M818="",0,'ORDENES'!$M818))</f>
        <v/>
      </c>
      <c r="M840" s="24">
        <f>IF('ORDENES'!$A818="","",IF('ORDENES'!$N818="","-",'ORDENES'!$N818))</f>
        <v/>
      </c>
      <c r="N840" s="24">
        <f>IF('ORDENES'!$A818="","",'ORDENES'!$AG818)</f>
        <v/>
      </c>
    </row>
    <row r="841">
      <c r="A841" s="24">
        <f>IF('ORDENES'!$A819="","",IF('ORDENES'!$O819="","-",'ORDENES'!$O819))</f>
        <v/>
      </c>
      <c r="B841" s="24">
        <f>IF('ORDENES'!$A819="","",IF('ORDENES'!$S819="","-",'ORDENES'!$S819))</f>
        <v/>
      </c>
      <c r="C841" s="24">
        <f>IF('ORDENES'!$A819="","",IF('ORDENES'!$AI819="","-",'ORDENES'!$AI819))</f>
        <v/>
      </c>
      <c r="D841" s="24">
        <f>IF('ORDENES'!$A819="","",IF('ORDENES'!$AA819="","-",'ORDENES'!$AA819))</f>
        <v/>
      </c>
      <c r="E841" s="24">
        <f>IF('ORDENES'!$A819="","",IF('ORDENES'!$Y819="","-",'ORDENES'!$Y819))</f>
        <v/>
      </c>
      <c r="F841" s="24">
        <f>IF('ORDENES'!$A819="","",IF('ORDENES'!$AB819="","-",'ORDENES'!$AB819))</f>
        <v/>
      </c>
      <c r="G841" s="24">
        <f>IF('ORDENES'!$A819="","",IF('ORDENES'!$Z819="","-",'ORDENES'!$Z819))</f>
        <v/>
      </c>
      <c r="H841" s="24">
        <f>IF('ORDENES'!$A819="","",IF('ORDENES'!$AH819="","-",'ORDENES'!$AH819))</f>
        <v/>
      </c>
      <c r="I841" s="24">
        <f>IF('ORDENES'!$A819="","",IF('ORDENES'!$AU819="","-",'ORDENES'!$AU819))</f>
        <v/>
      </c>
      <c r="J841" s="24">
        <f>IF('ORDENES'!$A819="","",IF('ORDENES'!$D819="","-",'ORDENES'!$D819))</f>
        <v/>
      </c>
      <c r="K841" s="24">
        <f>IF('ORDENES'!$A819="","",IF('ORDENES'!$E819="","-",'ORDENES'!$E819))</f>
        <v/>
      </c>
      <c r="L841" s="26">
        <f>IF('ORDENES'!$A819="","",IF('ORDENES'!$M819="",0,'ORDENES'!$M819))</f>
        <v/>
      </c>
      <c r="M841" s="24">
        <f>IF('ORDENES'!$A819="","",IF('ORDENES'!$N819="","-",'ORDENES'!$N819))</f>
        <v/>
      </c>
      <c r="N841" s="24">
        <f>IF('ORDENES'!$A819="","",'ORDENES'!$AG819)</f>
        <v/>
      </c>
    </row>
    <row r="842">
      <c r="A842" s="24">
        <f>IF('ORDENES'!$A820="","",IF('ORDENES'!$O820="","-",'ORDENES'!$O820))</f>
        <v/>
      </c>
      <c r="B842" s="24">
        <f>IF('ORDENES'!$A820="","",IF('ORDENES'!$S820="","-",'ORDENES'!$S820))</f>
        <v/>
      </c>
      <c r="C842" s="24">
        <f>IF('ORDENES'!$A820="","",IF('ORDENES'!$AI820="","-",'ORDENES'!$AI820))</f>
        <v/>
      </c>
      <c r="D842" s="24">
        <f>IF('ORDENES'!$A820="","",IF('ORDENES'!$AA820="","-",'ORDENES'!$AA820))</f>
        <v/>
      </c>
      <c r="E842" s="24">
        <f>IF('ORDENES'!$A820="","",IF('ORDENES'!$Y820="","-",'ORDENES'!$Y820))</f>
        <v/>
      </c>
      <c r="F842" s="24">
        <f>IF('ORDENES'!$A820="","",IF('ORDENES'!$AB820="","-",'ORDENES'!$AB820))</f>
        <v/>
      </c>
      <c r="G842" s="24">
        <f>IF('ORDENES'!$A820="","",IF('ORDENES'!$Z820="","-",'ORDENES'!$Z820))</f>
        <v/>
      </c>
      <c r="H842" s="24">
        <f>IF('ORDENES'!$A820="","",IF('ORDENES'!$AH820="","-",'ORDENES'!$AH820))</f>
        <v/>
      </c>
      <c r="I842" s="24">
        <f>IF('ORDENES'!$A820="","",IF('ORDENES'!$AU820="","-",'ORDENES'!$AU820))</f>
        <v/>
      </c>
      <c r="J842" s="24">
        <f>IF('ORDENES'!$A820="","",IF('ORDENES'!$D820="","-",'ORDENES'!$D820))</f>
        <v/>
      </c>
      <c r="K842" s="24">
        <f>IF('ORDENES'!$A820="","",IF('ORDENES'!$E820="","-",'ORDENES'!$E820))</f>
        <v/>
      </c>
      <c r="L842" s="26">
        <f>IF('ORDENES'!$A820="","",IF('ORDENES'!$M820="",0,'ORDENES'!$M820))</f>
        <v/>
      </c>
      <c r="M842" s="24">
        <f>IF('ORDENES'!$A820="","",IF('ORDENES'!$N820="","-",'ORDENES'!$N820))</f>
        <v/>
      </c>
      <c r="N842" s="24">
        <f>IF('ORDENES'!$A820="","",'ORDENES'!$AG820)</f>
        <v/>
      </c>
    </row>
    <row r="843">
      <c r="A843" s="24">
        <f>IF('ORDENES'!$A821="","",IF('ORDENES'!$O821="","-",'ORDENES'!$O821))</f>
        <v/>
      </c>
      <c r="B843" s="24">
        <f>IF('ORDENES'!$A821="","",IF('ORDENES'!$S821="","-",'ORDENES'!$S821))</f>
        <v/>
      </c>
      <c r="C843" s="24">
        <f>IF('ORDENES'!$A821="","",IF('ORDENES'!$AI821="","-",'ORDENES'!$AI821))</f>
        <v/>
      </c>
      <c r="D843" s="24">
        <f>IF('ORDENES'!$A821="","",IF('ORDENES'!$AA821="","-",'ORDENES'!$AA821))</f>
        <v/>
      </c>
      <c r="E843" s="24">
        <f>IF('ORDENES'!$A821="","",IF('ORDENES'!$Y821="","-",'ORDENES'!$Y821))</f>
        <v/>
      </c>
      <c r="F843" s="24">
        <f>IF('ORDENES'!$A821="","",IF('ORDENES'!$AB821="","-",'ORDENES'!$AB821))</f>
        <v/>
      </c>
      <c r="G843" s="24">
        <f>IF('ORDENES'!$A821="","",IF('ORDENES'!$Z821="","-",'ORDENES'!$Z821))</f>
        <v/>
      </c>
      <c r="H843" s="24">
        <f>IF('ORDENES'!$A821="","",IF('ORDENES'!$AH821="","-",'ORDENES'!$AH821))</f>
        <v/>
      </c>
      <c r="I843" s="24">
        <f>IF('ORDENES'!$A821="","",IF('ORDENES'!$AU821="","-",'ORDENES'!$AU821))</f>
        <v/>
      </c>
      <c r="J843" s="24">
        <f>IF('ORDENES'!$A821="","",IF('ORDENES'!$D821="","-",'ORDENES'!$D821))</f>
        <v/>
      </c>
      <c r="K843" s="24">
        <f>IF('ORDENES'!$A821="","",IF('ORDENES'!$E821="","-",'ORDENES'!$E821))</f>
        <v/>
      </c>
      <c r="L843" s="26">
        <f>IF('ORDENES'!$A821="","",IF('ORDENES'!$M821="",0,'ORDENES'!$M821))</f>
        <v/>
      </c>
      <c r="M843" s="24">
        <f>IF('ORDENES'!$A821="","",IF('ORDENES'!$N821="","-",'ORDENES'!$N821))</f>
        <v/>
      </c>
      <c r="N843" s="24">
        <f>IF('ORDENES'!$A821="","",'ORDENES'!$AG821)</f>
        <v/>
      </c>
    </row>
    <row r="844">
      <c r="A844" s="24">
        <f>IF('ORDENES'!$A822="","",IF('ORDENES'!$O822="","-",'ORDENES'!$O822))</f>
        <v/>
      </c>
      <c r="B844" s="24">
        <f>IF('ORDENES'!$A822="","",IF('ORDENES'!$S822="","-",'ORDENES'!$S822))</f>
        <v/>
      </c>
      <c r="C844" s="24">
        <f>IF('ORDENES'!$A822="","",IF('ORDENES'!$AI822="","-",'ORDENES'!$AI822))</f>
        <v/>
      </c>
      <c r="D844" s="24">
        <f>IF('ORDENES'!$A822="","",IF('ORDENES'!$AA822="","-",'ORDENES'!$AA822))</f>
        <v/>
      </c>
      <c r="E844" s="24">
        <f>IF('ORDENES'!$A822="","",IF('ORDENES'!$Y822="","-",'ORDENES'!$Y822))</f>
        <v/>
      </c>
      <c r="F844" s="24">
        <f>IF('ORDENES'!$A822="","",IF('ORDENES'!$AB822="","-",'ORDENES'!$AB822))</f>
        <v/>
      </c>
      <c r="G844" s="24">
        <f>IF('ORDENES'!$A822="","",IF('ORDENES'!$Z822="","-",'ORDENES'!$Z822))</f>
        <v/>
      </c>
      <c r="H844" s="24">
        <f>IF('ORDENES'!$A822="","",IF('ORDENES'!$AH822="","-",'ORDENES'!$AH822))</f>
        <v/>
      </c>
      <c r="I844" s="24">
        <f>IF('ORDENES'!$A822="","",IF('ORDENES'!$AU822="","-",'ORDENES'!$AU822))</f>
        <v/>
      </c>
      <c r="J844" s="24">
        <f>IF('ORDENES'!$A822="","",IF('ORDENES'!$D822="","-",'ORDENES'!$D822))</f>
        <v/>
      </c>
      <c r="K844" s="24">
        <f>IF('ORDENES'!$A822="","",IF('ORDENES'!$E822="","-",'ORDENES'!$E822))</f>
        <v/>
      </c>
      <c r="L844" s="26">
        <f>IF('ORDENES'!$A822="","",IF('ORDENES'!$M822="",0,'ORDENES'!$M822))</f>
        <v/>
      </c>
      <c r="M844" s="24">
        <f>IF('ORDENES'!$A822="","",IF('ORDENES'!$N822="","-",'ORDENES'!$N822))</f>
        <v/>
      </c>
      <c r="N844" s="24">
        <f>IF('ORDENES'!$A822="","",'ORDENES'!$AG822)</f>
        <v/>
      </c>
    </row>
    <row r="845">
      <c r="A845" s="24">
        <f>IF('ORDENES'!$A823="","",IF('ORDENES'!$O823="","-",'ORDENES'!$O823))</f>
        <v/>
      </c>
      <c r="B845" s="24">
        <f>IF('ORDENES'!$A823="","",IF('ORDENES'!$S823="","-",'ORDENES'!$S823))</f>
        <v/>
      </c>
      <c r="C845" s="24">
        <f>IF('ORDENES'!$A823="","",IF('ORDENES'!$AI823="","-",'ORDENES'!$AI823))</f>
        <v/>
      </c>
      <c r="D845" s="24">
        <f>IF('ORDENES'!$A823="","",IF('ORDENES'!$AA823="","-",'ORDENES'!$AA823))</f>
        <v/>
      </c>
      <c r="E845" s="24">
        <f>IF('ORDENES'!$A823="","",IF('ORDENES'!$Y823="","-",'ORDENES'!$Y823))</f>
        <v/>
      </c>
      <c r="F845" s="24">
        <f>IF('ORDENES'!$A823="","",IF('ORDENES'!$AB823="","-",'ORDENES'!$AB823))</f>
        <v/>
      </c>
      <c r="G845" s="24">
        <f>IF('ORDENES'!$A823="","",IF('ORDENES'!$Z823="","-",'ORDENES'!$Z823))</f>
        <v/>
      </c>
      <c r="H845" s="24">
        <f>IF('ORDENES'!$A823="","",IF('ORDENES'!$AH823="","-",'ORDENES'!$AH823))</f>
        <v/>
      </c>
      <c r="I845" s="24">
        <f>IF('ORDENES'!$A823="","",IF('ORDENES'!$AU823="","-",'ORDENES'!$AU823))</f>
        <v/>
      </c>
      <c r="J845" s="24">
        <f>IF('ORDENES'!$A823="","",IF('ORDENES'!$D823="","-",'ORDENES'!$D823))</f>
        <v/>
      </c>
      <c r="K845" s="24">
        <f>IF('ORDENES'!$A823="","",IF('ORDENES'!$E823="","-",'ORDENES'!$E823))</f>
        <v/>
      </c>
      <c r="L845" s="26">
        <f>IF('ORDENES'!$A823="","",IF('ORDENES'!$M823="",0,'ORDENES'!$M823))</f>
        <v/>
      </c>
      <c r="M845" s="24">
        <f>IF('ORDENES'!$A823="","",IF('ORDENES'!$N823="","-",'ORDENES'!$N823))</f>
        <v/>
      </c>
      <c r="N845" s="24">
        <f>IF('ORDENES'!$A823="","",'ORDENES'!$AG823)</f>
        <v/>
      </c>
    </row>
    <row r="846">
      <c r="A846" s="24">
        <f>IF('ORDENES'!$A824="","",IF('ORDENES'!$O824="","-",'ORDENES'!$O824))</f>
        <v/>
      </c>
      <c r="B846" s="24">
        <f>IF('ORDENES'!$A824="","",IF('ORDENES'!$S824="","-",'ORDENES'!$S824))</f>
        <v/>
      </c>
      <c r="C846" s="24">
        <f>IF('ORDENES'!$A824="","",IF('ORDENES'!$AI824="","-",'ORDENES'!$AI824))</f>
        <v/>
      </c>
      <c r="D846" s="24">
        <f>IF('ORDENES'!$A824="","",IF('ORDENES'!$AA824="","-",'ORDENES'!$AA824))</f>
        <v/>
      </c>
      <c r="E846" s="24">
        <f>IF('ORDENES'!$A824="","",IF('ORDENES'!$Y824="","-",'ORDENES'!$Y824))</f>
        <v/>
      </c>
      <c r="F846" s="24">
        <f>IF('ORDENES'!$A824="","",IF('ORDENES'!$AB824="","-",'ORDENES'!$AB824))</f>
        <v/>
      </c>
      <c r="G846" s="24">
        <f>IF('ORDENES'!$A824="","",IF('ORDENES'!$Z824="","-",'ORDENES'!$Z824))</f>
        <v/>
      </c>
      <c r="H846" s="24">
        <f>IF('ORDENES'!$A824="","",IF('ORDENES'!$AH824="","-",'ORDENES'!$AH824))</f>
        <v/>
      </c>
      <c r="I846" s="24">
        <f>IF('ORDENES'!$A824="","",IF('ORDENES'!$AU824="","-",'ORDENES'!$AU824))</f>
        <v/>
      </c>
      <c r="J846" s="24">
        <f>IF('ORDENES'!$A824="","",IF('ORDENES'!$D824="","-",'ORDENES'!$D824))</f>
        <v/>
      </c>
      <c r="K846" s="24">
        <f>IF('ORDENES'!$A824="","",IF('ORDENES'!$E824="","-",'ORDENES'!$E824))</f>
        <v/>
      </c>
      <c r="L846" s="26">
        <f>IF('ORDENES'!$A824="","",IF('ORDENES'!$M824="",0,'ORDENES'!$M824))</f>
        <v/>
      </c>
      <c r="M846" s="24">
        <f>IF('ORDENES'!$A824="","",IF('ORDENES'!$N824="","-",'ORDENES'!$N824))</f>
        <v/>
      </c>
      <c r="N846" s="24">
        <f>IF('ORDENES'!$A824="","",'ORDENES'!$AG824)</f>
        <v/>
      </c>
    </row>
    <row r="847">
      <c r="A847" s="24">
        <f>IF('ORDENES'!$A825="","",IF('ORDENES'!$O825="","-",'ORDENES'!$O825))</f>
        <v/>
      </c>
      <c r="B847" s="24">
        <f>IF('ORDENES'!$A825="","",IF('ORDENES'!$S825="","-",'ORDENES'!$S825))</f>
        <v/>
      </c>
      <c r="C847" s="24">
        <f>IF('ORDENES'!$A825="","",IF('ORDENES'!$AI825="","-",'ORDENES'!$AI825))</f>
        <v/>
      </c>
      <c r="D847" s="24">
        <f>IF('ORDENES'!$A825="","",IF('ORDENES'!$AA825="","-",'ORDENES'!$AA825))</f>
        <v/>
      </c>
      <c r="E847" s="24">
        <f>IF('ORDENES'!$A825="","",IF('ORDENES'!$Y825="","-",'ORDENES'!$Y825))</f>
        <v/>
      </c>
      <c r="F847" s="24">
        <f>IF('ORDENES'!$A825="","",IF('ORDENES'!$AB825="","-",'ORDENES'!$AB825))</f>
        <v/>
      </c>
      <c r="G847" s="24">
        <f>IF('ORDENES'!$A825="","",IF('ORDENES'!$Z825="","-",'ORDENES'!$Z825))</f>
        <v/>
      </c>
      <c r="H847" s="24">
        <f>IF('ORDENES'!$A825="","",IF('ORDENES'!$AH825="","-",'ORDENES'!$AH825))</f>
        <v/>
      </c>
      <c r="I847" s="24">
        <f>IF('ORDENES'!$A825="","",IF('ORDENES'!$AU825="","-",'ORDENES'!$AU825))</f>
        <v/>
      </c>
      <c r="J847" s="24">
        <f>IF('ORDENES'!$A825="","",IF('ORDENES'!$D825="","-",'ORDENES'!$D825))</f>
        <v/>
      </c>
      <c r="K847" s="24">
        <f>IF('ORDENES'!$A825="","",IF('ORDENES'!$E825="","-",'ORDENES'!$E825))</f>
        <v/>
      </c>
      <c r="L847" s="26">
        <f>IF('ORDENES'!$A825="","",IF('ORDENES'!$M825="",0,'ORDENES'!$M825))</f>
        <v/>
      </c>
      <c r="M847" s="24">
        <f>IF('ORDENES'!$A825="","",IF('ORDENES'!$N825="","-",'ORDENES'!$N825))</f>
        <v/>
      </c>
      <c r="N847" s="24">
        <f>IF('ORDENES'!$A825="","",'ORDENES'!$AG825)</f>
        <v/>
      </c>
    </row>
    <row r="848">
      <c r="A848" s="24">
        <f>IF('ORDENES'!$A826="","",IF('ORDENES'!$O826="","-",'ORDENES'!$O826))</f>
        <v/>
      </c>
      <c r="B848" s="24">
        <f>IF('ORDENES'!$A826="","",IF('ORDENES'!$S826="","-",'ORDENES'!$S826))</f>
        <v/>
      </c>
      <c r="C848" s="24">
        <f>IF('ORDENES'!$A826="","",IF('ORDENES'!$AI826="","-",'ORDENES'!$AI826))</f>
        <v/>
      </c>
      <c r="D848" s="24">
        <f>IF('ORDENES'!$A826="","",IF('ORDENES'!$AA826="","-",'ORDENES'!$AA826))</f>
        <v/>
      </c>
      <c r="E848" s="24">
        <f>IF('ORDENES'!$A826="","",IF('ORDENES'!$Y826="","-",'ORDENES'!$Y826))</f>
        <v/>
      </c>
      <c r="F848" s="24">
        <f>IF('ORDENES'!$A826="","",IF('ORDENES'!$AB826="","-",'ORDENES'!$AB826))</f>
        <v/>
      </c>
      <c r="G848" s="24">
        <f>IF('ORDENES'!$A826="","",IF('ORDENES'!$Z826="","-",'ORDENES'!$Z826))</f>
        <v/>
      </c>
      <c r="H848" s="24">
        <f>IF('ORDENES'!$A826="","",IF('ORDENES'!$AH826="","-",'ORDENES'!$AH826))</f>
        <v/>
      </c>
      <c r="I848" s="24">
        <f>IF('ORDENES'!$A826="","",IF('ORDENES'!$AU826="","-",'ORDENES'!$AU826))</f>
        <v/>
      </c>
      <c r="J848" s="24">
        <f>IF('ORDENES'!$A826="","",IF('ORDENES'!$D826="","-",'ORDENES'!$D826))</f>
        <v/>
      </c>
      <c r="K848" s="24">
        <f>IF('ORDENES'!$A826="","",IF('ORDENES'!$E826="","-",'ORDENES'!$E826))</f>
        <v/>
      </c>
      <c r="L848" s="26">
        <f>IF('ORDENES'!$A826="","",IF('ORDENES'!$M826="",0,'ORDENES'!$M826))</f>
        <v/>
      </c>
      <c r="M848" s="24">
        <f>IF('ORDENES'!$A826="","",IF('ORDENES'!$N826="","-",'ORDENES'!$N826))</f>
        <v/>
      </c>
      <c r="N848" s="24">
        <f>IF('ORDENES'!$A826="","",'ORDENES'!$AG826)</f>
        <v/>
      </c>
    </row>
    <row r="849">
      <c r="A849" s="24">
        <f>IF('ORDENES'!$A827="","",IF('ORDENES'!$O827="","-",'ORDENES'!$O827))</f>
        <v/>
      </c>
      <c r="B849" s="24">
        <f>IF('ORDENES'!$A827="","",IF('ORDENES'!$S827="","-",'ORDENES'!$S827))</f>
        <v/>
      </c>
      <c r="C849" s="24">
        <f>IF('ORDENES'!$A827="","",IF('ORDENES'!$AI827="","-",'ORDENES'!$AI827))</f>
        <v/>
      </c>
      <c r="D849" s="24">
        <f>IF('ORDENES'!$A827="","",IF('ORDENES'!$AA827="","-",'ORDENES'!$AA827))</f>
        <v/>
      </c>
      <c r="E849" s="24">
        <f>IF('ORDENES'!$A827="","",IF('ORDENES'!$Y827="","-",'ORDENES'!$Y827))</f>
        <v/>
      </c>
      <c r="F849" s="24">
        <f>IF('ORDENES'!$A827="","",IF('ORDENES'!$AB827="","-",'ORDENES'!$AB827))</f>
        <v/>
      </c>
      <c r="G849" s="24">
        <f>IF('ORDENES'!$A827="","",IF('ORDENES'!$Z827="","-",'ORDENES'!$Z827))</f>
        <v/>
      </c>
      <c r="H849" s="24">
        <f>IF('ORDENES'!$A827="","",IF('ORDENES'!$AH827="","-",'ORDENES'!$AH827))</f>
        <v/>
      </c>
      <c r="I849" s="24">
        <f>IF('ORDENES'!$A827="","",IF('ORDENES'!$AU827="","-",'ORDENES'!$AU827))</f>
        <v/>
      </c>
      <c r="J849" s="24">
        <f>IF('ORDENES'!$A827="","",IF('ORDENES'!$D827="","-",'ORDENES'!$D827))</f>
        <v/>
      </c>
      <c r="K849" s="24">
        <f>IF('ORDENES'!$A827="","",IF('ORDENES'!$E827="","-",'ORDENES'!$E827))</f>
        <v/>
      </c>
      <c r="L849" s="26">
        <f>IF('ORDENES'!$A827="","",IF('ORDENES'!$M827="",0,'ORDENES'!$M827))</f>
        <v/>
      </c>
      <c r="M849" s="24">
        <f>IF('ORDENES'!$A827="","",IF('ORDENES'!$N827="","-",'ORDENES'!$N827))</f>
        <v/>
      </c>
      <c r="N849" s="24">
        <f>IF('ORDENES'!$A827="","",'ORDENES'!$AG827)</f>
        <v/>
      </c>
    </row>
    <row r="850">
      <c r="A850" s="24">
        <f>IF('ORDENES'!$A828="","",IF('ORDENES'!$O828="","-",'ORDENES'!$O828))</f>
        <v/>
      </c>
      <c r="B850" s="24">
        <f>IF('ORDENES'!$A828="","",IF('ORDENES'!$S828="","-",'ORDENES'!$S828))</f>
        <v/>
      </c>
      <c r="C850" s="24">
        <f>IF('ORDENES'!$A828="","",IF('ORDENES'!$AI828="","-",'ORDENES'!$AI828))</f>
        <v/>
      </c>
      <c r="D850" s="24">
        <f>IF('ORDENES'!$A828="","",IF('ORDENES'!$AA828="","-",'ORDENES'!$AA828))</f>
        <v/>
      </c>
      <c r="E850" s="24">
        <f>IF('ORDENES'!$A828="","",IF('ORDENES'!$Y828="","-",'ORDENES'!$Y828))</f>
        <v/>
      </c>
      <c r="F850" s="24">
        <f>IF('ORDENES'!$A828="","",IF('ORDENES'!$AB828="","-",'ORDENES'!$AB828))</f>
        <v/>
      </c>
      <c r="G850" s="24">
        <f>IF('ORDENES'!$A828="","",IF('ORDENES'!$Z828="","-",'ORDENES'!$Z828))</f>
        <v/>
      </c>
      <c r="H850" s="24">
        <f>IF('ORDENES'!$A828="","",IF('ORDENES'!$AH828="","-",'ORDENES'!$AH828))</f>
        <v/>
      </c>
      <c r="I850" s="24">
        <f>IF('ORDENES'!$A828="","",IF('ORDENES'!$AU828="","-",'ORDENES'!$AU828))</f>
        <v/>
      </c>
      <c r="J850" s="24">
        <f>IF('ORDENES'!$A828="","",IF('ORDENES'!$D828="","-",'ORDENES'!$D828))</f>
        <v/>
      </c>
      <c r="K850" s="24">
        <f>IF('ORDENES'!$A828="","",IF('ORDENES'!$E828="","-",'ORDENES'!$E828))</f>
        <v/>
      </c>
      <c r="L850" s="26">
        <f>IF('ORDENES'!$A828="","",IF('ORDENES'!$M828="",0,'ORDENES'!$M828))</f>
        <v/>
      </c>
      <c r="M850" s="24">
        <f>IF('ORDENES'!$A828="","",IF('ORDENES'!$N828="","-",'ORDENES'!$N828))</f>
        <v/>
      </c>
      <c r="N850" s="24">
        <f>IF('ORDENES'!$A828="","",'ORDENES'!$AG828)</f>
        <v/>
      </c>
    </row>
    <row r="851">
      <c r="A851" s="24">
        <f>IF('ORDENES'!$A829="","",IF('ORDENES'!$O829="","-",'ORDENES'!$O829))</f>
        <v/>
      </c>
      <c r="B851" s="24">
        <f>IF('ORDENES'!$A829="","",IF('ORDENES'!$S829="","-",'ORDENES'!$S829))</f>
        <v/>
      </c>
      <c r="C851" s="24">
        <f>IF('ORDENES'!$A829="","",IF('ORDENES'!$AI829="","-",'ORDENES'!$AI829))</f>
        <v/>
      </c>
      <c r="D851" s="24">
        <f>IF('ORDENES'!$A829="","",IF('ORDENES'!$AA829="","-",'ORDENES'!$AA829))</f>
        <v/>
      </c>
      <c r="E851" s="24">
        <f>IF('ORDENES'!$A829="","",IF('ORDENES'!$Y829="","-",'ORDENES'!$Y829))</f>
        <v/>
      </c>
      <c r="F851" s="24">
        <f>IF('ORDENES'!$A829="","",IF('ORDENES'!$AB829="","-",'ORDENES'!$AB829))</f>
        <v/>
      </c>
      <c r="G851" s="24">
        <f>IF('ORDENES'!$A829="","",IF('ORDENES'!$Z829="","-",'ORDENES'!$Z829))</f>
        <v/>
      </c>
      <c r="H851" s="24">
        <f>IF('ORDENES'!$A829="","",IF('ORDENES'!$AH829="","-",'ORDENES'!$AH829))</f>
        <v/>
      </c>
      <c r="I851" s="24">
        <f>IF('ORDENES'!$A829="","",IF('ORDENES'!$AU829="","-",'ORDENES'!$AU829))</f>
        <v/>
      </c>
      <c r="J851" s="24">
        <f>IF('ORDENES'!$A829="","",IF('ORDENES'!$D829="","-",'ORDENES'!$D829))</f>
        <v/>
      </c>
      <c r="K851" s="24">
        <f>IF('ORDENES'!$A829="","",IF('ORDENES'!$E829="","-",'ORDENES'!$E829))</f>
        <v/>
      </c>
      <c r="L851" s="26">
        <f>IF('ORDENES'!$A829="","",IF('ORDENES'!$M829="",0,'ORDENES'!$M829))</f>
        <v/>
      </c>
      <c r="M851" s="24">
        <f>IF('ORDENES'!$A829="","",IF('ORDENES'!$N829="","-",'ORDENES'!$N829))</f>
        <v/>
      </c>
      <c r="N851" s="24">
        <f>IF('ORDENES'!$A829="","",'ORDENES'!$AG829)</f>
        <v/>
      </c>
    </row>
    <row r="852">
      <c r="A852" s="24">
        <f>IF('ORDENES'!$A830="","",IF('ORDENES'!$O830="","-",'ORDENES'!$O830))</f>
        <v/>
      </c>
      <c r="B852" s="24">
        <f>IF('ORDENES'!$A830="","",IF('ORDENES'!$S830="","-",'ORDENES'!$S830))</f>
        <v/>
      </c>
      <c r="C852" s="24">
        <f>IF('ORDENES'!$A830="","",IF('ORDENES'!$AI830="","-",'ORDENES'!$AI830))</f>
        <v/>
      </c>
      <c r="D852" s="24">
        <f>IF('ORDENES'!$A830="","",IF('ORDENES'!$AA830="","-",'ORDENES'!$AA830))</f>
        <v/>
      </c>
      <c r="E852" s="24">
        <f>IF('ORDENES'!$A830="","",IF('ORDENES'!$Y830="","-",'ORDENES'!$Y830))</f>
        <v/>
      </c>
      <c r="F852" s="24">
        <f>IF('ORDENES'!$A830="","",IF('ORDENES'!$AB830="","-",'ORDENES'!$AB830))</f>
        <v/>
      </c>
      <c r="G852" s="24">
        <f>IF('ORDENES'!$A830="","",IF('ORDENES'!$Z830="","-",'ORDENES'!$Z830))</f>
        <v/>
      </c>
      <c r="H852" s="24">
        <f>IF('ORDENES'!$A830="","",IF('ORDENES'!$AH830="","-",'ORDENES'!$AH830))</f>
        <v/>
      </c>
      <c r="I852" s="24">
        <f>IF('ORDENES'!$A830="","",IF('ORDENES'!$AU830="","-",'ORDENES'!$AU830))</f>
        <v/>
      </c>
      <c r="J852" s="24">
        <f>IF('ORDENES'!$A830="","",IF('ORDENES'!$D830="","-",'ORDENES'!$D830))</f>
        <v/>
      </c>
      <c r="K852" s="24">
        <f>IF('ORDENES'!$A830="","",IF('ORDENES'!$E830="","-",'ORDENES'!$E830))</f>
        <v/>
      </c>
      <c r="L852" s="26">
        <f>IF('ORDENES'!$A830="","",IF('ORDENES'!$M830="",0,'ORDENES'!$M830))</f>
        <v/>
      </c>
      <c r="M852" s="24">
        <f>IF('ORDENES'!$A830="","",IF('ORDENES'!$N830="","-",'ORDENES'!$N830))</f>
        <v/>
      </c>
      <c r="N852" s="24">
        <f>IF('ORDENES'!$A830="","",'ORDENES'!$AG830)</f>
        <v/>
      </c>
    </row>
    <row r="853">
      <c r="A853" s="24">
        <f>IF('ORDENES'!$A831="","",IF('ORDENES'!$O831="","-",'ORDENES'!$O831))</f>
        <v/>
      </c>
      <c r="B853" s="24">
        <f>IF('ORDENES'!$A831="","",IF('ORDENES'!$S831="","-",'ORDENES'!$S831))</f>
        <v/>
      </c>
      <c r="C853" s="24">
        <f>IF('ORDENES'!$A831="","",IF('ORDENES'!$AI831="","-",'ORDENES'!$AI831))</f>
        <v/>
      </c>
      <c r="D853" s="24">
        <f>IF('ORDENES'!$A831="","",IF('ORDENES'!$AA831="","-",'ORDENES'!$AA831))</f>
        <v/>
      </c>
      <c r="E853" s="24">
        <f>IF('ORDENES'!$A831="","",IF('ORDENES'!$Y831="","-",'ORDENES'!$Y831))</f>
        <v/>
      </c>
      <c r="F853" s="24">
        <f>IF('ORDENES'!$A831="","",IF('ORDENES'!$AB831="","-",'ORDENES'!$AB831))</f>
        <v/>
      </c>
      <c r="G853" s="24">
        <f>IF('ORDENES'!$A831="","",IF('ORDENES'!$Z831="","-",'ORDENES'!$Z831))</f>
        <v/>
      </c>
      <c r="H853" s="24">
        <f>IF('ORDENES'!$A831="","",IF('ORDENES'!$AH831="","-",'ORDENES'!$AH831))</f>
        <v/>
      </c>
      <c r="I853" s="24">
        <f>IF('ORDENES'!$A831="","",IF('ORDENES'!$AU831="","-",'ORDENES'!$AU831))</f>
        <v/>
      </c>
      <c r="J853" s="24">
        <f>IF('ORDENES'!$A831="","",IF('ORDENES'!$D831="","-",'ORDENES'!$D831))</f>
        <v/>
      </c>
      <c r="K853" s="24">
        <f>IF('ORDENES'!$A831="","",IF('ORDENES'!$E831="","-",'ORDENES'!$E831))</f>
        <v/>
      </c>
      <c r="L853" s="26">
        <f>IF('ORDENES'!$A831="","",IF('ORDENES'!$M831="",0,'ORDENES'!$M831))</f>
        <v/>
      </c>
      <c r="M853" s="24">
        <f>IF('ORDENES'!$A831="","",IF('ORDENES'!$N831="","-",'ORDENES'!$N831))</f>
        <v/>
      </c>
      <c r="N853" s="24">
        <f>IF('ORDENES'!$A831="","",'ORDENES'!$AG831)</f>
        <v/>
      </c>
    </row>
    <row r="854">
      <c r="A854" s="24">
        <f>IF('ORDENES'!$A832="","",IF('ORDENES'!$O832="","-",'ORDENES'!$O832))</f>
        <v/>
      </c>
      <c r="B854" s="24">
        <f>IF('ORDENES'!$A832="","",IF('ORDENES'!$S832="","-",'ORDENES'!$S832))</f>
        <v/>
      </c>
      <c r="C854" s="24">
        <f>IF('ORDENES'!$A832="","",IF('ORDENES'!$AI832="","-",'ORDENES'!$AI832))</f>
        <v/>
      </c>
      <c r="D854" s="24">
        <f>IF('ORDENES'!$A832="","",IF('ORDENES'!$AA832="","-",'ORDENES'!$AA832))</f>
        <v/>
      </c>
      <c r="E854" s="24">
        <f>IF('ORDENES'!$A832="","",IF('ORDENES'!$Y832="","-",'ORDENES'!$Y832))</f>
        <v/>
      </c>
      <c r="F854" s="24">
        <f>IF('ORDENES'!$A832="","",IF('ORDENES'!$AB832="","-",'ORDENES'!$AB832))</f>
        <v/>
      </c>
      <c r="G854" s="24">
        <f>IF('ORDENES'!$A832="","",IF('ORDENES'!$Z832="","-",'ORDENES'!$Z832))</f>
        <v/>
      </c>
      <c r="H854" s="24">
        <f>IF('ORDENES'!$A832="","",IF('ORDENES'!$AH832="","-",'ORDENES'!$AH832))</f>
        <v/>
      </c>
      <c r="I854" s="24">
        <f>IF('ORDENES'!$A832="","",IF('ORDENES'!$AU832="","-",'ORDENES'!$AU832))</f>
        <v/>
      </c>
      <c r="J854" s="24">
        <f>IF('ORDENES'!$A832="","",IF('ORDENES'!$D832="","-",'ORDENES'!$D832))</f>
        <v/>
      </c>
      <c r="K854" s="24">
        <f>IF('ORDENES'!$A832="","",IF('ORDENES'!$E832="","-",'ORDENES'!$E832))</f>
        <v/>
      </c>
      <c r="L854" s="26">
        <f>IF('ORDENES'!$A832="","",IF('ORDENES'!$M832="",0,'ORDENES'!$M832))</f>
        <v/>
      </c>
      <c r="M854" s="24">
        <f>IF('ORDENES'!$A832="","",IF('ORDENES'!$N832="","-",'ORDENES'!$N832))</f>
        <v/>
      </c>
      <c r="N854" s="24">
        <f>IF('ORDENES'!$A832="","",'ORDENES'!$AG832)</f>
        <v/>
      </c>
    </row>
    <row r="855">
      <c r="A855" s="24">
        <f>IF('ORDENES'!$A833="","",IF('ORDENES'!$O833="","-",'ORDENES'!$O833))</f>
        <v/>
      </c>
      <c r="B855" s="24">
        <f>IF('ORDENES'!$A833="","",IF('ORDENES'!$S833="","-",'ORDENES'!$S833))</f>
        <v/>
      </c>
      <c r="C855" s="24">
        <f>IF('ORDENES'!$A833="","",IF('ORDENES'!$AI833="","-",'ORDENES'!$AI833))</f>
        <v/>
      </c>
      <c r="D855" s="24">
        <f>IF('ORDENES'!$A833="","",IF('ORDENES'!$AA833="","-",'ORDENES'!$AA833))</f>
        <v/>
      </c>
      <c r="E855" s="24">
        <f>IF('ORDENES'!$A833="","",IF('ORDENES'!$Y833="","-",'ORDENES'!$Y833))</f>
        <v/>
      </c>
      <c r="F855" s="24">
        <f>IF('ORDENES'!$A833="","",IF('ORDENES'!$AB833="","-",'ORDENES'!$AB833))</f>
        <v/>
      </c>
      <c r="G855" s="24">
        <f>IF('ORDENES'!$A833="","",IF('ORDENES'!$Z833="","-",'ORDENES'!$Z833))</f>
        <v/>
      </c>
      <c r="H855" s="24">
        <f>IF('ORDENES'!$A833="","",IF('ORDENES'!$AH833="","-",'ORDENES'!$AH833))</f>
        <v/>
      </c>
      <c r="I855" s="24">
        <f>IF('ORDENES'!$A833="","",IF('ORDENES'!$AU833="","-",'ORDENES'!$AU833))</f>
        <v/>
      </c>
      <c r="J855" s="24">
        <f>IF('ORDENES'!$A833="","",IF('ORDENES'!$D833="","-",'ORDENES'!$D833))</f>
        <v/>
      </c>
      <c r="K855" s="24">
        <f>IF('ORDENES'!$A833="","",IF('ORDENES'!$E833="","-",'ORDENES'!$E833))</f>
        <v/>
      </c>
      <c r="L855" s="26">
        <f>IF('ORDENES'!$A833="","",IF('ORDENES'!$M833="",0,'ORDENES'!$M833))</f>
        <v/>
      </c>
      <c r="M855" s="24">
        <f>IF('ORDENES'!$A833="","",IF('ORDENES'!$N833="","-",'ORDENES'!$N833))</f>
        <v/>
      </c>
      <c r="N855" s="24">
        <f>IF('ORDENES'!$A833="","",'ORDENES'!$AG833)</f>
        <v/>
      </c>
    </row>
    <row r="856">
      <c r="A856" s="24">
        <f>IF('ORDENES'!$A834="","",IF('ORDENES'!$O834="","-",'ORDENES'!$O834))</f>
        <v/>
      </c>
      <c r="B856" s="24">
        <f>IF('ORDENES'!$A834="","",IF('ORDENES'!$S834="","-",'ORDENES'!$S834))</f>
        <v/>
      </c>
      <c r="C856" s="24">
        <f>IF('ORDENES'!$A834="","",IF('ORDENES'!$AI834="","-",'ORDENES'!$AI834))</f>
        <v/>
      </c>
      <c r="D856" s="24">
        <f>IF('ORDENES'!$A834="","",IF('ORDENES'!$AA834="","-",'ORDENES'!$AA834))</f>
        <v/>
      </c>
      <c r="E856" s="24">
        <f>IF('ORDENES'!$A834="","",IF('ORDENES'!$Y834="","-",'ORDENES'!$Y834))</f>
        <v/>
      </c>
      <c r="F856" s="24">
        <f>IF('ORDENES'!$A834="","",IF('ORDENES'!$AB834="","-",'ORDENES'!$AB834))</f>
        <v/>
      </c>
      <c r="G856" s="24">
        <f>IF('ORDENES'!$A834="","",IF('ORDENES'!$Z834="","-",'ORDENES'!$Z834))</f>
        <v/>
      </c>
      <c r="H856" s="24">
        <f>IF('ORDENES'!$A834="","",IF('ORDENES'!$AH834="","-",'ORDENES'!$AH834))</f>
        <v/>
      </c>
      <c r="I856" s="24">
        <f>IF('ORDENES'!$A834="","",IF('ORDENES'!$AU834="","-",'ORDENES'!$AU834))</f>
        <v/>
      </c>
      <c r="J856" s="24">
        <f>IF('ORDENES'!$A834="","",IF('ORDENES'!$D834="","-",'ORDENES'!$D834))</f>
        <v/>
      </c>
      <c r="K856" s="24">
        <f>IF('ORDENES'!$A834="","",IF('ORDENES'!$E834="","-",'ORDENES'!$E834))</f>
        <v/>
      </c>
      <c r="L856" s="26">
        <f>IF('ORDENES'!$A834="","",IF('ORDENES'!$M834="",0,'ORDENES'!$M834))</f>
        <v/>
      </c>
      <c r="M856" s="24">
        <f>IF('ORDENES'!$A834="","",IF('ORDENES'!$N834="","-",'ORDENES'!$N834))</f>
        <v/>
      </c>
      <c r="N856" s="24">
        <f>IF('ORDENES'!$A834="","",'ORDENES'!$AG834)</f>
        <v/>
      </c>
    </row>
    <row r="857">
      <c r="A857" s="24">
        <f>IF('ORDENES'!$A835="","",IF('ORDENES'!$O835="","-",'ORDENES'!$O835))</f>
        <v/>
      </c>
      <c r="B857" s="24">
        <f>IF('ORDENES'!$A835="","",IF('ORDENES'!$S835="","-",'ORDENES'!$S835))</f>
        <v/>
      </c>
      <c r="C857" s="24">
        <f>IF('ORDENES'!$A835="","",IF('ORDENES'!$AI835="","-",'ORDENES'!$AI835))</f>
        <v/>
      </c>
      <c r="D857" s="24">
        <f>IF('ORDENES'!$A835="","",IF('ORDENES'!$AA835="","-",'ORDENES'!$AA835))</f>
        <v/>
      </c>
      <c r="E857" s="24">
        <f>IF('ORDENES'!$A835="","",IF('ORDENES'!$Y835="","-",'ORDENES'!$Y835))</f>
        <v/>
      </c>
      <c r="F857" s="24">
        <f>IF('ORDENES'!$A835="","",IF('ORDENES'!$AB835="","-",'ORDENES'!$AB835))</f>
        <v/>
      </c>
      <c r="G857" s="24">
        <f>IF('ORDENES'!$A835="","",IF('ORDENES'!$Z835="","-",'ORDENES'!$Z835))</f>
        <v/>
      </c>
      <c r="H857" s="24">
        <f>IF('ORDENES'!$A835="","",IF('ORDENES'!$AH835="","-",'ORDENES'!$AH835))</f>
        <v/>
      </c>
      <c r="I857" s="24">
        <f>IF('ORDENES'!$A835="","",IF('ORDENES'!$AU835="","-",'ORDENES'!$AU835))</f>
        <v/>
      </c>
      <c r="J857" s="24">
        <f>IF('ORDENES'!$A835="","",IF('ORDENES'!$D835="","-",'ORDENES'!$D835))</f>
        <v/>
      </c>
      <c r="K857" s="24">
        <f>IF('ORDENES'!$A835="","",IF('ORDENES'!$E835="","-",'ORDENES'!$E835))</f>
        <v/>
      </c>
      <c r="L857" s="26">
        <f>IF('ORDENES'!$A835="","",IF('ORDENES'!$M835="",0,'ORDENES'!$M835))</f>
        <v/>
      </c>
      <c r="M857" s="24">
        <f>IF('ORDENES'!$A835="","",IF('ORDENES'!$N835="","-",'ORDENES'!$N835))</f>
        <v/>
      </c>
      <c r="N857" s="24">
        <f>IF('ORDENES'!$A835="","",'ORDENES'!$AG835)</f>
        <v/>
      </c>
    </row>
    <row r="858">
      <c r="A858" s="24">
        <f>IF('ORDENES'!$A836="","",IF('ORDENES'!$O836="","-",'ORDENES'!$O836))</f>
        <v/>
      </c>
      <c r="B858" s="24">
        <f>IF('ORDENES'!$A836="","",IF('ORDENES'!$S836="","-",'ORDENES'!$S836))</f>
        <v/>
      </c>
      <c r="C858" s="24">
        <f>IF('ORDENES'!$A836="","",IF('ORDENES'!$AI836="","-",'ORDENES'!$AI836))</f>
        <v/>
      </c>
      <c r="D858" s="24">
        <f>IF('ORDENES'!$A836="","",IF('ORDENES'!$AA836="","-",'ORDENES'!$AA836))</f>
        <v/>
      </c>
      <c r="E858" s="24">
        <f>IF('ORDENES'!$A836="","",IF('ORDENES'!$Y836="","-",'ORDENES'!$Y836))</f>
        <v/>
      </c>
      <c r="F858" s="24">
        <f>IF('ORDENES'!$A836="","",IF('ORDENES'!$AB836="","-",'ORDENES'!$AB836))</f>
        <v/>
      </c>
      <c r="G858" s="24">
        <f>IF('ORDENES'!$A836="","",IF('ORDENES'!$Z836="","-",'ORDENES'!$Z836))</f>
        <v/>
      </c>
      <c r="H858" s="24">
        <f>IF('ORDENES'!$A836="","",IF('ORDENES'!$AH836="","-",'ORDENES'!$AH836))</f>
        <v/>
      </c>
      <c r="I858" s="24">
        <f>IF('ORDENES'!$A836="","",IF('ORDENES'!$AU836="","-",'ORDENES'!$AU836))</f>
        <v/>
      </c>
      <c r="J858" s="24">
        <f>IF('ORDENES'!$A836="","",IF('ORDENES'!$D836="","-",'ORDENES'!$D836))</f>
        <v/>
      </c>
      <c r="K858" s="24">
        <f>IF('ORDENES'!$A836="","",IF('ORDENES'!$E836="","-",'ORDENES'!$E836))</f>
        <v/>
      </c>
      <c r="L858" s="26">
        <f>IF('ORDENES'!$A836="","",IF('ORDENES'!$M836="",0,'ORDENES'!$M836))</f>
        <v/>
      </c>
      <c r="M858" s="24">
        <f>IF('ORDENES'!$A836="","",IF('ORDENES'!$N836="","-",'ORDENES'!$N836))</f>
        <v/>
      </c>
      <c r="N858" s="24">
        <f>IF('ORDENES'!$A836="","",'ORDENES'!$AG836)</f>
        <v/>
      </c>
    </row>
    <row r="859">
      <c r="A859" s="24">
        <f>IF('ORDENES'!$A837="","",IF('ORDENES'!$O837="","-",'ORDENES'!$O837))</f>
        <v/>
      </c>
      <c r="B859" s="24">
        <f>IF('ORDENES'!$A837="","",IF('ORDENES'!$S837="","-",'ORDENES'!$S837))</f>
        <v/>
      </c>
      <c r="C859" s="24">
        <f>IF('ORDENES'!$A837="","",IF('ORDENES'!$AI837="","-",'ORDENES'!$AI837))</f>
        <v/>
      </c>
      <c r="D859" s="24">
        <f>IF('ORDENES'!$A837="","",IF('ORDENES'!$AA837="","-",'ORDENES'!$AA837))</f>
        <v/>
      </c>
      <c r="E859" s="24">
        <f>IF('ORDENES'!$A837="","",IF('ORDENES'!$Y837="","-",'ORDENES'!$Y837))</f>
        <v/>
      </c>
      <c r="F859" s="24">
        <f>IF('ORDENES'!$A837="","",IF('ORDENES'!$AB837="","-",'ORDENES'!$AB837))</f>
        <v/>
      </c>
      <c r="G859" s="24">
        <f>IF('ORDENES'!$A837="","",IF('ORDENES'!$Z837="","-",'ORDENES'!$Z837))</f>
        <v/>
      </c>
      <c r="H859" s="24">
        <f>IF('ORDENES'!$A837="","",IF('ORDENES'!$AH837="","-",'ORDENES'!$AH837))</f>
        <v/>
      </c>
      <c r="I859" s="24">
        <f>IF('ORDENES'!$A837="","",IF('ORDENES'!$AU837="","-",'ORDENES'!$AU837))</f>
        <v/>
      </c>
      <c r="J859" s="24">
        <f>IF('ORDENES'!$A837="","",IF('ORDENES'!$D837="","-",'ORDENES'!$D837))</f>
        <v/>
      </c>
      <c r="K859" s="24">
        <f>IF('ORDENES'!$A837="","",IF('ORDENES'!$E837="","-",'ORDENES'!$E837))</f>
        <v/>
      </c>
      <c r="L859" s="26">
        <f>IF('ORDENES'!$A837="","",IF('ORDENES'!$M837="",0,'ORDENES'!$M837))</f>
        <v/>
      </c>
      <c r="M859" s="24">
        <f>IF('ORDENES'!$A837="","",IF('ORDENES'!$N837="","-",'ORDENES'!$N837))</f>
        <v/>
      </c>
      <c r="N859" s="24">
        <f>IF('ORDENES'!$A837="","",'ORDENES'!$AG837)</f>
        <v/>
      </c>
    </row>
    <row r="860">
      <c r="A860" s="24">
        <f>IF('ORDENES'!$A838="","",IF('ORDENES'!$O838="","-",'ORDENES'!$O838))</f>
        <v/>
      </c>
      <c r="B860" s="24">
        <f>IF('ORDENES'!$A838="","",IF('ORDENES'!$S838="","-",'ORDENES'!$S838))</f>
        <v/>
      </c>
      <c r="C860" s="24">
        <f>IF('ORDENES'!$A838="","",IF('ORDENES'!$AI838="","-",'ORDENES'!$AI838))</f>
        <v/>
      </c>
      <c r="D860" s="24">
        <f>IF('ORDENES'!$A838="","",IF('ORDENES'!$AA838="","-",'ORDENES'!$AA838))</f>
        <v/>
      </c>
      <c r="E860" s="24">
        <f>IF('ORDENES'!$A838="","",IF('ORDENES'!$Y838="","-",'ORDENES'!$Y838))</f>
        <v/>
      </c>
      <c r="F860" s="24">
        <f>IF('ORDENES'!$A838="","",IF('ORDENES'!$AB838="","-",'ORDENES'!$AB838))</f>
        <v/>
      </c>
      <c r="G860" s="24">
        <f>IF('ORDENES'!$A838="","",IF('ORDENES'!$Z838="","-",'ORDENES'!$Z838))</f>
        <v/>
      </c>
      <c r="H860" s="24">
        <f>IF('ORDENES'!$A838="","",IF('ORDENES'!$AH838="","-",'ORDENES'!$AH838))</f>
        <v/>
      </c>
      <c r="I860" s="24">
        <f>IF('ORDENES'!$A838="","",IF('ORDENES'!$AU838="","-",'ORDENES'!$AU838))</f>
        <v/>
      </c>
      <c r="J860" s="24">
        <f>IF('ORDENES'!$A838="","",IF('ORDENES'!$D838="","-",'ORDENES'!$D838))</f>
        <v/>
      </c>
      <c r="K860" s="24">
        <f>IF('ORDENES'!$A838="","",IF('ORDENES'!$E838="","-",'ORDENES'!$E838))</f>
        <v/>
      </c>
      <c r="L860" s="26">
        <f>IF('ORDENES'!$A838="","",IF('ORDENES'!$M838="",0,'ORDENES'!$M838))</f>
        <v/>
      </c>
      <c r="M860" s="24">
        <f>IF('ORDENES'!$A838="","",IF('ORDENES'!$N838="","-",'ORDENES'!$N838))</f>
        <v/>
      </c>
      <c r="N860" s="24">
        <f>IF('ORDENES'!$A838="","",'ORDENES'!$AG838)</f>
        <v/>
      </c>
    </row>
    <row r="861">
      <c r="A861" s="24">
        <f>IF('ORDENES'!$A839="","",IF('ORDENES'!$O839="","-",'ORDENES'!$O839))</f>
        <v/>
      </c>
      <c r="B861" s="24">
        <f>IF('ORDENES'!$A839="","",IF('ORDENES'!$S839="","-",'ORDENES'!$S839))</f>
        <v/>
      </c>
      <c r="C861" s="24">
        <f>IF('ORDENES'!$A839="","",IF('ORDENES'!$AI839="","-",'ORDENES'!$AI839))</f>
        <v/>
      </c>
      <c r="D861" s="24">
        <f>IF('ORDENES'!$A839="","",IF('ORDENES'!$AA839="","-",'ORDENES'!$AA839))</f>
        <v/>
      </c>
      <c r="E861" s="24">
        <f>IF('ORDENES'!$A839="","",IF('ORDENES'!$Y839="","-",'ORDENES'!$Y839))</f>
        <v/>
      </c>
      <c r="F861" s="24">
        <f>IF('ORDENES'!$A839="","",IF('ORDENES'!$AB839="","-",'ORDENES'!$AB839))</f>
        <v/>
      </c>
      <c r="G861" s="24">
        <f>IF('ORDENES'!$A839="","",IF('ORDENES'!$Z839="","-",'ORDENES'!$Z839))</f>
        <v/>
      </c>
      <c r="H861" s="24">
        <f>IF('ORDENES'!$A839="","",IF('ORDENES'!$AH839="","-",'ORDENES'!$AH839))</f>
        <v/>
      </c>
      <c r="I861" s="24">
        <f>IF('ORDENES'!$A839="","",IF('ORDENES'!$AU839="","-",'ORDENES'!$AU839))</f>
        <v/>
      </c>
      <c r="J861" s="24">
        <f>IF('ORDENES'!$A839="","",IF('ORDENES'!$D839="","-",'ORDENES'!$D839))</f>
        <v/>
      </c>
      <c r="K861" s="24">
        <f>IF('ORDENES'!$A839="","",IF('ORDENES'!$E839="","-",'ORDENES'!$E839))</f>
        <v/>
      </c>
      <c r="L861" s="26">
        <f>IF('ORDENES'!$A839="","",IF('ORDENES'!$M839="",0,'ORDENES'!$M839))</f>
        <v/>
      </c>
      <c r="M861" s="24">
        <f>IF('ORDENES'!$A839="","",IF('ORDENES'!$N839="","-",'ORDENES'!$N839))</f>
        <v/>
      </c>
      <c r="N861" s="24">
        <f>IF('ORDENES'!$A839="","",'ORDENES'!$AG839)</f>
        <v/>
      </c>
    </row>
    <row r="862">
      <c r="A862" s="24">
        <f>IF('ORDENES'!$A840="","",IF('ORDENES'!$O840="","-",'ORDENES'!$O840))</f>
        <v/>
      </c>
      <c r="B862" s="24">
        <f>IF('ORDENES'!$A840="","",IF('ORDENES'!$S840="","-",'ORDENES'!$S840))</f>
        <v/>
      </c>
      <c r="C862" s="24">
        <f>IF('ORDENES'!$A840="","",IF('ORDENES'!$AI840="","-",'ORDENES'!$AI840))</f>
        <v/>
      </c>
      <c r="D862" s="24">
        <f>IF('ORDENES'!$A840="","",IF('ORDENES'!$AA840="","-",'ORDENES'!$AA840))</f>
        <v/>
      </c>
      <c r="E862" s="24">
        <f>IF('ORDENES'!$A840="","",IF('ORDENES'!$Y840="","-",'ORDENES'!$Y840))</f>
        <v/>
      </c>
      <c r="F862" s="24">
        <f>IF('ORDENES'!$A840="","",IF('ORDENES'!$AB840="","-",'ORDENES'!$AB840))</f>
        <v/>
      </c>
      <c r="G862" s="24">
        <f>IF('ORDENES'!$A840="","",IF('ORDENES'!$Z840="","-",'ORDENES'!$Z840))</f>
        <v/>
      </c>
      <c r="H862" s="24">
        <f>IF('ORDENES'!$A840="","",IF('ORDENES'!$AH840="","-",'ORDENES'!$AH840))</f>
        <v/>
      </c>
      <c r="I862" s="24">
        <f>IF('ORDENES'!$A840="","",IF('ORDENES'!$AU840="","-",'ORDENES'!$AU840))</f>
        <v/>
      </c>
      <c r="J862" s="24">
        <f>IF('ORDENES'!$A840="","",IF('ORDENES'!$D840="","-",'ORDENES'!$D840))</f>
        <v/>
      </c>
      <c r="K862" s="24">
        <f>IF('ORDENES'!$A840="","",IF('ORDENES'!$E840="","-",'ORDENES'!$E840))</f>
        <v/>
      </c>
      <c r="L862" s="26">
        <f>IF('ORDENES'!$A840="","",IF('ORDENES'!$M840="",0,'ORDENES'!$M840))</f>
        <v/>
      </c>
      <c r="M862" s="24">
        <f>IF('ORDENES'!$A840="","",IF('ORDENES'!$N840="","-",'ORDENES'!$N840))</f>
        <v/>
      </c>
      <c r="N862" s="24">
        <f>IF('ORDENES'!$A840="","",'ORDENES'!$AG840)</f>
        <v/>
      </c>
    </row>
    <row r="863">
      <c r="A863" s="24">
        <f>IF('ORDENES'!$A841="","",IF('ORDENES'!$O841="","-",'ORDENES'!$O841))</f>
        <v/>
      </c>
      <c r="B863" s="24">
        <f>IF('ORDENES'!$A841="","",IF('ORDENES'!$S841="","-",'ORDENES'!$S841))</f>
        <v/>
      </c>
      <c r="C863" s="24">
        <f>IF('ORDENES'!$A841="","",IF('ORDENES'!$AI841="","-",'ORDENES'!$AI841))</f>
        <v/>
      </c>
      <c r="D863" s="24">
        <f>IF('ORDENES'!$A841="","",IF('ORDENES'!$AA841="","-",'ORDENES'!$AA841))</f>
        <v/>
      </c>
      <c r="E863" s="24">
        <f>IF('ORDENES'!$A841="","",IF('ORDENES'!$Y841="","-",'ORDENES'!$Y841))</f>
        <v/>
      </c>
      <c r="F863" s="24">
        <f>IF('ORDENES'!$A841="","",IF('ORDENES'!$AB841="","-",'ORDENES'!$AB841))</f>
        <v/>
      </c>
      <c r="G863" s="24">
        <f>IF('ORDENES'!$A841="","",IF('ORDENES'!$Z841="","-",'ORDENES'!$Z841))</f>
        <v/>
      </c>
      <c r="H863" s="24">
        <f>IF('ORDENES'!$A841="","",IF('ORDENES'!$AH841="","-",'ORDENES'!$AH841))</f>
        <v/>
      </c>
      <c r="I863" s="24">
        <f>IF('ORDENES'!$A841="","",IF('ORDENES'!$AU841="","-",'ORDENES'!$AU841))</f>
        <v/>
      </c>
      <c r="J863" s="24">
        <f>IF('ORDENES'!$A841="","",IF('ORDENES'!$D841="","-",'ORDENES'!$D841))</f>
        <v/>
      </c>
      <c r="K863" s="24">
        <f>IF('ORDENES'!$A841="","",IF('ORDENES'!$E841="","-",'ORDENES'!$E841))</f>
        <v/>
      </c>
      <c r="L863" s="26">
        <f>IF('ORDENES'!$A841="","",IF('ORDENES'!$M841="",0,'ORDENES'!$M841))</f>
        <v/>
      </c>
      <c r="M863" s="24">
        <f>IF('ORDENES'!$A841="","",IF('ORDENES'!$N841="","-",'ORDENES'!$N841))</f>
        <v/>
      </c>
      <c r="N863" s="24">
        <f>IF('ORDENES'!$A841="","",'ORDENES'!$AG841)</f>
        <v/>
      </c>
    </row>
    <row r="864">
      <c r="A864" s="24">
        <f>IF('ORDENES'!$A842="","",IF('ORDENES'!$O842="","-",'ORDENES'!$O842))</f>
        <v/>
      </c>
      <c r="B864" s="24">
        <f>IF('ORDENES'!$A842="","",IF('ORDENES'!$S842="","-",'ORDENES'!$S842))</f>
        <v/>
      </c>
      <c r="C864" s="24">
        <f>IF('ORDENES'!$A842="","",IF('ORDENES'!$AI842="","-",'ORDENES'!$AI842))</f>
        <v/>
      </c>
      <c r="D864" s="24">
        <f>IF('ORDENES'!$A842="","",IF('ORDENES'!$AA842="","-",'ORDENES'!$AA842))</f>
        <v/>
      </c>
      <c r="E864" s="24">
        <f>IF('ORDENES'!$A842="","",IF('ORDENES'!$Y842="","-",'ORDENES'!$Y842))</f>
        <v/>
      </c>
      <c r="F864" s="24">
        <f>IF('ORDENES'!$A842="","",IF('ORDENES'!$AB842="","-",'ORDENES'!$AB842))</f>
        <v/>
      </c>
      <c r="G864" s="24">
        <f>IF('ORDENES'!$A842="","",IF('ORDENES'!$Z842="","-",'ORDENES'!$Z842))</f>
        <v/>
      </c>
      <c r="H864" s="24">
        <f>IF('ORDENES'!$A842="","",IF('ORDENES'!$AH842="","-",'ORDENES'!$AH842))</f>
        <v/>
      </c>
      <c r="I864" s="24">
        <f>IF('ORDENES'!$A842="","",IF('ORDENES'!$AU842="","-",'ORDENES'!$AU842))</f>
        <v/>
      </c>
      <c r="J864" s="24">
        <f>IF('ORDENES'!$A842="","",IF('ORDENES'!$D842="","-",'ORDENES'!$D842))</f>
        <v/>
      </c>
      <c r="K864" s="24">
        <f>IF('ORDENES'!$A842="","",IF('ORDENES'!$E842="","-",'ORDENES'!$E842))</f>
        <v/>
      </c>
      <c r="L864" s="26">
        <f>IF('ORDENES'!$A842="","",IF('ORDENES'!$M842="",0,'ORDENES'!$M842))</f>
        <v/>
      </c>
      <c r="M864" s="24">
        <f>IF('ORDENES'!$A842="","",IF('ORDENES'!$N842="","-",'ORDENES'!$N842))</f>
        <v/>
      </c>
      <c r="N864" s="24">
        <f>IF('ORDENES'!$A842="","",'ORDENES'!$AG842)</f>
        <v/>
      </c>
    </row>
    <row r="865">
      <c r="A865" s="24">
        <f>IF('ORDENES'!$A843="","",IF('ORDENES'!$O843="","-",'ORDENES'!$O843))</f>
        <v/>
      </c>
      <c r="B865" s="24">
        <f>IF('ORDENES'!$A843="","",IF('ORDENES'!$S843="","-",'ORDENES'!$S843))</f>
        <v/>
      </c>
      <c r="C865" s="24">
        <f>IF('ORDENES'!$A843="","",IF('ORDENES'!$AI843="","-",'ORDENES'!$AI843))</f>
        <v/>
      </c>
      <c r="D865" s="24">
        <f>IF('ORDENES'!$A843="","",IF('ORDENES'!$AA843="","-",'ORDENES'!$AA843))</f>
        <v/>
      </c>
      <c r="E865" s="24">
        <f>IF('ORDENES'!$A843="","",IF('ORDENES'!$Y843="","-",'ORDENES'!$Y843))</f>
        <v/>
      </c>
      <c r="F865" s="24">
        <f>IF('ORDENES'!$A843="","",IF('ORDENES'!$AB843="","-",'ORDENES'!$AB843))</f>
        <v/>
      </c>
      <c r="G865" s="24">
        <f>IF('ORDENES'!$A843="","",IF('ORDENES'!$Z843="","-",'ORDENES'!$Z843))</f>
        <v/>
      </c>
      <c r="H865" s="24">
        <f>IF('ORDENES'!$A843="","",IF('ORDENES'!$AH843="","-",'ORDENES'!$AH843))</f>
        <v/>
      </c>
      <c r="I865" s="24">
        <f>IF('ORDENES'!$A843="","",IF('ORDENES'!$AU843="","-",'ORDENES'!$AU843))</f>
        <v/>
      </c>
      <c r="J865" s="24">
        <f>IF('ORDENES'!$A843="","",IF('ORDENES'!$D843="","-",'ORDENES'!$D843))</f>
        <v/>
      </c>
      <c r="K865" s="24">
        <f>IF('ORDENES'!$A843="","",IF('ORDENES'!$E843="","-",'ORDENES'!$E843))</f>
        <v/>
      </c>
      <c r="L865" s="26">
        <f>IF('ORDENES'!$A843="","",IF('ORDENES'!$M843="",0,'ORDENES'!$M843))</f>
        <v/>
      </c>
      <c r="M865" s="24">
        <f>IF('ORDENES'!$A843="","",IF('ORDENES'!$N843="","-",'ORDENES'!$N843))</f>
        <v/>
      </c>
      <c r="N865" s="24">
        <f>IF('ORDENES'!$A843="","",'ORDENES'!$AG843)</f>
        <v/>
      </c>
    </row>
    <row r="866">
      <c r="A866" s="24">
        <f>IF('ORDENES'!$A844="","",IF('ORDENES'!$O844="","-",'ORDENES'!$O844))</f>
        <v/>
      </c>
      <c r="B866" s="24">
        <f>IF('ORDENES'!$A844="","",IF('ORDENES'!$S844="","-",'ORDENES'!$S844))</f>
        <v/>
      </c>
      <c r="C866" s="24">
        <f>IF('ORDENES'!$A844="","",IF('ORDENES'!$AI844="","-",'ORDENES'!$AI844))</f>
        <v/>
      </c>
      <c r="D866" s="24">
        <f>IF('ORDENES'!$A844="","",IF('ORDENES'!$AA844="","-",'ORDENES'!$AA844))</f>
        <v/>
      </c>
      <c r="E866" s="24">
        <f>IF('ORDENES'!$A844="","",IF('ORDENES'!$Y844="","-",'ORDENES'!$Y844))</f>
        <v/>
      </c>
      <c r="F866" s="24">
        <f>IF('ORDENES'!$A844="","",IF('ORDENES'!$AB844="","-",'ORDENES'!$AB844))</f>
        <v/>
      </c>
      <c r="G866" s="24">
        <f>IF('ORDENES'!$A844="","",IF('ORDENES'!$Z844="","-",'ORDENES'!$Z844))</f>
        <v/>
      </c>
      <c r="H866" s="24">
        <f>IF('ORDENES'!$A844="","",IF('ORDENES'!$AH844="","-",'ORDENES'!$AH844))</f>
        <v/>
      </c>
      <c r="I866" s="24">
        <f>IF('ORDENES'!$A844="","",IF('ORDENES'!$AU844="","-",'ORDENES'!$AU844))</f>
        <v/>
      </c>
      <c r="J866" s="24">
        <f>IF('ORDENES'!$A844="","",IF('ORDENES'!$D844="","-",'ORDENES'!$D844))</f>
        <v/>
      </c>
      <c r="K866" s="24">
        <f>IF('ORDENES'!$A844="","",IF('ORDENES'!$E844="","-",'ORDENES'!$E844))</f>
        <v/>
      </c>
      <c r="L866" s="26">
        <f>IF('ORDENES'!$A844="","",IF('ORDENES'!$M844="",0,'ORDENES'!$M844))</f>
        <v/>
      </c>
      <c r="M866" s="24">
        <f>IF('ORDENES'!$A844="","",IF('ORDENES'!$N844="","-",'ORDENES'!$N844))</f>
        <v/>
      </c>
      <c r="N866" s="24">
        <f>IF('ORDENES'!$A844="","",'ORDENES'!$AG844)</f>
        <v/>
      </c>
    </row>
    <row r="867">
      <c r="A867" s="24">
        <f>IF('ORDENES'!$A845="","",IF('ORDENES'!$O845="","-",'ORDENES'!$O845))</f>
        <v/>
      </c>
      <c r="B867" s="24">
        <f>IF('ORDENES'!$A845="","",IF('ORDENES'!$S845="","-",'ORDENES'!$S845))</f>
        <v/>
      </c>
      <c r="C867" s="24">
        <f>IF('ORDENES'!$A845="","",IF('ORDENES'!$AI845="","-",'ORDENES'!$AI845))</f>
        <v/>
      </c>
      <c r="D867" s="24">
        <f>IF('ORDENES'!$A845="","",IF('ORDENES'!$AA845="","-",'ORDENES'!$AA845))</f>
        <v/>
      </c>
      <c r="E867" s="24">
        <f>IF('ORDENES'!$A845="","",IF('ORDENES'!$Y845="","-",'ORDENES'!$Y845))</f>
        <v/>
      </c>
      <c r="F867" s="24">
        <f>IF('ORDENES'!$A845="","",IF('ORDENES'!$AB845="","-",'ORDENES'!$AB845))</f>
        <v/>
      </c>
      <c r="G867" s="24">
        <f>IF('ORDENES'!$A845="","",IF('ORDENES'!$Z845="","-",'ORDENES'!$Z845))</f>
        <v/>
      </c>
      <c r="H867" s="24">
        <f>IF('ORDENES'!$A845="","",IF('ORDENES'!$AH845="","-",'ORDENES'!$AH845))</f>
        <v/>
      </c>
      <c r="I867" s="24">
        <f>IF('ORDENES'!$A845="","",IF('ORDENES'!$AU845="","-",'ORDENES'!$AU845))</f>
        <v/>
      </c>
      <c r="J867" s="24">
        <f>IF('ORDENES'!$A845="","",IF('ORDENES'!$D845="","-",'ORDENES'!$D845))</f>
        <v/>
      </c>
      <c r="K867" s="24">
        <f>IF('ORDENES'!$A845="","",IF('ORDENES'!$E845="","-",'ORDENES'!$E845))</f>
        <v/>
      </c>
      <c r="L867" s="26">
        <f>IF('ORDENES'!$A845="","",IF('ORDENES'!$M845="",0,'ORDENES'!$M845))</f>
        <v/>
      </c>
      <c r="M867" s="24">
        <f>IF('ORDENES'!$A845="","",IF('ORDENES'!$N845="","-",'ORDENES'!$N845))</f>
        <v/>
      </c>
      <c r="N867" s="24">
        <f>IF('ORDENES'!$A845="","",'ORDENES'!$AG845)</f>
        <v/>
      </c>
    </row>
    <row r="868">
      <c r="A868" s="24">
        <f>IF('ORDENES'!$A846="","",IF('ORDENES'!$O846="","-",'ORDENES'!$O846))</f>
        <v/>
      </c>
      <c r="B868" s="24">
        <f>IF('ORDENES'!$A846="","",IF('ORDENES'!$S846="","-",'ORDENES'!$S846))</f>
        <v/>
      </c>
      <c r="C868" s="24">
        <f>IF('ORDENES'!$A846="","",IF('ORDENES'!$AI846="","-",'ORDENES'!$AI846))</f>
        <v/>
      </c>
      <c r="D868" s="24">
        <f>IF('ORDENES'!$A846="","",IF('ORDENES'!$AA846="","-",'ORDENES'!$AA846))</f>
        <v/>
      </c>
      <c r="E868" s="24">
        <f>IF('ORDENES'!$A846="","",IF('ORDENES'!$Y846="","-",'ORDENES'!$Y846))</f>
        <v/>
      </c>
      <c r="F868" s="24">
        <f>IF('ORDENES'!$A846="","",IF('ORDENES'!$AB846="","-",'ORDENES'!$AB846))</f>
        <v/>
      </c>
      <c r="G868" s="24">
        <f>IF('ORDENES'!$A846="","",IF('ORDENES'!$Z846="","-",'ORDENES'!$Z846))</f>
        <v/>
      </c>
      <c r="H868" s="24">
        <f>IF('ORDENES'!$A846="","",IF('ORDENES'!$AH846="","-",'ORDENES'!$AH846))</f>
        <v/>
      </c>
      <c r="I868" s="24">
        <f>IF('ORDENES'!$A846="","",IF('ORDENES'!$AU846="","-",'ORDENES'!$AU846))</f>
        <v/>
      </c>
      <c r="J868" s="24">
        <f>IF('ORDENES'!$A846="","",IF('ORDENES'!$D846="","-",'ORDENES'!$D846))</f>
        <v/>
      </c>
      <c r="K868" s="24">
        <f>IF('ORDENES'!$A846="","",IF('ORDENES'!$E846="","-",'ORDENES'!$E846))</f>
        <v/>
      </c>
      <c r="L868" s="26">
        <f>IF('ORDENES'!$A846="","",IF('ORDENES'!$M846="",0,'ORDENES'!$M846))</f>
        <v/>
      </c>
      <c r="M868" s="24">
        <f>IF('ORDENES'!$A846="","",IF('ORDENES'!$N846="","-",'ORDENES'!$N846))</f>
        <v/>
      </c>
      <c r="N868" s="24">
        <f>IF('ORDENES'!$A846="","",'ORDENES'!$AG846)</f>
        <v/>
      </c>
    </row>
    <row r="869">
      <c r="A869" s="24">
        <f>IF('ORDENES'!$A847="","",IF('ORDENES'!$O847="","-",'ORDENES'!$O847))</f>
        <v/>
      </c>
      <c r="B869" s="24">
        <f>IF('ORDENES'!$A847="","",IF('ORDENES'!$S847="","-",'ORDENES'!$S847))</f>
        <v/>
      </c>
      <c r="C869" s="24">
        <f>IF('ORDENES'!$A847="","",IF('ORDENES'!$AI847="","-",'ORDENES'!$AI847))</f>
        <v/>
      </c>
      <c r="D869" s="24">
        <f>IF('ORDENES'!$A847="","",IF('ORDENES'!$AA847="","-",'ORDENES'!$AA847))</f>
        <v/>
      </c>
      <c r="E869" s="24">
        <f>IF('ORDENES'!$A847="","",IF('ORDENES'!$Y847="","-",'ORDENES'!$Y847))</f>
        <v/>
      </c>
      <c r="F869" s="24">
        <f>IF('ORDENES'!$A847="","",IF('ORDENES'!$AB847="","-",'ORDENES'!$AB847))</f>
        <v/>
      </c>
      <c r="G869" s="24">
        <f>IF('ORDENES'!$A847="","",IF('ORDENES'!$Z847="","-",'ORDENES'!$Z847))</f>
        <v/>
      </c>
      <c r="H869" s="24">
        <f>IF('ORDENES'!$A847="","",IF('ORDENES'!$AH847="","-",'ORDENES'!$AH847))</f>
        <v/>
      </c>
      <c r="I869" s="24">
        <f>IF('ORDENES'!$A847="","",IF('ORDENES'!$AU847="","-",'ORDENES'!$AU847))</f>
        <v/>
      </c>
      <c r="J869" s="24">
        <f>IF('ORDENES'!$A847="","",IF('ORDENES'!$D847="","-",'ORDENES'!$D847))</f>
        <v/>
      </c>
      <c r="K869" s="24">
        <f>IF('ORDENES'!$A847="","",IF('ORDENES'!$E847="","-",'ORDENES'!$E847))</f>
        <v/>
      </c>
      <c r="L869" s="26">
        <f>IF('ORDENES'!$A847="","",IF('ORDENES'!$M847="",0,'ORDENES'!$M847))</f>
        <v/>
      </c>
      <c r="M869" s="24">
        <f>IF('ORDENES'!$A847="","",IF('ORDENES'!$N847="","-",'ORDENES'!$N847))</f>
        <v/>
      </c>
      <c r="N869" s="24">
        <f>IF('ORDENES'!$A847="","",'ORDENES'!$AG847)</f>
        <v/>
      </c>
    </row>
    <row r="870">
      <c r="A870" s="24">
        <f>IF('ORDENES'!$A848="","",IF('ORDENES'!$O848="","-",'ORDENES'!$O848))</f>
        <v/>
      </c>
      <c r="B870" s="24">
        <f>IF('ORDENES'!$A848="","",IF('ORDENES'!$S848="","-",'ORDENES'!$S848))</f>
        <v/>
      </c>
      <c r="C870" s="24">
        <f>IF('ORDENES'!$A848="","",IF('ORDENES'!$AI848="","-",'ORDENES'!$AI848))</f>
        <v/>
      </c>
      <c r="D870" s="24">
        <f>IF('ORDENES'!$A848="","",IF('ORDENES'!$AA848="","-",'ORDENES'!$AA848))</f>
        <v/>
      </c>
      <c r="E870" s="24">
        <f>IF('ORDENES'!$A848="","",IF('ORDENES'!$Y848="","-",'ORDENES'!$Y848))</f>
        <v/>
      </c>
      <c r="F870" s="24">
        <f>IF('ORDENES'!$A848="","",IF('ORDENES'!$AB848="","-",'ORDENES'!$AB848))</f>
        <v/>
      </c>
      <c r="G870" s="24">
        <f>IF('ORDENES'!$A848="","",IF('ORDENES'!$Z848="","-",'ORDENES'!$Z848))</f>
        <v/>
      </c>
      <c r="H870" s="24">
        <f>IF('ORDENES'!$A848="","",IF('ORDENES'!$AH848="","-",'ORDENES'!$AH848))</f>
        <v/>
      </c>
      <c r="I870" s="24">
        <f>IF('ORDENES'!$A848="","",IF('ORDENES'!$AU848="","-",'ORDENES'!$AU848))</f>
        <v/>
      </c>
      <c r="J870" s="24">
        <f>IF('ORDENES'!$A848="","",IF('ORDENES'!$D848="","-",'ORDENES'!$D848))</f>
        <v/>
      </c>
      <c r="K870" s="24">
        <f>IF('ORDENES'!$A848="","",IF('ORDENES'!$E848="","-",'ORDENES'!$E848))</f>
        <v/>
      </c>
      <c r="L870" s="26">
        <f>IF('ORDENES'!$A848="","",IF('ORDENES'!$M848="",0,'ORDENES'!$M848))</f>
        <v/>
      </c>
      <c r="M870" s="24">
        <f>IF('ORDENES'!$A848="","",IF('ORDENES'!$N848="","-",'ORDENES'!$N848))</f>
        <v/>
      </c>
      <c r="N870" s="24">
        <f>IF('ORDENES'!$A848="","",'ORDENES'!$AG848)</f>
        <v/>
      </c>
    </row>
    <row r="871">
      <c r="A871" s="24">
        <f>IF('ORDENES'!$A849="","",IF('ORDENES'!$O849="","-",'ORDENES'!$O849))</f>
        <v/>
      </c>
      <c r="B871" s="24">
        <f>IF('ORDENES'!$A849="","",IF('ORDENES'!$S849="","-",'ORDENES'!$S849))</f>
        <v/>
      </c>
      <c r="C871" s="24">
        <f>IF('ORDENES'!$A849="","",IF('ORDENES'!$AI849="","-",'ORDENES'!$AI849))</f>
        <v/>
      </c>
      <c r="D871" s="24">
        <f>IF('ORDENES'!$A849="","",IF('ORDENES'!$AA849="","-",'ORDENES'!$AA849))</f>
        <v/>
      </c>
      <c r="E871" s="24">
        <f>IF('ORDENES'!$A849="","",IF('ORDENES'!$Y849="","-",'ORDENES'!$Y849))</f>
        <v/>
      </c>
      <c r="F871" s="24">
        <f>IF('ORDENES'!$A849="","",IF('ORDENES'!$AB849="","-",'ORDENES'!$AB849))</f>
        <v/>
      </c>
      <c r="G871" s="24">
        <f>IF('ORDENES'!$A849="","",IF('ORDENES'!$Z849="","-",'ORDENES'!$Z849))</f>
        <v/>
      </c>
      <c r="H871" s="24">
        <f>IF('ORDENES'!$A849="","",IF('ORDENES'!$AH849="","-",'ORDENES'!$AH849))</f>
        <v/>
      </c>
      <c r="I871" s="24">
        <f>IF('ORDENES'!$A849="","",IF('ORDENES'!$AU849="","-",'ORDENES'!$AU849))</f>
        <v/>
      </c>
      <c r="J871" s="24">
        <f>IF('ORDENES'!$A849="","",IF('ORDENES'!$D849="","-",'ORDENES'!$D849))</f>
        <v/>
      </c>
      <c r="K871" s="24">
        <f>IF('ORDENES'!$A849="","",IF('ORDENES'!$E849="","-",'ORDENES'!$E849))</f>
        <v/>
      </c>
      <c r="L871" s="26">
        <f>IF('ORDENES'!$A849="","",IF('ORDENES'!$M849="",0,'ORDENES'!$M849))</f>
        <v/>
      </c>
      <c r="M871" s="24">
        <f>IF('ORDENES'!$A849="","",IF('ORDENES'!$N849="","-",'ORDENES'!$N849))</f>
        <v/>
      </c>
      <c r="N871" s="24">
        <f>IF('ORDENES'!$A849="","",'ORDENES'!$AG849)</f>
        <v/>
      </c>
    </row>
    <row r="872">
      <c r="A872" s="24">
        <f>IF('ORDENES'!$A850="","",IF('ORDENES'!$O850="","-",'ORDENES'!$O850))</f>
        <v/>
      </c>
      <c r="B872" s="24">
        <f>IF('ORDENES'!$A850="","",IF('ORDENES'!$S850="","-",'ORDENES'!$S850))</f>
        <v/>
      </c>
      <c r="C872" s="24">
        <f>IF('ORDENES'!$A850="","",IF('ORDENES'!$AI850="","-",'ORDENES'!$AI850))</f>
        <v/>
      </c>
      <c r="D872" s="24">
        <f>IF('ORDENES'!$A850="","",IF('ORDENES'!$AA850="","-",'ORDENES'!$AA850))</f>
        <v/>
      </c>
      <c r="E872" s="24">
        <f>IF('ORDENES'!$A850="","",IF('ORDENES'!$Y850="","-",'ORDENES'!$Y850))</f>
        <v/>
      </c>
      <c r="F872" s="24">
        <f>IF('ORDENES'!$A850="","",IF('ORDENES'!$AB850="","-",'ORDENES'!$AB850))</f>
        <v/>
      </c>
      <c r="G872" s="24">
        <f>IF('ORDENES'!$A850="","",IF('ORDENES'!$Z850="","-",'ORDENES'!$Z850))</f>
        <v/>
      </c>
      <c r="H872" s="24">
        <f>IF('ORDENES'!$A850="","",IF('ORDENES'!$AH850="","-",'ORDENES'!$AH850))</f>
        <v/>
      </c>
      <c r="I872" s="24">
        <f>IF('ORDENES'!$A850="","",IF('ORDENES'!$AU850="","-",'ORDENES'!$AU850))</f>
        <v/>
      </c>
      <c r="J872" s="24">
        <f>IF('ORDENES'!$A850="","",IF('ORDENES'!$D850="","-",'ORDENES'!$D850))</f>
        <v/>
      </c>
      <c r="K872" s="24">
        <f>IF('ORDENES'!$A850="","",IF('ORDENES'!$E850="","-",'ORDENES'!$E850))</f>
        <v/>
      </c>
      <c r="L872" s="26">
        <f>IF('ORDENES'!$A850="","",IF('ORDENES'!$M850="",0,'ORDENES'!$M850))</f>
        <v/>
      </c>
      <c r="M872" s="24">
        <f>IF('ORDENES'!$A850="","",IF('ORDENES'!$N850="","-",'ORDENES'!$N850))</f>
        <v/>
      </c>
      <c r="N872" s="24">
        <f>IF('ORDENES'!$A850="","",'ORDENES'!$AG850)</f>
        <v/>
      </c>
    </row>
    <row r="873">
      <c r="A873" s="24">
        <f>IF('ORDENES'!$A851="","",IF('ORDENES'!$O851="","-",'ORDENES'!$O851))</f>
        <v/>
      </c>
      <c r="B873" s="24">
        <f>IF('ORDENES'!$A851="","",IF('ORDENES'!$S851="","-",'ORDENES'!$S851))</f>
        <v/>
      </c>
      <c r="C873" s="24">
        <f>IF('ORDENES'!$A851="","",IF('ORDENES'!$AI851="","-",'ORDENES'!$AI851))</f>
        <v/>
      </c>
      <c r="D873" s="24">
        <f>IF('ORDENES'!$A851="","",IF('ORDENES'!$AA851="","-",'ORDENES'!$AA851))</f>
        <v/>
      </c>
      <c r="E873" s="24">
        <f>IF('ORDENES'!$A851="","",IF('ORDENES'!$Y851="","-",'ORDENES'!$Y851))</f>
        <v/>
      </c>
      <c r="F873" s="24">
        <f>IF('ORDENES'!$A851="","",IF('ORDENES'!$AB851="","-",'ORDENES'!$AB851))</f>
        <v/>
      </c>
      <c r="G873" s="24">
        <f>IF('ORDENES'!$A851="","",IF('ORDENES'!$Z851="","-",'ORDENES'!$Z851))</f>
        <v/>
      </c>
      <c r="H873" s="24">
        <f>IF('ORDENES'!$A851="","",IF('ORDENES'!$AH851="","-",'ORDENES'!$AH851))</f>
        <v/>
      </c>
      <c r="I873" s="24">
        <f>IF('ORDENES'!$A851="","",IF('ORDENES'!$AU851="","-",'ORDENES'!$AU851))</f>
        <v/>
      </c>
      <c r="J873" s="24">
        <f>IF('ORDENES'!$A851="","",IF('ORDENES'!$D851="","-",'ORDENES'!$D851))</f>
        <v/>
      </c>
      <c r="K873" s="24">
        <f>IF('ORDENES'!$A851="","",IF('ORDENES'!$E851="","-",'ORDENES'!$E851))</f>
        <v/>
      </c>
      <c r="L873" s="26">
        <f>IF('ORDENES'!$A851="","",IF('ORDENES'!$M851="",0,'ORDENES'!$M851))</f>
        <v/>
      </c>
      <c r="M873" s="24">
        <f>IF('ORDENES'!$A851="","",IF('ORDENES'!$N851="","-",'ORDENES'!$N851))</f>
        <v/>
      </c>
      <c r="N873" s="24">
        <f>IF('ORDENES'!$A851="","",'ORDENES'!$AG851)</f>
        <v/>
      </c>
    </row>
    <row r="874">
      <c r="A874" s="24">
        <f>IF('ORDENES'!$A852="","",IF('ORDENES'!$O852="","-",'ORDENES'!$O852))</f>
        <v/>
      </c>
      <c r="B874" s="24">
        <f>IF('ORDENES'!$A852="","",IF('ORDENES'!$S852="","-",'ORDENES'!$S852))</f>
        <v/>
      </c>
      <c r="C874" s="24">
        <f>IF('ORDENES'!$A852="","",IF('ORDENES'!$AI852="","-",'ORDENES'!$AI852))</f>
        <v/>
      </c>
      <c r="D874" s="24">
        <f>IF('ORDENES'!$A852="","",IF('ORDENES'!$AA852="","-",'ORDENES'!$AA852))</f>
        <v/>
      </c>
      <c r="E874" s="24">
        <f>IF('ORDENES'!$A852="","",IF('ORDENES'!$Y852="","-",'ORDENES'!$Y852))</f>
        <v/>
      </c>
      <c r="F874" s="24">
        <f>IF('ORDENES'!$A852="","",IF('ORDENES'!$AB852="","-",'ORDENES'!$AB852))</f>
        <v/>
      </c>
      <c r="G874" s="24">
        <f>IF('ORDENES'!$A852="","",IF('ORDENES'!$Z852="","-",'ORDENES'!$Z852))</f>
        <v/>
      </c>
      <c r="H874" s="24">
        <f>IF('ORDENES'!$A852="","",IF('ORDENES'!$AH852="","-",'ORDENES'!$AH852))</f>
        <v/>
      </c>
      <c r="I874" s="24">
        <f>IF('ORDENES'!$A852="","",IF('ORDENES'!$AU852="","-",'ORDENES'!$AU852))</f>
        <v/>
      </c>
      <c r="J874" s="24">
        <f>IF('ORDENES'!$A852="","",IF('ORDENES'!$D852="","-",'ORDENES'!$D852))</f>
        <v/>
      </c>
      <c r="K874" s="24">
        <f>IF('ORDENES'!$A852="","",IF('ORDENES'!$E852="","-",'ORDENES'!$E852))</f>
        <v/>
      </c>
      <c r="L874" s="26">
        <f>IF('ORDENES'!$A852="","",IF('ORDENES'!$M852="",0,'ORDENES'!$M852))</f>
        <v/>
      </c>
      <c r="M874" s="24">
        <f>IF('ORDENES'!$A852="","",IF('ORDENES'!$N852="","-",'ORDENES'!$N852))</f>
        <v/>
      </c>
      <c r="N874" s="24">
        <f>IF('ORDENES'!$A852="","",'ORDENES'!$AG852)</f>
        <v/>
      </c>
    </row>
    <row r="875">
      <c r="A875" s="24">
        <f>IF('ORDENES'!$A853="","",IF('ORDENES'!$O853="","-",'ORDENES'!$O853))</f>
        <v/>
      </c>
      <c r="B875" s="24">
        <f>IF('ORDENES'!$A853="","",IF('ORDENES'!$S853="","-",'ORDENES'!$S853))</f>
        <v/>
      </c>
      <c r="C875" s="24">
        <f>IF('ORDENES'!$A853="","",IF('ORDENES'!$AI853="","-",'ORDENES'!$AI853))</f>
        <v/>
      </c>
      <c r="D875" s="24">
        <f>IF('ORDENES'!$A853="","",IF('ORDENES'!$AA853="","-",'ORDENES'!$AA853))</f>
        <v/>
      </c>
      <c r="E875" s="24">
        <f>IF('ORDENES'!$A853="","",IF('ORDENES'!$Y853="","-",'ORDENES'!$Y853))</f>
        <v/>
      </c>
      <c r="F875" s="24">
        <f>IF('ORDENES'!$A853="","",IF('ORDENES'!$AB853="","-",'ORDENES'!$AB853))</f>
        <v/>
      </c>
      <c r="G875" s="24">
        <f>IF('ORDENES'!$A853="","",IF('ORDENES'!$Z853="","-",'ORDENES'!$Z853))</f>
        <v/>
      </c>
      <c r="H875" s="24">
        <f>IF('ORDENES'!$A853="","",IF('ORDENES'!$AH853="","-",'ORDENES'!$AH853))</f>
        <v/>
      </c>
      <c r="I875" s="24">
        <f>IF('ORDENES'!$A853="","",IF('ORDENES'!$AU853="","-",'ORDENES'!$AU853))</f>
        <v/>
      </c>
      <c r="J875" s="24">
        <f>IF('ORDENES'!$A853="","",IF('ORDENES'!$D853="","-",'ORDENES'!$D853))</f>
        <v/>
      </c>
      <c r="K875" s="24">
        <f>IF('ORDENES'!$A853="","",IF('ORDENES'!$E853="","-",'ORDENES'!$E853))</f>
        <v/>
      </c>
      <c r="L875" s="26">
        <f>IF('ORDENES'!$A853="","",IF('ORDENES'!$M853="",0,'ORDENES'!$M853))</f>
        <v/>
      </c>
      <c r="M875" s="24">
        <f>IF('ORDENES'!$A853="","",IF('ORDENES'!$N853="","-",'ORDENES'!$N853))</f>
        <v/>
      </c>
      <c r="N875" s="24">
        <f>IF('ORDENES'!$A853="","",'ORDENES'!$AG853)</f>
        <v/>
      </c>
    </row>
    <row r="876">
      <c r="A876" s="24">
        <f>IF('ORDENES'!$A854="","",IF('ORDENES'!$O854="","-",'ORDENES'!$O854))</f>
        <v/>
      </c>
      <c r="B876" s="24">
        <f>IF('ORDENES'!$A854="","",IF('ORDENES'!$S854="","-",'ORDENES'!$S854))</f>
        <v/>
      </c>
      <c r="C876" s="24">
        <f>IF('ORDENES'!$A854="","",IF('ORDENES'!$AI854="","-",'ORDENES'!$AI854))</f>
        <v/>
      </c>
      <c r="D876" s="24">
        <f>IF('ORDENES'!$A854="","",IF('ORDENES'!$AA854="","-",'ORDENES'!$AA854))</f>
        <v/>
      </c>
      <c r="E876" s="24">
        <f>IF('ORDENES'!$A854="","",IF('ORDENES'!$Y854="","-",'ORDENES'!$Y854))</f>
        <v/>
      </c>
      <c r="F876" s="24">
        <f>IF('ORDENES'!$A854="","",IF('ORDENES'!$AB854="","-",'ORDENES'!$AB854))</f>
        <v/>
      </c>
      <c r="G876" s="24">
        <f>IF('ORDENES'!$A854="","",IF('ORDENES'!$Z854="","-",'ORDENES'!$Z854))</f>
        <v/>
      </c>
      <c r="H876" s="24">
        <f>IF('ORDENES'!$A854="","",IF('ORDENES'!$AH854="","-",'ORDENES'!$AH854))</f>
        <v/>
      </c>
      <c r="I876" s="24">
        <f>IF('ORDENES'!$A854="","",IF('ORDENES'!$AU854="","-",'ORDENES'!$AU854))</f>
        <v/>
      </c>
      <c r="J876" s="24">
        <f>IF('ORDENES'!$A854="","",IF('ORDENES'!$D854="","-",'ORDENES'!$D854))</f>
        <v/>
      </c>
      <c r="K876" s="24">
        <f>IF('ORDENES'!$A854="","",IF('ORDENES'!$E854="","-",'ORDENES'!$E854))</f>
        <v/>
      </c>
      <c r="L876" s="26">
        <f>IF('ORDENES'!$A854="","",IF('ORDENES'!$M854="",0,'ORDENES'!$M854))</f>
        <v/>
      </c>
      <c r="M876" s="24">
        <f>IF('ORDENES'!$A854="","",IF('ORDENES'!$N854="","-",'ORDENES'!$N854))</f>
        <v/>
      </c>
      <c r="N876" s="24">
        <f>IF('ORDENES'!$A854="","",'ORDENES'!$AG854)</f>
        <v/>
      </c>
    </row>
    <row r="877">
      <c r="A877" s="24">
        <f>IF('ORDENES'!$A855="","",IF('ORDENES'!$O855="","-",'ORDENES'!$O855))</f>
        <v/>
      </c>
      <c r="B877" s="24">
        <f>IF('ORDENES'!$A855="","",IF('ORDENES'!$S855="","-",'ORDENES'!$S855))</f>
        <v/>
      </c>
      <c r="C877" s="24">
        <f>IF('ORDENES'!$A855="","",IF('ORDENES'!$AI855="","-",'ORDENES'!$AI855))</f>
        <v/>
      </c>
      <c r="D877" s="24">
        <f>IF('ORDENES'!$A855="","",IF('ORDENES'!$AA855="","-",'ORDENES'!$AA855))</f>
        <v/>
      </c>
      <c r="E877" s="24">
        <f>IF('ORDENES'!$A855="","",IF('ORDENES'!$Y855="","-",'ORDENES'!$Y855))</f>
        <v/>
      </c>
      <c r="F877" s="24">
        <f>IF('ORDENES'!$A855="","",IF('ORDENES'!$AB855="","-",'ORDENES'!$AB855))</f>
        <v/>
      </c>
      <c r="G877" s="24">
        <f>IF('ORDENES'!$A855="","",IF('ORDENES'!$Z855="","-",'ORDENES'!$Z855))</f>
        <v/>
      </c>
      <c r="H877" s="24">
        <f>IF('ORDENES'!$A855="","",IF('ORDENES'!$AH855="","-",'ORDENES'!$AH855))</f>
        <v/>
      </c>
      <c r="I877" s="24">
        <f>IF('ORDENES'!$A855="","",IF('ORDENES'!$AU855="","-",'ORDENES'!$AU855))</f>
        <v/>
      </c>
      <c r="J877" s="24">
        <f>IF('ORDENES'!$A855="","",IF('ORDENES'!$D855="","-",'ORDENES'!$D855))</f>
        <v/>
      </c>
      <c r="K877" s="24">
        <f>IF('ORDENES'!$A855="","",IF('ORDENES'!$E855="","-",'ORDENES'!$E855))</f>
        <v/>
      </c>
      <c r="L877" s="26">
        <f>IF('ORDENES'!$A855="","",IF('ORDENES'!$M855="",0,'ORDENES'!$M855))</f>
        <v/>
      </c>
      <c r="M877" s="24">
        <f>IF('ORDENES'!$A855="","",IF('ORDENES'!$N855="","-",'ORDENES'!$N855))</f>
        <v/>
      </c>
      <c r="N877" s="24">
        <f>IF('ORDENES'!$A855="","",'ORDENES'!$AG855)</f>
        <v/>
      </c>
    </row>
    <row r="878">
      <c r="A878" s="24">
        <f>IF('ORDENES'!$A856="","",IF('ORDENES'!$O856="","-",'ORDENES'!$O856))</f>
        <v/>
      </c>
      <c r="B878" s="24">
        <f>IF('ORDENES'!$A856="","",IF('ORDENES'!$S856="","-",'ORDENES'!$S856))</f>
        <v/>
      </c>
      <c r="C878" s="24">
        <f>IF('ORDENES'!$A856="","",IF('ORDENES'!$AI856="","-",'ORDENES'!$AI856))</f>
        <v/>
      </c>
      <c r="D878" s="24">
        <f>IF('ORDENES'!$A856="","",IF('ORDENES'!$AA856="","-",'ORDENES'!$AA856))</f>
        <v/>
      </c>
      <c r="E878" s="24">
        <f>IF('ORDENES'!$A856="","",IF('ORDENES'!$Y856="","-",'ORDENES'!$Y856))</f>
        <v/>
      </c>
      <c r="F878" s="24">
        <f>IF('ORDENES'!$A856="","",IF('ORDENES'!$AB856="","-",'ORDENES'!$AB856))</f>
        <v/>
      </c>
      <c r="G878" s="24">
        <f>IF('ORDENES'!$A856="","",IF('ORDENES'!$Z856="","-",'ORDENES'!$Z856))</f>
        <v/>
      </c>
      <c r="H878" s="24">
        <f>IF('ORDENES'!$A856="","",IF('ORDENES'!$AH856="","-",'ORDENES'!$AH856))</f>
        <v/>
      </c>
      <c r="I878" s="24">
        <f>IF('ORDENES'!$A856="","",IF('ORDENES'!$AU856="","-",'ORDENES'!$AU856))</f>
        <v/>
      </c>
      <c r="J878" s="24">
        <f>IF('ORDENES'!$A856="","",IF('ORDENES'!$D856="","-",'ORDENES'!$D856))</f>
        <v/>
      </c>
      <c r="K878" s="24">
        <f>IF('ORDENES'!$A856="","",IF('ORDENES'!$E856="","-",'ORDENES'!$E856))</f>
        <v/>
      </c>
      <c r="L878" s="26">
        <f>IF('ORDENES'!$A856="","",IF('ORDENES'!$M856="",0,'ORDENES'!$M856))</f>
        <v/>
      </c>
      <c r="M878" s="24">
        <f>IF('ORDENES'!$A856="","",IF('ORDENES'!$N856="","-",'ORDENES'!$N856))</f>
        <v/>
      </c>
      <c r="N878" s="24">
        <f>IF('ORDENES'!$A856="","",'ORDENES'!$AG856)</f>
        <v/>
      </c>
    </row>
    <row r="879">
      <c r="A879" s="24">
        <f>IF('ORDENES'!$A857="","",IF('ORDENES'!$O857="","-",'ORDENES'!$O857))</f>
        <v/>
      </c>
      <c r="B879" s="24">
        <f>IF('ORDENES'!$A857="","",IF('ORDENES'!$S857="","-",'ORDENES'!$S857))</f>
        <v/>
      </c>
      <c r="C879" s="24">
        <f>IF('ORDENES'!$A857="","",IF('ORDENES'!$AI857="","-",'ORDENES'!$AI857))</f>
        <v/>
      </c>
      <c r="D879" s="24">
        <f>IF('ORDENES'!$A857="","",IF('ORDENES'!$AA857="","-",'ORDENES'!$AA857))</f>
        <v/>
      </c>
      <c r="E879" s="24">
        <f>IF('ORDENES'!$A857="","",IF('ORDENES'!$Y857="","-",'ORDENES'!$Y857))</f>
        <v/>
      </c>
      <c r="F879" s="24">
        <f>IF('ORDENES'!$A857="","",IF('ORDENES'!$AB857="","-",'ORDENES'!$AB857))</f>
        <v/>
      </c>
      <c r="G879" s="24">
        <f>IF('ORDENES'!$A857="","",IF('ORDENES'!$Z857="","-",'ORDENES'!$Z857))</f>
        <v/>
      </c>
      <c r="H879" s="24">
        <f>IF('ORDENES'!$A857="","",IF('ORDENES'!$AH857="","-",'ORDENES'!$AH857))</f>
        <v/>
      </c>
      <c r="I879" s="24">
        <f>IF('ORDENES'!$A857="","",IF('ORDENES'!$AU857="","-",'ORDENES'!$AU857))</f>
        <v/>
      </c>
      <c r="J879" s="24">
        <f>IF('ORDENES'!$A857="","",IF('ORDENES'!$D857="","-",'ORDENES'!$D857))</f>
        <v/>
      </c>
      <c r="K879" s="24">
        <f>IF('ORDENES'!$A857="","",IF('ORDENES'!$E857="","-",'ORDENES'!$E857))</f>
        <v/>
      </c>
      <c r="L879" s="26">
        <f>IF('ORDENES'!$A857="","",IF('ORDENES'!$M857="",0,'ORDENES'!$M857))</f>
        <v/>
      </c>
      <c r="M879" s="24">
        <f>IF('ORDENES'!$A857="","",IF('ORDENES'!$N857="","-",'ORDENES'!$N857))</f>
        <v/>
      </c>
      <c r="N879" s="24">
        <f>IF('ORDENES'!$A857="","",'ORDENES'!$AG857)</f>
        <v/>
      </c>
    </row>
    <row r="880">
      <c r="A880" s="24">
        <f>IF('ORDENES'!$A858="","",IF('ORDENES'!$O858="","-",'ORDENES'!$O858))</f>
        <v/>
      </c>
      <c r="B880" s="24">
        <f>IF('ORDENES'!$A858="","",IF('ORDENES'!$S858="","-",'ORDENES'!$S858))</f>
        <v/>
      </c>
      <c r="C880" s="24">
        <f>IF('ORDENES'!$A858="","",IF('ORDENES'!$AI858="","-",'ORDENES'!$AI858))</f>
        <v/>
      </c>
      <c r="D880" s="24">
        <f>IF('ORDENES'!$A858="","",IF('ORDENES'!$AA858="","-",'ORDENES'!$AA858))</f>
        <v/>
      </c>
      <c r="E880" s="24">
        <f>IF('ORDENES'!$A858="","",IF('ORDENES'!$Y858="","-",'ORDENES'!$Y858))</f>
        <v/>
      </c>
      <c r="F880" s="24">
        <f>IF('ORDENES'!$A858="","",IF('ORDENES'!$AB858="","-",'ORDENES'!$AB858))</f>
        <v/>
      </c>
      <c r="G880" s="24">
        <f>IF('ORDENES'!$A858="","",IF('ORDENES'!$Z858="","-",'ORDENES'!$Z858))</f>
        <v/>
      </c>
      <c r="H880" s="24">
        <f>IF('ORDENES'!$A858="","",IF('ORDENES'!$AH858="","-",'ORDENES'!$AH858))</f>
        <v/>
      </c>
      <c r="I880" s="24">
        <f>IF('ORDENES'!$A858="","",IF('ORDENES'!$AU858="","-",'ORDENES'!$AU858))</f>
        <v/>
      </c>
      <c r="J880" s="24">
        <f>IF('ORDENES'!$A858="","",IF('ORDENES'!$D858="","-",'ORDENES'!$D858))</f>
        <v/>
      </c>
      <c r="K880" s="24">
        <f>IF('ORDENES'!$A858="","",IF('ORDENES'!$E858="","-",'ORDENES'!$E858))</f>
        <v/>
      </c>
      <c r="L880" s="26">
        <f>IF('ORDENES'!$A858="","",IF('ORDENES'!$M858="",0,'ORDENES'!$M858))</f>
        <v/>
      </c>
      <c r="M880" s="24">
        <f>IF('ORDENES'!$A858="","",IF('ORDENES'!$N858="","-",'ORDENES'!$N858))</f>
        <v/>
      </c>
      <c r="N880" s="24">
        <f>IF('ORDENES'!$A858="","",'ORDENES'!$AG858)</f>
        <v/>
      </c>
    </row>
    <row r="881">
      <c r="A881" s="24">
        <f>IF('ORDENES'!$A859="","",IF('ORDENES'!$O859="","-",'ORDENES'!$O859))</f>
        <v/>
      </c>
      <c r="B881" s="24">
        <f>IF('ORDENES'!$A859="","",IF('ORDENES'!$S859="","-",'ORDENES'!$S859))</f>
        <v/>
      </c>
      <c r="C881" s="24">
        <f>IF('ORDENES'!$A859="","",IF('ORDENES'!$AI859="","-",'ORDENES'!$AI859))</f>
        <v/>
      </c>
      <c r="D881" s="24">
        <f>IF('ORDENES'!$A859="","",IF('ORDENES'!$AA859="","-",'ORDENES'!$AA859))</f>
        <v/>
      </c>
      <c r="E881" s="24">
        <f>IF('ORDENES'!$A859="","",IF('ORDENES'!$Y859="","-",'ORDENES'!$Y859))</f>
        <v/>
      </c>
      <c r="F881" s="24">
        <f>IF('ORDENES'!$A859="","",IF('ORDENES'!$AB859="","-",'ORDENES'!$AB859))</f>
        <v/>
      </c>
      <c r="G881" s="24">
        <f>IF('ORDENES'!$A859="","",IF('ORDENES'!$Z859="","-",'ORDENES'!$Z859))</f>
        <v/>
      </c>
      <c r="H881" s="24">
        <f>IF('ORDENES'!$A859="","",IF('ORDENES'!$AH859="","-",'ORDENES'!$AH859))</f>
        <v/>
      </c>
      <c r="I881" s="24">
        <f>IF('ORDENES'!$A859="","",IF('ORDENES'!$AU859="","-",'ORDENES'!$AU859))</f>
        <v/>
      </c>
      <c r="J881" s="24">
        <f>IF('ORDENES'!$A859="","",IF('ORDENES'!$D859="","-",'ORDENES'!$D859))</f>
        <v/>
      </c>
      <c r="K881" s="24">
        <f>IF('ORDENES'!$A859="","",IF('ORDENES'!$E859="","-",'ORDENES'!$E859))</f>
        <v/>
      </c>
      <c r="L881" s="26">
        <f>IF('ORDENES'!$A859="","",IF('ORDENES'!$M859="",0,'ORDENES'!$M859))</f>
        <v/>
      </c>
      <c r="M881" s="24">
        <f>IF('ORDENES'!$A859="","",IF('ORDENES'!$N859="","-",'ORDENES'!$N859))</f>
        <v/>
      </c>
      <c r="N881" s="24">
        <f>IF('ORDENES'!$A859="","",'ORDENES'!$AG859)</f>
        <v/>
      </c>
    </row>
    <row r="882">
      <c r="A882" s="24">
        <f>IF('ORDENES'!$A860="","",IF('ORDENES'!$O860="","-",'ORDENES'!$O860))</f>
        <v/>
      </c>
      <c r="B882" s="24">
        <f>IF('ORDENES'!$A860="","",IF('ORDENES'!$S860="","-",'ORDENES'!$S860))</f>
        <v/>
      </c>
      <c r="C882" s="24">
        <f>IF('ORDENES'!$A860="","",IF('ORDENES'!$AI860="","-",'ORDENES'!$AI860))</f>
        <v/>
      </c>
      <c r="D882" s="24">
        <f>IF('ORDENES'!$A860="","",IF('ORDENES'!$AA860="","-",'ORDENES'!$AA860))</f>
        <v/>
      </c>
      <c r="E882" s="24">
        <f>IF('ORDENES'!$A860="","",IF('ORDENES'!$Y860="","-",'ORDENES'!$Y860))</f>
        <v/>
      </c>
      <c r="F882" s="24">
        <f>IF('ORDENES'!$A860="","",IF('ORDENES'!$AB860="","-",'ORDENES'!$AB860))</f>
        <v/>
      </c>
      <c r="G882" s="24">
        <f>IF('ORDENES'!$A860="","",IF('ORDENES'!$Z860="","-",'ORDENES'!$Z860))</f>
        <v/>
      </c>
      <c r="H882" s="24">
        <f>IF('ORDENES'!$A860="","",IF('ORDENES'!$AH860="","-",'ORDENES'!$AH860))</f>
        <v/>
      </c>
      <c r="I882" s="24">
        <f>IF('ORDENES'!$A860="","",IF('ORDENES'!$AU860="","-",'ORDENES'!$AU860))</f>
        <v/>
      </c>
      <c r="J882" s="24">
        <f>IF('ORDENES'!$A860="","",IF('ORDENES'!$D860="","-",'ORDENES'!$D860))</f>
        <v/>
      </c>
      <c r="K882" s="24">
        <f>IF('ORDENES'!$A860="","",IF('ORDENES'!$E860="","-",'ORDENES'!$E860))</f>
        <v/>
      </c>
      <c r="L882" s="26">
        <f>IF('ORDENES'!$A860="","",IF('ORDENES'!$M860="",0,'ORDENES'!$M860))</f>
        <v/>
      </c>
      <c r="M882" s="24">
        <f>IF('ORDENES'!$A860="","",IF('ORDENES'!$N860="","-",'ORDENES'!$N860))</f>
        <v/>
      </c>
      <c r="N882" s="24">
        <f>IF('ORDENES'!$A860="","",'ORDENES'!$AG860)</f>
        <v/>
      </c>
    </row>
    <row r="883">
      <c r="A883" s="24">
        <f>IF('ORDENES'!$A861="","",IF('ORDENES'!$O861="","-",'ORDENES'!$O861))</f>
        <v/>
      </c>
      <c r="B883" s="24">
        <f>IF('ORDENES'!$A861="","",IF('ORDENES'!$S861="","-",'ORDENES'!$S861))</f>
        <v/>
      </c>
      <c r="C883" s="24">
        <f>IF('ORDENES'!$A861="","",IF('ORDENES'!$AI861="","-",'ORDENES'!$AI861))</f>
        <v/>
      </c>
      <c r="D883" s="24">
        <f>IF('ORDENES'!$A861="","",IF('ORDENES'!$AA861="","-",'ORDENES'!$AA861))</f>
        <v/>
      </c>
      <c r="E883" s="24">
        <f>IF('ORDENES'!$A861="","",IF('ORDENES'!$Y861="","-",'ORDENES'!$Y861))</f>
        <v/>
      </c>
      <c r="F883" s="24">
        <f>IF('ORDENES'!$A861="","",IF('ORDENES'!$AB861="","-",'ORDENES'!$AB861))</f>
        <v/>
      </c>
      <c r="G883" s="24">
        <f>IF('ORDENES'!$A861="","",IF('ORDENES'!$Z861="","-",'ORDENES'!$Z861))</f>
        <v/>
      </c>
      <c r="H883" s="24">
        <f>IF('ORDENES'!$A861="","",IF('ORDENES'!$AH861="","-",'ORDENES'!$AH861))</f>
        <v/>
      </c>
      <c r="I883" s="24">
        <f>IF('ORDENES'!$A861="","",IF('ORDENES'!$AU861="","-",'ORDENES'!$AU861))</f>
        <v/>
      </c>
      <c r="J883" s="24">
        <f>IF('ORDENES'!$A861="","",IF('ORDENES'!$D861="","-",'ORDENES'!$D861))</f>
        <v/>
      </c>
      <c r="K883" s="24">
        <f>IF('ORDENES'!$A861="","",IF('ORDENES'!$E861="","-",'ORDENES'!$E861))</f>
        <v/>
      </c>
      <c r="L883" s="26">
        <f>IF('ORDENES'!$A861="","",IF('ORDENES'!$M861="",0,'ORDENES'!$M861))</f>
        <v/>
      </c>
      <c r="M883" s="24">
        <f>IF('ORDENES'!$A861="","",IF('ORDENES'!$N861="","-",'ORDENES'!$N861))</f>
        <v/>
      </c>
      <c r="N883" s="24">
        <f>IF('ORDENES'!$A861="","",'ORDENES'!$AG861)</f>
        <v/>
      </c>
    </row>
    <row r="884">
      <c r="A884" s="24">
        <f>IF('ORDENES'!$A862="","",IF('ORDENES'!$O862="","-",'ORDENES'!$O862))</f>
        <v/>
      </c>
      <c r="B884" s="24">
        <f>IF('ORDENES'!$A862="","",IF('ORDENES'!$S862="","-",'ORDENES'!$S862))</f>
        <v/>
      </c>
      <c r="C884" s="24">
        <f>IF('ORDENES'!$A862="","",IF('ORDENES'!$AI862="","-",'ORDENES'!$AI862))</f>
        <v/>
      </c>
      <c r="D884" s="24">
        <f>IF('ORDENES'!$A862="","",IF('ORDENES'!$AA862="","-",'ORDENES'!$AA862))</f>
        <v/>
      </c>
      <c r="E884" s="24">
        <f>IF('ORDENES'!$A862="","",IF('ORDENES'!$Y862="","-",'ORDENES'!$Y862))</f>
        <v/>
      </c>
      <c r="F884" s="24">
        <f>IF('ORDENES'!$A862="","",IF('ORDENES'!$AB862="","-",'ORDENES'!$AB862))</f>
        <v/>
      </c>
      <c r="G884" s="24">
        <f>IF('ORDENES'!$A862="","",IF('ORDENES'!$Z862="","-",'ORDENES'!$Z862))</f>
        <v/>
      </c>
      <c r="H884" s="24">
        <f>IF('ORDENES'!$A862="","",IF('ORDENES'!$AH862="","-",'ORDENES'!$AH862))</f>
        <v/>
      </c>
      <c r="I884" s="24">
        <f>IF('ORDENES'!$A862="","",IF('ORDENES'!$AU862="","-",'ORDENES'!$AU862))</f>
        <v/>
      </c>
      <c r="J884" s="24">
        <f>IF('ORDENES'!$A862="","",IF('ORDENES'!$D862="","-",'ORDENES'!$D862))</f>
        <v/>
      </c>
      <c r="K884" s="24">
        <f>IF('ORDENES'!$A862="","",IF('ORDENES'!$E862="","-",'ORDENES'!$E862))</f>
        <v/>
      </c>
      <c r="L884" s="26">
        <f>IF('ORDENES'!$A862="","",IF('ORDENES'!$M862="",0,'ORDENES'!$M862))</f>
        <v/>
      </c>
      <c r="M884" s="24">
        <f>IF('ORDENES'!$A862="","",IF('ORDENES'!$N862="","-",'ORDENES'!$N862))</f>
        <v/>
      </c>
      <c r="N884" s="24">
        <f>IF('ORDENES'!$A862="","",'ORDENES'!$AG862)</f>
        <v/>
      </c>
    </row>
    <row r="885">
      <c r="A885" s="24">
        <f>IF('ORDENES'!$A863="","",IF('ORDENES'!$O863="","-",'ORDENES'!$O863))</f>
        <v/>
      </c>
      <c r="B885" s="24">
        <f>IF('ORDENES'!$A863="","",IF('ORDENES'!$S863="","-",'ORDENES'!$S863))</f>
        <v/>
      </c>
      <c r="C885" s="24">
        <f>IF('ORDENES'!$A863="","",IF('ORDENES'!$AI863="","-",'ORDENES'!$AI863))</f>
        <v/>
      </c>
      <c r="D885" s="24">
        <f>IF('ORDENES'!$A863="","",IF('ORDENES'!$AA863="","-",'ORDENES'!$AA863))</f>
        <v/>
      </c>
      <c r="E885" s="24">
        <f>IF('ORDENES'!$A863="","",IF('ORDENES'!$Y863="","-",'ORDENES'!$Y863))</f>
        <v/>
      </c>
      <c r="F885" s="24">
        <f>IF('ORDENES'!$A863="","",IF('ORDENES'!$AB863="","-",'ORDENES'!$AB863))</f>
        <v/>
      </c>
      <c r="G885" s="24">
        <f>IF('ORDENES'!$A863="","",IF('ORDENES'!$Z863="","-",'ORDENES'!$Z863))</f>
        <v/>
      </c>
      <c r="H885" s="24">
        <f>IF('ORDENES'!$A863="","",IF('ORDENES'!$AH863="","-",'ORDENES'!$AH863))</f>
        <v/>
      </c>
      <c r="I885" s="24">
        <f>IF('ORDENES'!$A863="","",IF('ORDENES'!$AU863="","-",'ORDENES'!$AU863))</f>
        <v/>
      </c>
      <c r="J885" s="24">
        <f>IF('ORDENES'!$A863="","",IF('ORDENES'!$D863="","-",'ORDENES'!$D863))</f>
        <v/>
      </c>
      <c r="K885" s="24">
        <f>IF('ORDENES'!$A863="","",IF('ORDENES'!$E863="","-",'ORDENES'!$E863))</f>
        <v/>
      </c>
      <c r="L885" s="26">
        <f>IF('ORDENES'!$A863="","",IF('ORDENES'!$M863="",0,'ORDENES'!$M863))</f>
        <v/>
      </c>
      <c r="M885" s="24">
        <f>IF('ORDENES'!$A863="","",IF('ORDENES'!$N863="","-",'ORDENES'!$N863))</f>
        <v/>
      </c>
      <c r="N885" s="24">
        <f>IF('ORDENES'!$A863="","",'ORDENES'!$AG863)</f>
        <v/>
      </c>
    </row>
    <row r="886">
      <c r="A886" s="24">
        <f>IF('ORDENES'!$A864="","",IF('ORDENES'!$O864="","-",'ORDENES'!$O864))</f>
        <v/>
      </c>
      <c r="B886" s="24">
        <f>IF('ORDENES'!$A864="","",IF('ORDENES'!$S864="","-",'ORDENES'!$S864))</f>
        <v/>
      </c>
      <c r="C886" s="24">
        <f>IF('ORDENES'!$A864="","",IF('ORDENES'!$AI864="","-",'ORDENES'!$AI864))</f>
        <v/>
      </c>
      <c r="D886" s="24">
        <f>IF('ORDENES'!$A864="","",IF('ORDENES'!$AA864="","-",'ORDENES'!$AA864))</f>
        <v/>
      </c>
      <c r="E886" s="24">
        <f>IF('ORDENES'!$A864="","",IF('ORDENES'!$Y864="","-",'ORDENES'!$Y864))</f>
        <v/>
      </c>
      <c r="F886" s="24">
        <f>IF('ORDENES'!$A864="","",IF('ORDENES'!$AB864="","-",'ORDENES'!$AB864))</f>
        <v/>
      </c>
      <c r="G886" s="24">
        <f>IF('ORDENES'!$A864="","",IF('ORDENES'!$Z864="","-",'ORDENES'!$Z864))</f>
        <v/>
      </c>
      <c r="H886" s="24">
        <f>IF('ORDENES'!$A864="","",IF('ORDENES'!$AH864="","-",'ORDENES'!$AH864))</f>
        <v/>
      </c>
      <c r="I886" s="24">
        <f>IF('ORDENES'!$A864="","",IF('ORDENES'!$AU864="","-",'ORDENES'!$AU864))</f>
        <v/>
      </c>
      <c r="J886" s="24">
        <f>IF('ORDENES'!$A864="","",IF('ORDENES'!$D864="","-",'ORDENES'!$D864))</f>
        <v/>
      </c>
      <c r="K886" s="24">
        <f>IF('ORDENES'!$A864="","",IF('ORDENES'!$E864="","-",'ORDENES'!$E864))</f>
        <v/>
      </c>
      <c r="L886" s="26">
        <f>IF('ORDENES'!$A864="","",IF('ORDENES'!$M864="",0,'ORDENES'!$M864))</f>
        <v/>
      </c>
      <c r="M886" s="24">
        <f>IF('ORDENES'!$A864="","",IF('ORDENES'!$N864="","-",'ORDENES'!$N864))</f>
        <v/>
      </c>
      <c r="N886" s="24">
        <f>IF('ORDENES'!$A864="","",'ORDENES'!$AG864)</f>
        <v/>
      </c>
    </row>
    <row r="887">
      <c r="A887" s="24">
        <f>IF('ORDENES'!$A865="","",IF('ORDENES'!$O865="","-",'ORDENES'!$O865))</f>
        <v/>
      </c>
      <c r="B887" s="24">
        <f>IF('ORDENES'!$A865="","",IF('ORDENES'!$S865="","-",'ORDENES'!$S865))</f>
        <v/>
      </c>
      <c r="C887" s="24">
        <f>IF('ORDENES'!$A865="","",IF('ORDENES'!$AI865="","-",'ORDENES'!$AI865))</f>
        <v/>
      </c>
      <c r="D887" s="24">
        <f>IF('ORDENES'!$A865="","",IF('ORDENES'!$AA865="","-",'ORDENES'!$AA865))</f>
        <v/>
      </c>
      <c r="E887" s="24">
        <f>IF('ORDENES'!$A865="","",IF('ORDENES'!$Y865="","-",'ORDENES'!$Y865))</f>
        <v/>
      </c>
      <c r="F887" s="24">
        <f>IF('ORDENES'!$A865="","",IF('ORDENES'!$AB865="","-",'ORDENES'!$AB865))</f>
        <v/>
      </c>
      <c r="G887" s="24">
        <f>IF('ORDENES'!$A865="","",IF('ORDENES'!$Z865="","-",'ORDENES'!$Z865))</f>
        <v/>
      </c>
      <c r="H887" s="24">
        <f>IF('ORDENES'!$A865="","",IF('ORDENES'!$AH865="","-",'ORDENES'!$AH865))</f>
        <v/>
      </c>
      <c r="I887" s="24">
        <f>IF('ORDENES'!$A865="","",IF('ORDENES'!$AU865="","-",'ORDENES'!$AU865))</f>
        <v/>
      </c>
      <c r="J887" s="24">
        <f>IF('ORDENES'!$A865="","",IF('ORDENES'!$D865="","-",'ORDENES'!$D865))</f>
        <v/>
      </c>
      <c r="K887" s="24">
        <f>IF('ORDENES'!$A865="","",IF('ORDENES'!$E865="","-",'ORDENES'!$E865))</f>
        <v/>
      </c>
      <c r="L887" s="26">
        <f>IF('ORDENES'!$A865="","",IF('ORDENES'!$M865="",0,'ORDENES'!$M865))</f>
        <v/>
      </c>
      <c r="M887" s="24">
        <f>IF('ORDENES'!$A865="","",IF('ORDENES'!$N865="","-",'ORDENES'!$N865))</f>
        <v/>
      </c>
      <c r="N887" s="24">
        <f>IF('ORDENES'!$A865="","",'ORDENES'!$AG865)</f>
        <v/>
      </c>
    </row>
    <row r="888">
      <c r="A888" s="24">
        <f>IF('ORDENES'!$A866="","",IF('ORDENES'!$O866="","-",'ORDENES'!$O866))</f>
        <v/>
      </c>
      <c r="B888" s="24">
        <f>IF('ORDENES'!$A866="","",IF('ORDENES'!$S866="","-",'ORDENES'!$S866))</f>
        <v/>
      </c>
      <c r="C888" s="24">
        <f>IF('ORDENES'!$A866="","",IF('ORDENES'!$AI866="","-",'ORDENES'!$AI866))</f>
        <v/>
      </c>
      <c r="D888" s="24">
        <f>IF('ORDENES'!$A866="","",IF('ORDENES'!$AA866="","-",'ORDENES'!$AA866))</f>
        <v/>
      </c>
      <c r="E888" s="24">
        <f>IF('ORDENES'!$A866="","",IF('ORDENES'!$Y866="","-",'ORDENES'!$Y866))</f>
        <v/>
      </c>
      <c r="F888" s="24">
        <f>IF('ORDENES'!$A866="","",IF('ORDENES'!$AB866="","-",'ORDENES'!$AB866))</f>
        <v/>
      </c>
      <c r="G888" s="24">
        <f>IF('ORDENES'!$A866="","",IF('ORDENES'!$Z866="","-",'ORDENES'!$Z866))</f>
        <v/>
      </c>
      <c r="H888" s="24">
        <f>IF('ORDENES'!$A866="","",IF('ORDENES'!$AH866="","-",'ORDENES'!$AH866))</f>
        <v/>
      </c>
      <c r="I888" s="24">
        <f>IF('ORDENES'!$A866="","",IF('ORDENES'!$AU866="","-",'ORDENES'!$AU866))</f>
        <v/>
      </c>
      <c r="J888" s="24">
        <f>IF('ORDENES'!$A866="","",IF('ORDENES'!$D866="","-",'ORDENES'!$D866))</f>
        <v/>
      </c>
      <c r="K888" s="24">
        <f>IF('ORDENES'!$A866="","",IF('ORDENES'!$E866="","-",'ORDENES'!$E866))</f>
        <v/>
      </c>
      <c r="L888" s="26">
        <f>IF('ORDENES'!$A866="","",IF('ORDENES'!$M866="",0,'ORDENES'!$M866))</f>
        <v/>
      </c>
      <c r="M888" s="24">
        <f>IF('ORDENES'!$A866="","",IF('ORDENES'!$N866="","-",'ORDENES'!$N866))</f>
        <v/>
      </c>
      <c r="N888" s="24">
        <f>IF('ORDENES'!$A866="","",'ORDENES'!$AG866)</f>
        <v/>
      </c>
    </row>
    <row r="889">
      <c r="A889" s="24">
        <f>IF('ORDENES'!$A867="","",IF('ORDENES'!$O867="","-",'ORDENES'!$O867))</f>
        <v/>
      </c>
      <c r="B889" s="24">
        <f>IF('ORDENES'!$A867="","",IF('ORDENES'!$S867="","-",'ORDENES'!$S867))</f>
        <v/>
      </c>
      <c r="C889" s="24">
        <f>IF('ORDENES'!$A867="","",IF('ORDENES'!$AI867="","-",'ORDENES'!$AI867))</f>
        <v/>
      </c>
      <c r="D889" s="24">
        <f>IF('ORDENES'!$A867="","",IF('ORDENES'!$AA867="","-",'ORDENES'!$AA867))</f>
        <v/>
      </c>
      <c r="E889" s="24">
        <f>IF('ORDENES'!$A867="","",IF('ORDENES'!$Y867="","-",'ORDENES'!$Y867))</f>
        <v/>
      </c>
      <c r="F889" s="24">
        <f>IF('ORDENES'!$A867="","",IF('ORDENES'!$AB867="","-",'ORDENES'!$AB867))</f>
        <v/>
      </c>
      <c r="G889" s="24">
        <f>IF('ORDENES'!$A867="","",IF('ORDENES'!$Z867="","-",'ORDENES'!$Z867))</f>
        <v/>
      </c>
      <c r="H889" s="24">
        <f>IF('ORDENES'!$A867="","",IF('ORDENES'!$AH867="","-",'ORDENES'!$AH867))</f>
        <v/>
      </c>
      <c r="I889" s="24">
        <f>IF('ORDENES'!$A867="","",IF('ORDENES'!$AU867="","-",'ORDENES'!$AU867))</f>
        <v/>
      </c>
      <c r="J889" s="24">
        <f>IF('ORDENES'!$A867="","",IF('ORDENES'!$D867="","-",'ORDENES'!$D867))</f>
        <v/>
      </c>
      <c r="K889" s="24">
        <f>IF('ORDENES'!$A867="","",IF('ORDENES'!$E867="","-",'ORDENES'!$E867))</f>
        <v/>
      </c>
      <c r="L889" s="26">
        <f>IF('ORDENES'!$A867="","",IF('ORDENES'!$M867="",0,'ORDENES'!$M867))</f>
        <v/>
      </c>
      <c r="M889" s="24">
        <f>IF('ORDENES'!$A867="","",IF('ORDENES'!$N867="","-",'ORDENES'!$N867))</f>
        <v/>
      </c>
      <c r="N889" s="24">
        <f>IF('ORDENES'!$A867="","",'ORDENES'!$AG867)</f>
        <v/>
      </c>
    </row>
    <row r="890">
      <c r="A890" s="24">
        <f>IF('ORDENES'!$A868="","",IF('ORDENES'!$O868="","-",'ORDENES'!$O868))</f>
        <v/>
      </c>
      <c r="B890" s="24">
        <f>IF('ORDENES'!$A868="","",IF('ORDENES'!$S868="","-",'ORDENES'!$S868))</f>
        <v/>
      </c>
      <c r="C890" s="24">
        <f>IF('ORDENES'!$A868="","",IF('ORDENES'!$AI868="","-",'ORDENES'!$AI868))</f>
        <v/>
      </c>
      <c r="D890" s="24">
        <f>IF('ORDENES'!$A868="","",IF('ORDENES'!$AA868="","-",'ORDENES'!$AA868))</f>
        <v/>
      </c>
      <c r="E890" s="24">
        <f>IF('ORDENES'!$A868="","",IF('ORDENES'!$Y868="","-",'ORDENES'!$Y868))</f>
        <v/>
      </c>
      <c r="F890" s="24">
        <f>IF('ORDENES'!$A868="","",IF('ORDENES'!$AB868="","-",'ORDENES'!$AB868))</f>
        <v/>
      </c>
      <c r="G890" s="24">
        <f>IF('ORDENES'!$A868="","",IF('ORDENES'!$Z868="","-",'ORDENES'!$Z868))</f>
        <v/>
      </c>
      <c r="H890" s="24">
        <f>IF('ORDENES'!$A868="","",IF('ORDENES'!$AH868="","-",'ORDENES'!$AH868))</f>
        <v/>
      </c>
      <c r="I890" s="24">
        <f>IF('ORDENES'!$A868="","",IF('ORDENES'!$AU868="","-",'ORDENES'!$AU868))</f>
        <v/>
      </c>
      <c r="J890" s="24">
        <f>IF('ORDENES'!$A868="","",IF('ORDENES'!$D868="","-",'ORDENES'!$D868))</f>
        <v/>
      </c>
      <c r="K890" s="24">
        <f>IF('ORDENES'!$A868="","",IF('ORDENES'!$E868="","-",'ORDENES'!$E868))</f>
        <v/>
      </c>
      <c r="L890" s="26">
        <f>IF('ORDENES'!$A868="","",IF('ORDENES'!$M868="",0,'ORDENES'!$M868))</f>
        <v/>
      </c>
      <c r="M890" s="24">
        <f>IF('ORDENES'!$A868="","",IF('ORDENES'!$N868="","-",'ORDENES'!$N868))</f>
        <v/>
      </c>
      <c r="N890" s="24">
        <f>IF('ORDENES'!$A868="","",'ORDENES'!$AG868)</f>
        <v/>
      </c>
    </row>
    <row r="891">
      <c r="A891" s="24">
        <f>IF('ORDENES'!$A869="","",IF('ORDENES'!$O869="","-",'ORDENES'!$O869))</f>
        <v/>
      </c>
      <c r="B891" s="24">
        <f>IF('ORDENES'!$A869="","",IF('ORDENES'!$S869="","-",'ORDENES'!$S869))</f>
        <v/>
      </c>
      <c r="C891" s="24">
        <f>IF('ORDENES'!$A869="","",IF('ORDENES'!$AI869="","-",'ORDENES'!$AI869))</f>
        <v/>
      </c>
      <c r="D891" s="24">
        <f>IF('ORDENES'!$A869="","",IF('ORDENES'!$AA869="","-",'ORDENES'!$AA869))</f>
        <v/>
      </c>
      <c r="E891" s="24">
        <f>IF('ORDENES'!$A869="","",IF('ORDENES'!$Y869="","-",'ORDENES'!$Y869))</f>
        <v/>
      </c>
      <c r="F891" s="24">
        <f>IF('ORDENES'!$A869="","",IF('ORDENES'!$AB869="","-",'ORDENES'!$AB869))</f>
        <v/>
      </c>
      <c r="G891" s="24">
        <f>IF('ORDENES'!$A869="","",IF('ORDENES'!$Z869="","-",'ORDENES'!$Z869))</f>
        <v/>
      </c>
      <c r="H891" s="24">
        <f>IF('ORDENES'!$A869="","",IF('ORDENES'!$AH869="","-",'ORDENES'!$AH869))</f>
        <v/>
      </c>
      <c r="I891" s="24">
        <f>IF('ORDENES'!$A869="","",IF('ORDENES'!$AU869="","-",'ORDENES'!$AU869))</f>
        <v/>
      </c>
      <c r="J891" s="24">
        <f>IF('ORDENES'!$A869="","",IF('ORDENES'!$D869="","-",'ORDENES'!$D869))</f>
        <v/>
      </c>
      <c r="K891" s="24">
        <f>IF('ORDENES'!$A869="","",IF('ORDENES'!$E869="","-",'ORDENES'!$E869))</f>
        <v/>
      </c>
      <c r="L891" s="26">
        <f>IF('ORDENES'!$A869="","",IF('ORDENES'!$M869="",0,'ORDENES'!$M869))</f>
        <v/>
      </c>
      <c r="M891" s="24">
        <f>IF('ORDENES'!$A869="","",IF('ORDENES'!$N869="","-",'ORDENES'!$N869))</f>
        <v/>
      </c>
      <c r="N891" s="24">
        <f>IF('ORDENES'!$A869="","",'ORDENES'!$AG869)</f>
        <v/>
      </c>
    </row>
    <row r="892">
      <c r="A892" s="24">
        <f>IF('ORDENES'!$A870="","",IF('ORDENES'!$O870="","-",'ORDENES'!$O870))</f>
        <v/>
      </c>
      <c r="B892" s="24">
        <f>IF('ORDENES'!$A870="","",IF('ORDENES'!$S870="","-",'ORDENES'!$S870))</f>
        <v/>
      </c>
      <c r="C892" s="24">
        <f>IF('ORDENES'!$A870="","",IF('ORDENES'!$AI870="","-",'ORDENES'!$AI870))</f>
        <v/>
      </c>
      <c r="D892" s="24">
        <f>IF('ORDENES'!$A870="","",IF('ORDENES'!$AA870="","-",'ORDENES'!$AA870))</f>
        <v/>
      </c>
      <c r="E892" s="24">
        <f>IF('ORDENES'!$A870="","",IF('ORDENES'!$Y870="","-",'ORDENES'!$Y870))</f>
        <v/>
      </c>
      <c r="F892" s="24">
        <f>IF('ORDENES'!$A870="","",IF('ORDENES'!$AB870="","-",'ORDENES'!$AB870))</f>
        <v/>
      </c>
      <c r="G892" s="24">
        <f>IF('ORDENES'!$A870="","",IF('ORDENES'!$Z870="","-",'ORDENES'!$Z870))</f>
        <v/>
      </c>
      <c r="H892" s="24">
        <f>IF('ORDENES'!$A870="","",IF('ORDENES'!$AH870="","-",'ORDENES'!$AH870))</f>
        <v/>
      </c>
      <c r="I892" s="24">
        <f>IF('ORDENES'!$A870="","",IF('ORDENES'!$AU870="","-",'ORDENES'!$AU870))</f>
        <v/>
      </c>
      <c r="J892" s="24">
        <f>IF('ORDENES'!$A870="","",IF('ORDENES'!$D870="","-",'ORDENES'!$D870))</f>
        <v/>
      </c>
      <c r="K892" s="24">
        <f>IF('ORDENES'!$A870="","",IF('ORDENES'!$E870="","-",'ORDENES'!$E870))</f>
        <v/>
      </c>
      <c r="L892" s="26">
        <f>IF('ORDENES'!$A870="","",IF('ORDENES'!$M870="",0,'ORDENES'!$M870))</f>
        <v/>
      </c>
      <c r="M892" s="24">
        <f>IF('ORDENES'!$A870="","",IF('ORDENES'!$N870="","-",'ORDENES'!$N870))</f>
        <v/>
      </c>
      <c r="N892" s="24">
        <f>IF('ORDENES'!$A870="","",'ORDENES'!$AG870)</f>
        <v/>
      </c>
    </row>
    <row r="893">
      <c r="A893" s="24">
        <f>IF('ORDENES'!$A871="","",IF('ORDENES'!$O871="","-",'ORDENES'!$O871))</f>
        <v/>
      </c>
      <c r="B893" s="24">
        <f>IF('ORDENES'!$A871="","",IF('ORDENES'!$S871="","-",'ORDENES'!$S871))</f>
        <v/>
      </c>
      <c r="C893" s="24">
        <f>IF('ORDENES'!$A871="","",IF('ORDENES'!$AI871="","-",'ORDENES'!$AI871))</f>
        <v/>
      </c>
      <c r="D893" s="24">
        <f>IF('ORDENES'!$A871="","",IF('ORDENES'!$AA871="","-",'ORDENES'!$AA871))</f>
        <v/>
      </c>
      <c r="E893" s="24">
        <f>IF('ORDENES'!$A871="","",IF('ORDENES'!$Y871="","-",'ORDENES'!$Y871))</f>
        <v/>
      </c>
      <c r="F893" s="24">
        <f>IF('ORDENES'!$A871="","",IF('ORDENES'!$AB871="","-",'ORDENES'!$AB871))</f>
        <v/>
      </c>
      <c r="G893" s="24">
        <f>IF('ORDENES'!$A871="","",IF('ORDENES'!$Z871="","-",'ORDENES'!$Z871))</f>
        <v/>
      </c>
      <c r="H893" s="24">
        <f>IF('ORDENES'!$A871="","",IF('ORDENES'!$AH871="","-",'ORDENES'!$AH871))</f>
        <v/>
      </c>
      <c r="I893" s="24">
        <f>IF('ORDENES'!$A871="","",IF('ORDENES'!$AU871="","-",'ORDENES'!$AU871))</f>
        <v/>
      </c>
      <c r="J893" s="24">
        <f>IF('ORDENES'!$A871="","",IF('ORDENES'!$D871="","-",'ORDENES'!$D871))</f>
        <v/>
      </c>
      <c r="K893" s="24">
        <f>IF('ORDENES'!$A871="","",IF('ORDENES'!$E871="","-",'ORDENES'!$E871))</f>
        <v/>
      </c>
      <c r="L893" s="26">
        <f>IF('ORDENES'!$A871="","",IF('ORDENES'!$M871="",0,'ORDENES'!$M871))</f>
        <v/>
      </c>
      <c r="M893" s="24">
        <f>IF('ORDENES'!$A871="","",IF('ORDENES'!$N871="","-",'ORDENES'!$N871))</f>
        <v/>
      </c>
      <c r="N893" s="24">
        <f>IF('ORDENES'!$A871="","",'ORDENES'!$AG871)</f>
        <v/>
      </c>
    </row>
    <row r="894">
      <c r="A894" s="24">
        <f>IF('ORDENES'!$A872="","",IF('ORDENES'!$O872="","-",'ORDENES'!$O872))</f>
        <v/>
      </c>
      <c r="B894" s="24">
        <f>IF('ORDENES'!$A872="","",IF('ORDENES'!$S872="","-",'ORDENES'!$S872))</f>
        <v/>
      </c>
      <c r="C894" s="24">
        <f>IF('ORDENES'!$A872="","",IF('ORDENES'!$AI872="","-",'ORDENES'!$AI872))</f>
        <v/>
      </c>
      <c r="D894" s="24">
        <f>IF('ORDENES'!$A872="","",IF('ORDENES'!$AA872="","-",'ORDENES'!$AA872))</f>
        <v/>
      </c>
      <c r="E894" s="24">
        <f>IF('ORDENES'!$A872="","",IF('ORDENES'!$Y872="","-",'ORDENES'!$Y872))</f>
        <v/>
      </c>
      <c r="F894" s="24">
        <f>IF('ORDENES'!$A872="","",IF('ORDENES'!$AB872="","-",'ORDENES'!$AB872))</f>
        <v/>
      </c>
      <c r="G894" s="24">
        <f>IF('ORDENES'!$A872="","",IF('ORDENES'!$Z872="","-",'ORDENES'!$Z872))</f>
        <v/>
      </c>
      <c r="H894" s="24">
        <f>IF('ORDENES'!$A872="","",IF('ORDENES'!$AH872="","-",'ORDENES'!$AH872))</f>
        <v/>
      </c>
      <c r="I894" s="24">
        <f>IF('ORDENES'!$A872="","",IF('ORDENES'!$AU872="","-",'ORDENES'!$AU872))</f>
        <v/>
      </c>
      <c r="J894" s="24">
        <f>IF('ORDENES'!$A872="","",IF('ORDENES'!$D872="","-",'ORDENES'!$D872))</f>
        <v/>
      </c>
      <c r="K894" s="24">
        <f>IF('ORDENES'!$A872="","",IF('ORDENES'!$E872="","-",'ORDENES'!$E872))</f>
        <v/>
      </c>
      <c r="L894" s="26">
        <f>IF('ORDENES'!$A872="","",IF('ORDENES'!$M872="",0,'ORDENES'!$M872))</f>
        <v/>
      </c>
      <c r="M894" s="24">
        <f>IF('ORDENES'!$A872="","",IF('ORDENES'!$N872="","-",'ORDENES'!$N872))</f>
        <v/>
      </c>
      <c r="N894" s="24">
        <f>IF('ORDENES'!$A872="","",'ORDENES'!$AG872)</f>
        <v/>
      </c>
    </row>
    <row r="895">
      <c r="A895" s="24">
        <f>IF('ORDENES'!$A873="","",IF('ORDENES'!$O873="","-",'ORDENES'!$O873))</f>
        <v/>
      </c>
      <c r="B895" s="24">
        <f>IF('ORDENES'!$A873="","",IF('ORDENES'!$S873="","-",'ORDENES'!$S873))</f>
        <v/>
      </c>
      <c r="C895" s="24">
        <f>IF('ORDENES'!$A873="","",IF('ORDENES'!$AI873="","-",'ORDENES'!$AI873))</f>
        <v/>
      </c>
      <c r="D895" s="24">
        <f>IF('ORDENES'!$A873="","",IF('ORDENES'!$AA873="","-",'ORDENES'!$AA873))</f>
        <v/>
      </c>
      <c r="E895" s="24">
        <f>IF('ORDENES'!$A873="","",IF('ORDENES'!$Y873="","-",'ORDENES'!$Y873))</f>
        <v/>
      </c>
      <c r="F895" s="24">
        <f>IF('ORDENES'!$A873="","",IF('ORDENES'!$AB873="","-",'ORDENES'!$AB873))</f>
        <v/>
      </c>
      <c r="G895" s="24">
        <f>IF('ORDENES'!$A873="","",IF('ORDENES'!$Z873="","-",'ORDENES'!$Z873))</f>
        <v/>
      </c>
      <c r="H895" s="24">
        <f>IF('ORDENES'!$A873="","",IF('ORDENES'!$AH873="","-",'ORDENES'!$AH873))</f>
        <v/>
      </c>
      <c r="I895" s="24">
        <f>IF('ORDENES'!$A873="","",IF('ORDENES'!$AU873="","-",'ORDENES'!$AU873))</f>
        <v/>
      </c>
      <c r="J895" s="24">
        <f>IF('ORDENES'!$A873="","",IF('ORDENES'!$D873="","-",'ORDENES'!$D873))</f>
        <v/>
      </c>
      <c r="K895" s="24">
        <f>IF('ORDENES'!$A873="","",IF('ORDENES'!$E873="","-",'ORDENES'!$E873))</f>
        <v/>
      </c>
      <c r="L895" s="26">
        <f>IF('ORDENES'!$A873="","",IF('ORDENES'!$M873="",0,'ORDENES'!$M873))</f>
        <v/>
      </c>
      <c r="M895" s="24">
        <f>IF('ORDENES'!$A873="","",IF('ORDENES'!$N873="","-",'ORDENES'!$N873))</f>
        <v/>
      </c>
      <c r="N895" s="24">
        <f>IF('ORDENES'!$A873="","",'ORDENES'!$AG873)</f>
        <v/>
      </c>
    </row>
    <row r="896">
      <c r="A896" s="24">
        <f>IF('ORDENES'!$A874="","",IF('ORDENES'!$O874="","-",'ORDENES'!$O874))</f>
        <v/>
      </c>
      <c r="B896" s="24">
        <f>IF('ORDENES'!$A874="","",IF('ORDENES'!$S874="","-",'ORDENES'!$S874))</f>
        <v/>
      </c>
      <c r="C896" s="24">
        <f>IF('ORDENES'!$A874="","",IF('ORDENES'!$AI874="","-",'ORDENES'!$AI874))</f>
        <v/>
      </c>
      <c r="D896" s="24">
        <f>IF('ORDENES'!$A874="","",IF('ORDENES'!$AA874="","-",'ORDENES'!$AA874))</f>
        <v/>
      </c>
      <c r="E896" s="24">
        <f>IF('ORDENES'!$A874="","",IF('ORDENES'!$Y874="","-",'ORDENES'!$Y874))</f>
        <v/>
      </c>
      <c r="F896" s="24">
        <f>IF('ORDENES'!$A874="","",IF('ORDENES'!$AB874="","-",'ORDENES'!$AB874))</f>
        <v/>
      </c>
      <c r="G896" s="24">
        <f>IF('ORDENES'!$A874="","",IF('ORDENES'!$Z874="","-",'ORDENES'!$Z874))</f>
        <v/>
      </c>
      <c r="H896" s="24">
        <f>IF('ORDENES'!$A874="","",IF('ORDENES'!$AH874="","-",'ORDENES'!$AH874))</f>
        <v/>
      </c>
      <c r="I896" s="24">
        <f>IF('ORDENES'!$A874="","",IF('ORDENES'!$AU874="","-",'ORDENES'!$AU874))</f>
        <v/>
      </c>
      <c r="J896" s="24">
        <f>IF('ORDENES'!$A874="","",IF('ORDENES'!$D874="","-",'ORDENES'!$D874))</f>
        <v/>
      </c>
      <c r="K896" s="24">
        <f>IF('ORDENES'!$A874="","",IF('ORDENES'!$E874="","-",'ORDENES'!$E874))</f>
        <v/>
      </c>
      <c r="L896" s="26">
        <f>IF('ORDENES'!$A874="","",IF('ORDENES'!$M874="",0,'ORDENES'!$M874))</f>
        <v/>
      </c>
      <c r="M896" s="24">
        <f>IF('ORDENES'!$A874="","",IF('ORDENES'!$N874="","-",'ORDENES'!$N874))</f>
        <v/>
      </c>
      <c r="N896" s="24">
        <f>IF('ORDENES'!$A874="","",'ORDENES'!$AG874)</f>
        <v/>
      </c>
    </row>
    <row r="897">
      <c r="A897" s="24">
        <f>IF('ORDENES'!$A875="","",IF('ORDENES'!$O875="","-",'ORDENES'!$O875))</f>
        <v/>
      </c>
      <c r="B897" s="24">
        <f>IF('ORDENES'!$A875="","",IF('ORDENES'!$S875="","-",'ORDENES'!$S875))</f>
        <v/>
      </c>
      <c r="C897" s="24">
        <f>IF('ORDENES'!$A875="","",IF('ORDENES'!$AI875="","-",'ORDENES'!$AI875))</f>
        <v/>
      </c>
      <c r="D897" s="24">
        <f>IF('ORDENES'!$A875="","",IF('ORDENES'!$AA875="","-",'ORDENES'!$AA875))</f>
        <v/>
      </c>
      <c r="E897" s="24">
        <f>IF('ORDENES'!$A875="","",IF('ORDENES'!$Y875="","-",'ORDENES'!$Y875))</f>
        <v/>
      </c>
      <c r="F897" s="24">
        <f>IF('ORDENES'!$A875="","",IF('ORDENES'!$AB875="","-",'ORDENES'!$AB875))</f>
        <v/>
      </c>
      <c r="G897" s="24">
        <f>IF('ORDENES'!$A875="","",IF('ORDENES'!$Z875="","-",'ORDENES'!$Z875))</f>
        <v/>
      </c>
      <c r="H897" s="24">
        <f>IF('ORDENES'!$A875="","",IF('ORDENES'!$AH875="","-",'ORDENES'!$AH875))</f>
        <v/>
      </c>
      <c r="I897" s="24">
        <f>IF('ORDENES'!$A875="","",IF('ORDENES'!$AU875="","-",'ORDENES'!$AU875))</f>
        <v/>
      </c>
      <c r="J897" s="24">
        <f>IF('ORDENES'!$A875="","",IF('ORDENES'!$D875="","-",'ORDENES'!$D875))</f>
        <v/>
      </c>
      <c r="K897" s="24">
        <f>IF('ORDENES'!$A875="","",IF('ORDENES'!$E875="","-",'ORDENES'!$E875))</f>
        <v/>
      </c>
      <c r="L897" s="26">
        <f>IF('ORDENES'!$A875="","",IF('ORDENES'!$M875="",0,'ORDENES'!$M875))</f>
        <v/>
      </c>
      <c r="M897" s="24">
        <f>IF('ORDENES'!$A875="","",IF('ORDENES'!$N875="","-",'ORDENES'!$N875))</f>
        <v/>
      </c>
      <c r="N897" s="24">
        <f>IF('ORDENES'!$A875="","",'ORDENES'!$AG875)</f>
        <v/>
      </c>
    </row>
    <row r="898">
      <c r="A898" s="24">
        <f>IF('ORDENES'!$A876="","",IF('ORDENES'!$O876="","-",'ORDENES'!$O876))</f>
        <v/>
      </c>
      <c r="B898" s="24">
        <f>IF('ORDENES'!$A876="","",IF('ORDENES'!$S876="","-",'ORDENES'!$S876))</f>
        <v/>
      </c>
      <c r="C898" s="24">
        <f>IF('ORDENES'!$A876="","",IF('ORDENES'!$AI876="","-",'ORDENES'!$AI876))</f>
        <v/>
      </c>
      <c r="D898" s="24">
        <f>IF('ORDENES'!$A876="","",IF('ORDENES'!$AA876="","-",'ORDENES'!$AA876))</f>
        <v/>
      </c>
      <c r="E898" s="24">
        <f>IF('ORDENES'!$A876="","",IF('ORDENES'!$Y876="","-",'ORDENES'!$Y876))</f>
        <v/>
      </c>
      <c r="F898" s="24">
        <f>IF('ORDENES'!$A876="","",IF('ORDENES'!$AB876="","-",'ORDENES'!$AB876))</f>
        <v/>
      </c>
      <c r="G898" s="24">
        <f>IF('ORDENES'!$A876="","",IF('ORDENES'!$Z876="","-",'ORDENES'!$Z876))</f>
        <v/>
      </c>
      <c r="H898" s="24">
        <f>IF('ORDENES'!$A876="","",IF('ORDENES'!$AH876="","-",'ORDENES'!$AH876))</f>
        <v/>
      </c>
      <c r="I898" s="24">
        <f>IF('ORDENES'!$A876="","",IF('ORDENES'!$AU876="","-",'ORDENES'!$AU876))</f>
        <v/>
      </c>
      <c r="J898" s="24">
        <f>IF('ORDENES'!$A876="","",IF('ORDENES'!$D876="","-",'ORDENES'!$D876))</f>
        <v/>
      </c>
      <c r="K898" s="24">
        <f>IF('ORDENES'!$A876="","",IF('ORDENES'!$E876="","-",'ORDENES'!$E876))</f>
        <v/>
      </c>
      <c r="L898" s="26">
        <f>IF('ORDENES'!$A876="","",IF('ORDENES'!$M876="",0,'ORDENES'!$M876))</f>
        <v/>
      </c>
      <c r="M898" s="24">
        <f>IF('ORDENES'!$A876="","",IF('ORDENES'!$N876="","-",'ORDENES'!$N876))</f>
        <v/>
      </c>
      <c r="N898" s="24">
        <f>IF('ORDENES'!$A876="","",'ORDENES'!$AG876)</f>
        <v/>
      </c>
    </row>
    <row r="899">
      <c r="A899" s="24">
        <f>IF('ORDENES'!$A877="","",IF('ORDENES'!$O877="","-",'ORDENES'!$O877))</f>
        <v/>
      </c>
      <c r="B899" s="24">
        <f>IF('ORDENES'!$A877="","",IF('ORDENES'!$S877="","-",'ORDENES'!$S877))</f>
        <v/>
      </c>
      <c r="C899" s="24">
        <f>IF('ORDENES'!$A877="","",IF('ORDENES'!$AI877="","-",'ORDENES'!$AI877))</f>
        <v/>
      </c>
      <c r="D899" s="24">
        <f>IF('ORDENES'!$A877="","",IF('ORDENES'!$AA877="","-",'ORDENES'!$AA877))</f>
        <v/>
      </c>
      <c r="E899" s="24">
        <f>IF('ORDENES'!$A877="","",IF('ORDENES'!$Y877="","-",'ORDENES'!$Y877))</f>
        <v/>
      </c>
      <c r="F899" s="24">
        <f>IF('ORDENES'!$A877="","",IF('ORDENES'!$AB877="","-",'ORDENES'!$AB877))</f>
        <v/>
      </c>
      <c r="G899" s="24">
        <f>IF('ORDENES'!$A877="","",IF('ORDENES'!$Z877="","-",'ORDENES'!$Z877))</f>
        <v/>
      </c>
      <c r="H899" s="24">
        <f>IF('ORDENES'!$A877="","",IF('ORDENES'!$AH877="","-",'ORDENES'!$AH877))</f>
        <v/>
      </c>
      <c r="I899" s="24">
        <f>IF('ORDENES'!$A877="","",IF('ORDENES'!$AU877="","-",'ORDENES'!$AU877))</f>
        <v/>
      </c>
      <c r="J899" s="24">
        <f>IF('ORDENES'!$A877="","",IF('ORDENES'!$D877="","-",'ORDENES'!$D877))</f>
        <v/>
      </c>
      <c r="K899" s="24">
        <f>IF('ORDENES'!$A877="","",IF('ORDENES'!$E877="","-",'ORDENES'!$E877))</f>
        <v/>
      </c>
      <c r="L899" s="26">
        <f>IF('ORDENES'!$A877="","",IF('ORDENES'!$M877="",0,'ORDENES'!$M877))</f>
        <v/>
      </c>
      <c r="M899" s="24">
        <f>IF('ORDENES'!$A877="","",IF('ORDENES'!$N877="","-",'ORDENES'!$N877))</f>
        <v/>
      </c>
      <c r="N899" s="24">
        <f>IF('ORDENES'!$A877="","",'ORDENES'!$AG877)</f>
        <v/>
      </c>
    </row>
    <row r="900">
      <c r="A900" s="24">
        <f>IF('ORDENES'!$A878="","",IF('ORDENES'!$O878="","-",'ORDENES'!$O878))</f>
        <v/>
      </c>
      <c r="B900" s="24">
        <f>IF('ORDENES'!$A878="","",IF('ORDENES'!$S878="","-",'ORDENES'!$S878))</f>
        <v/>
      </c>
      <c r="C900" s="24">
        <f>IF('ORDENES'!$A878="","",IF('ORDENES'!$AI878="","-",'ORDENES'!$AI878))</f>
        <v/>
      </c>
      <c r="D900" s="24">
        <f>IF('ORDENES'!$A878="","",IF('ORDENES'!$AA878="","-",'ORDENES'!$AA878))</f>
        <v/>
      </c>
      <c r="E900" s="24">
        <f>IF('ORDENES'!$A878="","",IF('ORDENES'!$Y878="","-",'ORDENES'!$Y878))</f>
        <v/>
      </c>
      <c r="F900" s="24">
        <f>IF('ORDENES'!$A878="","",IF('ORDENES'!$AB878="","-",'ORDENES'!$AB878))</f>
        <v/>
      </c>
      <c r="G900" s="24">
        <f>IF('ORDENES'!$A878="","",IF('ORDENES'!$Z878="","-",'ORDENES'!$Z878))</f>
        <v/>
      </c>
      <c r="H900" s="24">
        <f>IF('ORDENES'!$A878="","",IF('ORDENES'!$AH878="","-",'ORDENES'!$AH878))</f>
        <v/>
      </c>
      <c r="I900" s="24">
        <f>IF('ORDENES'!$A878="","",IF('ORDENES'!$AU878="","-",'ORDENES'!$AU878))</f>
        <v/>
      </c>
      <c r="J900" s="24">
        <f>IF('ORDENES'!$A878="","",IF('ORDENES'!$D878="","-",'ORDENES'!$D878))</f>
        <v/>
      </c>
      <c r="K900" s="24">
        <f>IF('ORDENES'!$A878="","",IF('ORDENES'!$E878="","-",'ORDENES'!$E878))</f>
        <v/>
      </c>
      <c r="L900" s="26">
        <f>IF('ORDENES'!$A878="","",IF('ORDENES'!$M878="",0,'ORDENES'!$M878))</f>
        <v/>
      </c>
      <c r="M900" s="24">
        <f>IF('ORDENES'!$A878="","",IF('ORDENES'!$N878="","-",'ORDENES'!$N878))</f>
        <v/>
      </c>
      <c r="N900" s="24">
        <f>IF('ORDENES'!$A878="","",'ORDENES'!$AG878)</f>
        <v/>
      </c>
    </row>
    <row r="901">
      <c r="A901" s="24">
        <f>IF('ORDENES'!$A879="","",IF('ORDENES'!$O879="","-",'ORDENES'!$O879))</f>
        <v/>
      </c>
      <c r="B901" s="24">
        <f>IF('ORDENES'!$A879="","",IF('ORDENES'!$S879="","-",'ORDENES'!$S879))</f>
        <v/>
      </c>
      <c r="C901" s="24">
        <f>IF('ORDENES'!$A879="","",IF('ORDENES'!$AI879="","-",'ORDENES'!$AI879))</f>
        <v/>
      </c>
      <c r="D901" s="24">
        <f>IF('ORDENES'!$A879="","",IF('ORDENES'!$AA879="","-",'ORDENES'!$AA879))</f>
        <v/>
      </c>
      <c r="E901" s="24">
        <f>IF('ORDENES'!$A879="","",IF('ORDENES'!$Y879="","-",'ORDENES'!$Y879))</f>
        <v/>
      </c>
      <c r="F901" s="24">
        <f>IF('ORDENES'!$A879="","",IF('ORDENES'!$AB879="","-",'ORDENES'!$AB879))</f>
        <v/>
      </c>
      <c r="G901" s="24">
        <f>IF('ORDENES'!$A879="","",IF('ORDENES'!$Z879="","-",'ORDENES'!$Z879))</f>
        <v/>
      </c>
      <c r="H901" s="24">
        <f>IF('ORDENES'!$A879="","",IF('ORDENES'!$AH879="","-",'ORDENES'!$AH879))</f>
        <v/>
      </c>
      <c r="I901" s="24">
        <f>IF('ORDENES'!$A879="","",IF('ORDENES'!$AU879="","-",'ORDENES'!$AU879))</f>
        <v/>
      </c>
      <c r="J901" s="24">
        <f>IF('ORDENES'!$A879="","",IF('ORDENES'!$D879="","-",'ORDENES'!$D879))</f>
        <v/>
      </c>
      <c r="K901" s="24">
        <f>IF('ORDENES'!$A879="","",IF('ORDENES'!$E879="","-",'ORDENES'!$E879))</f>
        <v/>
      </c>
      <c r="L901" s="26">
        <f>IF('ORDENES'!$A879="","",IF('ORDENES'!$M879="",0,'ORDENES'!$M879))</f>
        <v/>
      </c>
      <c r="M901" s="24">
        <f>IF('ORDENES'!$A879="","",IF('ORDENES'!$N879="","-",'ORDENES'!$N879))</f>
        <v/>
      </c>
      <c r="N901" s="24">
        <f>IF('ORDENES'!$A879="","",'ORDENES'!$AG879)</f>
        <v/>
      </c>
    </row>
    <row r="902">
      <c r="A902" s="24">
        <f>IF('ORDENES'!$A880="","",IF('ORDENES'!$O880="","-",'ORDENES'!$O880))</f>
        <v/>
      </c>
      <c r="B902" s="24">
        <f>IF('ORDENES'!$A880="","",IF('ORDENES'!$S880="","-",'ORDENES'!$S880))</f>
        <v/>
      </c>
      <c r="C902" s="24">
        <f>IF('ORDENES'!$A880="","",IF('ORDENES'!$AI880="","-",'ORDENES'!$AI880))</f>
        <v/>
      </c>
      <c r="D902" s="24">
        <f>IF('ORDENES'!$A880="","",IF('ORDENES'!$AA880="","-",'ORDENES'!$AA880))</f>
        <v/>
      </c>
      <c r="E902" s="24">
        <f>IF('ORDENES'!$A880="","",IF('ORDENES'!$Y880="","-",'ORDENES'!$Y880))</f>
        <v/>
      </c>
      <c r="F902" s="24">
        <f>IF('ORDENES'!$A880="","",IF('ORDENES'!$AB880="","-",'ORDENES'!$AB880))</f>
        <v/>
      </c>
      <c r="G902" s="24">
        <f>IF('ORDENES'!$A880="","",IF('ORDENES'!$Z880="","-",'ORDENES'!$Z880))</f>
        <v/>
      </c>
      <c r="H902" s="24">
        <f>IF('ORDENES'!$A880="","",IF('ORDENES'!$AH880="","-",'ORDENES'!$AH880))</f>
        <v/>
      </c>
      <c r="I902" s="24">
        <f>IF('ORDENES'!$A880="","",IF('ORDENES'!$AU880="","-",'ORDENES'!$AU880))</f>
        <v/>
      </c>
      <c r="J902" s="24">
        <f>IF('ORDENES'!$A880="","",IF('ORDENES'!$D880="","-",'ORDENES'!$D880))</f>
        <v/>
      </c>
      <c r="K902" s="24">
        <f>IF('ORDENES'!$A880="","",IF('ORDENES'!$E880="","-",'ORDENES'!$E880))</f>
        <v/>
      </c>
      <c r="L902" s="26">
        <f>IF('ORDENES'!$A880="","",IF('ORDENES'!$M880="",0,'ORDENES'!$M880))</f>
        <v/>
      </c>
      <c r="M902" s="24">
        <f>IF('ORDENES'!$A880="","",IF('ORDENES'!$N880="","-",'ORDENES'!$N880))</f>
        <v/>
      </c>
      <c r="N902" s="24">
        <f>IF('ORDENES'!$A880="","",'ORDENES'!$AG880)</f>
        <v/>
      </c>
    </row>
    <row r="903">
      <c r="A903" s="24">
        <f>IF('ORDENES'!$A881="","",IF('ORDENES'!$O881="","-",'ORDENES'!$O881))</f>
        <v/>
      </c>
      <c r="B903" s="24">
        <f>IF('ORDENES'!$A881="","",IF('ORDENES'!$S881="","-",'ORDENES'!$S881))</f>
        <v/>
      </c>
      <c r="C903" s="24">
        <f>IF('ORDENES'!$A881="","",IF('ORDENES'!$AI881="","-",'ORDENES'!$AI881))</f>
        <v/>
      </c>
      <c r="D903" s="24">
        <f>IF('ORDENES'!$A881="","",IF('ORDENES'!$AA881="","-",'ORDENES'!$AA881))</f>
        <v/>
      </c>
      <c r="E903" s="24">
        <f>IF('ORDENES'!$A881="","",IF('ORDENES'!$Y881="","-",'ORDENES'!$Y881))</f>
        <v/>
      </c>
      <c r="F903" s="24">
        <f>IF('ORDENES'!$A881="","",IF('ORDENES'!$AB881="","-",'ORDENES'!$AB881))</f>
        <v/>
      </c>
      <c r="G903" s="24">
        <f>IF('ORDENES'!$A881="","",IF('ORDENES'!$Z881="","-",'ORDENES'!$Z881))</f>
        <v/>
      </c>
      <c r="H903" s="24">
        <f>IF('ORDENES'!$A881="","",IF('ORDENES'!$AH881="","-",'ORDENES'!$AH881))</f>
        <v/>
      </c>
      <c r="I903" s="24">
        <f>IF('ORDENES'!$A881="","",IF('ORDENES'!$AU881="","-",'ORDENES'!$AU881))</f>
        <v/>
      </c>
      <c r="J903" s="24">
        <f>IF('ORDENES'!$A881="","",IF('ORDENES'!$D881="","-",'ORDENES'!$D881))</f>
        <v/>
      </c>
      <c r="K903" s="24">
        <f>IF('ORDENES'!$A881="","",IF('ORDENES'!$E881="","-",'ORDENES'!$E881))</f>
        <v/>
      </c>
      <c r="L903" s="26">
        <f>IF('ORDENES'!$A881="","",IF('ORDENES'!$M881="",0,'ORDENES'!$M881))</f>
        <v/>
      </c>
      <c r="M903" s="24">
        <f>IF('ORDENES'!$A881="","",IF('ORDENES'!$N881="","-",'ORDENES'!$N881))</f>
        <v/>
      </c>
      <c r="N903" s="24">
        <f>IF('ORDENES'!$A881="","",'ORDENES'!$AG881)</f>
        <v/>
      </c>
    </row>
    <row r="904">
      <c r="A904" s="24">
        <f>IF('ORDENES'!$A882="","",IF('ORDENES'!$O882="","-",'ORDENES'!$O882))</f>
        <v/>
      </c>
      <c r="B904" s="24">
        <f>IF('ORDENES'!$A882="","",IF('ORDENES'!$S882="","-",'ORDENES'!$S882))</f>
        <v/>
      </c>
      <c r="C904" s="24">
        <f>IF('ORDENES'!$A882="","",IF('ORDENES'!$AI882="","-",'ORDENES'!$AI882))</f>
        <v/>
      </c>
      <c r="D904" s="24">
        <f>IF('ORDENES'!$A882="","",IF('ORDENES'!$AA882="","-",'ORDENES'!$AA882))</f>
        <v/>
      </c>
      <c r="E904" s="24">
        <f>IF('ORDENES'!$A882="","",IF('ORDENES'!$Y882="","-",'ORDENES'!$Y882))</f>
        <v/>
      </c>
      <c r="F904" s="24">
        <f>IF('ORDENES'!$A882="","",IF('ORDENES'!$AB882="","-",'ORDENES'!$AB882))</f>
        <v/>
      </c>
      <c r="G904" s="24">
        <f>IF('ORDENES'!$A882="","",IF('ORDENES'!$Z882="","-",'ORDENES'!$Z882))</f>
        <v/>
      </c>
      <c r="H904" s="24">
        <f>IF('ORDENES'!$A882="","",IF('ORDENES'!$AH882="","-",'ORDENES'!$AH882))</f>
        <v/>
      </c>
      <c r="I904" s="24">
        <f>IF('ORDENES'!$A882="","",IF('ORDENES'!$AU882="","-",'ORDENES'!$AU882))</f>
        <v/>
      </c>
      <c r="J904" s="24">
        <f>IF('ORDENES'!$A882="","",IF('ORDENES'!$D882="","-",'ORDENES'!$D882))</f>
        <v/>
      </c>
      <c r="K904" s="24">
        <f>IF('ORDENES'!$A882="","",IF('ORDENES'!$E882="","-",'ORDENES'!$E882))</f>
        <v/>
      </c>
      <c r="L904" s="26">
        <f>IF('ORDENES'!$A882="","",IF('ORDENES'!$M882="",0,'ORDENES'!$M882))</f>
        <v/>
      </c>
      <c r="M904" s="24">
        <f>IF('ORDENES'!$A882="","",IF('ORDENES'!$N882="","-",'ORDENES'!$N882))</f>
        <v/>
      </c>
      <c r="N904" s="24">
        <f>IF('ORDENES'!$A882="","",'ORDENES'!$AG882)</f>
        <v/>
      </c>
    </row>
    <row r="905">
      <c r="A905" s="24">
        <f>IF('ORDENES'!$A883="","",IF('ORDENES'!$O883="","-",'ORDENES'!$O883))</f>
        <v/>
      </c>
      <c r="B905" s="24">
        <f>IF('ORDENES'!$A883="","",IF('ORDENES'!$S883="","-",'ORDENES'!$S883))</f>
        <v/>
      </c>
      <c r="C905" s="24">
        <f>IF('ORDENES'!$A883="","",IF('ORDENES'!$AI883="","-",'ORDENES'!$AI883))</f>
        <v/>
      </c>
      <c r="D905" s="24">
        <f>IF('ORDENES'!$A883="","",IF('ORDENES'!$AA883="","-",'ORDENES'!$AA883))</f>
        <v/>
      </c>
      <c r="E905" s="24">
        <f>IF('ORDENES'!$A883="","",IF('ORDENES'!$Y883="","-",'ORDENES'!$Y883))</f>
        <v/>
      </c>
      <c r="F905" s="24">
        <f>IF('ORDENES'!$A883="","",IF('ORDENES'!$AB883="","-",'ORDENES'!$AB883))</f>
        <v/>
      </c>
      <c r="G905" s="24">
        <f>IF('ORDENES'!$A883="","",IF('ORDENES'!$Z883="","-",'ORDENES'!$Z883))</f>
        <v/>
      </c>
      <c r="H905" s="24">
        <f>IF('ORDENES'!$A883="","",IF('ORDENES'!$AH883="","-",'ORDENES'!$AH883))</f>
        <v/>
      </c>
      <c r="I905" s="24">
        <f>IF('ORDENES'!$A883="","",IF('ORDENES'!$AU883="","-",'ORDENES'!$AU883))</f>
        <v/>
      </c>
      <c r="J905" s="24">
        <f>IF('ORDENES'!$A883="","",IF('ORDENES'!$D883="","-",'ORDENES'!$D883))</f>
        <v/>
      </c>
      <c r="K905" s="24">
        <f>IF('ORDENES'!$A883="","",IF('ORDENES'!$E883="","-",'ORDENES'!$E883))</f>
        <v/>
      </c>
      <c r="L905" s="26">
        <f>IF('ORDENES'!$A883="","",IF('ORDENES'!$M883="",0,'ORDENES'!$M883))</f>
        <v/>
      </c>
      <c r="M905" s="24">
        <f>IF('ORDENES'!$A883="","",IF('ORDENES'!$N883="","-",'ORDENES'!$N883))</f>
        <v/>
      </c>
      <c r="N905" s="24">
        <f>IF('ORDENES'!$A883="","",'ORDENES'!$AG883)</f>
        <v/>
      </c>
    </row>
    <row r="906">
      <c r="A906" s="24">
        <f>IF('ORDENES'!$A884="","",IF('ORDENES'!$O884="","-",'ORDENES'!$O884))</f>
        <v/>
      </c>
      <c r="B906" s="24">
        <f>IF('ORDENES'!$A884="","",IF('ORDENES'!$S884="","-",'ORDENES'!$S884))</f>
        <v/>
      </c>
      <c r="C906" s="24">
        <f>IF('ORDENES'!$A884="","",IF('ORDENES'!$AI884="","-",'ORDENES'!$AI884))</f>
        <v/>
      </c>
      <c r="D906" s="24">
        <f>IF('ORDENES'!$A884="","",IF('ORDENES'!$AA884="","-",'ORDENES'!$AA884))</f>
        <v/>
      </c>
      <c r="E906" s="24">
        <f>IF('ORDENES'!$A884="","",IF('ORDENES'!$Y884="","-",'ORDENES'!$Y884))</f>
        <v/>
      </c>
      <c r="F906" s="24">
        <f>IF('ORDENES'!$A884="","",IF('ORDENES'!$AB884="","-",'ORDENES'!$AB884))</f>
        <v/>
      </c>
      <c r="G906" s="24">
        <f>IF('ORDENES'!$A884="","",IF('ORDENES'!$Z884="","-",'ORDENES'!$Z884))</f>
        <v/>
      </c>
      <c r="H906" s="24">
        <f>IF('ORDENES'!$A884="","",IF('ORDENES'!$AH884="","-",'ORDENES'!$AH884))</f>
        <v/>
      </c>
      <c r="I906" s="24">
        <f>IF('ORDENES'!$A884="","",IF('ORDENES'!$AU884="","-",'ORDENES'!$AU884))</f>
        <v/>
      </c>
      <c r="J906" s="24">
        <f>IF('ORDENES'!$A884="","",IF('ORDENES'!$D884="","-",'ORDENES'!$D884))</f>
        <v/>
      </c>
      <c r="K906" s="24">
        <f>IF('ORDENES'!$A884="","",IF('ORDENES'!$E884="","-",'ORDENES'!$E884))</f>
        <v/>
      </c>
      <c r="L906" s="26">
        <f>IF('ORDENES'!$A884="","",IF('ORDENES'!$M884="",0,'ORDENES'!$M884))</f>
        <v/>
      </c>
      <c r="M906" s="24">
        <f>IF('ORDENES'!$A884="","",IF('ORDENES'!$N884="","-",'ORDENES'!$N884))</f>
        <v/>
      </c>
      <c r="N906" s="24">
        <f>IF('ORDENES'!$A884="","",'ORDENES'!$AG884)</f>
        <v/>
      </c>
    </row>
    <row r="907">
      <c r="A907" s="24">
        <f>IF('ORDENES'!$A885="","",IF('ORDENES'!$O885="","-",'ORDENES'!$O885))</f>
        <v/>
      </c>
      <c r="B907" s="24">
        <f>IF('ORDENES'!$A885="","",IF('ORDENES'!$S885="","-",'ORDENES'!$S885))</f>
        <v/>
      </c>
      <c r="C907" s="24">
        <f>IF('ORDENES'!$A885="","",IF('ORDENES'!$AI885="","-",'ORDENES'!$AI885))</f>
        <v/>
      </c>
      <c r="D907" s="24">
        <f>IF('ORDENES'!$A885="","",IF('ORDENES'!$AA885="","-",'ORDENES'!$AA885))</f>
        <v/>
      </c>
      <c r="E907" s="24">
        <f>IF('ORDENES'!$A885="","",IF('ORDENES'!$Y885="","-",'ORDENES'!$Y885))</f>
        <v/>
      </c>
      <c r="F907" s="24">
        <f>IF('ORDENES'!$A885="","",IF('ORDENES'!$AB885="","-",'ORDENES'!$AB885))</f>
        <v/>
      </c>
      <c r="G907" s="24">
        <f>IF('ORDENES'!$A885="","",IF('ORDENES'!$Z885="","-",'ORDENES'!$Z885))</f>
        <v/>
      </c>
      <c r="H907" s="24">
        <f>IF('ORDENES'!$A885="","",IF('ORDENES'!$AH885="","-",'ORDENES'!$AH885))</f>
        <v/>
      </c>
      <c r="I907" s="24">
        <f>IF('ORDENES'!$A885="","",IF('ORDENES'!$AU885="","-",'ORDENES'!$AU885))</f>
        <v/>
      </c>
      <c r="J907" s="24">
        <f>IF('ORDENES'!$A885="","",IF('ORDENES'!$D885="","-",'ORDENES'!$D885))</f>
        <v/>
      </c>
      <c r="K907" s="24">
        <f>IF('ORDENES'!$A885="","",IF('ORDENES'!$E885="","-",'ORDENES'!$E885))</f>
        <v/>
      </c>
      <c r="L907" s="26">
        <f>IF('ORDENES'!$A885="","",IF('ORDENES'!$M885="",0,'ORDENES'!$M885))</f>
        <v/>
      </c>
      <c r="M907" s="24">
        <f>IF('ORDENES'!$A885="","",IF('ORDENES'!$N885="","-",'ORDENES'!$N885))</f>
        <v/>
      </c>
      <c r="N907" s="24">
        <f>IF('ORDENES'!$A885="","",'ORDENES'!$AG885)</f>
        <v/>
      </c>
    </row>
    <row r="908">
      <c r="A908" s="24">
        <f>IF('ORDENES'!$A886="","",IF('ORDENES'!$O886="","-",'ORDENES'!$O886))</f>
        <v/>
      </c>
      <c r="B908" s="24">
        <f>IF('ORDENES'!$A886="","",IF('ORDENES'!$S886="","-",'ORDENES'!$S886))</f>
        <v/>
      </c>
      <c r="C908" s="24">
        <f>IF('ORDENES'!$A886="","",IF('ORDENES'!$AI886="","-",'ORDENES'!$AI886))</f>
        <v/>
      </c>
      <c r="D908" s="24">
        <f>IF('ORDENES'!$A886="","",IF('ORDENES'!$AA886="","-",'ORDENES'!$AA886))</f>
        <v/>
      </c>
      <c r="E908" s="24">
        <f>IF('ORDENES'!$A886="","",IF('ORDENES'!$Y886="","-",'ORDENES'!$Y886))</f>
        <v/>
      </c>
      <c r="F908" s="24">
        <f>IF('ORDENES'!$A886="","",IF('ORDENES'!$AB886="","-",'ORDENES'!$AB886))</f>
        <v/>
      </c>
      <c r="G908" s="24">
        <f>IF('ORDENES'!$A886="","",IF('ORDENES'!$Z886="","-",'ORDENES'!$Z886))</f>
        <v/>
      </c>
      <c r="H908" s="24">
        <f>IF('ORDENES'!$A886="","",IF('ORDENES'!$AH886="","-",'ORDENES'!$AH886))</f>
        <v/>
      </c>
      <c r="I908" s="24">
        <f>IF('ORDENES'!$A886="","",IF('ORDENES'!$AU886="","-",'ORDENES'!$AU886))</f>
        <v/>
      </c>
      <c r="J908" s="24">
        <f>IF('ORDENES'!$A886="","",IF('ORDENES'!$D886="","-",'ORDENES'!$D886))</f>
        <v/>
      </c>
      <c r="K908" s="24">
        <f>IF('ORDENES'!$A886="","",IF('ORDENES'!$E886="","-",'ORDENES'!$E886))</f>
        <v/>
      </c>
      <c r="L908" s="26">
        <f>IF('ORDENES'!$A886="","",IF('ORDENES'!$M886="",0,'ORDENES'!$M886))</f>
        <v/>
      </c>
      <c r="M908" s="24">
        <f>IF('ORDENES'!$A886="","",IF('ORDENES'!$N886="","-",'ORDENES'!$N886))</f>
        <v/>
      </c>
      <c r="N908" s="24">
        <f>IF('ORDENES'!$A886="","",'ORDENES'!$AG886)</f>
        <v/>
      </c>
    </row>
    <row r="909">
      <c r="A909" s="24">
        <f>IF('ORDENES'!$A887="","",IF('ORDENES'!$O887="","-",'ORDENES'!$O887))</f>
        <v/>
      </c>
      <c r="B909" s="24">
        <f>IF('ORDENES'!$A887="","",IF('ORDENES'!$S887="","-",'ORDENES'!$S887))</f>
        <v/>
      </c>
      <c r="C909" s="24">
        <f>IF('ORDENES'!$A887="","",IF('ORDENES'!$AI887="","-",'ORDENES'!$AI887))</f>
        <v/>
      </c>
      <c r="D909" s="24">
        <f>IF('ORDENES'!$A887="","",IF('ORDENES'!$AA887="","-",'ORDENES'!$AA887))</f>
        <v/>
      </c>
      <c r="E909" s="24">
        <f>IF('ORDENES'!$A887="","",IF('ORDENES'!$Y887="","-",'ORDENES'!$Y887))</f>
        <v/>
      </c>
      <c r="F909" s="24">
        <f>IF('ORDENES'!$A887="","",IF('ORDENES'!$AB887="","-",'ORDENES'!$AB887))</f>
        <v/>
      </c>
      <c r="G909" s="24">
        <f>IF('ORDENES'!$A887="","",IF('ORDENES'!$Z887="","-",'ORDENES'!$Z887))</f>
        <v/>
      </c>
      <c r="H909" s="24">
        <f>IF('ORDENES'!$A887="","",IF('ORDENES'!$AH887="","-",'ORDENES'!$AH887))</f>
        <v/>
      </c>
      <c r="I909" s="24">
        <f>IF('ORDENES'!$A887="","",IF('ORDENES'!$AU887="","-",'ORDENES'!$AU887))</f>
        <v/>
      </c>
      <c r="J909" s="24">
        <f>IF('ORDENES'!$A887="","",IF('ORDENES'!$D887="","-",'ORDENES'!$D887))</f>
        <v/>
      </c>
      <c r="K909" s="24">
        <f>IF('ORDENES'!$A887="","",IF('ORDENES'!$E887="","-",'ORDENES'!$E887))</f>
        <v/>
      </c>
      <c r="L909" s="26">
        <f>IF('ORDENES'!$A887="","",IF('ORDENES'!$M887="",0,'ORDENES'!$M887))</f>
        <v/>
      </c>
      <c r="M909" s="24">
        <f>IF('ORDENES'!$A887="","",IF('ORDENES'!$N887="","-",'ORDENES'!$N887))</f>
        <v/>
      </c>
      <c r="N909" s="24">
        <f>IF('ORDENES'!$A887="","",'ORDENES'!$AG887)</f>
        <v/>
      </c>
    </row>
    <row r="910">
      <c r="A910" s="24">
        <f>IF('ORDENES'!$A888="","",IF('ORDENES'!$O888="","-",'ORDENES'!$O888))</f>
        <v/>
      </c>
      <c r="B910" s="24">
        <f>IF('ORDENES'!$A888="","",IF('ORDENES'!$S888="","-",'ORDENES'!$S888))</f>
        <v/>
      </c>
      <c r="C910" s="24">
        <f>IF('ORDENES'!$A888="","",IF('ORDENES'!$AI888="","-",'ORDENES'!$AI888))</f>
        <v/>
      </c>
      <c r="D910" s="24">
        <f>IF('ORDENES'!$A888="","",IF('ORDENES'!$AA888="","-",'ORDENES'!$AA888))</f>
        <v/>
      </c>
      <c r="E910" s="24">
        <f>IF('ORDENES'!$A888="","",IF('ORDENES'!$Y888="","-",'ORDENES'!$Y888))</f>
        <v/>
      </c>
      <c r="F910" s="24">
        <f>IF('ORDENES'!$A888="","",IF('ORDENES'!$AB888="","-",'ORDENES'!$AB888))</f>
        <v/>
      </c>
      <c r="G910" s="24">
        <f>IF('ORDENES'!$A888="","",IF('ORDENES'!$Z888="","-",'ORDENES'!$Z888))</f>
        <v/>
      </c>
      <c r="H910" s="24">
        <f>IF('ORDENES'!$A888="","",IF('ORDENES'!$AH888="","-",'ORDENES'!$AH888))</f>
        <v/>
      </c>
      <c r="I910" s="24">
        <f>IF('ORDENES'!$A888="","",IF('ORDENES'!$AU888="","-",'ORDENES'!$AU888))</f>
        <v/>
      </c>
      <c r="J910" s="24">
        <f>IF('ORDENES'!$A888="","",IF('ORDENES'!$D888="","-",'ORDENES'!$D888))</f>
        <v/>
      </c>
      <c r="K910" s="24">
        <f>IF('ORDENES'!$A888="","",IF('ORDENES'!$E888="","-",'ORDENES'!$E888))</f>
        <v/>
      </c>
      <c r="L910" s="26">
        <f>IF('ORDENES'!$A888="","",IF('ORDENES'!$M888="",0,'ORDENES'!$M888))</f>
        <v/>
      </c>
      <c r="M910" s="24">
        <f>IF('ORDENES'!$A888="","",IF('ORDENES'!$N888="","-",'ORDENES'!$N888))</f>
        <v/>
      </c>
      <c r="N910" s="24">
        <f>IF('ORDENES'!$A888="","",'ORDENES'!$AG888)</f>
        <v/>
      </c>
    </row>
    <row r="911">
      <c r="A911" s="24">
        <f>IF('ORDENES'!$A889="","",IF('ORDENES'!$O889="","-",'ORDENES'!$O889))</f>
        <v/>
      </c>
      <c r="B911" s="24">
        <f>IF('ORDENES'!$A889="","",IF('ORDENES'!$S889="","-",'ORDENES'!$S889))</f>
        <v/>
      </c>
      <c r="C911" s="24">
        <f>IF('ORDENES'!$A889="","",IF('ORDENES'!$AI889="","-",'ORDENES'!$AI889))</f>
        <v/>
      </c>
      <c r="D911" s="24">
        <f>IF('ORDENES'!$A889="","",IF('ORDENES'!$AA889="","-",'ORDENES'!$AA889))</f>
        <v/>
      </c>
      <c r="E911" s="24">
        <f>IF('ORDENES'!$A889="","",IF('ORDENES'!$Y889="","-",'ORDENES'!$Y889))</f>
        <v/>
      </c>
      <c r="F911" s="24">
        <f>IF('ORDENES'!$A889="","",IF('ORDENES'!$AB889="","-",'ORDENES'!$AB889))</f>
        <v/>
      </c>
      <c r="G911" s="24">
        <f>IF('ORDENES'!$A889="","",IF('ORDENES'!$Z889="","-",'ORDENES'!$Z889))</f>
        <v/>
      </c>
      <c r="H911" s="24">
        <f>IF('ORDENES'!$A889="","",IF('ORDENES'!$AH889="","-",'ORDENES'!$AH889))</f>
        <v/>
      </c>
      <c r="I911" s="24">
        <f>IF('ORDENES'!$A889="","",IF('ORDENES'!$AU889="","-",'ORDENES'!$AU889))</f>
        <v/>
      </c>
      <c r="J911" s="24">
        <f>IF('ORDENES'!$A889="","",IF('ORDENES'!$D889="","-",'ORDENES'!$D889))</f>
        <v/>
      </c>
      <c r="K911" s="24">
        <f>IF('ORDENES'!$A889="","",IF('ORDENES'!$E889="","-",'ORDENES'!$E889))</f>
        <v/>
      </c>
      <c r="L911" s="26">
        <f>IF('ORDENES'!$A889="","",IF('ORDENES'!$M889="",0,'ORDENES'!$M889))</f>
        <v/>
      </c>
      <c r="M911" s="24">
        <f>IF('ORDENES'!$A889="","",IF('ORDENES'!$N889="","-",'ORDENES'!$N889))</f>
        <v/>
      </c>
      <c r="N911" s="24">
        <f>IF('ORDENES'!$A889="","",'ORDENES'!$AG889)</f>
        <v/>
      </c>
    </row>
    <row r="912">
      <c r="A912" s="24">
        <f>IF('ORDENES'!$A890="","",IF('ORDENES'!$O890="","-",'ORDENES'!$O890))</f>
        <v/>
      </c>
      <c r="B912" s="24">
        <f>IF('ORDENES'!$A890="","",IF('ORDENES'!$S890="","-",'ORDENES'!$S890))</f>
        <v/>
      </c>
      <c r="C912" s="24">
        <f>IF('ORDENES'!$A890="","",IF('ORDENES'!$AI890="","-",'ORDENES'!$AI890))</f>
        <v/>
      </c>
      <c r="D912" s="24">
        <f>IF('ORDENES'!$A890="","",IF('ORDENES'!$AA890="","-",'ORDENES'!$AA890))</f>
        <v/>
      </c>
      <c r="E912" s="24">
        <f>IF('ORDENES'!$A890="","",IF('ORDENES'!$Y890="","-",'ORDENES'!$Y890))</f>
        <v/>
      </c>
      <c r="F912" s="24">
        <f>IF('ORDENES'!$A890="","",IF('ORDENES'!$AB890="","-",'ORDENES'!$AB890))</f>
        <v/>
      </c>
      <c r="G912" s="24">
        <f>IF('ORDENES'!$A890="","",IF('ORDENES'!$Z890="","-",'ORDENES'!$Z890))</f>
        <v/>
      </c>
      <c r="H912" s="24">
        <f>IF('ORDENES'!$A890="","",IF('ORDENES'!$AH890="","-",'ORDENES'!$AH890))</f>
        <v/>
      </c>
      <c r="I912" s="24">
        <f>IF('ORDENES'!$A890="","",IF('ORDENES'!$AU890="","-",'ORDENES'!$AU890))</f>
        <v/>
      </c>
      <c r="J912" s="24">
        <f>IF('ORDENES'!$A890="","",IF('ORDENES'!$D890="","-",'ORDENES'!$D890))</f>
        <v/>
      </c>
      <c r="K912" s="24">
        <f>IF('ORDENES'!$A890="","",IF('ORDENES'!$E890="","-",'ORDENES'!$E890))</f>
        <v/>
      </c>
      <c r="L912" s="26">
        <f>IF('ORDENES'!$A890="","",IF('ORDENES'!$M890="",0,'ORDENES'!$M890))</f>
        <v/>
      </c>
      <c r="M912" s="24">
        <f>IF('ORDENES'!$A890="","",IF('ORDENES'!$N890="","-",'ORDENES'!$N890))</f>
        <v/>
      </c>
      <c r="N912" s="24">
        <f>IF('ORDENES'!$A890="","",'ORDENES'!$AG890)</f>
        <v/>
      </c>
    </row>
    <row r="913">
      <c r="A913" s="24">
        <f>IF('ORDENES'!$A891="","",IF('ORDENES'!$O891="","-",'ORDENES'!$O891))</f>
        <v/>
      </c>
      <c r="B913" s="24">
        <f>IF('ORDENES'!$A891="","",IF('ORDENES'!$S891="","-",'ORDENES'!$S891))</f>
        <v/>
      </c>
      <c r="C913" s="24">
        <f>IF('ORDENES'!$A891="","",IF('ORDENES'!$AI891="","-",'ORDENES'!$AI891))</f>
        <v/>
      </c>
      <c r="D913" s="24">
        <f>IF('ORDENES'!$A891="","",IF('ORDENES'!$AA891="","-",'ORDENES'!$AA891))</f>
        <v/>
      </c>
      <c r="E913" s="24">
        <f>IF('ORDENES'!$A891="","",IF('ORDENES'!$Y891="","-",'ORDENES'!$Y891))</f>
        <v/>
      </c>
      <c r="F913" s="24">
        <f>IF('ORDENES'!$A891="","",IF('ORDENES'!$AB891="","-",'ORDENES'!$AB891))</f>
        <v/>
      </c>
      <c r="G913" s="24">
        <f>IF('ORDENES'!$A891="","",IF('ORDENES'!$Z891="","-",'ORDENES'!$Z891))</f>
        <v/>
      </c>
      <c r="H913" s="24">
        <f>IF('ORDENES'!$A891="","",IF('ORDENES'!$AH891="","-",'ORDENES'!$AH891))</f>
        <v/>
      </c>
      <c r="I913" s="24">
        <f>IF('ORDENES'!$A891="","",IF('ORDENES'!$AU891="","-",'ORDENES'!$AU891))</f>
        <v/>
      </c>
      <c r="J913" s="24">
        <f>IF('ORDENES'!$A891="","",IF('ORDENES'!$D891="","-",'ORDENES'!$D891))</f>
        <v/>
      </c>
      <c r="K913" s="24">
        <f>IF('ORDENES'!$A891="","",IF('ORDENES'!$E891="","-",'ORDENES'!$E891))</f>
        <v/>
      </c>
      <c r="L913" s="26">
        <f>IF('ORDENES'!$A891="","",IF('ORDENES'!$M891="",0,'ORDENES'!$M891))</f>
        <v/>
      </c>
      <c r="M913" s="24">
        <f>IF('ORDENES'!$A891="","",IF('ORDENES'!$N891="","-",'ORDENES'!$N891))</f>
        <v/>
      </c>
      <c r="N913" s="24">
        <f>IF('ORDENES'!$A891="","",'ORDENES'!$AG891)</f>
        <v/>
      </c>
    </row>
    <row r="914">
      <c r="A914" s="24">
        <f>IF('ORDENES'!$A892="","",IF('ORDENES'!$O892="","-",'ORDENES'!$O892))</f>
        <v/>
      </c>
      <c r="B914" s="24">
        <f>IF('ORDENES'!$A892="","",IF('ORDENES'!$S892="","-",'ORDENES'!$S892))</f>
        <v/>
      </c>
      <c r="C914" s="24">
        <f>IF('ORDENES'!$A892="","",IF('ORDENES'!$AI892="","-",'ORDENES'!$AI892))</f>
        <v/>
      </c>
      <c r="D914" s="24">
        <f>IF('ORDENES'!$A892="","",IF('ORDENES'!$AA892="","-",'ORDENES'!$AA892))</f>
        <v/>
      </c>
      <c r="E914" s="24">
        <f>IF('ORDENES'!$A892="","",IF('ORDENES'!$Y892="","-",'ORDENES'!$Y892))</f>
        <v/>
      </c>
      <c r="F914" s="24">
        <f>IF('ORDENES'!$A892="","",IF('ORDENES'!$AB892="","-",'ORDENES'!$AB892))</f>
        <v/>
      </c>
      <c r="G914" s="24">
        <f>IF('ORDENES'!$A892="","",IF('ORDENES'!$Z892="","-",'ORDENES'!$Z892))</f>
        <v/>
      </c>
      <c r="H914" s="24">
        <f>IF('ORDENES'!$A892="","",IF('ORDENES'!$AH892="","-",'ORDENES'!$AH892))</f>
        <v/>
      </c>
      <c r="I914" s="24">
        <f>IF('ORDENES'!$A892="","",IF('ORDENES'!$AU892="","-",'ORDENES'!$AU892))</f>
        <v/>
      </c>
      <c r="J914" s="24">
        <f>IF('ORDENES'!$A892="","",IF('ORDENES'!$D892="","-",'ORDENES'!$D892))</f>
        <v/>
      </c>
      <c r="K914" s="24">
        <f>IF('ORDENES'!$A892="","",IF('ORDENES'!$E892="","-",'ORDENES'!$E892))</f>
        <v/>
      </c>
      <c r="L914" s="26">
        <f>IF('ORDENES'!$A892="","",IF('ORDENES'!$M892="",0,'ORDENES'!$M892))</f>
        <v/>
      </c>
      <c r="M914" s="24">
        <f>IF('ORDENES'!$A892="","",IF('ORDENES'!$N892="","-",'ORDENES'!$N892))</f>
        <v/>
      </c>
      <c r="N914" s="24">
        <f>IF('ORDENES'!$A892="","",'ORDENES'!$AG892)</f>
        <v/>
      </c>
    </row>
    <row r="915">
      <c r="A915" s="24">
        <f>IF('ORDENES'!$A893="","",IF('ORDENES'!$O893="","-",'ORDENES'!$O893))</f>
        <v/>
      </c>
      <c r="B915" s="24">
        <f>IF('ORDENES'!$A893="","",IF('ORDENES'!$S893="","-",'ORDENES'!$S893))</f>
        <v/>
      </c>
      <c r="C915" s="24">
        <f>IF('ORDENES'!$A893="","",IF('ORDENES'!$AI893="","-",'ORDENES'!$AI893))</f>
        <v/>
      </c>
      <c r="D915" s="24">
        <f>IF('ORDENES'!$A893="","",IF('ORDENES'!$AA893="","-",'ORDENES'!$AA893))</f>
        <v/>
      </c>
      <c r="E915" s="24">
        <f>IF('ORDENES'!$A893="","",IF('ORDENES'!$Y893="","-",'ORDENES'!$Y893))</f>
        <v/>
      </c>
      <c r="F915" s="24">
        <f>IF('ORDENES'!$A893="","",IF('ORDENES'!$AB893="","-",'ORDENES'!$AB893))</f>
        <v/>
      </c>
      <c r="G915" s="24">
        <f>IF('ORDENES'!$A893="","",IF('ORDENES'!$Z893="","-",'ORDENES'!$Z893))</f>
        <v/>
      </c>
      <c r="H915" s="24">
        <f>IF('ORDENES'!$A893="","",IF('ORDENES'!$AH893="","-",'ORDENES'!$AH893))</f>
        <v/>
      </c>
      <c r="I915" s="24">
        <f>IF('ORDENES'!$A893="","",IF('ORDENES'!$AU893="","-",'ORDENES'!$AU893))</f>
        <v/>
      </c>
      <c r="J915" s="24">
        <f>IF('ORDENES'!$A893="","",IF('ORDENES'!$D893="","-",'ORDENES'!$D893))</f>
        <v/>
      </c>
      <c r="K915" s="24">
        <f>IF('ORDENES'!$A893="","",IF('ORDENES'!$E893="","-",'ORDENES'!$E893))</f>
        <v/>
      </c>
      <c r="L915" s="26">
        <f>IF('ORDENES'!$A893="","",IF('ORDENES'!$M893="",0,'ORDENES'!$M893))</f>
        <v/>
      </c>
      <c r="M915" s="24">
        <f>IF('ORDENES'!$A893="","",IF('ORDENES'!$N893="","-",'ORDENES'!$N893))</f>
        <v/>
      </c>
      <c r="N915" s="24">
        <f>IF('ORDENES'!$A893="","",'ORDENES'!$AG893)</f>
        <v/>
      </c>
    </row>
    <row r="916">
      <c r="A916" s="24">
        <f>IF('ORDENES'!$A894="","",IF('ORDENES'!$O894="","-",'ORDENES'!$O894))</f>
        <v/>
      </c>
      <c r="B916" s="24">
        <f>IF('ORDENES'!$A894="","",IF('ORDENES'!$S894="","-",'ORDENES'!$S894))</f>
        <v/>
      </c>
      <c r="C916" s="24">
        <f>IF('ORDENES'!$A894="","",IF('ORDENES'!$AI894="","-",'ORDENES'!$AI894))</f>
        <v/>
      </c>
      <c r="D916" s="24">
        <f>IF('ORDENES'!$A894="","",IF('ORDENES'!$AA894="","-",'ORDENES'!$AA894))</f>
        <v/>
      </c>
      <c r="E916" s="24">
        <f>IF('ORDENES'!$A894="","",IF('ORDENES'!$Y894="","-",'ORDENES'!$Y894))</f>
        <v/>
      </c>
      <c r="F916" s="24">
        <f>IF('ORDENES'!$A894="","",IF('ORDENES'!$AB894="","-",'ORDENES'!$AB894))</f>
        <v/>
      </c>
      <c r="G916" s="24">
        <f>IF('ORDENES'!$A894="","",IF('ORDENES'!$Z894="","-",'ORDENES'!$Z894))</f>
        <v/>
      </c>
      <c r="H916" s="24">
        <f>IF('ORDENES'!$A894="","",IF('ORDENES'!$AH894="","-",'ORDENES'!$AH894))</f>
        <v/>
      </c>
      <c r="I916" s="24">
        <f>IF('ORDENES'!$A894="","",IF('ORDENES'!$AU894="","-",'ORDENES'!$AU894))</f>
        <v/>
      </c>
      <c r="J916" s="24">
        <f>IF('ORDENES'!$A894="","",IF('ORDENES'!$D894="","-",'ORDENES'!$D894))</f>
        <v/>
      </c>
      <c r="K916" s="24">
        <f>IF('ORDENES'!$A894="","",IF('ORDENES'!$E894="","-",'ORDENES'!$E894))</f>
        <v/>
      </c>
      <c r="L916" s="26">
        <f>IF('ORDENES'!$A894="","",IF('ORDENES'!$M894="",0,'ORDENES'!$M894))</f>
        <v/>
      </c>
      <c r="M916" s="24">
        <f>IF('ORDENES'!$A894="","",IF('ORDENES'!$N894="","-",'ORDENES'!$N894))</f>
        <v/>
      </c>
      <c r="N916" s="24">
        <f>IF('ORDENES'!$A894="","",'ORDENES'!$AG894)</f>
        <v/>
      </c>
    </row>
    <row r="917">
      <c r="A917" s="24">
        <f>IF('ORDENES'!$A895="","",IF('ORDENES'!$O895="","-",'ORDENES'!$O895))</f>
        <v/>
      </c>
      <c r="B917" s="24">
        <f>IF('ORDENES'!$A895="","",IF('ORDENES'!$S895="","-",'ORDENES'!$S895))</f>
        <v/>
      </c>
      <c r="C917" s="24">
        <f>IF('ORDENES'!$A895="","",IF('ORDENES'!$AI895="","-",'ORDENES'!$AI895))</f>
        <v/>
      </c>
      <c r="D917" s="24">
        <f>IF('ORDENES'!$A895="","",IF('ORDENES'!$AA895="","-",'ORDENES'!$AA895))</f>
        <v/>
      </c>
      <c r="E917" s="24">
        <f>IF('ORDENES'!$A895="","",IF('ORDENES'!$Y895="","-",'ORDENES'!$Y895))</f>
        <v/>
      </c>
      <c r="F917" s="24">
        <f>IF('ORDENES'!$A895="","",IF('ORDENES'!$AB895="","-",'ORDENES'!$AB895))</f>
        <v/>
      </c>
      <c r="G917" s="24">
        <f>IF('ORDENES'!$A895="","",IF('ORDENES'!$Z895="","-",'ORDENES'!$Z895))</f>
        <v/>
      </c>
      <c r="H917" s="24">
        <f>IF('ORDENES'!$A895="","",IF('ORDENES'!$AH895="","-",'ORDENES'!$AH895))</f>
        <v/>
      </c>
      <c r="I917" s="24">
        <f>IF('ORDENES'!$A895="","",IF('ORDENES'!$AU895="","-",'ORDENES'!$AU895))</f>
        <v/>
      </c>
      <c r="J917" s="24">
        <f>IF('ORDENES'!$A895="","",IF('ORDENES'!$D895="","-",'ORDENES'!$D895))</f>
        <v/>
      </c>
      <c r="K917" s="24">
        <f>IF('ORDENES'!$A895="","",IF('ORDENES'!$E895="","-",'ORDENES'!$E895))</f>
        <v/>
      </c>
      <c r="L917" s="26">
        <f>IF('ORDENES'!$A895="","",IF('ORDENES'!$M895="",0,'ORDENES'!$M895))</f>
        <v/>
      </c>
      <c r="M917" s="24">
        <f>IF('ORDENES'!$A895="","",IF('ORDENES'!$N895="","-",'ORDENES'!$N895))</f>
        <v/>
      </c>
      <c r="N917" s="24">
        <f>IF('ORDENES'!$A895="","",'ORDENES'!$AG895)</f>
        <v/>
      </c>
    </row>
    <row r="918">
      <c r="A918" s="24">
        <f>IF('ORDENES'!$A896="","",IF('ORDENES'!$O896="","-",'ORDENES'!$O896))</f>
        <v/>
      </c>
      <c r="B918" s="24">
        <f>IF('ORDENES'!$A896="","",IF('ORDENES'!$S896="","-",'ORDENES'!$S896))</f>
        <v/>
      </c>
      <c r="C918" s="24">
        <f>IF('ORDENES'!$A896="","",IF('ORDENES'!$AI896="","-",'ORDENES'!$AI896))</f>
        <v/>
      </c>
      <c r="D918" s="24">
        <f>IF('ORDENES'!$A896="","",IF('ORDENES'!$AA896="","-",'ORDENES'!$AA896))</f>
        <v/>
      </c>
      <c r="E918" s="24">
        <f>IF('ORDENES'!$A896="","",IF('ORDENES'!$Y896="","-",'ORDENES'!$Y896))</f>
        <v/>
      </c>
      <c r="F918" s="24">
        <f>IF('ORDENES'!$A896="","",IF('ORDENES'!$AB896="","-",'ORDENES'!$AB896))</f>
        <v/>
      </c>
      <c r="G918" s="24">
        <f>IF('ORDENES'!$A896="","",IF('ORDENES'!$Z896="","-",'ORDENES'!$Z896))</f>
        <v/>
      </c>
      <c r="H918" s="24">
        <f>IF('ORDENES'!$A896="","",IF('ORDENES'!$AH896="","-",'ORDENES'!$AH896))</f>
        <v/>
      </c>
      <c r="I918" s="24">
        <f>IF('ORDENES'!$A896="","",IF('ORDENES'!$AU896="","-",'ORDENES'!$AU896))</f>
        <v/>
      </c>
      <c r="J918" s="24">
        <f>IF('ORDENES'!$A896="","",IF('ORDENES'!$D896="","-",'ORDENES'!$D896))</f>
        <v/>
      </c>
      <c r="K918" s="24">
        <f>IF('ORDENES'!$A896="","",IF('ORDENES'!$E896="","-",'ORDENES'!$E896))</f>
        <v/>
      </c>
      <c r="L918" s="26">
        <f>IF('ORDENES'!$A896="","",IF('ORDENES'!$M896="",0,'ORDENES'!$M896))</f>
        <v/>
      </c>
      <c r="M918" s="24">
        <f>IF('ORDENES'!$A896="","",IF('ORDENES'!$N896="","-",'ORDENES'!$N896))</f>
        <v/>
      </c>
      <c r="N918" s="24">
        <f>IF('ORDENES'!$A896="","",'ORDENES'!$AG896)</f>
        <v/>
      </c>
    </row>
    <row r="919">
      <c r="A919" s="24">
        <f>IF('ORDENES'!$A897="","",IF('ORDENES'!$O897="","-",'ORDENES'!$O897))</f>
        <v/>
      </c>
      <c r="B919" s="24">
        <f>IF('ORDENES'!$A897="","",IF('ORDENES'!$S897="","-",'ORDENES'!$S897))</f>
        <v/>
      </c>
      <c r="C919" s="24">
        <f>IF('ORDENES'!$A897="","",IF('ORDENES'!$AI897="","-",'ORDENES'!$AI897))</f>
        <v/>
      </c>
      <c r="D919" s="24">
        <f>IF('ORDENES'!$A897="","",IF('ORDENES'!$AA897="","-",'ORDENES'!$AA897))</f>
        <v/>
      </c>
      <c r="E919" s="24">
        <f>IF('ORDENES'!$A897="","",IF('ORDENES'!$Y897="","-",'ORDENES'!$Y897))</f>
        <v/>
      </c>
      <c r="F919" s="24">
        <f>IF('ORDENES'!$A897="","",IF('ORDENES'!$AB897="","-",'ORDENES'!$AB897))</f>
        <v/>
      </c>
      <c r="G919" s="24">
        <f>IF('ORDENES'!$A897="","",IF('ORDENES'!$Z897="","-",'ORDENES'!$Z897))</f>
        <v/>
      </c>
      <c r="H919" s="24">
        <f>IF('ORDENES'!$A897="","",IF('ORDENES'!$AH897="","-",'ORDENES'!$AH897))</f>
        <v/>
      </c>
      <c r="I919" s="24">
        <f>IF('ORDENES'!$A897="","",IF('ORDENES'!$AU897="","-",'ORDENES'!$AU897))</f>
        <v/>
      </c>
      <c r="J919" s="24">
        <f>IF('ORDENES'!$A897="","",IF('ORDENES'!$D897="","-",'ORDENES'!$D897))</f>
        <v/>
      </c>
      <c r="K919" s="24">
        <f>IF('ORDENES'!$A897="","",IF('ORDENES'!$E897="","-",'ORDENES'!$E897))</f>
        <v/>
      </c>
      <c r="L919" s="26">
        <f>IF('ORDENES'!$A897="","",IF('ORDENES'!$M897="",0,'ORDENES'!$M897))</f>
        <v/>
      </c>
      <c r="M919" s="24">
        <f>IF('ORDENES'!$A897="","",IF('ORDENES'!$N897="","-",'ORDENES'!$N897))</f>
        <v/>
      </c>
      <c r="N919" s="24">
        <f>IF('ORDENES'!$A897="","",'ORDENES'!$AG897)</f>
        <v/>
      </c>
    </row>
    <row r="920">
      <c r="A920" s="24">
        <f>IF('ORDENES'!$A898="","",IF('ORDENES'!$O898="","-",'ORDENES'!$O898))</f>
        <v/>
      </c>
      <c r="B920" s="24">
        <f>IF('ORDENES'!$A898="","",IF('ORDENES'!$S898="","-",'ORDENES'!$S898))</f>
        <v/>
      </c>
      <c r="C920" s="24">
        <f>IF('ORDENES'!$A898="","",IF('ORDENES'!$AI898="","-",'ORDENES'!$AI898))</f>
        <v/>
      </c>
      <c r="D920" s="24">
        <f>IF('ORDENES'!$A898="","",IF('ORDENES'!$AA898="","-",'ORDENES'!$AA898))</f>
        <v/>
      </c>
      <c r="E920" s="24">
        <f>IF('ORDENES'!$A898="","",IF('ORDENES'!$Y898="","-",'ORDENES'!$Y898))</f>
        <v/>
      </c>
      <c r="F920" s="24">
        <f>IF('ORDENES'!$A898="","",IF('ORDENES'!$AB898="","-",'ORDENES'!$AB898))</f>
        <v/>
      </c>
      <c r="G920" s="24">
        <f>IF('ORDENES'!$A898="","",IF('ORDENES'!$Z898="","-",'ORDENES'!$Z898))</f>
        <v/>
      </c>
      <c r="H920" s="24">
        <f>IF('ORDENES'!$A898="","",IF('ORDENES'!$AH898="","-",'ORDENES'!$AH898))</f>
        <v/>
      </c>
      <c r="I920" s="24">
        <f>IF('ORDENES'!$A898="","",IF('ORDENES'!$AU898="","-",'ORDENES'!$AU898))</f>
        <v/>
      </c>
      <c r="J920" s="24">
        <f>IF('ORDENES'!$A898="","",IF('ORDENES'!$D898="","-",'ORDENES'!$D898))</f>
        <v/>
      </c>
      <c r="K920" s="24">
        <f>IF('ORDENES'!$A898="","",IF('ORDENES'!$E898="","-",'ORDENES'!$E898))</f>
        <v/>
      </c>
      <c r="L920" s="26">
        <f>IF('ORDENES'!$A898="","",IF('ORDENES'!$M898="",0,'ORDENES'!$M898))</f>
        <v/>
      </c>
      <c r="M920" s="24">
        <f>IF('ORDENES'!$A898="","",IF('ORDENES'!$N898="","-",'ORDENES'!$N898))</f>
        <v/>
      </c>
      <c r="N920" s="24">
        <f>IF('ORDENES'!$A898="","",'ORDENES'!$AG898)</f>
        <v/>
      </c>
    </row>
    <row r="921">
      <c r="A921" s="24">
        <f>IF('ORDENES'!$A899="","",IF('ORDENES'!$O899="","-",'ORDENES'!$O899))</f>
        <v/>
      </c>
      <c r="B921" s="24">
        <f>IF('ORDENES'!$A899="","",IF('ORDENES'!$S899="","-",'ORDENES'!$S899))</f>
        <v/>
      </c>
      <c r="C921" s="24">
        <f>IF('ORDENES'!$A899="","",IF('ORDENES'!$AI899="","-",'ORDENES'!$AI899))</f>
        <v/>
      </c>
      <c r="D921" s="24">
        <f>IF('ORDENES'!$A899="","",IF('ORDENES'!$AA899="","-",'ORDENES'!$AA899))</f>
        <v/>
      </c>
      <c r="E921" s="24">
        <f>IF('ORDENES'!$A899="","",IF('ORDENES'!$Y899="","-",'ORDENES'!$Y899))</f>
        <v/>
      </c>
      <c r="F921" s="24">
        <f>IF('ORDENES'!$A899="","",IF('ORDENES'!$AB899="","-",'ORDENES'!$AB899))</f>
        <v/>
      </c>
      <c r="G921" s="24">
        <f>IF('ORDENES'!$A899="","",IF('ORDENES'!$Z899="","-",'ORDENES'!$Z899))</f>
        <v/>
      </c>
      <c r="H921" s="24">
        <f>IF('ORDENES'!$A899="","",IF('ORDENES'!$AH899="","-",'ORDENES'!$AH899))</f>
        <v/>
      </c>
      <c r="I921" s="24">
        <f>IF('ORDENES'!$A899="","",IF('ORDENES'!$AU899="","-",'ORDENES'!$AU899))</f>
        <v/>
      </c>
      <c r="J921" s="24">
        <f>IF('ORDENES'!$A899="","",IF('ORDENES'!$D899="","-",'ORDENES'!$D899))</f>
        <v/>
      </c>
      <c r="K921" s="24">
        <f>IF('ORDENES'!$A899="","",IF('ORDENES'!$E899="","-",'ORDENES'!$E899))</f>
        <v/>
      </c>
      <c r="L921" s="26">
        <f>IF('ORDENES'!$A899="","",IF('ORDENES'!$M899="",0,'ORDENES'!$M899))</f>
        <v/>
      </c>
      <c r="M921" s="24">
        <f>IF('ORDENES'!$A899="","",IF('ORDENES'!$N899="","-",'ORDENES'!$N899))</f>
        <v/>
      </c>
      <c r="N921" s="24">
        <f>IF('ORDENES'!$A899="","",'ORDENES'!$AG899)</f>
        <v/>
      </c>
    </row>
    <row r="922">
      <c r="A922" s="24">
        <f>IF('ORDENES'!$A900="","",IF('ORDENES'!$O900="","-",'ORDENES'!$O900))</f>
        <v/>
      </c>
      <c r="B922" s="24">
        <f>IF('ORDENES'!$A900="","",IF('ORDENES'!$S900="","-",'ORDENES'!$S900))</f>
        <v/>
      </c>
      <c r="C922" s="24">
        <f>IF('ORDENES'!$A900="","",IF('ORDENES'!$AI900="","-",'ORDENES'!$AI900))</f>
        <v/>
      </c>
      <c r="D922" s="24">
        <f>IF('ORDENES'!$A900="","",IF('ORDENES'!$AA900="","-",'ORDENES'!$AA900))</f>
        <v/>
      </c>
      <c r="E922" s="24">
        <f>IF('ORDENES'!$A900="","",IF('ORDENES'!$Y900="","-",'ORDENES'!$Y900))</f>
        <v/>
      </c>
      <c r="F922" s="24">
        <f>IF('ORDENES'!$A900="","",IF('ORDENES'!$AB900="","-",'ORDENES'!$AB900))</f>
        <v/>
      </c>
      <c r="G922" s="24">
        <f>IF('ORDENES'!$A900="","",IF('ORDENES'!$Z900="","-",'ORDENES'!$Z900))</f>
        <v/>
      </c>
      <c r="H922" s="24">
        <f>IF('ORDENES'!$A900="","",IF('ORDENES'!$AH900="","-",'ORDENES'!$AH900))</f>
        <v/>
      </c>
      <c r="I922" s="24">
        <f>IF('ORDENES'!$A900="","",IF('ORDENES'!$AU900="","-",'ORDENES'!$AU900))</f>
        <v/>
      </c>
      <c r="J922" s="24">
        <f>IF('ORDENES'!$A900="","",IF('ORDENES'!$D900="","-",'ORDENES'!$D900))</f>
        <v/>
      </c>
      <c r="K922" s="24">
        <f>IF('ORDENES'!$A900="","",IF('ORDENES'!$E900="","-",'ORDENES'!$E900))</f>
        <v/>
      </c>
      <c r="L922" s="26">
        <f>IF('ORDENES'!$A900="","",IF('ORDENES'!$M900="",0,'ORDENES'!$M900))</f>
        <v/>
      </c>
      <c r="M922" s="24">
        <f>IF('ORDENES'!$A900="","",IF('ORDENES'!$N900="","-",'ORDENES'!$N900))</f>
        <v/>
      </c>
      <c r="N922" s="24">
        <f>IF('ORDENES'!$A900="","",'ORDENES'!$AG900)</f>
        <v/>
      </c>
    </row>
    <row r="923">
      <c r="A923" s="24">
        <f>IF('ORDENES'!$A901="","",IF('ORDENES'!$O901="","-",'ORDENES'!$O901))</f>
        <v/>
      </c>
      <c r="B923" s="24">
        <f>IF('ORDENES'!$A901="","",IF('ORDENES'!$S901="","-",'ORDENES'!$S901))</f>
        <v/>
      </c>
      <c r="C923" s="24">
        <f>IF('ORDENES'!$A901="","",IF('ORDENES'!$AI901="","-",'ORDENES'!$AI901))</f>
        <v/>
      </c>
      <c r="D923" s="24">
        <f>IF('ORDENES'!$A901="","",IF('ORDENES'!$AA901="","-",'ORDENES'!$AA901))</f>
        <v/>
      </c>
      <c r="E923" s="24">
        <f>IF('ORDENES'!$A901="","",IF('ORDENES'!$Y901="","-",'ORDENES'!$Y901))</f>
        <v/>
      </c>
      <c r="F923" s="24">
        <f>IF('ORDENES'!$A901="","",IF('ORDENES'!$AB901="","-",'ORDENES'!$AB901))</f>
        <v/>
      </c>
      <c r="G923" s="24">
        <f>IF('ORDENES'!$A901="","",IF('ORDENES'!$Z901="","-",'ORDENES'!$Z901))</f>
        <v/>
      </c>
      <c r="H923" s="24">
        <f>IF('ORDENES'!$A901="","",IF('ORDENES'!$AH901="","-",'ORDENES'!$AH901))</f>
        <v/>
      </c>
      <c r="I923" s="24">
        <f>IF('ORDENES'!$A901="","",IF('ORDENES'!$AU901="","-",'ORDENES'!$AU901))</f>
        <v/>
      </c>
      <c r="J923" s="24">
        <f>IF('ORDENES'!$A901="","",IF('ORDENES'!$D901="","-",'ORDENES'!$D901))</f>
        <v/>
      </c>
      <c r="K923" s="24">
        <f>IF('ORDENES'!$A901="","",IF('ORDENES'!$E901="","-",'ORDENES'!$E901))</f>
        <v/>
      </c>
      <c r="L923" s="26">
        <f>IF('ORDENES'!$A901="","",IF('ORDENES'!$M901="",0,'ORDENES'!$M901))</f>
        <v/>
      </c>
      <c r="M923" s="24">
        <f>IF('ORDENES'!$A901="","",IF('ORDENES'!$N901="","-",'ORDENES'!$N901))</f>
        <v/>
      </c>
      <c r="N923" s="24">
        <f>IF('ORDENES'!$A901="","",'ORDENES'!$AG901)</f>
        <v/>
      </c>
    </row>
    <row r="924">
      <c r="A924" s="24">
        <f>IF('ORDENES'!$A902="","",IF('ORDENES'!$O902="","-",'ORDENES'!$O902))</f>
        <v/>
      </c>
      <c r="B924" s="24">
        <f>IF('ORDENES'!$A902="","",IF('ORDENES'!$S902="","-",'ORDENES'!$S902))</f>
        <v/>
      </c>
      <c r="C924" s="24">
        <f>IF('ORDENES'!$A902="","",IF('ORDENES'!$AI902="","-",'ORDENES'!$AI902))</f>
        <v/>
      </c>
      <c r="D924" s="24">
        <f>IF('ORDENES'!$A902="","",IF('ORDENES'!$AA902="","-",'ORDENES'!$AA902))</f>
        <v/>
      </c>
      <c r="E924" s="24">
        <f>IF('ORDENES'!$A902="","",IF('ORDENES'!$Y902="","-",'ORDENES'!$Y902))</f>
        <v/>
      </c>
      <c r="F924" s="24">
        <f>IF('ORDENES'!$A902="","",IF('ORDENES'!$AB902="","-",'ORDENES'!$AB902))</f>
        <v/>
      </c>
      <c r="G924" s="24">
        <f>IF('ORDENES'!$A902="","",IF('ORDENES'!$Z902="","-",'ORDENES'!$Z902))</f>
        <v/>
      </c>
      <c r="H924" s="24">
        <f>IF('ORDENES'!$A902="","",IF('ORDENES'!$AH902="","-",'ORDENES'!$AH902))</f>
        <v/>
      </c>
      <c r="I924" s="24">
        <f>IF('ORDENES'!$A902="","",IF('ORDENES'!$AU902="","-",'ORDENES'!$AU902))</f>
        <v/>
      </c>
      <c r="J924" s="24">
        <f>IF('ORDENES'!$A902="","",IF('ORDENES'!$D902="","-",'ORDENES'!$D902))</f>
        <v/>
      </c>
      <c r="K924" s="24">
        <f>IF('ORDENES'!$A902="","",IF('ORDENES'!$E902="","-",'ORDENES'!$E902))</f>
        <v/>
      </c>
      <c r="L924" s="26">
        <f>IF('ORDENES'!$A902="","",IF('ORDENES'!$M902="",0,'ORDENES'!$M902))</f>
        <v/>
      </c>
      <c r="M924" s="24">
        <f>IF('ORDENES'!$A902="","",IF('ORDENES'!$N902="","-",'ORDENES'!$N902))</f>
        <v/>
      </c>
      <c r="N924" s="24">
        <f>IF('ORDENES'!$A902="","",'ORDENES'!$AG902)</f>
        <v/>
      </c>
    </row>
    <row r="925">
      <c r="A925" s="24">
        <f>IF('ORDENES'!$A903="","",IF('ORDENES'!$O903="","-",'ORDENES'!$O903))</f>
        <v/>
      </c>
      <c r="B925" s="24">
        <f>IF('ORDENES'!$A903="","",IF('ORDENES'!$S903="","-",'ORDENES'!$S903))</f>
        <v/>
      </c>
      <c r="C925" s="24">
        <f>IF('ORDENES'!$A903="","",IF('ORDENES'!$AI903="","-",'ORDENES'!$AI903))</f>
        <v/>
      </c>
      <c r="D925" s="24">
        <f>IF('ORDENES'!$A903="","",IF('ORDENES'!$AA903="","-",'ORDENES'!$AA903))</f>
        <v/>
      </c>
      <c r="E925" s="24">
        <f>IF('ORDENES'!$A903="","",IF('ORDENES'!$Y903="","-",'ORDENES'!$Y903))</f>
        <v/>
      </c>
      <c r="F925" s="24">
        <f>IF('ORDENES'!$A903="","",IF('ORDENES'!$AB903="","-",'ORDENES'!$AB903))</f>
        <v/>
      </c>
      <c r="G925" s="24">
        <f>IF('ORDENES'!$A903="","",IF('ORDENES'!$Z903="","-",'ORDENES'!$Z903))</f>
        <v/>
      </c>
      <c r="H925" s="24">
        <f>IF('ORDENES'!$A903="","",IF('ORDENES'!$AH903="","-",'ORDENES'!$AH903))</f>
        <v/>
      </c>
      <c r="I925" s="24">
        <f>IF('ORDENES'!$A903="","",IF('ORDENES'!$AU903="","-",'ORDENES'!$AU903))</f>
        <v/>
      </c>
      <c r="J925" s="24">
        <f>IF('ORDENES'!$A903="","",IF('ORDENES'!$D903="","-",'ORDENES'!$D903))</f>
        <v/>
      </c>
      <c r="K925" s="24">
        <f>IF('ORDENES'!$A903="","",IF('ORDENES'!$E903="","-",'ORDENES'!$E903))</f>
        <v/>
      </c>
      <c r="L925" s="26">
        <f>IF('ORDENES'!$A903="","",IF('ORDENES'!$M903="",0,'ORDENES'!$M903))</f>
        <v/>
      </c>
      <c r="M925" s="24">
        <f>IF('ORDENES'!$A903="","",IF('ORDENES'!$N903="","-",'ORDENES'!$N903))</f>
        <v/>
      </c>
      <c r="N925" s="24">
        <f>IF('ORDENES'!$A903="","",'ORDENES'!$AG903)</f>
        <v/>
      </c>
    </row>
    <row r="926">
      <c r="A926" s="24">
        <f>IF('ORDENES'!$A904="","",IF('ORDENES'!$O904="","-",'ORDENES'!$O904))</f>
        <v/>
      </c>
      <c r="B926" s="24">
        <f>IF('ORDENES'!$A904="","",IF('ORDENES'!$S904="","-",'ORDENES'!$S904))</f>
        <v/>
      </c>
      <c r="C926" s="24">
        <f>IF('ORDENES'!$A904="","",IF('ORDENES'!$AI904="","-",'ORDENES'!$AI904))</f>
        <v/>
      </c>
      <c r="D926" s="24">
        <f>IF('ORDENES'!$A904="","",IF('ORDENES'!$AA904="","-",'ORDENES'!$AA904))</f>
        <v/>
      </c>
      <c r="E926" s="24">
        <f>IF('ORDENES'!$A904="","",IF('ORDENES'!$Y904="","-",'ORDENES'!$Y904))</f>
        <v/>
      </c>
      <c r="F926" s="24">
        <f>IF('ORDENES'!$A904="","",IF('ORDENES'!$AB904="","-",'ORDENES'!$AB904))</f>
        <v/>
      </c>
      <c r="G926" s="24">
        <f>IF('ORDENES'!$A904="","",IF('ORDENES'!$Z904="","-",'ORDENES'!$Z904))</f>
        <v/>
      </c>
      <c r="H926" s="24">
        <f>IF('ORDENES'!$A904="","",IF('ORDENES'!$AH904="","-",'ORDENES'!$AH904))</f>
        <v/>
      </c>
      <c r="I926" s="24">
        <f>IF('ORDENES'!$A904="","",IF('ORDENES'!$AU904="","-",'ORDENES'!$AU904))</f>
        <v/>
      </c>
      <c r="J926" s="24">
        <f>IF('ORDENES'!$A904="","",IF('ORDENES'!$D904="","-",'ORDENES'!$D904))</f>
        <v/>
      </c>
      <c r="K926" s="24">
        <f>IF('ORDENES'!$A904="","",IF('ORDENES'!$E904="","-",'ORDENES'!$E904))</f>
        <v/>
      </c>
      <c r="L926" s="26">
        <f>IF('ORDENES'!$A904="","",IF('ORDENES'!$M904="",0,'ORDENES'!$M904))</f>
        <v/>
      </c>
      <c r="M926" s="24">
        <f>IF('ORDENES'!$A904="","",IF('ORDENES'!$N904="","-",'ORDENES'!$N904))</f>
        <v/>
      </c>
      <c r="N926" s="24">
        <f>IF('ORDENES'!$A904="","",'ORDENES'!$AG904)</f>
        <v/>
      </c>
    </row>
    <row r="927">
      <c r="A927" s="24">
        <f>IF('ORDENES'!$A905="","",IF('ORDENES'!$O905="","-",'ORDENES'!$O905))</f>
        <v/>
      </c>
      <c r="B927" s="24">
        <f>IF('ORDENES'!$A905="","",IF('ORDENES'!$S905="","-",'ORDENES'!$S905))</f>
        <v/>
      </c>
      <c r="C927" s="24">
        <f>IF('ORDENES'!$A905="","",IF('ORDENES'!$AI905="","-",'ORDENES'!$AI905))</f>
        <v/>
      </c>
      <c r="D927" s="24">
        <f>IF('ORDENES'!$A905="","",IF('ORDENES'!$AA905="","-",'ORDENES'!$AA905))</f>
        <v/>
      </c>
      <c r="E927" s="24">
        <f>IF('ORDENES'!$A905="","",IF('ORDENES'!$Y905="","-",'ORDENES'!$Y905))</f>
        <v/>
      </c>
      <c r="F927" s="24">
        <f>IF('ORDENES'!$A905="","",IF('ORDENES'!$AB905="","-",'ORDENES'!$AB905))</f>
        <v/>
      </c>
      <c r="G927" s="24">
        <f>IF('ORDENES'!$A905="","",IF('ORDENES'!$Z905="","-",'ORDENES'!$Z905))</f>
        <v/>
      </c>
      <c r="H927" s="24">
        <f>IF('ORDENES'!$A905="","",IF('ORDENES'!$AH905="","-",'ORDENES'!$AH905))</f>
        <v/>
      </c>
      <c r="I927" s="24">
        <f>IF('ORDENES'!$A905="","",IF('ORDENES'!$AU905="","-",'ORDENES'!$AU905))</f>
        <v/>
      </c>
      <c r="J927" s="24">
        <f>IF('ORDENES'!$A905="","",IF('ORDENES'!$D905="","-",'ORDENES'!$D905))</f>
        <v/>
      </c>
      <c r="K927" s="24">
        <f>IF('ORDENES'!$A905="","",IF('ORDENES'!$E905="","-",'ORDENES'!$E905))</f>
        <v/>
      </c>
      <c r="L927" s="26">
        <f>IF('ORDENES'!$A905="","",IF('ORDENES'!$M905="",0,'ORDENES'!$M905))</f>
        <v/>
      </c>
      <c r="M927" s="24">
        <f>IF('ORDENES'!$A905="","",IF('ORDENES'!$N905="","-",'ORDENES'!$N905))</f>
        <v/>
      </c>
      <c r="N927" s="24">
        <f>IF('ORDENES'!$A905="","",'ORDENES'!$AG905)</f>
        <v/>
      </c>
    </row>
    <row r="928">
      <c r="A928" s="24">
        <f>IF('ORDENES'!$A906="","",IF('ORDENES'!$O906="","-",'ORDENES'!$O906))</f>
        <v/>
      </c>
      <c r="B928" s="24">
        <f>IF('ORDENES'!$A906="","",IF('ORDENES'!$S906="","-",'ORDENES'!$S906))</f>
        <v/>
      </c>
      <c r="C928" s="24">
        <f>IF('ORDENES'!$A906="","",IF('ORDENES'!$AI906="","-",'ORDENES'!$AI906))</f>
        <v/>
      </c>
      <c r="D928" s="24">
        <f>IF('ORDENES'!$A906="","",IF('ORDENES'!$AA906="","-",'ORDENES'!$AA906))</f>
        <v/>
      </c>
      <c r="E928" s="24">
        <f>IF('ORDENES'!$A906="","",IF('ORDENES'!$Y906="","-",'ORDENES'!$Y906))</f>
        <v/>
      </c>
      <c r="F928" s="24">
        <f>IF('ORDENES'!$A906="","",IF('ORDENES'!$AB906="","-",'ORDENES'!$AB906))</f>
        <v/>
      </c>
      <c r="G928" s="24">
        <f>IF('ORDENES'!$A906="","",IF('ORDENES'!$Z906="","-",'ORDENES'!$Z906))</f>
        <v/>
      </c>
      <c r="H928" s="24">
        <f>IF('ORDENES'!$A906="","",IF('ORDENES'!$AH906="","-",'ORDENES'!$AH906))</f>
        <v/>
      </c>
      <c r="I928" s="24">
        <f>IF('ORDENES'!$A906="","",IF('ORDENES'!$AU906="","-",'ORDENES'!$AU906))</f>
        <v/>
      </c>
      <c r="J928" s="24">
        <f>IF('ORDENES'!$A906="","",IF('ORDENES'!$D906="","-",'ORDENES'!$D906))</f>
        <v/>
      </c>
      <c r="K928" s="24">
        <f>IF('ORDENES'!$A906="","",IF('ORDENES'!$E906="","-",'ORDENES'!$E906))</f>
        <v/>
      </c>
      <c r="L928" s="26">
        <f>IF('ORDENES'!$A906="","",IF('ORDENES'!$M906="",0,'ORDENES'!$M906))</f>
        <v/>
      </c>
      <c r="M928" s="24">
        <f>IF('ORDENES'!$A906="","",IF('ORDENES'!$N906="","-",'ORDENES'!$N906))</f>
        <v/>
      </c>
      <c r="N928" s="24">
        <f>IF('ORDENES'!$A906="","",'ORDENES'!$AG906)</f>
        <v/>
      </c>
    </row>
    <row r="929">
      <c r="A929" s="24">
        <f>IF('ORDENES'!$A907="","",IF('ORDENES'!$O907="","-",'ORDENES'!$O907))</f>
        <v/>
      </c>
      <c r="B929" s="24">
        <f>IF('ORDENES'!$A907="","",IF('ORDENES'!$S907="","-",'ORDENES'!$S907))</f>
        <v/>
      </c>
      <c r="C929" s="24">
        <f>IF('ORDENES'!$A907="","",IF('ORDENES'!$AI907="","-",'ORDENES'!$AI907))</f>
        <v/>
      </c>
      <c r="D929" s="24">
        <f>IF('ORDENES'!$A907="","",IF('ORDENES'!$AA907="","-",'ORDENES'!$AA907))</f>
        <v/>
      </c>
      <c r="E929" s="24">
        <f>IF('ORDENES'!$A907="","",IF('ORDENES'!$Y907="","-",'ORDENES'!$Y907))</f>
        <v/>
      </c>
      <c r="F929" s="24">
        <f>IF('ORDENES'!$A907="","",IF('ORDENES'!$AB907="","-",'ORDENES'!$AB907))</f>
        <v/>
      </c>
      <c r="G929" s="24">
        <f>IF('ORDENES'!$A907="","",IF('ORDENES'!$Z907="","-",'ORDENES'!$Z907))</f>
        <v/>
      </c>
      <c r="H929" s="24">
        <f>IF('ORDENES'!$A907="","",IF('ORDENES'!$AH907="","-",'ORDENES'!$AH907))</f>
        <v/>
      </c>
      <c r="I929" s="24">
        <f>IF('ORDENES'!$A907="","",IF('ORDENES'!$AU907="","-",'ORDENES'!$AU907))</f>
        <v/>
      </c>
      <c r="J929" s="24">
        <f>IF('ORDENES'!$A907="","",IF('ORDENES'!$D907="","-",'ORDENES'!$D907))</f>
        <v/>
      </c>
      <c r="K929" s="24">
        <f>IF('ORDENES'!$A907="","",IF('ORDENES'!$E907="","-",'ORDENES'!$E907))</f>
        <v/>
      </c>
      <c r="L929" s="26">
        <f>IF('ORDENES'!$A907="","",IF('ORDENES'!$M907="",0,'ORDENES'!$M907))</f>
        <v/>
      </c>
      <c r="M929" s="24">
        <f>IF('ORDENES'!$A907="","",IF('ORDENES'!$N907="","-",'ORDENES'!$N907))</f>
        <v/>
      </c>
      <c r="N929" s="24">
        <f>IF('ORDENES'!$A907="","",'ORDENES'!$AG907)</f>
        <v/>
      </c>
    </row>
    <row r="930">
      <c r="A930" s="24">
        <f>IF('ORDENES'!$A908="","",IF('ORDENES'!$O908="","-",'ORDENES'!$O908))</f>
        <v/>
      </c>
      <c r="B930" s="24">
        <f>IF('ORDENES'!$A908="","",IF('ORDENES'!$S908="","-",'ORDENES'!$S908))</f>
        <v/>
      </c>
      <c r="C930" s="24">
        <f>IF('ORDENES'!$A908="","",IF('ORDENES'!$AI908="","-",'ORDENES'!$AI908))</f>
        <v/>
      </c>
      <c r="D930" s="24">
        <f>IF('ORDENES'!$A908="","",IF('ORDENES'!$AA908="","-",'ORDENES'!$AA908))</f>
        <v/>
      </c>
      <c r="E930" s="24">
        <f>IF('ORDENES'!$A908="","",IF('ORDENES'!$Y908="","-",'ORDENES'!$Y908))</f>
        <v/>
      </c>
      <c r="F930" s="24">
        <f>IF('ORDENES'!$A908="","",IF('ORDENES'!$AB908="","-",'ORDENES'!$AB908))</f>
        <v/>
      </c>
      <c r="G930" s="24">
        <f>IF('ORDENES'!$A908="","",IF('ORDENES'!$Z908="","-",'ORDENES'!$Z908))</f>
        <v/>
      </c>
      <c r="H930" s="24">
        <f>IF('ORDENES'!$A908="","",IF('ORDENES'!$AH908="","-",'ORDENES'!$AH908))</f>
        <v/>
      </c>
      <c r="I930" s="24">
        <f>IF('ORDENES'!$A908="","",IF('ORDENES'!$AU908="","-",'ORDENES'!$AU908))</f>
        <v/>
      </c>
      <c r="J930" s="24">
        <f>IF('ORDENES'!$A908="","",IF('ORDENES'!$D908="","-",'ORDENES'!$D908))</f>
        <v/>
      </c>
      <c r="K930" s="24">
        <f>IF('ORDENES'!$A908="","",IF('ORDENES'!$E908="","-",'ORDENES'!$E908))</f>
        <v/>
      </c>
      <c r="L930" s="26">
        <f>IF('ORDENES'!$A908="","",IF('ORDENES'!$M908="",0,'ORDENES'!$M908))</f>
        <v/>
      </c>
      <c r="M930" s="24">
        <f>IF('ORDENES'!$A908="","",IF('ORDENES'!$N908="","-",'ORDENES'!$N908))</f>
        <v/>
      </c>
      <c r="N930" s="24">
        <f>IF('ORDENES'!$A908="","",'ORDENES'!$AG908)</f>
        <v/>
      </c>
    </row>
    <row r="931">
      <c r="A931" s="24">
        <f>IF('ORDENES'!$A909="","",IF('ORDENES'!$O909="","-",'ORDENES'!$O909))</f>
        <v/>
      </c>
      <c r="B931" s="24">
        <f>IF('ORDENES'!$A909="","",IF('ORDENES'!$S909="","-",'ORDENES'!$S909))</f>
        <v/>
      </c>
      <c r="C931" s="24">
        <f>IF('ORDENES'!$A909="","",IF('ORDENES'!$AI909="","-",'ORDENES'!$AI909))</f>
        <v/>
      </c>
      <c r="D931" s="24">
        <f>IF('ORDENES'!$A909="","",IF('ORDENES'!$AA909="","-",'ORDENES'!$AA909))</f>
        <v/>
      </c>
      <c r="E931" s="24">
        <f>IF('ORDENES'!$A909="","",IF('ORDENES'!$Y909="","-",'ORDENES'!$Y909))</f>
        <v/>
      </c>
      <c r="F931" s="24">
        <f>IF('ORDENES'!$A909="","",IF('ORDENES'!$AB909="","-",'ORDENES'!$AB909))</f>
        <v/>
      </c>
      <c r="G931" s="24">
        <f>IF('ORDENES'!$A909="","",IF('ORDENES'!$Z909="","-",'ORDENES'!$Z909))</f>
        <v/>
      </c>
      <c r="H931" s="24">
        <f>IF('ORDENES'!$A909="","",IF('ORDENES'!$AH909="","-",'ORDENES'!$AH909))</f>
        <v/>
      </c>
      <c r="I931" s="24">
        <f>IF('ORDENES'!$A909="","",IF('ORDENES'!$AU909="","-",'ORDENES'!$AU909))</f>
        <v/>
      </c>
      <c r="J931" s="24">
        <f>IF('ORDENES'!$A909="","",IF('ORDENES'!$D909="","-",'ORDENES'!$D909))</f>
        <v/>
      </c>
      <c r="K931" s="24">
        <f>IF('ORDENES'!$A909="","",IF('ORDENES'!$E909="","-",'ORDENES'!$E909))</f>
        <v/>
      </c>
      <c r="L931" s="26">
        <f>IF('ORDENES'!$A909="","",IF('ORDENES'!$M909="",0,'ORDENES'!$M909))</f>
        <v/>
      </c>
      <c r="M931" s="24">
        <f>IF('ORDENES'!$A909="","",IF('ORDENES'!$N909="","-",'ORDENES'!$N909))</f>
        <v/>
      </c>
      <c r="N931" s="24">
        <f>IF('ORDENES'!$A909="","",'ORDENES'!$AG909)</f>
        <v/>
      </c>
    </row>
    <row r="932">
      <c r="A932" s="24">
        <f>IF('ORDENES'!$A910="","",IF('ORDENES'!$O910="","-",'ORDENES'!$O910))</f>
        <v/>
      </c>
      <c r="B932" s="24">
        <f>IF('ORDENES'!$A910="","",IF('ORDENES'!$S910="","-",'ORDENES'!$S910))</f>
        <v/>
      </c>
      <c r="C932" s="24">
        <f>IF('ORDENES'!$A910="","",IF('ORDENES'!$AI910="","-",'ORDENES'!$AI910))</f>
        <v/>
      </c>
      <c r="D932" s="24">
        <f>IF('ORDENES'!$A910="","",IF('ORDENES'!$AA910="","-",'ORDENES'!$AA910))</f>
        <v/>
      </c>
      <c r="E932" s="24">
        <f>IF('ORDENES'!$A910="","",IF('ORDENES'!$Y910="","-",'ORDENES'!$Y910))</f>
        <v/>
      </c>
      <c r="F932" s="24">
        <f>IF('ORDENES'!$A910="","",IF('ORDENES'!$AB910="","-",'ORDENES'!$AB910))</f>
        <v/>
      </c>
      <c r="G932" s="24">
        <f>IF('ORDENES'!$A910="","",IF('ORDENES'!$Z910="","-",'ORDENES'!$Z910))</f>
        <v/>
      </c>
      <c r="H932" s="24">
        <f>IF('ORDENES'!$A910="","",IF('ORDENES'!$AH910="","-",'ORDENES'!$AH910))</f>
        <v/>
      </c>
      <c r="I932" s="24">
        <f>IF('ORDENES'!$A910="","",IF('ORDENES'!$AU910="","-",'ORDENES'!$AU910))</f>
        <v/>
      </c>
      <c r="J932" s="24">
        <f>IF('ORDENES'!$A910="","",IF('ORDENES'!$D910="","-",'ORDENES'!$D910))</f>
        <v/>
      </c>
      <c r="K932" s="24">
        <f>IF('ORDENES'!$A910="","",IF('ORDENES'!$E910="","-",'ORDENES'!$E910))</f>
        <v/>
      </c>
      <c r="L932" s="26">
        <f>IF('ORDENES'!$A910="","",IF('ORDENES'!$M910="",0,'ORDENES'!$M910))</f>
        <v/>
      </c>
      <c r="M932" s="24">
        <f>IF('ORDENES'!$A910="","",IF('ORDENES'!$N910="","-",'ORDENES'!$N910))</f>
        <v/>
      </c>
      <c r="N932" s="24">
        <f>IF('ORDENES'!$A910="","",'ORDENES'!$AG910)</f>
        <v/>
      </c>
    </row>
    <row r="933">
      <c r="A933" s="24">
        <f>IF('ORDENES'!$A911="","",IF('ORDENES'!$O911="","-",'ORDENES'!$O911))</f>
        <v/>
      </c>
      <c r="B933" s="24">
        <f>IF('ORDENES'!$A911="","",IF('ORDENES'!$S911="","-",'ORDENES'!$S911))</f>
        <v/>
      </c>
      <c r="C933" s="24">
        <f>IF('ORDENES'!$A911="","",IF('ORDENES'!$AI911="","-",'ORDENES'!$AI911))</f>
        <v/>
      </c>
      <c r="D933" s="24">
        <f>IF('ORDENES'!$A911="","",IF('ORDENES'!$AA911="","-",'ORDENES'!$AA911))</f>
        <v/>
      </c>
      <c r="E933" s="24">
        <f>IF('ORDENES'!$A911="","",IF('ORDENES'!$Y911="","-",'ORDENES'!$Y911))</f>
        <v/>
      </c>
      <c r="F933" s="24">
        <f>IF('ORDENES'!$A911="","",IF('ORDENES'!$AB911="","-",'ORDENES'!$AB911))</f>
        <v/>
      </c>
      <c r="G933" s="24">
        <f>IF('ORDENES'!$A911="","",IF('ORDENES'!$Z911="","-",'ORDENES'!$Z911))</f>
        <v/>
      </c>
      <c r="H933" s="24">
        <f>IF('ORDENES'!$A911="","",IF('ORDENES'!$AH911="","-",'ORDENES'!$AH911))</f>
        <v/>
      </c>
      <c r="I933" s="24">
        <f>IF('ORDENES'!$A911="","",IF('ORDENES'!$AU911="","-",'ORDENES'!$AU911))</f>
        <v/>
      </c>
      <c r="J933" s="24">
        <f>IF('ORDENES'!$A911="","",IF('ORDENES'!$D911="","-",'ORDENES'!$D911))</f>
        <v/>
      </c>
      <c r="K933" s="24">
        <f>IF('ORDENES'!$A911="","",IF('ORDENES'!$E911="","-",'ORDENES'!$E911))</f>
        <v/>
      </c>
      <c r="L933" s="26">
        <f>IF('ORDENES'!$A911="","",IF('ORDENES'!$M911="",0,'ORDENES'!$M911))</f>
        <v/>
      </c>
      <c r="M933" s="24">
        <f>IF('ORDENES'!$A911="","",IF('ORDENES'!$N911="","-",'ORDENES'!$N911))</f>
        <v/>
      </c>
      <c r="N933" s="24">
        <f>IF('ORDENES'!$A911="","",'ORDENES'!$AG911)</f>
        <v/>
      </c>
    </row>
    <row r="934">
      <c r="A934" s="24">
        <f>IF('ORDENES'!$A912="","",IF('ORDENES'!$O912="","-",'ORDENES'!$O912))</f>
        <v/>
      </c>
      <c r="B934" s="24">
        <f>IF('ORDENES'!$A912="","",IF('ORDENES'!$S912="","-",'ORDENES'!$S912))</f>
        <v/>
      </c>
      <c r="C934" s="24">
        <f>IF('ORDENES'!$A912="","",IF('ORDENES'!$AI912="","-",'ORDENES'!$AI912))</f>
        <v/>
      </c>
      <c r="D934" s="24">
        <f>IF('ORDENES'!$A912="","",IF('ORDENES'!$AA912="","-",'ORDENES'!$AA912))</f>
        <v/>
      </c>
      <c r="E934" s="24">
        <f>IF('ORDENES'!$A912="","",IF('ORDENES'!$Y912="","-",'ORDENES'!$Y912))</f>
        <v/>
      </c>
      <c r="F934" s="24">
        <f>IF('ORDENES'!$A912="","",IF('ORDENES'!$AB912="","-",'ORDENES'!$AB912))</f>
        <v/>
      </c>
      <c r="G934" s="24">
        <f>IF('ORDENES'!$A912="","",IF('ORDENES'!$Z912="","-",'ORDENES'!$Z912))</f>
        <v/>
      </c>
      <c r="H934" s="24">
        <f>IF('ORDENES'!$A912="","",IF('ORDENES'!$AH912="","-",'ORDENES'!$AH912))</f>
        <v/>
      </c>
      <c r="I934" s="24">
        <f>IF('ORDENES'!$A912="","",IF('ORDENES'!$AU912="","-",'ORDENES'!$AU912))</f>
        <v/>
      </c>
      <c r="J934" s="24">
        <f>IF('ORDENES'!$A912="","",IF('ORDENES'!$D912="","-",'ORDENES'!$D912))</f>
        <v/>
      </c>
      <c r="K934" s="24">
        <f>IF('ORDENES'!$A912="","",IF('ORDENES'!$E912="","-",'ORDENES'!$E912))</f>
        <v/>
      </c>
      <c r="L934" s="26">
        <f>IF('ORDENES'!$A912="","",IF('ORDENES'!$M912="",0,'ORDENES'!$M912))</f>
        <v/>
      </c>
      <c r="M934" s="24">
        <f>IF('ORDENES'!$A912="","",IF('ORDENES'!$N912="","-",'ORDENES'!$N912))</f>
        <v/>
      </c>
      <c r="N934" s="24">
        <f>IF('ORDENES'!$A912="","",'ORDENES'!$AG912)</f>
        <v/>
      </c>
    </row>
    <row r="935">
      <c r="A935" s="24">
        <f>IF('ORDENES'!$A913="","",IF('ORDENES'!$O913="","-",'ORDENES'!$O913))</f>
        <v/>
      </c>
      <c r="B935" s="24">
        <f>IF('ORDENES'!$A913="","",IF('ORDENES'!$S913="","-",'ORDENES'!$S913))</f>
        <v/>
      </c>
      <c r="C935" s="24">
        <f>IF('ORDENES'!$A913="","",IF('ORDENES'!$AI913="","-",'ORDENES'!$AI913))</f>
        <v/>
      </c>
      <c r="D935" s="24">
        <f>IF('ORDENES'!$A913="","",IF('ORDENES'!$AA913="","-",'ORDENES'!$AA913))</f>
        <v/>
      </c>
      <c r="E935" s="24">
        <f>IF('ORDENES'!$A913="","",IF('ORDENES'!$Y913="","-",'ORDENES'!$Y913))</f>
        <v/>
      </c>
      <c r="F935" s="24">
        <f>IF('ORDENES'!$A913="","",IF('ORDENES'!$AB913="","-",'ORDENES'!$AB913))</f>
        <v/>
      </c>
      <c r="G935" s="24">
        <f>IF('ORDENES'!$A913="","",IF('ORDENES'!$Z913="","-",'ORDENES'!$Z913))</f>
        <v/>
      </c>
      <c r="H935" s="24">
        <f>IF('ORDENES'!$A913="","",IF('ORDENES'!$AH913="","-",'ORDENES'!$AH913))</f>
        <v/>
      </c>
      <c r="I935" s="24">
        <f>IF('ORDENES'!$A913="","",IF('ORDENES'!$AU913="","-",'ORDENES'!$AU913))</f>
        <v/>
      </c>
      <c r="J935" s="24">
        <f>IF('ORDENES'!$A913="","",IF('ORDENES'!$D913="","-",'ORDENES'!$D913))</f>
        <v/>
      </c>
      <c r="K935" s="24">
        <f>IF('ORDENES'!$A913="","",IF('ORDENES'!$E913="","-",'ORDENES'!$E913))</f>
        <v/>
      </c>
      <c r="L935" s="26">
        <f>IF('ORDENES'!$A913="","",IF('ORDENES'!$M913="",0,'ORDENES'!$M913))</f>
        <v/>
      </c>
      <c r="M935" s="24">
        <f>IF('ORDENES'!$A913="","",IF('ORDENES'!$N913="","-",'ORDENES'!$N913))</f>
        <v/>
      </c>
      <c r="N935" s="24">
        <f>IF('ORDENES'!$A913="","",'ORDENES'!$AG913)</f>
        <v/>
      </c>
    </row>
    <row r="936">
      <c r="A936" s="24">
        <f>IF('ORDENES'!$A914="","",IF('ORDENES'!$O914="","-",'ORDENES'!$O914))</f>
        <v/>
      </c>
      <c r="B936" s="24">
        <f>IF('ORDENES'!$A914="","",IF('ORDENES'!$S914="","-",'ORDENES'!$S914))</f>
        <v/>
      </c>
      <c r="C936" s="24">
        <f>IF('ORDENES'!$A914="","",IF('ORDENES'!$AI914="","-",'ORDENES'!$AI914))</f>
        <v/>
      </c>
      <c r="D936" s="24">
        <f>IF('ORDENES'!$A914="","",IF('ORDENES'!$AA914="","-",'ORDENES'!$AA914))</f>
        <v/>
      </c>
      <c r="E936" s="24">
        <f>IF('ORDENES'!$A914="","",IF('ORDENES'!$Y914="","-",'ORDENES'!$Y914))</f>
        <v/>
      </c>
      <c r="F936" s="24">
        <f>IF('ORDENES'!$A914="","",IF('ORDENES'!$AB914="","-",'ORDENES'!$AB914))</f>
        <v/>
      </c>
      <c r="G936" s="24">
        <f>IF('ORDENES'!$A914="","",IF('ORDENES'!$Z914="","-",'ORDENES'!$Z914))</f>
        <v/>
      </c>
      <c r="H936" s="24">
        <f>IF('ORDENES'!$A914="","",IF('ORDENES'!$AH914="","-",'ORDENES'!$AH914))</f>
        <v/>
      </c>
      <c r="I936" s="24">
        <f>IF('ORDENES'!$A914="","",IF('ORDENES'!$AU914="","-",'ORDENES'!$AU914))</f>
        <v/>
      </c>
      <c r="J936" s="24">
        <f>IF('ORDENES'!$A914="","",IF('ORDENES'!$D914="","-",'ORDENES'!$D914))</f>
        <v/>
      </c>
      <c r="K936" s="24">
        <f>IF('ORDENES'!$A914="","",IF('ORDENES'!$E914="","-",'ORDENES'!$E914))</f>
        <v/>
      </c>
      <c r="L936" s="26">
        <f>IF('ORDENES'!$A914="","",IF('ORDENES'!$M914="",0,'ORDENES'!$M914))</f>
        <v/>
      </c>
      <c r="M936" s="24">
        <f>IF('ORDENES'!$A914="","",IF('ORDENES'!$N914="","-",'ORDENES'!$N914))</f>
        <v/>
      </c>
      <c r="N936" s="24">
        <f>IF('ORDENES'!$A914="","",'ORDENES'!$AG914)</f>
        <v/>
      </c>
    </row>
    <row r="937">
      <c r="A937" s="24">
        <f>IF('ORDENES'!$A915="","",IF('ORDENES'!$O915="","-",'ORDENES'!$O915))</f>
        <v/>
      </c>
      <c r="B937" s="24">
        <f>IF('ORDENES'!$A915="","",IF('ORDENES'!$S915="","-",'ORDENES'!$S915))</f>
        <v/>
      </c>
      <c r="C937" s="24">
        <f>IF('ORDENES'!$A915="","",IF('ORDENES'!$AI915="","-",'ORDENES'!$AI915))</f>
        <v/>
      </c>
      <c r="D937" s="24">
        <f>IF('ORDENES'!$A915="","",IF('ORDENES'!$AA915="","-",'ORDENES'!$AA915))</f>
        <v/>
      </c>
      <c r="E937" s="24">
        <f>IF('ORDENES'!$A915="","",IF('ORDENES'!$Y915="","-",'ORDENES'!$Y915))</f>
        <v/>
      </c>
      <c r="F937" s="24">
        <f>IF('ORDENES'!$A915="","",IF('ORDENES'!$AB915="","-",'ORDENES'!$AB915))</f>
        <v/>
      </c>
      <c r="G937" s="24">
        <f>IF('ORDENES'!$A915="","",IF('ORDENES'!$Z915="","-",'ORDENES'!$Z915))</f>
        <v/>
      </c>
      <c r="H937" s="24">
        <f>IF('ORDENES'!$A915="","",IF('ORDENES'!$AH915="","-",'ORDENES'!$AH915))</f>
        <v/>
      </c>
      <c r="I937" s="24">
        <f>IF('ORDENES'!$A915="","",IF('ORDENES'!$AU915="","-",'ORDENES'!$AU915))</f>
        <v/>
      </c>
      <c r="J937" s="24">
        <f>IF('ORDENES'!$A915="","",IF('ORDENES'!$D915="","-",'ORDENES'!$D915))</f>
        <v/>
      </c>
      <c r="K937" s="24">
        <f>IF('ORDENES'!$A915="","",IF('ORDENES'!$E915="","-",'ORDENES'!$E915))</f>
        <v/>
      </c>
      <c r="L937" s="26">
        <f>IF('ORDENES'!$A915="","",IF('ORDENES'!$M915="",0,'ORDENES'!$M915))</f>
        <v/>
      </c>
      <c r="M937" s="24">
        <f>IF('ORDENES'!$A915="","",IF('ORDENES'!$N915="","-",'ORDENES'!$N915))</f>
        <v/>
      </c>
      <c r="N937" s="24">
        <f>IF('ORDENES'!$A915="","",'ORDENES'!$AG915)</f>
        <v/>
      </c>
    </row>
    <row r="938">
      <c r="A938" s="24">
        <f>IF('ORDENES'!$A916="","",IF('ORDENES'!$O916="","-",'ORDENES'!$O916))</f>
        <v/>
      </c>
      <c r="B938" s="24">
        <f>IF('ORDENES'!$A916="","",IF('ORDENES'!$S916="","-",'ORDENES'!$S916))</f>
        <v/>
      </c>
      <c r="C938" s="24">
        <f>IF('ORDENES'!$A916="","",IF('ORDENES'!$AI916="","-",'ORDENES'!$AI916))</f>
        <v/>
      </c>
      <c r="D938" s="24">
        <f>IF('ORDENES'!$A916="","",IF('ORDENES'!$AA916="","-",'ORDENES'!$AA916))</f>
        <v/>
      </c>
      <c r="E938" s="24">
        <f>IF('ORDENES'!$A916="","",IF('ORDENES'!$Y916="","-",'ORDENES'!$Y916))</f>
        <v/>
      </c>
      <c r="F938" s="24">
        <f>IF('ORDENES'!$A916="","",IF('ORDENES'!$AB916="","-",'ORDENES'!$AB916))</f>
        <v/>
      </c>
      <c r="G938" s="24">
        <f>IF('ORDENES'!$A916="","",IF('ORDENES'!$Z916="","-",'ORDENES'!$Z916))</f>
        <v/>
      </c>
      <c r="H938" s="24">
        <f>IF('ORDENES'!$A916="","",IF('ORDENES'!$AH916="","-",'ORDENES'!$AH916))</f>
        <v/>
      </c>
      <c r="I938" s="24">
        <f>IF('ORDENES'!$A916="","",IF('ORDENES'!$AU916="","-",'ORDENES'!$AU916))</f>
        <v/>
      </c>
      <c r="J938" s="24">
        <f>IF('ORDENES'!$A916="","",IF('ORDENES'!$D916="","-",'ORDENES'!$D916))</f>
        <v/>
      </c>
      <c r="K938" s="24">
        <f>IF('ORDENES'!$A916="","",IF('ORDENES'!$E916="","-",'ORDENES'!$E916))</f>
        <v/>
      </c>
      <c r="L938" s="26">
        <f>IF('ORDENES'!$A916="","",IF('ORDENES'!$M916="",0,'ORDENES'!$M916))</f>
        <v/>
      </c>
      <c r="M938" s="24">
        <f>IF('ORDENES'!$A916="","",IF('ORDENES'!$N916="","-",'ORDENES'!$N916))</f>
        <v/>
      </c>
      <c r="N938" s="24">
        <f>IF('ORDENES'!$A916="","",'ORDENES'!$AG916)</f>
        <v/>
      </c>
    </row>
    <row r="939">
      <c r="A939" s="24">
        <f>IF('ORDENES'!$A917="","",IF('ORDENES'!$O917="","-",'ORDENES'!$O917))</f>
        <v/>
      </c>
      <c r="B939" s="24">
        <f>IF('ORDENES'!$A917="","",IF('ORDENES'!$S917="","-",'ORDENES'!$S917))</f>
        <v/>
      </c>
      <c r="C939" s="24">
        <f>IF('ORDENES'!$A917="","",IF('ORDENES'!$AI917="","-",'ORDENES'!$AI917))</f>
        <v/>
      </c>
      <c r="D939" s="24">
        <f>IF('ORDENES'!$A917="","",IF('ORDENES'!$AA917="","-",'ORDENES'!$AA917))</f>
        <v/>
      </c>
      <c r="E939" s="24">
        <f>IF('ORDENES'!$A917="","",IF('ORDENES'!$Y917="","-",'ORDENES'!$Y917))</f>
        <v/>
      </c>
      <c r="F939" s="24">
        <f>IF('ORDENES'!$A917="","",IF('ORDENES'!$AB917="","-",'ORDENES'!$AB917))</f>
        <v/>
      </c>
      <c r="G939" s="24">
        <f>IF('ORDENES'!$A917="","",IF('ORDENES'!$Z917="","-",'ORDENES'!$Z917))</f>
        <v/>
      </c>
      <c r="H939" s="24">
        <f>IF('ORDENES'!$A917="","",IF('ORDENES'!$AH917="","-",'ORDENES'!$AH917))</f>
        <v/>
      </c>
      <c r="I939" s="24">
        <f>IF('ORDENES'!$A917="","",IF('ORDENES'!$AU917="","-",'ORDENES'!$AU917))</f>
        <v/>
      </c>
      <c r="J939" s="24">
        <f>IF('ORDENES'!$A917="","",IF('ORDENES'!$D917="","-",'ORDENES'!$D917))</f>
        <v/>
      </c>
      <c r="K939" s="24">
        <f>IF('ORDENES'!$A917="","",IF('ORDENES'!$E917="","-",'ORDENES'!$E917))</f>
        <v/>
      </c>
      <c r="L939" s="26">
        <f>IF('ORDENES'!$A917="","",IF('ORDENES'!$M917="",0,'ORDENES'!$M917))</f>
        <v/>
      </c>
      <c r="M939" s="24">
        <f>IF('ORDENES'!$A917="","",IF('ORDENES'!$N917="","-",'ORDENES'!$N917))</f>
        <v/>
      </c>
      <c r="N939" s="24">
        <f>IF('ORDENES'!$A917="","",'ORDENES'!$AG917)</f>
        <v/>
      </c>
    </row>
    <row r="940">
      <c r="A940" s="24">
        <f>IF('ORDENES'!$A918="","",IF('ORDENES'!$O918="","-",'ORDENES'!$O918))</f>
        <v/>
      </c>
      <c r="B940" s="24">
        <f>IF('ORDENES'!$A918="","",IF('ORDENES'!$S918="","-",'ORDENES'!$S918))</f>
        <v/>
      </c>
      <c r="C940" s="24">
        <f>IF('ORDENES'!$A918="","",IF('ORDENES'!$AI918="","-",'ORDENES'!$AI918))</f>
        <v/>
      </c>
      <c r="D940" s="24">
        <f>IF('ORDENES'!$A918="","",IF('ORDENES'!$AA918="","-",'ORDENES'!$AA918))</f>
        <v/>
      </c>
      <c r="E940" s="24">
        <f>IF('ORDENES'!$A918="","",IF('ORDENES'!$Y918="","-",'ORDENES'!$Y918))</f>
        <v/>
      </c>
      <c r="F940" s="24">
        <f>IF('ORDENES'!$A918="","",IF('ORDENES'!$AB918="","-",'ORDENES'!$AB918))</f>
        <v/>
      </c>
      <c r="G940" s="24">
        <f>IF('ORDENES'!$A918="","",IF('ORDENES'!$Z918="","-",'ORDENES'!$Z918))</f>
        <v/>
      </c>
      <c r="H940" s="24">
        <f>IF('ORDENES'!$A918="","",IF('ORDENES'!$AH918="","-",'ORDENES'!$AH918))</f>
        <v/>
      </c>
      <c r="I940" s="24">
        <f>IF('ORDENES'!$A918="","",IF('ORDENES'!$AU918="","-",'ORDENES'!$AU918))</f>
        <v/>
      </c>
      <c r="J940" s="24">
        <f>IF('ORDENES'!$A918="","",IF('ORDENES'!$D918="","-",'ORDENES'!$D918))</f>
        <v/>
      </c>
      <c r="K940" s="24">
        <f>IF('ORDENES'!$A918="","",IF('ORDENES'!$E918="","-",'ORDENES'!$E918))</f>
        <v/>
      </c>
      <c r="L940" s="26">
        <f>IF('ORDENES'!$A918="","",IF('ORDENES'!$M918="",0,'ORDENES'!$M918))</f>
        <v/>
      </c>
      <c r="M940" s="24">
        <f>IF('ORDENES'!$A918="","",IF('ORDENES'!$N918="","-",'ORDENES'!$N918))</f>
        <v/>
      </c>
      <c r="N940" s="24">
        <f>IF('ORDENES'!$A918="","",'ORDENES'!$AG918)</f>
        <v/>
      </c>
    </row>
    <row r="941">
      <c r="A941" s="24">
        <f>IF('ORDENES'!$A919="","",IF('ORDENES'!$O919="","-",'ORDENES'!$O919))</f>
        <v/>
      </c>
      <c r="B941" s="24">
        <f>IF('ORDENES'!$A919="","",IF('ORDENES'!$S919="","-",'ORDENES'!$S919))</f>
        <v/>
      </c>
      <c r="C941" s="24">
        <f>IF('ORDENES'!$A919="","",IF('ORDENES'!$AI919="","-",'ORDENES'!$AI919))</f>
        <v/>
      </c>
      <c r="D941" s="24">
        <f>IF('ORDENES'!$A919="","",IF('ORDENES'!$AA919="","-",'ORDENES'!$AA919))</f>
        <v/>
      </c>
      <c r="E941" s="24">
        <f>IF('ORDENES'!$A919="","",IF('ORDENES'!$Y919="","-",'ORDENES'!$Y919))</f>
        <v/>
      </c>
      <c r="F941" s="24">
        <f>IF('ORDENES'!$A919="","",IF('ORDENES'!$AB919="","-",'ORDENES'!$AB919))</f>
        <v/>
      </c>
      <c r="G941" s="24">
        <f>IF('ORDENES'!$A919="","",IF('ORDENES'!$Z919="","-",'ORDENES'!$Z919))</f>
        <v/>
      </c>
      <c r="H941" s="24">
        <f>IF('ORDENES'!$A919="","",IF('ORDENES'!$AH919="","-",'ORDENES'!$AH919))</f>
        <v/>
      </c>
      <c r="I941" s="24">
        <f>IF('ORDENES'!$A919="","",IF('ORDENES'!$AU919="","-",'ORDENES'!$AU919))</f>
        <v/>
      </c>
      <c r="J941" s="24">
        <f>IF('ORDENES'!$A919="","",IF('ORDENES'!$D919="","-",'ORDENES'!$D919))</f>
        <v/>
      </c>
      <c r="K941" s="24">
        <f>IF('ORDENES'!$A919="","",IF('ORDENES'!$E919="","-",'ORDENES'!$E919))</f>
        <v/>
      </c>
      <c r="L941" s="26">
        <f>IF('ORDENES'!$A919="","",IF('ORDENES'!$M919="",0,'ORDENES'!$M919))</f>
        <v/>
      </c>
      <c r="M941" s="24">
        <f>IF('ORDENES'!$A919="","",IF('ORDENES'!$N919="","-",'ORDENES'!$N919))</f>
        <v/>
      </c>
      <c r="N941" s="24">
        <f>IF('ORDENES'!$A919="","",'ORDENES'!$AG919)</f>
        <v/>
      </c>
    </row>
    <row r="942">
      <c r="A942" s="24">
        <f>IF('ORDENES'!$A920="","",IF('ORDENES'!$O920="","-",'ORDENES'!$O920))</f>
        <v/>
      </c>
      <c r="B942" s="24">
        <f>IF('ORDENES'!$A920="","",IF('ORDENES'!$S920="","-",'ORDENES'!$S920))</f>
        <v/>
      </c>
      <c r="C942" s="24">
        <f>IF('ORDENES'!$A920="","",IF('ORDENES'!$AI920="","-",'ORDENES'!$AI920))</f>
        <v/>
      </c>
      <c r="D942" s="24">
        <f>IF('ORDENES'!$A920="","",IF('ORDENES'!$AA920="","-",'ORDENES'!$AA920))</f>
        <v/>
      </c>
      <c r="E942" s="24">
        <f>IF('ORDENES'!$A920="","",IF('ORDENES'!$Y920="","-",'ORDENES'!$Y920))</f>
        <v/>
      </c>
      <c r="F942" s="24">
        <f>IF('ORDENES'!$A920="","",IF('ORDENES'!$AB920="","-",'ORDENES'!$AB920))</f>
        <v/>
      </c>
      <c r="G942" s="24">
        <f>IF('ORDENES'!$A920="","",IF('ORDENES'!$Z920="","-",'ORDENES'!$Z920))</f>
        <v/>
      </c>
      <c r="H942" s="24">
        <f>IF('ORDENES'!$A920="","",IF('ORDENES'!$AH920="","-",'ORDENES'!$AH920))</f>
        <v/>
      </c>
      <c r="I942" s="24">
        <f>IF('ORDENES'!$A920="","",IF('ORDENES'!$AU920="","-",'ORDENES'!$AU920))</f>
        <v/>
      </c>
      <c r="J942" s="24">
        <f>IF('ORDENES'!$A920="","",IF('ORDENES'!$D920="","-",'ORDENES'!$D920))</f>
        <v/>
      </c>
      <c r="K942" s="24">
        <f>IF('ORDENES'!$A920="","",IF('ORDENES'!$E920="","-",'ORDENES'!$E920))</f>
        <v/>
      </c>
      <c r="L942" s="26">
        <f>IF('ORDENES'!$A920="","",IF('ORDENES'!$M920="",0,'ORDENES'!$M920))</f>
        <v/>
      </c>
      <c r="M942" s="24">
        <f>IF('ORDENES'!$A920="","",IF('ORDENES'!$N920="","-",'ORDENES'!$N920))</f>
        <v/>
      </c>
      <c r="N942" s="24">
        <f>IF('ORDENES'!$A920="","",'ORDENES'!$AG920)</f>
        <v/>
      </c>
    </row>
    <row r="943">
      <c r="A943" s="24">
        <f>IF('ORDENES'!$A921="","",IF('ORDENES'!$O921="","-",'ORDENES'!$O921))</f>
        <v/>
      </c>
      <c r="B943" s="24">
        <f>IF('ORDENES'!$A921="","",IF('ORDENES'!$S921="","-",'ORDENES'!$S921))</f>
        <v/>
      </c>
      <c r="C943" s="24">
        <f>IF('ORDENES'!$A921="","",IF('ORDENES'!$AI921="","-",'ORDENES'!$AI921))</f>
        <v/>
      </c>
      <c r="D943" s="24">
        <f>IF('ORDENES'!$A921="","",IF('ORDENES'!$AA921="","-",'ORDENES'!$AA921))</f>
        <v/>
      </c>
      <c r="E943" s="24">
        <f>IF('ORDENES'!$A921="","",IF('ORDENES'!$Y921="","-",'ORDENES'!$Y921))</f>
        <v/>
      </c>
      <c r="F943" s="24">
        <f>IF('ORDENES'!$A921="","",IF('ORDENES'!$AB921="","-",'ORDENES'!$AB921))</f>
        <v/>
      </c>
      <c r="G943" s="24">
        <f>IF('ORDENES'!$A921="","",IF('ORDENES'!$Z921="","-",'ORDENES'!$Z921))</f>
        <v/>
      </c>
      <c r="H943" s="24">
        <f>IF('ORDENES'!$A921="","",IF('ORDENES'!$AH921="","-",'ORDENES'!$AH921))</f>
        <v/>
      </c>
      <c r="I943" s="24">
        <f>IF('ORDENES'!$A921="","",IF('ORDENES'!$AU921="","-",'ORDENES'!$AU921))</f>
        <v/>
      </c>
      <c r="J943" s="24">
        <f>IF('ORDENES'!$A921="","",IF('ORDENES'!$D921="","-",'ORDENES'!$D921))</f>
        <v/>
      </c>
      <c r="K943" s="24">
        <f>IF('ORDENES'!$A921="","",IF('ORDENES'!$E921="","-",'ORDENES'!$E921))</f>
        <v/>
      </c>
      <c r="L943" s="26">
        <f>IF('ORDENES'!$A921="","",IF('ORDENES'!$M921="",0,'ORDENES'!$M921))</f>
        <v/>
      </c>
      <c r="M943" s="24">
        <f>IF('ORDENES'!$A921="","",IF('ORDENES'!$N921="","-",'ORDENES'!$N921))</f>
        <v/>
      </c>
      <c r="N943" s="24">
        <f>IF('ORDENES'!$A921="","",'ORDENES'!$AG921)</f>
        <v/>
      </c>
    </row>
    <row r="944">
      <c r="A944" s="24">
        <f>IF('ORDENES'!$A922="","",IF('ORDENES'!$O922="","-",'ORDENES'!$O922))</f>
        <v/>
      </c>
      <c r="B944" s="24">
        <f>IF('ORDENES'!$A922="","",IF('ORDENES'!$S922="","-",'ORDENES'!$S922))</f>
        <v/>
      </c>
      <c r="C944" s="24">
        <f>IF('ORDENES'!$A922="","",IF('ORDENES'!$AI922="","-",'ORDENES'!$AI922))</f>
        <v/>
      </c>
      <c r="D944" s="24">
        <f>IF('ORDENES'!$A922="","",IF('ORDENES'!$AA922="","-",'ORDENES'!$AA922))</f>
        <v/>
      </c>
      <c r="E944" s="24">
        <f>IF('ORDENES'!$A922="","",IF('ORDENES'!$Y922="","-",'ORDENES'!$Y922))</f>
        <v/>
      </c>
      <c r="F944" s="24">
        <f>IF('ORDENES'!$A922="","",IF('ORDENES'!$AB922="","-",'ORDENES'!$AB922))</f>
        <v/>
      </c>
      <c r="G944" s="24">
        <f>IF('ORDENES'!$A922="","",IF('ORDENES'!$Z922="","-",'ORDENES'!$Z922))</f>
        <v/>
      </c>
      <c r="H944" s="24">
        <f>IF('ORDENES'!$A922="","",IF('ORDENES'!$AH922="","-",'ORDENES'!$AH922))</f>
        <v/>
      </c>
      <c r="I944" s="24">
        <f>IF('ORDENES'!$A922="","",IF('ORDENES'!$AU922="","-",'ORDENES'!$AU922))</f>
        <v/>
      </c>
      <c r="J944" s="24">
        <f>IF('ORDENES'!$A922="","",IF('ORDENES'!$D922="","-",'ORDENES'!$D922))</f>
        <v/>
      </c>
      <c r="K944" s="24">
        <f>IF('ORDENES'!$A922="","",IF('ORDENES'!$E922="","-",'ORDENES'!$E922))</f>
        <v/>
      </c>
      <c r="L944" s="26">
        <f>IF('ORDENES'!$A922="","",IF('ORDENES'!$M922="",0,'ORDENES'!$M922))</f>
        <v/>
      </c>
      <c r="M944" s="24">
        <f>IF('ORDENES'!$A922="","",IF('ORDENES'!$N922="","-",'ORDENES'!$N922))</f>
        <v/>
      </c>
      <c r="N944" s="24">
        <f>IF('ORDENES'!$A922="","",'ORDENES'!$AG922)</f>
        <v/>
      </c>
    </row>
    <row r="945">
      <c r="A945" s="24">
        <f>IF('ORDENES'!$A923="","",IF('ORDENES'!$O923="","-",'ORDENES'!$O923))</f>
        <v/>
      </c>
      <c r="B945" s="24">
        <f>IF('ORDENES'!$A923="","",IF('ORDENES'!$S923="","-",'ORDENES'!$S923))</f>
        <v/>
      </c>
      <c r="C945" s="24">
        <f>IF('ORDENES'!$A923="","",IF('ORDENES'!$AI923="","-",'ORDENES'!$AI923))</f>
        <v/>
      </c>
      <c r="D945" s="24">
        <f>IF('ORDENES'!$A923="","",IF('ORDENES'!$AA923="","-",'ORDENES'!$AA923))</f>
        <v/>
      </c>
      <c r="E945" s="24">
        <f>IF('ORDENES'!$A923="","",IF('ORDENES'!$Y923="","-",'ORDENES'!$Y923))</f>
        <v/>
      </c>
      <c r="F945" s="24">
        <f>IF('ORDENES'!$A923="","",IF('ORDENES'!$AB923="","-",'ORDENES'!$AB923))</f>
        <v/>
      </c>
      <c r="G945" s="24">
        <f>IF('ORDENES'!$A923="","",IF('ORDENES'!$Z923="","-",'ORDENES'!$Z923))</f>
        <v/>
      </c>
      <c r="H945" s="24">
        <f>IF('ORDENES'!$A923="","",IF('ORDENES'!$AH923="","-",'ORDENES'!$AH923))</f>
        <v/>
      </c>
      <c r="I945" s="24">
        <f>IF('ORDENES'!$A923="","",IF('ORDENES'!$AU923="","-",'ORDENES'!$AU923))</f>
        <v/>
      </c>
      <c r="J945" s="24">
        <f>IF('ORDENES'!$A923="","",IF('ORDENES'!$D923="","-",'ORDENES'!$D923))</f>
        <v/>
      </c>
      <c r="K945" s="24">
        <f>IF('ORDENES'!$A923="","",IF('ORDENES'!$E923="","-",'ORDENES'!$E923))</f>
        <v/>
      </c>
      <c r="L945" s="26">
        <f>IF('ORDENES'!$A923="","",IF('ORDENES'!$M923="",0,'ORDENES'!$M923))</f>
        <v/>
      </c>
      <c r="M945" s="24">
        <f>IF('ORDENES'!$A923="","",IF('ORDENES'!$N923="","-",'ORDENES'!$N923))</f>
        <v/>
      </c>
      <c r="N945" s="24">
        <f>IF('ORDENES'!$A923="","",'ORDENES'!$AG923)</f>
        <v/>
      </c>
    </row>
    <row r="946">
      <c r="A946" s="24">
        <f>IF('ORDENES'!$A924="","",IF('ORDENES'!$O924="","-",'ORDENES'!$O924))</f>
        <v/>
      </c>
      <c r="B946" s="24">
        <f>IF('ORDENES'!$A924="","",IF('ORDENES'!$S924="","-",'ORDENES'!$S924))</f>
        <v/>
      </c>
      <c r="C946" s="24">
        <f>IF('ORDENES'!$A924="","",IF('ORDENES'!$AI924="","-",'ORDENES'!$AI924))</f>
        <v/>
      </c>
      <c r="D946" s="24">
        <f>IF('ORDENES'!$A924="","",IF('ORDENES'!$AA924="","-",'ORDENES'!$AA924))</f>
        <v/>
      </c>
      <c r="E946" s="24">
        <f>IF('ORDENES'!$A924="","",IF('ORDENES'!$Y924="","-",'ORDENES'!$Y924))</f>
        <v/>
      </c>
      <c r="F946" s="24">
        <f>IF('ORDENES'!$A924="","",IF('ORDENES'!$AB924="","-",'ORDENES'!$AB924))</f>
        <v/>
      </c>
      <c r="G946" s="24">
        <f>IF('ORDENES'!$A924="","",IF('ORDENES'!$Z924="","-",'ORDENES'!$Z924))</f>
        <v/>
      </c>
      <c r="H946" s="24">
        <f>IF('ORDENES'!$A924="","",IF('ORDENES'!$AH924="","-",'ORDENES'!$AH924))</f>
        <v/>
      </c>
      <c r="I946" s="24">
        <f>IF('ORDENES'!$A924="","",IF('ORDENES'!$AU924="","-",'ORDENES'!$AU924))</f>
        <v/>
      </c>
      <c r="J946" s="24">
        <f>IF('ORDENES'!$A924="","",IF('ORDENES'!$D924="","-",'ORDENES'!$D924))</f>
        <v/>
      </c>
      <c r="K946" s="24">
        <f>IF('ORDENES'!$A924="","",IF('ORDENES'!$E924="","-",'ORDENES'!$E924))</f>
        <v/>
      </c>
      <c r="L946" s="26">
        <f>IF('ORDENES'!$A924="","",IF('ORDENES'!$M924="",0,'ORDENES'!$M924))</f>
        <v/>
      </c>
      <c r="M946" s="24">
        <f>IF('ORDENES'!$A924="","",IF('ORDENES'!$N924="","-",'ORDENES'!$N924))</f>
        <v/>
      </c>
      <c r="N946" s="24">
        <f>IF('ORDENES'!$A924="","",'ORDENES'!$AG924)</f>
        <v/>
      </c>
    </row>
    <row r="947">
      <c r="A947" s="24">
        <f>IF('ORDENES'!$A925="","",IF('ORDENES'!$O925="","-",'ORDENES'!$O925))</f>
        <v/>
      </c>
      <c r="B947" s="24">
        <f>IF('ORDENES'!$A925="","",IF('ORDENES'!$S925="","-",'ORDENES'!$S925))</f>
        <v/>
      </c>
      <c r="C947" s="24">
        <f>IF('ORDENES'!$A925="","",IF('ORDENES'!$AI925="","-",'ORDENES'!$AI925))</f>
        <v/>
      </c>
      <c r="D947" s="24">
        <f>IF('ORDENES'!$A925="","",IF('ORDENES'!$AA925="","-",'ORDENES'!$AA925))</f>
        <v/>
      </c>
      <c r="E947" s="24">
        <f>IF('ORDENES'!$A925="","",IF('ORDENES'!$Y925="","-",'ORDENES'!$Y925))</f>
        <v/>
      </c>
      <c r="F947" s="24">
        <f>IF('ORDENES'!$A925="","",IF('ORDENES'!$AB925="","-",'ORDENES'!$AB925))</f>
        <v/>
      </c>
      <c r="G947" s="24">
        <f>IF('ORDENES'!$A925="","",IF('ORDENES'!$Z925="","-",'ORDENES'!$Z925))</f>
        <v/>
      </c>
      <c r="H947" s="24">
        <f>IF('ORDENES'!$A925="","",IF('ORDENES'!$AH925="","-",'ORDENES'!$AH925))</f>
        <v/>
      </c>
      <c r="I947" s="24">
        <f>IF('ORDENES'!$A925="","",IF('ORDENES'!$AU925="","-",'ORDENES'!$AU925))</f>
        <v/>
      </c>
      <c r="J947" s="24">
        <f>IF('ORDENES'!$A925="","",IF('ORDENES'!$D925="","-",'ORDENES'!$D925))</f>
        <v/>
      </c>
      <c r="K947" s="24">
        <f>IF('ORDENES'!$A925="","",IF('ORDENES'!$E925="","-",'ORDENES'!$E925))</f>
        <v/>
      </c>
      <c r="L947" s="26">
        <f>IF('ORDENES'!$A925="","",IF('ORDENES'!$M925="",0,'ORDENES'!$M925))</f>
        <v/>
      </c>
      <c r="M947" s="24">
        <f>IF('ORDENES'!$A925="","",IF('ORDENES'!$N925="","-",'ORDENES'!$N925))</f>
        <v/>
      </c>
      <c r="N947" s="24">
        <f>IF('ORDENES'!$A925="","",'ORDENES'!$AG925)</f>
        <v/>
      </c>
    </row>
    <row r="948">
      <c r="A948" s="24">
        <f>IF('ORDENES'!$A926="","",IF('ORDENES'!$O926="","-",'ORDENES'!$O926))</f>
        <v/>
      </c>
      <c r="B948" s="24">
        <f>IF('ORDENES'!$A926="","",IF('ORDENES'!$S926="","-",'ORDENES'!$S926))</f>
        <v/>
      </c>
      <c r="C948" s="24">
        <f>IF('ORDENES'!$A926="","",IF('ORDENES'!$AI926="","-",'ORDENES'!$AI926))</f>
        <v/>
      </c>
      <c r="D948" s="24">
        <f>IF('ORDENES'!$A926="","",IF('ORDENES'!$AA926="","-",'ORDENES'!$AA926))</f>
        <v/>
      </c>
      <c r="E948" s="24">
        <f>IF('ORDENES'!$A926="","",IF('ORDENES'!$Y926="","-",'ORDENES'!$Y926))</f>
        <v/>
      </c>
      <c r="F948" s="24">
        <f>IF('ORDENES'!$A926="","",IF('ORDENES'!$AB926="","-",'ORDENES'!$AB926))</f>
        <v/>
      </c>
      <c r="G948" s="24">
        <f>IF('ORDENES'!$A926="","",IF('ORDENES'!$Z926="","-",'ORDENES'!$Z926))</f>
        <v/>
      </c>
      <c r="H948" s="24">
        <f>IF('ORDENES'!$A926="","",IF('ORDENES'!$AH926="","-",'ORDENES'!$AH926))</f>
        <v/>
      </c>
      <c r="I948" s="24">
        <f>IF('ORDENES'!$A926="","",IF('ORDENES'!$AU926="","-",'ORDENES'!$AU926))</f>
        <v/>
      </c>
      <c r="J948" s="24">
        <f>IF('ORDENES'!$A926="","",IF('ORDENES'!$D926="","-",'ORDENES'!$D926))</f>
        <v/>
      </c>
      <c r="K948" s="24">
        <f>IF('ORDENES'!$A926="","",IF('ORDENES'!$E926="","-",'ORDENES'!$E926))</f>
        <v/>
      </c>
      <c r="L948" s="26">
        <f>IF('ORDENES'!$A926="","",IF('ORDENES'!$M926="",0,'ORDENES'!$M926))</f>
        <v/>
      </c>
      <c r="M948" s="24">
        <f>IF('ORDENES'!$A926="","",IF('ORDENES'!$N926="","-",'ORDENES'!$N926))</f>
        <v/>
      </c>
      <c r="N948" s="24">
        <f>IF('ORDENES'!$A926="","",'ORDENES'!$AG926)</f>
        <v/>
      </c>
    </row>
    <row r="949">
      <c r="A949" s="24">
        <f>IF('ORDENES'!$A927="","",IF('ORDENES'!$O927="","-",'ORDENES'!$O927))</f>
        <v/>
      </c>
      <c r="B949" s="24">
        <f>IF('ORDENES'!$A927="","",IF('ORDENES'!$S927="","-",'ORDENES'!$S927))</f>
        <v/>
      </c>
      <c r="C949" s="24">
        <f>IF('ORDENES'!$A927="","",IF('ORDENES'!$AI927="","-",'ORDENES'!$AI927))</f>
        <v/>
      </c>
      <c r="D949" s="24">
        <f>IF('ORDENES'!$A927="","",IF('ORDENES'!$AA927="","-",'ORDENES'!$AA927))</f>
        <v/>
      </c>
      <c r="E949" s="24">
        <f>IF('ORDENES'!$A927="","",IF('ORDENES'!$Y927="","-",'ORDENES'!$Y927))</f>
        <v/>
      </c>
      <c r="F949" s="24">
        <f>IF('ORDENES'!$A927="","",IF('ORDENES'!$AB927="","-",'ORDENES'!$AB927))</f>
        <v/>
      </c>
      <c r="G949" s="24">
        <f>IF('ORDENES'!$A927="","",IF('ORDENES'!$Z927="","-",'ORDENES'!$Z927))</f>
        <v/>
      </c>
      <c r="H949" s="24">
        <f>IF('ORDENES'!$A927="","",IF('ORDENES'!$AH927="","-",'ORDENES'!$AH927))</f>
        <v/>
      </c>
      <c r="I949" s="24">
        <f>IF('ORDENES'!$A927="","",IF('ORDENES'!$AU927="","-",'ORDENES'!$AU927))</f>
        <v/>
      </c>
      <c r="J949" s="24">
        <f>IF('ORDENES'!$A927="","",IF('ORDENES'!$D927="","-",'ORDENES'!$D927))</f>
        <v/>
      </c>
      <c r="K949" s="24">
        <f>IF('ORDENES'!$A927="","",IF('ORDENES'!$E927="","-",'ORDENES'!$E927))</f>
        <v/>
      </c>
      <c r="L949" s="26">
        <f>IF('ORDENES'!$A927="","",IF('ORDENES'!$M927="",0,'ORDENES'!$M927))</f>
        <v/>
      </c>
      <c r="M949" s="24">
        <f>IF('ORDENES'!$A927="","",IF('ORDENES'!$N927="","-",'ORDENES'!$N927))</f>
        <v/>
      </c>
      <c r="N949" s="24">
        <f>IF('ORDENES'!$A927="","",'ORDENES'!$AG927)</f>
        <v/>
      </c>
    </row>
    <row r="950">
      <c r="A950" s="24">
        <f>IF('ORDENES'!$A928="","",IF('ORDENES'!$O928="","-",'ORDENES'!$O928))</f>
        <v/>
      </c>
      <c r="B950" s="24">
        <f>IF('ORDENES'!$A928="","",IF('ORDENES'!$S928="","-",'ORDENES'!$S928))</f>
        <v/>
      </c>
      <c r="C950" s="24">
        <f>IF('ORDENES'!$A928="","",IF('ORDENES'!$AI928="","-",'ORDENES'!$AI928))</f>
        <v/>
      </c>
      <c r="D950" s="24">
        <f>IF('ORDENES'!$A928="","",IF('ORDENES'!$AA928="","-",'ORDENES'!$AA928))</f>
        <v/>
      </c>
      <c r="E950" s="24">
        <f>IF('ORDENES'!$A928="","",IF('ORDENES'!$Y928="","-",'ORDENES'!$Y928))</f>
        <v/>
      </c>
      <c r="F950" s="24">
        <f>IF('ORDENES'!$A928="","",IF('ORDENES'!$AB928="","-",'ORDENES'!$AB928))</f>
        <v/>
      </c>
      <c r="G950" s="24">
        <f>IF('ORDENES'!$A928="","",IF('ORDENES'!$Z928="","-",'ORDENES'!$Z928))</f>
        <v/>
      </c>
      <c r="H950" s="24">
        <f>IF('ORDENES'!$A928="","",IF('ORDENES'!$AH928="","-",'ORDENES'!$AH928))</f>
        <v/>
      </c>
      <c r="I950" s="24">
        <f>IF('ORDENES'!$A928="","",IF('ORDENES'!$AU928="","-",'ORDENES'!$AU928))</f>
        <v/>
      </c>
      <c r="J950" s="24">
        <f>IF('ORDENES'!$A928="","",IF('ORDENES'!$D928="","-",'ORDENES'!$D928))</f>
        <v/>
      </c>
      <c r="K950" s="24">
        <f>IF('ORDENES'!$A928="","",IF('ORDENES'!$E928="","-",'ORDENES'!$E928))</f>
        <v/>
      </c>
      <c r="L950" s="26">
        <f>IF('ORDENES'!$A928="","",IF('ORDENES'!$M928="",0,'ORDENES'!$M928))</f>
        <v/>
      </c>
      <c r="M950" s="24">
        <f>IF('ORDENES'!$A928="","",IF('ORDENES'!$N928="","-",'ORDENES'!$N928))</f>
        <v/>
      </c>
      <c r="N950" s="24">
        <f>IF('ORDENES'!$A928="","",'ORDENES'!$AG928)</f>
        <v/>
      </c>
    </row>
    <row r="951">
      <c r="A951" s="24">
        <f>IF('ORDENES'!$A929="","",IF('ORDENES'!$O929="","-",'ORDENES'!$O929))</f>
        <v/>
      </c>
      <c r="B951" s="24">
        <f>IF('ORDENES'!$A929="","",IF('ORDENES'!$S929="","-",'ORDENES'!$S929))</f>
        <v/>
      </c>
      <c r="C951" s="24">
        <f>IF('ORDENES'!$A929="","",IF('ORDENES'!$AI929="","-",'ORDENES'!$AI929))</f>
        <v/>
      </c>
      <c r="D951" s="24">
        <f>IF('ORDENES'!$A929="","",IF('ORDENES'!$AA929="","-",'ORDENES'!$AA929))</f>
        <v/>
      </c>
      <c r="E951" s="24">
        <f>IF('ORDENES'!$A929="","",IF('ORDENES'!$Y929="","-",'ORDENES'!$Y929))</f>
        <v/>
      </c>
      <c r="F951" s="24">
        <f>IF('ORDENES'!$A929="","",IF('ORDENES'!$AB929="","-",'ORDENES'!$AB929))</f>
        <v/>
      </c>
      <c r="G951" s="24">
        <f>IF('ORDENES'!$A929="","",IF('ORDENES'!$Z929="","-",'ORDENES'!$Z929))</f>
        <v/>
      </c>
      <c r="H951" s="24">
        <f>IF('ORDENES'!$A929="","",IF('ORDENES'!$AH929="","-",'ORDENES'!$AH929))</f>
        <v/>
      </c>
      <c r="I951" s="24">
        <f>IF('ORDENES'!$A929="","",IF('ORDENES'!$AU929="","-",'ORDENES'!$AU929))</f>
        <v/>
      </c>
      <c r="J951" s="24">
        <f>IF('ORDENES'!$A929="","",IF('ORDENES'!$D929="","-",'ORDENES'!$D929))</f>
        <v/>
      </c>
      <c r="K951" s="24">
        <f>IF('ORDENES'!$A929="","",IF('ORDENES'!$E929="","-",'ORDENES'!$E929))</f>
        <v/>
      </c>
      <c r="L951" s="26">
        <f>IF('ORDENES'!$A929="","",IF('ORDENES'!$M929="",0,'ORDENES'!$M929))</f>
        <v/>
      </c>
      <c r="M951" s="24">
        <f>IF('ORDENES'!$A929="","",IF('ORDENES'!$N929="","-",'ORDENES'!$N929))</f>
        <v/>
      </c>
      <c r="N951" s="24">
        <f>IF('ORDENES'!$A929="","",'ORDENES'!$AG929)</f>
        <v/>
      </c>
    </row>
    <row r="952">
      <c r="A952" s="24">
        <f>IF('ORDENES'!$A930="","",IF('ORDENES'!$O930="","-",'ORDENES'!$O930))</f>
        <v/>
      </c>
      <c r="B952" s="24">
        <f>IF('ORDENES'!$A930="","",IF('ORDENES'!$S930="","-",'ORDENES'!$S930))</f>
        <v/>
      </c>
      <c r="C952" s="24">
        <f>IF('ORDENES'!$A930="","",IF('ORDENES'!$AI930="","-",'ORDENES'!$AI930))</f>
        <v/>
      </c>
      <c r="D952" s="24">
        <f>IF('ORDENES'!$A930="","",IF('ORDENES'!$AA930="","-",'ORDENES'!$AA930))</f>
        <v/>
      </c>
      <c r="E952" s="24">
        <f>IF('ORDENES'!$A930="","",IF('ORDENES'!$Y930="","-",'ORDENES'!$Y930))</f>
        <v/>
      </c>
      <c r="F952" s="24">
        <f>IF('ORDENES'!$A930="","",IF('ORDENES'!$AB930="","-",'ORDENES'!$AB930))</f>
        <v/>
      </c>
      <c r="G952" s="24">
        <f>IF('ORDENES'!$A930="","",IF('ORDENES'!$Z930="","-",'ORDENES'!$Z930))</f>
        <v/>
      </c>
      <c r="H952" s="24">
        <f>IF('ORDENES'!$A930="","",IF('ORDENES'!$AH930="","-",'ORDENES'!$AH930))</f>
        <v/>
      </c>
      <c r="I952" s="24">
        <f>IF('ORDENES'!$A930="","",IF('ORDENES'!$AU930="","-",'ORDENES'!$AU930))</f>
        <v/>
      </c>
      <c r="J952" s="24">
        <f>IF('ORDENES'!$A930="","",IF('ORDENES'!$D930="","-",'ORDENES'!$D930))</f>
        <v/>
      </c>
      <c r="K952" s="24">
        <f>IF('ORDENES'!$A930="","",IF('ORDENES'!$E930="","-",'ORDENES'!$E930))</f>
        <v/>
      </c>
      <c r="L952" s="26">
        <f>IF('ORDENES'!$A930="","",IF('ORDENES'!$M930="",0,'ORDENES'!$M930))</f>
        <v/>
      </c>
      <c r="M952" s="24">
        <f>IF('ORDENES'!$A930="","",IF('ORDENES'!$N930="","-",'ORDENES'!$N930))</f>
        <v/>
      </c>
      <c r="N952" s="24">
        <f>IF('ORDENES'!$A930="","",'ORDENES'!$AG930)</f>
        <v/>
      </c>
    </row>
    <row r="953">
      <c r="A953" s="24">
        <f>IF('ORDENES'!$A931="","",IF('ORDENES'!$O931="","-",'ORDENES'!$O931))</f>
        <v/>
      </c>
      <c r="B953" s="24">
        <f>IF('ORDENES'!$A931="","",IF('ORDENES'!$S931="","-",'ORDENES'!$S931))</f>
        <v/>
      </c>
      <c r="C953" s="24">
        <f>IF('ORDENES'!$A931="","",IF('ORDENES'!$AI931="","-",'ORDENES'!$AI931))</f>
        <v/>
      </c>
      <c r="D953" s="24">
        <f>IF('ORDENES'!$A931="","",IF('ORDENES'!$AA931="","-",'ORDENES'!$AA931))</f>
        <v/>
      </c>
      <c r="E953" s="24">
        <f>IF('ORDENES'!$A931="","",IF('ORDENES'!$Y931="","-",'ORDENES'!$Y931))</f>
        <v/>
      </c>
      <c r="F953" s="24">
        <f>IF('ORDENES'!$A931="","",IF('ORDENES'!$AB931="","-",'ORDENES'!$AB931))</f>
        <v/>
      </c>
      <c r="G953" s="24">
        <f>IF('ORDENES'!$A931="","",IF('ORDENES'!$Z931="","-",'ORDENES'!$Z931))</f>
        <v/>
      </c>
      <c r="H953" s="24">
        <f>IF('ORDENES'!$A931="","",IF('ORDENES'!$AH931="","-",'ORDENES'!$AH931))</f>
        <v/>
      </c>
      <c r="I953" s="24">
        <f>IF('ORDENES'!$A931="","",IF('ORDENES'!$AU931="","-",'ORDENES'!$AU931))</f>
        <v/>
      </c>
      <c r="J953" s="24">
        <f>IF('ORDENES'!$A931="","",IF('ORDENES'!$D931="","-",'ORDENES'!$D931))</f>
        <v/>
      </c>
      <c r="K953" s="24">
        <f>IF('ORDENES'!$A931="","",IF('ORDENES'!$E931="","-",'ORDENES'!$E931))</f>
        <v/>
      </c>
      <c r="L953" s="26">
        <f>IF('ORDENES'!$A931="","",IF('ORDENES'!$M931="",0,'ORDENES'!$M931))</f>
        <v/>
      </c>
      <c r="M953" s="24">
        <f>IF('ORDENES'!$A931="","",IF('ORDENES'!$N931="","-",'ORDENES'!$N931))</f>
        <v/>
      </c>
      <c r="N953" s="24">
        <f>IF('ORDENES'!$A931="","",'ORDENES'!$AG931)</f>
        <v/>
      </c>
    </row>
    <row r="954">
      <c r="A954" s="24">
        <f>IF('ORDENES'!$A932="","",IF('ORDENES'!$O932="","-",'ORDENES'!$O932))</f>
        <v/>
      </c>
      <c r="B954" s="24">
        <f>IF('ORDENES'!$A932="","",IF('ORDENES'!$S932="","-",'ORDENES'!$S932))</f>
        <v/>
      </c>
      <c r="C954" s="24">
        <f>IF('ORDENES'!$A932="","",IF('ORDENES'!$AI932="","-",'ORDENES'!$AI932))</f>
        <v/>
      </c>
      <c r="D954" s="24">
        <f>IF('ORDENES'!$A932="","",IF('ORDENES'!$AA932="","-",'ORDENES'!$AA932))</f>
        <v/>
      </c>
      <c r="E954" s="24">
        <f>IF('ORDENES'!$A932="","",IF('ORDENES'!$Y932="","-",'ORDENES'!$Y932))</f>
        <v/>
      </c>
      <c r="F954" s="24">
        <f>IF('ORDENES'!$A932="","",IF('ORDENES'!$AB932="","-",'ORDENES'!$AB932))</f>
        <v/>
      </c>
      <c r="G954" s="24">
        <f>IF('ORDENES'!$A932="","",IF('ORDENES'!$Z932="","-",'ORDENES'!$Z932))</f>
        <v/>
      </c>
      <c r="H954" s="24">
        <f>IF('ORDENES'!$A932="","",IF('ORDENES'!$AH932="","-",'ORDENES'!$AH932))</f>
        <v/>
      </c>
      <c r="I954" s="24">
        <f>IF('ORDENES'!$A932="","",IF('ORDENES'!$AU932="","-",'ORDENES'!$AU932))</f>
        <v/>
      </c>
      <c r="J954" s="24">
        <f>IF('ORDENES'!$A932="","",IF('ORDENES'!$D932="","-",'ORDENES'!$D932))</f>
        <v/>
      </c>
      <c r="K954" s="24">
        <f>IF('ORDENES'!$A932="","",IF('ORDENES'!$E932="","-",'ORDENES'!$E932))</f>
        <v/>
      </c>
      <c r="L954" s="26">
        <f>IF('ORDENES'!$A932="","",IF('ORDENES'!$M932="",0,'ORDENES'!$M932))</f>
        <v/>
      </c>
      <c r="M954" s="24">
        <f>IF('ORDENES'!$A932="","",IF('ORDENES'!$N932="","-",'ORDENES'!$N932))</f>
        <v/>
      </c>
      <c r="N954" s="24">
        <f>IF('ORDENES'!$A932="","",'ORDENES'!$AG932)</f>
        <v/>
      </c>
    </row>
    <row r="955">
      <c r="A955" s="24">
        <f>IF('ORDENES'!$A933="","",IF('ORDENES'!$O933="","-",'ORDENES'!$O933))</f>
        <v/>
      </c>
      <c r="B955" s="24">
        <f>IF('ORDENES'!$A933="","",IF('ORDENES'!$S933="","-",'ORDENES'!$S933))</f>
        <v/>
      </c>
      <c r="C955" s="24">
        <f>IF('ORDENES'!$A933="","",IF('ORDENES'!$AI933="","-",'ORDENES'!$AI933))</f>
        <v/>
      </c>
      <c r="D955" s="24">
        <f>IF('ORDENES'!$A933="","",IF('ORDENES'!$AA933="","-",'ORDENES'!$AA933))</f>
        <v/>
      </c>
      <c r="E955" s="24">
        <f>IF('ORDENES'!$A933="","",IF('ORDENES'!$Y933="","-",'ORDENES'!$Y933))</f>
        <v/>
      </c>
      <c r="F955" s="24">
        <f>IF('ORDENES'!$A933="","",IF('ORDENES'!$AB933="","-",'ORDENES'!$AB933))</f>
        <v/>
      </c>
      <c r="G955" s="24">
        <f>IF('ORDENES'!$A933="","",IF('ORDENES'!$Z933="","-",'ORDENES'!$Z933))</f>
        <v/>
      </c>
      <c r="H955" s="24">
        <f>IF('ORDENES'!$A933="","",IF('ORDENES'!$AH933="","-",'ORDENES'!$AH933))</f>
        <v/>
      </c>
      <c r="I955" s="24">
        <f>IF('ORDENES'!$A933="","",IF('ORDENES'!$AU933="","-",'ORDENES'!$AU933))</f>
        <v/>
      </c>
      <c r="J955" s="24">
        <f>IF('ORDENES'!$A933="","",IF('ORDENES'!$D933="","-",'ORDENES'!$D933))</f>
        <v/>
      </c>
      <c r="K955" s="24">
        <f>IF('ORDENES'!$A933="","",IF('ORDENES'!$E933="","-",'ORDENES'!$E933))</f>
        <v/>
      </c>
      <c r="L955" s="26">
        <f>IF('ORDENES'!$A933="","",IF('ORDENES'!$M933="",0,'ORDENES'!$M933))</f>
        <v/>
      </c>
      <c r="M955" s="24">
        <f>IF('ORDENES'!$A933="","",IF('ORDENES'!$N933="","-",'ORDENES'!$N933))</f>
        <v/>
      </c>
      <c r="N955" s="24">
        <f>IF('ORDENES'!$A933="","",'ORDENES'!$AG933)</f>
        <v/>
      </c>
    </row>
    <row r="956">
      <c r="A956" s="24">
        <f>IF('ORDENES'!$A934="","",IF('ORDENES'!$O934="","-",'ORDENES'!$O934))</f>
        <v/>
      </c>
      <c r="B956" s="24">
        <f>IF('ORDENES'!$A934="","",IF('ORDENES'!$S934="","-",'ORDENES'!$S934))</f>
        <v/>
      </c>
      <c r="C956" s="24">
        <f>IF('ORDENES'!$A934="","",IF('ORDENES'!$AI934="","-",'ORDENES'!$AI934))</f>
        <v/>
      </c>
      <c r="D956" s="24">
        <f>IF('ORDENES'!$A934="","",IF('ORDENES'!$AA934="","-",'ORDENES'!$AA934))</f>
        <v/>
      </c>
      <c r="E956" s="24">
        <f>IF('ORDENES'!$A934="","",IF('ORDENES'!$Y934="","-",'ORDENES'!$Y934))</f>
        <v/>
      </c>
      <c r="F956" s="24">
        <f>IF('ORDENES'!$A934="","",IF('ORDENES'!$AB934="","-",'ORDENES'!$AB934))</f>
        <v/>
      </c>
      <c r="G956" s="24">
        <f>IF('ORDENES'!$A934="","",IF('ORDENES'!$Z934="","-",'ORDENES'!$Z934))</f>
        <v/>
      </c>
      <c r="H956" s="24">
        <f>IF('ORDENES'!$A934="","",IF('ORDENES'!$AH934="","-",'ORDENES'!$AH934))</f>
        <v/>
      </c>
      <c r="I956" s="24">
        <f>IF('ORDENES'!$A934="","",IF('ORDENES'!$AU934="","-",'ORDENES'!$AU934))</f>
        <v/>
      </c>
      <c r="J956" s="24">
        <f>IF('ORDENES'!$A934="","",IF('ORDENES'!$D934="","-",'ORDENES'!$D934))</f>
        <v/>
      </c>
      <c r="K956" s="24">
        <f>IF('ORDENES'!$A934="","",IF('ORDENES'!$E934="","-",'ORDENES'!$E934))</f>
        <v/>
      </c>
      <c r="L956" s="26">
        <f>IF('ORDENES'!$A934="","",IF('ORDENES'!$M934="",0,'ORDENES'!$M934))</f>
        <v/>
      </c>
      <c r="M956" s="24">
        <f>IF('ORDENES'!$A934="","",IF('ORDENES'!$N934="","-",'ORDENES'!$N934))</f>
        <v/>
      </c>
      <c r="N956" s="24">
        <f>IF('ORDENES'!$A934="","",'ORDENES'!$AG934)</f>
        <v/>
      </c>
    </row>
    <row r="957">
      <c r="A957" s="24">
        <f>IF('ORDENES'!$A935="","",IF('ORDENES'!$O935="","-",'ORDENES'!$O935))</f>
        <v/>
      </c>
      <c r="B957" s="24">
        <f>IF('ORDENES'!$A935="","",IF('ORDENES'!$S935="","-",'ORDENES'!$S935))</f>
        <v/>
      </c>
      <c r="C957" s="24">
        <f>IF('ORDENES'!$A935="","",IF('ORDENES'!$AI935="","-",'ORDENES'!$AI935))</f>
        <v/>
      </c>
      <c r="D957" s="24">
        <f>IF('ORDENES'!$A935="","",IF('ORDENES'!$AA935="","-",'ORDENES'!$AA935))</f>
        <v/>
      </c>
      <c r="E957" s="24">
        <f>IF('ORDENES'!$A935="","",IF('ORDENES'!$Y935="","-",'ORDENES'!$Y935))</f>
        <v/>
      </c>
      <c r="F957" s="24">
        <f>IF('ORDENES'!$A935="","",IF('ORDENES'!$AB935="","-",'ORDENES'!$AB935))</f>
        <v/>
      </c>
      <c r="G957" s="24">
        <f>IF('ORDENES'!$A935="","",IF('ORDENES'!$Z935="","-",'ORDENES'!$Z935))</f>
        <v/>
      </c>
      <c r="H957" s="24">
        <f>IF('ORDENES'!$A935="","",IF('ORDENES'!$AH935="","-",'ORDENES'!$AH935))</f>
        <v/>
      </c>
      <c r="I957" s="24">
        <f>IF('ORDENES'!$A935="","",IF('ORDENES'!$AU935="","-",'ORDENES'!$AU935))</f>
        <v/>
      </c>
      <c r="J957" s="24">
        <f>IF('ORDENES'!$A935="","",IF('ORDENES'!$D935="","-",'ORDENES'!$D935))</f>
        <v/>
      </c>
      <c r="K957" s="24">
        <f>IF('ORDENES'!$A935="","",IF('ORDENES'!$E935="","-",'ORDENES'!$E935))</f>
        <v/>
      </c>
      <c r="L957" s="26">
        <f>IF('ORDENES'!$A935="","",IF('ORDENES'!$M935="",0,'ORDENES'!$M935))</f>
        <v/>
      </c>
      <c r="M957" s="24">
        <f>IF('ORDENES'!$A935="","",IF('ORDENES'!$N935="","-",'ORDENES'!$N935))</f>
        <v/>
      </c>
      <c r="N957" s="24">
        <f>IF('ORDENES'!$A935="","",'ORDENES'!$AG935)</f>
        <v/>
      </c>
    </row>
    <row r="958">
      <c r="A958" s="24">
        <f>IF('ORDENES'!$A936="","",IF('ORDENES'!$O936="","-",'ORDENES'!$O936))</f>
        <v/>
      </c>
      <c r="B958" s="24">
        <f>IF('ORDENES'!$A936="","",IF('ORDENES'!$S936="","-",'ORDENES'!$S936))</f>
        <v/>
      </c>
      <c r="C958" s="24">
        <f>IF('ORDENES'!$A936="","",IF('ORDENES'!$AI936="","-",'ORDENES'!$AI936))</f>
        <v/>
      </c>
      <c r="D958" s="24">
        <f>IF('ORDENES'!$A936="","",IF('ORDENES'!$AA936="","-",'ORDENES'!$AA936))</f>
        <v/>
      </c>
      <c r="E958" s="24">
        <f>IF('ORDENES'!$A936="","",IF('ORDENES'!$Y936="","-",'ORDENES'!$Y936))</f>
        <v/>
      </c>
      <c r="F958" s="24">
        <f>IF('ORDENES'!$A936="","",IF('ORDENES'!$AB936="","-",'ORDENES'!$AB936))</f>
        <v/>
      </c>
      <c r="G958" s="24">
        <f>IF('ORDENES'!$A936="","",IF('ORDENES'!$Z936="","-",'ORDENES'!$Z936))</f>
        <v/>
      </c>
      <c r="H958" s="24">
        <f>IF('ORDENES'!$A936="","",IF('ORDENES'!$AH936="","-",'ORDENES'!$AH936))</f>
        <v/>
      </c>
      <c r="I958" s="24">
        <f>IF('ORDENES'!$A936="","",IF('ORDENES'!$AU936="","-",'ORDENES'!$AU936))</f>
        <v/>
      </c>
      <c r="J958" s="24">
        <f>IF('ORDENES'!$A936="","",IF('ORDENES'!$D936="","-",'ORDENES'!$D936))</f>
        <v/>
      </c>
      <c r="K958" s="24">
        <f>IF('ORDENES'!$A936="","",IF('ORDENES'!$E936="","-",'ORDENES'!$E936))</f>
        <v/>
      </c>
      <c r="L958" s="26">
        <f>IF('ORDENES'!$A936="","",IF('ORDENES'!$M936="",0,'ORDENES'!$M936))</f>
        <v/>
      </c>
      <c r="M958" s="24">
        <f>IF('ORDENES'!$A936="","",IF('ORDENES'!$N936="","-",'ORDENES'!$N936))</f>
        <v/>
      </c>
      <c r="N958" s="24">
        <f>IF('ORDENES'!$A936="","",'ORDENES'!$AG936)</f>
        <v/>
      </c>
    </row>
    <row r="959">
      <c r="A959" s="24">
        <f>IF('ORDENES'!$A937="","",IF('ORDENES'!$O937="","-",'ORDENES'!$O937))</f>
        <v/>
      </c>
      <c r="B959" s="24">
        <f>IF('ORDENES'!$A937="","",IF('ORDENES'!$S937="","-",'ORDENES'!$S937))</f>
        <v/>
      </c>
      <c r="C959" s="24">
        <f>IF('ORDENES'!$A937="","",IF('ORDENES'!$AI937="","-",'ORDENES'!$AI937))</f>
        <v/>
      </c>
      <c r="D959" s="24">
        <f>IF('ORDENES'!$A937="","",IF('ORDENES'!$AA937="","-",'ORDENES'!$AA937))</f>
        <v/>
      </c>
      <c r="E959" s="24">
        <f>IF('ORDENES'!$A937="","",IF('ORDENES'!$Y937="","-",'ORDENES'!$Y937))</f>
        <v/>
      </c>
      <c r="F959" s="24">
        <f>IF('ORDENES'!$A937="","",IF('ORDENES'!$AB937="","-",'ORDENES'!$AB937))</f>
        <v/>
      </c>
      <c r="G959" s="24">
        <f>IF('ORDENES'!$A937="","",IF('ORDENES'!$Z937="","-",'ORDENES'!$Z937))</f>
        <v/>
      </c>
      <c r="H959" s="24">
        <f>IF('ORDENES'!$A937="","",IF('ORDENES'!$AH937="","-",'ORDENES'!$AH937))</f>
        <v/>
      </c>
      <c r="I959" s="24">
        <f>IF('ORDENES'!$A937="","",IF('ORDENES'!$AU937="","-",'ORDENES'!$AU937))</f>
        <v/>
      </c>
      <c r="J959" s="24">
        <f>IF('ORDENES'!$A937="","",IF('ORDENES'!$D937="","-",'ORDENES'!$D937))</f>
        <v/>
      </c>
      <c r="K959" s="24">
        <f>IF('ORDENES'!$A937="","",IF('ORDENES'!$E937="","-",'ORDENES'!$E937))</f>
        <v/>
      </c>
      <c r="L959" s="26">
        <f>IF('ORDENES'!$A937="","",IF('ORDENES'!$M937="",0,'ORDENES'!$M937))</f>
        <v/>
      </c>
      <c r="M959" s="24">
        <f>IF('ORDENES'!$A937="","",IF('ORDENES'!$N937="","-",'ORDENES'!$N937))</f>
        <v/>
      </c>
      <c r="N959" s="24">
        <f>IF('ORDENES'!$A937="","",'ORDENES'!$AG937)</f>
        <v/>
      </c>
    </row>
    <row r="960">
      <c r="A960" s="24">
        <f>IF('ORDENES'!$A938="","",IF('ORDENES'!$O938="","-",'ORDENES'!$O938))</f>
        <v/>
      </c>
      <c r="B960" s="24">
        <f>IF('ORDENES'!$A938="","",IF('ORDENES'!$S938="","-",'ORDENES'!$S938))</f>
        <v/>
      </c>
      <c r="C960" s="24">
        <f>IF('ORDENES'!$A938="","",IF('ORDENES'!$AI938="","-",'ORDENES'!$AI938))</f>
        <v/>
      </c>
      <c r="D960" s="24">
        <f>IF('ORDENES'!$A938="","",IF('ORDENES'!$AA938="","-",'ORDENES'!$AA938))</f>
        <v/>
      </c>
      <c r="E960" s="24">
        <f>IF('ORDENES'!$A938="","",IF('ORDENES'!$Y938="","-",'ORDENES'!$Y938))</f>
        <v/>
      </c>
      <c r="F960" s="24">
        <f>IF('ORDENES'!$A938="","",IF('ORDENES'!$AB938="","-",'ORDENES'!$AB938))</f>
        <v/>
      </c>
      <c r="G960" s="24">
        <f>IF('ORDENES'!$A938="","",IF('ORDENES'!$Z938="","-",'ORDENES'!$Z938))</f>
        <v/>
      </c>
      <c r="H960" s="24">
        <f>IF('ORDENES'!$A938="","",IF('ORDENES'!$AH938="","-",'ORDENES'!$AH938))</f>
        <v/>
      </c>
      <c r="I960" s="24">
        <f>IF('ORDENES'!$A938="","",IF('ORDENES'!$AU938="","-",'ORDENES'!$AU938))</f>
        <v/>
      </c>
      <c r="J960" s="24">
        <f>IF('ORDENES'!$A938="","",IF('ORDENES'!$D938="","-",'ORDENES'!$D938))</f>
        <v/>
      </c>
      <c r="K960" s="24">
        <f>IF('ORDENES'!$A938="","",IF('ORDENES'!$E938="","-",'ORDENES'!$E938))</f>
        <v/>
      </c>
      <c r="L960" s="26">
        <f>IF('ORDENES'!$A938="","",IF('ORDENES'!$M938="",0,'ORDENES'!$M938))</f>
        <v/>
      </c>
      <c r="M960" s="24">
        <f>IF('ORDENES'!$A938="","",IF('ORDENES'!$N938="","-",'ORDENES'!$N938))</f>
        <v/>
      </c>
      <c r="N960" s="24">
        <f>IF('ORDENES'!$A938="","",'ORDENES'!$AG938)</f>
        <v/>
      </c>
    </row>
    <row r="961">
      <c r="A961" s="24">
        <f>IF('ORDENES'!$A939="","",IF('ORDENES'!$O939="","-",'ORDENES'!$O939))</f>
        <v/>
      </c>
      <c r="B961" s="24">
        <f>IF('ORDENES'!$A939="","",IF('ORDENES'!$S939="","-",'ORDENES'!$S939))</f>
        <v/>
      </c>
      <c r="C961" s="24">
        <f>IF('ORDENES'!$A939="","",IF('ORDENES'!$AI939="","-",'ORDENES'!$AI939))</f>
        <v/>
      </c>
      <c r="D961" s="24">
        <f>IF('ORDENES'!$A939="","",IF('ORDENES'!$AA939="","-",'ORDENES'!$AA939))</f>
        <v/>
      </c>
      <c r="E961" s="24">
        <f>IF('ORDENES'!$A939="","",IF('ORDENES'!$Y939="","-",'ORDENES'!$Y939))</f>
        <v/>
      </c>
      <c r="F961" s="24">
        <f>IF('ORDENES'!$A939="","",IF('ORDENES'!$AB939="","-",'ORDENES'!$AB939))</f>
        <v/>
      </c>
      <c r="G961" s="24">
        <f>IF('ORDENES'!$A939="","",IF('ORDENES'!$Z939="","-",'ORDENES'!$Z939))</f>
        <v/>
      </c>
      <c r="H961" s="24">
        <f>IF('ORDENES'!$A939="","",IF('ORDENES'!$AH939="","-",'ORDENES'!$AH939))</f>
        <v/>
      </c>
      <c r="I961" s="24">
        <f>IF('ORDENES'!$A939="","",IF('ORDENES'!$AU939="","-",'ORDENES'!$AU939))</f>
        <v/>
      </c>
      <c r="J961" s="24">
        <f>IF('ORDENES'!$A939="","",IF('ORDENES'!$D939="","-",'ORDENES'!$D939))</f>
        <v/>
      </c>
      <c r="K961" s="24">
        <f>IF('ORDENES'!$A939="","",IF('ORDENES'!$E939="","-",'ORDENES'!$E939))</f>
        <v/>
      </c>
      <c r="L961" s="26">
        <f>IF('ORDENES'!$A939="","",IF('ORDENES'!$M939="",0,'ORDENES'!$M939))</f>
        <v/>
      </c>
      <c r="M961" s="24">
        <f>IF('ORDENES'!$A939="","",IF('ORDENES'!$N939="","-",'ORDENES'!$N939))</f>
        <v/>
      </c>
      <c r="N961" s="24">
        <f>IF('ORDENES'!$A939="","",'ORDENES'!$AG939)</f>
        <v/>
      </c>
    </row>
    <row r="962">
      <c r="A962" s="24">
        <f>IF('ORDENES'!$A940="","",IF('ORDENES'!$O940="","-",'ORDENES'!$O940))</f>
        <v/>
      </c>
      <c r="B962" s="24">
        <f>IF('ORDENES'!$A940="","",IF('ORDENES'!$S940="","-",'ORDENES'!$S940))</f>
        <v/>
      </c>
      <c r="C962" s="24">
        <f>IF('ORDENES'!$A940="","",IF('ORDENES'!$AI940="","-",'ORDENES'!$AI940))</f>
        <v/>
      </c>
      <c r="D962" s="24">
        <f>IF('ORDENES'!$A940="","",IF('ORDENES'!$AA940="","-",'ORDENES'!$AA940))</f>
        <v/>
      </c>
      <c r="E962" s="24">
        <f>IF('ORDENES'!$A940="","",IF('ORDENES'!$Y940="","-",'ORDENES'!$Y940))</f>
        <v/>
      </c>
      <c r="F962" s="24">
        <f>IF('ORDENES'!$A940="","",IF('ORDENES'!$AB940="","-",'ORDENES'!$AB940))</f>
        <v/>
      </c>
      <c r="G962" s="24">
        <f>IF('ORDENES'!$A940="","",IF('ORDENES'!$Z940="","-",'ORDENES'!$Z940))</f>
        <v/>
      </c>
      <c r="H962" s="24">
        <f>IF('ORDENES'!$A940="","",IF('ORDENES'!$AH940="","-",'ORDENES'!$AH940))</f>
        <v/>
      </c>
      <c r="I962" s="24">
        <f>IF('ORDENES'!$A940="","",IF('ORDENES'!$AU940="","-",'ORDENES'!$AU940))</f>
        <v/>
      </c>
      <c r="J962" s="24">
        <f>IF('ORDENES'!$A940="","",IF('ORDENES'!$D940="","-",'ORDENES'!$D940))</f>
        <v/>
      </c>
      <c r="K962" s="24">
        <f>IF('ORDENES'!$A940="","",IF('ORDENES'!$E940="","-",'ORDENES'!$E940))</f>
        <v/>
      </c>
      <c r="L962" s="26">
        <f>IF('ORDENES'!$A940="","",IF('ORDENES'!$M940="",0,'ORDENES'!$M940))</f>
        <v/>
      </c>
      <c r="M962" s="24">
        <f>IF('ORDENES'!$A940="","",IF('ORDENES'!$N940="","-",'ORDENES'!$N940))</f>
        <v/>
      </c>
      <c r="N962" s="24">
        <f>IF('ORDENES'!$A940="","",'ORDENES'!$AG940)</f>
        <v/>
      </c>
    </row>
    <row r="963">
      <c r="A963" s="24">
        <f>IF('ORDENES'!$A941="","",IF('ORDENES'!$O941="","-",'ORDENES'!$O941))</f>
        <v/>
      </c>
      <c r="B963" s="24">
        <f>IF('ORDENES'!$A941="","",IF('ORDENES'!$S941="","-",'ORDENES'!$S941))</f>
        <v/>
      </c>
      <c r="C963" s="24">
        <f>IF('ORDENES'!$A941="","",IF('ORDENES'!$AI941="","-",'ORDENES'!$AI941))</f>
        <v/>
      </c>
      <c r="D963" s="24">
        <f>IF('ORDENES'!$A941="","",IF('ORDENES'!$AA941="","-",'ORDENES'!$AA941))</f>
        <v/>
      </c>
      <c r="E963" s="24">
        <f>IF('ORDENES'!$A941="","",IF('ORDENES'!$Y941="","-",'ORDENES'!$Y941))</f>
        <v/>
      </c>
      <c r="F963" s="24">
        <f>IF('ORDENES'!$A941="","",IF('ORDENES'!$AB941="","-",'ORDENES'!$AB941))</f>
        <v/>
      </c>
      <c r="G963" s="24">
        <f>IF('ORDENES'!$A941="","",IF('ORDENES'!$Z941="","-",'ORDENES'!$Z941))</f>
        <v/>
      </c>
      <c r="H963" s="24">
        <f>IF('ORDENES'!$A941="","",IF('ORDENES'!$AH941="","-",'ORDENES'!$AH941))</f>
        <v/>
      </c>
      <c r="I963" s="24">
        <f>IF('ORDENES'!$A941="","",IF('ORDENES'!$AU941="","-",'ORDENES'!$AU941))</f>
        <v/>
      </c>
      <c r="J963" s="24">
        <f>IF('ORDENES'!$A941="","",IF('ORDENES'!$D941="","-",'ORDENES'!$D941))</f>
        <v/>
      </c>
      <c r="K963" s="24">
        <f>IF('ORDENES'!$A941="","",IF('ORDENES'!$E941="","-",'ORDENES'!$E941))</f>
        <v/>
      </c>
      <c r="L963" s="26">
        <f>IF('ORDENES'!$A941="","",IF('ORDENES'!$M941="",0,'ORDENES'!$M941))</f>
        <v/>
      </c>
      <c r="M963" s="24">
        <f>IF('ORDENES'!$A941="","",IF('ORDENES'!$N941="","-",'ORDENES'!$N941))</f>
        <v/>
      </c>
      <c r="N963" s="24">
        <f>IF('ORDENES'!$A941="","",'ORDENES'!$AG941)</f>
        <v/>
      </c>
    </row>
    <row r="964">
      <c r="A964" s="24">
        <f>IF('ORDENES'!$A942="","",IF('ORDENES'!$O942="","-",'ORDENES'!$O942))</f>
        <v/>
      </c>
      <c r="B964" s="24">
        <f>IF('ORDENES'!$A942="","",IF('ORDENES'!$S942="","-",'ORDENES'!$S942))</f>
        <v/>
      </c>
      <c r="C964" s="24">
        <f>IF('ORDENES'!$A942="","",IF('ORDENES'!$AI942="","-",'ORDENES'!$AI942))</f>
        <v/>
      </c>
      <c r="D964" s="24">
        <f>IF('ORDENES'!$A942="","",IF('ORDENES'!$AA942="","-",'ORDENES'!$AA942))</f>
        <v/>
      </c>
      <c r="E964" s="24">
        <f>IF('ORDENES'!$A942="","",IF('ORDENES'!$Y942="","-",'ORDENES'!$Y942))</f>
        <v/>
      </c>
      <c r="F964" s="24">
        <f>IF('ORDENES'!$A942="","",IF('ORDENES'!$AB942="","-",'ORDENES'!$AB942))</f>
        <v/>
      </c>
      <c r="G964" s="24">
        <f>IF('ORDENES'!$A942="","",IF('ORDENES'!$Z942="","-",'ORDENES'!$Z942))</f>
        <v/>
      </c>
      <c r="H964" s="24">
        <f>IF('ORDENES'!$A942="","",IF('ORDENES'!$AH942="","-",'ORDENES'!$AH942))</f>
        <v/>
      </c>
      <c r="I964" s="24">
        <f>IF('ORDENES'!$A942="","",IF('ORDENES'!$AU942="","-",'ORDENES'!$AU942))</f>
        <v/>
      </c>
      <c r="J964" s="24">
        <f>IF('ORDENES'!$A942="","",IF('ORDENES'!$D942="","-",'ORDENES'!$D942))</f>
        <v/>
      </c>
      <c r="K964" s="24">
        <f>IF('ORDENES'!$A942="","",IF('ORDENES'!$E942="","-",'ORDENES'!$E942))</f>
        <v/>
      </c>
      <c r="L964" s="26">
        <f>IF('ORDENES'!$A942="","",IF('ORDENES'!$M942="",0,'ORDENES'!$M942))</f>
        <v/>
      </c>
      <c r="M964" s="24">
        <f>IF('ORDENES'!$A942="","",IF('ORDENES'!$N942="","-",'ORDENES'!$N942))</f>
        <v/>
      </c>
      <c r="N964" s="24">
        <f>IF('ORDENES'!$A942="","",'ORDENES'!$AG942)</f>
        <v/>
      </c>
    </row>
    <row r="965">
      <c r="A965" s="24">
        <f>IF('ORDENES'!$A943="","",IF('ORDENES'!$O943="","-",'ORDENES'!$O943))</f>
        <v/>
      </c>
      <c r="B965" s="24">
        <f>IF('ORDENES'!$A943="","",IF('ORDENES'!$S943="","-",'ORDENES'!$S943))</f>
        <v/>
      </c>
      <c r="C965" s="24">
        <f>IF('ORDENES'!$A943="","",IF('ORDENES'!$AI943="","-",'ORDENES'!$AI943))</f>
        <v/>
      </c>
      <c r="D965" s="24">
        <f>IF('ORDENES'!$A943="","",IF('ORDENES'!$AA943="","-",'ORDENES'!$AA943))</f>
        <v/>
      </c>
      <c r="E965" s="24">
        <f>IF('ORDENES'!$A943="","",IF('ORDENES'!$Y943="","-",'ORDENES'!$Y943))</f>
        <v/>
      </c>
      <c r="F965" s="24">
        <f>IF('ORDENES'!$A943="","",IF('ORDENES'!$AB943="","-",'ORDENES'!$AB943))</f>
        <v/>
      </c>
      <c r="G965" s="24">
        <f>IF('ORDENES'!$A943="","",IF('ORDENES'!$Z943="","-",'ORDENES'!$Z943))</f>
        <v/>
      </c>
      <c r="H965" s="24">
        <f>IF('ORDENES'!$A943="","",IF('ORDENES'!$AH943="","-",'ORDENES'!$AH943))</f>
        <v/>
      </c>
      <c r="I965" s="24">
        <f>IF('ORDENES'!$A943="","",IF('ORDENES'!$AU943="","-",'ORDENES'!$AU943))</f>
        <v/>
      </c>
      <c r="J965" s="24">
        <f>IF('ORDENES'!$A943="","",IF('ORDENES'!$D943="","-",'ORDENES'!$D943))</f>
        <v/>
      </c>
      <c r="K965" s="24">
        <f>IF('ORDENES'!$A943="","",IF('ORDENES'!$E943="","-",'ORDENES'!$E943))</f>
        <v/>
      </c>
      <c r="L965" s="26">
        <f>IF('ORDENES'!$A943="","",IF('ORDENES'!$M943="",0,'ORDENES'!$M943))</f>
        <v/>
      </c>
      <c r="M965" s="24">
        <f>IF('ORDENES'!$A943="","",IF('ORDENES'!$N943="","-",'ORDENES'!$N943))</f>
        <v/>
      </c>
      <c r="N965" s="24">
        <f>IF('ORDENES'!$A943="","",'ORDENES'!$AG943)</f>
        <v/>
      </c>
    </row>
    <row r="966">
      <c r="A966" s="24">
        <f>IF('ORDENES'!$A944="","",IF('ORDENES'!$O944="","-",'ORDENES'!$O944))</f>
        <v/>
      </c>
      <c r="B966" s="24">
        <f>IF('ORDENES'!$A944="","",IF('ORDENES'!$S944="","-",'ORDENES'!$S944))</f>
        <v/>
      </c>
      <c r="C966" s="24">
        <f>IF('ORDENES'!$A944="","",IF('ORDENES'!$AI944="","-",'ORDENES'!$AI944))</f>
        <v/>
      </c>
      <c r="D966" s="24">
        <f>IF('ORDENES'!$A944="","",IF('ORDENES'!$AA944="","-",'ORDENES'!$AA944))</f>
        <v/>
      </c>
      <c r="E966" s="24">
        <f>IF('ORDENES'!$A944="","",IF('ORDENES'!$Y944="","-",'ORDENES'!$Y944))</f>
        <v/>
      </c>
      <c r="F966" s="24">
        <f>IF('ORDENES'!$A944="","",IF('ORDENES'!$AB944="","-",'ORDENES'!$AB944))</f>
        <v/>
      </c>
      <c r="G966" s="24">
        <f>IF('ORDENES'!$A944="","",IF('ORDENES'!$Z944="","-",'ORDENES'!$Z944))</f>
        <v/>
      </c>
      <c r="H966" s="24">
        <f>IF('ORDENES'!$A944="","",IF('ORDENES'!$AH944="","-",'ORDENES'!$AH944))</f>
        <v/>
      </c>
      <c r="I966" s="24">
        <f>IF('ORDENES'!$A944="","",IF('ORDENES'!$AU944="","-",'ORDENES'!$AU944))</f>
        <v/>
      </c>
      <c r="J966" s="24">
        <f>IF('ORDENES'!$A944="","",IF('ORDENES'!$D944="","-",'ORDENES'!$D944))</f>
        <v/>
      </c>
      <c r="K966" s="24">
        <f>IF('ORDENES'!$A944="","",IF('ORDENES'!$E944="","-",'ORDENES'!$E944))</f>
        <v/>
      </c>
      <c r="L966" s="26">
        <f>IF('ORDENES'!$A944="","",IF('ORDENES'!$M944="",0,'ORDENES'!$M944))</f>
        <v/>
      </c>
      <c r="M966" s="24">
        <f>IF('ORDENES'!$A944="","",IF('ORDENES'!$N944="","-",'ORDENES'!$N944))</f>
        <v/>
      </c>
      <c r="N966" s="24">
        <f>IF('ORDENES'!$A944="","",'ORDENES'!$AG944)</f>
        <v/>
      </c>
    </row>
    <row r="967">
      <c r="A967" s="24">
        <f>IF('ORDENES'!$A945="","",IF('ORDENES'!$O945="","-",'ORDENES'!$O945))</f>
        <v/>
      </c>
      <c r="B967" s="24">
        <f>IF('ORDENES'!$A945="","",IF('ORDENES'!$S945="","-",'ORDENES'!$S945))</f>
        <v/>
      </c>
      <c r="C967" s="24">
        <f>IF('ORDENES'!$A945="","",IF('ORDENES'!$AI945="","-",'ORDENES'!$AI945))</f>
        <v/>
      </c>
      <c r="D967" s="24">
        <f>IF('ORDENES'!$A945="","",IF('ORDENES'!$AA945="","-",'ORDENES'!$AA945))</f>
        <v/>
      </c>
      <c r="E967" s="24">
        <f>IF('ORDENES'!$A945="","",IF('ORDENES'!$Y945="","-",'ORDENES'!$Y945))</f>
        <v/>
      </c>
      <c r="F967" s="24">
        <f>IF('ORDENES'!$A945="","",IF('ORDENES'!$AB945="","-",'ORDENES'!$AB945))</f>
        <v/>
      </c>
      <c r="G967" s="24">
        <f>IF('ORDENES'!$A945="","",IF('ORDENES'!$Z945="","-",'ORDENES'!$Z945))</f>
        <v/>
      </c>
      <c r="H967" s="24">
        <f>IF('ORDENES'!$A945="","",IF('ORDENES'!$AH945="","-",'ORDENES'!$AH945))</f>
        <v/>
      </c>
      <c r="I967" s="24">
        <f>IF('ORDENES'!$A945="","",IF('ORDENES'!$AU945="","-",'ORDENES'!$AU945))</f>
        <v/>
      </c>
      <c r="J967" s="24">
        <f>IF('ORDENES'!$A945="","",IF('ORDENES'!$D945="","-",'ORDENES'!$D945))</f>
        <v/>
      </c>
      <c r="K967" s="24">
        <f>IF('ORDENES'!$A945="","",IF('ORDENES'!$E945="","-",'ORDENES'!$E945))</f>
        <v/>
      </c>
      <c r="L967" s="26">
        <f>IF('ORDENES'!$A945="","",IF('ORDENES'!$M945="",0,'ORDENES'!$M945))</f>
        <v/>
      </c>
      <c r="M967" s="24">
        <f>IF('ORDENES'!$A945="","",IF('ORDENES'!$N945="","-",'ORDENES'!$N945))</f>
        <v/>
      </c>
      <c r="N967" s="24">
        <f>IF('ORDENES'!$A945="","",'ORDENES'!$AG945)</f>
        <v/>
      </c>
    </row>
    <row r="968">
      <c r="A968" s="24">
        <f>IF('ORDENES'!$A946="","",IF('ORDENES'!$O946="","-",'ORDENES'!$O946))</f>
        <v/>
      </c>
      <c r="B968" s="24">
        <f>IF('ORDENES'!$A946="","",IF('ORDENES'!$S946="","-",'ORDENES'!$S946))</f>
        <v/>
      </c>
      <c r="C968" s="24">
        <f>IF('ORDENES'!$A946="","",IF('ORDENES'!$AI946="","-",'ORDENES'!$AI946))</f>
        <v/>
      </c>
      <c r="D968" s="24">
        <f>IF('ORDENES'!$A946="","",IF('ORDENES'!$AA946="","-",'ORDENES'!$AA946))</f>
        <v/>
      </c>
      <c r="E968" s="24">
        <f>IF('ORDENES'!$A946="","",IF('ORDENES'!$Y946="","-",'ORDENES'!$Y946))</f>
        <v/>
      </c>
      <c r="F968" s="24">
        <f>IF('ORDENES'!$A946="","",IF('ORDENES'!$AB946="","-",'ORDENES'!$AB946))</f>
        <v/>
      </c>
      <c r="G968" s="24">
        <f>IF('ORDENES'!$A946="","",IF('ORDENES'!$Z946="","-",'ORDENES'!$Z946))</f>
        <v/>
      </c>
      <c r="H968" s="24">
        <f>IF('ORDENES'!$A946="","",IF('ORDENES'!$AH946="","-",'ORDENES'!$AH946))</f>
        <v/>
      </c>
      <c r="I968" s="24">
        <f>IF('ORDENES'!$A946="","",IF('ORDENES'!$AU946="","-",'ORDENES'!$AU946))</f>
        <v/>
      </c>
      <c r="J968" s="24">
        <f>IF('ORDENES'!$A946="","",IF('ORDENES'!$D946="","-",'ORDENES'!$D946))</f>
        <v/>
      </c>
      <c r="K968" s="24">
        <f>IF('ORDENES'!$A946="","",IF('ORDENES'!$E946="","-",'ORDENES'!$E946))</f>
        <v/>
      </c>
      <c r="L968" s="26">
        <f>IF('ORDENES'!$A946="","",IF('ORDENES'!$M946="",0,'ORDENES'!$M946))</f>
        <v/>
      </c>
      <c r="M968" s="24">
        <f>IF('ORDENES'!$A946="","",IF('ORDENES'!$N946="","-",'ORDENES'!$N946))</f>
        <v/>
      </c>
      <c r="N968" s="24">
        <f>IF('ORDENES'!$A946="","",'ORDENES'!$AG946)</f>
        <v/>
      </c>
    </row>
    <row r="969">
      <c r="A969" s="24">
        <f>IF('ORDENES'!$A947="","",IF('ORDENES'!$O947="","-",'ORDENES'!$O947))</f>
        <v/>
      </c>
      <c r="B969" s="24">
        <f>IF('ORDENES'!$A947="","",IF('ORDENES'!$S947="","-",'ORDENES'!$S947))</f>
        <v/>
      </c>
      <c r="C969" s="24">
        <f>IF('ORDENES'!$A947="","",IF('ORDENES'!$AI947="","-",'ORDENES'!$AI947))</f>
        <v/>
      </c>
      <c r="D969" s="24">
        <f>IF('ORDENES'!$A947="","",IF('ORDENES'!$AA947="","-",'ORDENES'!$AA947))</f>
        <v/>
      </c>
      <c r="E969" s="24">
        <f>IF('ORDENES'!$A947="","",IF('ORDENES'!$Y947="","-",'ORDENES'!$Y947))</f>
        <v/>
      </c>
      <c r="F969" s="24">
        <f>IF('ORDENES'!$A947="","",IF('ORDENES'!$AB947="","-",'ORDENES'!$AB947))</f>
        <v/>
      </c>
      <c r="G969" s="24">
        <f>IF('ORDENES'!$A947="","",IF('ORDENES'!$Z947="","-",'ORDENES'!$Z947))</f>
        <v/>
      </c>
      <c r="H969" s="24">
        <f>IF('ORDENES'!$A947="","",IF('ORDENES'!$AH947="","-",'ORDENES'!$AH947))</f>
        <v/>
      </c>
      <c r="I969" s="24">
        <f>IF('ORDENES'!$A947="","",IF('ORDENES'!$AU947="","-",'ORDENES'!$AU947))</f>
        <v/>
      </c>
      <c r="J969" s="24">
        <f>IF('ORDENES'!$A947="","",IF('ORDENES'!$D947="","-",'ORDENES'!$D947))</f>
        <v/>
      </c>
      <c r="K969" s="24">
        <f>IF('ORDENES'!$A947="","",IF('ORDENES'!$E947="","-",'ORDENES'!$E947))</f>
        <v/>
      </c>
      <c r="L969" s="26">
        <f>IF('ORDENES'!$A947="","",IF('ORDENES'!$M947="",0,'ORDENES'!$M947))</f>
        <v/>
      </c>
      <c r="M969" s="24">
        <f>IF('ORDENES'!$A947="","",IF('ORDENES'!$N947="","-",'ORDENES'!$N947))</f>
        <v/>
      </c>
      <c r="N969" s="24">
        <f>IF('ORDENES'!$A947="","",'ORDENES'!$AG947)</f>
        <v/>
      </c>
    </row>
    <row r="970">
      <c r="A970" s="24">
        <f>IF('ORDENES'!$A948="","",IF('ORDENES'!$O948="","-",'ORDENES'!$O948))</f>
        <v/>
      </c>
      <c r="B970" s="24">
        <f>IF('ORDENES'!$A948="","",IF('ORDENES'!$S948="","-",'ORDENES'!$S948))</f>
        <v/>
      </c>
      <c r="C970" s="24">
        <f>IF('ORDENES'!$A948="","",IF('ORDENES'!$AI948="","-",'ORDENES'!$AI948))</f>
        <v/>
      </c>
      <c r="D970" s="24">
        <f>IF('ORDENES'!$A948="","",IF('ORDENES'!$AA948="","-",'ORDENES'!$AA948))</f>
        <v/>
      </c>
      <c r="E970" s="24">
        <f>IF('ORDENES'!$A948="","",IF('ORDENES'!$Y948="","-",'ORDENES'!$Y948))</f>
        <v/>
      </c>
      <c r="F970" s="24">
        <f>IF('ORDENES'!$A948="","",IF('ORDENES'!$AB948="","-",'ORDENES'!$AB948))</f>
        <v/>
      </c>
      <c r="G970" s="24">
        <f>IF('ORDENES'!$A948="","",IF('ORDENES'!$Z948="","-",'ORDENES'!$Z948))</f>
        <v/>
      </c>
      <c r="H970" s="24">
        <f>IF('ORDENES'!$A948="","",IF('ORDENES'!$AH948="","-",'ORDENES'!$AH948))</f>
        <v/>
      </c>
      <c r="I970" s="24">
        <f>IF('ORDENES'!$A948="","",IF('ORDENES'!$AU948="","-",'ORDENES'!$AU948))</f>
        <v/>
      </c>
      <c r="J970" s="24">
        <f>IF('ORDENES'!$A948="","",IF('ORDENES'!$D948="","-",'ORDENES'!$D948))</f>
        <v/>
      </c>
      <c r="K970" s="24">
        <f>IF('ORDENES'!$A948="","",IF('ORDENES'!$E948="","-",'ORDENES'!$E948))</f>
        <v/>
      </c>
      <c r="L970" s="26">
        <f>IF('ORDENES'!$A948="","",IF('ORDENES'!$M948="",0,'ORDENES'!$M948))</f>
        <v/>
      </c>
      <c r="M970" s="24">
        <f>IF('ORDENES'!$A948="","",IF('ORDENES'!$N948="","-",'ORDENES'!$N948))</f>
        <v/>
      </c>
      <c r="N970" s="24">
        <f>IF('ORDENES'!$A948="","",'ORDENES'!$AG948)</f>
        <v/>
      </c>
    </row>
    <row r="971">
      <c r="A971" s="24">
        <f>IF('ORDENES'!$A949="","",IF('ORDENES'!$O949="","-",'ORDENES'!$O949))</f>
        <v/>
      </c>
      <c r="B971" s="24">
        <f>IF('ORDENES'!$A949="","",IF('ORDENES'!$S949="","-",'ORDENES'!$S949))</f>
        <v/>
      </c>
      <c r="C971" s="24">
        <f>IF('ORDENES'!$A949="","",IF('ORDENES'!$AI949="","-",'ORDENES'!$AI949))</f>
        <v/>
      </c>
      <c r="D971" s="24">
        <f>IF('ORDENES'!$A949="","",IF('ORDENES'!$AA949="","-",'ORDENES'!$AA949))</f>
        <v/>
      </c>
      <c r="E971" s="24">
        <f>IF('ORDENES'!$A949="","",IF('ORDENES'!$Y949="","-",'ORDENES'!$Y949))</f>
        <v/>
      </c>
      <c r="F971" s="24">
        <f>IF('ORDENES'!$A949="","",IF('ORDENES'!$AB949="","-",'ORDENES'!$AB949))</f>
        <v/>
      </c>
      <c r="G971" s="24">
        <f>IF('ORDENES'!$A949="","",IF('ORDENES'!$Z949="","-",'ORDENES'!$Z949))</f>
        <v/>
      </c>
      <c r="H971" s="24">
        <f>IF('ORDENES'!$A949="","",IF('ORDENES'!$AH949="","-",'ORDENES'!$AH949))</f>
        <v/>
      </c>
      <c r="I971" s="24">
        <f>IF('ORDENES'!$A949="","",IF('ORDENES'!$AU949="","-",'ORDENES'!$AU949))</f>
        <v/>
      </c>
      <c r="J971" s="24">
        <f>IF('ORDENES'!$A949="","",IF('ORDENES'!$D949="","-",'ORDENES'!$D949))</f>
        <v/>
      </c>
      <c r="K971" s="24">
        <f>IF('ORDENES'!$A949="","",IF('ORDENES'!$E949="","-",'ORDENES'!$E949))</f>
        <v/>
      </c>
      <c r="L971" s="26">
        <f>IF('ORDENES'!$A949="","",IF('ORDENES'!$M949="",0,'ORDENES'!$M949))</f>
        <v/>
      </c>
      <c r="M971" s="24">
        <f>IF('ORDENES'!$A949="","",IF('ORDENES'!$N949="","-",'ORDENES'!$N949))</f>
        <v/>
      </c>
      <c r="N971" s="24">
        <f>IF('ORDENES'!$A949="","",'ORDENES'!$AG949)</f>
        <v/>
      </c>
    </row>
    <row r="972">
      <c r="A972" s="24">
        <f>IF('ORDENES'!$A950="","",IF('ORDENES'!$O950="","-",'ORDENES'!$O950))</f>
        <v/>
      </c>
      <c r="B972" s="24">
        <f>IF('ORDENES'!$A950="","",IF('ORDENES'!$S950="","-",'ORDENES'!$S950))</f>
        <v/>
      </c>
      <c r="C972" s="24">
        <f>IF('ORDENES'!$A950="","",IF('ORDENES'!$AI950="","-",'ORDENES'!$AI950))</f>
        <v/>
      </c>
      <c r="D972" s="24">
        <f>IF('ORDENES'!$A950="","",IF('ORDENES'!$AA950="","-",'ORDENES'!$AA950))</f>
        <v/>
      </c>
      <c r="E972" s="24">
        <f>IF('ORDENES'!$A950="","",IF('ORDENES'!$Y950="","-",'ORDENES'!$Y950))</f>
        <v/>
      </c>
      <c r="F972" s="24">
        <f>IF('ORDENES'!$A950="","",IF('ORDENES'!$AB950="","-",'ORDENES'!$AB950))</f>
        <v/>
      </c>
      <c r="G972" s="24">
        <f>IF('ORDENES'!$A950="","",IF('ORDENES'!$Z950="","-",'ORDENES'!$Z950))</f>
        <v/>
      </c>
      <c r="H972" s="24">
        <f>IF('ORDENES'!$A950="","",IF('ORDENES'!$AH950="","-",'ORDENES'!$AH950))</f>
        <v/>
      </c>
      <c r="I972" s="24">
        <f>IF('ORDENES'!$A950="","",IF('ORDENES'!$AU950="","-",'ORDENES'!$AU950))</f>
        <v/>
      </c>
      <c r="J972" s="24">
        <f>IF('ORDENES'!$A950="","",IF('ORDENES'!$D950="","-",'ORDENES'!$D950))</f>
        <v/>
      </c>
      <c r="K972" s="24">
        <f>IF('ORDENES'!$A950="","",IF('ORDENES'!$E950="","-",'ORDENES'!$E950))</f>
        <v/>
      </c>
      <c r="L972" s="26">
        <f>IF('ORDENES'!$A950="","",IF('ORDENES'!$M950="",0,'ORDENES'!$M950))</f>
        <v/>
      </c>
      <c r="M972" s="24">
        <f>IF('ORDENES'!$A950="","",IF('ORDENES'!$N950="","-",'ORDENES'!$N950))</f>
        <v/>
      </c>
      <c r="N972" s="24">
        <f>IF('ORDENES'!$A950="","",'ORDENES'!$AG950)</f>
        <v/>
      </c>
    </row>
    <row r="973">
      <c r="A973" s="24">
        <f>IF('ORDENES'!$A951="","",IF('ORDENES'!$O951="","-",'ORDENES'!$O951))</f>
        <v/>
      </c>
      <c r="B973" s="24">
        <f>IF('ORDENES'!$A951="","",IF('ORDENES'!$S951="","-",'ORDENES'!$S951))</f>
        <v/>
      </c>
      <c r="C973" s="24">
        <f>IF('ORDENES'!$A951="","",IF('ORDENES'!$AI951="","-",'ORDENES'!$AI951))</f>
        <v/>
      </c>
      <c r="D973" s="24">
        <f>IF('ORDENES'!$A951="","",IF('ORDENES'!$AA951="","-",'ORDENES'!$AA951))</f>
        <v/>
      </c>
      <c r="E973" s="24">
        <f>IF('ORDENES'!$A951="","",IF('ORDENES'!$Y951="","-",'ORDENES'!$Y951))</f>
        <v/>
      </c>
      <c r="F973" s="24">
        <f>IF('ORDENES'!$A951="","",IF('ORDENES'!$AB951="","-",'ORDENES'!$AB951))</f>
        <v/>
      </c>
      <c r="G973" s="24">
        <f>IF('ORDENES'!$A951="","",IF('ORDENES'!$Z951="","-",'ORDENES'!$Z951))</f>
        <v/>
      </c>
      <c r="H973" s="24">
        <f>IF('ORDENES'!$A951="","",IF('ORDENES'!$AH951="","-",'ORDENES'!$AH951))</f>
        <v/>
      </c>
      <c r="I973" s="24">
        <f>IF('ORDENES'!$A951="","",IF('ORDENES'!$AU951="","-",'ORDENES'!$AU951))</f>
        <v/>
      </c>
      <c r="J973" s="24">
        <f>IF('ORDENES'!$A951="","",IF('ORDENES'!$D951="","-",'ORDENES'!$D951))</f>
        <v/>
      </c>
      <c r="K973" s="24">
        <f>IF('ORDENES'!$A951="","",IF('ORDENES'!$E951="","-",'ORDENES'!$E951))</f>
        <v/>
      </c>
      <c r="L973" s="26">
        <f>IF('ORDENES'!$A951="","",IF('ORDENES'!$M951="",0,'ORDENES'!$M951))</f>
        <v/>
      </c>
      <c r="M973" s="24">
        <f>IF('ORDENES'!$A951="","",IF('ORDENES'!$N951="","-",'ORDENES'!$N951))</f>
        <v/>
      </c>
      <c r="N973" s="24">
        <f>IF('ORDENES'!$A951="","",'ORDENES'!$AG951)</f>
        <v/>
      </c>
    </row>
    <row r="974">
      <c r="A974" s="24">
        <f>IF('ORDENES'!$A952="","",IF('ORDENES'!$O952="","-",'ORDENES'!$O952))</f>
        <v/>
      </c>
      <c r="B974" s="24">
        <f>IF('ORDENES'!$A952="","",IF('ORDENES'!$S952="","-",'ORDENES'!$S952))</f>
        <v/>
      </c>
      <c r="C974" s="24">
        <f>IF('ORDENES'!$A952="","",IF('ORDENES'!$AI952="","-",'ORDENES'!$AI952))</f>
        <v/>
      </c>
      <c r="D974" s="24">
        <f>IF('ORDENES'!$A952="","",IF('ORDENES'!$AA952="","-",'ORDENES'!$AA952))</f>
        <v/>
      </c>
      <c r="E974" s="24">
        <f>IF('ORDENES'!$A952="","",IF('ORDENES'!$Y952="","-",'ORDENES'!$Y952))</f>
        <v/>
      </c>
      <c r="F974" s="24">
        <f>IF('ORDENES'!$A952="","",IF('ORDENES'!$AB952="","-",'ORDENES'!$AB952))</f>
        <v/>
      </c>
      <c r="G974" s="24">
        <f>IF('ORDENES'!$A952="","",IF('ORDENES'!$Z952="","-",'ORDENES'!$Z952))</f>
        <v/>
      </c>
      <c r="H974" s="24">
        <f>IF('ORDENES'!$A952="","",IF('ORDENES'!$AH952="","-",'ORDENES'!$AH952))</f>
        <v/>
      </c>
      <c r="I974" s="24">
        <f>IF('ORDENES'!$A952="","",IF('ORDENES'!$AU952="","-",'ORDENES'!$AU952))</f>
        <v/>
      </c>
      <c r="J974" s="24">
        <f>IF('ORDENES'!$A952="","",IF('ORDENES'!$D952="","-",'ORDENES'!$D952))</f>
        <v/>
      </c>
      <c r="K974" s="24">
        <f>IF('ORDENES'!$A952="","",IF('ORDENES'!$E952="","-",'ORDENES'!$E952))</f>
        <v/>
      </c>
      <c r="L974" s="26">
        <f>IF('ORDENES'!$A952="","",IF('ORDENES'!$M952="",0,'ORDENES'!$M952))</f>
        <v/>
      </c>
      <c r="M974" s="24">
        <f>IF('ORDENES'!$A952="","",IF('ORDENES'!$N952="","-",'ORDENES'!$N952))</f>
        <v/>
      </c>
      <c r="N974" s="24">
        <f>IF('ORDENES'!$A952="","",'ORDENES'!$AG952)</f>
        <v/>
      </c>
    </row>
    <row r="975">
      <c r="A975" s="24">
        <f>IF('ORDENES'!$A953="","",IF('ORDENES'!$O953="","-",'ORDENES'!$O953))</f>
        <v/>
      </c>
      <c r="B975" s="24">
        <f>IF('ORDENES'!$A953="","",IF('ORDENES'!$S953="","-",'ORDENES'!$S953))</f>
        <v/>
      </c>
      <c r="C975" s="24">
        <f>IF('ORDENES'!$A953="","",IF('ORDENES'!$AI953="","-",'ORDENES'!$AI953))</f>
        <v/>
      </c>
      <c r="D975" s="24">
        <f>IF('ORDENES'!$A953="","",IF('ORDENES'!$AA953="","-",'ORDENES'!$AA953))</f>
        <v/>
      </c>
      <c r="E975" s="24">
        <f>IF('ORDENES'!$A953="","",IF('ORDENES'!$Y953="","-",'ORDENES'!$Y953))</f>
        <v/>
      </c>
      <c r="F975" s="24">
        <f>IF('ORDENES'!$A953="","",IF('ORDENES'!$AB953="","-",'ORDENES'!$AB953))</f>
        <v/>
      </c>
      <c r="G975" s="24">
        <f>IF('ORDENES'!$A953="","",IF('ORDENES'!$Z953="","-",'ORDENES'!$Z953))</f>
        <v/>
      </c>
      <c r="H975" s="24">
        <f>IF('ORDENES'!$A953="","",IF('ORDENES'!$AH953="","-",'ORDENES'!$AH953))</f>
        <v/>
      </c>
      <c r="I975" s="24">
        <f>IF('ORDENES'!$A953="","",IF('ORDENES'!$AU953="","-",'ORDENES'!$AU953))</f>
        <v/>
      </c>
      <c r="J975" s="24">
        <f>IF('ORDENES'!$A953="","",IF('ORDENES'!$D953="","-",'ORDENES'!$D953))</f>
        <v/>
      </c>
      <c r="K975" s="24">
        <f>IF('ORDENES'!$A953="","",IF('ORDENES'!$E953="","-",'ORDENES'!$E953))</f>
        <v/>
      </c>
      <c r="L975" s="26">
        <f>IF('ORDENES'!$A953="","",IF('ORDENES'!$M953="",0,'ORDENES'!$M953))</f>
        <v/>
      </c>
      <c r="M975" s="24">
        <f>IF('ORDENES'!$A953="","",IF('ORDENES'!$N953="","-",'ORDENES'!$N953))</f>
        <v/>
      </c>
      <c r="N975" s="24">
        <f>IF('ORDENES'!$A953="","",'ORDENES'!$AG953)</f>
        <v/>
      </c>
    </row>
    <row r="976">
      <c r="A976" s="24">
        <f>IF('ORDENES'!$A954="","",IF('ORDENES'!$O954="","-",'ORDENES'!$O954))</f>
        <v/>
      </c>
      <c r="B976" s="24">
        <f>IF('ORDENES'!$A954="","",IF('ORDENES'!$S954="","-",'ORDENES'!$S954))</f>
        <v/>
      </c>
      <c r="C976" s="24">
        <f>IF('ORDENES'!$A954="","",IF('ORDENES'!$AI954="","-",'ORDENES'!$AI954))</f>
        <v/>
      </c>
      <c r="D976" s="24">
        <f>IF('ORDENES'!$A954="","",IF('ORDENES'!$AA954="","-",'ORDENES'!$AA954))</f>
        <v/>
      </c>
      <c r="E976" s="24">
        <f>IF('ORDENES'!$A954="","",IF('ORDENES'!$Y954="","-",'ORDENES'!$Y954))</f>
        <v/>
      </c>
      <c r="F976" s="24">
        <f>IF('ORDENES'!$A954="","",IF('ORDENES'!$AB954="","-",'ORDENES'!$AB954))</f>
        <v/>
      </c>
      <c r="G976" s="24">
        <f>IF('ORDENES'!$A954="","",IF('ORDENES'!$Z954="","-",'ORDENES'!$Z954))</f>
        <v/>
      </c>
      <c r="H976" s="24">
        <f>IF('ORDENES'!$A954="","",IF('ORDENES'!$AH954="","-",'ORDENES'!$AH954))</f>
        <v/>
      </c>
      <c r="I976" s="24">
        <f>IF('ORDENES'!$A954="","",IF('ORDENES'!$AU954="","-",'ORDENES'!$AU954))</f>
        <v/>
      </c>
      <c r="J976" s="24">
        <f>IF('ORDENES'!$A954="","",IF('ORDENES'!$D954="","-",'ORDENES'!$D954))</f>
        <v/>
      </c>
      <c r="K976" s="24">
        <f>IF('ORDENES'!$A954="","",IF('ORDENES'!$E954="","-",'ORDENES'!$E954))</f>
        <v/>
      </c>
      <c r="L976" s="26">
        <f>IF('ORDENES'!$A954="","",IF('ORDENES'!$M954="",0,'ORDENES'!$M954))</f>
        <v/>
      </c>
      <c r="M976" s="24">
        <f>IF('ORDENES'!$A954="","",IF('ORDENES'!$N954="","-",'ORDENES'!$N954))</f>
        <v/>
      </c>
      <c r="N976" s="24">
        <f>IF('ORDENES'!$A954="","",'ORDENES'!$AG954)</f>
        <v/>
      </c>
    </row>
    <row r="977">
      <c r="A977" s="24">
        <f>IF('ORDENES'!$A955="","",IF('ORDENES'!$O955="","-",'ORDENES'!$O955))</f>
        <v/>
      </c>
      <c r="B977" s="24">
        <f>IF('ORDENES'!$A955="","",IF('ORDENES'!$S955="","-",'ORDENES'!$S955))</f>
        <v/>
      </c>
      <c r="C977" s="24">
        <f>IF('ORDENES'!$A955="","",IF('ORDENES'!$AI955="","-",'ORDENES'!$AI955))</f>
        <v/>
      </c>
      <c r="D977" s="24">
        <f>IF('ORDENES'!$A955="","",IF('ORDENES'!$AA955="","-",'ORDENES'!$AA955))</f>
        <v/>
      </c>
      <c r="E977" s="24">
        <f>IF('ORDENES'!$A955="","",IF('ORDENES'!$Y955="","-",'ORDENES'!$Y955))</f>
        <v/>
      </c>
      <c r="F977" s="24">
        <f>IF('ORDENES'!$A955="","",IF('ORDENES'!$AB955="","-",'ORDENES'!$AB955))</f>
        <v/>
      </c>
      <c r="G977" s="24">
        <f>IF('ORDENES'!$A955="","",IF('ORDENES'!$Z955="","-",'ORDENES'!$Z955))</f>
        <v/>
      </c>
      <c r="H977" s="24">
        <f>IF('ORDENES'!$A955="","",IF('ORDENES'!$AH955="","-",'ORDENES'!$AH955))</f>
        <v/>
      </c>
      <c r="I977" s="24">
        <f>IF('ORDENES'!$A955="","",IF('ORDENES'!$AU955="","-",'ORDENES'!$AU955))</f>
        <v/>
      </c>
      <c r="J977" s="24">
        <f>IF('ORDENES'!$A955="","",IF('ORDENES'!$D955="","-",'ORDENES'!$D955))</f>
        <v/>
      </c>
      <c r="K977" s="24">
        <f>IF('ORDENES'!$A955="","",IF('ORDENES'!$E955="","-",'ORDENES'!$E955))</f>
        <v/>
      </c>
      <c r="L977" s="26">
        <f>IF('ORDENES'!$A955="","",IF('ORDENES'!$M955="",0,'ORDENES'!$M955))</f>
        <v/>
      </c>
      <c r="M977" s="24">
        <f>IF('ORDENES'!$A955="","",IF('ORDENES'!$N955="","-",'ORDENES'!$N955))</f>
        <v/>
      </c>
      <c r="N977" s="24">
        <f>IF('ORDENES'!$A955="","",'ORDENES'!$AG955)</f>
        <v/>
      </c>
    </row>
    <row r="978">
      <c r="A978" s="24">
        <f>IF('ORDENES'!$A956="","",IF('ORDENES'!$O956="","-",'ORDENES'!$O956))</f>
        <v/>
      </c>
      <c r="B978" s="24">
        <f>IF('ORDENES'!$A956="","",IF('ORDENES'!$S956="","-",'ORDENES'!$S956))</f>
        <v/>
      </c>
      <c r="C978" s="24">
        <f>IF('ORDENES'!$A956="","",IF('ORDENES'!$AI956="","-",'ORDENES'!$AI956))</f>
        <v/>
      </c>
      <c r="D978" s="24">
        <f>IF('ORDENES'!$A956="","",IF('ORDENES'!$AA956="","-",'ORDENES'!$AA956))</f>
        <v/>
      </c>
      <c r="E978" s="24">
        <f>IF('ORDENES'!$A956="","",IF('ORDENES'!$Y956="","-",'ORDENES'!$Y956))</f>
        <v/>
      </c>
      <c r="F978" s="24">
        <f>IF('ORDENES'!$A956="","",IF('ORDENES'!$AB956="","-",'ORDENES'!$AB956))</f>
        <v/>
      </c>
      <c r="G978" s="24">
        <f>IF('ORDENES'!$A956="","",IF('ORDENES'!$Z956="","-",'ORDENES'!$Z956))</f>
        <v/>
      </c>
      <c r="H978" s="24">
        <f>IF('ORDENES'!$A956="","",IF('ORDENES'!$AH956="","-",'ORDENES'!$AH956))</f>
        <v/>
      </c>
      <c r="I978" s="24">
        <f>IF('ORDENES'!$A956="","",IF('ORDENES'!$AU956="","-",'ORDENES'!$AU956))</f>
        <v/>
      </c>
      <c r="J978" s="24">
        <f>IF('ORDENES'!$A956="","",IF('ORDENES'!$D956="","-",'ORDENES'!$D956))</f>
        <v/>
      </c>
      <c r="K978" s="24">
        <f>IF('ORDENES'!$A956="","",IF('ORDENES'!$E956="","-",'ORDENES'!$E956))</f>
        <v/>
      </c>
      <c r="L978" s="26">
        <f>IF('ORDENES'!$A956="","",IF('ORDENES'!$M956="",0,'ORDENES'!$M956))</f>
        <v/>
      </c>
      <c r="M978" s="24">
        <f>IF('ORDENES'!$A956="","",IF('ORDENES'!$N956="","-",'ORDENES'!$N956))</f>
        <v/>
      </c>
      <c r="N978" s="24">
        <f>IF('ORDENES'!$A956="","",'ORDENES'!$AG956)</f>
        <v/>
      </c>
    </row>
    <row r="979">
      <c r="A979" s="24">
        <f>IF('ORDENES'!$A957="","",IF('ORDENES'!$O957="","-",'ORDENES'!$O957))</f>
        <v/>
      </c>
      <c r="B979" s="24">
        <f>IF('ORDENES'!$A957="","",IF('ORDENES'!$S957="","-",'ORDENES'!$S957))</f>
        <v/>
      </c>
      <c r="C979" s="24">
        <f>IF('ORDENES'!$A957="","",IF('ORDENES'!$AI957="","-",'ORDENES'!$AI957))</f>
        <v/>
      </c>
      <c r="D979" s="24">
        <f>IF('ORDENES'!$A957="","",IF('ORDENES'!$AA957="","-",'ORDENES'!$AA957))</f>
        <v/>
      </c>
      <c r="E979" s="24">
        <f>IF('ORDENES'!$A957="","",IF('ORDENES'!$Y957="","-",'ORDENES'!$Y957))</f>
        <v/>
      </c>
      <c r="F979" s="24">
        <f>IF('ORDENES'!$A957="","",IF('ORDENES'!$AB957="","-",'ORDENES'!$AB957))</f>
        <v/>
      </c>
      <c r="G979" s="24">
        <f>IF('ORDENES'!$A957="","",IF('ORDENES'!$Z957="","-",'ORDENES'!$Z957))</f>
        <v/>
      </c>
      <c r="H979" s="24">
        <f>IF('ORDENES'!$A957="","",IF('ORDENES'!$AH957="","-",'ORDENES'!$AH957))</f>
        <v/>
      </c>
      <c r="I979" s="24">
        <f>IF('ORDENES'!$A957="","",IF('ORDENES'!$AU957="","-",'ORDENES'!$AU957))</f>
        <v/>
      </c>
      <c r="J979" s="24">
        <f>IF('ORDENES'!$A957="","",IF('ORDENES'!$D957="","-",'ORDENES'!$D957))</f>
        <v/>
      </c>
      <c r="K979" s="24">
        <f>IF('ORDENES'!$A957="","",IF('ORDENES'!$E957="","-",'ORDENES'!$E957))</f>
        <v/>
      </c>
      <c r="L979" s="26">
        <f>IF('ORDENES'!$A957="","",IF('ORDENES'!$M957="",0,'ORDENES'!$M957))</f>
        <v/>
      </c>
      <c r="M979" s="24">
        <f>IF('ORDENES'!$A957="","",IF('ORDENES'!$N957="","-",'ORDENES'!$N957))</f>
        <v/>
      </c>
      <c r="N979" s="24">
        <f>IF('ORDENES'!$A957="","",'ORDENES'!$AG957)</f>
        <v/>
      </c>
    </row>
    <row r="980">
      <c r="A980" s="24">
        <f>IF('ORDENES'!$A958="","",IF('ORDENES'!$O958="","-",'ORDENES'!$O958))</f>
        <v/>
      </c>
      <c r="B980" s="24">
        <f>IF('ORDENES'!$A958="","",IF('ORDENES'!$S958="","-",'ORDENES'!$S958))</f>
        <v/>
      </c>
      <c r="C980" s="24">
        <f>IF('ORDENES'!$A958="","",IF('ORDENES'!$AI958="","-",'ORDENES'!$AI958))</f>
        <v/>
      </c>
      <c r="D980" s="24">
        <f>IF('ORDENES'!$A958="","",IF('ORDENES'!$AA958="","-",'ORDENES'!$AA958))</f>
        <v/>
      </c>
      <c r="E980" s="24">
        <f>IF('ORDENES'!$A958="","",IF('ORDENES'!$Y958="","-",'ORDENES'!$Y958))</f>
        <v/>
      </c>
      <c r="F980" s="24">
        <f>IF('ORDENES'!$A958="","",IF('ORDENES'!$AB958="","-",'ORDENES'!$AB958))</f>
        <v/>
      </c>
      <c r="G980" s="24">
        <f>IF('ORDENES'!$A958="","",IF('ORDENES'!$Z958="","-",'ORDENES'!$Z958))</f>
        <v/>
      </c>
      <c r="H980" s="24">
        <f>IF('ORDENES'!$A958="","",IF('ORDENES'!$AH958="","-",'ORDENES'!$AH958))</f>
        <v/>
      </c>
      <c r="I980" s="24">
        <f>IF('ORDENES'!$A958="","",IF('ORDENES'!$AU958="","-",'ORDENES'!$AU958))</f>
        <v/>
      </c>
      <c r="J980" s="24">
        <f>IF('ORDENES'!$A958="","",IF('ORDENES'!$D958="","-",'ORDENES'!$D958))</f>
        <v/>
      </c>
      <c r="K980" s="24">
        <f>IF('ORDENES'!$A958="","",IF('ORDENES'!$E958="","-",'ORDENES'!$E958))</f>
        <v/>
      </c>
      <c r="L980" s="26">
        <f>IF('ORDENES'!$A958="","",IF('ORDENES'!$M958="",0,'ORDENES'!$M958))</f>
        <v/>
      </c>
      <c r="M980" s="24">
        <f>IF('ORDENES'!$A958="","",IF('ORDENES'!$N958="","-",'ORDENES'!$N958))</f>
        <v/>
      </c>
      <c r="N980" s="24">
        <f>IF('ORDENES'!$A958="","",'ORDENES'!$AG958)</f>
        <v/>
      </c>
    </row>
    <row r="981">
      <c r="A981" s="24">
        <f>IF('ORDENES'!$A959="","",IF('ORDENES'!$O959="","-",'ORDENES'!$O959))</f>
        <v/>
      </c>
      <c r="B981" s="24">
        <f>IF('ORDENES'!$A959="","",IF('ORDENES'!$S959="","-",'ORDENES'!$S959))</f>
        <v/>
      </c>
      <c r="C981" s="24">
        <f>IF('ORDENES'!$A959="","",IF('ORDENES'!$AI959="","-",'ORDENES'!$AI959))</f>
        <v/>
      </c>
      <c r="D981" s="24">
        <f>IF('ORDENES'!$A959="","",IF('ORDENES'!$AA959="","-",'ORDENES'!$AA959))</f>
        <v/>
      </c>
      <c r="E981" s="24">
        <f>IF('ORDENES'!$A959="","",IF('ORDENES'!$Y959="","-",'ORDENES'!$Y959))</f>
        <v/>
      </c>
      <c r="F981" s="24">
        <f>IF('ORDENES'!$A959="","",IF('ORDENES'!$AB959="","-",'ORDENES'!$AB959))</f>
        <v/>
      </c>
      <c r="G981" s="24">
        <f>IF('ORDENES'!$A959="","",IF('ORDENES'!$Z959="","-",'ORDENES'!$Z959))</f>
        <v/>
      </c>
      <c r="H981" s="24">
        <f>IF('ORDENES'!$A959="","",IF('ORDENES'!$AH959="","-",'ORDENES'!$AH959))</f>
        <v/>
      </c>
      <c r="I981" s="24">
        <f>IF('ORDENES'!$A959="","",IF('ORDENES'!$AU959="","-",'ORDENES'!$AU959))</f>
        <v/>
      </c>
      <c r="J981" s="24">
        <f>IF('ORDENES'!$A959="","",IF('ORDENES'!$D959="","-",'ORDENES'!$D959))</f>
        <v/>
      </c>
      <c r="K981" s="24">
        <f>IF('ORDENES'!$A959="","",IF('ORDENES'!$E959="","-",'ORDENES'!$E959))</f>
        <v/>
      </c>
      <c r="L981" s="26">
        <f>IF('ORDENES'!$A959="","",IF('ORDENES'!$M959="",0,'ORDENES'!$M959))</f>
        <v/>
      </c>
      <c r="M981" s="24">
        <f>IF('ORDENES'!$A959="","",IF('ORDENES'!$N959="","-",'ORDENES'!$N959))</f>
        <v/>
      </c>
      <c r="N981" s="24">
        <f>IF('ORDENES'!$A959="","",'ORDENES'!$AG959)</f>
        <v/>
      </c>
    </row>
    <row r="982">
      <c r="A982" s="24">
        <f>IF('ORDENES'!$A960="","",IF('ORDENES'!$O960="","-",'ORDENES'!$O960))</f>
        <v/>
      </c>
      <c r="B982" s="24">
        <f>IF('ORDENES'!$A960="","",IF('ORDENES'!$S960="","-",'ORDENES'!$S960))</f>
        <v/>
      </c>
      <c r="C982" s="24">
        <f>IF('ORDENES'!$A960="","",IF('ORDENES'!$AI960="","-",'ORDENES'!$AI960))</f>
        <v/>
      </c>
      <c r="D982" s="24">
        <f>IF('ORDENES'!$A960="","",IF('ORDENES'!$AA960="","-",'ORDENES'!$AA960))</f>
        <v/>
      </c>
      <c r="E982" s="24">
        <f>IF('ORDENES'!$A960="","",IF('ORDENES'!$Y960="","-",'ORDENES'!$Y960))</f>
        <v/>
      </c>
      <c r="F982" s="24">
        <f>IF('ORDENES'!$A960="","",IF('ORDENES'!$AB960="","-",'ORDENES'!$AB960))</f>
        <v/>
      </c>
      <c r="G982" s="24">
        <f>IF('ORDENES'!$A960="","",IF('ORDENES'!$Z960="","-",'ORDENES'!$Z960))</f>
        <v/>
      </c>
      <c r="H982" s="24">
        <f>IF('ORDENES'!$A960="","",IF('ORDENES'!$AH960="","-",'ORDENES'!$AH960))</f>
        <v/>
      </c>
      <c r="I982" s="24">
        <f>IF('ORDENES'!$A960="","",IF('ORDENES'!$AU960="","-",'ORDENES'!$AU960))</f>
        <v/>
      </c>
      <c r="J982" s="24">
        <f>IF('ORDENES'!$A960="","",IF('ORDENES'!$D960="","-",'ORDENES'!$D960))</f>
        <v/>
      </c>
      <c r="K982" s="24">
        <f>IF('ORDENES'!$A960="","",IF('ORDENES'!$E960="","-",'ORDENES'!$E960))</f>
        <v/>
      </c>
      <c r="L982" s="26">
        <f>IF('ORDENES'!$A960="","",IF('ORDENES'!$M960="",0,'ORDENES'!$M960))</f>
        <v/>
      </c>
      <c r="M982" s="24">
        <f>IF('ORDENES'!$A960="","",IF('ORDENES'!$N960="","-",'ORDENES'!$N960))</f>
        <v/>
      </c>
      <c r="N982" s="24">
        <f>IF('ORDENES'!$A960="","",'ORDENES'!$AG960)</f>
        <v/>
      </c>
    </row>
    <row r="983">
      <c r="A983" s="24">
        <f>IF('ORDENES'!$A961="","",IF('ORDENES'!$O961="","-",'ORDENES'!$O961))</f>
        <v/>
      </c>
      <c r="B983" s="24">
        <f>IF('ORDENES'!$A961="","",IF('ORDENES'!$S961="","-",'ORDENES'!$S961))</f>
        <v/>
      </c>
      <c r="C983" s="24">
        <f>IF('ORDENES'!$A961="","",IF('ORDENES'!$AI961="","-",'ORDENES'!$AI961))</f>
        <v/>
      </c>
      <c r="D983" s="24">
        <f>IF('ORDENES'!$A961="","",IF('ORDENES'!$AA961="","-",'ORDENES'!$AA961))</f>
        <v/>
      </c>
      <c r="E983" s="24">
        <f>IF('ORDENES'!$A961="","",IF('ORDENES'!$Y961="","-",'ORDENES'!$Y961))</f>
        <v/>
      </c>
      <c r="F983" s="24">
        <f>IF('ORDENES'!$A961="","",IF('ORDENES'!$AB961="","-",'ORDENES'!$AB961))</f>
        <v/>
      </c>
      <c r="G983" s="24">
        <f>IF('ORDENES'!$A961="","",IF('ORDENES'!$Z961="","-",'ORDENES'!$Z961))</f>
        <v/>
      </c>
      <c r="H983" s="24">
        <f>IF('ORDENES'!$A961="","",IF('ORDENES'!$AH961="","-",'ORDENES'!$AH961))</f>
        <v/>
      </c>
      <c r="I983" s="24">
        <f>IF('ORDENES'!$A961="","",IF('ORDENES'!$AU961="","-",'ORDENES'!$AU961))</f>
        <v/>
      </c>
      <c r="J983" s="24">
        <f>IF('ORDENES'!$A961="","",IF('ORDENES'!$D961="","-",'ORDENES'!$D961))</f>
        <v/>
      </c>
      <c r="K983" s="24">
        <f>IF('ORDENES'!$A961="","",IF('ORDENES'!$E961="","-",'ORDENES'!$E961))</f>
        <v/>
      </c>
      <c r="L983" s="26">
        <f>IF('ORDENES'!$A961="","",IF('ORDENES'!$M961="",0,'ORDENES'!$M961))</f>
        <v/>
      </c>
      <c r="M983" s="24">
        <f>IF('ORDENES'!$A961="","",IF('ORDENES'!$N961="","-",'ORDENES'!$N961))</f>
        <v/>
      </c>
      <c r="N983" s="24">
        <f>IF('ORDENES'!$A961="","",'ORDENES'!$AG961)</f>
        <v/>
      </c>
    </row>
    <row r="984">
      <c r="A984" s="24">
        <f>IF('ORDENES'!$A962="","",IF('ORDENES'!$O962="","-",'ORDENES'!$O962))</f>
        <v/>
      </c>
      <c r="B984" s="24">
        <f>IF('ORDENES'!$A962="","",IF('ORDENES'!$S962="","-",'ORDENES'!$S962))</f>
        <v/>
      </c>
      <c r="C984" s="24">
        <f>IF('ORDENES'!$A962="","",IF('ORDENES'!$AI962="","-",'ORDENES'!$AI962))</f>
        <v/>
      </c>
      <c r="D984" s="24">
        <f>IF('ORDENES'!$A962="","",IF('ORDENES'!$AA962="","-",'ORDENES'!$AA962))</f>
        <v/>
      </c>
      <c r="E984" s="24">
        <f>IF('ORDENES'!$A962="","",IF('ORDENES'!$Y962="","-",'ORDENES'!$Y962))</f>
        <v/>
      </c>
      <c r="F984" s="24">
        <f>IF('ORDENES'!$A962="","",IF('ORDENES'!$AB962="","-",'ORDENES'!$AB962))</f>
        <v/>
      </c>
      <c r="G984" s="24">
        <f>IF('ORDENES'!$A962="","",IF('ORDENES'!$Z962="","-",'ORDENES'!$Z962))</f>
        <v/>
      </c>
      <c r="H984" s="24">
        <f>IF('ORDENES'!$A962="","",IF('ORDENES'!$AH962="","-",'ORDENES'!$AH962))</f>
        <v/>
      </c>
      <c r="I984" s="24">
        <f>IF('ORDENES'!$A962="","",IF('ORDENES'!$AU962="","-",'ORDENES'!$AU962))</f>
        <v/>
      </c>
      <c r="J984" s="24">
        <f>IF('ORDENES'!$A962="","",IF('ORDENES'!$D962="","-",'ORDENES'!$D962))</f>
        <v/>
      </c>
      <c r="K984" s="24">
        <f>IF('ORDENES'!$A962="","",IF('ORDENES'!$E962="","-",'ORDENES'!$E962))</f>
        <v/>
      </c>
      <c r="L984" s="26">
        <f>IF('ORDENES'!$A962="","",IF('ORDENES'!$M962="",0,'ORDENES'!$M962))</f>
        <v/>
      </c>
      <c r="M984" s="24">
        <f>IF('ORDENES'!$A962="","",IF('ORDENES'!$N962="","-",'ORDENES'!$N962))</f>
        <v/>
      </c>
      <c r="N984" s="24">
        <f>IF('ORDENES'!$A962="","",'ORDENES'!$AG962)</f>
        <v/>
      </c>
    </row>
    <row r="985">
      <c r="A985" s="24">
        <f>IF('ORDENES'!$A963="","",IF('ORDENES'!$O963="","-",'ORDENES'!$O963))</f>
        <v/>
      </c>
      <c r="B985" s="24">
        <f>IF('ORDENES'!$A963="","",IF('ORDENES'!$S963="","-",'ORDENES'!$S963))</f>
        <v/>
      </c>
      <c r="C985" s="24">
        <f>IF('ORDENES'!$A963="","",IF('ORDENES'!$AI963="","-",'ORDENES'!$AI963))</f>
        <v/>
      </c>
      <c r="D985" s="24">
        <f>IF('ORDENES'!$A963="","",IF('ORDENES'!$AA963="","-",'ORDENES'!$AA963))</f>
        <v/>
      </c>
      <c r="E985" s="24">
        <f>IF('ORDENES'!$A963="","",IF('ORDENES'!$Y963="","-",'ORDENES'!$Y963))</f>
        <v/>
      </c>
      <c r="F985" s="24">
        <f>IF('ORDENES'!$A963="","",IF('ORDENES'!$AB963="","-",'ORDENES'!$AB963))</f>
        <v/>
      </c>
      <c r="G985" s="24">
        <f>IF('ORDENES'!$A963="","",IF('ORDENES'!$Z963="","-",'ORDENES'!$Z963))</f>
        <v/>
      </c>
      <c r="H985" s="24">
        <f>IF('ORDENES'!$A963="","",IF('ORDENES'!$AH963="","-",'ORDENES'!$AH963))</f>
        <v/>
      </c>
      <c r="I985" s="24">
        <f>IF('ORDENES'!$A963="","",IF('ORDENES'!$AU963="","-",'ORDENES'!$AU963))</f>
        <v/>
      </c>
      <c r="J985" s="24">
        <f>IF('ORDENES'!$A963="","",IF('ORDENES'!$D963="","-",'ORDENES'!$D963))</f>
        <v/>
      </c>
      <c r="K985" s="24">
        <f>IF('ORDENES'!$A963="","",IF('ORDENES'!$E963="","-",'ORDENES'!$E963))</f>
        <v/>
      </c>
      <c r="L985" s="26">
        <f>IF('ORDENES'!$A963="","",IF('ORDENES'!$M963="",0,'ORDENES'!$M963))</f>
        <v/>
      </c>
      <c r="M985" s="24">
        <f>IF('ORDENES'!$A963="","",IF('ORDENES'!$N963="","-",'ORDENES'!$N963))</f>
        <v/>
      </c>
      <c r="N985" s="24">
        <f>IF('ORDENES'!$A963="","",'ORDENES'!$AG963)</f>
        <v/>
      </c>
    </row>
    <row r="986">
      <c r="A986" s="24">
        <f>IF('ORDENES'!$A964="","",IF('ORDENES'!$O964="","-",'ORDENES'!$O964))</f>
        <v/>
      </c>
      <c r="B986" s="24">
        <f>IF('ORDENES'!$A964="","",IF('ORDENES'!$S964="","-",'ORDENES'!$S964))</f>
        <v/>
      </c>
      <c r="C986" s="24">
        <f>IF('ORDENES'!$A964="","",IF('ORDENES'!$AI964="","-",'ORDENES'!$AI964))</f>
        <v/>
      </c>
      <c r="D986" s="24">
        <f>IF('ORDENES'!$A964="","",IF('ORDENES'!$AA964="","-",'ORDENES'!$AA964))</f>
        <v/>
      </c>
      <c r="E986" s="24">
        <f>IF('ORDENES'!$A964="","",IF('ORDENES'!$Y964="","-",'ORDENES'!$Y964))</f>
        <v/>
      </c>
      <c r="F986" s="24">
        <f>IF('ORDENES'!$A964="","",IF('ORDENES'!$AB964="","-",'ORDENES'!$AB964))</f>
        <v/>
      </c>
      <c r="G986" s="24">
        <f>IF('ORDENES'!$A964="","",IF('ORDENES'!$Z964="","-",'ORDENES'!$Z964))</f>
        <v/>
      </c>
      <c r="H986" s="24">
        <f>IF('ORDENES'!$A964="","",IF('ORDENES'!$AH964="","-",'ORDENES'!$AH964))</f>
        <v/>
      </c>
      <c r="I986" s="24">
        <f>IF('ORDENES'!$A964="","",IF('ORDENES'!$AU964="","-",'ORDENES'!$AU964))</f>
        <v/>
      </c>
      <c r="J986" s="24">
        <f>IF('ORDENES'!$A964="","",IF('ORDENES'!$D964="","-",'ORDENES'!$D964))</f>
        <v/>
      </c>
      <c r="K986" s="24">
        <f>IF('ORDENES'!$A964="","",IF('ORDENES'!$E964="","-",'ORDENES'!$E964))</f>
        <v/>
      </c>
      <c r="L986" s="26">
        <f>IF('ORDENES'!$A964="","",IF('ORDENES'!$M964="",0,'ORDENES'!$M964))</f>
        <v/>
      </c>
      <c r="M986" s="24">
        <f>IF('ORDENES'!$A964="","",IF('ORDENES'!$N964="","-",'ORDENES'!$N964))</f>
        <v/>
      </c>
      <c r="N986" s="24">
        <f>IF('ORDENES'!$A964="","",'ORDENES'!$AG964)</f>
        <v/>
      </c>
    </row>
    <row r="987">
      <c r="A987" s="24">
        <f>IF('ORDENES'!$A965="","",IF('ORDENES'!$O965="","-",'ORDENES'!$O965))</f>
        <v/>
      </c>
      <c r="B987" s="24">
        <f>IF('ORDENES'!$A965="","",IF('ORDENES'!$S965="","-",'ORDENES'!$S965))</f>
        <v/>
      </c>
      <c r="C987" s="24">
        <f>IF('ORDENES'!$A965="","",IF('ORDENES'!$AI965="","-",'ORDENES'!$AI965))</f>
        <v/>
      </c>
      <c r="D987" s="24">
        <f>IF('ORDENES'!$A965="","",IF('ORDENES'!$AA965="","-",'ORDENES'!$AA965))</f>
        <v/>
      </c>
      <c r="E987" s="24">
        <f>IF('ORDENES'!$A965="","",IF('ORDENES'!$Y965="","-",'ORDENES'!$Y965))</f>
        <v/>
      </c>
      <c r="F987" s="24">
        <f>IF('ORDENES'!$A965="","",IF('ORDENES'!$AB965="","-",'ORDENES'!$AB965))</f>
        <v/>
      </c>
      <c r="G987" s="24">
        <f>IF('ORDENES'!$A965="","",IF('ORDENES'!$Z965="","-",'ORDENES'!$Z965))</f>
        <v/>
      </c>
      <c r="H987" s="24">
        <f>IF('ORDENES'!$A965="","",IF('ORDENES'!$AH965="","-",'ORDENES'!$AH965))</f>
        <v/>
      </c>
      <c r="I987" s="24">
        <f>IF('ORDENES'!$A965="","",IF('ORDENES'!$AU965="","-",'ORDENES'!$AU965))</f>
        <v/>
      </c>
      <c r="J987" s="24">
        <f>IF('ORDENES'!$A965="","",IF('ORDENES'!$D965="","-",'ORDENES'!$D965))</f>
        <v/>
      </c>
      <c r="K987" s="24">
        <f>IF('ORDENES'!$A965="","",IF('ORDENES'!$E965="","-",'ORDENES'!$E965))</f>
        <v/>
      </c>
      <c r="L987" s="26">
        <f>IF('ORDENES'!$A965="","",IF('ORDENES'!$M965="",0,'ORDENES'!$M965))</f>
        <v/>
      </c>
      <c r="M987" s="24">
        <f>IF('ORDENES'!$A965="","",IF('ORDENES'!$N965="","-",'ORDENES'!$N965))</f>
        <v/>
      </c>
      <c r="N987" s="24">
        <f>IF('ORDENES'!$A965="","",'ORDENES'!$AG965)</f>
        <v/>
      </c>
    </row>
    <row r="988">
      <c r="A988" s="24">
        <f>IF('ORDENES'!$A966="","",IF('ORDENES'!$O966="","-",'ORDENES'!$O966))</f>
        <v/>
      </c>
      <c r="B988" s="24">
        <f>IF('ORDENES'!$A966="","",IF('ORDENES'!$S966="","-",'ORDENES'!$S966))</f>
        <v/>
      </c>
      <c r="C988" s="24">
        <f>IF('ORDENES'!$A966="","",IF('ORDENES'!$AI966="","-",'ORDENES'!$AI966))</f>
        <v/>
      </c>
      <c r="D988" s="24">
        <f>IF('ORDENES'!$A966="","",IF('ORDENES'!$AA966="","-",'ORDENES'!$AA966))</f>
        <v/>
      </c>
      <c r="E988" s="24">
        <f>IF('ORDENES'!$A966="","",IF('ORDENES'!$Y966="","-",'ORDENES'!$Y966))</f>
        <v/>
      </c>
      <c r="F988" s="24">
        <f>IF('ORDENES'!$A966="","",IF('ORDENES'!$AB966="","-",'ORDENES'!$AB966))</f>
        <v/>
      </c>
      <c r="G988" s="24">
        <f>IF('ORDENES'!$A966="","",IF('ORDENES'!$Z966="","-",'ORDENES'!$Z966))</f>
        <v/>
      </c>
      <c r="H988" s="24">
        <f>IF('ORDENES'!$A966="","",IF('ORDENES'!$AH966="","-",'ORDENES'!$AH966))</f>
        <v/>
      </c>
      <c r="I988" s="24">
        <f>IF('ORDENES'!$A966="","",IF('ORDENES'!$AU966="","-",'ORDENES'!$AU966))</f>
        <v/>
      </c>
      <c r="J988" s="24">
        <f>IF('ORDENES'!$A966="","",IF('ORDENES'!$D966="","-",'ORDENES'!$D966))</f>
        <v/>
      </c>
      <c r="K988" s="24">
        <f>IF('ORDENES'!$A966="","",IF('ORDENES'!$E966="","-",'ORDENES'!$E966))</f>
        <v/>
      </c>
      <c r="L988" s="26">
        <f>IF('ORDENES'!$A966="","",IF('ORDENES'!$M966="",0,'ORDENES'!$M966))</f>
        <v/>
      </c>
      <c r="M988" s="24">
        <f>IF('ORDENES'!$A966="","",IF('ORDENES'!$N966="","-",'ORDENES'!$N966))</f>
        <v/>
      </c>
      <c r="N988" s="24">
        <f>IF('ORDENES'!$A966="","",'ORDENES'!$AG966)</f>
        <v/>
      </c>
    </row>
    <row r="989">
      <c r="A989" s="24">
        <f>IF('ORDENES'!$A967="","",IF('ORDENES'!$O967="","-",'ORDENES'!$O967))</f>
        <v/>
      </c>
      <c r="B989" s="24">
        <f>IF('ORDENES'!$A967="","",IF('ORDENES'!$S967="","-",'ORDENES'!$S967))</f>
        <v/>
      </c>
      <c r="C989" s="24">
        <f>IF('ORDENES'!$A967="","",IF('ORDENES'!$AI967="","-",'ORDENES'!$AI967))</f>
        <v/>
      </c>
      <c r="D989" s="24">
        <f>IF('ORDENES'!$A967="","",IF('ORDENES'!$AA967="","-",'ORDENES'!$AA967))</f>
        <v/>
      </c>
      <c r="E989" s="24">
        <f>IF('ORDENES'!$A967="","",IF('ORDENES'!$Y967="","-",'ORDENES'!$Y967))</f>
        <v/>
      </c>
      <c r="F989" s="24">
        <f>IF('ORDENES'!$A967="","",IF('ORDENES'!$AB967="","-",'ORDENES'!$AB967))</f>
        <v/>
      </c>
      <c r="G989" s="24">
        <f>IF('ORDENES'!$A967="","",IF('ORDENES'!$Z967="","-",'ORDENES'!$Z967))</f>
        <v/>
      </c>
      <c r="H989" s="24">
        <f>IF('ORDENES'!$A967="","",IF('ORDENES'!$AH967="","-",'ORDENES'!$AH967))</f>
        <v/>
      </c>
      <c r="I989" s="24">
        <f>IF('ORDENES'!$A967="","",IF('ORDENES'!$AU967="","-",'ORDENES'!$AU967))</f>
        <v/>
      </c>
      <c r="J989" s="24">
        <f>IF('ORDENES'!$A967="","",IF('ORDENES'!$D967="","-",'ORDENES'!$D967))</f>
        <v/>
      </c>
      <c r="K989" s="24">
        <f>IF('ORDENES'!$A967="","",IF('ORDENES'!$E967="","-",'ORDENES'!$E967))</f>
        <v/>
      </c>
      <c r="L989" s="26">
        <f>IF('ORDENES'!$A967="","",IF('ORDENES'!$M967="",0,'ORDENES'!$M967))</f>
        <v/>
      </c>
      <c r="M989" s="24">
        <f>IF('ORDENES'!$A967="","",IF('ORDENES'!$N967="","-",'ORDENES'!$N967))</f>
        <v/>
      </c>
      <c r="N989" s="24">
        <f>IF('ORDENES'!$A967="","",'ORDENES'!$AG967)</f>
        <v/>
      </c>
    </row>
    <row r="990">
      <c r="A990" s="24">
        <f>IF('ORDENES'!$A968="","",IF('ORDENES'!$O968="","-",'ORDENES'!$O968))</f>
        <v/>
      </c>
      <c r="B990" s="24">
        <f>IF('ORDENES'!$A968="","",IF('ORDENES'!$S968="","-",'ORDENES'!$S968))</f>
        <v/>
      </c>
      <c r="C990" s="24">
        <f>IF('ORDENES'!$A968="","",IF('ORDENES'!$AI968="","-",'ORDENES'!$AI968))</f>
        <v/>
      </c>
      <c r="D990" s="24">
        <f>IF('ORDENES'!$A968="","",IF('ORDENES'!$AA968="","-",'ORDENES'!$AA968))</f>
        <v/>
      </c>
      <c r="E990" s="24">
        <f>IF('ORDENES'!$A968="","",IF('ORDENES'!$Y968="","-",'ORDENES'!$Y968))</f>
        <v/>
      </c>
      <c r="F990" s="24">
        <f>IF('ORDENES'!$A968="","",IF('ORDENES'!$AB968="","-",'ORDENES'!$AB968))</f>
        <v/>
      </c>
      <c r="G990" s="24">
        <f>IF('ORDENES'!$A968="","",IF('ORDENES'!$Z968="","-",'ORDENES'!$Z968))</f>
        <v/>
      </c>
      <c r="H990" s="24">
        <f>IF('ORDENES'!$A968="","",IF('ORDENES'!$AH968="","-",'ORDENES'!$AH968))</f>
        <v/>
      </c>
      <c r="I990" s="24">
        <f>IF('ORDENES'!$A968="","",IF('ORDENES'!$AU968="","-",'ORDENES'!$AU968))</f>
        <v/>
      </c>
      <c r="J990" s="24">
        <f>IF('ORDENES'!$A968="","",IF('ORDENES'!$D968="","-",'ORDENES'!$D968))</f>
        <v/>
      </c>
      <c r="K990" s="24">
        <f>IF('ORDENES'!$A968="","",IF('ORDENES'!$E968="","-",'ORDENES'!$E968))</f>
        <v/>
      </c>
      <c r="L990" s="26">
        <f>IF('ORDENES'!$A968="","",IF('ORDENES'!$M968="",0,'ORDENES'!$M968))</f>
        <v/>
      </c>
      <c r="M990" s="24">
        <f>IF('ORDENES'!$A968="","",IF('ORDENES'!$N968="","-",'ORDENES'!$N968))</f>
        <v/>
      </c>
      <c r="N990" s="24">
        <f>IF('ORDENES'!$A968="","",'ORDENES'!$AG968)</f>
        <v/>
      </c>
    </row>
    <row r="991">
      <c r="A991" s="24">
        <f>IF('ORDENES'!$A969="","",IF('ORDENES'!$O969="","-",'ORDENES'!$O969))</f>
        <v/>
      </c>
      <c r="B991" s="24">
        <f>IF('ORDENES'!$A969="","",IF('ORDENES'!$S969="","-",'ORDENES'!$S969))</f>
        <v/>
      </c>
      <c r="C991" s="24">
        <f>IF('ORDENES'!$A969="","",IF('ORDENES'!$AI969="","-",'ORDENES'!$AI969))</f>
        <v/>
      </c>
      <c r="D991" s="24">
        <f>IF('ORDENES'!$A969="","",IF('ORDENES'!$AA969="","-",'ORDENES'!$AA969))</f>
        <v/>
      </c>
      <c r="E991" s="24">
        <f>IF('ORDENES'!$A969="","",IF('ORDENES'!$Y969="","-",'ORDENES'!$Y969))</f>
        <v/>
      </c>
      <c r="F991" s="24">
        <f>IF('ORDENES'!$A969="","",IF('ORDENES'!$AB969="","-",'ORDENES'!$AB969))</f>
        <v/>
      </c>
      <c r="G991" s="24">
        <f>IF('ORDENES'!$A969="","",IF('ORDENES'!$Z969="","-",'ORDENES'!$Z969))</f>
        <v/>
      </c>
      <c r="H991" s="24">
        <f>IF('ORDENES'!$A969="","",IF('ORDENES'!$AH969="","-",'ORDENES'!$AH969))</f>
        <v/>
      </c>
      <c r="I991" s="24">
        <f>IF('ORDENES'!$A969="","",IF('ORDENES'!$AU969="","-",'ORDENES'!$AU969))</f>
        <v/>
      </c>
      <c r="J991" s="24">
        <f>IF('ORDENES'!$A969="","",IF('ORDENES'!$D969="","-",'ORDENES'!$D969))</f>
        <v/>
      </c>
      <c r="K991" s="24">
        <f>IF('ORDENES'!$A969="","",IF('ORDENES'!$E969="","-",'ORDENES'!$E969))</f>
        <v/>
      </c>
      <c r="L991" s="26">
        <f>IF('ORDENES'!$A969="","",IF('ORDENES'!$M969="",0,'ORDENES'!$M969))</f>
        <v/>
      </c>
      <c r="M991" s="24">
        <f>IF('ORDENES'!$A969="","",IF('ORDENES'!$N969="","-",'ORDENES'!$N969))</f>
        <v/>
      </c>
      <c r="N991" s="24">
        <f>IF('ORDENES'!$A969="","",'ORDENES'!$AG969)</f>
        <v/>
      </c>
    </row>
    <row r="992">
      <c r="A992" s="24">
        <f>IF('ORDENES'!$A970="","",IF('ORDENES'!$O970="","-",'ORDENES'!$O970))</f>
        <v/>
      </c>
      <c r="B992" s="24">
        <f>IF('ORDENES'!$A970="","",IF('ORDENES'!$S970="","-",'ORDENES'!$S970))</f>
        <v/>
      </c>
      <c r="C992" s="24">
        <f>IF('ORDENES'!$A970="","",IF('ORDENES'!$AI970="","-",'ORDENES'!$AI970))</f>
        <v/>
      </c>
      <c r="D992" s="24">
        <f>IF('ORDENES'!$A970="","",IF('ORDENES'!$AA970="","-",'ORDENES'!$AA970))</f>
        <v/>
      </c>
      <c r="E992" s="24">
        <f>IF('ORDENES'!$A970="","",IF('ORDENES'!$Y970="","-",'ORDENES'!$Y970))</f>
        <v/>
      </c>
      <c r="F992" s="24">
        <f>IF('ORDENES'!$A970="","",IF('ORDENES'!$AB970="","-",'ORDENES'!$AB970))</f>
        <v/>
      </c>
      <c r="G992" s="24">
        <f>IF('ORDENES'!$A970="","",IF('ORDENES'!$Z970="","-",'ORDENES'!$Z970))</f>
        <v/>
      </c>
      <c r="H992" s="24">
        <f>IF('ORDENES'!$A970="","",IF('ORDENES'!$AH970="","-",'ORDENES'!$AH970))</f>
        <v/>
      </c>
      <c r="I992" s="24">
        <f>IF('ORDENES'!$A970="","",IF('ORDENES'!$AU970="","-",'ORDENES'!$AU970))</f>
        <v/>
      </c>
      <c r="J992" s="24">
        <f>IF('ORDENES'!$A970="","",IF('ORDENES'!$D970="","-",'ORDENES'!$D970))</f>
        <v/>
      </c>
      <c r="K992" s="24">
        <f>IF('ORDENES'!$A970="","",IF('ORDENES'!$E970="","-",'ORDENES'!$E970))</f>
        <v/>
      </c>
      <c r="L992" s="26">
        <f>IF('ORDENES'!$A970="","",IF('ORDENES'!$M970="",0,'ORDENES'!$M970))</f>
        <v/>
      </c>
      <c r="M992" s="24">
        <f>IF('ORDENES'!$A970="","",IF('ORDENES'!$N970="","-",'ORDENES'!$N970))</f>
        <v/>
      </c>
      <c r="N992" s="24">
        <f>IF('ORDENES'!$A970="","",'ORDENES'!$AG970)</f>
        <v/>
      </c>
    </row>
    <row r="993">
      <c r="A993" s="24">
        <f>IF('ORDENES'!$A971="","",IF('ORDENES'!$O971="","-",'ORDENES'!$O971))</f>
        <v/>
      </c>
      <c r="B993" s="24">
        <f>IF('ORDENES'!$A971="","",IF('ORDENES'!$S971="","-",'ORDENES'!$S971))</f>
        <v/>
      </c>
      <c r="C993" s="24">
        <f>IF('ORDENES'!$A971="","",IF('ORDENES'!$AI971="","-",'ORDENES'!$AI971))</f>
        <v/>
      </c>
      <c r="D993" s="24">
        <f>IF('ORDENES'!$A971="","",IF('ORDENES'!$AA971="","-",'ORDENES'!$AA971))</f>
        <v/>
      </c>
      <c r="E993" s="24">
        <f>IF('ORDENES'!$A971="","",IF('ORDENES'!$Y971="","-",'ORDENES'!$Y971))</f>
        <v/>
      </c>
      <c r="F993" s="24">
        <f>IF('ORDENES'!$A971="","",IF('ORDENES'!$AB971="","-",'ORDENES'!$AB971))</f>
        <v/>
      </c>
      <c r="G993" s="24">
        <f>IF('ORDENES'!$A971="","",IF('ORDENES'!$Z971="","-",'ORDENES'!$Z971))</f>
        <v/>
      </c>
      <c r="H993" s="24">
        <f>IF('ORDENES'!$A971="","",IF('ORDENES'!$AH971="","-",'ORDENES'!$AH971))</f>
        <v/>
      </c>
      <c r="I993" s="24">
        <f>IF('ORDENES'!$A971="","",IF('ORDENES'!$AU971="","-",'ORDENES'!$AU971))</f>
        <v/>
      </c>
      <c r="J993" s="24">
        <f>IF('ORDENES'!$A971="","",IF('ORDENES'!$D971="","-",'ORDENES'!$D971))</f>
        <v/>
      </c>
      <c r="K993" s="24">
        <f>IF('ORDENES'!$A971="","",IF('ORDENES'!$E971="","-",'ORDENES'!$E971))</f>
        <v/>
      </c>
      <c r="L993" s="26">
        <f>IF('ORDENES'!$A971="","",IF('ORDENES'!$M971="",0,'ORDENES'!$M971))</f>
        <v/>
      </c>
      <c r="M993" s="24">
        <f>IF('ORDENES'!$A971="","",IF('ORDENES'!$N971="","-",'ORDENES'!$N971))</f>
        <v/>
      </c>
      <c r="N993" s="24">
        <f>IF('ORDENES'!$A971="","",'ORDENES'!$AG971)</f>
        <v/>
      </c>
    </row>
    <row r="994">
      <c r="A994" s="24">
        <f>IF('ORDENES'!$A972="","",IF('ORDENES'!$O972="","-",'ORDENES'!$O972))</f>
        <v/>
      </c>
      <c r="B994" s="24">
        <f>IF('ORDENES'!$A972="","",IF('ORDENES'!$S972="","-",'ORDENES'!$S972))</f>
        <v/>
      </c>
      <c r="C994" s="24">
        <f>IF('ORDENES'!$A972="","",IF('ORDENES'!$AI972="","-",'ORDENES'!$AI972))</f>
        <v/>
      </c>
      <c r="D994" s="24">
        <f>IF('ORDENES'!$A972="","",IF('ORDENES'!$AA972="","-",'ORDENES'!$AA972))</f>
        <v/>
      </c>
      <c r="E994" s="24">
        <f>IF('ORDENES'!$A972="","",IF('ORDENES'!$Y972="","-",'ORDENES'!$Y972))</f>
        <v/>
      </c>
      <c r="F994" s="24">
        <f>IF('ORDENES'!$A972="","",IF('ORDENES'!$AB972="","-",'ORDENES'!$AB972))</f>
        <v/>
      </c>
      <c r="G994" s="24">
        <f>IF('ORDENES'!$A972="","",IF('ORDENES'!$Z972="","-",'ORDENES'!$Z972))</f>
        <v/>
      </c>
      <c r="H994" s="24">
        <f>IF('ORDENES'!$A972="","",IF('ORDENES'!$AH972="","-",'ORDENES'!$AH972))</f>
        <v/>
      </c>
      <c r="I994" s="24">
        <f>IF('ORDENES'!$A972="","",IF('ORDENES'!$AU972="","-",'ORDENES'!$AU972))</f>
        <v/>
      </c>
      <c r="J994" s="24">
        <f>IF('ORDENES'!$A972="","",IF('ORDENES'!$D972="","-",'ORDENES'!$D972))</f>
        <v/>
      </c>
      <c r="K994" s="24">
        <f>IF('ORDENES'!$A972="","",IF('ORDENES'!$E972="","-",'ORDENES'!$E972))</f>
        <v/>
      </c>
      <c r="L994" s="26">
        <f>IF('ORDENES'!$A972="","",IF('ORDENES'!$M972="",0,'ORDENES'!$M972))</f>
        <v/>
      </c>
      <c r="M994" s="24">
        <f>IF('ORDENES'!$A972="","",IF('ORDENES'!$N972="","-",'ORDENES'!$N972))</f>
        <v/>
      </c>
      <c r="N994" s="24">
        <f>IF('ORDENES'!$A972="","",'ORDENES'!$AG972)</f>
        <v/>
      </c>
    </row>
    <row r="995">
      <c r="A995" s="24">
        <f>IF('ORDENES'!$A973="","",IF('ORDENES'!$O973="","-",'ORDENES'!$O973))</f>
        <v/>
      </c>
      <c r="B995" s="24">
        <f>IF('ORDENES'!$A973="","",IF('ORDENES'!$S973="","-",'ORDENES'!$S973))</f>
        <v/>
      </c>
      <c r="C995" s="24">
        <f>IF('ORDENES'!$A973="","",IF('ORDENES'!$AI973="","-",'ORDENES'!$AI973))</f>
        <v/>
      </c>
      <c r="D995" s="24">
        <f>IF('ORDENES'!$A973="","",IF('ORDENES'!$AA973="","-",'ORDENES'!$AA973))</f>
        <v/>
      </c>
      <c r="E995" s="24">
        <f>IF('ORDENES'!$A973="","",IF('ORDENES'!$Y973="","-",'ORDENES'!$Y973))</f>
        <v/>
      </c>
      <c r="F995" s="24">
        <f>IF('ORDENES'!$A973="","",IF('ORDENES'!$AB973="","-",'ORDENES'!$AB973))</f>
        <v/>
      </c>
      <c r="G995" s="24">
        <f>IF('ORDENES'!$A973="","",IF('ORDENES'!$Z973="","-",'ORDENES'!$Z973))</f>
        <v/>
      </c>
      <c r="H995" s="24">
        <f>IF('ORDENES'!$A973="","",IF('ORDENES'!$AH973="","-",'ORDENES'!$AH973))</f>
        <v/>
      </c>
      <c r="I995" s="24">
        <f>IF('ORDENES'!$A973="","",IF('ORDENES'!$AU973="","-",'ORDENES'!$AU973))</f>
        <v/>
      </c>
      <c r="J995" s="24">
        <f>IF('ORDENES'!$A973="","",IF('ORDENES'!$D973="","-",'ORDENES'!$D973))</f>
        <v/>
      </c>
      <c r="K995" s="24">
        <f>IF('ORDENES'!$A973="","",IF('ORDENES'!$E973="","-",'ORDENES'!$E973))</f>
        <v/>
      </c>
      <c r="L995" s="26">
        <f>IF('ORDENES'!$A973="","",IF('ORDENES'!$M973="",0,'ORDENES'!$M973))</f>
        <v/>
      </c>
      <c r="M995" s="24">
        <f>IF('ORDENES'!$A973="","",IF('ORDENES'!$N973="","-",'ORDENES'!$N973))</f>
        <v/>
      </c>
      <c r="N995" s="24">
        <f>IF('ORDENES'!$A973="","",'ORDENES'!$AG973)</f>
        <v/>
      </c>
    </row>
    <row r="996">
      <c r="A996" s="24">
        <f>IF('ORDENES'!$A974="","",IF('ORDENES'!$O974="","-",'ORDENES'!$O974))</f>
        <v/>
      </c>
      <c r="B996" s="24">
        <f>IF('ORDENES'!$A974="","",IF('ORDENES'!$S974="","-",'ORDENES'!$S974))</f>
        <v/>
      </c>
      <c r="C996" s="24">
        <f>IF('ORDENES'!$A974="","",IF('ORDENES'!$AI974="","-",'ORDENES'!$AI974))</f>
        <v/>
      </c>
      <c r="D996" s="24">
        <f>IF('ORDENES'!$A974="","",IF('ORDENES'!$AA974="","-",'ORDENES'!$AA974))</f>
        <v/>
      </c>
      <c r="E996" s="24">
        <f>IF('ORDENES'!$A974="","",IF('ORDENES'!$Y974="","-",'ORDENES'!$Y974))</f>
        <v/>
      </c>
      <c r="F996" s="24">
        <f>IF('ORDENES'!$A974="","",IF('ORDENES'!$AB974="","-",'ORDENES'!$AB974))</f>
        <v/>
      </c>
      <c r="G996" s="24">
        <f>IF('ORDENES'!$A974="","",IF('ORDENES'!$Z974="","-",'ORDENES'!$Z974))</f>
        <v/>
      </c>
      <c r="H996" s="24">
        <f>IF('ORDENES'!$A974="","",IF('ORDENES'!$AH974="","-",'ORDENES'!$AH974))</f>
        <v/>
      </c>
      <c r="I996" s="24">
        <f>IF('ORDENES'!$A974="","",IF('ORDENES'!$AU974="","-",'ORDENES'!$AU974))</f>
        <v/>
      </c>
      <c r="J996" s="24">
        <f>IF('ORDENES'!$A974="","",IF('ORDENES'!$D974="","-",'ORDENES'!$D974))</f>
        <v/>
      </c>
      <c r="K996" s="24">
        <f>IF('ORDENES'!$A974="","",IF('ORDENES'!$E974="","-",'ORDENES'!$E974))</f>
        <v/>
      </c>
      <c r="L996" s="26">
        <f>IF('ORDENES'!$A974="","",IF('ORDENES'!$M974="",0,'ORDENES'!$M974))</f>
        <v/>
      </c>
      <c r="M996" s="24">
        <f>IF('ORDENES'!$A974="","",IF('ORDENES'!$N974="","-",'ORDENES'!$N974))</f>
        <v/>
      </c>
      <c r="N996" s="24">
        <f>IF('ORDENES'!$A974="","",'ORDENES'!$AG974)</f>
        <v/>
      </c>
    </row>
    <row r="997">
      <c r="A997" s="24">
        <f>IF('ORDENES'!$A975="","",IF('ORDENES'!$O975="","-",'ORDENES'!$O975))</f>
        <v/>
      </c>
      <c r="B997" s="24">
        <f>IF('ORDENES'!$A975="","",IF('ORDENES'!$S975="","-",'ORDENES'!$S975))</f>
        <v/>
      </c>
      <c r="C997" s="24">
        <f>IF('ORDENES'!$A975="","",IF('ORDENES'!$AI975="","-",'ORDENES'!$AI975))</f>
        <v/>
      </c>
      <c r="D997" s="24">
        <f>IF('ORDENES'!$A975="","",IF('ORDENES'!$AA975="","-",'ORDENES'!$AA975))</f>
        <v/>
      </c>
      <c r="E997" s="24">
        <f>IF('ORDENES'!$A975="","",IF('ORDENES'!$Y975="","-",'ORDENES'!$Y975))</f>
        <v/>
      </c>
      <c r="F997" s="24">
        <f>IF('ORDENES'!$A975="","",IF('ORDENES'!$AB975="","-",'ORDENES'!$AB975))</f>
        <v/>
      </c>
      <c r="G997" s="24">
        <f>IF('ORDENES'!$A975="","",IF('ORDENES'!$Z975="","-",'ORDENES'!$Z975))</f>
        <v/>
      </c>
      <c r="H997" s="24">
        <f>IF('ORDENES'!$A975="","",IF('ORDENES'!$AH975="","-",'ORDENES'!$AH975))</f>
        <v/>
      </c>
      <c r="I997" s="24">
        <f>IF('ORDENES'!$A975="","",IF('ORDENES'!$AU975="","-",'ORDENES'!$AU975))</f>
        <v/>
      </c>
      <c r="J997" s="24">
        <f>IF('ORDENES'!$A975="","",IF('ORDENES'!$D975="","-",'ORDENES'!$D975))</f>
        <v/>
      </c>
      <c r="K997" s="24">
        <f>IF('ORDENES'!$A975="","",IF('ORDENES'!$E975="","-",'ORDENES'!$E975))</f>
        <v/>
      </c>
      <c r="L997" s="26">
        <f>IF('ORDENES'!$A975="","",IF('ORDENES'!$M975="",0,'ORDENES'!$M975))</f>
        <v/>
      </c>
      <c r="M997" s="24">
        <f>IF('ORDENES'!$A975="","",IF('ORDENES'!$N975="","-",'ORDENES'!$N975))</f>
        <v/>
      </c>
      <c r="N997" s="24">
        <f>IF('ORDENES'!$A975="","",'ORDENES'!$AG975)</f>
        <v/>
      </c>
    </row>
    <row r="998">
      <c r="A998" s="24">
        <f>IF('ORDENES'!$A976="","",IF('ORDENES'!$O976="","-",'ORDENES'!$O976))</f>
        <v/>
      </c>
      <c r="B998" s="24">
        <f>IF('ORDENES'!$A976="","",IF('ORDENES'!$S976="","-",'ORDENES'!$S976))</f>
        <v/>
      </c>
      <c r="C998" s="24">
        <f>IF('ORDENES'!$A976="","",IF('ORDENES'!$AI976="","-",'ORDENES'!$AI976))</f>
        <v/>
      </c>
      <c r="D998" s="24">
        <f>IF('ORDENES'!$A976="","",IF('ORDENES'!$AA976="","-",'ORDENES'!$AA976))</f>
        <v/>
      </c>
      <c r="E998" s="24">
        <f>IF('ORDENES'!$A976="","",IF('ORDENES'!$Y976="","-",'ORDENES'!$Y976))</f>
        <v/>
      </c>
      <c r="F998" s="24">
        <f>IF('ORDENES'!$A976="","",IF('ORDENES'!$AB976="","-",'ORDENES'!$AB976))</f>
        <v/>
      </c>
      <c r="G998" s="24">
        <f>IF('ORDENES'!$A976="","",IF('ORDENES'!$Z976="","-",'ORDENES'!$Z976))</f>
        <v/>
      </c>
      <c r="H998" s="24">
        <f>IF('ORDENES'!$A976="","",IF('ORDENES'!$AH976="","-",'ORDENES'!$AH976))</f>
        <v/>
      </c>
      <c r="I998" s="24">
        <f>IF('ORDENES'!$A976="","",IF('ORDENES'!$AU976="","-",'ORDENES'!$AU976))</f>
        <v/>
      </c>
      <c r="J998" s="24">
        <f>IF('ORDENES'!$A976="","",IF('ORDENES'!$D976="","-",'ORDENES'!$D976))</f>
        <v/>
      </c>
      <c r="K998" s="24">
        <f>IF('ORDENES'!$A976="","",IF('ORDENES'!$E976="","-",'ORDENES'!$E976))</f>
        <v/>
      </c>
      <c r="L998" s="26">
        <f>IF('ORDENES'!$A976="","",IF('ORDENES'!$M976="",0,'ORDENES'!$M976))</f>
        <v/>
      </c>
      <c r="M998" s="24">
        <f>IF('ORDENES'!$A976="","",IF('ORDENES'!$N976="","-",'ORDENES'!$N976))</f>
        <v/>
      </c>
      <c r="N998" s="24">
        <f>IF('ORDENES'!$A976="","",'ORDENES'!$AG976)</f>
        <v/>
      </c>
    </row>
    <row r="999">
      <c r="A999" s="24">
        <f>IF('ORDENES'!$A977="","",IF('ORDENES'!$O977="","-",'ORDENES'!$O977))</f>
        <v/>
      </c>
      <c r="B999" s="24">
        <f>IF('ORDENES'!$A977="","",IF('ORDENES'!$S977="","-",'ORDENES'!$S977))</f>
        <v/>
      </c>
      <c r="C999" s="24">
        <f>IF('ORDENES'!$A977="","",IF('ORDENES'!$AI977="","-",'ORDENES'!$AI977))</f>
        <v/>
      </c>
      <c r="D999" s="24">
        <f>IF('ORDENES'!$A977="","",IF('ORDENES'!$AA977="","-",'ORDENES'!$AA977))</f>
        <v/>
      </c>
      <c r="E999" s="24">
        <f>IF('ORDENES'!$A977="","",IF('ORDENES'!$Y977="","-",'ORDENES'!$Y977))</f>
        <v/>
      </c>
      <c r="F999" s="24">
        <f>IF('ORDENES'!$A977="","",IF('ORDENES'!$AB977="","-",'ORDENES'!$AB977))</f>
        <v/>
      </c>
      <c r="G999" s="24">
        <f>IF('ORDENES'!$A977="","",IF('ORDENES'!$Z977="","-",'ORDENES'!$Z977))</f>
        <v/>
      </c>
      <c r="H999" s="24">
        <f>IF('ORDENES'!$A977="","",IF('ORDENES'!$AH977="","-",'ORDENES'!$AH977))</f>
        <v/>
      </c>
      <c r="I999" s="24">
        <f>IF('ORDENES'!$A977="","",IF('ORDENES'!$AU977="","-",'ORDENES'!$AU977))</f>
        <v/>
      </c>
      <c r="J999" s="24">
        <f>IF('ORDENES'!$A977="","",IF('ORDENES'!$D977="","-",'ORDENES'!$D977))</f>
        <v/>
      </c>
      <c r="K999" s="24">
        <f>IF('ORDENES'!$A977="","",IF('ORDENES'!$E977="","-",'ORDENES'!$E977))</f>
        <v/>
      </c>
      <c r="L999" s="26">
        <f>IF('ORDENES'!$A977="","",IF('ORDENES'!$M977="",0,'ORDENES'!$M977))</f>
        <v/>
      </c>
      <c r="M999" s="24">
        <f>IF('ORDENES'!$A977="","",IF('ORDENES'!$N977="","-",'ORDENES'!$N977))</f>
        <v/>
      </c>
      <c r="N999" s="24">
        <f>IF('ORDENES'!$A977="","",'ORDENES'!$AG977)</f>
        <v/>
      </c>
    </row>
    <row r="1000">
      <c r="A1000" s="24">
        <f>IF('ORDENES'!$A978="","",IF('ORDENES'!$O978="","-",'ORDENES'!$O978))</f>
        <v/>
      </c>
      <c r="B1000" s="24">
        <f>IF('ORDENES'!$A978="","",IF('ORDENES'!$S978="","-",'ORDENES'!$S978))</f>
        <v/>
      </c>
      <c r="C1000" s="24">
        <f>IF('ORDENES'!$A978="","",IF('ORDENES'!$AI978="","-",'ORDENES'!$AI978))</f>
        <v/>
      </c>
      <c r="D1000" s="24">
        <f>IF('ORDENES'!$A978="","",IF('ORDENES'!$AA978="","-",'ORDENES'!$AA978))</f>
        <v/>
      </c>
      <c r="E1000" s="24">
        <f>IF('ORDENES'!$A978="","",IF('ORDENES'!$Y978="","-",'ORDENES'!$Y978))</f>
        <v/>
      </c>
      <c r="F1000" s="24">
        <f>IF('ORDENES'!$A978="","",IF('ORDENES'!$AB978="","-",'ORDENES'!$AB978))</f>
        <v/>
      </c>
      <c r="G1000" s="24">
        <f>IF('ORDENES'!$A978="","",IF('ORDENES'!$Z978="","-",'ORDENES'!$Z978))</f>
        <v/>
      </c>
      <c r="H1000" s="24">
        <f>IF('ORDENES'!$A978="","",IF('ORDENES'!$AH978="","-",'ORDENES'!$AH978))</f>
        <v/>
      </c>
      <c r="I1000" s="24">
        <f>IF('ORDENES'!$A978="","",IF('ORDENES'!$AU978="","-",'ORDENES'!$AU978))</f>
        <v/>
      </c>
      <c r="J1000" s="24">
        <f>IF('ORDENES'!$A978="","",IF('ORDENES'!$D978="","-",'ORDENES'!$D978))</f>
        <v/>
      </c>
      <c r="K1000" s="24">
        <f>IF('ORDENES'!$A978="","",IF('ORDENES'!$E978="","-",'ORDENES'!$E978))</f>
        <v/>
      </c>
      <c r="L1000" s="26">
        <f>IF('ORDENES'!$A978="","",IF('ORDENES'!$M978="",0,'ORDENES'!$M978))</f>
        <v/>
      </c>
      <c r="M1000" s="24">
        <f>IF('ORDENES'!$A978="","",IF('ORDENES'!$N978="","-",'ORDENES'!$N978))</f>
        <v/>
      </c>
      <c r="N1000" s="24">
        <f>IF('ORDENES'!$A978="","",'ORDENES'!$AG978)</f>
        <v/>
      </c>
    </row>
    <row r="1001">
      <c r="A1001" s="24">
        <f>IF('ORDENES'!$A979="","",IF('ORDENES'!$O979="","-",'ORDENES'!$O979))</f>
        <v/>
      </c>
      <c r="B1001" s="24">
        <f>IF('ORDENES'!$A979="","",IF('ORDENES'!$S979="","-",'ORDENES'!$S979))</f>
        <v/>
      </c>
      <c r="C1001" s="24">
        <f>IF('ORDENES'!$A979="","",IF('ORDENES'!$AI979="","-",'ORDENES'!$AI979))</f>
        <v/>
      </c>
      <c r="D1001" s="24">
        <f>IF('ORDENES'!$A979="","",IF('ORDENES'!$AA979="","-",'ORDENES'!$AA979))</f>
        <v/>
      </c>
      <c r="E1001" s="24">
        <f>IF('ORDENES'!$A979="","",IF('ORDENES'!$Y979="","-",'ORDENES'!$Y979))</f>
        <v/>
      </c>
      <c r="F1001" s="24">
        <f>IF('ORDENES'!$A979="","",IF('ORDENES'!$AB979="","-",'ORDENES'!$AB979))</f>
        <v/>
      </c>
      <c r="G1001" s="24">
        <f>IF('ORDENES'!$A979="","",IF('ORDENES'!$Z979="","-",'ORDENES'!$Z979))</f>
        <v/>
      </c>
      <c r="H1001" s="24">
        <f>IF('ORDENES'!$A979="","",IF('ORDENES'!$AH979="","-",'ORDENES'!$AH979))</f>
        <v/>
      </c>
      <c r="I1001" s="24">
        <f>IF('ORDENES'!$A979="","",IF('ORDENES'!$AU979="","-",'ORDENES'!$AU979))</f>
        <v/>
      </c>
      <c r="J1001" s="24">
        <f>IF('ORDENES'!$A979="","",IF('ORDENES'!$D979="","-",'ORDENES'!$D979))</f>
        <v/>
      </c>
      <c r="K1001" s="24">
        <f>IF('ORDENES'!$A979="","",IF('ORDENES'!$E979="","-",'ORDENES'!$E979))</f>
        <v/>
      </c>
      <c r="L1001" s="26">
        <f>IF('ORDENES'!$A979="","",IF('ORDENES'!$M979="",0,'ORDENES'!$M979))</f>
        <v/>
      </c>
      <c r="M1001" s="24">
        <f>IF('ORDENES'!$A979="","",IF('ORDENES'!$N979="","-",'ORDENES'!$N979))</f>
        <v/>
      </c>
      <c r="N1001" s="24">
        <f>IF('ORDENES'!$A979="","",'ORDENES'!$AG979)</f>
        <v/>
      </c>
    </row>
    <row r="1002">
      <c r="A1002" s="24">
        <f>IF('ORDENES'!$A980="","",IF('ORDENES'!$O980="","-",'ORDENES'!$O980))</f>
        <v/>
      </c>
      <c r="B1002" s="24">
        <f>IF('ORDENES'!$A980="","",IF('ORDENES'!$S980="","-",'ORDENES'!$S980))</f>
        <v/>
      </c>
      <c r="C1002" s="24">
        <f>IF('ORDENES'!$A980="","",IF('ORDENES'!$AI980="","-",'ORDENES'!$AI980))</f>
        <v/>
      </c>
      <c r="D1002" s="24">
        <f>IF('ORDENES'!$A980="","",IF('ORDENES'!$AA980="","-",'ORDENES'!$AA980))</f>
        <v/>
      </c>
      <c r="E1002" s="24">
        <f>IF('ORDENES'!$A980="","",IF('ORDENES'!$Y980="","-",'ORDENES'!$Y980))</f>
        <v/>
      </c>
      <c r="F1002" s="24">
        <f>IF('ORDENES'!$A980="","",IF('ORDENES'!$AB980="","-",'ORDENES'!$AB980))</f>
        <v/>
      </c>
      <c r="G1002" s="24">
        <f>IF('ORDENES'!$A980="","",IF('ORDENES'!$Z980="","-",'ORDENES'!$Z980))</f>
        <v/>
      </c>
      <c r="H1002" s="24">
        <f>IF('ORDENES'!$A980="","",IF('ORDENES'!$AH980="","-",'ORDENES'!$AH980))</f>
        <v/>
      </c>
      <c r="I1002" s="24">
        <f>IF('ORDENES'!$A980="","",IF('ORDENES'!$AU980="","-",'ORDENES'!$AU980))</f>
        <v/>
      </c>
      <c r="J1002" s="24">
        <f>IF('ORDENES'!$A980="","",IF('ORDENES'!$D980="","-",'ORDENES'!$D980))</f>
        <v/>
      </c>
      <c r="K1002" s="24">
        <f>IF('ORDENES'!$A980="","",IF('ORDENES'!$E980="","-",'ORDENES'!$E980))</f>
        <v/>
      </c>
      <c r="L1002" s="26">
        <f>IF('ORDENES'!$A980="","",IF('ORDENES'!$M980="",0,'ORDENES'!$M980))</f>
        <v/>
      </c>
      <c r="M1002" s="24">
        <f>IF('ORDENES'!$A980="","",IF('ORDENES'!$N980="","-",'ORDENES'!$N980))</f>
        <v/>
      </c>
      <c r="N1002" s="24">
        <f>IF('ORDENES'!$A980="","",'ORDENES'!$AG980)</f>
        <v/>
      </c>
    </row>
    <row r="1003">
      <c r="A1003" s="24">
        <f>IF('ORDENES'!$A981="","",IF('ORDENES'!$O981="","-",'ORDENES'!$O981))</f>
        <v/>
      </c>
      <c r="B1003" s="24">
        <f>IF('ORDENES'!$A981="","",IF('ORDENES'!$S981="","-",'ORDENES'!$S981))</f>
        <v/>
      </c>
      <c r="C1003" s="24">
        <f>IF('ORDENES'!$A981="","",IF('ORDENES'!$AI981="","-",'ORDENES'!$AI981))</f>
        <v/>
      </c>
      <c r="D1003" s="24">
        <f>IF('ORDENES'!$A981="","",IF('ORDENES'!$AA981="","-",'ORDENES'!$AA981))</f>
        <v/>
      </c>
      <c r="E1003" s="24">
        <f>IF('ORDENES'!$A981="","",IF('ORDENES'!$Y981="","-",'ORDENES'!$Y981))</f>
        <v/>
      </c>
      <c r="F1003" s="24">
        <f>IF('ORDENES'!$A981="","",IF('ORDENES'!$AB981="","-",'ORDENES'!$AB981))</f>
        <v/>
      </c>
      <c r="G1003" s="24">
        <f>IF('ORDENES'!$A981="","",IF('ORDENES'!$Z981="","-",'ORDENES'!$Z981))</f>
        <v/>
      </c>
      <c r="H1003" s="24">
        <f>IF('ORDENES'!$A981="","",IF('ORDENES'!$AH981="","-",'ORDENES'!$AH981))</f>
        <v/>
      </c>
      <c r="I1003" s="24">
        <f>IF('ORDENES'!$A981="","",IF('ORDENES'!$AU981="","-",'ORDENES'!$AU981))</f>
        <v/>
      </c>
      <c r="J1003" s="24">
        <f>IF('ORDENES'!$A981="","",IF('ORDENES'!$D981="","-",'ORDENES'!$D981))</f>
        <v/>
      </c>
      <c r="K1003" s="24">
        <f>IF('ORDENES'!$A981="","",IF('ORDENES'!$E981="","-",'ORDENES'!$E981))</f>
        <v/>
      </c>
      <c r="L1003" s="26">
        <f>IF('ORDENES'!$A981="","",IF('ORDENES'!$M981="",0,'ORDENES'!$M981))</f>
        <v/>
      </c>
      <c r="M1003" s="24">
        <f>IF('ORDENES'!$A981="","",IF('ORDENES'!$N981="","-",'ORDENES'!$N981))</f>
        <v/>
      </c>
      <c r="N1003" s="24">
        <f>IF('ORDENES'!$A981="","",'ORDENES'!$AG981)</f>
        <v/>
      </c>
    </row>
    <row r="1004">
      <c r="A1004" s="24">
        <f>IF('ORDENES'!$A982="","",IF('ORDENES'!$O982="","-",'ORDENES'!$O982))</f>
        <v/>
      </c>
      <c r="B1004" s="24">
        <f>IF('ORDENES'!$A982="","",IF('ORDENES'!$S982="","-",'ORDENES'!$S982))</f>
        <v/>
      </c>
      <c r="C1004" s="24">
        <f>IF('ORDENES'!$A982="","",IF('ORDENES'!$AI982="","-",'ORDENES'!$AI982))</f>
        <v/>
      </c>
      <c r="D1004" s="24">
        <f>IF('ORDENES'!$A982="","",IF('ORDENES'!$AA982="","-",'ORDENES'!$AA982))</f>
        <v/>
      </c>
      <c r="E1004" s="24">
        <f>IF('ORDENES'!$A982="","",IF('ORDENES'!$Y982="","-",'ORDENES'!$Y982))</f>
        <v/>
      </c>
      <c r="F1004" s="24">
        <f>IF('ORDENES'!$A982="","",IF('ORDENES'!$AB982="","-",'ORDENES'!$AB982))</f>
        <v/>
      </c>
      <c r="G1004" s="24">
        <f>IF('ORDENES'!$A982="","",IF('ORDENES'!$Z982="","-",'ORDENES'!$Z982))</f>
        <v/>
      </c>
      <c r="H1004" s="24">
        <f>IF('ORDENES'!$A982="","",IF('ORDENES'!$AH982="","-",'ORDENES'!$AH982))</f>
        <v/>
      </c>
      <c r="I1004" s="24">
        <f>IF('ORDENES'!$A982="","",IF('ORDENES'!$AU982="","-",'ORDENES'!$AU982))</f>
        <v/>
      </c>
      <c r="J1004" s="24">
        <f>IF('ORDENES'!$A982="","",IF('ORDENES'!$D982="","-",'ORDENES'!$D982))</f>
        <v/>
      </c>
      <c r="K1004" s="24">
        <f>IF('ORDENES'!$A982="","",IF('ORDENES'!$E982="","-",'ORDENES'!$E982))</f>
        <v/>
      </c>
      <c r="L1004" s="26">
        <f>IF('ORDENES'!$A982="","",IF('ORDENES'!$M982="",0,'ORDENES'!$M982))</f>
        <v/>
      </c>
      <c r="M1004" s="24">
        <f>IF('ORDENES'!$A982="","",IF('ORDENES'!$N982="","-",'ORDENES'!$N982))</f>
        <v/>
      </c>
      <c r="N1004" s="24">
        <f>IF('ORDENES'!$A982="","",'ORDENES'!$AG982)</f>
        <v/>
      </c>
    </row>
    <row r="1005">
      <c r="A1005" s="24">
        <f>IF('ORDENES'!$A983="","",IF('ORDENES'!$O983="","-",'ORDENES'!$O983))</f>
        <v/>
      </c>
      <c r="B1005" s="24">
        <f>IF('ORDENES'!$A983="","",IF('ORDENES'!$S983="","-",'ORDENES'!$S983))</f>
        <v/>
      </c>
      <c r="C1005" s="24">
        <f>IF('ORDENES'!$A983="","",IF('ORDENES'!$AI983="","-",'ORDENES'!$AI983))</f>
        <v/>
      </c>
      <c r="D1005" s="24">
        <f>IF('ORDENES'!$A983="","",IF('ORDENES'!$AA983="","-",'ORDENES'!$AA983))</f>
        <v/>
      </c>
      <c r="E1005" s="24">
        <f>IF('ORDENES'!$A983="","",IF('ORDENES'!$Y983="","-",'ORDENES'!$Y983))</f>
        <v/>
      </c>
      <c r="F1005" s="24">
        <f>IF('ORDENES'!$A983="","",IF('ORDENES'!$AB983="","-",'ORDENES'!$AB983))</f>
        <v/>
      </c>
      <c r="G1005" s="24">
        <f>IF('ORDENES'!$A983="","",IF('ORDENES'!$Z983="","-",'ORDENES'!$Z983))</f>
        <v/>
      </c>
      <c r="H1005" s="24">
        <f>IF('ORDENES'!$A983="","",IF('ORDENES'!$AH983="","-",'ORDENES'!$AH983))</f>
        <v/>
      </c>
      <c r="I1005" s="24">
        <f>IF('ORDENES'!$A983="","",IF('ORDENES'!$AU983="","-",'ORDENES'!$AU983))</f>
        <v/>
      </c>
      <c r="J1005" s="24">
        <f>IF('ORDENES'!$A983="","",IF('ORDENES'!$D983="","-",'ORDENES'!$D983))</f>
        <v/>
      </c>
      <c r="K1005" s="24">
        <f>IF('ORDENES'!$A983="","",IF('ORDENES'!$E983="","-",'ORDENES'!$E983))</f>
        <v/>
      </c>
      <c r="L1005" s="26">
        <f>IF('ORDENES'!$A983="","",IF('ORDENES'!$M983="",0,'ORDENES'!$M983))</f>
        <v/>
      </c>
      <c r="M1005" s="24">
        <f>IF('ORDENES'!$A983="","",IF('ORDENES'!$N983="","-",'ORDENES'!$N983))</f>
        <v/>
      </c>
      <c r="N1005" s="24">
        <f>IF('ORDENES'!$A983="","",'ORDENES'!$AG983)</f>
        <v/>
      </c>
    </row>
    <row r="1006">
      <c r="A1006" s="24">
        <f>IF('ORDENES'!$A984="","",IF('ORDENES'!$O984="","-",'ORDENES'!$O984))</f>
        <v/>
      </c>
      <c r="B1006" s="24">
        <f>IF('ORDENES'!$A984="","",IF('ORDENES'!$S984="","-",'ORDENES'!$S984))</f>
        <v/>
      </c>
      <c r="C1006" s="24">
        <f>IF('ORDENES'!$A984="","",IF('ORDENES'!$AI984="","-",'ORDENES'!$AI984))</f>
        <v/>
      </c>
      <c r="D1006" s="24">
        <f>IF('ORDENES'!$A984="","",IF('ORDENES'!$AA984="","-",'ORDENES'!$AA984))</f>
        <v/>
      </c>
      <c r="E1006" s="24">
        <f>IF('ORDENES'!$A984="","",IF('ORDENES'!$Y984="","-",'ORDENES'!$Y984))</f>
        <v/>
      </c>
      <c r="F1006" s="24">
        <f>IF('ORDENES'!$A984="","",IF('ORDENES'!$AB984="","-",'ORDENES'!$AB984))</f>
        <v/>
      </c>
      <c r="G1006" s="24">
        <f>IF('ORDENES'!$A984="","",IF('ORDENES'!$Z984="","-",'ORDENES'!$Z984))</f>
        <v/>
      </c>
      <c r="H1006" s="24">
        <f>IF('ORDENES'!$A984="","",IF('ORDENES'!$AH984="","-",'ORDENES'!$AH984))</f>
        <v/>
      </c>
      <c r="I1006" s="24">
        <f>IF('ORDENES'!$A984="","",IF('ORDENES'!$AU984="","-",'ORDENES'!$AU984))</f>
        <v/>
      </c>
      <c r="J1006" s="24">
        <f>IF('ORDENES'!$A984="","",IF('ORDENES'!$D984="","-",'ORDENES'!$D984))</f>
        <v/>
      </c>
      <c r="K1006" s="24">
        <f>IF('ORDENES'!$A984="","",IF('ORDENES'!$E984="","-",'ORDENES'!$E984))</f>
        <v/>
      </c>
      <c r="L1006" s="26">
        <f>IF('ORDENES'!$A984="","",IF('ORDENES'!$M984="",0,'ORDENES'!$M984))</f>
        <v/>
      </c>
      <c r="M1006" s="24">
        <f>IF('ORDENES'!$A984="","",IF('ORDENES'!$N984="","-",'ORDENES'!$N984))</f>
        <v/>
      </c>
      <c r="N1006" s="24">
        <f>IF('ORDENES'!$A984="","",'ORDENES'!$AG984)</f>
        <v/>
      </c>
    </row>
    <row r="1007">
      <c r="A1007" s="24">
        <f>IF('ORDENES'!$A985="","",IF('ORDENES'!$O985="","-",'ORDENES'!$O985))</f>
        <v/>
      </c>
      <c r="B1007" s="24">
        <f>IF('ORDENES'!$A985="","",IF('ORDENES'!$S985="","-",'ORDENES'!$S985))</f>
        <v/>
      </c>
      <c r="C1007" s="24">
        <f>IF('ORDENES'!$A985="","",IF('ORDENES'!$AI985="","-",'ORDENES'!$AI985))</f>
        <v/>
      </c>
      <c r="D1007" s="24">
        <f>IF('ORDENES'!$A985="","",IF('ORDENES'!$AA985="","-",'ORDENES'!$AA985))</f>
        <v/>
      </c>
      <c r="E1007" s="24">
        <f>IF('ORDENES'!$A985="","",IF('ORDENES'!$Y985="","-",'ORDENES'!$Y985))</f>
        <v/>
      </c>
      <c r="F1007" s="24">
        <f>IF('ORDENES'!$A985="","",IF('ORDENES'!$AB985="","-",'ORDENES'!$AB985))</f>
        <v/>
      </c>
      <c r="G1007" s="24">
        <f>IF('ORDENES'!$A985="","",IF('ORDENES'!$Z985="","-",'ORDENES'!$Z985))</f>
        <v/>
      </c>
      <c r="H1007" s="24">
        <f>IF('ORDENES'!$A985="","",IF('ORDENES'!$AH985="","-",'ORDENES'!$AH985))</f>
        <v/>
      </c>
      <c r="I1007" s="24">
        <f>IF('ORDENES'!$A985="","",IF('ORDENES'!$AU985="","-",'ORDENES'!$AU985))</f>
        <v/>
      </c>
      <c r="J1007" s="24">
        <f>IF('ORDENES'!$A985="","",IF('ORDENES'!$D985="","-",'ORDENES'!$D985))</f>
        <v/>
      </c>
      <c r="K1007" s="24">
        <f>IF('ORDENES'!$A985="","",IF('ORDENES'!$E985="","-",'ORDENES'!$E985))</f>
        <v/>
      </c>
      <c r="L1007" s="26">
        <f>IF('ORDENES'!$A985="","",IF('ORDENES'!$M985="",0,'ORDENES'!$M985))</f>
        <v/>
      </c>
      <c r="M1007" s="24">
        <f>IF('ORDENES'!$A985="","",IF('ORDENES'!$N985="","-",'ORDENES'!$N985))</f>
        <v/>
      </c>
      <c r="N1007" s="24">
        <f>IF('ORDENES'!$A985="","",'ORDENES'!$AG985)</f>
        <v/>
      </c>
    </row>
    <row r="1008">
      <c r="A1008" s="24">
        <f>IF('ORDENES'!$A986="","",IF('ORDENES'!$O986="","-",'ORDENES'!$O986))</f>
        <v/>
      </c>
      <c r="B1008" s="24">
        <f>IF('ORDENES'!$A986="","",IF('ORDENES'!$S986="","-",'ORDENES'!$S986))</f>
        <v/>
      </c>
      <c r="C1008" s="24">
        <f>IF('ORDENES'!$A986="","",IF('ORDENES'!$AI986="","-",'ORDENES'!$AI986))</f>
        <v/>
      </c>
      <c r="D1008" s="24">
        <f>IF('ORDENES'!$A986="","",IF('ORDENES'!$AA986="","-",'ORDENES'!$AA986))</f>
        <v/>
      </c>
      <c r="E1008" s="24">
        <f>IF('ORDENES'!$A986="","",IF('ORDENES'!$Y986="","-",'ORDENES'!$Y986))</f>
        <v/>
      </c>
      <c r="F1008" s="24">
        <f>IF('ORDENES'!$A986="","",IF('ORDENES'!$AB986="","-",'ORDENES'!$AB986))</f>
        <v/>
      </c>
      <c r="G1008" s="24">
        <f>IF('ORDENES'!$A986="","",IF('ORDENES'!$Z986="","-",'ORDENES'!$Z986))</f>
        <v/>
      </c>
      <c r="H1008" s="24">
        <f>IF('ORDENES'!$A986="","",IF('ORDENES'!$AH986="","-",'ORDENES'!$AH986))</f>
        <v/>
      </c>
      <c r="I1008" s="24">
        <f>IF('ORDENES'!$A986="","",IF('ORDENES'!$AU986="","-",'ORDENES'!$AU986))</f>
        <v/>
      </c>
      <c r="J1008" s="24">
        <f>IF('ORDENES'!$A986="","",IF('ORDENES'!$D986="","-",'ORDENES'!$D986))</f>
        <v/>
      </c>
      <c r="K1008" s="24">
        <f>IF('ORDENES'!$A986="","",IF('ORDENES'!$E986="","-",'ORDENES'!$E986))</f>
        <v/>
      </c>
      <c r="L1008" s="26">
        <f>IF('ORDENES'!$A986="","",IF('ORDENES'!$M986="",0,'ORDENES'!$M986))</f>
        <v/>
      </c>
      <c r="M1008" s="24">
        <f>IF('ORDENES'!$A986="","",IF('ORDENES'!$N986="","-",'ORDENES'!$N986))</f>
        <v/>
      </c>
      <c r="N1008" s="24">
        <f>IF('ORDENES'!$A986="","",'ORDENES'!$AG986)</f>
        <v/>
      </c>
    </row>
    <row r="1009">
      <c r="A1009" s="24">
        <f>IF('ORDENES'!$A987="","",IF('ORDENES'!$O987="","-",'ORDENES'!$O987))</f>
        <v/>
      </c>
      <c r="B1009" s="24">
        <f>IF('ORDENES'!$A987="","",IF('ORDENES'!$S987="","-",'ORDENES'!$S987))</f>
        <v/>
      </c>
      <c r="C1009" s="24">
        <f>IF('ORDENES'!$A987="","",IF('ORDENES'!$AI987="","-",'ORDENES'!$AI987))</f>
        <v/>
      </c>
      <c r="D1009" s="24">
        <f>IF('ORDENES'!$A987="","",IF('ORDENES'!$AA987="","-",'ORDENES'!$AA987))</f>
        <v/>
      </c>
      <c r="E1009" s="24">
        <f>IF('ORDENES'!$A987="","",IF('ORDENES'!$Y987="","-",'ORDENES'!$Y987))</f>
        <v/>
      </c>
      <c r="F1009" s="24">
        <f>IF('ORDENES'!$A987="","",IF('ORDENES'!$AB987="","-",'ORDENES'!$AB987))</f>
        <v/>
      </c>
      <c r="G1009" s="24">
        <f>IF('ORDENES'!$A987="","",IF('ORDENES'!$Z987="","-",'ORDENES'!$Z987))</f>
        <v/>
      </c>
      <c r="H1009" s="24">
        <f>IF('ORDENES'!$A987="","",IF('ORDENES'!$AH987="","-",'ORDENES'!$AH987))</f>
        <v/>
      </c>
      <c r="I1009" s="24">
        <f>IF('ORDENES'!$A987="","",IF('ORDENES'!$AU987="","-",'ORDENES'!$AU987))</f>
        <v/>
      </c>
      <c r="J1009" s="24">
        <f>IF('ORDENES'!$A987="","",IF('ORDENES'!$D987="","-",'ORDENES'!$D987))</f>
        <v/>
      </c>
      <c r="K1009" s="24">
        <f>IF('ORDENES'!$A987="","",IF('ORDENES'!$E987="","-",'ORDENES'!$E987))</f>
        <v/>
      </c>
      <c r="L1009" s="26">
        <f>IF('ORDENES'!$A987="","",IF('ORDENES'!$M987="",0,'ORDENES'!$M987))</f>
        <v/>
      </c>
      <c r="M1009" s="24">
        <f>IF('ORDENES'!$A987="","",IF('ORDENES'!$N987="","-",'ORDENES'!$N987))</f>
        <v/>
      </c>
      <c r="N1009" s="24">
        <f>IF('ORDENES'!$A987="","",'ORDENES'!$AG987)</f>
        <v/>
      </c>
    </row>
    <row r="1010">
      <c r="A1010" s="24">
        <f>IF('ORDENES'!$A988="","",IF('ORDENES'!$O988="","-",'ORDENES'!$O988))</f>
        <v/>
      </c>
      <c r="B1010" s="24">
        <f>IF('ORDENES'!$A988="","",IF('ORDENES'!$S988="","-",'ORDENES'!$S988))</f>
        <v/>
      </c>
      <c r="C1010" s="24">
        <f>IF('ORDENES'!$A988="","",IF('ORDENES'!$AI988="","-",'ORDENES'!$AI988))</f>
        <v/>
      </c>
      <c r="D1010" s="24">
        <f>IF('ORDENES'!$A988="","",IF('ORDENES'!$AA988="","-",'ORDENES'!$AA988))</f>
        <v/>
      </c>
      <c r="E1010" s="24">
        <f>IF('ORDENES'!$A988="","",IF('ORDENES'!$Y988="","-",'ORDENES'!$Y988))</f>
        <v/>
      </c>
      <c r="F1010" s="24">
        <f>IF('ORDENES'!$A988="","",IF('ORDENES'!$AB988="","-",'ORDENES'!$AB988))</f>
        <v/>
      </c>
      <c r="G1010" s="24">
        <f>IF('ORDENES'!$A988="","",IF('ORDENES'!$Z988="","-",'ORDENES'!$Z988))</f>
        <v/>
      </c>
      <c r="H1010" s="24">
        <f>IF('ORDENES'!$A988="","",IF('ORDENES'!$AH988="","-",'ORDENES'!$AH988))</f>
        <v/>
      </c>
      <c r="I1010" s="24">
        <f>IF('ORDENES'!$A988="","",IF('ORDENES'!$AU988="","-",'ORDENES'!$AU988))</f>
        <v/>
      </c>
      <c r="J1010" s="24">
        <f>IF('ORDENES'!$A988="","",IF('ORDENES'!$D988="","-",'ORDENES'!$D988))</f>
        <v/>
      </c>
      <c r="K1010" s="24">
        <f>IF('ORDENES'!$A988="","",IF('ORDENES'!$E988="","-",'ORDENES'!$E988))</f>
        <v/>
      </c>
      <c r="L1010" s="26">
        <f>IF('ORDENES'!$A988="","",IF('ORDENES'!$M988="",0,'ORDENES'!$M988))</f>
        <v/>
      </c>
      <c r="M1010" s="24">
        <f>IF('ORDENES'!$A988="","",IF('ORDENES'!$N988="","-",'ORDENES'!$N988))</f>
        <v/>
      </c>
      <c r="N1010" s="24">
        <f>IF('ORDENES'!$A988="","",'ORDENES'!$AG988)</f>
        <v/>
      </c>
    </row>
    <row r="1011">
      <c r="A1011" s="24">
        <f>IF('ORDENES'!$A989="","",IF('ORDENES'!$O989="","-",'ORDENES'!$O989))</f>
        <v/>
      </c>
      <c r="B1011" s="24">
        <f>IF('ORDENES'!$A989="","",IF('ORDENES'!$S989="","-",'ORDENES'!$S989))</f>
        <v/>
      </c>
      <c r="C1011" s="24">
        <f>IF('ORDENES'!$A989="","",IF('ORDENES'!$AI989="","-",'ORDENES'!$AI989))</f>
        <v/>
      </c>
      <c r="D1011" s="24">
        <f>IF('ORDENES'!$A989="","",IF('ORDENES'!$AA989="","-",'ORDENES'!$AA989))</f>
        <v/>
      </c>
      <c r="E1011" s="24">
        <f>IF('ORDENES'!$A989="","",IF('ORDENES'!$Y989="","-",'ORDENES'!$Y989))</f>
        <v/>
      </c>
      <c r="F1011" s="24">
        <f>IF('ORDENES'!$A989="","",IF('ORDENES'!$AB989="","-",'ORDENES'!$AB989))</f>
        <v/>
      </c>
      <c r="G1011" s="24">
        <f>IF('ORDENES'!$A989="","",IF('ORDENES'!$Z989="","-",'ORDENES'!$Z989))</f>
        <v/>
      </c>
      <c r="H1011" s="24">
        <f>IF('ORDENES'!$A989="","",IF('ORDENES'!$AH989="","-",'ORDENES'!$AH989))</f>
        <v/>
      </c>
      <c r="I1011" s="24">
        <f>IF('ORDENES'!$A989="","",IF('ORDENES'!$AU989="","-",'ORDENES'!$AU989))</f>
        <v/>
      </c>
      <c r="J1011" s="24">
        <f>IF('ORDENES'!$A989="","",IF('ORDENES'!$D989="","-",'ORDENES'!$D989))</f>
        <v/>
      </c>
      <c r="K1011" s="24">
        <f>IF('ORDENES'!$A989="","",IF('ORDENES'!$E989="","-",'ORDENES'!$E989))</f>
        <v/>
      </c>
      <c r="L1011" s="26">
        <f>IF('ORDENES'!$A989="","",IF('ORDENES'!$M989="",0,'ORDENES'!$M989))</f>
        <v/>
      </c>
      <c r="M1011" s="24">
        <f>IF('ORDENES'!$A989="","",IF('ORDENES'!$N989="","-",'ORDENES'!$N989))</f>
        <v/>
      </c>
      <c r="N1011" s="24">
        <f>IF('ORDENES'!$A989="","",'ORDENES'!$AG989)</f>
        <v/>
      </c>
    </row>
    <row r="1012">
      <c r="A1012" s="24">
        <f>IF('ORDENES'!$A990="","",IF('ORDENES'!$O990="","-",'ORDENES'!$O990))</f>
        <v/>
      </c>
      <c r="B1012" s="24">
        <f>IF('ORDENES'!$A990="","",IF('ORDENES'!$S990="","-",'ORDENES'!$S990))</f>
        <v/>
      </c>
      <c r="C1012" s="24">
        <f>IF('ORDENES'!$A990="","",IF('ORDENES'!$AI990="","-",'ORDENES'!$AI990))</f>
        <v/>
      </c>
      <c r="D1012" s="24">
        <f>IF('ORDENES'!$A990="","",IF('ORDENES'!$AA990="","-",'ORDENES'!$AA990))</f>
        <v/>
      </c>
      <c r="E1012" s="24">
        <f>IF('ORDENES'!$A990="","",IF('ORDENES'!$Y990="","-",'ORDENES'!$Y990))</f>
        <v/>
      </c>
      <c r="F1012" s="24">
        <f>IF('ORDENES'!$A990="","",IF('ORDENES'!$AB990="","-",'ORDENES'!$AB990))</f>
        <v/>
      </c>
      <c r="G1012" s="24">
        <f>IF('ORDENES'!$A990="","",IF('ORDENES'!$Z990="","-",'ORDENES'!$Z990))</f>
        <v/>
      </c>
      <c r="H1012" s="24">
        <f>IF('ORDENES'!$A990="","",IF('ORDENES'!$AH990="","-",'ORDENES'!$AH990))</f>
        <v/>
      </c>
      <c r="I1012" s="24">
        <f>IF('ORDENES'!$A990="","",IF('ORDENES'!$AU990="","-",'ORDENES'!$AU990))</f>
        <v/>
      </c>
      <c r="J1012" s="24">
        <f>IF('ORDENES'!$A990="","",IF('ORDENES'!$D990="","-",'ORDENES'!$D990))</f>
        <v/>
      </c>
      <c r="K1012" s="24">
        <f>IF('ORDENES'!$A990="","",IF('ORDENES'!$E990="","-",'ORDENES'!$E990))</f>
        <v/>
      </c>
      <c r="L1012" s="26">
        <f>IF('ORDENES'!$A990="","",IF('ORDENES'!$M990="",0,'ORDENES'!$M990))</f>
        <v/>
      </c>
      <c r="M1012" s="24">
        <f>IF('ORDENES'!$A990="","",IF('ORDENES'!$N990="","-",'ORDENES'!$N990))</f>
        <v/>
      </c>
      <c r="N1012" s="24">
        <f>IF('ORDENES'!$A990="","",'ORDENES'!$AG990)</f>
        <v/>
      </c>
    </row>
    <row r="1013">
      <c r="A1013" s="24">
        <f>IF('ORDENES'!$A991="","",IF('ORDENES'!$O991="","-",'ORDENES'!$O991))</f>
        <v/>
      </c>
      <c r="B1013" s="24">
        <f>IF('ORDENES'!$A991="","",IF('ORDENES'!$S991="","-",'ORDENES'!$S991))</f>
        <v/>
      </c>
      <c r="C1013" s="24">
        <f>IF('ORDENES'!$A991="","",IF('ORDENES'!$AI991="","-",'ORDENES'!$AI991))</f>
        <v/>
      </c>
      <c r="D1013" s="24">
        <f>IF('ORDENES'!$A991="","",IF('ORDENES'!$AA991="","-",'ORDENES'!$AA991))</f>
        <v/>
      </c>
      <c r="E1013" s="24">
        <f>IF('ORDENES'!$A991="","",IF('ORDENES'!$Y991="","-",'ORDENES'!$Y991))</f>
        <v/>
      </c>
      <c r="F1013" s="24">
        <f>IF('ORDENES'!$A991="","",IF('ORDENES'!$AB991="","-",'ORDENES'!$AB991))</f>
        <v/>
      </c>
      <c r="G1013" s="24">
        <f>IF('ORDENES'!$A991="","",IF('ORDENES'!$Z991="","-",'ORDENES'!$Z991))</f>
        <v/>
      </c>
      <c r="H1013" s="24">
        <f>IF('ORDENES'!$A991="","",IF('ORDENES'!$AH991="","-",'ORDENES'!$AH991))</f>
        <v/>
      </c>
      <c r="I1013" s="24">
        <f>IF('ORDENES'!$A991="","",IF('ORDENES'!$AU991="","-",'ORDENES'!$AU991))</f>
        <v/>
      </c>
      <c r="J1013" s="24">
        <f>IF('ORDENES'!$A991="","",IF('ORDENES'!$D991="","-",'ORDENES'!$D991))</f>
        <v/>
      </c>
      <c r="K1013" s="24">
        <f>IF('ORDENES'!$A991="","",IF('ORDENES'!$E991="","-",'ORDENES'!$E991))</f>
        <v/>
      </c>
      <c r="L1013" s="26">
        <f>IF('ORDENES'!$A991="","",IF('ORDENES'!$M991="",0,'ORDENES'!$M991))</f>
        <v/>
      </c>
      <c r="M1013" s="24">
        <f>IF('ORDENES'!$A991="","",IF('ORDENES'!$N991="","-",'ORDENES'!$N991))</f>
        <v/>
      </c>
      <c r="N1013" s="24">
        <f>IF('ORDENES'!$A991="","",'ORDENES'!$AG991)</f>
        <v/>
      </c>
    </row>
    <row r="1014">
      <c r="A1014" s="24">
        <f>IF('ORDENES'!$A992="","",IF('ORDENES'!$O992="","-",'ORDENES'!$O992))</f>
        <v/>
      </c>
      <c r="B1014" s="24">
        <f>IF('ORDENES'!$A992="","",IF('ORDENES'!$S992="","-",'ORDENES'!$S992))</f>
        <v/>
      </c>
      <c r="C1014" s="24">
        <f>IF('ORDENES'!$A992="","",IF('ORDENES'!$AI992="","-",'ORDENES'!$AI992))</f>
        <v/>
      </c>
      <c r="D1014" s="24">
        <f>IF('ORDENES'!$A992="","",IF('ORDENES'!$AA992="","-",'ORDENES'!$AA992))</f>
        <v/>
      </c>
      <c r="E1014" s="24">
        <f>IF('ORDENES'!$A992="","",IF('ORDENES'!$Y992="","-",'ORDENES'!$Y992))</f>
        <v/>
      </c>
      <c r="F1014" s="24">
        <f>IF('ORDENES'!$A992="","",IF('ORDENES'!$AB992="","-",'ORDENES'!$AB992))</f>
        <v/>
      </c>
      <c r="G1014" s="24">
        <f>IF('ORDENES'!$A992="","",IF('ORDENES'!$Z992="","-",'ORDENES'!$Z992))</f>
        <v/>
      </c>
      <c r="H1014" s="24">
        <f>IF('ORDENES'!$A992="","",IF('ORDENES'!$AH992="","-",'ORDENES'!$AH992))</f>
        <v/>
      </c>
      <c r="I1014" s="24">
        <f>IF('ORDENES'!$A992="","",IF('ORDENES'!$AU992="","-",'ORDENES'!$AU992))</f>
        <v/>
      </c>
      <c r="J1014" s="24">
        <f>IF('ORDENES'!$A992="","",IF('ORDENES'!$D992="","-",'ORDENES'!$D992))</f>
        <v/>
      </c>
      <c r="K1014" s="24">
        <f>IF('ORDENES'!$A992="","",IF('ORDENES'!$E992="","-",'ORDENES'!$E992))</f>
        <v/>
      </c>
      <c r="L1014" s="26">
        <f>IF('ORDENES'!$A992="","",IF('ORDENES'!$M992="",0,'ORDENES'!$M992))</f>
        <v/>
      </c>
      <c r="M1014" s="24">
        <f>IF('ORDENES'!$A992="","",IF('ORDENES'!$N992="","-",'ORDENES'!$N992))</f>
        <v/>
      </c>
      <c r="N1014" s="24">
        <f>IF('ORDENES'!$A992="","",'ORDENES'!$AG992)</f>
        <v/>
      </c>
    </row>
    <row r="1015">
      <c r="A1015" s="24">
        <f>IF('ORDENES'!$A993="","",IF('ORDENES'!$O993="","-",'ORDENES'!$O993))</f>
        <v/>
      </c>
      <c r="B1015" s="24">
        <f>IF('ORDENES'!$A993="","",IF('ORDENES'!$S993="","-",'ORDENES'!$S993))</f>
        <v/>
      </c>
      <c r="C1015" s="24">
        <f>IF('ORDENES'!$A993="","",IF('ORDENES'!$AI993="","-",'ORDENES'!$AI993))</f>
        <v/>
      </c>
      <c r="D1015" s="24">
        <f>IF('ORDENES'!$A993="","",IF('ORDENES'!$AA993="","-",'ORDENES'!$AA993))</f>
        <v/>
      </c>
      <c r="E1015" s="24">
        <f>IF('ORDENES'!$A993="","",IF('ORDENES'!$Y993="","-",'ORDENES'!$Y993))</f>
        <v/>
      </c>
      <c r="F1015" s="24">
        <f>IF('ORDENES'!$A993="","",IF('ORDENES'!$AB993="","-",'ORDENES'!$AB993))</f>
        <v/>
      </c>
      <c r="G1015" s="24">
        <f>IF('ORDENES'!$A993="","",IF('ORDENES'!$Z993="","-",'ORDENES'!$Z993))</f>
        <v/>
      </c>
      <c r="H1015" s="24">
        <f>IF('ORDENES'!$A993="","",IF('ORDENES'!$AH993="","-",'ORDENES'!$AH993))</f>
        <v/>
      </c>
      <c r="I1015" s="24">
        <f>IF('ORDENES'!$A993="","",IF('ORDENES'!$AU993="","-",'ORDENES'!$AU993))</f>
        <v/>
      </c>
      <c r="J1015" s="24">
        <f>IF('ORDENES'!$A993="","",IF('ORDENES'!$D993="","-",'ORDENES'!$D993))</f>
        <v/>
      </c>
      <c r="K1015" s="24">
        <f>IF('ORDENES'!$A993="","",IF('ORDENES'!$E993="","-",'ORDENES'!$E993))</f>
        <v/>
      </c>
      <c r="L1015" s="26">
        <f>IF('ORDENES'!$A993="","",IF('ORDENES'!$M993="",0,'ORDENES'!$M993))</f>
        <v/>
      </c>
      <c r="M1015" s="24">
        <f>IF('ORDENES'!$A993="","",IF('ORDENES'!$N993="","-",'ORDENES'!$N993))</f>
        <v/>
      </c>
      <c r="N1015" s="24">
        <f>IF('ORDENES'!$A993="","",'ORDENES'!$AG993)</f>
        <v/>
      </c>
    </row>
    <row r="1016">
      <c r="A1016" s="24">
        <f>IF('ORDENES'!$A994="","",IF('ORDENES'!$O994="","-",'ORDENES'!$O994))</f>
        <v/>
      </c>
      <c r="B1016" s="24">
        <f>IF('ORDENES'!$A994="","",IF('ORDENES'!$S994="","-",'ORDENES'!$S994))</f>
        <v/>
      </c>
      <c r="C1016" s="24">
        <f>IF('ORDENES'!$A994="","",IF('ORDENES'!$AI994="","-",'ORDENES'!$AI994))</f>
        <v/>
      </c>
      <c r="D1016" s="24">
        <f>IF('ORDENES'!$A994="","",IF('ORDENES'!$AA994="","-",'ORDENES'!$AA994))</f>
        <v/>
      </c>
      <c r="E1016" s="24">
        <f>IF('ORDENES'!$A994="","",IF('ORDENES'!$Y994="","-",'ORDENES'!$Y994))</f>
        <v/>
      </c>
      <c r="F1016" s="24">
        <f>IF('ORDENES'!$A994="","",IF('ORDENES'!$AB994="","-",'ORDENES'!$AB994))</f>
        <v/>
      </c>
      <c r="G1016" s="24">
        <f>IF('ORDENES'!$A994="","",IF('ORDENES'!$Z994="","-",'ORDENES'!$Z994))</f>
        <v/>
      </c>
      <c r="H1016" s="24">
        <f>IF('ORDENES'!$A994="","",IF('ORDENES'!$AH994="","-",'ORDENES'!$AH994))</f>
        <v/>
      </c>
      <c r="I1016" s="24">
        <f>IF('ORDENES'!$A994="","",IF('ORDENES'!$AU994="","-",'ORDENES'!$AU994))</f>
        <v/>
      </c>
      <c r="J1016" s="24">
        <f>IF('ORDENES'!$A994="","",IF('ORDENES'!$D994="","-",'ORDENES'!$D994))</f>
        <v/>
      </c>
      <c r="K1016" s="24">
        <f>IF('ORDENES'!$A994="","",IF('ORDENES'!$E994="","-",'ORDENES'!$E994))</f>
        <v/>
      </c>
      <c r="L1016" s="26">
        <f>IF('ORDENES'!$A994="","",IF('ORDENES'!$M994="",0,'ORDENES'!$M994))</f>
        <v/>
      </c>
      <c r="M1016" s="24">
        <f>IF('ORDENES'!$A994="","",IF('ORDENES'!$N994="","-",'ORDENES'!$N994))</f>
        <v/>
      </c>
      <c r="N1016" s="24">
        <f>IF('ORDENES'!$A994="","",'ORDENES'!$AG994)</f>
        <v/>
      </c>
    </row>
    <row r="1017">
      <c r="A1017" s="24">
        <f>IF('ORDENES'!$A995="","",IF('ORDENES'!$O995="","-",'ORDENES'!$O995))</f>
        <v/>
      </c>
      <c r="B1017" s="24">
        <f>IF('ORDENES'!$A995="","",IF('ORDENES'!$S995="","-",'ORDENES'!$S995))</f>
        <v/>
      </c>
      <c r="C1017" s="24">
        <f>IF('ORDENES'!$A995="","",IF('ORDENES'!$AI995="","-",'ORDENES'!$AI995))</f>
        <v/>
      </c>
      <c r="D1017" s="24">
        <f>IF('ORDENES'!$A995="","",IF('ORDENES'!$AA995="","-",'ORDENES'!$AA995))</f>
        <v/>
      </c>
      <c r="E1017" s="24">
        <f>IF('ORDENES'!$A995="","",IF('ORDENES'!$Y995="","-",'ORDENES'!$Y995))</f>
        <v/>
      </c>
      <c r="F1017" s="24">
        <f>IF('ORDENES'!$A995="","",IF('ORDENES'!$AB995="","-",'ORDENES'!$AB995))</f>
        <v/>
      </c>
      <c r="G1017" s="24">
        <f>IF('ORDENES'!$A995="","",IF('ORDENES'!$Z995="","-",'ORDENES'!$Z995))</f>
        <v/>
      </c>
      <c r="H1017" s="24">
        <f>IF('ORDENES'!$A995="","",IF('ORDENES'!$AH995="","-",'ORDENES'!$AH995))</f>
        <v/>
      </c>
      <c r="I1017" s="24">
        <f>IF('ORDENES'!$A995="","",IF('ORDENES'!$AU995="","-",'ORDENES'!$AU995))</f>
        <v/>
      </c>
      <c r="J1017" s="24">
        <f>IF('ORDENES'!$A995="","",IF('ORDENES'!$D995="","-",'ORDENES'!$D995))</f>
        <v/>
      </c>
      <c r="K1017" s="24">
        <f>IF('ORDENES'!$A995="","",IF('ORDENES'!$E995="","-",'ORDENES'!$E995))</f>
        <v/>
      </c>
      <c r="L1017" s="26">
        <f>IF('ORDENES'!$A995="","",IF('ORDENES'!$M995="",0,'ORDENES'!$M995))</f>
        <v/>
      </c>
      <c r="M1017" s="24">
        <f>IF('ORDENES'!$A995="","",IF('ORDENES'!$N995="","-",'ORDENES'!$N995))</f>
        <v/>
      </c>
      <c r="N1017" s="24">
        <f>IF('ORDENES'!$A995="","",'ORDENES'!$AG995)</f>
        <v/>
      </c>
    </row>
    <row r="1018">
      <c r="A1018" s="24">
        <f>IF('ORDENES'!$A996="","",IF('ORDENES'!$O996="","-",'ORDENES'!$O996))</f>
        <v/>
      </c>
      <c r="B1018" s="24">
        <f>IF('ORDENES'!$A996="","",IF('ORDENES'!$S996="","-",'ORDENES'!$S996))</f>
        <v/>
      </c>
      <c r="C1018" s="24">
        <f>IF('ORDENES'!$A996="","",IF('ORDENES'!$AI996="","-",'ORDENES'!$AI996))</f>
        <v/>
      </c>
      <c r="D1018" s="24">
        <f>IF('ORDENES'!$A996="","",IF('ORDENES'!$AA996="","-",'ORDENES'!$AA996))</f>
        <v/>
      </c>
      <c r="E1018" s="24">
        <f>IF('ORDENES'!$A996="","",IF('ORDENES'!$Y996="","-",'ORDENES'!$Y996))</f>
        <v/>
      </c>
      <c r="F1018" s="24">
        <f>IF('ORDENES'!$A996="","",IF('ORDENES'!$AB996="","-",'ORDENES'!$AB996))</f>
        <v/>
      </c>
      <c r="G1018" s="24">
        <f>IF('ORDENES'!$A996="","",IF('ORDENES'!$Z996="","-",'ORDENES'!$Z996))</f>
        <v/>
      </c>
      <c r="H1018" s="24">
        <f>IF('ORDENES'!$A996="","",IF('ORDENES'!$AH996="","-",'ORDENES'!$AH996))</f>
        <v/>
      </c>
      <c r="I1018" s="24">
        <f>IF('ORDENES'!$A996="","",IF('ORDENES'!$AU996="","-",'ORDENES'!$AU996))</f>
        <v/>
      </c>
      <c r="J1018" s="24">
        <f>IF('ORDENES'!$A996="","",IF('ORDENES'!$D996="","-",'ORDENES'!$D996))</f>
        <v/>
      </c>
      <c r="K1018" s="24">
        <f>IF('ORDENES'!$A996="","",IF('ORDENES'!$E996="","-",'ORDENES'!$E996))</f>
        <v/>
      </c>
      <c r="L1018" s="26">
        <f>IF('ORDENES'!$A996="","",IF('ORDENES'!$M996="",0,'ORDENES'!$M996))</f>
        <v/>
      </c>
      <c r="M1018" s="24">
        <f>IF('ORDENES'!$A996="","",IF('ORDENES'!$N996="","-",'ORDENES'!$N996))</f>
        <v/>
      </c>
      <c r="N1018" s="24">
        <f>IF('ORDENES'!$A996="","",'ORDENES'!$AG996)</f>
        <v/>
      </c>
    </row>
    <row r="1019">
      <c r="A1019" s="24">
        <f>IF('ORDENES'!$A997="","",IF('ORDENES'!$O997="","-",'ORDENES'!$O997))</f>
        <v/>
      </c>
      <c r="B1019" s="24">
        <f>IF('ORDENES'!$A997="","",IF('ORDENES'!$S997="","-",'ORDENES'!$S997))</f>
        <v/>
      </c>
      <c r="C1019" s="24">
        <f>IF('ORDENES'!$A997="","",IF('ORDENES'!$AI997="","-",'ORDENES'!$AI997))</f>
        <v/>
      </c>
      <c r="D1019" s="24">
        <f>IF('ORDENES'!$A997="","",IF('ORDENES'!$AA997="","-",'ORDENES'!$AA997))</f>
        <v/>
      </c>
      <c r="E1019" s="24">
        <f>IF('ORDENES'!$A997="","",IF('ORDENES'!$Y997="","-",'ORDENES'!$Y997))</f>
        <v/>
      </c>
      <c r="F1019" s="24">
        <f>IF('ORDENES'!$A997="","",IF('ORDENES'!$AB997="","-",'ORDENES'!$AB997))</f>
        <v/>
      </c>
      <c r="G1019" s="24">
        <f>IF('ORDENES'!$A997="","",IF('ORDENES'!$Z997="","-",'ORDENES'!$Z997))</f>
        <v/>
      </c>
      <c r="H1019" s="24">
        <f>IF('ORDENES'!$A997="","",IF('ORDENES'!$AH997="","-",'ORDENES'!$AH997))</f>
        <v/>
      </c>
      <c r="I1019" s="24">
        <f>IF('ORDENES'!$A997="","",IF('ORDENES'!$AU997="","-",'ORDENES'!$AU997))</f>
        <v/>
      </c>
      <c r="J1019" s="24">
        <f>IF('ORDENES'!$A997="","",IF('ORDENES'!$D997="","-",'ORDENES'!$D997))</f>
        <v/>
      </c>
      <c r="K1019" s="24">
        <f>IF('ORDENES'!$A997="","",IF('ORDENES'!$E997="","-",'ORDENES'!$E997))</f>
        <v/>
      </c>
      <c r="L1019" s="26">
        <f>IF('ORDENES'!$A997="","",IF('ORDENES'!$M997="",0,'ORDENES'!$M997))</f>
        <v/>
      </c>
      <c r="M1019" s="24">
        <f>IF('ORDENES'!$A997="","",IF('ORDENES'!$N997="","-",'ORDENES'!$N997))</f>
        <v/>
      </c>
      <c r="N1019" s="24">
        <f>IF('ORDENES'!$A997="","",'ORDENES'!$AG997)</f>
        <v/>
      </c>
    </row>
    <row r="1020">
      <c r="A1020" s="24">
        <f>IF('ORDENES'!$A998="","",IF('ORDENES'!$O998="","-",'ORDENES'!$O998))</f>
        <v/>
      </c>
      <c r="B1020" s="24">
        <f>IF('ORDENES'!$A998="","",IF('ORDENES'!$S998="","-",'ORDENES'!$S998))</f>
        <v/>
      </c>
      <c r="C1020" s="24">
        <f>IF('ORDENES'!$A998="","",IF('ORDENES'!$AI998="","-",'ORDENES'!$AI998))</f>
        <v/>
      </c>
      <c r="D1020" s="24">
        <f>IF('ORDENES'!$A998="","",IF('ORDENES'!$AA998="","-",'ORDENES'!$AA998))</f>
        <v/>
      </c>
      <c r="E1020" s="24">
        <f>IF('ORDENES'!$A998="","",IF('ORDENES'!$Y998="","-",'ORDENES'!$Y998))</f>
        <v/>
      </c>
      <c r="F1020" s="24">
        <f>IF('ORDENES'!$A998="","",IF('ORDENES'!$AB998="","-",'ORDENES'!$AB998))</f>
        <v/>
      </c>
      <c r="G1020" s="24">
        <f>IF('ORDENES'!$A998="","",IF('ORDENES'!$Z998="","-",'ORDENES'!$Z998))</f>
        <v/>
      </c>
      <c r="H1020" s="24">
        <f>IF('ORDENES'!$A998="","",IF('ORDENES'!$AH998="","-",'ORDENES'!$AH998))</f>
        <v/>
      </c>
      <c r="I1020" s="24">
        <f>IF('ORDENES'!$A998="","",IF('ORDENES'!$AU998="","-",'ORDENES'!$AU998))</f>
        <v/>
      </c>
      <c r="J1020" s="24">
        <f>IF('ORDENES'!$A998="","",IF('ORDENES'!$D998="","-",'ORDENES'!$D998))</f>
        <v/>
      </c>
      <c r="K1020" s="24">
        <f>IF('ORDENES'!$A998="","",IF('ORDENES'!$E998="","-",'ORDENES'!$E998))</f>
        <v/>
      </c>
      <c r="L1020" s="26">
        <f>IF('ORDENES'!$A998="","",IF('ORDENES'!$M998="",0,'ORDENES'!$M998))</f>
        <v/>
      </c>
      <c r="M1020" s="24">
        <f>IF('ORDENES'!$A998="","",IF('ORDENES'!$N998="","-",'ORDENES'!$N998))</f>
        <v/>
      </c>
      <c r="N1020" s="24">
        <f>IF('ORDENES'!$A998="","",'ORDENES'!$AG998)</f>
        <v/>
      </c>
    </row>
    <row r="1021">
      <c r="A1021" s="24">
        <f>IF('ORDENES'!$A999="","",IF('ORDENES'!$O999="","-",'ORDENES'!$O999))</f>
        <v/>
      </c>
      <c r="B1021" s="24">
        <f>IF('ORDENES'!$A999="","",IF('ORDENES'!$S999="","-",'ORDENES'!$S999))</f>
        <v/>
      </c>
      <c r="C1021" s="24">
        <f>IF('ORDENES'!$A999="","",IF('ORDENES'!$AI999="","-",'ORDENES'!$AI999))</f>
        <v/>
      </c>
      <c r="D1021" s="24">
        <f>IF('ORDENES'!$A999="","",IF('ORDENES'!$AA999="","-",'ORDENES'!$AA999))</f>
        <v/>
      </c>
      <c r="E1021" s="24">
        <f>IF('ORDENES'!$A999="","",IF('ORDENES'!$Y999="","-",'ORDENES'!$Y999))</f>
        <v/>
      </c>
      <c r="F1021" s="24">
        <f>IF('ORDENES'!$A999="","",IF('ORDENES'!$AB999="","-",'ORDENES'!$AB999))</f>
        <v/>
      </c>
      <c r="G1021" s="24">
        <f>IF('ORDENES'!$A999="","",IF('ORDENES'!$Z999="","-",'ORDENES'!$Z999))</f>
        <v/>
      </c>
      <c r="H1021" s="24">
        <f>IF('ORDENES'!$A999="","",IF('ORDENES'!$AH999="","-",'ORDENES'!$AH999))</f>
        <v/>
      </c>
      <c r="I1021" s="24">
        <f>IF('ORDENES'!$A999="","",IF('ORDENES'!$AU999="","-",'ORDENES'!$AU999))</f>
        <v/>
      </c>
      <c r="J1021" s="24">
        <f>IF('ORDENES'!$A999="","",IF('ORDENES'!$D999="","-",'ORDENES'!$D999))</f>
        <v/>
      </c>
      <c r="K1021" s="24">
        <f>IF('ORDENES'!$A999="","",IF('ORDENES'!$E999="","-",'ORDENES'!$E999))</f>
        <v/>
      </c>
      <c r="L1021" s="26">
        <f>IF('ORDENES'!$A999="","",IF('ORDENES'!$M999="",0,'ORDENES'!$M999))</f>
        <v/>
      </c>
      <c r="M1021" s="24">
        <f>IF('ORDENES'!$A999="","",IF('ORDENES'!$N999="","-",'ORDENES'!$N999))</f>
        <v/>
      </c>
      <c r="N1021" s="24">
        <f>IF('ORDENES'!$A999="","",'ORDENES'!$AG999)</f>
        <v/>
      </c>
    </row>
    <row r="1022">
      <c r="A1022" s="24">
        <f>IF('ORDENES'!$A1000="","",IF('ORDENES'!$O1000="","-",'ORDENES'!$O1000))</f>
        <v/>
      </c>
      <c r="B1022" s="24">
        <f>IF('ORDENES'!$A1000="","",IF('ORDENES'!$S1000="","-",'ORDENES'!$S1000))</f>
        <v/>
      </c>
      <c r="C1022" s="24">
        <f>IF('ORDENES'!$A1000="","",IF('ORDENES'!$AI1000="","-",'ORDENES'!$AI1000))</f>
        <v/>
      </c>
      <c r="D1022" s="24">
        <f>IF('ORDENES'!$A1000="","",IF('ORDENES'!$AA1000="","-",'ORDENES'!$AA1000))</f>
        <v/>
      </c>
      <c r="E1022" s="24">
        <f>IF('ORDENES'!$A1000="","",IF('ORDENES'!$Y1000="","-",'ORDENES'!$Y1000))</f>
        <v/>
      </c>
      <c r="F1022" s="24">
        <f>IF('ORDENES'!$A1000="","",IF('ORDENES'!$AB1000="","-",'ORDENES'!$AB1000))</f>
        <v/>
      </c>
      <c r="G1022" s="24">
        <f>IF('ORDENES'!$A1000="","",IF('ORDENES'!$Z1000="","-",'ORDENES'!$Z1000))</f>
        <v/>
      </c>
      <c r="H1022" s="24">
        <f>IF('ORDENES'!$A1000="","",IF('ORDENES'!$AH1000="","-",'ORDENES'!$AH1000))</f>
        <v/>
      </c>
      <c r="I1022" s="24">
        <f>IF('ORDENES'!$A1000="","",IF('ORDENES'!$AU1000="","-",'ORDENES'!$AU1000))</f>
        <v/>
      </c>
      <c r="J1022" s="24">
        <f>IF('ORDENES'!$A1000="","",IF('ORDENES'!$D1000="","-",'ORDENES'!$D1000))</f>
        <v/>
      </c>
      <c r="K1022" s="24">
        <f>IF('ORDENES'!$A1000="","",IF('ORDENES'!$E1000="","-",'ORDENES'!$E1000))</f>
        <v/>
      </c>
      <c r="L1022" s="26">
        <f>IF('ORDENES'!$A1000="","",IF('ORDENES'!$M1000="",0,'ORDENES'!$M1000))</f>
        <v/>
      </c>
      <c r="M1022" s="24">
        <f>IF('ORDENES'!$A1000="","",IF('ORDENES'!$N1000="","-",'ORDENES'!$N1000))</f>
        <v/>
      </c>
      <c r="N1022" s="24">
        <f>IF('ORDENES'!$A1000="","",'ORDENES'!$AG1000)</f>
        <v/>
      </c>
    </row>
    <row r="1023">
      <c r="A1023" s="24">
        <f>IF('ORDENES'!$A1001="","",IF('ORDENES'!$O1001="","-",'ORDENES'!$O1001))</f>
        <v/>
      </c>
      <c r="B1023" s="24">
        <f>IF('ORDENES'!$A1001="","",IF('ORDENES'!$S1001="","-",'ORDENES'!$S1001))</f>
        <v/>
      </c>
      <c r="C1023" s="24">
        <f>IF('ORDENES'!$A1001="","",IF('ORDENES'!$AI1001="","-",'ORDENES'!$AI1001))</f>
        <v/>
      </c>
      <c r="D1023" s="24">
        <f>IF('ORDENES'!$A1001="","",IF('ORDENES'!$AA1001="","-",'ORDENES'!$AA1001))</f>
        <v/>
      </c>
      <c r="E1023" s="24">
        <f>IF('ORDENES'!$A1001="","",IF('ORDENES'!$Y1001="","-",'ORDENES'!$Y1001))</f>
        <v/>
      </c>
      <c r="F1023" s="24">
        <f>IF('ORDENES'!$A1001="","",IF('ORDENES'!$AB1001="","-",'ORDENES'!$AB1001))</f>
        <v/>
      </c>
      <c r="G1023" s="24">
        <f>IF('ORDENES'!$A1001="","",IF('ORDENES'!$Z1001="","-",'ORDENES'!$Z1001))</f>
        <v/>
      </c>
      <c r="H1023" s="24">
        <f>IF('ORDENES'!$A1001="","",IF('ORDENES'!$AH1001="","-",'ORDENES'!$AH1001))</f>
        <v/>
      </c>
      <c r="I1023" s="24">
        <f>IF('ORDENES'!$A1001="","",IF('ORDENES'!$AU1001="","-",'ORDENES'!$AU1001))</f>
        <v/>
      </c>
      <c r="J1023" s="24">
        <f>IF('ORDENES'!$A1001="","",IF('ORDENES'!$D1001="","-",'ORDENES'!$D1001))</f>
        <v/>
      </c>
      <c r="K1023" s="24">
        <f>IF('ORDENES'!$A1001="","",IF('ORDENES'!$E1001="","-",'ORDENES'!$E1001))</f>
        <v/>
      </c>
      <c r="L1023" s="26">
        <f>IF('ORDENES'!$A1001="","",IF('ORDENES'!$M1001="",0,'ORDENES'!$M1001))</f>
        <v/>
      </c>
      <c r="M1023" s="24">
        <f>IF('ORDENES'!$A1001="","",IF('ORDENES'!$N1001="","-",'ORDENES'!$N1001))</f>
        <v/>
      </c>
      <c r="N1023" s="24">
        <f>IF('ORDENES'!$A1001="","",'ORDENES'!$AG1001)</f>
        <v/>
      </c>
    </row>
    <row r="1024">
      <c r="A1024" s="24">
        <f>IF('ORDENES'!$A1002="","",IF('ORDENES'!$O1002="","-",'ORDENES'!$O1002))</f>
        <v/>
      </c>
      <c r="B1024" s="24">
        <f>IF('ORDENES'!$A1002="","",IF('ORDENES'!$S1002="","-",'ORDENES'!$S1002))</f>
        <v/>
      </c>
      <c r="C1024" s="24">
        <f>IF('ORDENES'!$A1002="","",IF('ORDENES'!$AI1002="","-",'ORDENES'!$AI1002))</f>
        <v/>
      </c>
      <c r="D1024" s="24">
        <f>IF('ORDENES'!$A1002="","",IF('ORDENES'!$AA1002="","-",'ORDENES'!$AA1002))</f>
        <v/>
      </c>
      <c r="E1024" s="24">
        <f>IF('ORDENES'!$A1002="","",IF('ORDENES'!$Y1002="","-",'ORDENES'!$Y1002))</f>
        <v/>
      </c>
      <c r="F1024" s="24">
        <f>IF('ORDENES'!$A1002="","",IF('ORDENES'!$AB1002="","-",'ORDENES'!$AB1002))</f>
        <v/>
      </c>
      <c r="G1024" s="24">
        <f>IF('ORDENES'!$A1002="","",IF('ORDENES'!$Z1002="","-",'ORDENES'!$Z1002))</f>
        <v/>
      </c>
      <c r="H1024" s="24">
        <f>IF('ORDENES'!$A1002="","",IF('ORDENES'!$AH1002="","-",'ORDENES'!$AH1002))</f>
        <v/>
      </c>
      <c r="I1024" s="24">
        <f>IF('ORDENES'!$A1002="","",IF('ORDENES'!$AU1002="","-",'ORDENES'!$AU1002))</f>
        <v/>
      </c>
      <c r="J1024" s="24">
        <f>IF('ORDENES'!$A1002="","",IF('ORDENES'!$D1002="","-",'ORDENES'!$D1002))</f>
        <v/>
      </c>
      <c r="K1024" s="24">
        <f>IF('ORDENES'!$A1002="","",IF('ORDENES'!$E1002="","-",'ORDENES'!$E1002))</f>
        <v/>
      </c>
      <c r="L1024" s="26">
        <f>IF('ORDENES'!$A1002="","",IF('ORDENES'!$M1002="",0,'ORDENES'!$M1002))</f>
        <v/>
      </c>
      <c r="M1024" s="24">
        <f>IF('ORDENES'!$A1002="","",IF('ORDENES'!$N1002="","-",'ORDENES'!$N1002))</f>
        <v/>
      </c>
      <c r="N1024" s="24">
        <f>IF('ORDENES'!$A1002="","",'ORDENES'!$AG1002)</f>
        <v/>
      </c>
    </row>
    <row r="1025">
      <c r="A1025" s="24">
        <f>IF('ORDENES'!$A1003="","",IF('ORDENES'!$O1003="","-",'ORDENES'!$O1003))</f>
        <v/>
      </c>
      <c r="B1025" s="24">
        <f>IF('ORDENES'!$A1003="","",IF('ORDENES'!$S1003="","-",'ORDENES'!$S1003))</f>
        <v/>
      </c>
      <c r="C1025" s="24">
        <f>IF('ORDENES'!$A1003="","",IF('ORDENES'!$AI1003="","-",'ORDENES'!$AI1003))</f>
        <v/>
      </c>
      <c r="D1025" s="24">
        <f>IF('ORDENES'!$A1003="","",IF('ORDENES'!$AA1003="","-",'ORDENES'!$AA1003))</f>
        <v/>
      </c>
      <c r="E1025" s="24">
        <f>IF('ORDENES'!$A1003="","",IF('ORDENES'!$Y1003="","-",'ORDENES'!$Y1003))</f>
        <v/>
      </c>
      <c r="F1025" s="24">
        <f>IF('ORDENES'!$A1003="","",IF('ORDENES'!$AB1003="","-",'ORDENES'!$AB1003))</f>
        <v/>
      </c>
      <c r="G1025" s="24">
        <f>IF('ORDENES'!$A1003="","",IF('ORDENES'!$Z1003="","-",'ORDENES'!$Z1003))</f>
        <v/>
      </c>
      <c r="H1025" s="24">
        <f>IF('ORDENES'!$A1003="","",IF('ORDENES'!$AH1003="","-",'ORDENES'!$AH1003))</f>
        <v/>
      </c>
      <c r="I1025" s="24">
        <f>IF('ORDENES'!$A1003="","",IF('ORDENES'!$AU1003="","-",'ORDENES'!$AU1003))</f>
        <v/>
      </c>
      <c r="J1025" s="24">
        <f>IF('ORDENES'!$A1003="","",IF('ORDENES'!$D1003="","-",'ORDENES'!$D1003))</f>
        <v/>
      </c>
      <c r="K1025" s="24">
        <f>IF('ORDENES'!$A1003="","",IF('ORDENES'!$E1003="","-",'ORDENES'!$E1003))</f>
        <v/>
      </c>
      <c r="L1025" s="26">
        <f>IF('ORDENES'!$A1003="","",IF('ORDENES'!$M1003="",0,'ORDENES'!$M1003))</f>
        <v/>
      </c>
      <c r="M1025" s="24">
        <f>IF('ORDENES'!$A1003="","",IF('ORDENES'!$N1003="","-",'ORDENES'!$N1003))</f>
        <v/>
      </c>
      <c r="N1025" s="24">
        <f>IF('ORDENES'!$A1003="","",'ORDENES'!$AG1003)</f>
        <v/>
      </c>
    </row>
    <row r="1026">
      <c r="A1026" s="24">
        <f>IF('ORDENES'!$A1004="","",IF('ORDENES'!$O1004="","-",'ORDENES'!$O1004))</f>
        <v/>
      </c>
      <c r="B1026" s="24">
        <f>IF('ORDENES'!$A1004="","",IF('ORDENES'!$S1004="","-",'ORDENES'!$S1004))</f>
        <v/>
      </c>
      <c r="C1026" s="24">
        <f>IF('ORDENES'!$A1004="","",IF('ORDENES'!$AI1004="","-",'ORDENES'!$AI1004))</f>
        <v/>
      </c>
      <c r="D1026" s="24">
        <f>IF('ORDENES'!$A1004="","",IF('ORDENES'!$AA1004="","-",'ORDENES'!$AA1004))</f>
        <v/>
      </c>
      <c r="E1026" s="24">
        <f>IF('ORDENES'!$A1004="","",IF('ORDENES'!$Y1004="","-",'ORDENES'!$Y1004))</f>
        <v/>
      </c>
      <c r="F1026" s="24">
        <f>IF('ORDENES'!$A1004="","",IF('ORDENES'!$AB1004="","-",'ORDENES'!$AB1004))</f>
        <v/>
      </c>
      <c r="G1026" s="24">
        <f>IF('ORDENES'!$A1004="","",IF('ORDENES'!$Z1004="","-",'ORDENES'!$Z1004))</f>
        <v/>
      </c>
      <c r="H1026" s="24">
        <f>IF('ORDENES'!$A1004="","",IF('ORDENES'!$AH1004="","-",'ORDENES'!$AH1004))</f>
        <v/>
      </c>
      <c r="I1026" s="24">
        <f>IF('ORDENES'!$A1004="","",IF('ORDENES'!$AU1004="","-",'ORDENES'!$AU1004))</f>
        <v/>
      </c>
      <c r="J1026" s="24">
        <f>IF('ORDENES'!$A1004="","",IF('ORDENES'!$D1004="","-",'ORDENES'!$D1004))</f>
        <v/>
      </c>
      <c r="K1026" s="24">
        <f>IF('ORDENES'!$A1004="","",IF('ORDENES'!$E1004="","-",'ORDENES'!$E1004))</f>
        <v/>
      </c>
      <c r="L1026" s="26">
        <f>IF('ORDENES'!$A1004="","",IF('ORDENES'!$M1004="",0,'ORDENES'!$M1004))</f>
        <v/>
      </c>
      <c r="M1026" s="24">
        <f>IF('ORDENES'!$A1004="","",IF('ORDENES'!$N1004="","-",'ORDENES'!$N1004))</f>
        <v/>
      </c>
      <c r="N1026" s="24">
        <f>IF('ORDENES'!$A1004="","",'ORDENES'!$AG1004)</f>
        <v/>
      </c>
    </row>
    <row r="1027">
      <c r="A1027" s="24">
        <f>IF('ORDENES'!$A1005="","",IF('ORDENES'!$O1005="","-",'ORDENES'!$O1005))</f>
        <v/>
      </c>
      <c r="B1027" s="24">
        <f>IF('ORDENES'!$A1005="","",IF('ORDENES'!$S1005="","-",'ORDENES'!$S1005))</f>
        <v/>
      </c>
      <c r="C1027" s="24">
        <f>IF('ORDENES'!$A1005="","",IF('ORDENES'!$AI1005="","-",'ORDENES'!$AI1005))</f>
        <v/>
      </c>
      <c r="D1027" s="24">
        <f>IF('ORDENES'!$A1005="","",IF('ORDENES'!$AA1005="","-",'ORDENES'!$AA1005))</f>
        <v/>
      </c>
      <c r="E1027" s="24">
        <f>IF('ORDENES'!$A1005="","",IF('ORDENES'!$Y1005="","-",'ORDENES'!$Y1005))</f>
        <v/>
      </c>
      <c r="F1027" s="24">
        <f>IF('ORDENES'!$A1005="","",IF('ORDENES'!$AB1005="","-",'ORDENES'!$AB1005))</f>
        <v/>
      </c>
      <c r="G1027" s="24">
        <f>IF('ORDENES'!$A1005="","",IF('ORDENES'!$Z1005="","-",'ORDENES'!$Z1005))</f>
        <v/>
      </c>
      <c r="H1027" s="24">
        <f>IF('ORDENES'!$A1005="","",IF('ORDENES'!$AH1005="","-",'ORDENES'!$AH1005))</f>
        <v/>
      </c>
      <c r="I1027" s="24">
        <f>IF('ORDENES'!$A1005="","",IF('ORDENES'!$AU1005="","-",'ORDENES'!$AU1005))</f>
        <v/>
      </c>
      <c r="J1027" s="24">
        <f>IF('ORDENES'!$A1005="","",IF('ORDENES'!$D1005="","-",'ORDENES'!$D1005))</f>
        <v/>
      </c>
      <c r="K1027" s="24">
        <f>IF('ORDENES'!$A1005="","",IF('ORDENES'!$E1005="","-",'ORDENES'!$E1005))</f>
        <v/>
      </c>
      <c r="L1027" s="26">
        <f>IF('ORDENES'!$A1005="","",IF('ORDENES'!$M1005="",0,'ORDENES'!$M1005))</f>
        <v/>
      </c>
      <c r="M1027" s="24">
        <f>IF('ORDENES'!$A1005="","",IF('ORDENES'!$N1005="","-",'ORDENES'!$N1005))</f>
        <v/>
      </c>
      <c r="N1027" s="24">
        <f>IF('ORDENES'!$A1005="","",'ORDENES'!$AG1005)</f>
        <v/>
      </c>
    </row>
    <row r="1028">
      <c r="A1028" s="24">
        <f>IF('ORDENES'!$A1006="","",IF('ORDENES'!$O1006="","-",'ORDENES'!$O1006))</f>
        <v/>
      </c>
      <c r="B1028" s="24">
        <f>IF('ORDENES'!$A1006="","",IF('ORDENES'!$S1006="","-",'ORDENES'!$S1006))</f>
        <v/>
      </c>
      <c r="C1028" s="24">
        <f>IF('ORDENES'!$A1006="","",IF('ORDENES'!$AI1006="","-",'ORDENES'!$AI1006))</f>
        <v/>
      </c>
      <c r="D1028" s="24">
        <f>IF('ORDENES'!$A1006="","",IF('ORDENES'!$AA1006="","-",'ORDENES'!$AA1006))</f>
        <v/>
      </c>
      <c r="E1028" s="24">
        <f>IF('ORDENES'!$A1006="","",IF('ORDENES'!$Y1006="","-",'ORDENES'!$Y1006))</f>
        <v/>
      </c>
      <c r="F1028" s="24">
        <f>IF('ORDENES'!$A1006="","",IF('ORDENES'!$AB1006="","-",'ORDENES'!$AB1006))</f>
        <v/>
      </c>
      <c r="G1028" s="24">
        <f>IF('ORDENES'!$A1006="","",IF('ORDENES'!$Z1006="","-",'ORDENES'!$Z1006))</f>
        <v/>
      </c>
      <c r="H1028" s="24">
        <f>IF('ORDENES'!$A1006="","",IF('ORDENES'!$AH1006="","-",'ORDENES'!$AH1006))</f>
        <v/>
      </c>
      <c r="I1028" s="24">
        <f>IF('ORDENES'!$A1006="","",IF('ORDENES'!$AU1006="","-",'ORDENES'!$AU1006))</f>
        <v/>
      </c>
      <c r="J1028" s="24">
        <f>IF('ORDENES'!$A1006="","",IF('ORDENES'!$D1006="","-",'ORDENES'!$D1006))</f>
        <v/>
      </c>
      <c r="K1028" s="24">
        <f>IF('ORDENES'!$A1006="","",IF('ORDENES'!$E1006="","-",'ORDENES'!$E1006))</f>
        <v/>
      </c>
      <c r="L1028" s="26">
        <f>IF('ORDENES'!$A1006="","",IF('ORDENES'!$M1006="",0,'ORDENES'!$M1006))</f>
        <v/>
      </c>
      <c r="M1028" s="24">
        <f>IF('ORDENES'!$A1006="","",IF('ORDENES'!$N1006="","-",'ORDENES'!$N1006))</f>
        <v/>
      </c>
      <c r="N1028" s="24">
        <f>IF('ORDENES'!$A1006="","",'ORDENES'!$AG1006)</f>
        <v/>
      </c>
    </row>
    <row r="1029">
      <c r="A1029" s="24">
        <f>IF('ORDENES'!$A1007="","",IF('ORDENES'!$O1007="","-",'ORDENES'!$O1007))</f>
        <v/>
      </c>
      <c r="B1029" s="24">
        <f>IF('ORDENES'!$A1007="","",IF('ORDENES'!$S1007="","-",'ORDENES'!$S1007))</f>
        <v/>
      </c>
      <c r="C1029" s="24">
        <f>IF('ORDENES'!$A1007="","",IF('ORDENES'!$AI1007="","-",'ORDENES'!$AI1007))</f>
        <v/>
      </c>
      <c r="D1029" s="24">
        <f>IF('ORDENES'!$A1007="","",IF('ORDENES'!$AA1007="","-",'ORDENES'!$AA1007))</f>
        <v/>
      </c>
      <c r="E1029" s="24">
        <f>IF('ORDENES'!$A1007="","",IF('ORDENES'!$Y1007="","-",'ORDENES'!$Y1007))</f>
        <v/>
      </c>
      <c r="F1029" s="24">
        <f>IF('ORDENES'!$A1007="","",IF('ORDENES'!$AB1007="","-",'ORDENES'!$AB1007))</f>
        <v/>
      </c>
      <c r="G1029" s="24">
        <f>IF('ORDENES'!$A1007="","",IF('ORDENES'!$Z1007="","-",'ORDENES'!$Z1007))</f>
        <v/>
      </c>
      <c r="H1029" s="24">
        <f>IF('ORDENES'!$A1007="","",IF('ORDENES'!$AH1007="","-",'ORDENES'!$AH1007))</f>
        <v/>
      </c>
      <c r="I1029" s="24">
        <f>IF('ORDENES'!$A1007="","",IF('ORDENES'!$AU1007="","-",'ORDENES'!$AU1007))</f>
        <v/>
      </c>
      <c r="J1029" s="24">
        <f>IF('ORDENES'!$A1007="","",IF('ORDENES'!$D1007="","-",'ORDENES'!$D1007))</f>
        <v/>
      </c>
      <c r="K1029" s="24">
        <f>IF('ORDENES'!$A1007="","",IF('ORDENES'!$E1007="","-",'ORDENES'!$E1007))</f>
        <v/>
      </c>
      <c r="L1029" s="26">
        <f>IF('ORDENES'!$A1007="","",IF('ORDENES'!$M1007="",0,'ORDENES'!$M1007))</f>
        <v/>
      </c>
      <c r="M1029" s="24">
        <f>IF('ORDENES'!$A1007="","",IF('ORDENES'!$N1007="","-",'ORDENES'!$N1007))</f>
        <v/>
      </c>
      <c r="N1029" s="24">
        <f>IF('ORDENES'!$A1007="","",'ORDENES'!$AG1007)</f>
        <v/>
      </c>
    </row>
    <row r="1030">
      <c r="A1030" s="24">
        <f>IF('ORDENES'!$A1008="","",IF('ORDENES'!$O1008="","-",'ORDENES'!$O1008))</f>
        <v/>
      </c>
      <c r="B1030" s="24">
        <f>IF('ORDENES'!$A1008="","",IF('ORDENES'!$S1008="","-",'ORDENES'!$S1008))</f>
        <v/>
      </c>
      <c r="C1030" s="24">
        <f>IF('ORDENES'!$A1008="","",IF('ORDENES'!$AI1008="","-",'ORDENES'!$AI1008))</f>
        <v/>
      </c>
      <c r="D1030" s="24">
        <f>IF('ORDENES'!$A1008="","",IF('ORDENES'!$AA1008="","-",'ORDENES'!$AA1008))</f>
        <v/>
      </c>
      <c r="E1030" s="24">
        <f>IF('ORDENES'!$A1008="","",IF('ORDENES'!$Y1008="","-",'ORDENES'!$Y1008))</f>
        <v/>
      </c>
      <c r="F1030" s="24">
        <f>IF('ORDENES'!$A1008="","",IF('ORDENES'!$AB1008="","-",'ORDENES'!$AB1008))</f>
        <v/>
      </c>
      <c r="G1030" s="24">
        <f>IF('ORDENES'!$A1008="","",IF('ORDENES'!$Z1008="","-",'ORDENES'!$Z1008))</f>
        <v/>
      </c>
      <c r="H1030" s="24">
        <f>IF('ORDENES'!$A1008="","",IF('ORDENES'!$AH1008="","-",'ORDENES'!$AH1008))</f>
        <v/>
      </c>
      <c r="I1030" s="24">
        <f>IF('ORDENES'!$A1008="","",IF('ORDENES'!$AU1008="","-",'ORDENES'!$AU1008))</f>
        <v/>
      </c>
      <c r="J1030" s="24">
        <f>IF('ORDENES'!$A1008="","",IF('ORDENES'!$D1008="","-",'ORDENES'!$D1008))</f>
        <v/>
      </c>
      <c r="K1030" s="24">
        <f>IF('ORDENES'!$A1008="","",IF('ORDENES'!$E1008="","-",'ORDENES'!$E1008))</f>
        <v/>
      </c>
      <c r="L1030" s="26">
        <f>IF('ORDENES'!$A1008="","",IF('ORDENES'!$M1008="",0,'ORDENES'!$M1008))</f>
        <v/>
      </c>
      <c r="M1030" s="24">
        <f>IF('ORDENES'!$A1008="","",IF('ORDENES'!$N1008="","-",'ORDENES'!$N1008))</f>
        <v/>
      </c>
      <c r="N1030" s="24">
        <f>IF('ORDENES'!$A1008="","",'ORDENES'!$AG1008)</f>
        <v/>
      </c>
    </row>
    <row r="1031">
      <c r="A1031" s="24">
        <f>IF('ORDENES'!$A1009="","",IF('ORDENES'!$O1009="","-",'ORDENES'!$O1009))</f>
        <v/>
      </c>
      <c r="B1031" s="24">
        <f>IF('ORDENES'!$A1009="","",IF('ORDENES'!$S1009="","-",'ORDENES'!$S1009))</f>
        <v/>
      </c>
      <c r="C1031" s="24">
        <f>IF('ORDENES'!$A1009="","",IF('ORDENES'!$AI1009="","-",'ORDENES'!$AI1009))</f>
        <v/>
      </c>
      <c r="D1031" s="24">
        <f>IF('ORDENES'!$A1009="","",IF('ORDENES'!$AA1009="","-",'ORDENES'!$AA1009))</f>
        <v/>
      </c>
      <c r="E1031" s="24">
        <f>IF('ORDENES'!$A1009="","",IF('ORDENES'!$Y1009="","-",'ORDENES'!$Y1009))</f>
        <v/>
      </c>
      <c r="F1031" s="24">
        <f>IF('ORDENES'!$A1009="","",IF('ORDENES'!$AB1009="","-",'ORDENES'!$AB1009))</f>
        <v/>
      </c>
      <c r="G1031" s="24">
        <f>IF('ORDENES'!$A1009="","",IF('ORDENES'!$Z1009="","-",'ORDENES'!$Z1009))</f>
        <v/>
      </c>
      <c r="H1031" s="24">
        <f>IF('ORDENES'!$A1009="","",IF('ORDENES'!$AH1009="","-",'ORDENES'!$AH1009))</f>
        <v/>
      </c>
      <c r="I1031" s="24">
        <f>IF('ORDENES'!$A1009="","",IF('ORDENES'!$AU1009="","-",'ORDENES'!$AU1009))</f>
        <v/>
      </c>
      <c r="J1031" s="24">
        <f>IF('ORDENES'!$A1009="","",IF('ORDENES'!$D1009="","-",'ORDENES'!$D1009))</f>
        <v/>
      </c>
      <c r="K1031" s="24">
        <f>IF('ORDENES'!$A1009="","",IF('ORDENES'!$E1009="","-",'ORDENES'!$E1009))</f>
        <v/>
      </c>
      <c r="L1031" s="26">
        <f>IF('ORDENES'!$A1009="","",IF('ORDENES'!$M1009="",0,'ORDENES'!$M1009))</f>
        <v/>
      </c>
      <c r="M1031" s="24">
        <f>IF('ORDENES'!$A1009="","",IF('ORDENES'!$N1009="","-",'ORDENES'!$N1009))</f>
        <v/>
      </c>
      <c r="N1031" s="24">
        <f>IF('ORDENES'!$A1009="","",'ORDENES'!$AG1009)</f>
        <v/>
      </c>
    </row>
    <row r="1032">
      <c r="A1032" s="24">
        <f>IF('ORDENES'!$A1010="","",IF('ORDENES'!$O1010="","-",'ORDENES'!$O1010))</f>
        <v/>
      </c>
      <c r="B1032" s="24">
        <f>IF('ORDENES'!$A1010="","",IF('ORDENES'!$S1010="","-",'ORDENES'!$S1010))</f>
        <v/>
      </c>
      <c r="C1032" s="24">
        <f>IF('ORDENES'!$A1010="","",IF('ORDENES'!$AI1010="","-",'ORDENES'!$AI1010))</f>
        <v/>
      </c>
      <c r="D1032" s="24">
        <f>IF('ORDENES'!$A1010="","",IF('ORDENES'!$AA1010="","-",'ORDENES'!$AA1010))</f>
        <v/>
      </c>
      <c r="E1032" s="24">
        <f>IF('ORDENES'!$A1010="","",IF('ORDENES'!$Y1010="","-",'ORDENES'!$Y1010))</f>
        <v/>
      </c>
      <c r="F1032" s="24">
        <f>IF('ORDENES'!$A1010="","",IF('ORDENES'!$AB1010="","-",'ORDENES'!$AB1010))</f>
        <v/>
      </c>
      <c r="G1032" s="24">
        <f>IF('ORDENES'!$A1010="","",IF('ORDENES'!$Z1010="","-",'ORDENES'!$Z1010))</f>
        <v/>
      </c>
      <c r="H1032" s="24">
        <f>IF('ORDENES'!$A1010="","",IF('ORDENES'!$AH1010="","-",'ORDENES'!$AH1010))</f>
        <v/>
      </c>
      <c r="I1032" s="24">
        <f>IF('ORDENES'!$A1010="","",IF('ORDENES'!$AU1010="","-",'ORDENES'!$AU1010))</f>
        <v/>
      </c>
      <c r="J1032" s="24">
        <f>IF('ORDENES'!$A1010="","",IF('ORDENES'!$D1010="","-",'ORDENES'!$D1010))</f>
        <v/>
      </c>
      <c r="K1032" s="24">
        <f>IF('ORDENES'!$A1010="","",IF('ORDENES'!$E1010="","-",'ORDENES'!$E1010))</f>
        <v/>
      </c>
      <c r="L1032" s="26">
        <f>IF('ORDENES'!$A1010="","",IF('ORDENES'!$M1010="",0,'ORDENES'!$M1010))</f>
        <v/>
      </c>
      <c r="M1032" s="24">
        <f>IF('ORDENES'!$A1010="","",IF('ORDENES'!$N1010="","-",'ORDENES'!$N1010))</f>
        <v/>
      </c>
      <c r="N1032" s="24">
        <f>IF('ORDENES'!$A1010="","",'ORDENES'!$AG1010)</f>
        <v/>
      </c>
    </row>
    <row r="1033">
      <c r="A1033" s="24">
        <f>IF('ORDENES'!$A1011="","",IF('ORDENES'!$O1011="","-",'ORDENES'!$O1011))</f>
        <v/>
      </c>
      <c r="B1033" s="24">
        <f>IF('ORDENES'!$A1011="","",IF('ORDENES'!$S1011="","-",'ORDENES'!$S1011))</f>
        <v/>
      </c>
      <c r="C1033" s="24">
        <f>IF('ORDENES'!$A1011="","",IF('ORDENES'!$AI1011="","-",'ORDENES'!$AI1011))</f>
        <v/>
      </c>
      <c r="D1033" s="24">
        <f>IF('ORDENES'!$A1011="","",IF('ORDENES'!$AA1011="","-",'ORDENES'!$AA1011))</f>
        <v/>
      </c>
      <c r="E1033" s="24">
        <f>IF('ORDENES'!$A1011="","",IF('ORDENES'!$Y1011="","-",'ORDENES'!$Y1011))</f>
        <v/>
      </c>
      <c r="F1033" s="24">
        <f>IF('ORDENES'!$A1011="","",IF('ORDENES'!$AB1011="","-",'ORDENES'!$AB1011))</f>
        <v/>
      </c>
      <c r="G1033" s="24">
        <f>IF('ORDENES'!$A1011="","",IF('ORDENES'!$Z1011="","-",'ORDENES'!$Z1011))</f>
        <v/>
      </c>
      <c r="H1033" s="24">
        <f>IF('ORDENES'!$A1011="","",IF('ORDENES'!$AH1011="","-",'ORDENES'!$AH1011))</f>
        <v/>
      </c>
      <c r="I1033" s="24">
        <f>IF('ORDENES'!$A1011="","",IF('ORDENES'!$AU1011="","-",'ORDENES'!$AU1011))</f>
        <v/>
      </c>
      <c r="J1033" s="24">
        <f>IF('ORDENES'!$A1011="","",IF('ORDENES'!$D1011="","-",'ORDENES'!$D1011))</f>
        <v/>
      </c>
      <c r="K1033" s="24">
        <f>IF('ORDENES'!$A1011="","",IF('ORDENES'!$E1011="","-",'ORDENES'!$E1011))</f>
        <v/>
      </c>
      <c r="L1033" s="26">
        <f>IF('ORDENES'!$A1011="","",IF('ORDENES'!$M1011="",0,'ORDENES'!$M1011))</f>
        <v/>
      </c>
      <c r="M1033" s="24">
        <f>IF('ORDENES'!$A1011="","",IF('ORDENES'!$N1011="","-",'ORDENES'!$N1011))</f>
        <v/>
      </c>
      <c r="N1033" s="24">
        <f>IF('ORDENES'!$A1011="","",'ORDENES'!$AG1011)</f>
        <v/>
      </c>
    </row>
    <row r="1034">
      <c r="A1034" s="24">
        <f>IF('ORDENES'!$A1012="","",IF('ORDENES'!$O1012="","-",'ORDENES'!$O1012))</f>
        <v/>
      </c>
      <c r="B1034" s="24">
        <f>IF('ORDENES'!$A1012="","",IF('ORDENES'!$S1012="","-",'ORDENES'!$S1012))</f>
        <v/>
      </c>
      <c r="C1034" s="24">
        <f>IF('ORDENES'!$A1012="","",IF('ORDENES'!$AI1012="","-",'ORDENES'!$AI1012))</f>
        <v/>
      </c>
      <c r="D1034" s="24">
        <f>IF('ORDENES'!$A1012="","",IF('ORDENES'!$AA1012="","-",'ORDENES'!$AA1012))</f>
        <v/>
      </c>
      <c r="E1034" s="24">
        <f>IF('ORDENES'!$A1012="","",IF('ORDENES'!$Y1012="","-",'ORDENES'!$Y1012))</f>
        <v/>
      </c>
      <c r="F1034" s="24">
        <f>IF('ORDENES'!$A1012="","",IF('ORDENES'!$AB1012="","-",'ORDENES'!$AB1012))</f>
        <v/>
      </c>
      <c r="G1034" s="24">
        <f>IF('ORDENES'!$A1012="","",IF('ORDENES'!$Z1012="","-",'ORDENES'!$Z1012))</f>
        <v/>
      </c>
      <c r="H1034" s="24">
        <f>IF('ORDENES'!$A1012="","",IF('ORDENES'!$AH1012="","-",'ORDENES'!$AH1012))</f>
        <v/>
      </c>
      <c r="I1034" s="24">
        <f>IF('ORDENES'!$A1012="","",IF('ORDENES'!$AU1012="","-",'ORDENES'!$AU1012))</f>
        <v/>
      </c>
      <c r="J1034" s="24">
        <f>IF('ORDENES'!$A1012="","",IF('ORDENES'!$D1012="","-",'ORDENES'!$D1012))</f>
        <v/>
      </c>
      <c r="K1034" s="24">
        <f>IF('ORDENES'!$A1012="","",IF('ORDENES'!$E1012="","-",'ORDENES'!$E1012))</f>
        <v/>
      </c>
      <c r="L1034" s="26">
        <f>IF('ORDENES'!$A1012="","",IF('ORDENES'!$M1012="",0,'ORDENES'!$M1012))</f>
        <v/>
      </c>
      <c r="M1034" s="24">
        <f>IF('ORDENES'!$A1012="","",IF('ORDENES'!$N1012="","-",'ORDENES'!$N1012))</f>
        <v/>
      </c>
      <c r="N1034" s="24">
        <f>IF('ORDENES'!$A1012="","",'ORDENES'!$AG1012)</f>
        <v/>
      </c>
    </row>
    <row r="1035">
      <c r="A1035" s="24">
        <f>IF('ORDENES'!$A1013="","",IF('ORDENES'!$O1013="","-",'ORDENES'!$O1013))</f>
        <v/>
      </c>
      <c r="B1035" s="24">
        <f>IF('ORDENES'!$A1013="","",IF('ORDENES'!$S1013="","-",'ORDENES'!$S1013))</f>
        <v/>
      </c>
      <c r="C1035" s="24">
        <f>IF('ORDENES'!$A1013="","",IF('ORDENES'!$AI1013="","-",'ORDENES'!$AI1013))</f>
        <v/>
      </c>
      <c r="D1035" s="24">
        <f>IF('ORDENES'!$A1013="","",IF('ORDENES'!$AA1013="","-",'ORDENES'!$AA1013))</f>
        <v/>
      </c>
      <c r="E1035" s="24">
        <f>IF('ORDENES'!$A1013="","",IF('ORDENES'!$Y1013="","-",'ORDENES'!$Y1013))</f>
        <v/>
      </c>
      <c r="F1035" s="24">
        <f>IF('ORDENES'!$A1013="","",IF('ORDENES'!$AB1013="","-",'ORDENES'!$AB1013))</f>
        <v/>
      </c>
      <c r="G1035" s="24">
        <f>IF('ORDENES'!$A1013="","",IF('ORDENES'!$Z1013="","-",'ORDENES'!$Z1013))</f>
        <v/>
      </c>
      <c r="H1035" s="24">
        <f>IF('ORDENES'!$A1013="","",IF('ORDENES'!$AH1013="","-",'ORDENES'!$AH1013))</f>
        <v/>
      </c>
      <c r="I1035" s="24">
        <f>IF('ORDENES'!$A1013="","",IF('ORDENES'!$AU1013="","-",'ORDENES'!$AU1013))</f>
        <v/>
      </c>
      <c r="J1035" s="24">
        <f>IF('ORDENES'!$A1013="","",IF('ORDENES'!$D1013="","-",'ORDENES'!$D1013))</f>
        <v/>
      </c>
      <c r="K1035" s="24">
        <f>IF('ORDENES'!$A1013="","",IF('ORDENES'!$E1013="","-",'ORDENES'!$E1013))</f>
        <v/>
      </c>
      <c r="L1035" s="26">
        <f>IF('ORDENES'!$A1013="","",IF('ORDENES'!$M1013="",0,'ORDENES'!$M1013))</f>
        <v/>
      </c>
      <c r="M1035" s="24">
        <f>IF('ORDENES'!$A1013="","",IF('ORDENES'!$N1013="","-",'ORDENES'!$N1013))</f>
        <v/>
      </c>
      <c r="N1035" s="24">
        <f>IF('ORDENES'!$A1013="","",'ORDENES'!$AG1013)</f>
        <v/>
      </c>
    </row>
    <row r="1036">
      <c r="A1036" s="24">
        <f>IF('ORDENES'!$A1014="","",IF('ORDENES'!$O1014="","-",'ORDENES'!$O1014))</f>
        <v/>
      </c>
      <c r="B1036" s="24">
        <f>IF('ORDENES'!$A1014="","",IF('ORDENES'!$S1014="","-",'ORDENES'!$S1014))</f>
        <v/>
      </c>
      <c r="C1036" s="24">
        <f>IF('ORDENES'!$A1014="","",IF('ORDENES'!$AI1014="","-",'ORDENES'!$AI1014))</f>
        <v/>
      </c>
      <c r="D1036" s="24">
        <f>IF('ORDENES'!$A1014="","",IF('ORDENES'!$AA1014="","-",'ORDENES'!$AA1014))</f>
        <v/>
      </c>
      <c r="E1036" s="24">
        <f>IF('ORDENES'!$A1014="","",IF('ORDENES'!$Y1014="","-",'ORDENES'!$Y1014))</f>
        <v/>
      </c>
      <c r="F1036" s="24">
        <f>IF('ORDENES'!$A1014="","",IF('ORDENES'!$AB1014="","-",'ORDENES'!$AB1014))</f>
        <v/>
      </c>
      <c r="G1036" s="24">
        <f>IF('ORDENES'!$A1014="","",IF('ORDENES'!$Z1014="","-",'ORDENES'!$Z1014))</f>
        <v/>
      </c>
      <c r="H1036" s="24">
        <f>IF('ORDENES'!$A1014="","",IF('ORDENES'!$AH1014="","-",'ORDENES'!$AH1014))</f>
        <v/>
      </c>
      <c r="I1036" s="24">
        <f>IF('ORDENES'!$A1014="","",IF('ORDENES'!$AU1014="","-",'ORDENES'!$AU1014))</f>
        <v/>
      </c>
      <c r="J1036" s="24">
        <f>IF('ORDENES'!$A1014="","",IF('ORDENES'!$D1014="","-",'ORDENES'!$D1014))</f>
        <v/>
      </c>
      <c r="K1036" s="24">
        <f>IF('ORDENES'!$A1014="","",IF('ORDENES'!$E1014="","-",'ORDENES'!$E1014))</f>
        <v/>
      </c>
      <c r="L1036" s="26">
        <f>IF('ORDENES'!$A1014="","",IF('ORDENES'!$M1014="",0,'ORDENES'!$M1014))</f>
        <v/>
      </c>
      <c r="M1036" s="24">
        <f>IF('ORDENES'!$A1014="","",IF('ORDENES'!$N1014="","-",'ORDENES'!$N1014))</f>
        <v/>
      </c>
      <c r="N1036" s="24">
        <f>IF('ORDENES'!$A1014="","",'ORDENES'!$AG1014)</f>
        <v/>
      </c>
    </row>
    <row r="1037">
      <c r="A1037" s="24">
        <f>IF('ORDENES'!$A1015="","",IF('ORDENES'!$O1015="","-",'ORDENES'!$O1015))</f>
        <v/>
      </c>
      <c r="B1037" s="24">
        <f>IF('ORDENES'!$A1015="","",IF('ORDENES'!$S1015="","-",'ORDENES'!$S1015))</f>
        <v/>
      </c>
      <c r="C1037" s="24">
        <f>IF('ORDENES'!$A1015="","",IF('ORDENES'!$AI1015="","-",'ORDENES'!$AI1015))</f>
        <v/>
      </c>
      <c r="D1037" s="24">
        <f>IF('ORDENES'!$A1015="","",IF('ORDENES'!$AA1015="","-",'ORDENES'!$AA1015))</f>
        <v/>
      </c>
      <c r="E1037" s="24">
        <f>IF('ORDENES'!$A1015="","",IF('ORDENES'!$Y1015="","-",'ORDENES'!$Y1015))</f>
        <v/>
      </c>
      <c r="F1037" s="24">
        <f>IF('ORDENES'!$A1015="","",IF('ORDENES'!$AB1015="","-",'ORDENES'!$AB1015))</f>
        <v/>
      </c>
      <c r="G1037" s="24">
        <f>IF('ORDENES'!$A1015="","",IF('ORDENES'!$Z1015="","-",'ORDENES'!$Z1015))</f>
        <v/>
      </c>
      <c r="H1037" s="24">
        <f>IF('ORDENES'!$A1015="","",IF('ORDENES'!$AH1015="","-",'ORDENES'!$AH1015))</f>
        <v/>
      </c>
      <c r="I1037" s="24">
        <f>IF('ORDENES'!$A1015="","",IF('ORDENES'!$AU1015="","-",'ORDENES'!$AU1015))</f>
        <v/>
      </c>
      <c r="J1037" s="24">
        <f>IF('ORDENES'!$A1015="","",IF('ORDENES'!$D1015="","-",'ORDENES'!$D1015))</f>
        <v/>
      </c>
      <c r="K1037" s="24">
        <f>IF('ORDENES'!$A1015="","",IF('ORDENES'!$E1015="","-",'ORDENES'!$E1015))</f>
        <v/>
      </c>
      <c r="L1037" s="26">
        <f>IF('ORDENES'!$A1015="","",IF('ORDENES'!$M1015="",0,'ORDENES'!$M1015))</f>
        <v/>
      </c>
      <c r="M1037" s="24">
        <f>IF('ORDENES'!$A1015="","",IF('ORDENES'!$N1015="","-",'ORDENES'!$N1015))</f>
        <v/>
      </c>
      <c r="N1037" s="24">
        <f>IF('ORDENES'!$A1015="","",'ORDENES'!$AG1015)</f>
        <v/>
      </c>
    </row>
    <row r="1038">
      <c r="A1038" s="24">
        <f>IF('ORDENES'!$A1016="","",IF('ORDENES'!$O1016="","-",'ORDENES'!$O1016))</f>
        <v/>
      </c>
      <c r="B1038" s="24">
        <f>IF('ORDENES'!$A1016="","",IF('ORDENES'!$S1016="","-",'ORDENES'!$S1016))</f>
        <v/>
      </c>
      <c r="C1038" s="24">
        <f>IF('ORDENES'!$A1016="","",IF('ORDENES'!$AI1016="","-",'ORDENES'!$AI1016))</f>
        <v/>
      </c>
      <c r="D1038" s="24">
        <f>IF('ORDENES'!$A1016="","",IF('ORDENES'!$AA1016="","-",'ORDENES'!$AA1016))</f>
        <v/>
      </c>
      <c r="E1038" s="24">
        <f>IF('ORDENES'!$A1016="","",IF('ORDENES'!$Y1016="","-",'ORDENES'!$Y1016))</f>
        <v/>
      </c>
      <c r="F1038" s="24">
        <f>IF('ORDENES'!$A1016="","",IF('ORDENES'!$AB1016="","-",'ORDENES'!$AB1016))</f>
        <v/>
      </c>
      <c r="G1038" s="24">
        <f>IF('ORDENES'!$A1016="","",IF('ORDENES'!$Z1016="","-",'ORDENES'!$Z1016))</f>
        <v/>
      </c>
      <c r="H1038" s="24">
        <f>IF('ORDENES'!$A1016="","",IF('ORDENES'!$AH1016="","-",'ORDENES'!$AH1016))</f>
        <v/>
      </c>
      <c r="I1038" s="24">
        <f>IF('ORDENES'!$A1016="","",IF('ORDENES'!$AU1016="","-",'ORDENES'!$AU1016))</f>
        <v/>
      </c>
      <c r="J1038" s="24">
        <f>IF('ORDENES'!$A1016="","",IF('ORDENES'!$D1016="","-",'ORDENES'!$D1016))</f>
        <v/>
      </c>
      <c r="K1038" s="24">
        <f>IF('ORDENES'!$A1016="","",IF('ORDENES'!$E1016="","-",'ORDENES'!$E1016))</f>
        <v/>
      </c>
      <c r="L1038" s="26">
        <f>IF('ORDENES'!$A1016="","",IF('ORDENES'!$M1016="",0,'ORDENES'!$M1016))</f>
        <v/>
      </c>
      <c r="M1038" s="24">
        <f>IF('ORDENES'!$A1016="","",IF('ORDENES'!$N1016="","-",'ORDENES'!$N1016))</f>
        <v/>
      </c>
      <c r="N1038" s="24">
        <f>IF('ORDENES'!$A1016="","",'ORDENES'!$AG1016)</f>
        <v/>
      </c>
    </row>
    <row r="1039">
      <c r="A1039" s="24">
        <f>IF('ORDENES'!$A1017="","",IF('ORDENES'!$O1017="","-",'ORDENES'!$O1017))</f>
        <v/>
      </c>
      <c r="B1039" s="24">
        <f>IF('ORDENES'!$A1017="","",IF('ORDENES'!$S1017="","-",'ORDENES'!$S1017))</f>
        <v/>
      </c>
      <c r="C1039" s="24">
        <f>IF('ORDENES'!$A1017="","",IF('ORDENES'!$AI1017="","-",'ORDENES'!$AI1017))</f>
        <v/>
      </c>
      <c r="D1039" s="24">
        <f>IF('ORDENES'!$A1017="","",IF('ORDENES'!$AA1017="","-",'ORDENES'!$AA1017))</f>
        <v/>
      </c>
      <c r="E1039" s="24">
        <f>IF('ORDENES'!$A1017="","",IF('ORDENES'!$Y1017="","-",'ORDENES'!$Y1017))</f>
        <v/>
      </c>
      <c r="F1039" s="24">
        <f>IF('ORDENES'!$A1017="","",IF('ORDENES'!$AB1017="","-",'ORDENES'!$AB1017))</f>
        <v/>
      </c>
      <c r="G1039" s="24">
        <f>IF('ORDENES'!$A1017="","",IF('ORDENES'!$Z1017="","-",'ORDENES'!$Z1017))</f>
        <v/>
      </c>
      <c r="H1039" s="24">
        <f>IF('ORDENES'!$A1017="","",IF('ORDENES'!$AH1017="","-",'ORDENES'!$AH1017))</f>
        <v/>
      </c>
      <c r="I1039" s="24">
        <f>IF('ORDENES'!$A1017="","",IF('ORDENES'!$AU1017="","-",'ORDENES'!$AU1017))</f>
        <v/>
      </c>
      <c r="J1039" s="24">
        <f>IF('ORDENES'!$A1017="","",IF('ORDENES'!$D1017="","-",'ORDENES'!$D1017))</f>
        <v/>
      </c>
      <c r="K1039" s="24">
        <f>IF('ORDENES'!$A1017="","",IF('ORDENES'!$E1017="","-",'ORDENES'!$E1017))</f>
        <v/>
      </c>
      <c r="L1039" s="26">
        <f>IF('ORDENES'!$A1017="","",IF('ORDENES'!$M1017="",0,'ORDENES'!$M1017))</f>
        <v/>
      </c>
      <c r="M1039" s="24">
        <f>IF('ORDENES'!$A1017="","",IF('ORDENES'!$N1017="","-",'ORDENES'!$N1017))</f>
        <v/>
      </c>
      <c r="N1039" s="24">
        <f>IF('ORDENES'!$A1017="","",'ORDENES'!$AG1017)</f>
        <v/>
      </c>
    </row>
    <row r="1040">
      <c r="A1040" s="24">
        <f>IF('ORDENES'!$A1018="","",IF('ORDENES'!$O1018="","-",'ORDENES'!$O1018))</f>
        <v/>
      </c>
      <c r="B1040" s="24">
        <f>IF('ORDENES'!$A1018="","",IF('ORDENES'!$S1018="","-",'ORDENES'!$S1018))</f>
        <v/>
      </c>
      <c r="C1040" s="24">
        <f>IF('ORDENES'!$A1018="","",IF('ORDENES'!$AI1018="","-",'ORDENES'!$AI1018))</f>
        <v/>
      </c>
      <c r="D1040" s="24">
        <f>IF('ORDENES'!$A1018="","",IF('ORDENES'!$AA1018="","-",'ORDENES'!$AA1018))</f>
        <v/>
      </c>
      <c r="E1040" s="24">
        <f>IF('ORDENES'!$A1018="","",IF('ORDENES'!$Y1018="","-",'ORDENES'!$Y1018))</f>
        <v/>
      </c>
      <c r="F1040" s="24">
        <f>IF('ORDENES'!$A1018="","",IF('ORDENES'!$AB1018="","-",'ORDENES'!$AB1018))</f>
        <v/>
      </c>
      <c r="G1040" s="24">
        <f>IF('ORDENES'!$A1018="","",IF('ORDENES'!$Z1018="","-",'ORDENES'!$Z1018))</f>
        <v/>
      </c>
      <c r="H1040" s="24">
        <f>IF('ORDENES'!$A1018="","",IF('ORDENES'!$AH1018="","-",'ORDENES'!$AH1018))</f>
        <v/>
      </c>
      <c r="I1040" s="24">
        <f>IF('ORDENES'!$A1018="","",IF('ORDENES'!$AU1018="","-",'ORDENES'!$AU1018))</f>
        <v/>
      </c>
      <c r="J1040" s="24">
        <f>IF('ORDENES'!$A1018="","",IF('ORDENES'!$D1018="","-",'ORDENES'!$D1018))</f>
        <v/>
      </c>
      <c r="K1040" s="24">
        <f>IF('ORDENES'!$A1018="","",IF('ORDENES'!$E1018="","-",'ORDENES'!$E1018))</f>
        <v/>
      </c>
      <c r="L1040" s="26">
        <f>IF('ORDENES'!$A1018="","",IF('ORDENES'!$M1018="",0,'ORDENES'!$M1018))</f>
        <v/>
      </c>
      <c r="M1040" s="24">
        <f>IF('ORDENES'!$A1018="","",IF('ORDENES'!$N1018="","-",'ORDENES'!$N1018))</f>
        <v/>
      </c>
      <c r="N1040" s="24">
        <f>IF('ORDENES'!$A1018="","",'ORDENES'!$AG1018)</f>
        <v/>
      </c>
    </row>
    <row r="1041">
      <c r="A1041" s="24">
        <f>IF('ORDENES'!$A1019="","",IF('ORDENES'!$O1019="","-",'ORDENES'!$O1019))</f>
        <v/>
      </c>
      <c r="B1041" s="24">
        <f>IF('ORDENES'!$A1019="","",IF('ORDENES'!$S1019="","-",'ORDENES'!$S1019))</f>
        <v/>
      </c>
      <c r="C1041" s="24">
        <f>IF('ORDENES'!$A1019="","",IF('ORDENES'!$AI1019="","-",'ORDENES'!$AI1019))</f>
        <v/>
      </c>
      <c r="D1041" s="24">
        <f>IF('ORDENES'!$A1019="","",IF('ORDENES'!$AA1019="","-",'ORDENES'!$AA1019))</f>
        <v/>
      </c>
      <c r="E1041" s="24">
        <f>IF('ORDENES'!$A1019="","",IF('ORDENES'!$Y1019="","-",'ORDENES'!$Y1019))</f>
        <v/>
      </c>
      <c r="F1041" s="24">
        <f>IF('ORDENES'!$A1019="","",IF('ORDENES'!$AB1019="","-",'ORDENES'!$AB1019))</f>
        <v/>
      </c>
      <c r="G1041" s="24">
        <f>IF('ORDENES'!$A1019="","",IF('ORDENES'!$Z1019="","-",'ORDENES'!$Z1019))</f>
        <v/>
      </c>
      <c r="H1041" s="24">
        <f>IF('ORDENES'!$A1019="","",IF('ORDENES'!$AH1019="","-",'ORDENES'!$AH1019))</f>
        <v/>
      </c>
      <c r="I1041" s="24">
        <f>IF('ORDENES'!$A1019="","",IF('ORDENES'!$AU1019="","-",'ORDENES'!$AU1019))</f>
        <v/>
      </c>
      <c r="J1041" s="24">
        <f>IF('ORDENES'!$A1019="","",IF('ORDENES'!$D1019="","-",'ORDENES'!$D1019))</f>
        <v/>
      </c>
      <c r="K1041" s="24">
        <f>IF('ORDENES'!$A1019="","",IF('ORDENES'!$E1019="","-",'ORDENES'!$E1019))</f>
        <v/>
      </c>
      <c r="L1041" s="26">
        <f>IF('ORDENES'!$A1019="","",IF('ORDENES'!$M1019="",0,'ORDENES'!$M1019))</f>
        <v/>
      </c>
      <c r="M1041" s="24">
        <f>IF('ORDENES'!$A1019="","",IF('ORDENES'!$N1019="","-",'ORDENES'!$N1019))</f>
        <v/>
      </c>
      <c r="N1041" s="24">
        <f>IF('ORDENES'!$A1019="","",'ORDENES'!$AG1019)</f>
        <v/>
      </c>
    </row>
    <row r="1042">
      <c r="A1042" s="24">
        <f>IF('ORDENES'!$A1020="","",IF('ORDENES'!$O1020="","-",'ORDENES'!$O1020))</f>
        <v/>
      </c>
      <c r="B1042" s="24">
        <f>IF('ORDENES'!$A1020="","",IF('ORDENES'!$S1020="","-",'ORDENES'!$S1020))</f>
        <v/>
      </c>
      <c r="C1042" s="24">
        <f>IF('ORDENES'!$A1020="","",IF('ORDENES'!$AI1020="","-",'ORDENES'!$AI1020))</f>
        <v/>
      </c>
      <c r="D1042" s="24">
        <f>IF('ORDENES'!$A1020="","",IF('ORDENES'!$AA1020="","-",'ORDENES'!$AA1020))</f>
        <v/>
      </c>
      <c r="E1042" s="24">
        <f>IF('ORDENES'!$A1020="","",IF('ORDENES'!$Y1020="","-",'ORDENES'!$Y1020))</f>
        <v/>
      </c>
      <c r="F1042" s="24">
        <f>IF('ORDENES'!$A1020="","",IF('ORDENES'!$AB1020="","-",'ORDENES'!$AB1020))</f>
        <v/>
      </c>
      <c r="G1042" s="24">
        <f>IF('ORDENES'!$A1020="","",IF('ORDENES'!$Z1020="","-",'ORDENES'!$Z1020))</f>
        <v/>
      </c>
      <c r="H1042" s="24">
        <f>IF('ORDENES'!$A1020="","",IF('ORDENES'!$AH1020="","-",'ORDENES'!$AH1020))</f>
        <v/>
      </c>
      <c r="I1042" s="24">
        <f>IF('ORDENES'!$A1020="","",IF('ORDENES'!$AU1020="","-",'ORDENES'!$AU1020))</f>
        <v/>
      </c>
      <c r="J1042" s="24">
        <f>IF('ORDENES'!$A1020="","",IF('ORDENES'!$D1020="","-",'ORDENES'!$D1020))</f>
        <v/>
      </c>
      <c r="K1042" s="24">
        <f>IF('ORDENES'!$A1020="","",IF('ORDENES'!$E1020="","-",'ORDENES'!$E1020))</f>
        <v/>
      </c>
      <c r="L1042" s="26">
        <f>IF('ORDENES'!$A1020="","",IF('ORDENES'!$M1020="",0,'ORDENES'!$M1020))</f>
        <v/>
      </c>
      <c r="M1042" s="24">
        <f>IF('ORDENES'!$A1020="","",IF('ORDENES'!$N1020="","-",'ORDENES'!$N1020))</f>
        <v/>
      </c>
      <c r="N1042" s="24">
        <f>IF('ORDENES'!$A1020="","",'ORDENES'!$AG1020)</f>
        <v/>
      </c>
    </row>
    <row r="1043">
      <c r="A1043" s="24">
        <f>IF('ORDENES'!$A1021="","",IF('ORDENES'!$O1021="","-",'ORDENES'!$O1021))</f>
        <v/>
      </c>
      <c r="B1043" s="24">
        <f>IF('ORDENES'!$A1021="","",IF('ORDENES'!$S1021="","-",'ORDENES'!$S1021))</f>
        <v/>
      </c>
      <c r="C1043" s="24">
        <f>IF('ORDENES'!$A1021="","",IF('ORDENES'!$AI1021="","-",'ORDENES'!$AI1021))</f>
        <v/>
      </c>
      <c r="D1043" s="24">
        <f>IF('ORDENES'!$A1021="","",IF('ORDENES'!$AA1021="","-",'ORDENES'!$AA1021))</f>
        <v/>
      </c>
      <c r="E1043" s="24">
        <f>IF('ORDENES'!$A1021="","",IF('ORDENES'!$Y1021="","-",'ORDENES'!$Y1021))</f>
        <v/>
      </c>
      <c r="F1043" s="24">
        <f>IF('ORDENES'!$A1021="","",IF('ORDENES'!$AB1021="","-",'ORDENES'!$AB1021))</f>
        <v/>
      </c>
      <c r="G1043" s="24">
        <f>IF('ORDENES'!$A1021="","",IF('ORDENES'!$Z1021="","-",'ORDENES'!$Z1021))</f>
        <v/>
      </c>
      <c r="H1043" s="24">
        <f>IF('ORDENES'!$A1021="","",IF('ORDENES'!$AH1021="","-",'ORDENES'!$AH1021))</f>
        <v/>
      </c>
      <c r="I1043" s="24">
        <f>IF('ORDENES'!$A1021="","",IF('ORDENES'!$AU1021="","-",'ORDENES'!$AU1021))</f>
        <v/>
      </c>
      <c r="J1043" s="24">
        <f>IF('ORDENES'!$A1021="","",IF('ORDENES'!$D1021="","-",'ORDENES'!$D1021))</f>
        <v/>
      </c>
      <c r="K1043" s="24">
        <f>IF('ORDENES'!$A1021="","",IF('ORDENES'!$E1021="","-",'ORDENES'!$E1021))</f>
        <v/>
      </c>
      <c r="L1043" s="26">
        <f>IF('ORDENES'!$A1021="","",IF('ORDENES'!$M1021="",0,'ORDENES'!$M1021))</f>
        <v/>
      </c>
      <c r="M1043" s="24">
        <f>IF('ORDENES'!$A1021="","",IF('ORDENES'!$N1021="","-",'ORDENES'!$N1021))</f>
        <v/>
      </c>
      <c r="N1043" s="24">
        <f>IF('ORDENES'!$A1021="","",'ORDENES'!$AG1021)</f>
        <v/>
      </c>
    </row>
    <row r="1044">
      <c r="A1044" s="24">
        <f>IF('ORDENES'!$A1022="","",IF('ORDENES'!$O1022="","-",'ORDENES'!$O1022))</f>
        <v/>
      </c>
      <c r="B1044" s="24">
        <f>IF('ORDENES'!$A1022="","",IF('ORDENES'!$S1022="","-",'ORDENES'!$S1022))</f>
        <v/>
      </c>
      <c r="C1044" s="24">
        <f>IF('ORDENES'!$A1022="","",IF('ORDENES'!$AI1022="","-",'ORDENES'!$AI1022))</f>
        <v/>
      </c>
      <c r="D1044" s="24">
        <f>IF('ORDENES'!$A1022="","",IF('ORDENES'!$AA1022="","-",'ORDENES'!$AA1022))</f>
        <v/>
      </c>
      <c r="E1044" s="24">
        <f>IF('ORDENES'!$A1022="","",IF('ORDENES'!$Y1022="","-",'ORDENES'!$Y1022))</f>
        <v/>
      </c>
      <c r="F1044" s="24">
        <f>IF('ORDENES'!$A1022="","",IF('ORDENES'!$AB1022="","-",'ORDENES'!$AB1022))</f>
        <v/>
      </c>
      <c r="G1044" s="24">
        <f>IF('ORDENES'!$A1022="","",IF('ORDENES'!$Z1022="","-",'ORDENES'!$Z1022))</f>
        <v/>
      </c>
      <c r="H1044" s="24">
        <f>IF('ORDENES'!$A1022="","",IF('ORDENES'!$AH1022="","-",'ORDENES'!$AH1022))</f>
        <v/>
      </c>
      <c r="I1044" s="24">
        <f>IF('ORDENES'!$A1022="","",IF('ORDENES'!$AU1022="","-",'ORDENES'!$AU1022))</f>
        <v/>
      </c>
      <c r="J1044" s="24">
        <f>IF('ORDENES'!$A1022="","",IF('ORDENES'!$D1022="","-",'ORDENES'!$D1022))</f>
        <v/>
      </c>
      <c r="K1044" s="24">
        <f>IF('ORDENES'!$A1022="","",IF('ORDENES'!$E1022="","-",'ORDENES'!$E1022))</f>
        <v/>
      </c>
      <c r="L1044" s="26">
        <f>IF('ORDENES'!$A1022="","",IF('ORDENES'!$M1022="",0,'ORDENES'!$M1022))</f>
        <v/>
      </c>
      <c r="M1044" s="24">
        <f>IF('ORDENES'!$A1022="","",IF('ORDENES'!$N1022="","-",'ORDENES'!$N1022))</f>
        <v/>
      </c>
      <c r="N1044" s="24">
        <f>IF('ORDENES'!$A1022="","",'ORDENES'!$AG1022)</f>
        <v/>
      </c>
    </row>
    <row r="1045">
      <c r="A1045" s="24">
        <f>IF('ORDENES'!$A1023="","",IF('ORDENES'!$O1023="","-",'ORDENES'!$O1023))</f>
        <v/>
      </c>
      <c r="B1045" s="24">
        <f>IF('ORDENES'!$A1023="","",IF('ORDENES'!$S1023="","-",'ORDENES'!$S1023))</f>
        <v/>
      </c>
      <c r="C1045" s="24">
        <f>IF('ORDENES'!$A1023="","",IF('ORDENES'!$AI1023="","-",'ORDENES'!$AI1023))</f>
        <v/>
      </c>
      <c r="D1045" s="24">
        <f>IF('ORDENES'!$A1023="","",IF('ORDENES'!$AA1023="","-",'ORDENES'!$AA1023))</f>
        <v/>
      </c>
      <c r="E1045" s="24">
        <f>IF('ORDENES'!$A1023="","",IF('ORDENES'!$Y1023="","-",'ORDENES'!$Y1023))</f>
        <v/>
      </c>
      <c r="F1045" s="24">
        <f>IF('ORDENES'!$A1023="","",IF('ORDENES'!$AB1023="","-",'ORDENES'!$AB1023))</f>
        <v/>
      </c>
      <c r="G1045" s="24">
        <f>IF('ORDENES'!$A1023="","",IF('ORDENES'!$Z1023="","-",'ORDENES'!$Z1023))</f>
        <v/>
      </c>
      <c r="H1045" s="24">
        <f>IF('ORDENES'!$A1023="","",IF('ORDENES'!$AH1023="","-",'ORDENES'!$AH1023))</f>
        <v/>
      </c>
      <c r="I1045" s="24">
        <f>IF('ORDENES'!$A1023="","",IF('ORDENES'!$AU1023="","-",'ORDENES'!$AU1023))</f>
        <v/>
      </c>
      <c r="J1045" s="24">
        <f>IF('ORDENES'!$A1023="","",IF('ORDENES'!$D1023="","-",'ORDENES'!$D1023))</f>
        <v/>
      </c>
      <c r="K1045" s="24">
        <f>IF('ORDENES'!$A1023="","",IF('ORDENES'!$E1023="","-",'ORDENES'!$E1023))</f>
        <v/>
      </c>
      <c r="L1045" s="26">
        <f>IF('ORDENES'!$A1023="","",IF('ORDENES'!$M1023="",0,'ORDENES'!$M1023))</f>
        <v/>
      </c>
      <c r="M1045" s="24">
        <f>IF('ORDENES'!$A1023="","",IF('ORDENES'!$N1023="","-",'ORDENES'!$N1023))</f>
        <v/>
      </c>
      <c r="N1045" s="24">
        <f>IF('ORDENES'!$A1023="","",'ORDENES'!$AG1023)</f>
        <v/>
      </c>
    </row>
    <row r="1046">
      <c r="A1046" s="24">
        <f>IF('ORDENES'!$A1024="","",IF('ORDENES'!$O1024="","-",'ORDENES'!$O1024))</f>
        <v/>
      </c>
      <c r="B1046" s="24">
        <f>IF('ORDENES'!$A1024="","",IF('ORDENES'!$S1024="","-",'ORDENES'!$S1024))</f>
        <v/>
      </c>
      <c r="C1046" s="24">
        <f>IF('ORDENES'!$A1024="","",IF('ORDENES'!$AI1024="","-",'ORDENES'!$AI1024))</f>
        <v/>
      </c>
      <c r="D1046" s="24">
        <f>IF('ORDENES'!$A1024="","",IF('ORDENES'!$AA1024="","-",'ORDENES'!$AA1024))</f>
        <v/>
      </c>
      <c r="E1046" s="24">
        <f>IF('ORDENES'!$A1024="","",IF('ORDENES'!$Y1024="","-",'ORDENES'!$Y1024))</f>
        <v/>
      </c>
      <c r="F1046" s="24">
        <f>IF('ORDENES'!$A1024="","",IF('ORDENES'!$AB1024="","-",'ORDENES'!$AB1024))</f>
        <v/>
      </c>
      <c r="G1046" s="24">
        <f>IF('ORDENES'!$A1024="","",IF('ORDENES'!$Z1024="","-",'ORDENES'!$Z1024))</f>
        <v/>
      </c>
      <c r="H1046" s="24">
        <f>IF('ORDENES'!$A1024="","",IF('ORDENES'!$AH1024="","-",'ORDENES'!$AH1024))</f>
        <v/>
      </c>
      <c r="I1046" s="24">
        <f>IF('ORDENES'!$A1024="","",IF('ORDENES'!$AU1024="","-",'ORDENES'!$AU1024))</f>
        <v/>
      </c>
      <c r="J1046" s="24">
        <f>IF('ORDENES'!$A1024="","",IF('ORDENES'!$D1024="","-",'ORDENES'!$D1024))</f>
        <v/>
      </c>
      <c r="K1046" s="24">
        <f>IF('ORDENES'!$A1024="","",IF('ORDENES'!$E1024="","-",'ORDENES'!$E1024))</f>
        <v/>
      </c>
      <c r="L1046" s="26">
        <f>IF('ORDENES'!$A1024="","",IF('ORDENES'!$M1024="",0,'ORDENES'!$M1024))</f>
        <v/>
      </c>
      <c r="M1046" s="24">
        <f>IF('ORDENES'!$A1024="","",IF('ORDENES'!$N1024="","-",'ORDENES'!$N1024))</f>
        <v/>
      </c>
      <c r="N1046" s="24">
        <f>IF('ORDENES'!$A1024="","",'ORDENES'!$AG1024)</f>
        <v/>
      </c>
    </row>
    <row r="1047">
      <c r="A1047" s="24">
        <f>IF('ORDENES'!$A1025="","",IF('ORDENES'!$O1025="","-",'ORDENES'!$O1025))</f>
        <v/>
      </c>
      <c r="B1047" s="24">
        <f>IF('ORDENES'!$A1025="","",IF('ORDENES'!$S1025="","-",'ORDENES'!$S1025))</f>
        <v/>
      </c>
      <c r="C1047" s="24">
        <f>IF('ORDENES'!$A1025="","",IF('ORDENES'!$AI1025="","-",'ORDENES'!$AI1025))</f>
        <v/>
      </c>
      <c r="D1047" s="24">
        <f>IF('ORDENES'!$A1025="","",IF('ORDENES'!$AA1025="","-",'ORDENES'!$AA1025))</f>
        <v/>
      </c>
      <c r="E1047" s="24">
        <f>IF('ORDENES'!$A1025="","",IF('ORDENES'!$Y1025="","-",'ORDENES'!$Y1025))</f>
        <v/>
      </c>
      <c r="F1047" s="24">
        <f>IF('ORDENES'!$A1025="","",IF('ORDENES'!$AB1025="","-",'ORDENES'!$AB1025))</f>
        <v/>
      </c>
      <c r="G1047" s="24">
        <f>IF('ORDENES'!$A1025="","",IF('ORDENES'!$Z1025="","-",'ORDENES'!$Z1025))</f>
        <v/>
      </c>
      <c r="H1047" s="24">
        <f>IF('ORDENES'!$A1025="","",IF('ORDENES'!$AH1025="","-",'ORDENES'!$AH1025))</f>
        <v/>
      </c>
      <c r="I1047" s="24">
        <f>IF('ORDENES'!$A1025="","",IF('ORDENES'!$AU1025="","-",'ORDENES'!$AU1025))</f>
        <v/>
      </c>
      <c r="J1047" s="24">
        <f>IF('ORDENES'!$A1025="","",IF('ORDENES'!$D1025="","-",'ORDENES'!$D1025))</f>
        <v/>
      </c>
      <c r="K1047" s="24">
        <f>IF('ORDENES'!$A1025="","",IF('ORDENES'!$E1025="","-",'ORDENES'!$E1025))</f>
        <v/>
      </c>
      <c r="L1047" s="26">
        <f>IF('ORDENES'!$A1025="","",IF('ORDENES'!$M1025="",0,'ORDENES'!$M1025))</f>
        <v/>
      </c>
      <c r="M1047" s="24">
        <f>IF('ORDENES'!$A1025="","",IF('ORDENES'!$N1025="","-",'ORDENES'!$N1025))</f>
        <v/>
      </c>
      <c r="N1047" s="24">
        <f>IF('ORDENES'!$A1025="","",'ORDENES'!$AG1025)</f>
        <v/>
      </c>
    </row>
    <row r="1048">
      <c r="A1048" s="24">
        <f>IF('ORDENES'!$A1026="","",IF('ORDENES'!$O1026="","-",'ORDENES'!$O1026))</f>
        <v/>
      </c>
      <c r="B1048" s="24">
        <f>IF('ORDENES'!$A1026="","",IF('ORDENES'!$S1026="","-",'ORDENES'!$S1026))</f>
        <v/>
      </c>
      <c r="C1048" s="24">
        <f>IF('ORDENES'!$A1026="","",IF('ORDENES'!$AI1026="","-",'ORDENES'!$AI1026))</f>
        <v/>
      </c>
      <c r="D1048" s="24">
        <f>IF('ORDENES'!$A1026="","",IF('ORDENES'!$AA1026="","-",'ORDENES'!$AA1026))</f>
        <v/>
      </c>
      <c r="E1048" s="24">
        <f>IF('ORDENES'!$A1026="","",IF('ORDENES'!$Y1026="","-",'ORDENES'!$Y1026))</f>
        <v/>
      </c>
      <c r="F1048" s="24">
        <f>IF('ORDENES'!$A1026="","",IF('ORDENES'!$AB1026="","-",'ORDENES'!$AB1026))</f>
        <v/>
      </c>
      <c r="G1048" s="24">
        <f>IF('ORDENES'!$A1026="","",IF('ORDENES'!$Z1026="","-",'ORDENES'!$Z1026))</f>
        <v/>
      </c>
      <c r="H1048" s="24">
        <f>IF('ORDENES'!$A1026="","",IF('ORDENES'!$AH1026="","-",'ORDENES'!$AH1026))</f>
        <v/>
      </c>
      <c r="I1048" s="24">
        <f>IF('ORDENES'!$A1026="","",IF('ORDENES'!$AU1026="","-",'ORDENES'!$AU1026))</f>
        <v/>
      </c>
      <c r="J1048" s="24">
        <f>IF('ORDENES'!$A1026="","",IF('ORDENES'!$D1026="","-",'ORDENES'!$D1026))</f>
        <v/>
      </c>
      <c r="K1048" s="24">
        <f>IF('ORDENES'!$A1026="","",IF('ORDENES'!$E1026="","-",'ORDENES'!$E1026))</f>
        <v/>
      </c>
      <c r="L1048" s="26">
        <f>IF('ORDENES'!$A1026="","",IF('ORDENES'!$M1026="",0,'ORDENES'!$M1026))</f>
        <v/>
      </c>
      <c r="M1048" s="24">
        <f>IF('ORDENES'!$A1026="","",IF('ORDENES'!$N1026="","-",'ORDENES'!$N1026))</f>
        <v/>
      </c>
      <c r="N1048" s="24">
        <f>IF('ORDENES'!$A1026="","",'ORDENES'!$AG1026)</f>
        <v/>
      </c>
    </row>
    <row r="1049">
      <c r="A1049" s="24">
        <f>IF('ORDENES'!$A1027="","",IF('ORDENES'!$O1027="","-",'ORDENES'!$O1027))</f>
        <v/>
      </c>
      <c r="B1049" s="24">
        <f>IF('ORDENES'!$A1027="","",IF('ORDENES'!$S1027="","-",'ORDENES'!$S1027))</f>
        <v/>
      </c>
      <c r="C1049" s="24">
        <f>IF('ORDENES'!$A1027="","",IF('ORDENES'!$AI1027="","-",'ORDENES'!$AI1027))</f>
        <v/>
      </c>
      <c r="D1049" s="24">
        <f>IF('ORDENES'!$A1027="","",IF('ORDENES'!$AA1027="","-",'ORDENES'!$AA1027))</f>
        <v/>
      </c>
      <c r="E1049" s="24">
        <f>IF('ORDENES'!$A1027="","",IF('ORDENES'!$Y1027="","-",'ORDENES'!$Y1027))</f>
        <v/>
      </c>
      <c r="F1049" s="24">
        <f>IF('ORDENES'!$A1027="","",IF('ORDENES'!$AB1027="","-",'ORDENES'!$AB1027))</f>
        <v/>
      </c>
      <c r="G1049" s="24">
        <f>IF('ORDENES'!$A1027="","",IF('ORDENES'!$Z1027="","-",'ORDENES'!$Z1027))</f>
        <v/>
      </c>
      <c r="H1049" s="24">
        <f>IF('ORDENES'!$A1027="","",IF('ORDENES'!$AH1027="","-",'ORDENES'!$AH1027))</f>
        <v/>
      </c>
      <c r="I1049" s="24">
        <f>IF('ORDENES'!$A1027="","",IF('ORDENES'!$AU1027="","-",'ORDENES'!$AU1027))</f>
        <v/>
      </c>
      <c r="J1049" s="24">
        <f>IF('ORDENES'!$A1027="","",IF('ORDENES'!$D1027="","-",'ORDENES'!$D1027))</f>
        <v/>
      </c>
      <c r="K1049" s="24">
        <f>IF('ORDENES'!$A1027="","",IF('ORDENES'!$E1027="","-",'ORDENES'!$E1027))</f>
        <v/>
      </c>
      <c r="L1049" s="26">
        <f>IF('ORDENES'!$A1027="","",IF('ORDENES'!$M1027="",0,'ORDENES'!$M1027))</f>
        <v/>
      </c>
      <c r="M1049" s="24">
        <f>IF('ORDENES'!$A1027="","",IF('ORDENES'!$N1027="","-",'ORDENES'!$N1027))</f>
        <v/>
      </c>
      <c r="N1049" s="24">
        <f>IF('ORDENES'!$A1027="","",'ORDENES'!$AG1027)</f>
        <v/>
      </c>
    </row>
    <row r="1050">
      <c r="A1050" s="24">
        <f>IF('ORDENES'!$A1028="","",IF('ORDENES'!$O1028="","-",'ORDENES'!$O1028))</f>
        <v/>
      </c>
      <c r="B1050" s="24">
        <f>IF('ORDENES'!$A1028="","",IF('ORDENES'!$S1028="","-",'ORDENES'!$S1028))</f>
        <v/>
      </c>
      <c r="C1050" s="24">
        <f>IF('ORDENES'!$A1028="","",IF('ORDENES'!$AI1028="","-",'ORDENES'!$AI1028))</f>
        <v/>
      </c>
      <c r="D1050" s="24">
        <f>IF('ORDENES'!$A1028="","",IF('ORDENES'!$AA1028="","-",'ORDENES'!$AA1028))</f>
        <v/>
      </c>
      <c r="E1050" s="24">
        <f>IF('ORDENES'!$A1028="","",IF('ORDENES'!$Y1028="","-",'ORDENES'!$Y1028))</f>
        <v/>
      </c>
      <c r="F1050" s="24">
        <f>IF('ORDENES'!$A1028="","",IF('ORDENES'!$AB1028="","-",'ORDENES'!$AB1028))</f>
        <v/>
      </c>
      <c r="G1050" s="24">
        <f>IF('ORDENES'!$A1028="","",IF('ORDENES'!$Z1028="","-",'ORDENES'!$Z1028))</f>
        <v/>
      </c>
      <c r="H1050" s="24">
        <f>IF('ORDENES'!$A1028="","",IF('ORDENES'!$AH1028="","-",'ORDENES'!$AH1028))</f>
        <v/>
      </c>
      <c r="I1050" s="24">
        <f>IF('ORDENES'!$A1028="","",IF('ORDENES'!$AU1028="","-",'ORDENES'!$AU1028))</f>
        <v/>
      </c>
      <c r="J1050" s="24">
        <f>IF('ORDENES'!$A1028="","",IF('ORDENES'!$D1028="","-",'ORDENES'!$D1028))</f>
        <v/>
      </c>
      <c r="K1050" s="24">
        <f>IF('ORDENES'!$A1028="","",IF('ORDENES'!$E1028="","-",'ORDENES'!$E1028))</f>
        <v/>
      </c>
      <c r="L1050" s="26">
        <f>IF('ORDENES'!$A1028="","",IF('ORDENES'!$M1028="",0,'ORDENES'!$M1028))</f>
        <v/>
      </c>
      <c r="M1050" s="24">
        <f>IF('ORDENES'!$A1028="","",IF('ORDENES'!$N1028="","-",'ORDENES'!$N1028))</f>
        <v/>
      </c>
      <c r="N1050" s="24">
        <f>IF('ORDENES'!$A1028="","",'ORDENES'!$AG1028)</f>
        <v/>
      </c>
    </row>
    <row r="1051">
      <c r="A1051" s="24">
        <f>IF('ORDENES'!$A1029="","",IF('ORDENES'!$O1029="","-",'ORDENES'!$O1029))</f>
        <v/>
      </c>
      <c r="B1051" s="24">
        <f>IF('ORDENES'!$A1029="","",IF('ORDENES'!$S1029="","-",'ORDENES'!$S1029))</f>
        <v/>
      </c>
      <c r="C1051" s="24">
        <f>IF('ORDENES'!$A1029="","",IF('ORDENES'!$AI1029="","-",'ORDENES'!$AI1029))</f>
        <v/>
      </c>
      <c r="D1051" s="24">
        <f>IF('ORDENES'!$A1029="","",IF('ORDENES'!$AA1029="","-",'ORDENES'!$AA1029))</f>
        <v/>
      </c>
      <c r="E1051" s="24">
        <f>IF('ORDENES'!$A1029="","",IF('ORDENES'!$Y1029="","-",'ORDENES'!$Y1029))</f>
        <v/>
      </c>
      <c r="F1051" s="24">
        <f>IF('ORDENES'!$A1029="","",IF('ORDENES'!$AB1029="","-",'ORDENES'!$AB1029))</f>
        <v/>
      </c>
      <c r="G1051" s="24">
        <f>IF('ORDENES'!$A1029="","",IF('ORDENES'!$Z1029="","-",'ORDENES'!$Z1029))</f>
        <v/>
      </c>
      <c r="H1051" s="24">
        <f>IF('ORDENES'!$A1029="","",IF('ORDENES'!$AH1029="","-",'ORDENES'!$AH1029))</f>
        <v/>
      </c>
      <c r="I1051" s="24">
        <f>IF('ORDENES'!$A1029="","",IF('ORDENES'!$AU1029="","-",'ORDENES'!$AU1029))</f>
        <v/>
      </c>
      <c r="J1051" s="24">
        <f>IF('ORDENES'!$A1029="","",IF('ORDENES'!$D1029="","-",'ORDENES'!$D1029))</f>
        <v/>
      </c>
      <c r="K1051" s="24">
        <f>IF('ORDENES'!$A1029="","",IF('ORDENES'!$E1029="","-",'ORDENES'!$E1029))</f>
        <v/>
      </c>
      <c r="L1051" s="26">
        <f>IF('ORDENES'!$A1029="","",IF('ORDENES'!$M1029="",0,'ORDENES'!$M1029))</f>
        <v/>
      </c>
      <c r="M1051" s="24">
        <f>IF('ORDENES'!$A1029="","",IF('ORDENES'!$N1029="","-",'ORDENES'!$N1029))</f>
        <v/>
      </c>
      <c r="N1051" s="24">
        <f>IF('ORDENES'!$A1029="","",'ORDENES'!$AG1029)</f>
        <v/>
      </c>
    </row>
    <row r="1052">
      <c r="A1052" s="24">
        <f>IF('ORDENES'!$A1030="","",IF('ORDENES'!$O1030="","-",'ORDENES'!$O1030))</f>
        <v/>
      </c>
      <c r="B1052" s="24">
        <f>IF('ORDENES'!$A1030="","",IF('ORDENES'!$S1030="","-",'ORDENES'!$S1030))</f>
        <v/>
      </c>
      <c r="C1052" s="24">
        <f>IF('ORDENES'!$A1030="","",IF('ORDENES'!$AI1030="","-",'ORDENES'!$AI1030))</f>
        <v/>
      </c>
      <c r="D1052" s="24">
        <f>IF('ORDENES'!$A1030="","",IF('ORDENES'!$AA1030="","-",'ORDENES'!$AA1030))</f>
        <v/>
      </c>
      <c r="E1052" s="24">
        <f>IF('ORDENES'!$A1030="","",IF('ORDENES'!$Y1030="","-",'ORDENES'!$Y1030))</f>
        <v/>
      </c>
      <c r="F1052" s="24">
        <f>IF('ORDENES'!$A1030="","",IF('ORDENES'!$AB1030="","-",'ORDENES'!$AB1030))</f>
        <v/>
      </c>
      <c r="G1052" s="24">
        <f>IF('ORDENES'!$A1030="","",IF('ORDENES'!$Z1030="","-",'ORDENES'!$Z1030))</f>
        <v/>
      </c>
      <c r="H1052" s="24">
        <f>IF('ORDENES'!$A1030="","",IF('ORDENES'!$AH1030="","-",'ORDENES'!$AH1030))</f>
        <v/>
      </c>
      <c r="I1052" s="24">
        <f>IF('ORDENES'!$A1030="","",IF('ORDENES'!$AU1030="","-",'ORDENES'!$AU1030))</f>
        <v/>
      </c>
      <c r="J1052" s="24">
        <f>IF('ORDENES'!$A1030="","",IF('ORDENES'!$D1030="","-",'ORDENES'!$D1030))</f>
        <v/>
      </c>
      <c r="K1052" s="24">
        <f>IF('ORDENES'!$A1030="","",IF('ORDENES'!$E1030="","-",'ORDENES'!$E1030))</f>
        <v/>
      </c>
      <c r="L1052" s="26">
        <f>IF('ORDENES'!$A1030="","",IF('ORDENES'!$M1030="",0,'ORDENES'!$M1030))</f>
        <v/>
      </c>
      <c r="M1052" s="24">
        <f>IF('ORDENES'!$A1030="","",IF('ORDENES'!$N1030="","-",'ORDENES'!$N1030))</f>
        <v/>
      </c>
      <c r="N1052" s="24">
        <f>IF('ORDENES'!$A1030="","",'ORDENES'!$AG1030)</f>
        <v/>
      </c>
    </row>
    <row r="1053">
      <c r="A1053" s="24">
        <f>IF('ORDENES'!$A1031="","",IF('ORDENES'!$O1031="","-",'ORDENES'!$O1031))</f>
        <v/>
      </c>
      <c r="B1053" s="24">
        <f>IF('ORDENES'!$A1031="","",IF('ORDENES'!$S1031="","-",'ORDENES'!$S1031))</f>
        <v/>
      </c>
      <c r="C1053" s="24">
        <f>IF('ORDENES'!$A1031="","",IF('ORDENES'!$AI1031="","-",'ORDENES'!$AI1031))</f>
        <v/>
      </c>
      <c r="D1053" s="24">
        <f>IF('ORDENES'!$A1031="","",IF('ORDENES'!$AA1031="","-",'ORDENES'!$AA1031))</f>
        <v/>
      </c>
      <c r="E1053" s="24">
        <f>IF('ORDENES'!$A1031="","",IF('ORDENES'!$Y1031="","-",'ORDENES'!$Y1031))</f>
        <v/>
      </c>
      <c r="F1053" s="24">
        <f>IF('ORDENES'!$A1031="","",IF('ORDENES'!$AB1031="","-",'ORDENES'!$AB1031))</f>
        <v/>
      </c>
      <c r="G1053" s="24">
        <f>IF('ORDENES'!$A1031="","",IF('ORDENES'!$Z1031="","-",'ORDENES'!$Z1031))</f>
        <v/>
      </c>
      <c r="H1053" s="24">
        <f>IF('ORDENES'!$A1031="","",IF('ORDENES'!$AH1031="","-",'ORDENES'!$AH1031))</f>
        <v/>
      </c>
      <c r="I1053" s="24">
        <f>IF('ORDENES'!$A1031="","",IF('ORDENES'!$AU1031="","-",'ORDENES'!$AU1031))</f>
        <v/>
      </c>
      <c r="J1053" s="24">
        <f>IF('ORDENES'!$A1031="","",IF('ORDENES'!$D1031="","-",'ORDENES'!$D1031))</f>
        <v/>
      </c>
      <c r="K1053" s="24">
        <f>IF('ORDENES'!$A1031="","",IF('ORDENES'!$E1031="","-",'ORDENES'!$E1031))</f>
        <v/>
      </c>
      <c r="L1053" s="26">
        <f>IF('ORDENES'!$A1031="","",IF('ORDENES'!$M1031="",0,'ORDENES'!$M1031))</f>
        <v/>
      </c>
      <c r="M1053" s="24">
        <f>IF('ORDENES'!$A1031="","",IF('ORDENES'!$N1031="","-",'ORDENES'!$N1031))</f>
        <v/>
      </c>
      <c r="N1053" s="24">
        <f>IF('ORDENES'!$A1031="","",'ORDENES'!$AG1031)</f>
        <v/>
      </c>
    </row>
    <row r="1054">
      <c r="A1054" s="24">
        <f>IF('ORDENES'!$A1032="","",IF('ORDENES'!$O1032="","-",'ORDENES'!$O1032))</f>
        <v/>
      </c>
      <c r="B1054" s="24">
        <f>IF('ORDENES'!$A1032="","",IF('ORDENES'!$S1032="","-",'ORDENES'!$S1032))</f>
        <v/>
      </c>
      <c r="C1054" s="24">
        <f>IF('ORDENES'!$A1032="","",IF('ORDENES'!$AI1032="","-",'ORDENES'!$AI1032))</f>
        <v/>
      </c>
      <c r="D1054" s="24">
        <f>IF('ORDENES'!$A1032="","",IF('ORDENES'!$AA1032="","-",'ORDENES'!$AA1032))</f>
        <v/>
      </c>
      <c r="E1054" s="24">
        <f>IF('ORDENES'!$A1032="","",IF('ORDENES'!$Y1032="","-",'ORDENES'!$Y1032))</f>
        <v/>
      </c>
      <c r="F1054" s="24">
        <f>IF('ORDENES'!$A1032="","",IF('ORDENES'!$AB1032="","-",'ORDENES'!$AB1032))</f>
        <v/>
      </c>
      <c r="G1054" s="24">
        <f>IF('ORDENES'!$A1032="","",IF('ORDENES'!$Z1032="","-",'ORDENES'!$Z1032))</f>
        <v/>
      </c>
      <c r="H1054" s="24">
        <f>IF('ORDENES'!$A1032="","",IF('ORDENES'!$AH1032="","-",'ORDENES'!$AH1032))</f>
        <v/>
      </c>
      <c r="I1054" s="24">
        <f>IF('ORDENES'!$A1032="","",IF('ORDENES'!$AU1032="","-",'ORDENES'!$AU1032))</f>
        <v/>
      </c>
      <c r="J1054" s="24">
        <f>IF('ORDENES'!$A1032="","",IF('ORDENES'!$D1032="","-",'ORDENES'!$D1032))</f>
        <v/>
      </c>
      <c r="K1054" s="24">
        <f>IF('ORDENES'!$A1032="","",IF('ORDENES'!$E1032="","-",'ORDENES'!$E1032))</f>
        <v/>
      </c>
      <c r="L1054" s="26">
        <f>IF('ORDENES'!$A1032="","",IF('ORDENES'!$M1032="",0,'ORDENES'!$M1032))</f>
        <v/>
      </c>
      <c r="M1054" s="24">
        <f>IF('ORDENES'!$A1032="","",IF('ORDENES'!$N1032="","-",'ORDENES'!$N1032))</f>
        <v/>
      </c>
      <c r="N1054" s="24">
        <f>IF('ORDENES'!$A1032="","",'ORDENES'!$AG1032)</f>
        <v/>
      </c>
    </row>
    <row r="1055">
      <c r="A1055" s="24">
        <f>IF('ORDENES'!$A1033="","",IF('ORDENES'!$O1033="","-",'ORDENES'!$O1033))</f>
        <v/>
      </c>
      <c r="B1055" s="24">
        <f>IF('ORDENES'!$A1033="","",IF('ORDENES'!$S1033="","-",'ORDENES'!$S1033))</f>
        <v/>
      </c>
      <c r="C1055" s="24">
        <f>IF('ORDENES'!$A1033="","",IF('ORDENES'!$AI1033="","-",'ORDENES'!$AI1033))</f>
        <v/>
      </c>
      <c r="D1055" s="24">
        <f>IF('ORDENES'!$A1033="","",IF('ORDENES'!$AA1033="","-",'ORDENES'!$AA1033))</f>
        <v/>
      </c>
      <c r="E1055" s="24">
        <f>IF('ORDENES'!$A1033="","",IF('ORDENES'!$Y1033="","-",'ORDENES'!$Y1033))</f>
        <v/>
      </c>
      <c r="F1055" s="24">
        <f>IF('ORDENES'!$A1033="","",IF('ORDENES'!$AB1033="","-",'ORDENES'!$AB1033))</f>
        <v/>
      </c>
      <c r="G1055" s="24">
        <f>IF('ORDENES'!$A1033="","",IF('ORDENES'!$Z1033="","-",'ORDENES'!$Z1033))</f>
        <v/>
      </c>
      <c r="H1055" s="24">
        <f>IF('ORDENES'!$A1033="","",IF('ORDENES'!$AH1033="","-",'ORDENES'!$AH1033))</f>
        <v/>
      </c>
      <c r="I1055" s="24">
        <f>IF('ORDENES'!$A1033="","",IF('ORDENES'!$AU1033="","-",'ORDENES'!$AU1033))</f>
        <v/>
      </c>
      <c r="J1055" s="24">
        <f>IF('ORDENES'!$A1033="","",IF('ORDENES'!$D1033="","-",'ORDENES'!$D1033))</f>
        <v/>
      </c>
      <c r="K1055" s="24">
        <f>IF('ORDENES'!$A1033="","",IF('ORDENES'!$E1033="","-",'ORDENES'!$E1033))</f>
        <v/>
      </c>
      <c r="L1055" s="26">
        <f>IF('ORDENES'!$A1033="","",IF('ORDENES'!$M1033="",0,'ORDENES'!$M1033))</f>
        <v/>
      </c>
      <c r="M1055" s="24">
        <f>IF('ORDENES'!$A1033="","",IF('ORDENES'!$N1033="","-",'ORDENES'!$N1033))</f>
        <v/>
      </c>
      <c r="N1055" s="24">
        <f>IF('ORDENES'!$A1033="","",'ORDENES'!$AG1033)</f>
        <v/>
      </c>
    </row>
    <row r="1056">
      <c r="A1056" s="24">
        <f>IF('ORDENES'!$A1034="","",IF('ORDENES'!$O1034="","-",'ORDENES'!$O1034))</f>
        <v/>
      </c>
      <c r="B1056" s="24">
        <f>IF('ORDENES'!$A1034="","",IF('ORDENES'!$S1034="","-",'ORDENES'!$S1034))</f>
        <v/>
      </c>
      <c r="C1056" s="24">
        <f>IF('ORDENES'!$A1034="","",IF('ORDENES'!$AI1034="","-",'ORDENES'!$AI1034))</f>
        <v/>
      </c>
      <c r="D1056" s="24">
        <f>IF('ORDENES'!$A1034="","",IF('ORDENES'!$AA1034="","-",'ORDENES'!$AA1034))</f>
        <v/>
      </c>
      <c r="E1056" s="24">
        <f>IF('ORDENES'!$A1034="","",IF('ORDENES'!$Y1034="","-",'ORDENES'!$Y1034))</f>
        <v/>
      </c>
      <c r="F1056" s="24">
        <f>IF('ORDENES'!$A1034="","",IF('ORDENES'!$AB1034="","-",'ORDENES'!$AB1034))</f>
        <v/>
      </c>
      <c r="G1056" s="24">
        <f>IF('ORDENES'!$A1034="","",IF('ORDENES'!$Z1034="","-",'ORDENES'!$Z1034))</f>
        <v/>
      </c>
      <c r="H1056" s="24">
        <f>IF('ORDENES'!$A1034="","",IF('ORDENES'!$AH1034="","-",'ORDENES'!$AH1034))</f>
        <v/>
      </c>
      <c r="I1056" s="24">
        <f>IF('ORDENES'!$A1034="","",IF('ORDENES'!$AU1034="","-",'ORDENES'!$AU1034))</f>
        <v/>
      </c>
      <c r="J1056" s="24">
        <f>IF('ORDENES'!$A1034="","",IF('ORDENES'!$D1034="","-",'ORDENES'!$D1034))</f>
        <v/>
      </c>
      <c r="K1056" s="24">
        <f>IF('ORDENES'!$A1034="","",IF('ORDENES'!$E1034="","-",'ORDENES'!$E1034))</f>
        <v/>
      </c>
      <c r="L1056" s="26">
        <f>IF('ORDENES'!$A1034="","",IF('ORDENES'!$M1034="",0,'ORDENES'!$M1034))</f>
        <v/>
      </c>
      <c r="M1056" s="24">
        <f>IF('ORDENES'!$A1034="","",IF('ORDENES'!$N1034="","-",'ORDENES'!$N1034))</f>
        <v/>
      </c>
      <c r="N1056" s="24">
        <f>IF('ORDENES'!$A1034="","",'ORDENES'!$AG1034)</f>
        <v/>
      </c>
    </row>
    <row r="1057">
      <c r="A1057" s="24">
        <f>IF('ORDENES'!$A1035="","",IF('ORDENES'!$O1035="","-",'ORDENES'!$O1035))</f>
        <v/>
      </c>
      <c r="B1057" s="24">
        <f>IF('ORDENES'!$A1035="","",IF('ORDENES'!$S1035="","-",'ORDENES'!$S1035))</f>
        <v/>
      </c>
      <c r="C1057" s="24">
        <f>IF('ORDENES'!$A1035="","",IF('ORDENES'!$AI1035="","-",'ORDENES'!$AI1035))</f>
        <v/>
      </c>
      <c r="D1057" s="24">
        <f>IF('ORDENES'!$A1035="","",IF('ORDENES'!$AA1035="","-",'ORDENES'!$AA1035))</f>
        <v/>
      </c>
      <c r="E1057" s="24">
        <f>IF('ORDENES'!$A1035="","",IF('ORDENES'!$Y1035="","-",'ORDENES'!$Y1035))</f>
        <v/>
      </c>
      <c r="F1057" s="24">
        <f>IF('ORDENES'!$A1035="","",IF('ORDENES'!$AB1035="","-",'ORDENES'!$AB1035))</f>
        <v/>
      </c>
      <c r="G1057" s="24">
        <f>IF('ORDENES'!$A1035="","",IF('ORDENES'!$Z1035="","-",'ORDENES'!$Z1035))</f>
        <v/>
      </c>
      <c r="H1057" s="24">
        <f>IF('ORDENES'!$A1035="","",IF('ORDENES'!$AH1035="","-",'ORDENES'!$AH1035))</f>
        <v/>
      </c>
      <c r="I1057" s="24">
        <f>IF('ORDENES'!$A1035="","",IF('ORDENES'!$AU1035="","-",'ORDENES'!$AU1035))</f>
        <v/>
      </c>
      <c r="J1057" s="24">
        <f>IF('ORDENES'!$A1035="","",IF('ORDENES'!$D1035="","-",'ORDENES'!$D1035))</f>
        <v/>
      </c>
      <c r="K1057" s="24">
        <f>IF('ORDENES'!$A1035="","",IF('ORDENES'!$E1035="","-",'ORDENES'!$E1035))</f>
        <v/>
      </c>
      <c r="L1057" s="26">
        <f>IF('ORDENES'!$A1035="","",IF('ORDENES'!$M1035="",0,'ORDENES'!$M1035))</f>
        <v/>
      </c>
      <c r="M1057" s="24">
        <f>IF('ORDENES'!$A1035="","",IF('ORDENES'!$N1035="","-",'ORDENES'!$N1035))</f>
        <v/>
      </c>
      <c r="N1057" s="24">
        <f>IF('ORDENES'!$A1035="","",'ORDENES'!$AG1035)</f>
        <v/>
      </c>
    </row>
    <row r="1058">
      <c r="A1058" s="24">
        <f>IF('ORDENES'!$A1036="","",IF('ORDENES'!$O1036="","-",'ORDENES'!$O1036))</f>
        <v/>
      </c>
      <c r="B1058" s="24">
        <f>IF('ORDENES'!$A1036="","",IF('ORDENES'!$S1036="","-",'ORDENES'!$S1036))</f>
        <v/>
      </c>
      <c r="C1058" s="24">
        <f>IF('ORDENES'!$A1036="","",IF('ORDENES'!$AI1036="","-",'ORDENES'!$AI1036))</f>
        <v/>
      </c>
      <c r="D1058" s="24">
        <f>IF('ORDENES'!$A1036="","",IF('ORDENES'!$AA1036="","-",'ORDENES'!$AA1036))</f>
        <v/>
      </c>
      <c r="E1058" s="24">
        <f>IF('ORDENES'!$A1036="","",IF('ORDENES'!$Y1036="","-",'ORDENES'!$Y1036))</f>
        <v/>
      </c>
      <c r="F1058" s="24">
        <f>IF('ORDENES'!$A1036="","",IF('ORDENES'!$AB1036="","-",'ORDENES'!$AB1036))</f>
        <v/>
      </c>
      <c r="G1058" s="24">
        <f>IF('ORDENES'!$A1036="","",IF('ORDENES'!$Z1036="","-",'ORDENES'!$Z1036))</f>
        <v/>
      </c>
      <c r="H1058" s="24">
        <f>IF('ORDENES'!$A1036="","",IF('ORDENES'!$AH1036="","-",'ORDENES'!$AH1036))</f>
        <v/>
      </c>
      <c r="I1058" s="24">
        <f>IF('ORDENES'!$A1036="","",IF('ORDENES'!$AU1036="","-",'ORDENES'!$AU1036))</f>
        <v/>
      </c>
      <c r="J1058" s="24">
        <f>IF('ORDENES'!$A1036="","",IF('ORDENES'!$D1036="","-",'ORDENES'!$D1036))</f>
        <v/>
      </c>
      <c r="K1058" s="24">
        <f>IF('ORDENES'!$A1036="","",IF('ORDENES'!$E1036="","-",'ORDENES'!$E1036))</f>
        <v/>
      </c>
      <c r="L1058" s="26">
        <f>IF('ORDENES'!$A1036="","",IF('ORDENES'!$M1036="",0,'ORDENES'!$M1036))</f>
        <v/>
      </c>
      <c r="M1058" s="24">
        <f>IF('ORDENES'!$A1036="","",IF('ORDENES'!$N1036="","-",'ORDENES'!$N1036))</f>
        <v/>
      </c>
      <c r="N1058" s="24">
        <f>IF('ORDENES'!$A1036="","",'ORDENES'!$AG1036)</f>
        <v/>
      </c>
    </row>
    <row r="1059">
      <c r="A1059" s="24">
        <f>IF('ORDENES'!$A1037="","",IF('ORDENES'!$O1037="","-",'ORDENES'!$O1037))</f>
        <v/>
      </c>
      <c r="B1059" s="24">
        <f>IF('ORDENES'!$A1037="","",IF('ORDENES'!$S1037="","-",'ORDENES'!$S1037))</f>
        <v/>
      </c>
      <c r="C1059" s="24">
        <f>IF('ORDENES'!$A1037="","",IF('ORDENES'!$AI1037="","-",'ORDENES'!$AI1037))</f>
        <v/>
      </c>
      <c r="D1059" s="24">
        <f>IF('ORDENES'!$A1037="","",IF('ORDENES'!$AA1037="","-",'ORDENES'!$AA1037))</f>
        <v/>
      </c>
      <c r="E1059" s="24">
        <f>IF('ORDENES'!$A1037="","",IF('ORDENES'!$Y1037="","-",'ORDENES'!$Y1037))</f>
        <v/>
      </c>
      <c r="F1059" s="24">
        <f>IF('ORDENES'!$A1037="","",IF('ORDENES'!$AB1037="","-",'ORDENES'!$AB1037))</f>
        <v/>
      </c>
      <c r="G1059" s="24">
        <f>IF('ORDENES'!$A1037="","",IF('ORDENES'!$Z1037="","-",'ORDENES'!$Z1037))</f>
        <v/>
      </c>
      <c r="H1059" s="24">
        <f>IF('ORDENES'!$A1037="","",IF('ORDENES'!$AH1037="","-",'ORDENES'!$AH1037))</f>
        <v/>
      </c>
      <c r="I1059" s="24">
        <f>IF('ORDENES'!$A1037="","",IF('ORDENES'!$AU1037="","-",'ORDENES'!$AU1037))</f>
        <v/>
      </c>
      <c r="J1059" s="24">
        <f>IF('ORDENES'!$A1037="","",IF('ORDENES'!$D1037="","-",'ORDENES'!$D1037))</f>
        <v/>
      </c>
      <c r="K1059" s="24">
        <f>IF('ORDENES'!$A1037="","",IF('ORDENES'!$E1037="","-",'ORDENES'!$E1037))</f>
        <v/>
      </c>
      <c r="L1059" s="26">
        <f>IF('ORDENES'!$A1037="","",IF('ORDENES'!$M1037="",0,'ORDENES'!$M1037))</f>
        <v/>
      </c>
      <c r="M1059" s="24">
        <f>IF('ORDENES'!$A1037="","",IF('ORDENES'!$N1037="","-",'ORDENES'!$N1037))</f>
        <v/>
      </c>
      <c r="N1059" s="24">
        <f>IF('ORDENES'!$A1037="","",'ORDENES'!$AG1037)</f>
        <v/>
      </c>
    </row>
    <row r="1060">
      <c r="A1060" s="24">
        <f>IF('ORDENES'!$A1038="","",IF('ORDENES'!$O1038="","-",'ORDENES'!$O1038))</f>
        <v/>
      </c>
      <c r="B1060" s="24">
        <f>IF('ORDENES'!$A1038="","",IF('ORDENES'!$S1038="","-",'ORDENES'!$S1038))</f>
        <v/>
      </c>
      <c r="C1060" s="24">
        <f>IF('ORDENES'!$A1038="","",IF('ORDENES'!$AI1038="","-",'ORDENES'!$AI1038))</f>
        <v/>
      </c>
      <c r="D1060" s="24">
        <f>IF('ORDENES'!$A1038="","",IF('ORDENES'!$AA1038="","-",'ORDENES'!$AA1038))</f>
        <v/>
      </c>
      <c r="E1060" s="24">
        <f>IF('ORDENES'!$A1038="","",IF('ORDENES'!$Y1038="","-",'ORDENES'!$Y1038))</f>
        <v/>
      </c>
      <c r="F1060" s="24">
        <f>IF('ORDENES'!$A1038="","",IF('ORDENES'!$AB1038="","-",'ORDENES'!$AB1038))</f>
        <v/>
      </c>
      <c r="G1060" s="24">
        <f>IF('ORDENES'!$A1038="","",IF('ORDENES'!$Z1038="","-",'ORDENES'!$Z1038))</f>
        <v/>
      </c>
      <c r="H1060" s="24">
        <f>IF('ORDENES'!$A1038="","",IF('ORDENES'!$AH1038="","-",'ORDENES'!$AH1038))</f>
        <v/>
      </c>
      <c r="I1060" s="24">
        <f>IF('ORDENES'!$A1038="","",IF('ORDENES'!$AU1038="","-",'ORDENES'!$AU1038))</f>
        <v/>
      </c>
      <c r="J1060" s="24">
        <f>IF('ORDENES'!$A1038="","",IF('ORDENES'!$D1038="","-",'ORDENES'!$D1038))</f>
        <v/>
      </c>
      <c r="K1060" s="24">
        <f>IF('ORDENES'!$A1038="","",IF('ORDENES'!$E1038="","-",'ORDENES'!$E1038))</f>
        <v/>
      </c>
      <c r="L1060" s="26">
        <f>IF('ORDENES'!$A1038="","",IF('ORDENES'!$M1038="",0,'ORDENES'!$M1038))</f>
        <v/>
      </c>
      <c r="M1060" s="24">
        <f>IF('ORDENES'!$A1038="","",IF('ORDENES'!$N1038="","-",'ORDENES'!$N1038))</f>
        <v/>
      </c>
      <c r="N1060" s="24">
        <f>IF('ORDENES'!$A1038="","",'ORDENES'!$AG1038)</f>
        <v/>
      </c>
    </row>
    <row r="1061">
      <c r="A1061" s="24">
        <f>IF('ORDENES'!$A1039="","",IF('ORDENES'!$O1039="","-",'ORDENES'!$O1039))</f>
        <v/>
      </c>
      <c r="B1061" s="24">
        <f>IF('ORDENES'!$A1039="","",IF('ORDENES'!$S1039="","-",'ORDENES'!$S1039))</f>
        <v/>
      </c>
      <c r="C1061" s="24">
        <f>IF('ORDENES'!$A1039="","",IF('ORDENES'!$AI1039="","-",'ORDENES'!$AI1039))</f>
        <v/>
      </c>
      <c r="D1061" s="24">
        <f>IF('ORDENES'!$A1039="","",IF('ORDENES'!$AA1039="","-",'ORDENES'!$AA1039))</f>
        <v/>
      </c>
      <c r="E1061" s="24">
        <f>IF('ORDENES'!$A1039="","",IF('ORDENES'!$Y1039="","-",'ORDENES'!$Y1039))</f>
        <v/>
      </c>
      <c r="F1061" s="24">
        <f>IF('ORDENES'!$A1039="","",IF('ORDENES'!$AB1039="","-",'ORDENES'!$AB1039))</f>
        <v/>
      </c>
      <c r="G1061" s="24">
        <f>IF('ORDENES'!$A1039="","",IF('ORDENES'!$Z1039="","-",'ORDENES'!$Z1039))</f>
        <v/>
      </c>
      <c r="H1061" s="24">
        <f>IF('ORDENES'!$A1039="","",IF('ORDENES'!$AH1039="","-",'ORDENES'!$AH1039))</f>
        <v/>
      </c>
      <c r="I1061" s="24">
        <f>IF('ORDENES'!$A1039="","",IF('ORDENES'!$AU1039="","-",'ORDENES'!$AU1039))</f>
        <v/>
      </c>
      <c r="J1061" s="24">
        <f>IF('ORDENES'!$A1039="","",IF('ORDENES'!$D1039="","-",'ORDENES'!$D1039))</f>
        <v/>
      </c>
      <c r="K1061" s="24">
        <f>IF('ORDENES'!$A1039="","",IF('ORDENES'!$E1039="","-",'ORDENES'!$E1039))</f>
        <v/>
      </c>
      <c r="L1061" s="26">
        <f>IF('ORDENES'!$A1039="","",IF('ORDENES'!$M1039="",0,'ORDENES'!$M1039))</f>
        <v/>
      </c>
      <c r="M1061" s="24">
        <f>IF('ORDENES'!$A1039="","",IF('ORDENES'!$N1039="","-",'ORDENES'!$N1039))</f>
        <v/>
      </c>
      <c r="N1061" s="24">
        <f>IF('ORDENES'!$A1039="","",'ORDENES'!$AG1039)</f>
        <v/>
      </c>
    </row>
    <row r="1062">
      <c r="A1062" s="24">
        <f>IF('ORDENES'!$A1040="","",IF('ORDENES'!$O1040="","-",'ORDENES'!$O1040))</f>
        <v/>
      </c>
      <c r="B1062" s="24">
        <f>IF('ORDENES'!$A1040="","",IF('ORDENES'!$S1040="","-",'ORDENES'!$S1040))</f>
        <v/>
      </c>
      <c r="C1062" s="24">
        <f>IF('ORDENES'!$A1040="","",IF('ORDENES'!$AI1040="","-",'ORDENES'!$AI1040))</f>
        <v/>
      </c>
      <c r="D1062" s="24">
        <f>IF('ORDENES'!$A1040="","",IF('ORDENES'!$AA1040="","-",'ORDENES'!$AA1040))</f>
        <v/>
      </c>
      <c r="E1062" s="24">
        <f>IF('ORDENES'!$A1040="","",IF('ORDENES'!$Y1040="","-",'ORDENES'!$Y1040))</f>
        <v/>
      </c>
      <c r="F1062" s="24">
        <f>IF('ORDENES'!$A1040="","",IF('ORDENES'!$AB1040="","-",'ORDENES'!$AB1040))</f>
        <v/>
      </c>
      <c r="G1062" s="24">
        <f>IF('ORDENES'!$A1040="","",IF('ORDENES'!$Z1040="","-",'ORDENES'!$Z1040))</f>
        <v/>
      </c>
      <c r="H1062" s="24">
        <f>IF('ORDENES'!$A1040="","",IF('ORDENES'!$AH1040="","-",'ORDENES'!$AH1040))</f>
        <v/>
      </c>
      <c r="I1062" s="24">
        <f>IF('ORDENES'!$A1040="","",IF('ORDENES'!$AU1040="","-",'ORDENES'!$AU1040))</f>
        <v/>
      </c>
      <c r="J1062" s="24">
        <f>IF('ORDENES'!$A1040="","",IF('ORDENES'!$D1040="","-",'ORDENES'!$D1040))</f>
        <v/>
      </c>
      <c r="K1062" s="24">
        <f>IF('ORDENES'!$A1040="","",IF('ORDENES'!$E1040="","-",'ORDENES'!$E1040))</f>
        <v/>
      </c>
      <c r="L1062" s="26">
        <f>IF('ORDENES'!$A1040="","",IF('ORDENES'!$M1040="",0,'ORDENES'!$M1040))</f>
        <v/>
      </c>
      <c r="M1062" s="24">
        <f>IF('ORDENES'!$A1040="","",IF('ORDENES'!$N1040="","-",'ORDENES'!$N1040))</f>
        <v/>
      </c>
      <c r="N1062" s="24">
        <f>IF('ORDENES'!$A1040="","",'ORDENES'!$AG1040)</f>
        <v/>
      </c>
    </row>
    <row r="1063">
      <c r="A1063" s="24">
        <f>IF('ORDENES'!$A1041="","",IF('ORDENES'!$O1041="","-",'ORDENES'!$O1041))</f>
        <v/>
      </c>
      <c r="B1063" s="24">
        <f>IF('ORDENES'!$A1041="","",IF('ORDENES'!$S1041="","-",'ORDENES'!$S1041))</f>
        <v/>
      </c>
      <c r="C1063" s="24">
        <f>IF('ORDENES'!$A1041="","",IF('ORDENES'!$AI1041="","-",'ORDENES'!$AI1041))</f>
        <v/>
      </c>
      <c r="D1063" s="24">
        <f>IF('ORDENES'!$A1041="","",IF('ORDENES'!$AA1041="","-",'ORDENES'!$AA1041))</f>
        <v/>
      </c>
      <c r="E1063" s="24">
        <f>IF('ORDENES'!$A1041="","",IF('ORDENES'!$Y1041="","-",'ORDENES'!$Y1041))</f>
        <v/>
      </c>
      <c r="F1063" s="24">
        <f>IF('ORDENES'!$A1041="","",IF('ORDENES'!$AB1041="","-",'ORDENES'!$AB1041))</f>
        <v/>
      </c>
      <c r="G1063" s="24">
        <f>IF('ORDENES'!$A1041="","",IF('ORDENES'!$Z1041="","-",'ORDENES'!$Z1041))</f>
        <v/>
      </c>
      <c r="H1063" s="24">
        <f>IF('ORDENES'!$A1041="","",IF('ORDENES'!$AH1041="","-",'ORDENES'!$AH1041))</f>
        <v/>
      </c>
      <c r="I1063" s="24">
        <f>IF('ORDENES'!$A1041="","",IF('ORDENES'!$AU1041="","-",'ORDENES'!$AU1041))</f>
        <v/>
      </c>
      <c r="J1063" s="24">
        <f>IF('ORDENES'!$A1041="","",IF('ORDENES'!$D1041="","-",'ORDENES'!$D1041))</f>
        <v/>
      </c>
      <c r="K1063" s="24">
        <f>IF('ORDENES'!$A1041="","",IF('ORDENES'!$E1041="","-",'ORDENES'!$E1041))</f>
        <v/>
      </c>
      <c r="L1063" s="26">
        <f>IF('ORDENES'!$A1041="","",IF('ORDENES'!$M1041="",0,'ORDENES'!$M1041))</f>
        <v/>
      </c>
      <c r="M1063" s="24">
        <f>IF('ORDENES'!$A1041="","",IF('ORDENES'!$N1041="","-",'ORDENES'!$N1041))</f>
        <v/>
      </c>
      <c r="N1063" s="24">
        <f>IF('ORDENES'!$A1041="","",'ORDENES'!$AG1041)</f>
        <v/>
      </c>
    </row>
    <row r="1064">
      <c r="A1064" s="24">
        <f>IF('ORDENES'!$A1042="","",IF('ORDENES'!$O1042="","-",'ORDENES'!$O1042))</f>
        <v/>
      </c>
      <c r="B1064" s="24">
        <f>IF('ORDENES'!$A1042="","",IF('ORDENES'!$S1042="","-",'ORDENES'!$S1042))</f>
        <v/>
      </c>
      <c r="C1064" s="24">
        <f>IF('ORDENES'!$A1042="","",IF('ORDENES'!$AI1042="","-",'ORDENES'!$AI1042))</f>
        <v/>
      </c>
      <c r="D1064" s="24">
        <f>IF('ORDENES'!$A1042="","",IF('ORDENES'!$AA1042="","-",'ORDENES'!$AA1042))</f>
        <v/>
      </c>
      <c r="E1064" s="24">
        <f>IF('ORDENES'!$A1042="","",IF('ORDENES'!$Y1042="","-",'ORDENES'!$Y1042))</f>
        <v/>
      </c>
      <c r="F1064" s="24">
        <f>IF('ORDENES'!$A1042="","",IF('ORDENES'!$AB1042="","-",'ORDENES'!$AB1042))</f>
        <v/>
      </c>
      <c r="G1064" s="24">
        <f>IF('ORDENES'!$A1042="","",IF('ORDENES'!$Z1042="","-",'ORDENES'!$Z1042))</f>
        <v/>
      </c>
      <c r="H1064" s="24">
        <f>IF('ORDENES'!$A1042="","",IF('ORDENES'!$AH1042="","-",'ORDENES'!$AH1042))</f>
        <v/>
      </c>
      <c r="I1064" s="24">
        <f>IF('ORDENES'!$A1042="","",IF('ORDENES'!$AU1042="","-",'ORDENES'!$AU1042))</f>
        <v/>
      </c>
      <c r="J1064" s="24">
        <f>IF('ORDENES'!$A1042="","",IF('ORDENES'!$D1042="","-",'ORDENES'!$D1042))</f>
        <v/>
      </c>
      <c r="K1064" s="24">
        <f>IF('ORDENES'!$A1042="","",IF('ORDENES'!$E1042="","-",'ORDENES'!$E1042))</f>
        <v/>
      </c>
      <c r="L1064" s="26">
        <f>IF('ORDENES'!$A1042="","",IF('ORDENES'!$M1042="",0,'ORDENES'!$M1042))</f>
        <v/>
      </c>
      <c r="M1064" s="24">
        <f>IF('ORDENES'!$A1042="","",IF('ORDENES'!$N1042="","-",'ORDENES'!$N1042))</f>
        <v/>
      </c>
      <c r="N1064" s="24">
        <f>IF('ORDENES'!$A1042="","",'ORDENES'!$AG1042)</f>
        <v/>
      </c>
    </row>
    <row r="1065">
      <c r="A1065" s="24">
        <f>IF('ORDENES'!$A1043="","",IF('ORDENES'!$O1043="","-",'ORDENES'!$O1043))</f>
        <v/>
      </c>
      <c r="B1065" s="24">
        <f>IF('ORDENES'!$A1043="","",IF('ORDENES'!$S1043="","-",'ORDENES'!$S1043))</f>
        <v/>
      </c>
      <c r="C1065" s="24">
        <f>IF('ORDENES'!$A1043="","",IF('ORDENES'!$AI1043="","-",'ORDENES'!$AI1043))</f>
        <v/>
      </c>
      <c r="D1065" s="24">
        <f>IF('ORDENES'!$A1043="","",IF('ORDENES'!$AA1043="","-",'ORDENES'!$AA1043))</f>
        <v/>
      </c>
      <c r="E1065" s="24">
        <f>IF('ORDENES'!$A1043="","",IF('ORDENES'!$Y1043="","-",'ORDENES'!$Y1043))</f>
        <v/>
      </c>
      <c r="F1065" s="24">
        <f>IF('ORDENES'!$A1043="","",IF('ORDENES'!$AB1043="","-",'ORDENES'!$AB1043))</f>
        <v/>
      </c>
      <c r="G1065" s="24">
        <f>IF('ORDENES'!$A1043="","",IF('ORDENES'!$Z1043="","-",'ORDENES'!$Z1043))</f>
        <v/>
      </c>
      <c r="H1065" s="24">
        <f>IF('ORDENES'!$A1043="","",IF('ORDENES'!$AH1043="","-",'ORDENES'!$AH1043))</f>
        <v/>
      </c>
      <c r="I1065" s="24">
        <f>IF('ORDENES'!$A1043="","",IF('ORDENES'!$AU1043="","-",'ORDENES'!$AU1043))</f>
        <v/>
      </c>
      <c r="J1065" s="24">
        <f>IF('ORDENES'!$A1043="","",IF('ORDENES'!$D1043="","-",'ORDENES'!$D1043))</f>
        <v/>
      </c>
      <c r="K1065" s="24">
        <f>IF('ORDENES'!$A1043="","",IF('ORDENES'!$E1043="","-",'ORDENES'!$E1043))</f>
        <v/>
      </c>
      <c r="L1065" s="26">
        <f>IF('ORDENES'!$A1043="","",IF('ORDENES'!$M1043="",0,'ORDENES'!$M1043))</f>
        <v/>
      </c>
      <c r="M1065" s="24">
        <f>IF('ORDENES'!$A1043="","",IF('ORDENES'!$N1043="","-",'ORDENES'!$N1043))</f>
        <v/>
      </c>
      <c r="N1065" s="24">
        <f>IF('ORDENES'!$A1043="","",'ORDENES'!$AG1043)</f>
        <v/>
      </c>
    </row>
    <row r="1066">
      <c r="A1066" s="24">
        <f>IF('ORDENES'!$A1044="","",IF('ORDENES'!$O1044="","-",'ORDENES'!$O1044))</f>
        <v/>
      </c>
      <c r="B1066" s="24">
        <f>IF('ORDENES'!$A1044="","",IF('ORDENES'!$S1044="","-",'ORDENES'!$S1044))</f>
        <v/>
      </c>
      <c r="C1066" s="24">
        <f>IF('ORDENES'!$A1044="","",IF('ORDENES'!$AI1044="","-",'ORDENES'!$AI1044))</f>
        <v/>
      </c>
      <c r="D1066" s="24">
        <f>IF('ORDENES'!$A1044="","",IF('ORDENES'!$AA1044="","-",'ORDENES'!$AA1044))</f>
        <v/>
      </c>
      <c r="E1066" s="24">
        <f>IF('ORDENES'!$A1044="","",IF('ORDENES'!$Y1044="","-",'ORDENES'!$Y1044))</f>
        <v/>
      </c>
      <c r="F1066" s="24">
        <f>IF('ORDENES'!$A1044="","",IF('ORDENES'!$AB1044="","-",'ORDENES'!$AB1044))</f>
        <v/>
      </c>
      <c r="G1066" s="24">
        <f>IF('ORDENES'!$A1044="","",IF('ORDENES'!$Z1044="","-",'ORDENES'!$Z1044))</f>
        <v/>
      </c>
      <c r="H1066" s="24">
        <f>IF('ORDENES'!$A1044="","",IF('ORDENES'!$AH1044="","-",'ORDENES'!$AH1044))</f>
        <v/>
      </c>
      <c r="I1066" s="24">
        <f>IF('ORDENES'!$A1044="","",IF('ORDENES'!$AU1044="","-",'ORDENES'!$AU1044))</f>
        <v/>
      </c>
      <c r="J1066" s="24">
        <f>IF('ORDENES'!$A1044="","",IF('ORDENES'!$D1044="","-",'ORDENES'!$D1044))</f>
        <v/>
      </c>
      <c r="K1066" s="24">
        <f>IF('ORDENES'!$A1044="","",IF('ORDENES'!$E1044="","-",'ORDENES'!$E1044))</f>
        <v/>
      </c>
      <c r="L1066" s="26">
        <f>IF('ORDENES'!$A1044="","",IF('ORDENES'!$M1044="",0,'ORDENES'!$M1044))</f>
        <v/>
      </c>
      <c r="M1066" s="24">
        <f>IF('ORDENES'!$A1044="","",IF('ORDENES'!$N1044="","-",'ORDENES'!$N1044))</f>
        <v/>
      </c>
      <c r="N1066" s="24">
        <f>IF('ORDENES'!$A1044="","",'ORDENES'!$AG1044)</f>
        <v/>
      </c>
    </row>
    <row r="1067">
      <c r="A1067" s="24">
        <f>IF('ORDENES'!$A1045="","",IF('ORDENES'!$O1045="","-",'ORDENES'!$O1045))</f>
        <v/>
      </c>
      <c r="B1067" s="24">
        <f>IF('ORDENES'!$A1045="","",IF('ORDENES'!$S1045="","-",'ORDENES'!$S1045))</f>
        <v/>
      </c>
      <c r="C1067" s="24">
        <f>IF('ORDENES'!$A1045="","",IF('ORDENES'!$AI1045="","-",'ORDENES'!$AI1045))</f>
        <v/>
      </c>
      <c r="D1067" s="24">
        <f>IF('ORDENES'!$A1045="","",IF('ORDENES'!$AA1045="","-",'ORDENES'!$AA1045))</f>
        <v/>
      </c>
      <c r="E1067" s="24">
        <f>IF('ORDENES'!$A1045="","",IF('ORDENES'!$Y1045="","-",'ORDENES'!$Y1045))</f>
        <v/>
      </c>
      <c r="F1067" s="24">
        <f>IF('ORDENES'!$A1045="","",IF('ORDENES'!$AB1045="","-",'ORDENES'!$AB1045))</f>
        <v/>
      </c>
      <c r="G1067" s="24">
        <f>IF('ORDENES'!$A1045="","",IF('ORDENES'!$Z1045="","-",'ORDENES'!$Z1045))</f>
        <v/>
      </c>
      <c r="H1067" s="24">
        <f>IF('ORDENES'!$A1045="","",IF('ORDENES'!$AH1045="","-",'ORDENES'!$AH1045))</f>
        <v/>
      </c>
      <c r="I1067" s="24">
        <f>IF('ORDENES'!$A1045="","",IF('ORDENES'!$AU1045="","-",'ORDENES'!$AU1045))</f>
        <v/>
      </c>
      <c r="J1067" s="24">
        <f>IF('ORDENES'!$A1045="","",IF('ORDENES'!$D1045="","-",'ORDENES'!$D1045))</f>
        <v/>
      </c>
      <c r="K1067" s="24">
        <f>IF('ORDENES'!$A1045="","",IF('ORDENES'!$E1045="","-",'ORDENES'!$E1045))</f>
        <v/>
      </c>
      <c r="L1067" s="26">
        <f>IF('ORDENES'!$A1045="","",IF('ORDENES'!$M1045="",0,'ORDENES'!$M1045))</f>
        <v/>
      </c>
      <c r="M1067" s="24">
        <f>IF('ORDENES'!$A1045="","",IF('ORDENES'!$N1045="","-",'ORDENES'!$N1045))</f>
        <v/>
      </c>
      <c r="N1067" s="24">
        <f>IF('ORDENES'!$A1045="","",'ORDENES'!$AG1045)</f>
        <v/>
      </c>
    </row>
    <row r="1068">
      <c r="A1068" s="24">
        <f>IF('ORDENES'!$A1046="","",IF('ORDENES'!$O1046="","-",'ORDENES'!$O1046))</f>
        <v/>
      </c>
      <c r="B1068" s="24">
        <f>IF('ORDENES'!$A1046="","",IF('ORDENES'!$S1046="","-",'ORDENES'!$S1046))</f>
        <v/>
      </c>
      <c r="C1068" s="24">
        <f>IF('ORDENES'!$A1046="","",IF('ORDENES'!$AI1046="","-",'ORDENES'!$AI1046))</f>
        <v/>
      </c>
      <c r="D1068" s="24">
        <f>IF('ORDENES'!$A1046="","",IF('ORDENES'!$AA1046="","-",'ORDENES'!$AA1046))</f>
        <v/>
      </c>
      <c r="E1068" s="24">
        <f>IF('ORDENES'!$A1046="","",IF('ORDENES'!$Y1046="","-",'ORDENES'!$Y1046))</f>
        <v/>
      </c>
      <c r="F1068" s="24">
        <f>IF('ORDENES'!$A1046="","",IF('ORDENES'!$AB1046="","-",'ORDENES'!$AB1046))</f>
        <v/>
      </c>
      <c r="G1068" s="24">
        <f>IF('ORDENES'!$A1046="","",IF('ORDENES'!$Z1046="","-",'ORDENES'!$Z1046))</f>
        <v/>
      </c>
      <c r="H1068" s="24">
        <f>IF('ORDENES'!$A1046="","",IF('ORDENES'!$AH1046="","-",'ORDENES'!$AH1046))</f>
        <v/>
      </c>
      <c r="I1068" s="24">
        <f>IF('ORDENES'!$A1046="","",IF('ORDENES'!$AU1046="","-",'ORDENES'!$AU1046))</f>
        <v/>
      </c>
      <c r="J1068" s="24">
        <f>IF('ORDENES'!$A1046="","",IF('ORDENES'!$D1046="","-",'ORDENES'!$D1046))</f>
        <v/>
      </c>
      <c r="K1068" s="24">
        <f>IF('ORDENES'!$A1046="","",IF('ORDENES'!$E1046="","-",'ORDENES'!$E1046))</f>
        <v/>
      </c>
      <c r="L1068" s="26">
        <f>IF('ORDENES'!$A1046="","",IF('ORDENES'!$M1046="",0,'ORDENES'!$M1046))</f>
        <v/>
      </c>
      <c r="M1068" s="24">
        <f>IF('ORDENES'!$A1046="","",IF('ORDENES'!$N1046="","-",'ORDENES'!$N1046))</f>
        <v/>
      </c>
      <c r="N1068" s="24">
        <f>IF('ORDENES'!$A1046="","",'ORDENES'!$AG1046)</f>
        <v/>
      </c>
    </row>
    <row r="1069">
      <c r="A1069" s="24">
        <f>IF('ORDENES'!$A1047="","",IF('ORDENES'!$O1047="","-",'ORDENES'!$O1047))</f>
        <v/>
      </c>
      <c r="B1069" s="24">
        <f>IF('ORDENES'!$A1047="","",IF('ORDENES'!$S1047="","-",'ORDENES'!$S1047))</f>
        <v/>
      </c>
      <c r="C1069" s="24">
        <f>IF('ORDENES'!$A1047="","",IF('ORDENES'!$AI1047="","-",'ORDENES'!$AI1047))</f>
        <v/>
      </c>
      <c r="D1069" s="24">
        <f>IF('ORDENES'!$A1047="","",IF('ORDENES'!$AA1047="","-",'ORDENES'!$AA1047))</f>
        <v/>
      </c>
      <c r="E1069" s="24">
        <f>IF('ORDENES'!$A1047="","",IF('ORDENES'!$Y1047="","-",'ORDENES'!$Y1047))</f>
        <v/>
      </c>
      <c r="F1069" s="24">
        <f>IF('ORDENES'!$A1047="","",IF('ORDENES'!$AB1047="","-",'ORDENES'!$AB1047))</f>
        <v/>
      </c>
      <c r="G1069" s="24">
        <f>IF('ORDENES'!$A1047="","",IF('ORDENES'!$Z1047="","-",'ORDENES'!$Z1047))</f>
        <v/>
      </c>
      <c r="H1069" s="24">
        <f>IF('ORDENES'!$A1047="","",IF('ORDENES'!$AH1047="","-",'ORDENES'!$AH1047))</f>
        <v/>
      </c>
      <c r="I1069" s="24">
        <f>IF('ORDENES'!$A1047="","",IF('ORDENES'!$AU1047="","-",'ORDENES'!$AU1047))</f>
        <v/>
      </c>
      <c r="J1069" s="24">
        <f>IF('ORDENES'!$A1047="","",IF('ORDENES'!$D1047="","-",'ORDENES'!$D1047))</f>
        <v/>
      </c>
      <c r="K1069" s="24">
        <f>IF('ORDENES'!$A1047="","",IF('ORDENES'!$E1047="","-",'ORDENES'!$E1047))</f>
        <v/>
      </c>
      <c r="L1069" s="26">
        <f>IF('ORDENES'!$A1047="","",IF('ORDENES'!$M1047="",0,'ORDENES'!$M1047))</f>
        <v/>
      </c>
      <c r="M1069" s="24">
        <f>IF('ORDENES'!$A1047="","",IF('ORDENES'!$N1047="","-",'ORDENES'!$N1047))</f>
        <v/>
      </c>
      <c r="N1069" s="24">
        <f>IF('ORDENES'!$A1047="","",'ORDENES'!$AG1047)</f>
        <v/>
      </c>
    </row>
    <row r="1070">
      <c r="A1070" s="24">
        <f>IF('ORDENES'!$A1048="","",IF('ORDENES'!$O1048="","-",'ORDENES'!$O1048))</f>
        <v/>
      </c>
      <c r="B1070" s="24">
        <f>IF('ORDENES'!$A1048="","",IF('ORDENES'!$S1048="","-",'ORDENES'!$S1048))</f>
        <v/>
      </c>
      <c r="C1070" s="24">
        <f>IF('ORDENES'!$A1048="","",IF('ORDENES'!$AI1048="","-",'ORDENES'!$AI1048))</f>
        <v/>
      </c>
      <c r="D1070" s="24">
        <f>IF('ORDENES'!$A1048="","",IF('ORDENES'!$AA1048="","-",'ORDENES'!$AA1048))</f>
        <v/>
      </c>
      <c r="E1070" s="24">
        <f>IF('ORDENES'!$A1048="","",IF('ORDENES'!$Y1048="","-",'ORDENES'!$Y1048))</f>
        <v/>
      </c>
      <c r="F1070" s="24">
        <f>IF('ORDENES'!$A1048="","",IF('ORDENES'!$AB1048="","-",'ORDENES'!$AB1048))</f>
        <v/>
      </c>
      <c r="G1070" s="24">
        <f>IF('ORDENES'!$A1048="","",IF('ORDENES'!$Z1048="","-",'ORDENES'!$Z1048))</f>
        <v/>
      </c>
      <c r="H1070" s="24">
        <f>IF('ORDENES'!$A1048="","",IF('ORDENES'!$AH1048="","-",'ORDENES'!$AH1048))</f>
        <v/>
      </c>
      <c r="I1070" s="24">
        <f>IF('ORDENES'!$A1048="","",IF('ORDENES'!$AU1048="","-",'ORDENES'!$AU1048))</f>
        <v/>
      </c>
      <c r="J1070" s="24">
        <f>IF('ORDENES'!$A1048="","",IF('ORDENES'!$D1048="","-",'ORDENES'!$D1048))</f>
        <v/>
      </c>
      <c r="K1070" s="24">
        <f>IF('ORDENES'!$A1048="","",IF('ORDENES'!$E1048="","-",'ORDENES'!$E1048))</f>
        <v/>
      </c>
      <c r="L1070" s="26">
        <f>IF('ORDENES'!$A1048="","",IF('ORDENES'!$M1048="",0,'ORDENES'!$M1048))</f>
        <v/>
      </c>
      <c r="M1070" s="24">
        <f>IF('ORDENES'!$A1048="","",IF('ORDENES'!$N1048="","-",'ORDENES'!$N1048))</f>
        <v/>
      </c>
      <c r="N1070" s="24">
        <f>IF('ORDENES'!$A1048="","",'ORDENES'!$AG1048)</f>
        <v/>
      </c>
    </row>
    <row r="1071">
      <c r="A1071" s="24">
        <f>IF('ORDENES'!$A1049="","",IF('ORDENES'!$O1049="","-",'ORDENES'!$O1049))</f>
        <v/>
      </c>
      <c r="B1071" s="24">
        <f>IF('ORDENES'!$A1049="","",IF('ORDENES'!$S1049="","-",'ORDENES'!$S1049))</f>
        <v/>
      </c>
      <c r="C1071" s="24">
        <f>IF('ORDENES'!$A1049="","",IF('ORDENES'!$AI1049="","-",'ORDENES'!$AI1049))</f>
        <v/>
      </c>
      <c r="D1071" s="24">
        <f>IF('ORDENES'!$A1049="","",IF('ORDENES'!$AA1049="","-",'ORDENES'!$AA1049))</f>
        <v/>
      </c>
      <c r="E1071" s="24">
        <f>IF('ORDENES'!$A1049="","",IF('ORDENES'!$Y1049="","-",'ORDENES'!$Y1049))</f>
        <v/>
      </c>
      <c r="F1071" s="24">
        <f>IF('ORDENES'!$A1049="","",IF('ORDENES'!$AB1049="","-",'ORDENES'!$AB1049))</f>
        <v/>
      </c>
      <c r="G1071" s="24">
        <f>IF('ORDENES'!$A1049="","",IF('ORDENES'!$Z1049="","-",'ORDENES'!$Z1049))</f>
        <v/>
      </c>
      <c r="H1071" s="24">
        <f>IF('ORDENES'!$A1049="","",IF('ORDENES'!$AH1049="","-",'ORDENES'!$AH1049))</f>
        <v/>
      </c>
      <c r="I1071" s="24">
        <f>IF('ORDENES'!$A1049="","",IF('ORDENES'!$AU1049="","-",'ORDENES'!$AU1049))</f>
        <v/>
      </c>
      <c r="J1071" s="24">
        <f>IF('ORDENES'!$A1049="","",IF('ORDENES'!$D1049="","-",'ORDENES'!$D1049))</f>
        <v/>
      </c>
      <c r="K1071" s="24">
        <f>IF('ORDENES'!$A1049="","",IF('ORDENES'!$E1049="","-",'ORDENES'!$E1049))</f>
        <v/>
      </c>
      <c r="L1071" s="26">
        <f>IF('ORDENES'!$A1049="","",IF('ORDENES'!$M1049="",0,'ORDENES'!$M1049))</f>
        <v/>
      </c>
      <c r="M1071" s="24">
        <f>IF('ORDENES'!$A1049="","",IF('ORDENES'!$N1049="","-",'ORDENES'!$N1049))</f>
        <v/>
      </c>
      <c r="N1071" s="24">
        <f>IF('ORDENES'!$A1049="","",'ORDENES'!$AG1049)</f>
        <v/>
      </c>
    </row>
    <row r="1072">
      <c r="A1072" s="24">
        <f>IF('ORDENES'!$A1050="","",IF('ORDENES'!$O1050="","-",'ORDENES'!$O1050))</f>
        <v/>
      </c>
      <c r="B1072" s="24">
        <f>IF('ORDENES'!$A1050="","",IF('ORDENES'!$S1050="","-",'ORDENES'!$S1050))</f>
        <v/>
      </c>
      <c r="C1072" s="24">
        <f>IF('ORDENES'!$A1050="","",IF('ORDENES'!$AI1050="","-",'ORDENES'!$AI1050))</f>
        <v/>
      </c>
      <c r="D1072" s="24">
        <f>IF('ORDENES'!$A1050="","",IF('ORDENES'!$AA1050="","-",'ORDENES'!$AA1050))</f>
        <v/>
      </c>
      <c r="E1072" s="24">
        <f>IF('ORDENES'!$A1050="","",IF('ORDENES'!$Y1050="","-",'ORDENES'!$Y1050))</f>
        <v/>
      </c>
      <c r="F1072" s="24">
        <f>IF('ORDENES'!$A1050="","",IF('ORDENES'!$AB1050="","-",'ORDENES'!$AB1050))</f>
        <v/>
      </c>
      <c r="G1072" s="24">
        <f>IF('ORDENES'!$A1050="","",IF('ORDENES'!$Z1050="","-",'ORDENES'!$Z1050))</f>
        <v/>
      </c>
      <c r="H1072" s="24">
        <f>IF('ORDENES'!$A1050="","",IF('ORDENES'!$AH1050="","-",'ORDENES'!$AH1050))</f>
        <v/>
      </c>
      <c r="I1072" s="24">
        <f>IF('ORDENES'!$A1050="","",IF('ORDENES'!$AU1050="","-",'ORDENES'!$AU1050))</f>
        <v/>
      </c>
      <c r="J1072" s="24">
        <f>IF('ORDENES'!$A1050="","",IF('ORDENES'!$D1050="","-",'ORDENES'!$D1050))</f>
        <v/>
      </c>
      <c r="K1072" s="24">
        <f>IF('ORDENES'!$A1050="","",IF('ORDENES'!$E1050="","-",'ORDENES'!$E1050))</f>
        <v/>
      </c>
      <c r="L1072" s="26">
        <f>IF('ORDENES'!$A1050="","",IF('ORDENES'!$M1050="",0,'ORDENES'!$M1050))</f>
        <v/>
      </c>
      <c r="M1072" s="24">
        <f>IF('ORDENES'!$A1050="","",IF('ORDENES'!$N1050="","-",'ORDENES'!$N1050))</f>
        <v/>
      </c>
      <c r="N1072" s="24">
        <f>IF('ORDENES'!$A1050="","",'ORDENES'!$AG1050)</f>
        <v/>
      </c>
    </row>
    <row r="1073">
      <c r="A1073" s="24">
        <f>IF('ORDENES'!$A1051="","",IF('ORDENES'!$O1051="","-",'ORDENES'!$O1051))</f>
        <v/>
      </c>
      <c r="B1073" s="24">
        <f>IF('ORDENES'!$A1051="","",IF('ORDENES'!$S1051="","-",'ORDENES'!$S1051))</f>
        <v/>
      </c>
      <c r="C1073" s="24">
        <f>IF('ORDENES'!$A1051="","",IF('ORDENES'!$AI1051="","-",'ORDENES'!$AI1051))</f>
        <v/>
      </c>
      <c r="D1073" s="24">
        <f>IF('ORDENES'!$A1051="","",IF('ORDENES'!$AA1051="","-",'ORDENES'!$AA1051))</f>
        <v/>
      </c>
      <c r="E1073" s="24">
        <f>IF('ORDENES'!$A1051="","",IF('ORDENES'!$Y1051="","-",'ORDENES'!$Y1051))</f>
        <v/>
      </c>
      <c r="F1073" s="24">
        <f>IF('ORDENES'!$A1051="","",IF('ORDENES'!$AB1051="","-",'ORDENES'!$AB1051))</f>
        <v/>
      </c>
      <c r="G1073" s="24">
        <f>IF('ORDENES'!$A1051="","",IF('ORDENES'!$Z1051="","-",'ORDENES'!$Z1051))</f>
        <v/>
      </c>
      <c r="H1073" s="24">
        <f>IF('ORDENES'!$A1051="","",IF('ORDENES'!$AH1051="","-",'ORDENES'!$AH1051))</f>
        <v/>
      </c>
      <c r="I1073" s="24">
        <f>IF('ORDENES'!$A1051="","",IF('ORDENES'!$AU1051="","-",'ORDENES'!$AU1051))</f>
        <v/>
      </c>
      <c r="J1073" s="24">
        <f>IF('ORDENES'!$A1051="","",IF('ORDENES'!$D1051="","-",'ORDENES'!$D1051))</f>
        <v/>
      </c>
      <c r="K1073" s="24">
        <f>IF('ORDENES'!$A1051="","",IF('ORDENES'!$E1051="","-",'ORDENES'!$E1051))</f>
        <v/>
      </c>
      <c r="L1073" s="26">
        <f>IF('ORDENES'!$A1051="","",IF('ORDENES'!$M1051="",0,'ORDENES'!$M1051))</f>
        <v/>
      </c>
      <c r="M1073" s="24">
        <f>IF('ORDENES'!$A1051="","",IF('ORDENES'!$N1051="","-",'ORDENES'!$N1051))</f>
        <v/>
      </c>
      <c r="N1073" s="24">
        <f>IF('ORDENES'!$A1051="","",'ORDENES'!$AG1051)</f>
        <v/>
      </c>
    </row>
    <row r="1074">
      <c r="A1074" s="24">
        <f>IF('ORDENES'!$A1052="","",IF('ORDENES'!$O1052="","-",'ORDENES'!$O1052))</f>
        <v/>
      </c>
      <c r="B1074" s="24">
        <f>IF('ORDENES'!$A1052="","",IF('ORDENES'!$S1052="","-",'ORDENES'!$S1052))</f>
        <v/>
      </c>
      <c r="C1074" s="24">
        <f>IF('ORDENES'!$A1052="","",IF('ORDENES'!$AI1052="","-",'ORDENES'!$AI1052))</f>
        <v/>
      </c>
      <c r="D1074" s="24">
        <f>IF('ORDENES'!$A1052="","",IF('ORDENES'!$AA1052="","-",'ORDENES'!$AA1052))</f>
        <v/>
      </c>
      <c r="E1074" s="24">
        <f>IF('ORDENES'!$A1052="","",IF('ORDENES'!$Y1052="","-",'ORDENES'!$Y1052))</f>
        <v/>
      </c>
      <c r="F1074" s="24">
        <f>IF('ORDENES'!$A1052="","",IF('ORDENES'!$AB1052="","-",'ORDENES'!$AB1052))</f>
        <v/>
      </c>
      <c r="G1074" s="24">
        <f>IF('ORDENES'!$A1052="","",IF('ORDENES'!$Z1052="","-",'ORDENES'!$Z1052))</f>
        <v/>
      </c>
      <c r="H1074" s="24">
        <f>IF('ORDENES'!$A1052="","",IF('ORDENES'!$AH1052="","-",'ORDENES'!$AH1052))</f>
        <v/>
      </c>
      <c r="I1074" s="24">
        <f>IF('ORDENES'!$A1052="","",IF('ORDENES'!$AU1052="","-",'ORDENES'!$AU1052))</f>
        <v/>
      </c>
      <c r="J1074" s="24">
        <f>IF('ORDENES'!$A1052="","",IF('ORDENES'!$D1052="","-",'ORDENES'!$D1052))</f>
        <v/>
      </c>
      <c r="K1074" s="24">
        <f>IF('ORDENES'!$A1052="","",IF('ORDENES'!$E1052="","-",'ORDENES'!$E1052))</f>
        <v/>
      </c>
      <c r="L1074" s="26">
        <f>IF('ORDENES'!$A1052="","",IF('ORDENES'!$M1052="",0,'ORDENES'!$M1052))</f>
        <v/>
      </c>
      <c r="M1074" s="24">
        <f>IF('ORDENES'!$A1052="","",IF('ORDENES'!$N1052="","-",'ORDENES'!$N1052))</f>
        <v/>
      </c>
      <c r="N1074" s="24">
        <f>IF('ORDENES'!$A1052="","",'ORDENES'!$AG1052)</f>
        <v/>
      </c>
    </row>
    <row r="1075">
      <c r="A1075" s="24">
        <f>IF('ORDENES'!$A1053="","",IF('ORDENES'!$O1053="","-",'ORDENES'!$O1053))</f>
        <v/>
      </c>
      <c r="B1075" s="24">
        <f>IF('ORDENES'!$A1053="","",IF('ORDENES'!$S1053="","-",'ORDENES'!$S1053))</f>
        <v/>
      </c>
      <c r="C1075" s="24">
        <f>IF('ORDENES'!$A1053="","",IF('ORDENES'!$AI1053="","-",'ORDENES'!$AI1053))</f>
        <v/>
      </c>
      <c r="D1075" s="24">
        <f>IF('ORDENES'!$A1053="","",IF('ORDENES'!$AA1053="","-",'ORDENES'!$AA1053))</f>
        <v/>
      </c>
      <c r="E1075" s="24">
        <f>IF('ORDENES'!$A1053="","",IF('ORDENES'!$Y1053="","-",'ORDENES'!$Y1053))</f>
        <v/>
      </c>
      <c r="F1075" s="24">
        <f>IF('ORDENES'!$A1053="","",IF('ORDENES'!$AB1053="","-",'ORDENES'!$AB1053))</f>
        <v/>
      </c>
      <c r="G1075" s="24">
        <f>IF('ORDENES'!$A1053="","",IF('ORDENES'!$Z1053="","-",'ORDENES'!$Z1053))</f>
        <v/>
      </c>
      <c r="H1075" s="24">
        <f>IF('ORDENES'!$A1053="","",IF('ORDENES'!$AH1053="","-",'ORDENES'!$AH1053))</f>
        <v/>
      </c>
      <c r="I1075" s="24">
        <f>IF('ORDENES'!$A1053="","",IF('ORDENES'!$AU1053="","-",'ORDENES'!$AU1053))</f>
        <v/>
      </c>
      <c r="J1075" s="24">
        <f>IF('ORDENES'!$A1053="","",IF('ORDENES'!$D1053="","-",'ORDENES'!$D1053))</f>
        <v/>
      </c>
      <c r="K1075" s="24">
        <f>IF('ORDENES'!$A1053="","",IF('ORDENES'!$E1053="","-",'ORDENES'!$E1053))</f>
        <v/>
      </c>
      <c r="L1075" s="26">
        <f>IF('ORDENES'!$A1053="","",IF('ORDENES'!$M1053="",0,'ORDENES'!$M1053))</f>
        <v/>
      </c>
      <c r="M1075" s="24">
        <f>IF('ORDENES'!$A1053="","",IF('ORDENES'!$N1053="","-",'ORDENES'!$N1053))</f>
        <v/>
      </c>
      <c r="N1075" s="24">
        <f>IF('ORDENES'!$A1053="","",'ORDENES'!$AG1053)</f>
        <v/>
      </c>
    </row>
    <row r="1076">
      <c r="A1076" s="24">
        <f>IF('ORDENES'!$A1054="","",IF('ORDENES'!$O1054="","-",'ORDENES'!$O1054))</f>
        <v/>
      </c>
      <c r="B1076" s="24">
        <f>IF('ORDENES'!$A1054="","",IF('ORDENES'!$S1054="","-",'ORDENES'!$S1054))</f>
        <v/>
      </c>
      <c r="C1076" s="24">
        <f>IF('ORDENES'!$A1054="","",IF('ORDENES'!$AI1054="","-",'ORDENES'!$AI1054))</f>
        <v/>
      </c>
      <c r="D1076" s="24">
        <f>IF('ORDENES'!$A1054="","",IF('ORDENES'!$AA1054="","-",'ORDENES'!$AA1054))</f>
        <v/>
      </c>
      <c r="E1076" s="24">
        <f>IF('ORDENES'!$A1054="","",IF('ORDENES'!$Y1054="","-",'ORDENES'!$Y1054))</f>
        <v/>
      </c>
      <c r="F1076" s="24">
        <f>IF('ORDENES'!$A1054="","",IF('ORDENES'!$AB1054="","-",'ORDENES'!$AB1054))</f>
        <v/>
      </c>
      <c r="G1076" s="24">
        <f>IF('ORDENES'!$A1054="","",IF('ORDENES'!$Z1054="","-",'ORDENES'!$Z1054))</f>
        <v/>
      </c>
      <c r="H1076" s="24">
        <f>IF('ORDENES'!$A1054="","",IF('ORDENES'!$AH1054="","-",'ORDENES'!$AH1054))</f>
        <v/>
      </c>
      <c r="I1076" s="24">
        <f>IF('ORDENES'!$A1054="","",IF('ORDENES'!$AU1054="","-",'ORDENES'!$AU1054))</f>
        <v/>
      </c>
      <c r="J1076" s="24">
        <f>IF('ORDENES'!$A1054="","",IF('ORDENES'!$D1054="","-",'ORDENES'!$D1054))</f>
        <v/>
      </c>
      <c r="K1076" s="24">
        <f>IF('ORDENES'!$A1054="","",IF('ORDENES'!$E1054="","-",'ORDENES'!$E1054))</f>
        <v/>
      </c>
      <c r="L1076" s="26">
        <f>IF('ORDENES'!$A1054="","",IF('ORDENES'!$M1054="",0,'ORDENES'!$M1054))</f>
        <v/>
      </c>
      <c r="M1076" s="24">
        <f>IF('ORDENES'!$A1054="","",IF('ORDENES'!$N1054="","-",'ORDENES'!$N1054))</f>
        <v/>
      </c>
      <c r="N1076" s="24">
        <f>IF('ORDENES'!$A1054="","",'ORDENES'!$AG1054)</f>
        <v/>
      </c>
    </row>
    <row r="1077">
      <c r="A1077" s="24">
        <f>IF('ORDENES'!$A1055="","",IF('ORDENES'!$O1055="","-",'ORDENES'!$O1055))</f>
        <v/>
      </c>
      <c r="B1077" s="24">
        <f>IF('ORDENES'!$A1055="","",IF('ORDENES'!$S1055="","-",'ORDENES'!$S1055))</f>
        <v/>
      </c>
      <c r="C1077" s="24">
        <f>IF('ORDENES'!$A1055="","",IF('ORDENES'!$AI1055="","-",'ORDENES'!$AI1055))</f>
        <v/>
      </c>
      <c r="D1077" s="24">
        <f>IF('ORDENES'!$A1055="","",IF('ORDENES'!$AA1055="","-",'ORDENES'!$AA1055))</f>
        <v/>
      </c>
      <c r="E1077" s="24">
        <f>IF('ORDENES'!$A1055="","",IF('ORDENES'!$Y1055="","-",'ORDENES'!$Y1055))</f>
        <v/>
      </c>
      <c r="F1077" s="24">
        <f>IF('ORDENES'!$A1055="","",IF('ORDENES'!$AB1055="","-",'ORDENES'!$AB1055))</f>
        <v/>
      </c>
      <c r="G1077" s="24">
        <f>IF('ORDENES'!$A1055="","",IF('ORDENES'!$Z1055="","-",'ORDENES'!$Z1055))</f>
        <v/>
      </c>
      <c r="H1077" s="24">
        <f>IF('ORDENES'!$A1055="","",IF('ORDENES'!$AH1055="","-",'ORDENES'!$AH1055))</f>
        <v/>
      </c>
      <c r="I1077" s="24">
        <f>IF('ORDENES'!$A1055="","",IF('ORDENES'!$AU1055="","-",'ORDENES'!$AU1055))</f>
        <v/>
      </c>
      <c r="J1077" s="24">
        <f>IF('ORDENES'!$A1055="","",IF('ORDENES'!$D1055="","-",'ORDENES'!$D1055))</f>
        <v/>
      </c>
      <c r="K1077" s="24">
        <f>IF('ORDENES'!$A1055="","",IF('ORDENES'!$E1055="","-",'ORDENES'!$E1055))</f>
        <v/>
      </c>
      <c r="L1077" s="26">
        <f>IF('ORDENES'!$A1055="","",IF('ORDENES'!$M1055="",0,'ORDENES'!$M1055))</f>
        <v/>
      </c>
      <c r="M1077" s="24">
        <f>IF('ORDENES'!$A1055="","",IF('ORDENES'!$N1055="","-",'ORDENES'!$N1055))</f>
        <v/>
      </c>
      <c r="N1077" s="24">
        <f>IF('ORDENES'!$A1055="","",'ORDENES'!$AG1055)</f>
        <v/>
      </c>
    </row>
    <row r="1078">
      <c r="A1078" s="24">
        <f>IF('ORDENES'!$A1056="","",IF('ORDENES'!$O1056="","-",'ORDENES'!$O1056))</f>
        <v/>
      </c>
      <c r="B1078" s="24">
        <f>IF('ORDENES'!$A1056="","",IF('ORDENES'!$S1056="","-",'ORDENES'!$S1056))</f>
        <v/>
      </c>
      <c r="C1078" s="24">
        <f>IF('ORDENES'!$A1056="","",IF('ORDENES'!$AI1056="","-",'ORDENES'!$AI1056))</f>
        <v/>
      </c>
      <c r="D1078" s="24">
        <f>IF('ORDENES'!$A1056="","",IF('ORDENES'!$AA1056="","-",'ORDENES'!$AA1056))</f>
        <v/>
      </c>
      <c r="E1078" s="24">
        <f>IF('ORDENES'!$A1056="","",IF('ORDENES'!$Y1056="","-",'ORDENES'!$Y1056))</f>
        <v/>
      </c>
      <c r="F1078" s="24">
        <f>IF('ORDENES'!$A1056="","",IF('ORDENES'!$AB1056="","-",'ORDENES'!$AB1056))</f>
        <v/>
      </c>
      <c r="G1078" s="24">
        <f>IF('ORDENES'!$A1056="","",IF('ORDENES'!$Z1056="","-",'ORDENES'!$Z1056))</f>
        <v/>
      </c>
      <c r="H1078" s="24">
        <f>IF('ORDENES'!$A1056="","",IF('ORDENES'!$AH1056="","-",'ORDENES'!$AH1056))</f>
        <v/>
      </c>
      <c r="I1078" s="24">
        <f>IF('ORDENES'!$A1056="","",IF('ORDENES'!$AU1056="","-",'ORDENES'!$AU1056))</f>
        <v/>
      </c>
      <c r="J1078" s="24">
        <f>IF('ORDENES'!$A1056="","",IF('ORDENES'!$D1056="","-",'ORDENES'!$D1056))</f>
        <v/>
      </c>
      <c r="K1078" s="24">
        <f>IF('ORDENES'!$A1056="","",IF('ORDENES'!$E1056="","-",'ORDENES'!$E1056))</f>
        <v/>
      </c>
      <c r="L1078" s="26">
        <f>IF('ORDENES'!$A1056="","",IF('ORDENES'!$M1056="",0,'ORDENES'!$M1056))</f>
        <v/>
      </c>
      <c r="M1078" s="24">
        <f>IF('ORDENES'!$A1056="","",IF('ORDENES'!$N1056="","-",'ORDENES'!$N1056))</f>
        <v/>
      </c>
      <c r="N1078" s="24">
        <f>IF('ORDENES'!$A1056="","",'ORDENES'!$AG1056)</f>
        <v/>
      </c>
    </row>
    <row r="1079">
      <c r="A1079" s="24">
        <f>IF('ORDENES'!$A1057="","",IF('ORDENES'!$O1057="","-",'ORDENES'!$O1057))</f>
        <v/>
      </c>
      <c r="B1079" s="24">
        <f>IF('ORDENES'!$A1057="","",IF('ORDENES'!$S1057="","-",'ORDENES'!$S1057))</f>
        <v/>
      </c>
      <c r="C1079" s="24">
        <f>IF('ORDENES'!$A1057="","",IF('ORDENES'!$AI1057="","-",'ORDENES'!$AI1057))</f>
        <v/>
      </c>
      <c r="D1079" s="24">
        <f>IF('ORDENES'!$A1057="","",IF('ORDENES'!$AA1057="","-",'ORDENES'!$AA1057))</f>
        <v/>
      </c>
      <c r="E1079" s="24">
        <f>IF('ORDENES'!$A1057="","",IF('ORDENES'!$Y1057="","-",'ORDENES'!$Y1057))</f>
        <v/>
      </c>
      <c r="F1079" s="24">
        <f>IF('ORDENES'!$A1057="","",IF('ORDENES'!$AB1057="","-",'ORDENES'!$AB1057))</f>
        <v/>
      </c>
      <c r="G1079" s="24">
        <f>IF('ORDENES'!$A1057="","",IF('ORDENES'!$Z1057="","-",'ORDENES'!$Z1057))</f>
        <v/>
      </c>
      <c r="H1079" s="24">
        <f>IF('ORDENES'!$A1057="","",IF('ORDENES'!$AH1057="","-",'ORDENES'!$AH1057))</f>
        <v/>
      </c>
      <c r="I1079" s="24">
        <f>IF('ORDENES'!$A1057="","",IF('ORDENES'!$AU1057="","-",'ORDENES'!$AU1057))</f>
        <v/>
      </c>
      <c r="J1079" s="24">
        <f>IF('ORDENES'!$A1057="","",IF('ORDENES'!$D1057="","-",'ORDENES'!$D1057))</f>
        <v/>
      </c>
      <c r="K1079" s="24">
        <f>IF('ORDENES'!$A1057="","",IF('ORDENES'!$E1057="","-",'ORDENES'!$E1057))</f>
        <v/>
      </c>
      <c r="L1079" s="26">
        <f>IF('ORDENES'!$A1057="","",IF('ORDENES'!$M1057="",0,'ORDENES'!$M1057))</f>
        <v/>
      </c>
      <c r="M1079" s="24">
        <f>IF('ORDENES'!$A1057="","",IF('ORDENES'!$N1057="","-",'ORDENES'!$N1057))</f>
        <v/>
      </c>
      <c r="N1079" s="24">
        <f>IF('ORDENES'!$A1057="","",'ORDENES'!$AG1057)</f>
        <v/>
      </c>
    </row>
    <row r="1080">
      <c r="A1080" s="24">
        <f>IF('ORDENES'!$A1058="","",IF('ORDENES'!$O1058="","-",'ORDENES'!$O1058))</f>
        <v/>
      </c>
      <c r="B1080" s="24">
        <f>IF('ORDENES'!$A1058="","",IF('ORDENES'!$S1058="","-",'ORDENES'!$S1058))</f>
        <v/>
      </c>
      <c r="C1080" s="24">
        <f>IF('ORDENES'!$A1058="","",IF('ORDENES'!$AI1058="","-",'ORDENES'!$AI1058))</f>
        <v/>
      </c>
      <c r="D1080" s="24">
        <f>IF('ORDENES'!$A1058="","",IF('ORDENES'!$AA1058="","-",'ORDENES'!$AA1058))</f>
        <v/>
      </c>
      <c r="E1080" s="24">
        <f>IF('ORDENES'!$A1058="","",IF('ORDENES'!$Y1058="","-",'ORDENES'!$Y1058))</f>
        <v/>
      </c>
      <c r="F1080" s="24">
        <f>IF('ORDENES'!$A1058="","",IF('ORDENES'!$AB1058="","-",'ORDENES'!$AB1058))</f>
        <v/>
      </c>
      <c r="G1080" s="24">
        <f>IF('ORDENES'!$A1058="","",IF('ORDENES'!$Z1058="","-",'ORDENES'!$Z1058))</f>
        <v/>
      </c>
      <c r="H1080" s="24">
        <f>IF('ORDENES'!$A1058="","",IF('ORDENES'!$AH1058="","-",'ORDENES'!$AH1058))</f>
        <v/>
      </c>
      <c r="I1080" s="24">
        <f>IF('ORDENES'!$A1058="","",IF('ORDENES'!$AU1058="","-",'ORDENES'!$AU1058))</f>
        <v/>
      </c>
      <c r="J1080" s="24">
        <f>IF('ORDENES'!$A1058="","",IF('ORDENES'!$D1058="","-",'ORDENES'!$D1058))</f>
        <v/>
      </c>
      <c r="K1080" s="24">
        <f>IF('ORDENES'!$A1058="","",IF('ORDENES'!$E1058="","-",'ORDENES'!$E1058))</f>
        <v/>
      </c>
      <c r="L1080" s="26">
        <f>IF('ORDENES'!$A1058="","",IF('ORDENES'!$M1058="",0,'ORDENES'!$M1058))</f>
        <v/>
      </c>
      <c r="M1080" s="24">
        <f>IF('ORDENES'!$A1058="","",IF('ORDENES'!$N1058="","-",'ORDENES'!$N1058))</f>
        <v/>
      </c>
      <c r="N1080" s="24">
        <f>IF('ORDENES'!$A1058="","",'ORDENES'!$AG1058)</f>
        <v/>
      </c>
    </row>
    <row r="1081">
      <c r="A1081" s="24">
        <f>IF('ORDENES'!$A1059="","",IF('ORDENES'!$O1059="","-",'ORDENES'!$O1059))</f>
        <v/>
      </c>
      <c r="B1081" s="24">
        <f>IF('ORDENES'!$A1059="","",IF('ORDENES'!$S1059="","-",'ORDENES'!$S1059))</f>
        <v/>
      </c>
      <c r="C1081" s="24">
        <f>IF('ORDENES'!$A1059="","",IF('ORDENES'!$AI1059="","-",'ORDENES'!$AI1059))</f>
        <v/>
      </c>
      <c r="D1081" s="24">
        <f>IF('ORDENES'!$A1059="","",IF('ORDENES'!$AA1059="","-",'ORDENES'!$AA1059))</f>
        <v/>
      </c>
      <c r="E1081" s="24">
        <f>IF('ORDENES'!$A1059="","",IF('ORDENES'!$Y1059="","-",'ORDENES'!$Y1059))</f>
        <v/>
      </c>
      <c r="F1081" s="24">
        <f>IF('ORDENES'!$A1059="","",IF('ORDENES'!$AB1059="","-",'ORDENES'!$AB1059))</f>
        <v/>
      </c>
      <c r="G1081" s="24">
        <f>IF('ORDENES'!$A1059="","",IF('ORDENES'!$Z1059="","-",'ORDENES'!$Z1059))</f>
        <v/>
      </c>
      <c r="H1081" s="24">
        <f>IF('ORDENES'!$A1059="","",IF('ORDENES'!$AH1059="","-",'ORDENES'!$AH1059))</f>
        <v/>
      </c>
      <c r="I1081" s="24">
        <f>IF('ORDENES'!$A1059="","",IF('ORDENES'!$AU1059="","-",'ORDENES'!$AU1059))</f>
        <v/>
      </c>
      <c r="J1081" s="24">
        <f>IF('ORDENES'!$A1059="","",IF('ORDENES'!$D1059="","-",'ORDENES'!$D1059))</f>
        <v/>
      </c>
      <c r="K1081" s="24">
        <f>IF('ORDENES'!$A1059="","",IF('ORDENES'!$E1059="","-",'ORDENES'!$E1059))</f>
        <v/>
      </c>
      <c r="L1081" s="26">
        <f>IF('ORDENES'!$A1059="","",IF('ORDENES'!$M1059="",0,'ORDENES'!$M1059))</f>
        <v/>
      </c>
      <c r="M1081" s="24">
        <f>IF('ORDENES'!$A1059="","",IF('ORDENES'!$N1059="","-",'ORDENES'!$N1059))</f>
        <v/>
      </c>
      <c r="N1081" s="24">
        <f>IF('ORDENES'!$A1059="","",'ORDENES'!$AG1059)</f>
        <v/>
      </c>
    </row>
    <row r="1082">
      <c r="A1082" s="24">
        <f>IF('ORDENES'!$A1060="","",IF('ORDENES'!$O1060="","-",'ORDENES'!$O1060))</f>
        <v/>
      </c>
      <c r="B1082" s="24">
        <f>IF('ORDENES'!$A1060="","",IF('ORDENES'!$S1060="","-",'ORDENES'!$S1060))</f>
        <v/>
      </c>
      <c r="C1082" s="24">
        <f>IF('ORDENES'!$A1060="","",IF('ORDENES'!$AI1060="","-",'ORDENES'!$AI1060))</f>
        <v/>
      </c>
      <c r="D1082" s="24">
        <f>IF('ORDENES'!$A1060="","",IF('ORDENES'!$AA1060="","-",'ORDENES'!$AA1060))</f>
        <v/>
      </c>
      <c r="E1082" s="24">
        <f>IF('ORDENES'!$A1060="","",IF('ORDENES'!$Y1060="","-",'ORDENES'!$Y1060))</f>
        <v/>
      </c>
      <c r="F1082" s="24">
        <f>IF('ORDENES'!$A1060="","",IF('ORDENES'!$AB1060="","-",'ORDENES'!$AB1060))</f>
        <v/>
      </c>
      <c r="G1082" s="24">
        <f>IF('ORDENES'!$A1060="","",IF('ORDENES'!$Z1060="","-",'ORDENES'!$Z1060))</f>
        <v/>
      </c>
      <c r="H1082" s="24">
        <f>IF('ORDENES'!$A1060="","",IF('ORDENES'!$AH1060="","-",'ORDENES'!$AH1060))</f>
        <v/>
      </c>
      <c r="I1082" s="24">
        <f>IF('ORDENES'!$A1060="","",IF('ORDENES'!$AU1060="","-",'ORDENES'!$AU1060))</f>
        <v/>
      </c>
      <c r="J1082" s="24">
        <f>IF('ORDENES'!$A1060="","",IF('ORDENES'!$D1060="","-",'ORDENES'!$D1060))</f>
        <v/>
      </c>
      <c r="K1082" s="24">
        <f>IF('ORDENES'!$A1060="","",IF('ORDENES'!$E1060="","-",'ORDENES'!$E1060))</f>
        <v/>
      </c>
      <c r="L1082" s="26">
        <f>IF('ORDENES'!$A1060="","",IF('ORDENES'!$M1060="",0,'ORDENES'!$M1060))</f>
        <v/>
      </c>
      <c r="M1082" s="24">
        <f>IF('ORDENES'!$A1060="","",IF('ORDENES'!$N1060="","-",'ORDENES'!$N1060))</f>
        <v/>
      </c>
      <c r="N1082" s="24">
        <f>IF('ORDENES'!$A1060="","",'ORDENES'!$AG1060)</f>
        <v/>
      </c>
    </row>
    <row r="1083">
      <c r="A1083" s="24">
        <f>IF('ORDENES'!$A1061="","",IF('ORDENES'!$O1061="","-",'ORDENES'!$O1061))</f>
        <v/>
      </c>
      <c r="B1083" s="24">
        <f>IF('ORDENES'!$A1061="","",IF('ORDENES'!$S1061="","-",'ORDENES'!$S1061))</f>
        <v/>
      </c>
      <c r="C1083" s="24">
        <f>IF('ORDENES'!$A1061="","",IF('ORDENES'!$AI1061="","-",'ORDENES'!$AI1061))</f>
        <v/>
      </c>
      <c r="D1083" s="24">
        <f>IF('ORDENES'!$A1061="","",IF('ORDENES'!$AA1061="","-",'ORDENES'!$AA1061))</f>
        <v/>
      </c>
      <c r="E1083" s="24">
        <f>IF('ORDENES'!$A1061="","",IF('ORDENES'!$Y1061="","-",'ORDENES'!$Y1061))</f>
        <v/>
      </c>
      <c r="F1083" s="24">
        <f>IF('ORDENES'!$A1061="","",IF('ORDENES'!$AB1061="","-",'ORDENES'!$AB1061))</f>
        <v/>
      </c>
      <c r="G1083" s="24">
        <f>IF('ORDENES'!$A1061="","",IF('ORDENES'!$Z1061="","-",'ORDENES'!$Z1061))</f>
        <v/>
      </c>
      <c r="H1083" s="24">
        <f>IF('ORDENES'!$A1061="","",IF('ORDENES'!$AH1061="","-",'ORDENES'!$AH1061))</f>
        <v/>
      </c>
      <c r="I1083" s="24">
        <f>IF('ORDENES'!$A1061="","",IF('ORDENES'!$AU1061="","-",'ORDENES'!$AU1061))</f>
        <v/>
      </c>
      <c r="J1083" s="24">
        <f>IF('ORDENES'!$A1061="","",IF('ORDENES'!$D1061="","-",'ORDENES'!$D1061))</f>
        <v/>
      </c>
      <c r="K1083" s="24">
        <f>IF('ORDENES'!$A1061="","",IF('ORDENES'!$E1061="","-",'ORDENES'!$E1061))</f>
        <v/>
      </c>
      <c r="L1083" s="26">
        <f>IF('ORDENES'!$A1061="","",IF('ORDENES'!$M1061="",0,'ORDENES'!$M1061))</f>
        <v/>
      </c>
      <c r="M1083" s="24">
        <f>IF('ORDENES'!$A1061="","",IF('ORDENES'!$N1061="","-",'ORDENES'!$N1061))</f>
        <v/>
      </c>
      <c r="N1083" s="24">
        <f>IF('ORDENES'!$A1061="","",'ORDENES'!$AG1061)</f>
        <v/>
      </c>
    </row>
    <row r="1084">
      <c r="A1084" s="24">
        <f>IF('ORDENES'!$A1062="","",IF('ORDENES'!$O1062="","-",'ORDENES'!$O1062))</f>
        <v/>
      </c>
      <c r="B1084" s="24">
        <f>IF('ORDENES'!$A1062="","",IF('ORDENES'!$S1062="","-",'ORDENES'!$S1062))</f>
        <v/>
      </c>
      <c r="C1084" s="24">
        <f>IF('ORDENES'!$A1062="","",IF('ORDENES'!$AI1062="","-",'ORDENES'!$AI1062))</f>
        <v/>
      </c>
      <c r="D1084" s="24">
        <f>IF('ORDENES'!$A1062="","",IF('ORDENES'!$AA1062="","-",'ORDENES'!$AA1062))</f>
        <v/>
      </c>
      <c r="E1084" s="24">
        <f>IF('ORDENES'!$A1062="","",IF('ORDENES'!$Y1062="","-",'ORDENES'!$Y1062))</f>
        <v/>
      </c>
      <c r="F1084" s="24">
        <f>IF('ORDENES'!$A1062="","",IF('ORDENES'!$AB1062="","-",'ORDENES'!$AB1062))</f>
        <v/>
      </c>
      <c r="G1084" s="24">
        <f>IF('ORDENES'!$A1062="","",IF('ORDENES'!$Z1062="","-",'ORDENES'!$Z1062))</f>
        <v/>
      </c>
      <c r="H1084" s="24">
        <f>IF('ORDENES'!$A1062="","",IF('ORDENES'!$AH1062="","-",'ORDENES'!$AH1062))</f>
        <v/>
      </c>
      <c r="I1084" s="24">
        <f>IF('ORDENES'!$A1062="","",IF('ORDENES'!$AU1062="","-",'ORDENES'!$AU1062))</f>
        <v/>
      </c>
      <c r="J1084" s="24">
        <f>IF('ORDENES'!$A1062="","",IF('ORDENES'!$D1062="","-",'ORDENES'!$D1062))</f>
        <v/>
      </c>
      <c r="K1084" s="24">
        <f>IF('ORDENES'!$A1062="","",IF('ORDENES'!$E1062="","-",'ORDENES'!$E1062))</f>
        <v/>
      </c>
      <c r="L1084" s="26">
        <f>IF('ORDENES'!$A1062="","",IF('ORDENES'!$M1062="",0,'ORDENES'!$M1062))</f>
        <v/>
      </c>
      <c r="M1084" s="24">
        <f>IF('ORDENES'!$A1062="","",IF('ORDENES'!$N1062="","-",'ORDENES'!$N1062))</f>
        <v/>
      </c>
      <c r="N1084" s="24">
        <f>IF('ORDENES'!$A1062="","",'ORDENES'!$AG1062)</f>
        <v/>
      </c>
    </row>
    <row r="1085">
      <c r="A1085" s="24">
        <f>IF('ORDENES'!$A1063="","",IF('ORDENES'!$O1063="","-",'ORDENES'!$O1063))</f>
        <v/>
      </c>
      <c r="B1085" s="24">
        <f>IF('ORDENES'!$A1063="","",IF('ORDENES'!$S1063="","-",'ORDENES'!$S1063))</f>
        <v/>
      </c>
      <c r="C1085" s="24">
        <f>IF('ORDENES'!$A1063="","",IF('ORDENES'!$AI1063="","-",'ORDENES'!$AI1063))</f>
        <v/>
      </c>
      <c r="D1085" s="24">
        <f>IF('ORDENES'!$A1063="","",IF('ORDENES'!$AA1063="","-",'ORDENES'!$AA1063))</f>
        <v/>
      </c>
      <c r="E1085" s="24">
        <f>IF('ORDENES'!$A1063="","",IF('ORDENES'!$Y1063="","-",'ORDENES'!$Y1063))</f>
        <v/>
      </c>
      <c r="F1085" s="24">
        <f>IF('ORDENES'!$A1063="","",IF('ORDENES'!$AB1063="","-",'ORDENES'!$AB1063))</f>
        <v/>
      </c>
      <c r="G1085" s="24">
        <f>IF('ORDENES'!$A1063="","",IF('ORDENES'!$Z1063="","-",'ORDENES'!$Z1063))</f>
        <v/>
      </c>
      <c r="H1085" s="24">
        <f>IF('ORDENES'!$A1063="","",IF('ORDENES'!$AH1063="","-",'ORDENES'!$AH1063))</f>
        <v/>
      </c>
      <c r="I1085" s="24">
        <f>IF('ORDENES'!$A1063="","",IF('ORDENES'!$AU1063="","-",'ORDENES'!$AU1063))</f>
        <v/>
      </c>
      <c r="J1085" s="24">
        <f>IF('ORDENES'!$A1063="","",IF('ORDENES'!$D1063="","-",'ORDENES'!$D1063))</f>
        <v/>
      </c>
      <c r="K1085" s="24">
        <f>IF('ORDENES'!$A1063="","",IF('ORDENES'!$E1063="","-",'ORDENES'!$E1063))</f>
        <v/>
      </c>
      <c r="L1085" s="26">
        <f>IF('ORDENES'!$A1063="","",IF('ORDENES'!$M1063="",0,'ORDENES'!$M1063))</f>
        <v/>
      </c>
      <c r="M1085" s="24">
        <f>IF('ORDENES'!$A1063="","",IF('ORDENES'!$N1063="","-",'ORDENES'!$N1063))</f>
        <v/>
      </c>
      <c r="N1085" s="24">
        <f>IF('ORDENES'!$A1063="","",'ORDENES'!$AG1063)</f>
        <v/>
      </c>
    </row>
    <row r="1086">
      <c r="A1086" s="24">
        <f>IF('ORDENES'!$A1064="","",IF('ORDENES'!$O1064="","-",'ORDENES'!$O1064))</f>
        <v/>
      </c>
      <c r="B1086" s="24">
        <f>IF('ORDENES'!$A1064="","",IF('ORDENES'!$S1064="","-",'ORDENES'!$S1064))</f>
        <v/>
      </c>
      <c r="C1086" s="24">
        <f>IF('ORDENES'!$A1064="","",IF('ORDENES'!$AI1064="","-",'ORDENES'!$AI1064))</f>
        <v/>
      </c>
      <c r="D1086" s="24">
        <f>IF('ORDENES'!$A1064="","",IF('ORDENES'!$AA1064="","-",'ORDENES'!$AA1064))</f>
        <v/>
      </c>
      <c r="E1086" s="24">
        <f>IF('ORDENES'!$A1064="","",IF('ORDENES'!$Y1064="","-",'ORDENES'!$Y1064))</f>
        <v/>
      </c>
      <c r="F1086" s="24">
        <f>IF('ORDENES'!$A1064="","",IF('ORDENES'!$AB1064="","-",'ORDENES'!$AB1064))</f>
        <v/>
      </c>
      <c r="G1086" s="24">
        <f>IF('ORDENES'!$A1064="","",IF('ORDENES'!$Z1064="","-",'ORDENES'!$Z1064))</f>
        <v/>
      </c>
      <c r="H1086" s="24">
        <f>IF('ORDENES'!$A1064="","",IF('ORDENES'!$AH1064="","-",'ORDENES'!$AH1064))</f>
        <v/>
      </c>
      <c r="I1086" s="24">
        <f>IF('ORDENES'!$A1064="","",IF('ORDENES'!$AU1064="","-",'ORDENES'!$AU1064))</f>
        <v/>
      </c>
      <c r="J1086" s="24">
        <f>IF('ORDENES'!$A1064="","",IF('ORDENES'!$D1064="","-",'ORDENES'!$D1064))</f>
        <v/>
      </c>
      <c r="K1086" s="24">
        <f>IF('ORDENES'!$A1064="","",IF('ORDENES'!$E1064="","-",'ORDENES'!$E1064))</f>
        <v/>
      </c>
      <c r="L1086" s="26">
        <f>IF('ORDENES'!$A1064="","",IF('ORDENES'!$M1064="",0,'ORDENES'!$M1064))</f>
        <v/>
      </c>
      <c r="M1086" s="24">
        <f>IF('ORDENES'!$A1064="","",IF('ORDENES'!$N1064="","-",'ORDENES'!$N1064))</f>
        <v/>
      </c>
      <c r="N1086" s="24">
        <f>IF('ORDENES'!$A1064="","",'ORDENES'!$AG1064)</f>
        <v/>
      </c>
    </row>
    <row r="1087">
      <c r="A1087" s="24">
        <f>IF('ORDENES'!$A1065="","",IF('ORDENES'!$O1065="","-",'ORDENES'!$O1065))</f>
        <v/>
      </c>
      <c r="B1087" s="24">
        <f>IF('ORDENES'!$A1065="","",IF('ORDENES'!$S1065="","-",'ORDENES'!$S1065))</f>
        <v/>
      </c>
      <c r="C1087" s="24">
        <f>IF('ORDENES'!$A1065="","",IF('ORDENES'!$AI1065="","-",'ORDENES'!$AI1065))</f>
        <v/>
      </c>
      <c r="D1087" s="24">
        <f>IF('ORDENES'!$A1065="","",IF('ORDENES'!$AA1065="","-",'ORDENES'!$AA1065))</f>
        <v/>
      </c>
      <c r="E1087" s="24">
        <f>IF('ORDENES'!$A1065="","",IF('ORDENES'!$Y1065="","-",'ORDENES'!$Y1065))</f>
        <v/>
      </c>
      <c r="F1087" s="24">
        <f>IF('ORDENES'!$A1065="","",IF('ORDENES'!$AB1065="","-",'ORDENES'!$AB1065))</f>
        <v/>
      </c>
      <c r="G1087" s="24">
        <f>IF('ORDENES'!$A1065="","",IF('ORDENES'!$Z1065="","-",'ORDENES'!$Z1065))</f>
        <v/>
      </c>
      <c r="H1087" s="24">
        <f>IF('ORDENES'!$A1065="","",IF('ORDENES'!$AH1065="","-",'ORDENES'!$AH1065))</f>
        <v/>
      </c>
      <c r="I1087" s="24">
        <f>IF('ORDENES'!$A1065="","",IF('ORDENES'!$AU1065="","-",'ORDENES'!$AU1065))</f>
        <v/>
      </c>
      <c r="J1087" s="24">
        <f>IF('ORDENES'!$A1065="","",IF('ORDENES'!$D1065="","-",'ORDENES'!$D1065))</f>
        <v/>
      </c>
      <c r="K1087" s="24">
        <f>IF('ORDENES'!$A1065="","",IF('ORDENES'!$E1065="","-",'ORDENES'!$E1065))</f>
        <v/>
      </c>
      <c r="L1087" s="26">
        <f>IF('ORDENES'!$A1065="","",IF('ORDENES'!$M1065="",0,'ORDENES'!$M1065))</f>
        <v/>
      </c>
      <c r="M1087" s="24">
        <f>IF('ORDENES'!$A1065="","",IF('ORDENES'!$N1065="","-",'ORDENES'!$N1065))</f>
        <v/>
      </c>
      <c r="N1087" s="24">
        <f>IF('ORDENES'!$A1065="","",'ORDENES'!$AG1065)</f>
        <v/>
      </c>
    </row>
    <row r="1088">
      <c r="A1088" s="24">
        <f>IF('ORDENES'!$A1066="","",IF('ORDENES'!$O1066="","-",'ORDENES'!$O1066))</f>
        <v/>
      </c>
      <c r="B1088" s="24">
        <f>IF('ORDENES'!$A1066="","",IF('ORDENES'!$S1066="","-",'ORDENES'!$S1066))</f>
        <v/>
      </c>
      <c r="C1088" s="24">
        <f>IF('ORDENES'!$A1066="","",IF('ORDENES'!$AI1066="","-",'ORDENES'!$AI1066))</f>
        <v/>
      </c>
      <c r="D1088" s="24">
        <f>IF('ORDENES'!$A1066="","",IF('ORDENES'!$AA1066="","-",'ORDENES'!$AA1066))</f>
        <v/>
      </c>
      <c r="E1088" s="24">
        <f>IF('ORDENES'!$A1066="","",IF('ORDENES'!$Y1066="","-",'ORDENES'!$Y1066))</f>
        <v/>
      </c>
      <c r="F1088" s="24">
        <f>IF('ORDENES'!$A1066="","",IF('ORDENES'!$AB1066="","-",'ORDENES'!$AB1066))</f>
        <v/>
      </c>
      <c r="G1088" s="24">
        <f>IF('ORDENES'!$A1066="","",IF('ORDENES'!$Z1066="","-",'ORDENES'!$Z1066))</f>
        <v/>
      </c>
      <c r="H1088" s="24">
        <f>IF('ORDENES'!$A1066="","",IF('ORDENES'!$AH1066="","-",'ORDENES'!$AH1066))</f>
        <v/>
      </c>
      <c r="I1088" s="24">
        <f>IF('ORDENES'!$A1066="","",IF('ORDENES'!$AU1066="","-",'ORDENES'!$AU1066))</f>
        <v/>
      </c>
      <c r="J1088" s="24">
        <f>IF('ORDENES'!$A1066="","",IF('ORDENES'!$D1066="","-",'ORDENES'!$D1066))</f>
        <v/>
      </c>
      <c r="K1088" s="24">
        <f>IF('ORDENES'!$A1066="","",IF('ORDENES'!$E1066="","-",'ORDENES'!$E1066))</f>
        <v/>
      </c>
      <c r="L1088" s="26">
        <f>IF('ORDENES'!$A1066="","",IF('ORDENES'!$M1066="",0,'ORDENES'!$M1066))</f>
        <v/>
      </c>
      <c r="M1088" s="24">
        <f>IF('ORDENES'!$A1066="","",IF('ORDENES'!$N1066="","-",'ORDENES'!$N1066))</f>
        <v/>
      </c>
      <c r="N1088" s="24">
        <f>IF('ORDENES'!$A1066="","",'ORDENES'!$AG1066)</f>
        <v/>
      </c>
    </row>
    <row r="1089">
      <c r="A1089" s="24">
        <f>IF('ORDENES'!$A1067="","",IF('ORDENES'!$O1067="","-",'ORDENES'!$O1067))</f>
        <v/>
      </c>
      <c r="B1089" s="24">
        <f>IF('ORDENES'!$A1067="","",IF('ORDENES'!$S1067="","-",'ORDENES'!$S1067))</f>
        <v/>
      </c>
      <c r="C1089" s="24">
        <f>IF('ORDENES'!$A1067="","",IF('ORDENES'!$AI1067="","-",'ORDENES'!$AI1067))</f>
        <v/>
      </c>
      <c r="D1089" s="24">
        <f>IF('ORDENES'!$A1067="","",IF('ORDENES'!$AA1067="","-",'ORDENES'!$AA1067))</f>
        <v/>
      </c>
      <c r="E1089" s="24">
        <f>IF('ORDENES'!$A1067="","",IF('ORDENES'!$Y1067="","-",'ORDENES'!$Y1067))</f>
        <v/>
      </c>
      <c r="F1089" s="24">
        <f>IF('ORDENES'!$A1067="","",IF('ORDENES'!$AB1067="","-",'ORDENES'!$AB1067))</f>
        <v/>
      </c>
      <c r="G1089" s="24">
        <f>IF('ORDENES'!$A1067="","",IF('ORDENES'!$Z1067="","-",'ORDENES'!$Z1067))</f>
        <v/>
      </c>
      <c r="H1089" s="24">
        <f>IF('ORDENES'!$A1067="","",IF('ORDENES'!$AH1067="","-",'ORDENES'!$AH1067))</f>
        <v/>
      </c>
      <c r="I1089" s="24">
        <f>IF('ORDENES'!$A1067="","",IF('ORDENES'!$AU1067="","-",'ORDENES'!$AU1067))</f>
        <v/>
      </c>
      <c r="J1089" s="24">
        <f>IF('ORDENES'!$A1067="","",IF('ORDENES'!$D1067="","-",'ORDENES'!$D1067))</f>
        <v/>
      </c>
      <c r="K1089" s="24">
        <f>IF('ORDENES'!$A1067="","",IF('ORDENES'!$E1067="","-",'ORDENES'!$E1067))</f>
        <v/>
      </c>
      <c r="L1089" s="26">
        <f>IF('ORDENES'!$A1067="","",IF('ORDENES'!$M1067="",0,'ORDENES'!$M1067))</f>
        <v/>
      </c>
      <c r="M1089" s="24">
        <f>IF('ORDENES'!$A1067="","",IF('ORDENES'!$N1067="","-",'ORDENES'!$N1067))</f>
        <v/>
      </c>
      <c r="N1089" s="24">
        <f>IF('ORDENES'!$A1067="","",'ORDENES'!$AG1067)</f>
        <v/>
      </c>
    </row>
    <row r="1090">
      <c r="A1090" s="24">
        <f>IF('ORDENES'!$A1068="","",IF('ORDENES'!$O1068="","-",'ORDENES'!$O1068))</f>
        <v/>
      </c>
      <c r="B1090" s="24">
        <f>IF('ORDENES'!$A1068="","",IF('ORDENES'!$S1068="","-",'ORDENES'!$S1068))</f>
        <v/>
      </c>
      <c r="C1090" s="24">
        <f>IF('ORDENES'!$A1068="","",IF('ORDENES'!$AI1068="","-",'ORDENES'!$AI1068))</f>
        <v/>
      </c>
      <c r="D1090" s="24">
        <f>IF('ORDENES'!$A1068="","",IF('ORDENES'!$AA1068="","-",'ORDENES'!$AA1068))</f>
        <v/>
      </c>
      <c r="E1090" s="24">
        <f>IF('ORDENES'!$A1068="","",IF('ORDENES'!$Y1068="","-",'ORDENES'!$Y1068))</f>
        <v/>
      </c>
      <c r="F1090" s="24">
        <f>IF('ORDENES'!$A1068="","",IF('ORDENES'!$AB1068="","-",'ORDENES'!$AB1068))</f>
        <v/>
      </c>
      <c r="G1090" s="24">
        <f>IF('ORDENES'!$A1068="","",IF('ORDENES'!$Z1068="","-",'ORDENES'!$Z1068))</f>
        <v/>
      </c>
      <c r="H1090" s="24">
        <f>IF('ORDENES'!$A1068="","",IF('ORDENES'!$AH1068="","-",'ORDENES'!$AH1068))</f>
        <v/>
      </c>
      <c r="I1090" s="24">
        <f>IF('ORDENES'!$A1068="","",IF('ORDENES'!$AU1068="","-",'ORDENES'!$AU1068))</f>
        <v/>
      </c>
      <c r="J1090" s="24">
        <f>IF('ORDENES'!$A1068="","",IF('ORDENES'!$D1068="","-",'ORDENES'!$D1068))</f>
        <v/>
      </c>
      <c r="K1090" s="24">
        <f>IF('ORDENES'!$A1068="","",IF('ORDENES'!$E1068="","-",'ORDENES'!$E1068))</f>
        <v/>
      </c>
      <c r="L1090" s="26">
        <f>IF('ORDENES'!$A1068="","",IF('ORDENES'!$M1068="",0,'ORDENES'!$M1068))</f>
        <v/>
      </c>
      <c r="M1090" s="24">
        <f>IF('ORDENES'!$A1068="","",IF('ORDENES'!$N1068="","-",'ORDENES'!$N1068))</f>
        <v/>
      </c>
      <c r="N1090" s="24">
        <f>IF('ORDENES'!$A1068="","",'ORDENES'!$AG1068)</f>
        <v/>
      </c>
    </row>
    <row r="1091">
      <c r="A1091" s="24">
        <f>IF('ORDENES'!$A1069="","",IF('ORDENES'!$O1069="","-",'ORDENES'!$O1069))</f>
        <v/>
      </c>
      <c r="B1091" s="24">
        <f>IF('ORDENES'!$A1069="","",IF('ORDENES'!$S1069="","-",'ORDENES'!$S1069))</f>
        <v/>
      </c>
      <c r="C1091" s="24">
        <f>IF('ORDENES'!$A1069="","",IF('ORDENES'!$AI1069="","-",'ORDENES'!$AI1069))</f>
        <v/>
      </c>
      <c r="D1091" s="24">
        <f>IF('ORDENES'!$A1069="","",IF('ORDENES'!$AA1069="","-",'ORDENES'!$AA1069))</f>
        <v/>
      </c>
      <c r="E1091" s="24">
        <f>IF('ORDENES'!$A1069="","",IF('ORDENES'!$Y1069="","-",'ORDENES'!$Y1069))</f>
        <v/>
      </c>
      <c r="F1091" s="24">
        <f>IF('ORDENES'!$A1069="","",IF('ORDENES'!$AB1069="","-",'ORDENES'!$AB1069))</f>
        <v/>
      </c>
      <c r="G1091" s="24">
        <f>IF('ORDENES'!$A1069="","",IF('ORDENES'!$Z1069="","-",'ORDENES'!$Z1069))</f>
        <v/>
      </c>
      <c r="H1091" s="24">
        <f>IF('ORDENES'!$A1069="","",IF('ORDENES'!$AH1069="","-",'ORDENES'!$AH1069))</f>
        <v/>
      </c>
      <c r="I1091" s="24">
        <f>IF('ORDENES'!$A1069="","",IF('ORDENES'!$AU1069="","-",'ORDENES'!$AU1069))</f>
        <v/>
      </c>
      <c r="J1091" s="24">
        <f>IF('ORDENES'!$A1069="","",IF('ORDENES'!$D1069="","-",'ORDENES'!$D1069))</f>
        <v/>
      </c>
      <c r="K1091" s="24">
        <f>IF('ORDENES'!$A1069="","",IF('ORDENES'!$E1069="","-",'ORDENES'!$E1069))</f>
        <v/>
      </c>
      <c r="L1091" s="26">
        <f>IF('ORDENES'!$A1069="","",IF('ORDENES'!$M1069="",0,'ORDENES'!$M1069))</f>
        <v/>
      </c>
      <c r="M1091" s="24">
        <f>IF('ORDENES'!$A1069="","",IF('ORDENES'!$N1069="","-",'ORDENES'!$N1069))</f>
        <v/>
      </c>
      <c r="N1091" s="24">
        <f>IF('ORDENES'!$A1069="","",'ORDENES'!$AG1069)</f>
        <v/>
      </c>
    </row>
    <row r="1092">
      <c r="A1092" s="24">
        <f>IF('ORDENES'!$A1070="","",IF('ORDENES'!$O1070="","-",'ORDENES'!$O1070))</f>
        <v/>
      </c>
      <c r="B1092" s="24">
        <f>IF('ORDENES'!$A1070="","",IF('ORDENES'!$S1070="","-",'ORDENES'!$S1070))</f>
        <v/>
      </c>
      <c r="C1092" s="24">
        <f>IF('ORDENES'!$A1070="","",IF('ORDENES'!$AI1070="","-",'ORDENES'!$AI1070))</f>
        <v/>
      </c>
      <c r="D1092" s="24">
        <f>IF('ORDENES'!$A1070="","",IF('ORDENES'!$AA1070="","-",'ORDENES'!$AA1070))</f>
        <v/>
      </c>
      <c r="E1092" s="24">
        <f>IF('ORDENES'!$A1070="","",IF('ORDENES'!$Y1070="","-",'ORDENES'!$Y1070))</f>
        <v/>
      </c>
      <c r="F1092" s="24">
        <f>IF('ORDENES'!$A1070="","",IF('ORDENES'!$AB1070="","-",'ORDENES'!$AB1070))</f>
        <v/>
      </c>
      <c r="G1092" s="24">
        <f>IF('ORDENES'!$A1070="","",IF('ORDENES'!$Z1070="","-",'ORDENES'!$Z1070))</f>
        <v/>
      </c>
      <c r="H1092" s="24">
        <f>IF('ORDENES'!$A1070="","",IF('ORDENES'!$AH1070="","-",'ORDENES'!$AH1070))</f>
        <v/>
      </c>
      <c r="I1092" s="24">
        <f>IF('ORDENES'!$A1070="","",IF('ORDENES'!$AU1070="","-",'ORDENES'!$AU1070))</f>
        <v/>
      </c>
      <c r="J1092" s="24">
        <f>IF('ORDENES'!$A1070="","",IF('ORDENES'!$D1070="","-",'ORDENES'!$D1070))</f>
        <v/>
      </c>
      <c r="K1092" s="24">
        <f>IF('ORDENES'!$A1070="","",IF('ORDENES'!$E1070="","-",'ORDENES'!$E1070))</f>
        <v/>
      </c>
      <c r="L1092" s="26">
        <f>IF('ORDENES'!$A1070="","",IF('ORDENES'!$M1070="",0,'ORDENES'!$M1070))</f>
        <v/>
      </c>
      <c r="M1092" s="24">
        <f>IF('ORDENES'!$A1070="","",IF('ORDENES'!$N1070="","-",'ORDENES'!$N1070))</f>
        <v/>
      </c>
      <c r="N1092" s="24">
        <f>IF('ORDENES'!$A1070="","",'ORDENES'!$AG1070)</f>
        <v/>
      </c>
    </row>
    <row r="1093">
      <c r="A1093" s="24">
        <f>IF('ORDENES'!$A1071="","",IF('ORDENES'!$O1071="","-",'ORDENES'!$O1071))</f>
        <v/>
      </c>
      <c r="B1093" s="24">
        <f>IF('ORDENES'!$A1071="","",IF('ORDENES'!$S1071="","-",'ORDENES'!$S1071))</f>
        <v/>
      </c>
      <c r="C1093" s="24">
        <f>IF('ORDENES'!$A1071="","",IF('ORDENES'!$AI1071="","-",'ORDENES'!$AI1071))</f>
        <v/>
      </c>
      <c r="D1093" s="24">
        <f>IF('ORDENES'!$A1071="","",IF('ORDENES'!$AA1071="","-",'ORDENES'!$AA1071))</f>
        <v/>
      </c>
      <c r="E1093" s="24">
        <f>IF('ORDENES'!$A1071="","",IF('ORDENES'!$Y1071="","-",'ORDENES'!$Y1071))</f>
        <v/>
      </c>
      <c r="F1093" s="24">
        <f>IF('ORDENES'!$A1071="","",IF('ORDENES'!$AB1071="","-",'ORDENES'!$AB1071))</f>
        <v/>
      </c>
      <c r="G1093" s="24">
        <f>IF('ORDENES'!$A1071="","",IF('ORDENES'!$Z1071="","-",'ORDENES'!$Z1071))</f>
        <v/>
      </c>
      <c r="H1093" s="24">
        <f>IF('ORDENES'!$A1071="","",IF('ORDENES'!$AH1071="","-",'ORDENES'!$AH1071))</f>
        <v/>
      </c>
      <c r="I1093" s="24">
        <f>IF('ORDENES'!$A1071="","",IF('ORDENES'!$AU1071="","-",'ORDENES'!$AU1071))</f>
        <v/>
      </c>
      <c r="J1093" s="24">
        <f>IF('ORDENES'!$A1071="","",IF('ORDENES'!$D1071="","-",'ORDENES'!$D1071))</f>
        <v/>
      </c>
      <c r="K1093" s="24">
        <f>IF('ORDENES'!$A1071="","",IF('ORDENES'!$E1071="","-",'ORDENES'!$E1071))</f>
        <v/>
      </c>
      <c r="L1093" s="26">
        <f>IF('ORDENES'!$A1071="","",IF('ORDENES'!$M1071="",0,'ORDENES'!$M1071))</f>
        <v/>
      </c>
      <c r="M1093" s="24">
        <f>IF('ORDENES'!$A1071="","",IF('ORDENES'!$N1071="","-",'ORDENES'!$N1071))</f>
        <v/>
      </c>
      <c r="N1093" s="24">
        <f>IF('ORDENES'!$A1071="","",'ORDENES'!$AG1071)</f>
        <v/>
      </c>
    </row>
    <row r="1094">
      <c r="A1094" s="24">
        <f>IF('ORDENES'!$A1072="","",IF('ORDENES'!$O1072="","-",'ORDENES'!$O1072))</f>
        <v/>
      </c>
      <c r="B1094" s="24">
        <f>IF('ORDENES'!$A1072="","",IF('ORDENES'!$S1072="","-",'ORDENES'!$S1072))</f>
        <v/>
      </c>
      <c r="C1094" s="24">
        <f>IF('ORDENES'!$A1072="","",IF('ORDENES'!$AI1072="","-",'ORDENES'!$AI1072))</f>
        <v/>
      </c>
      <c r="D1094" s="24">
        <f>IF('ORDENES'!$A1072="","",IF('ORDENES'!$AA1072="","-",'ORDENES'!$AA1072))</f>
        <v/>
      </c>
      <c r="E1094" s="24">
        <f>IF('ORDENES'!$A1072="","",IF('ORDENES'!$Y1072="","-",'ORDENES'!$Y1072))</f>
        <v/>
      </c>
      <c r="F1094" s="24">
        <f>IF('ORDENES'!$A1072="","",IF('ORDENES'!$AB1072="","-",'ORDENES'!$AB1072))</f>
        <v/>
      </c>
      <c r="G1094" s="24">
        <f>IF('ORDENES'!$A1072="","",IF('ORDENES'!$Z1072="","-",'ORDENES'!$Z1072))</f>
        <v/>
      </c>
      <c r="H1094" s="24">
        <f>IF('ORDENES'!$A1072="","",IF('ORDENES'!$AH1072="","-",'ORDENES'!$AH1072))</f>
        <v/>
      </c>
      <c r="I1094" s="24">
        <f>IF('ORDENES'!$A1072="","",IF('ORDENES'!$AU1072="","-",'ORDENES'!$AU1072))</f>
        <v/>
      </c>
      <c r="J1094" s="24">
        <f>IF('ORDENES'!$A1072="","",IF('ORDENES'!$D1072="","-",'ORDENES'!$D1072))</f>
        <v/>
      </c>
      <c r="K1094" s="24">
        <f>IF('ORDENES'!$A1072="","",IF('ORDENES'!$E1072="","-",'ORDENES'!$E1072))</f>
        <v/>
      </c>
      <c r="L1094" s="26">
        <f>IF('ORDENES'!$A1072="","",IF('ORDENES'!$M1072="",0,'ORDENES'!$M1072))</f>
        <v/>
      </c>
      <c r="M1094" s="24">
        <f>IF('ORDENES'!$A1072="","",IF('ORDENES'!$N1072="","-",'ORDENES'!$N1072))</f>
        <v/>
      </c>
      <c r="N1094" s="24">
        <f>IF('ORDENES'!$A1072="","",'ORDENES'!$AG1072)</f>
        <v/>
      </c>
    </row>
    <row r="1095">
      <c r="A1095" s="24">
        <f>IF('ORDENES'!$A1073="","",IF('ORDENES'!$O1073="","-",'ORDENES'!$O1073))</f>
        <v/>
      </c>
      <c r="B1095" s="24">
        <f>IF('ORDENES'!$A1073="","",IF('ORDENES'!$S1073="","-",'ORDENES'!$S1073))</f>
        <v/>
      </c>
      <c r="C1095" s="24">
        <f>IF('ORDENES'!$A1073="","",IF('ORDENES'!$AI1073="","-",'ORDENES'!$AI1073))</f>
        <v/>
      </c>
      <c r="D1095" s="24">
        <f>IF('ORDENES'!$A1073="","",IF('ORDENES'!$AA1073="","-",'ORDENES'!$AA1073))</f>
        <v/>
      </c>
      <c r="E1095" s="24">
        <f>IF('ORDENES'!$A1073="","",IF('ORDENES'!$Y1073="","-",'ORDENES'!$Y1073))</f>
        <v/>
      </c>
      <c r="F1095" s="24">
        <f>IF('ORDENES'!$A1073="","",IF('ORDENES'!$AB1073="","-",'ORDENES'!$AB1073))</f>
        <v/>
      </c>
      <c r="G1095" s="24">
        <f>IF('ORDENES'!$A1073="","",IF('ORDENES'!$Z1073="","-",'ORDENES'!$Z1073))</f>
        <v/>
      </c>
      <c r="H1095" s="24">
        <f>IF('ORDENES'!$A1073="","",IF('ORDENES'!$AH1073="","-",'ORDENES'!$AH1073))</f>
        <v/>
      </c>
      <c r="I1095" s="24">
        <f>IF('ORDENES'!$A1073="","",IF('ORDENES'!$AU1073="","-",'ORDENES'!$AU1073))</f>
        <v/>
      </c>
      <c r="J1095" s="24">
        <f>IF('ORDENES'!$A1073="","",IF('ORDENES'!$D1073="","-",'ORDENES'!$D1073))</f>
        <v/>
      </c>
      <c r="K1095" s="24">
        <f>IF('ORDENES'!$A1073="","",IF('ORDENES'!$E1073="","-",'ORDENES'!$E1073))</f>
        <v/>
      </c>
      <c r="L1095" s="26">
        <f>IF('ORDENES'!$A1073="","",IF('ORDENES'!$M1073="",0,'ORDENES'!$M1073))</f>
        <v/>
      </c>
      <c r="M1095" s="24">
        <f>IF('ORDENES'!$A1073="","",IF('ORDENES'!$N1073="","-",'ORDENES'!$N1073))</f>
        <v/>
      </c>
      <c r="N1095" s="24">
        <f>IF('ORDENES'!$A1073="","",'ORDENES'!$AG1073)</f>
        <v/>
      </c>
    </row>
    <row r="1096">
      <c r="A1096" s="24">
        <f>IF('ORDENES'!$A1074="","",IF('ORDENES'!$O1074="","-",'ORDENES'!$O1074))</f>
        <v/>
      </c>
      <c r="B1096" s="24">
        <f>IF('ORDENES'!$A1074="","",IF('ORDENES'!$S1074="","-",'ORDENES'!$S1074))</f>
        <v/>
      </c>
      <c r="C1096" s="24">
        <f>IF('ORDENES'!$A1074="","",IF('ORDENES'!$AI1074="","-",'ORDENES'!$AI1074))</f>
        <v/>
      </c>
      <c r="D1096" s="24">
        <f>IF('ORDENES'!$A1074="","",IF('ORDENES'!$AA1074="","-",'ORDENES'!$AA1074))</f>
        <v/>
      </c>
      <c r="E1096" s="24">
        <f>IF('ORDENES'!$A1074="","",IF('ORDENES'!$Y1074="","-",'ORDENES'!$Y1074))</f>
        <v/>
      </c>
      <c r="F1096" s="24">
        <f>IF('ORDENES'!$A1074="","",IF('ORDENES'!$AB1074="","-",'ORDENES'!$AB1074))</f>
        <v/>
      </c>
      <c r="G1096" s="24">
        <f>IF('ORDENES'!$A1074="","",IF('ORDENES'!$Z1074="","-",'ORDENES'!$Z1074))</f>
        <v/>
      </c>
      <c r="H1096" s="24">
        <f>IF('ORDENES'!$A1074="","",IF('ORDENES'!$AH1074="","-",'ORDENES'!$AH1074))</f>
        <v/>
      </c>
      <c r="I1096" s="24">
        <f>IF('ORDENES'!$A1074="","",IF('ORDENES'!$AU1074="","-",'ORDENES'!$AU1074))</f>
        <v/>
      </c>
      <c r="J1096" s="24">
        <f>IF('ORDENES'!$A1074="","",IF('ORDENES'!$D1074="","-",'ORDENES'!$D1074))</f>
        <v/>
      </c>
      <c r="K1096" s="24">
        <f>IF('ORDENES'!$A1074="","",IF('ORDENES'!$E1074="","-",'ORDENES'!$E1074))</f>
        <v/>
      </c>
      <c r="L1096" s="26">
        <f>IF('ORDENES'!$A1074="","",IF('ORDENES'!$M1074="",0,'ORDENES'!$M1074))</f>
        <v/>
      </c>
      <c r="M1096" s="24">
        <f>IF('ORDENES'!$A1074="","",IF('ORDENES'!$N1074="","-",'ORDENES'!$N1074))</f>
        <v/>
      </c>
      <c r="N1096" s="24">
        <f>IF('ORDENES'!$A1074="","",'ORDENES'!$AG1074)</f>
        <v/>
      </c>
    </row>
    <row r="1097">
      <c r="A1097" s="24">
        <f>IF('ORDENES'!$A1075="","",IF('ORDENES'!$O1075="","-",'ORDENES'!$O1075))</f>
        <v/>
      </c>
      <c r="B1097" s="24">
        <f>IF('ORDENES'!$A1075="","",IF('ORDENES'!$S1075="","-",'ORDENES'!$S1075))</f>
        <v/>
      </c>
      <c r="C1097" s="24">
        <f>IF('ORDENES'!$A1075="","",IF('ORDENES'!$AI1075="","-",'ORDENES'!$AI1075))</f>
        <v/>
      </c>
      <c r="D1097" s="24">
        <f>IF('ORDENES'!$A1075="","",IF('ORDENES'!$AA1075="","-",'ORDENES'!$AA1075))</f>
        <v/>
      </c>
      <c r="E1097" s="24">
        <f>IF('ORDENES'!$A1075="","",IF('ORDENES'!$Y1075="","-",'ORDENES'!$Y1075))</f>
        <v/>
      </c>
      <c r="F1097" s="24">
        <f>IF('ORDENES'!$A1075="","",IF('ORDENES'!$AB1075="","-",'ORDENES'!$AB1075))</f>
        <v/>
      </c>
      <c r="G1097" s="24">
        <f>IF('ORDENES'!$A1075="","",IF('ORDENES'!$Z1075="","-",'ORDENES'!$Z1075))</f>
        <v/>
      </c>
      <c r="H1097" s="24">
        <f>IF('ORDENES'!$A1075="","",IF('ORDENES'!$AH1075="","-",'ORDENES'!$AH1075))</f>
        <v/>
      </c>
      <c r="I1097" s="24">
        <f>IF('ORDENES'!$A1075="","",IF('ORDENES'!$AU1075="","-",'ORDENES'!$AU1075))</f>
        <v/>
      </c>
      <c r="J1097" s="24">
        <f>IF('ORDENES'!$A1075="","",IF('ORDENES'!$D1075="","-",'ORDENES'!$D1075))</f>
        <v/>
      </c>
      <c r="K1097" s="24">
        <f>IF('ORDENES'!$A1075="","",IF('ORDENES'!$E1075="","-",'ORDENES'!$E1075))</f>
        <v/>
      </c>
      <c r="L1097" s="26">
        <f>IF('ORDENES'!$A1075="","",IF('ORDENES'!$M1075="",0,'ORDENES'!$M1075))</f>
        <v/>
      </c>
      <c r="M1097" s="24">
        <f>IF('ORDENES'!$A1075="","",IF('ORDENES'!$N1075="","-",'ORDENES'!$N1075))</f>
        <v/>
      </c>
      <c r="N1097" s="24">
        <f>IF('ORDENES'!$A1075="","",'ORDENES'!$AG1075)</f>
        <v/>
      </c>
    </row>
    <row r="1098">
      <c r="A1098" s="24">
        <f>IF('ORDENES'!$A1076="","",IF('ORDENES'!$O1076="","-",'ORDENES'!$O1076))</f>
        <v/>
      </c>
      <c r="B1098" s="24">
        <f>IF('ORDENES'!$A1076="","",IF('ORDENES'!$S1076="","-",'ORDENES'!$S1076))</f>
        <v/>
      </c>
      <c r="C1098" s="24">
        <f>IF('ORDENES'!$A1076="","",IF('ORDENES'!$AI1076="","-",'ORDENES'!$AI1076))</f>
        <v/>
      </c>
      <c r="D1098" s="24">
        <f>IF('ORDENES'!$A1076="","",IF('ORDENES'!$AA1076="","-",'ORDENES'!$AA1076))</f>
        <v/>
      </c>
      <c r="E1098" s="24">
        <f>IF('ORDENES'!$A1076="","",IF('ORDENES'!$Y1076="","-",'ORDENES'!$Y1076))</f>
        <v/>
      </c>
      <c r="F1098" s="24">
        <f>IF('ORDENES'!$A1076="","",IF('ORDENES'!$AB1076="","-",'ORDENES'!$AB1076))</f>
        <v/>
      </c>
      <c r="G1098" s="24">
        <f>IF('ORDENES'!$A1076="","",IF('ORDENES'!$Z1076="","-",'ORDENES'!$Z1076))</f>
        <v/>
      </c>
      <c r="H1098" s="24">
        <f>IF('ORDENES'!$A1076="","",IF('ORDENES'!$AH1076="","-",'ORDENES'!$AH1076))</f>
        <v/>
      </c>
      <c r="I1098" s="24">
        <f>IF('ORDENES'!$A1076="","",IF('ORDENES'!$AU1076="","-",'ORDENES'!$AU1076))</f>
        <v/>
      </c>
      <c r="J1098" s="24">
        <f>IF('ORDENES'!$A1076="","",IF('ORDENES'!$D1076="","-",'ORDENES'!$D1076))</f>
        <v/>
      </c>
      <c r="K1098" s="24">
        <f>IF('ORDENES'!$A1076="","",IF('ORDENES'!$E1076="","-",'ORDENES'!$E1076))</f>
        <v/>
      </c>
      <c r="L1098" s="26">
        <f>IF('ORDENES'!$A1076="","",IF('ORDENES'!$M1076="",0,'ORDENES'!$M1076))</f>
        <v/>
      </c>
      <c r="M1098" s="24">
        <f>IF('ORDENES'!$A1076="","",IF('ORDENES'!$N1076="","-",'ORDENES'!$N1076))</f>
        <v/>
      </c>
      <c r="N1098" s="24">
        <f>IF('ORDENES'!$A1076="","",'ORDENES'!$AG1076)</f>
        <v/>
      </c>
    </row>
    <row r="1099">
      <c r="A1099" s="24">
        <f>IF('ORDENES'!$A1077="","",IF('ORDENES'!$O1077="","-",'ORDENES'!$O1077))</f>
        <v/>
      </c>
      <c r="B1099" s="24">
        <f>IF('ORDENES'!$A1077="","",IF('ORDENES'!$S1077="","-",'ORDENES'!$S1077))</f>
        <v/>
      </c>
      <c r="C1099" s="24">
        <f>IF('ORDENES'!$A1077="","",IF('ORDENES'!$AI1077="","-",'ORDENES'!$AI1077))</f>
        <v/>
      </c>
      <c r="D1099" s="24">
        <f>IF('ORDENES'!$A1077="","",IF('ORDENES'!$AA1077="","-",'ORDENES'!$AA1077))</f>
        <v/>
      </c>
      <c r="E1099" s="24">
        <f>IF('ORDENES'!$A1077="","",IF('ORDENES'!$Y1077="","-",'ORDENES'!$Y1077))</f>
        <v/>
      </c>
      <c r="F1099" s="24">
        <f>IF('ORDENES'!$A1077="","",IF('ORDENES'!$AB1077="","-",'ORDENES'!$AB1077))</f>
        <v/>
      </c>
      <c r="G1099" s="24">
        <f>IF('ORDENES'!$A1077="","",IF('ORDENES'!$Z1077="","-",'ORDENES'!$Z1077))</f>
        <v/>
      </c>
      <c r="H1099" s="24">
        <f>IF('ORDENES'!$A1077="","",IF('ORDENES'!$AH1077="","-",'ORDENES'!$AH1077))</f>
        <v/>
      </c>
      <c r="I1099" s="24">
        <f>IF('ORDENES'!$A1077="","",IF('ORDENES'!$AU1077="","-",'ORDENES'!$AU1077))</f>
        <v/>
      </c>
      <c r="J1099" s="24">
        <f>IF('ORDENES'!$A1077="","",IF('ORDENES'!$D1077="","-",'ORDENES'!$D1077))</f>
        <v/>
      </c>
      <c r="K1099" s="24">
        <f>IF('ORDENES'!$A1077="","",IF('ORDENES'!$E1077="","-",'ORDENES'!$E1077))</f>
        <v/>
      </c>
      <c r="L1099" s="26">
        <f>IF('ORDENES'!$A1077="","",IF('ORDENES'!$M1077="",0,'ORDENES'!$M1077))</f>
        <v/>
      </c>
      <c r="M1099" s="24">
        <f>IF('ORDENES'!$A1077="","",IF('ORDENES'!$N1077="","-",'ORDENES'!$N1077))</f>
        <v/>
      </c>
      <c r="N1099" s="24">
        <f>IF('ORDENES'!$A1077="","",'ORDENES'!$AG1077)</f>
        <v/>
      </c>
    </row>
    <row r="1100">
      <c r="A1100" s="24">
        <f>IF('ORDENES'!$A1078="","",IF('ORDENES'!$O1078="","-",'ORDENES'!$O1078))</f>
        <v/>
      </c>
      <c r="B1100" s="24">
        <f>IF('ORDENES'!$A1078="","",IF('ORDENES'!$S1078="","-",'ORDENES'!$S1078))</f>
        <v/>
      </c>
      <c r="C1100" s="24">
        <f>IF('ORDENES'!$A1078="","",IF('ORDENES'!$AI1078="","-",'ORDENES'!$AI1078))</f>
        <v/>
      </c>
      <c r="D1100" s="24">
        <f>IF('ORDENES'!$A1078="","",IF('ORDENES'!$AA1078="","-",'ORDENES'!$AA1078))</f>
        <v/>
      </c>
      <c r="E1100" s="24">
        <f>IF('ORDENES'!$A1078="","",IF('ORDENES'!$Y1078="","-",'ORDENES'!$Y1078))</f>
        <v/>
      </c>
      <c r="F1100" s="24">
        <f>IF('ORDENES'!$A1078="","",IF('ORDENES'!$AB1078="","-",'ORDENES'!$AB1078))</f>
        <v/>
      </c>
      <c r="G1100" s="24">
        <f>IF('ORDENES'!$A1078="","",IF('ORDENES'!$Z1078="","-",'ORDENES'!$Z1078))</f>
        <v/>
      </c>
      <c r="H1100" s="24">
        <f>IF('ORDENES'!$A1078="","",IF('ORDENES'!$AH1078="","-",'ORDENES'!$AH1078))</f>
        <v/>
      </c>
      <c r="I1100" s="24">
        <f>IF('ORDENES'!$A1078="","",IF('ORDENES'!$AU1078="","-",'ORDENES'!$AU1078))</f>
        <v/>
      </c>
      <c r="J1100" s="24">
        <f>IF('ORDENES'!$A1078="","",IF('ORDENES'!$D1078="","-",'ORDENES'!$D1078))</f>
        <v/>
      </c>
      <c r="K1100" s="24">
        <f>IF('ORDENES'!$A1078="","",IF('ORDENES'!$E1078="","-",'ORDENES'!$E1078))</f>
        <v/>
      </c>
      <c r="L1100" s="26">
        <f>IF('ORDENES'!$A1078="","",IF('ORDENES'!$M1078="",0,'ORDENES'!$M1078))</f>
        <v/>
      </c>
      <c r="M1100" s="24">
        <f>IF('ORDENES'!$A1078="","",IF('ORDENES'!$N1078="","-",'ORDENES'!$N1078))</f>
        <v/>
      </c>
      <c r="N1100" s="24">
        <f>IF('ORDENES'!$A1078="","",'ORDENES'!$AG1078)</f>
        <v/>
      </c>
    </row>
    <row r="1101">
      <c r="A1101" s="24">
        <f>IF('ORDENES'!$A1079="","",IF('ORDENES'!$O1079="","-",'ORDENES'!$O1079))</f>
        <v/>
      </c>
      <c r="B1101" s="24">
        <f>IF('ORDENES'!$A1079="","",IF('ORDENES'!$S1079="","-",'ORDENES'!$S1079))</f>
        <v/>
      </c>
      <c r="C1101" s="24">
        <f>IF('ORDENES'!$A1079="","",IF('ORDENES'!$AI1079="","-",'ORDENES'!$AI1079))</f>
        <v/>
      </c>
      <c r="D1101" s="24">
        <f>IF('ORDENES'!$A1079="","",IF('ORDENES'!$AA1079="","-",'ORDENES'!$AA1079))</f>
        <v/>
      </c>
      <c r="E1101" s="24">
        <f>IF('ORDENES'!$A1079="","",IF('ORDENES'!$Y1079="","-",'ORDENES'!$Y1079))</f>
        <v/>
      </c>
      <c r="F1101" s="24">
        <f>IF('ORDENES'!$A1079="","",IF('ORDENES'!$AB1079="","-",'ORDENES'!$AB1079))</f>
        <v/>
      </c>
      <c r="G1101" s="24">
        <f>IF('ORDENES'!$A1079="","",IF('ORDENES'!$Z1079="","-",'ORDENES'!$Z1079))</f>
        <v/>
      </c>
      <c r="H1101" s="24">
        <f>IF('ORDENES'!$A1079="","",IF('ORDENES'!$AH1079="","-",'ORDENES'!$AH1079))</f>
        <v/>
      </c>
      <c r="I1101" s="24">
        <f>IF('ORDENES'!$A1079="","",IF('ORDENES'!$AU1079="","-",'ORDENES'!$AU1079))</f>
        <v/>
      </c>
      <c r="J1101" s="24">
        <f>IF('ORDENES'!$A1079="","",IF('ORDENES'!$D1079="","-",'ORDENES'!$D1079))</f>
        <v/>
      </c>
      <c r="K1101" s="24">
        <f>IF('ORDENES'!$A1079="","",IF('ORDENES'!$E1079="","-",'ORDENES'!$E1079))</f>
        <v/>
      </c>
      <c r="L1101" s="26">
        <f>IF('ORDENES'!$A1079="","",IF('ORDENES'!$M1079="",0,'ORDENES'!$M1079))</f>
        <v/>
      </c>
      <c r="M1101" s="24">
        <f>IF('ORDENES'!$A1079="","",IF('ORDENES'!$N1079="","-",'ORDENES'!$N1079))</f>
        <v/>
      </c>
      <c r="N1101" s="24">
        <f>IF('ORDENES'!$A1079="","",'ORDENES'!$AG1079)</f>
        <v/>
      </c>
    </row>
    <row r="1102">
      <c r="A1102" s="24">
        <f>IF('ORDENES'!$A1080="","",IF('ORDENES'!$O1080="","-",'ORDENES'!$O1080))</f>
        <v/>
      </c>
      <c r="B1102" s="24">
        <f>IF('ORDENES'!$A1080="","",IF('ORDENES'!$S1080="","-",'ORDENES'!$S1080))</f>
        <v/>
      </c>
      <c r="C1102" s="24">
        <f>IF('ORDENES'!$A1080="","",IF('ORDENES'!$AI1080="","-",'ORDENES'!$AI1080))</f>
        <v/>
      </c>
      <c r="D1102" s="24">
        <f>IF('ORDENES'!$A1080="","",IF('ORDENES'!$AA1080="","-",'ORDENES'!$AA1080))</f>
        <v/>
      </c>
      <c r="E1102" s="24">
        <f>IF('ORDENES'!$A1080="","",IF('ORDENES'!$Y1080="","-",'ORDENES'!$Y1080))</f>
        <v/>
      </c>
      <c r="F1102" s="24">
        <f>IF('ORDENES'!$A1080="","",IF('ORDENES'!$AB1080="","-",'ORDENES'!$AB1080))</f>
        <v/>
      </c>
      <c r="G1102" s="24">
        <f>IF('ORDENES'!$A1080="","",IF('ORDENES'!$Z1080="","-",'ORDENES'!$Z1080))</f>
        <v/>
      </c>
      <c r="H1102" s="24">
        <f>IF('ORDENES'!$A1080="","",IF('ORDENES'!$AH1080="","-",'ORDENES'!$AH1080))</f>
        <v/>
      </c>
      <c r="I1102" s="24">
        <f>IF('ORDENES'!$A1080="","",IF('ORDENES'!$AU1080="","-",'ORDENES'!$AU1080))</f>
        <v/>
      </c>
      <c r="J1102" s="24">
        <f>IF('ORDENES'!$A1080="","",IF('ORDENES'!$D1080="","-",'ORDENES'!$D1080))</f>
        <v/>
      </c>
      <c r="K1102" s="24">
        <f>IF('ORDENES'!$A1080="","",IF('ORDENES'!$E1080="","-",'ORDENES'!$E1080))</f>
        <v/>
      </c>
      <c r="L1102" s="26">
        <f>IF('ORDENES'!$A1080="","",IF('ORDENES'!$M1080="",0,'ORDENES'!$M1080))</f>
        <v/>
      </c>
      <c r="M1102" s="24">
        <f>IF('ORDENES'!$A1080="","",IF('ORDENES'!$N1080="","-",'ORDENES'!$N1080))</f>
        <v/>
      </c>
      <c r="N1102" s="24">
        <f>IF('ORDENES'!$A1080="","",'ORDENES'!$AG1080)</f>
        <v/>
      </c>
    </row>
    <row r="1103">
      <c r="A1103" s="24">
        <f>IF('ORDENES'!$A1081="","",IF('ORDENES'!$O1081="","-",'ORDENES'!$O1081))</f>
        <v/>
      </c>
      <c r="B1103" s="24">
        <f>IF('ORDENES'!$A1081="","",IF('ORDENES'!$S1081="","-",'ORDENES'!$S1081))</f>
        <v/>
      </c>
      <c r="C1103" s="24">
        <f>IF('ORDENES'!$A1081="","",IF('ORDENES'!$AI1081="","-",'ORDENES'!$AI1081))</f>
        <v/>
      </c>
      <c r="D1103" s="24">
        <f>IF('ORDENES'!$A1081="","",IF('ORDENES'!$AA1081="","-",'ORDENES'!$AA1081))</f>
        <v/>
      </c>
      <c r="E1103" s="24">
        <f>IF('ORDENES'!$A1081="","",IF('ORDENES'!$Y1081="","-",'ORDENES'!$Y1081))</f>
        <v/>
      </c>
      <c r="F1103" s="24">
        <f>IF('ORDENES'!$A1081="","",IF('ORDENES'!$AB1081="","-",'ORDENES'!$AB1081))</f>
        <v/>
      </c>
      <c r="G1103" s="24">
        <f>IF('ORDENES'!$A1081="","",IF('ORDENES'!$Z1081="","-",'ORDENES'!$Z1081))</f>
        <v/>
      </c>
      <c r="H1103" s="24">
        <f>IF('ORDENES'!$A1081="","",IF('ORDENES'!$AH1081="","-",'ORDENES'!$AH1081))</f>
        <v/>
      </c>
      <c r="I1103" s="24">
        <f>IF('ORDENES'!$A1081="","",IF('ORDENES'!$AU1081="","-",'ORDENES'!$AU1081))</f>
        <v/>
      </c>
      <c r="J1103" s="24">
        <f>IF('ORDENES'!$A1081="","",IF('ORDENES'!$D1081="","-",'ORDENES'!$D1081))</f>
        <v/>
      </c>
      <c r="K1103" s="24">
        <f>IF('ORDENES'!$A1081="","",IF('ORDENES'!$E1081="","-",'ORDENES'!$E1081))</f>
        <v/>
      </c>
      <c r="L1103" s="26">
        <f>IF('ORDENES'!$A1081="","",IF('ORDENES'!$M1081="",0,'ORDENES'!$M1081))</f>
        <v/>
      </c>
      <c r="M1103" s="24">
        <f>IF('ORDENES'!$A1081="","",IF('ORDENES'!$N1081="","-",'ORDENES'!$N1081))</f>
        <v/>
      </c>
      <c r="N1103" s="24">
        <f>IF('ORDENES'!$A1081="","",'ORDENES'!$AG1081)</f>
        <v/>
      </c>
    </row>
    <row r="1104">
      <c r="A1104" s="24">
        <f>IF('ORDENES'!$A1082="","",IF('ORDENES'!$O1082="","-",'ORDENES'!$O1082))</f>
        <v/>
      </c>
      <c r="B1104" s="24">
        <f>IF('ORDENES'!$A1082="","",IF('ORDENES'!$S1082="","-",'ORDENES'!$S1082))</f>
        <v/>
      </c>
      <c r="C1104" s="24">
        <f>IF('ORDENES'!$A1082="","",IF('ORDENES'!$AI1082="","-",'ORDENES'!$AI1082))</f>
        <v/>
      </c>
      <c r="D1104" s="24">
        <f>IF('ORDENES'!$A1082="","",IF('ORDENES'!$AA1082="","-",'ORDENES'!$AA1082))</f>
        <v/>
      </c>
      <c r="E1104" s="24">
        <f>IF('ORDENES'!$A1082="","",IF('ORDENES'!$Y1082="","-",'ORDENES'!$Y1082))</f>
        <v/>
      </c>
      <c r="F1104" s="24">
        <f>IF('ORDENES'!$A1082="","",IF('ORDENES'!$AB1082="","-",'ORDENES'!$AB1082))</f>
        <v/>
      </c>
      <c r="G1104" s="24">
        <f>IF('ORDENES'!$A1082="","",IF('ORDENES'!$Z1082="","-",'ORDENES'!$Z1082))</f>
        <v/>
      </c>
      <c r="H1104" s="24">
        <f>IF('ORDENES'!$A1082="","",IF('ORDENES'!$AH1082="","-",'ORDENES'!$AH1082))</f>
        <v/>
      </c>
      <c r="I1104" s="24">
        <f>IF('ORDENES'!$A1082="","",IF('ORDENES'!$AU1082="","-",'ORDENES'!$AU1082))</f>
        <v/>
      </c>
      <c r="J1104" s="24">
        <f>IF('ORDENES'!$A1082="","",IF('ORDENES'!$D1082="","-",'ORDENES'!$D1082))</f>
        <v/>
      </c>
      <c r="K1104" s="24">
        <f>IF('ORDENES'!$A1082="","",IF('ORDENES'!$E1082="","-",'ORDENES'!$E1082))</f>
        <v/>
      </c>
      <c r="L1104" s="26">
        <f>IF('ORDENES'!$A1082="","",IF('ORDENES'!$M1082="",0,'ORDENES'!$M1082))</f>
        <v/>
      </c>
      <c r="M1104" s="24">
        <f>IF('ORDENES'!$A1082="","",IF('ORDENES'!$N1082="","-",'ORDENES'!$N1082))</f>
        <v/>
      </c>
      <c r="N1104" s="24">
        <f>IF('ORDENES'!$A1082="","",'ORDENES'!$AG1082)</f>
        <v/>
      </c>
    </row>
    <row r="1105">
      <c r="A1105" s="24">
        <f>IF('ORDENES'!$A1083="","",IF('ORDENES'!$O1083="","-",'ORDENES'!$O1083))</f>
        <v/>
      </c>
      <c r="B1105" s="24">
        <f>IF('ORDENES'!$A1083="","",IF('ORDENES'!$S1083="","-",'ORDENES'!$S1083))</f>
        <v/>
      </c>
      <c r="C1105" s="24">
        <f>IF('ORDENES'!$A1083="","",IF('ORDENES'!$AI1083="","-",'ORDENES'!$AI1083))</f>
        <v/>
      </c>
      <c r="D1105" s="24">
        <f>IF('ORDENES'!$A1083="","",IF('ORDENES'!$AA1083="","-",'ORDENES'!$AA1083))</f>
        <v/>
      </c>
      <c r="E1105" s="24">
        <f>IF('ORDENES'!$A1083="","",IF('ORDENES'!$Y1083="","-",'ORDENES'!$Y1083))</f>
        <v/>
      </c>
      <c r="F1105" s="24">
        <f>IF('ORDENES'!$A1083="","",IF('ORDENES'!$AB1083="","-",'ORDENES'!$AB1083))</f>
        <v/>
      </c>
      <c r="G1105" s="24">
        <f>IF('ORDENES'!$A1083="","",IF('ORDENES'!$Z1083="","-",'ORDENES'!$Z1083))</f>
        <v/>
      </c>
      <c r="H1105" s="24">
        <f>IF('ORDENES'!$A1083="","",IF('ORDENES'!$AH1083="","-",'ORDENES'!$AH1083))</f>
        <v/>
      </c>
      <c r="I1105" s="24">
        <f>IF('ORDENES'!$A1083="","",IF('ORDENES'!$AU1083="","-",'ORDENES'!$AU1083))</f>
        <v/>
      </c>
      <c r="J1105" s="24">
        <f>IF('ORDENES'!$A1083="","",IF('ORDENES'!$D1083="","-",'ORDENES'!$D1083))</f>
        <v/>
      </c>
      <c r="K1105" s="24">
        <f>IF('ORDENES'!$A1083="","",IF('ORDENES'!$E1083="","-",'ORDENES'!$E1083))</f>
        <v/>
      </c>
      <c r="L1105" s="26">
        <f>IF('ORDENES'!$A1083="","",IF('ORDENES'!$M1083="",0,'ORDENES'!$M1083))</f>
        <v/>
      </c>
      <c r="M1105" s="24">
        <f>IF('ORDENES'!$A1083="","",IF('ORDENES'!$N1083="","-",'ORDENES'!$N1083))</f>
        <v/>
      </c>
      <c r="N1105" s="24">
        <f>IF('ORDENES'!$A1083="","",'ORDENES'!$AG1083)</f>
        <v/>
      </c>
    </row>
    <row r="1106">
      <c r="A1106" s="24">
        <f>IF('ORDENES'!$A1084="","",IF('ORDENES'!$O1084="","-",'ORDENES'!$O1084))</f>
        <v/>
      </c>
      <c r="B1106" s="24">
        <f>IF('ORDENES'!$A1084="","",IF('ORDENES'!$S1084="","-",'ORDENES'!$S1084))</f>
        <v/>
      </c>
      <c r="C1106" s="24">
        <f>IF('ORDENES'!$A1084="","",IF('ORDENES'!$AI1084="","-",'ORDENES'!$AI1084))</f>
        <v/>
      </c>
      <c r="D1106" s="24">
        <f>IF('ORDENES'!$A1084="","",IF('ORDENES'!$AA1084="","-",'ORDENES'!$AA1084))</f>
        <v/>
      </c>
      <c r="E1106" s="24">
        <f>IF('ORDENES'!$A1084="","",IF('ORDENES'!$Y1084="","-",'ORDENES'!$Y1084))</f>
        <v/>
      </c>
      <c r="F1106" s="24">
        <f>IF('ORDENES'!$A1084="","",IF('ORDENES'!$AB1084="","-",'ORDENES'!$AB1084))</f>
        <v/>
      </c>
      <c r="G1106" s="24">
        <f>IF('ORDENES'!$A1084="","",IF('ORDENES'!$Z1084="","-",'ORDENES'!$Z1084))</f>
        <v/>
      </c>
      <c r="H1106" s="24">
        <f>IF('ORDENES'!$A1084="","",IF('ORDENES'!$AH1084="","-",'ORDENES'!$AH1084))</f>
        <v/>
      </c>
      <c r="I1106" s="24">
        <f>IF('ORDENES'!$A1084="","",IF('ORDENES'!$AU1084="","-",'ORDENES'!$AU1084))</f>
        <v/>
      </c>
      <c r="J1106" s="24">
        <f>IF('ORDENES'!$A1084="","",IF('ORDENES'!$D1084="","-",'ORDENES'!$D1084))</f>
        <v/>
      </c>
      <c r="K1106" s="24">
        <f>IF('ORDENES'!$A1084="","",IF('ORDENES'!$E1084="","-",'ORDENES'!$E1084))</f>
        <v/>
      </c>
      <c r="L1106" s="26">
        <f>IF('ORDENES'!$A1084="","",IF('ORDENES'!$M1084="",0,'ORDENES'!$M1084))</f>
        <v/>
      </c>
      <c r="M1106" s="24">
        <f>IF('ORDENES'!$A1084="","",IF('ORDENES'!$N1084="","-",'ORDENES'!$N1084))</f>
        <v/>
      </c>
      <c r="N1106" s="24">
        <f>IF('ORDENES'!$A1084="","",'ORDENES'!$AG1084)</f>
        <v/>
      </c>
    </row>
    <row r="1107">
      <c r="A1107" s="24">
        <f>IF('ORDENES'!$A1085="","",IF('ORDENES'!$O1085="","-",'ORDENES'!$O1085))</f>
        <v/>
      </c>
      <c r="B1107" s="24">
        <f>IF('ORDENES'!$A1085="","",IF('ORDENES'!$S1085="","-",'ORDENES'!$S1085))</f>
        <v/>
      </c>
      <c r="C1107" s="24">
        <f>IF('ORDENES'!$A1085="","",IF('ORDENES'!$AI1085="","-",'ORDENES'!$AI1085))</f>
        <v/>
      </c>
      <c r="D1107" s="24">
        <f>IF('ORDENES'!$A1085="","",IF('ORDENES'!$AA1085="","-",'ORDENES'!$AA1085))</f>
        <v/>
      </c>
      <c r="E1107" s="24">
        <f>IF('ORDENES'!$A1085="","",IF('ORDENES'!$Y1085="","-",'ORDENES'!$Y1085))</f>
        <v/>
      </c>
      <c r="F1107" s="24">
        <f>IF('ORDENES'!$A1085="","",IF('ORDENES'!$AB1085="","-",'ORDENES'!$AB1085))</f>
        <v/>
      </c>
      <c r="G1107" s="24">
        <f>IF('ORDENES'!$A1085="","",IF('ORDENES'!$Z1085="","-",'ORDENES'!$Z1085))</f>
        <v/>
      </c>
      <c r="H1107" s="24">
        <f>IF('ORDENES'!$A1085="","",IF('ORDENES'!$AH1085="","-",'ORDENES'!$AH1085))</f>
        <v/>
      </c>
      <c r="I1107" s="24">
        <f>IF('ORDENES'!$A1085="","",IF('ORDENES'!$AU1085="","-",'ORDENES'!$AU1085))</f>
        <v/>
      </c>
      <c r="J1107" s="24">
        <f>IF('ORDENES'!$A1085="","",IF('ORDENES'!$D1085="","-",'ORDENES'!$D1085))</f>
        <v/>
      </c>
      <c r="K1107" s="24">
        <f>IF('ORDENES'!$A1085="","",IF('ORDENES'!$E1085="","-",'ORDENES'!$E1085))</f>
        <v/>
      </c>
      <c r="L1107" s="26">
        <f>IF('ORDENES'!$A1085="","",IF('ORDENES'!$M1085="",0,'ORDENES'!$M1085))</f>
        <v/>
      </c>
      <c r="M1107" s="24">
        <f>IF('ORDENES'!$A1085="","",IF('ORDENES'!$N1085="","-",'ORDENES'!$N1085))</f>
        <v/>
      </c>
      <c r="N1107" s="24">
        <f>IF('ORDENES'!$A1085="","",'ORDENES'!$AG1085)</f>
        <v/>
      </c>
    </row>
    <row r="1108">
      <c r="A1108" s="24">
        <f>IF('ORDENES'!$A1086="","",IF('ORDENES'!$O1086="","-",'ORDENES'!$O1086))</f>
        <v/>
      </c>
      <c r="B1108" s="24">
        <f>IF('ORDENES'!$A1086="","",IF('ORDENES'!$S1086="","-",'ORDENES'!$S1086))</f>
        <v/>
      </c>
      <c r="C1108" s="24">
        <f>IF('ORDENES'!$A1086="","",IF('ORDENES'!$AI1086="","-",'ORDENES'!$AI1086))</f>
        <v/>
      </c>
      <c r="D1108" s="24">
        <f>IF('ORDENES'!$A1086="","",IF('ORDENES'!$AA1086="","-",'ORDENES'!$AA1086))</f>
        <v/>
      </c>
      <c r="E1108" s="24">
        <f>IF('ORDENES'!$A1086="","",IF('ORDENES'!$Y1086="","-",'ORDENES'!$Y1086))</f>
        <v/>
      </c>
      <c r="F1108" s="24">
        <f>IF('ORDENES'!$A1086="","",IF('ORDENES'!$AB1086="","-",'ORDENES'!$AB1086))</f>
        <v/>
      </c>
      <c r="G1108" s="24">
        <f>IF('ORDENES'!$A1086="","",IF('ORDENES'!$Z1086="","-",'ORDENES'!$Z1086))</f>
        <v/>
      </c>
      <c r="H1108" s="24">
        <f>IF('ORDENES'!$A1086="","",IF('ORDENES'!$AH1086="","-",'ORDENES'!$AH1086))</f>
        <v/>
      </c>
      <c r="I1108" s="24">
        <f>IF('ORDENES'!$A1086="","",IF('ORDENES'!$AU1086="","-",'ORDENES'!$AU1086))</f>
        <v/>
      </c>
      <c r="J1108" s="24">
        <f>IF('ORDENES'!$A1086="","",IF('ORDENES'!$D1086="","-",'ORDENES'!$D1086))</f>
        <v/>
      </c>
      <c r="K1108" s="24">
        <f>IF('ORDENES'!$A1086="","",IF('ORDENES'!$E1086="","-",'ORDENES'!$E1086))</f>
        <v/>
      </c>
      <c r="L1108" s="26">
        <f>IF('ORDENES'!$A1086="","",IF('ORDENES'!$M1086="",0,'ORDENES'!$M1086))</f>
        <v/>
      </c>
      <c r="M1108" s="24">
        <f>IF('ORDENES'!$A1086="","",IF('ORDENES'!$N1086="","-",'ORDENES'!$N1086))</f>
        <v/>
      </c>
      <c r="N1108" s="24">
        <f>IF('ORDENES'!$A1086="","",'ORDENES'!$AG1086)</f>
        <v/>
      </c>
    </row>
    <row r="1109">
      <c r="A1109" s="24">
        <f>IF('ORDENES'!$A1087="","",IF('ORDENES'!$O1087="","-",'ORDENES'!$O1087))</f>
        <v/>
      </c>
      <c r="B1109" s="24">
        <f>IF('ORDENES'!$A1087="","",IF('ORDENES'!$S1087="","-",'ORDENES'!$S1087))</f>
        <v/>
      </c>
      <c r="C1109" s="24">
        <f>IF('ORDENES'!$A1087="","",IF('ORDENES'!$AI1087="","-",'ORDENES'!$AI1087))</f>
        <v/>
      </c>
      <c r="D1109" s="24">
        <f>IF('ORDENES'!$A1087="","",IF('ORDENES'!$AA1087="","-",'ORDENES'!$AA1087))</f>
        <v/>
      </c>
      <c r="E1109" s="24">
        <f>IF('ORDENES'!$A1087="","",IF('ORDENES'!$Y1087="","-",'ORDENES'!$Y1087))</f>
        <v/>
      </c>
      <c r="F1109" s="24">
        <f>IF('ORDENES'!$A1087="","",IF('ORDENES'!$AB1087="","-",'ORDENES'!$AB1087))</f>
        <v/>
      </c>
      <c r="G1109" s="24">
        <f>IF('ORDENES'!$A1087="","",IF('ORDENES'!$Z1087="","-",'ORDENES'!$Z1087))</f>
        <v/>
      </c>
      <c r="H1109" s="24">
        <f>IF('ORDENES'!$A1087="","",IF('ORDENES'!$AH1087="","-",'ORDENES'!$AH1087))</f>
        <v/>
      </c>
      <c r="I1109" s="24">
        <f>IF('ORDENES'!$A1087="","",IF('ORDENES'!$AU1087="","-",'ORDENES'!$AU1087))</f>
        <v/>
      </c>
      <c r="J1109" s="24">
        <f>IF('ORDENES'!$A1087="","",IF('ORDENES'!$D1087="","-",'ORDENES'!$D1087))</f>
        <v/>
      </c>
      <c r="K1109" s="24">
        <f>IF('ORDENES'!$A1087="","",IF('ORDENES'!$E1087="","-",'ORDENES'!$E1087))</f>
        <v/>
      </c>
      <c r="L1109" s="26">
        <f>IF('ORDENES'!$A1087="","",IF('ORDENES'!$M1087="",0,'ORDENES'!$M1087))</f>
        <v/>
      </c>
      <c r="M1109" s="24">
        <f>IF('ORDENES'!$A1087="","",IF('ORDENES'!$N1087="","-",'ORDENES'!$N1087))</f>
        <v/>
      </c>
      <c r="N1109" s="24">
        <f>IF('ORDENES'!$A1087="","",'ORDENES'!$AG1087)</f>
        <v/>
      </c>
    </row>
    <row r="1110">
      <c r="A1110" s="24">
        <f>IF('ORDENES'!$A1088="","",IF('ORDENES'!$O1088="","-",'ORDENES'!$O1088))</f>
        <v/>
      </c>
      <c r="B1110" s="24">
        <f>IF('ORDENES'!$A1088="","",IF('ORDENES'!$S1088="","-",'ORDENES'!$S1088))</f>
        <v/>
      </c>
      <c r="C1110" s="24">
        <f>IF('ORDENES'!$A1088="","",IF('ORDENES'!$AI1088="","-",'ORDENES'!$AI1088))</f>
        <v/>
      </c>
      <c r="D1110" s="24">
        <f>IF('ORDENES'!$A1088="","",IF('ORDENES'!$AA1088="","-",'ORDENES'!$AA1088))</f>
        <v/>
      </c>
      <c r="E1110" s="24">
        <f>IF('ORDENES'!$A1088="","",IF('ORDENES'!$Y1088="","-",'ORDENES'!$Y1088))</f>
        <v/>
      </c>
      <c r="F1110" s="24">
        <f>IF('ORDENES'!$A1088="","",IF('ORDENES'!$AB1088="","-",'ORDENES'!$AB1088))</f>
        <v/>
      </c>
      <c r="G1110" s="24">
        <f>IF('ORDENES'!$A1088="","",IF('ORDENES'!$Z1088="","-",'ORDENES'!$Z1088))</f>
        <v/>
      </c>
      <c r="H1110" s="24">
        <f>IF('ORDENES'!$A1088="","",IF('ORDENES'!$AH1088="","-",'ORDENES'!$AH1088))</f>
        <v/>
      </c>
      <c r="I1110" s="24">
        <f>IF('ORDENES'!$A1088="","",IF('ORDENES'!$AU1088="","-",'ORDENES'!$AU1088))</f>
        <v/>
      </c>
      <c r="J1110" s="24">
        <f>IF('ORDENES'!$A1088="","",IF('ORDENES'!$D1088="","-",'ORDENES'!$D1088))</f>
        <v/>
      </c>
      <c r="K1110" s="24">
        <f>IF('ORDENES'!$A1088="","",IF('ORDENES'!$E1088="","-",'ORDENES'!$E1088))</f>
        <v/>
      </c>
      <c r="L1110" s="26">
        <f>IF('ORDENES'!$A1088="","",IF('ORDENES'!$M1088="",0,'ORDENES'!$M1088))</f>
        <v/>
      </c>
      <c r="M1110" s="24">
        <f>IF('ORDENES'!$A1088="","",IF('ORDENES'!$N1088="","-",'ORDENES'!$N1088))</f>
        <v/>
      </c>
      <c r="N1110" s="24">
        <f>IF('ORDENES'!$A1088="","",'ORDENES'!$AG1088)</f>
        <v/>
      </c>
    </row>
    <row r="1111">
      <c r="A1111" s="24">
        <f>IF('ORDENES'!$A1089="","",IF('ORDENES'!$O1089="","-",'ORDENES'!$O1089))</f>
        <v/>
      </c>
      <c r="B1111" s="24">
        <f>IF('ORDENES'!$A1089="","",IF('ORDENES'!$S1089="","-",'ORDENES'!$S1089))</f>
        <v/>
      </c>
      <c r="C1111" s="24">
        <f>IF('ORDENES'!$A1089="","",IF('ORDENES'!$AI1089="","-",'ORDENES'!$AI1089))</f>
        <v/>
      </c>
      <c r="D1111" s="24">
        <f>IF('ORDENES'!$A1089="","",IF('ORDENES'!$AA1089="","-",'ORDENES'!$AA1089))</f>
        <v/>
      </c>
      <c r="E1111" s="24">
        <f>IF('ORDENES'!$A1089="","",IF('ORDENES'!$Y1089="","-",'ORDENES'!$Y1089))</f>
        <v/>
      </c>
      <c r="F1111" s="24">
        <f>IF('ORDENES'!$A1089="","",IF('ORDENES'!$AB1089="","-",'ORDENES'!$AB1089))</f>
        <v/>
      </c>
      <c r="G1111" s="24">
        <f>IF('ORDENES'!$A1089="","",IF('ORDENES'!$Z1089="","-",'ORDENES'!$Z1089))</f>
        <v/>
      </c>
      <c r="H1111" s="24">
        <f>IF('ORDENES'!$A1089="","",IF('ORDENES'!$AH1089="","-",'ORDENES'!$AH1089))</f>
        <v/>
      </c>
      <c r="I1111" s="24">
        <f>IF('ORDENES'!$A1089="","",IF('ORDENES'!$AU1089="","-",'ORDENES'!$AU1089))</f>
        <v/>
      </c>
      <c r="J1111" s="24">
        <f>IF('ORDENES'!$A1089="","",IF('ORDENES'!$D1089="","-",'ORDENES'!$D1089))</f>
        <v/>
      </c>
      <c r="K1111" s="24">
        <f>IF('ORDENES'!$A1089="","",IF('ORDENES'!$E1089="","-",'ORDENES'!$E1089))</f>
        <v/>
      </c>
      <c r="L1111" s="26">
        <f>IF('ORDENES'!$A1089="","",IF('ORDENES'!$M1089="",0,'ORDENES'!$M1089))</f>
        <v/>
      </c>
      <c r="M1111" s="24">
        <f>IF('ORDENES'!$A1089="","",IF('ORDENES'!$N1089="","-",'ORDENES'!$N1089))</f>
        <v/>
      </c>
      <c r="N1111" s="24">
        <f>IF('ORDENES'!$A1089="","",'ORDENES'!$AG1089)</f>
        <v/>
      </c>
    </row>
    <row r="1112">
      <c r="A1112" s="24">
        <f>IF('ORDENES'!$A1090="","",IF('ORDENES'!$O1090="","-",'ORDENES'!$O1090))</f>
        <v/>
      </c>
      <c r="B1112" s="24">
        <f>IF('ORDENES'!$A1090="","",IF('ORDENES'!$S1090="","-",'ORDENES'!$S1090))</f>
        <v/>
      </c>
      <c r="C1112" s="24">
        <f>IF('ORDENES'!$A1090="","",IF('ORDENES'!$AI1090="","-",'ORDENES'!$AI1090))</f>
        <v/>
      </c>
      <c r="D1112" s="24">
        <f>IF('ORDENES'!$A1090="","",IF('ORDENES'!$AA1090="","-",'ORDENES'!$AA1090))</f>
        <v/>
      </c>
      <c r="E1112" s="24">
        <f>IF('ORDENES'!$A1090="","",IF('ORDENES'!$Y1090="","-",'ORDENES'!$Y1090))</f>
        <v/>
      </c>
      <c r="F1112" s="24">
        <f>IF('ORDENES'!$A1090="","",IF('ORDENES'!$AB1090="","-",'ORDENES'!$AB1090))</f>
        <v/>
      </c>
      <c r="G1112" s="24">
        <f>IF('ORDENES'!$A1090="","",IF('ORDENES'!$Z1090="","-",'ORDENES'!$Z1090))</f>
        <v/>
      </c>
      <c r="H1112" s="24">
        <f>IF('ORDENES'!$A1090="","",IF('ORDENES'!$AH1090="","-",'ORDENES'!$AH1090))</f>
        <v/>
      </c>
      <c r="I1112" s="24">
        <f>IF('ORDENES'!$A1090="","",IF('ORDENES'!$AU1090="","-",'ORDENES'!$AU1090))</f>
        <v/>
      </c>
      <c r="J1112" s="24">
        <f>IF('ORDENES'!$A1090="","",IF('ORDENES'!$D1090="","-",'ORDENES'!$D1090))</f>
        <v/>
      </c>
      <c r="K1112" s="24">
        <f>IF('ORDENES'!$A1090="","",IF('ORDENES'!$E1090="","-",'ORDENES'!$E1090))</f>
        <v/>
      </c>
      <c r="L1112" s="26">
        <f>IF('ORDENES'!$A1090="","",IF('ORDENES'!$M1090="",0,'ORDENES'!$M1090))</f>
        <v/>
      </c>
      <c r="M1112" s="24">
        <f>IF('ORDENES'!$A1090="","",IF('ORDENES'!$N1090="","-",'ORDENES'!$N1090))</f>
        <v/>
      </c>
      <c r="N1112" s="24">
        <f>IF('ORDENES'!$A1090="","",'ORDENES'!$AG1090)</f>
        <v/>
      </c>
    </row>
    <row r="1113">
      <c r="A1113" s="24">
        <f>IF('ORDENES'!$A1091="","",IF('ORDENES'!$O1091="","-",'ORDENES'!$O1091))</f>
        <v/>
      </c>
      <c r="B1113" s="24">
        <f>IF('ORDENES'!$A1091="","",IF('ORDENES'!$S1091="","-",'ORDENES'!$S1091))</f>
        <v/>
      </c>
      <c r="C1113" s="24">
        <f>IF('ORDENES'!$A1091="","",IF('ORDENES'!$AI1091="","-",'ORDENES'!$AI1091))</f>
        <v/>
      </c>
      <c r="D1113" s="24">
        <f>IF('ORDENES'!$A1091="","",IF('ORDENES'!$AA1091="","-",'ORDENES'!$AA1091))</f>
        <v/>
      </c>
      <c r="E1113" s="24">
        <f>IF('ORDENES'!$A1091="","",IF('ORDENES'!$Y1091="","-",'ORDENES'!$Y1091))</f>
        <v/>
      </c>
      <c r="F1113" s="24">
        <f>IF('ORDENES'!$A1091="","",IF('ORDENES'!$AB1091="","-",'ORDENES'!$AB1091))</f>
        <v/>
      </c>
      <c r="G1113" s="24">
        <f>IF('ORDENES'!$A1091="","",IF('ORDENES'!$Z1091="","-",'ORDENES'!$Z1091))</f>
        <v/>
      </c>
      <c r="H1113" s="24">
        <f>IF('ORDENES'!$A1091="","",IF('ORDENES'!$AH1091="","-",'ORDENES'!$AH1091))</f>
        <v/>
      </c>
      <c r="I1113" s="24">
        <f>IF('ORDENES'!$A1091="","",IF('ORDENES'!$AU1091="","-",'ORDENES'!$AU1091))</f>
        <v/>
      </c>
      <c r="J1113" s="24">
        <f>IF('ORDENES'!$A1091="","",IF('ORDENES'!$D1091="","-",'ORDENES'!$D1091))</f>
        <v/>
      </c>
      <c r="K1113" s="24">
        <f>IF('ORDENES'!$A1091="","",IF('ORDENES'!$E1091="","-",'ORDENES'!$E1091))</f>
        <v/>
      </c>
      <c r="L1113" s="26">
        <f>IF('ORDENES'!$A1091="","",IF('ORDENES'!$M1091="",0,'ORDENES'!$M1091))</f>
        <v/>
      </c>
      <c r="M1113" s="24">
        <f>IF('ORDENES'!$A1091="","",IF('ORDENES'!$N1091="","-",'ORDENES'!$N1091))</f>
        <v/>
      </c>
      <c r="N1113" s="24">
        <f>IF('ORDENES'!$A1091="","",'ORDENES'!$AG1091)</f>
        <v/>
      </c>
    </row>
    <row r="1114">
      <c r="A1114" s="24">
        <f>IF('ORDENES'!$A1092="","",IF('ORDENES'!$O1092="","-",'ORDENES'!$O1092))</f>
        <v/>
      </c>
      <c r="B1114" s="24">
        <f>IF('ORDENES'!$A1092="","",IF('ORDENES'!$S1092="","-",'ORDENES'!$S1092))</f>
        <v/>
      </c>
      <c r="C1114" s="24">
        <f>IF('ORDENES'!$A1092="","",IF('ORDENES'!$AI1092="","-",'ORDENES'!$AI1092))</f>
        <v/>
      </c>
      <c r="D1114" s="24">
        <f>IF('ORDENES'!$A1092="","",IF('ORDENES'!$AA1092="","-",'ORDENES'!$AA1092))</f>
        <v/>
      </c>
      <c r="E1114" s="24">
        <f>IF('ORDENES'!$A1092="","",IF('ORDENES'!$Y1092="","-",'ORDENES'!$Y1092))</f>
        <v/>
      </c>
      <c r="F1114" s="24">
        <f>IF('ORDENES'!$A1092="","",IF('ORDENES'!$AB1092="","-",'ORDENES'!$AB1092))</f>
        <v/>
      </c>
      <c r="G1114" s="24">
        <f>IF('ORDENES'!$A1092="","",IF('ORDENES'!$Z1092="","-",'ORDENES'!$Z1092))</f>
        <v/>
      </c>
      <c r="H1114" s="24">
        <f>IF('ORDENES'!$A1092="","",IF('ORDENES'!$AH1092="","-",'ORDENES'!$AH1092))</f>
        <v/>
      </c>
      <c r="I1114" s="24">
        <f>IF('ORDENES'!$A1092="","",IF('ORDENES'!$AU1092="","-",'ORDENES'!$AU1092))</f>
        <v/>
      </c>
      <c r="J1114" s="24">
        <f>IF('ORDENES'!$A1092="","",IF('ORDENES'!$D1092="","-",'ORDENES'!$D1092))</f>
        <v/>
      </c>
      <c r="K1114" s="24">
        <f>IF('ORDENES'!$A1092="","",IF('ORDENES'!$E1092="","-",'ORDENES'!$E1092))</f>
        <v/>
      </c>
      <c r="L1114" s="26">
        <f>IF('ORDENES'!$A1092="","",IF('ORDENES'!$M1092="",0,'ORDENES'!$M1092))</f>
        <v/>
      </c>
      <c r="M1114" s="24">
        <f>IF('ORDENES'!$A1092="","",IF('ORDENES'!$N1092="","-",'ORDENES'!$N1092))</f>
        <v/>
      </c>
      <c r="N1114" s="24">
        <f>IF('ORDENES'!$A1092="","",'ORDENES'!$AG1092)</f>
        <v/>
      </c>
    </row>
    <row r="1115">
      <c r="A1115" s="24">
        <f>IF('ORDENES'!$A1093="","",IF('ORDENES'!$O1093="","-",'ORDENES'!$O1093))</f>
        <v/>
      </c>
      <c r="B1115" s="24">
        <f>IF('ORDENES'!$A1093="","",IF('ORDENES'!$S1093="","-",'ORDENES'!$S1093))</f>
        <v/>
      </c>
      <c r="C1115" s="24">
        <f>IF('ORDENES'!$A1093="","",IF('ORDENES'!$AI1093="","-",'ORDENES'!$AI1093))</f>
        <v/>
      </c>
      <c r="D1115" s="24">
        <f>IF('ORDENES'!$A1093="","",IF('ORDENES'!$AA1093="","-",'ORDENES'!$AA1093))</f>
        <v/>
      </c>
      <c r="E1115" s="24">
        <f>IF('ORDENES'!$A1093="","",IF('ORDENES'!$Y1093="","-",'ORDENES'!$Y1093))</f>
        <v/>
      </c>
      <c r="F1115" s="24">
        <f>IF('ORDENES'!$A1093="","",IF('ORDENES'!$AB1093="","-",'ORDENES'!$AB1093))</f>
        <v/>
      </c>
      <c r="G1115" s="24">
        <f>IF('ORDENES'!$A1093="","",IF('ORDENES'!$Z1093="","-",'ORDENES'!$Z1093))</f>
        <v/>
      </c>
      <c r="H1115" s="24">
        <f>IF('ORDENES'!$A1093="","",IF('ORDENES'!$AH1093="","-",'ORDENES'!$AH1093))</f>
        <v/>
      </c>
      <c r="I1115" s="24">
        <f>IF('ORDENES'!$A1093="","",IF('ORDENES'!$AU1093="","-",'ORDENES'!$AU1093))</f>
        <v/>
      </c>
      <c r="J1115" s="24">
        <f>IF('ORDENES'!$A1093="","",IF('ORDENES'!$D1093="","-",'ORDENES'!$D1093))</f>
        <v/>
      </c>
      <c r="K1115" s="24">
        <f>IF('ORDENES'!$A1093="","",IF('ORDENES'!$E1093="","-",'ORDENES'!$E1093))</f>
        <v/>
      </c>
      <c r="L1115" s="26">
        <f>IF('ORDENES'!$A1093="","",IF('ORDENES'!$M1093="",0,'ORDENES'!$M1093))</f>
        <v/>
      </c>
      <c r="M1115" s="24">
        <f>IF('ORDENES'!$A1093="","",IF('ORDENES'!$N1093="","-",'ORDENES'!$N1093))</f>
        <v/>
      </c>
      <c r="N1115" s="24">
        <f>IF('ORDENES'!$A1093="","",'ORDENES'!$AG1093)</f>
        <v/>
      </c>
    </row>
    <row r="1116">
      <c r="A1116" s="24">
        <f>IF('ORDENES'!$A1094="","",IF('ORDENES'!$O1094="","-",'ORDENES'!$O1094))</f>
        <v/>
      </c>
      <c r="B1116" s="24">
        <f>IF('ORDENES'!$A1094="","",IF('ORDENES'!$S1094="","-",'ORDENES'!$S1094))</f>
        <v/>
      </c>
      <c r="C1116" s="24">
        <f>IF('ORDENES'!$A1094="","",IF('ORDENES'!$AI1094="","-",'ORDENES'!$AI1094))</f>
        <v/>
      </c>
      <c r="D1116" s="24">
        <f>IF('ORDENES'!$A1094="","",IF('ORDENES'!$AA1094="","-",'ORDENES'!$AA1094))</f>
        <v/>
      </c>
      <c r="E1116" s="24">
        <f>IF('ORDENES'!$A1094="","",IF('ORDENES'!$Y1094="","-",'ORDENES'!$Y1094))</f>
        <v/>
      </c>
      <c r="F1116" s="24">
        <f>IF('ORDENES'!$A1094="","",IF('ORDENES'!$AB1094="","-",'ORDENES'!$AB1094))</f>
        <v/>
      </c>
      <c r="G1116" s="24">
        <f>IF('ORDENES'!$A1094="","",IF('ORDENES'!$Z1094="","-",'ORDENES'!$Z1094))</f>
        <v/>
      </c>
      <c r="H1116" s="24">
        <f>IF('ORDENES'!$A1094="","",IF('ORDENES'!$AH1094="","-",'ORDENES'!$AH1094))</f>
        <v/>
      </c>
      <c r="I1116" s="24">
        <f>IF('ORDENES'!$A1094="","",IF('ORDENES'!$AU1094="","-",'ORDENES'!$AU1094))</f>
        <v/>
      </c>
      <c r="J1116" s="24">
        <f>IF('ORDENES'!$A1094="","",IF('ORDENES'!$D1094="","-",'ORDENES'!$D1094))</f>
        <v/>
      </c>
      <c r="K1116" s="24">
        <f>IF('ORDENES'!$A1094="","",IF('ORDENES'!$E1094="","-",'ORDENES'!$E1094))</f>
        <v/>
      </c>
      <c r="L1116" s="26">
        <f>IF('ORDENES'!$A1094="","",IF('ORDENES'!$M1094="",0,'ORDENES'!$M1094))</f>
        <v/>
      </c>
      <c r="M1116" s="24">
        <f>IF('ORDENES'!$A1094="","",IF('ORDENES'!$N1094="","-",'ORDENES'!$N1094))</f>
        <v/>
      </c>
      <c r="N1116" s="24">
        <f>IF('ORDENES'!$A1094="","",'ORDENES'!$AG1094)</f>
        <v/>
      </c>
    </row>
    <row r="1117">
      <c r="A1117" s="24">
        <f>IF('ORDENES'!$A1095="","",IF('ORDENES'!$O1095="","-",'ORDENES'!$O1095))</f>
        <v/>
      </c>
      <c r="B1117" s="24">
        <f>IF('ORDENES'!$A1095="","",IF('ORDENES'!$S1095="","-",'ORDENES'!$S1095))</f>
        <v/>
      </c>
      <c r="C1117" s="24">
        <f>IF('ORDENES'!$A1095="","",IF('ORDENES'!$AI1095="","-",'ORDENES'!$AI1095))</f>
        <v/>
      </c>
      <c r="D1117" s="24">
        <f>IF('ORDENES'!$A1095="","",IF('ORDENES'!$AA1095="","-",'ORDENES'!$AA1095))</f>
        <v/>
      </c>
      <c r="E1117" s="24">
        <f>IF('ORDENES'!$A1095="","",IF('ORDENES'!$Y1095="","-",'ORDENES'!$Y1095))</f>
        <v/>
      </c>
      <c r="F1117" s="24">
        <f>IF('ORDENES'!$A1095="","",IF('ORDENES'!$AB1095="","-",'ORDENES'!$AB1095))</f>
        <v/>
      </c>
      <c r="G1117" s="24">
        <f>IF('ORDENES'!$A1095="","",IF('ORDENES'!$Z1095="","-",'ORDENES'!$Z1095))</f>
        <v/>
      </c>
      <c r="H1117" s="24">
        <f>IF('ORDENES'!$A1095="","",IF('ORDENES'!$AH1095="","-",'ORDENES'!$AH1095))</f>
        <v/>
      </c>
      <c r="I1117" s="24">
        <f>IF('ORDENES'!$A1095="","",IF('ORDENES'!$AU1095="","-",'ORDENES'!$AU1095))</f>
        <v/>
      </c>
      <c r="J1117" s="24">
        <f>IF('ORDENES'!$A1095="","",IF('ORDENES'!$D1095="","-",'ORDENES'!$D1095))</f>
        <v/>
      </c>
      <c r="K1117" s="24">
        <f>IF('ORDENES'!$A1095="","",IF('ORDENES'!$E1095="","-",'ORDENES'!$E1095))</f>
        <v/>
      </c>
      <c r="L1117" s="26">
        <f>IF('ORDENES'!$A1095="","",IF('ORDENES'!$M1095="",0,'ORDENES'!$M1095))</f>
        <v/>
      </c>
      <c r="M1117" s="24">
        <f>IF('ORDENES'!$A1095="","",IF('ORDENES'!$N1095="","-",'ORDENES'!$N1095))</f>
        <v/>
      </c>
      <c r="N1117" s="24">
        <f>IF('ORDENES'!$A1095="","",'ORDENES'!$AG1095)</f>
        <v/>
      </c>
    </row>
    <row r="1118">
      <c r="A1118" s="24">
        <f>IF('ORDENES'!$A1096="","",IF('ORDENES'!$O1096="","-",'ORDENES'!$O1096))</f>
        <v/>
      </c>
      <c r="B1118" s="24">
        <f>IF('ORDENES'!$A1096="","",IF('ORDENES'!$S1096="","-",'ORDENES'!$S1096))</f>
        <v/>
      </c>
      <c r="C1118" s="24">
        <f>IF('ORDENES'!$A1096="","",IF('ORDENES'!$AI1096="","-",'ORDENES'!$AI1096))</f>
        <v/>
      </c>
      <c r="D1118" s="24">
        <f>IF('ORDENES'!$A1096="","",IF('ORDENES'!$AA1096="","-",'ORDENES'!$AA1096))</f>
        <v/>
      </c>
      <c r="E1118" s="24">
        <f>IF('ORDENES'!$A1096="","",IF('ORDENES'!$Y1096="","-",'ORDENES'!$Y1096))</f>
        <v/>
      </c>
      <c r="F1118" s="24">
        <f>IF('ORDENES'!$A1096="","",IF('ORDENES'!$AB1096="","-",'ORDENES'!$AB1096))</f>
        <v/>
      </c>
      <c r="G1118" s="24">
        <f>IF('ORDENES'!$A1096="","",IF('ORDENES'!$Z1096="","-",'ORDENES'!$Z1096))</f>
        <v/>
      </c>
      <c r="H1118" s="24">
        <f>IF('ORDENES'!$A1096="","",IF('ORDENES'!$AH1096="","-",'ORDENES'!$AH1096))</f>
        <v/>
      </c>
      <c r="I1118" s="24">
        <f>IF('ORDENES'!$A1096="","",IF('ORDENES'!$AU1096="","-",'ORDENES'!$AU1096))</f>
        <v/>
      </c>
      <c r="J1118" s="24">
        <f>IF('ORDENES'!$A1096="","",IF('ORDENES'!$D1096="","-",'ORDENES'!$D1096))</f>
        <v/>
      </c>
      <c r="K1118" s="24">
        <f>IF('ORDENES'!$A1096="","",IF('ORDENES'!$E1096="","-",'ORDENES'!$E1096))</f>
        <v/>
      </c>
      <c r="L1118" s="26">
        <f>IF('ORDENES'!$A1096="","",IF('ORDENES'!$M1096="",0,'ORDENES'!$M1096))</f>
        <v/>
      </c>
      <c r="M1118" s="24">
        <f>IF('ORDENES'!$A1096="","",IF('ORDENES'!$N1096="","-",'ORDENES'!$N1096))</f>
        <v/>
      </c>
      <c r="N1118" s="24">
        <f>IF('ORDENES'!$A1096="","",'ORDENES'!$AG1096)</f>
        <v/>
      </c>
    </row>
    <row r="1119">
      <c r="A1119" s="24">
        <f>IF('ORDENES'!$A1097="","",IF('ORDENES'!$O1097="","-",'ORDENES'!$O1097))</f>
        <v/>
      </c>
      <c r="B1119" s="24">
        <f>IF('ORDENES'!$A1097="","",IF('ORDENES'!$S1097="","-",'ORDENES'!$S1097))</f>
        <v/>
      </c>
      <c r="C1119" s="24">
        <f>IF('ORDENES'!$A1097="","",IF('ORDENES'!$AI1097="","-",'ORDENES'!$AI1097))</f>
        <v/>
      </c>
      <c r="D1119" s="24">
        <f>IF('ORDENES'!$A1097="","",IF('ORDENES'!$AA1097="","-",'ORDENES'!$AA1097))</f>
        <v/>
      </c>
      <c r="E1119" s="24">
        <f>IF('ORDENES'!$A1097="","",IF('ORDENES'!$Y1097="","-",'ORDENES'!$Y1097))</f>
        <v/>
      </c>
      <c r="F1119" s="24">
        <f>IF('ORDENES'!$A1097="","",IF('ORDENES'!$AB1097="","-",'ORDENES'!$AB1097))</f>
        <v/>
      </c>
      <c r="G1119" s="24">
        <f>IF('ORDENES'!$A1097="","",IF('ORDENES'!$Z1097="","-",'ORDENES'!$Z1097))</f>
        <v/>
      </c>
      <c r="H1119" s="24">
        <f>IF('ORDENES'!$A1097="","",IF('ORDENES'!$AH1097="","-",'ORDENES'!$AH1097))</f>
        <v/>
      </c>
      <c r="I1119" s="24">
        <f>IF('ORDENES'!$A1097="","",IF('ORDENES'!$AU1097="","-",'ORDENES'!$AU1097))</f>
        <v/>
      </c>
      <c r="J1119" s="24">
        <f>IF('ORDENES'!$A1097="","",IF('ORDENES'!$D1097="","-",'ORDENES'!$D1097))</f>
        <v/>
      </c>
      <c r="K1119" s="24">
        <f>IF('ORDENES'!$A1097="","",IF('ORDENES'!$E1097="","-",'ORDENES'!$E1097))</f>
        <v/>
      </c>
      <c r="L1119" s="26">
        <f>IF('ORDENES'!$A1097="","",IF('ORDENES'!$M1097="",0,'ORDENES'!$M1097))</f>
        <v/>
      </c>
      <c r="M1119" s="24">
        <f>IF('ORDENES'!$A1097="","",IF('ORDENES'!$N1097="","-",'ORDENES'!$N1097))</f>
        <v/>
      </c>
      <c r="N1119" s="24">
        <f>IF('ORDENES'!$A1097="","",'ORDENES'!$AG1097)</f>
        <v/>
      </c>
    </row>
    <row r="1120">
      <c r="A1120" s="24">
        <f>IF('ORDENES'!$A1098="","",IF('ORDENES'!$O1098="","-",'ORDENES'!$O1098))</f>
        <v/>
      </c>
      <c r="B1120" s="24">
        <f>IF('ORDENES'!$A1098="","",IF('ORDENES'!$S1098="","-",'ORDENES'!$S1098))</f>
        <v/>
      </c>
      <c r="C1120" s="24">
        <f>IF('ORDENES'!$A1098="","",IF('ORDENES'!$AI1098="","-",'ORDENES'!$AI1098))</f>
        <v/>
      </c>
      <c r="D1120" s="24">
        <f>IF('ORDENES'!$A1098="","",IF('ORDENES'!$AA1098="","-",'ORDENES'!$AA1098))</f>
        <v/>
      </c>
      <c r="E1120" s="24">
        <f>IF('ORDENES'!$A1098="","",IF('ORDENES'!$Y1098="","-",'ORDENES'!$Y1098))</f>
        <v/>
      </c>
      <c r="F1120" s="24">
        <f>IF('ORDENES'!$A1098="","",IF('ORDENES'!$AB1098="","-",'ORDENES'!$AB1098))</f>
        <v/>
      </c>
      <c r="G1120" s="24">
        <f>IF('ORDENES'!$A1098="","",IF('ORDENES'!$Z1098="","-",'ORDENES'!$Z1098))</f>
        <v/>
      </c>
      <c r="H1120" s="24">
        <f>IF('ORDENES'!$A1098="","",IF('ORDENES'!$AH1098="","-",'ORDENES'!$AH1098))</f>
        <v/>
      </c>
      <c r="I1120" s="24">
        <f>IF('ORDENES'!$A1098="","",IF('ORDENES'!$AU1098="","-",'ORDENES'!$AU1098))</f>
        <v/>
      </c>
      <c r="J1120" s="24">
        <f>IF('ORDENES'!$A1098="","",IF('ORDENES'!$D1098="","-",'ORDENES'!$D1098))</f>
        <v/>
      </c>
      <c r="K1120" s="24">
        <f>IF('ORDENES'!$A1098="","",IF('ORDENES'!$E1098="","-",'ORDENES'!$E1098))</f>
        <v/>
      </c>
      <c r="L1120" s="26">
        <f>IF('ORDENES'!$A1098="","",IF('ORDENES'!$M1098="",0,'ORDENES'!$M1098))</f>
        <v/>
      </c>
      <c r="M1120" s="24">
        <f>IF('ORDENES'!$A1098="","",IF('ORDENES'!$N1098="","-",'ORDENES'!$N1098))</f>
        <v/>
      </c>
      <c r="N1120" s="24">
        <f>IF('ORDENES'!$A1098="","",'ORDENES'!$AG1098)</f>
        <v/>
      </c>
    </row>
    <row r="1121">
      <c r="A1121" s="24">
        <f>IF('ORDENES'!$A1099="","",IF('ORDENES'!$O1099="","-",'ORDENES'!$O1099))</f>
        <v/>
      </c>
      <c r="B1121" s="24">
        <f>IF('ORDENES'!$A1099="","",IF('ORDENES'!$S1099="","-",'ORDENES'!$S1099))</f>
        <v/>
      </c>
      <c r="C1121" s="24">
        <f>IF('ORDENES'!$A1099="","",IF('ORDENES'!$AI1099="","-",'ORDENES'!$AI1099))</f>
        <v/>
      </c>
      <c r="D1121" s="24">
        <f>IF('ORDENES'!$A1099="","",IF('ORDENES'!$AA1099="","-",'ORDENES'!$AA1099))</f>
        <v/>
      </c>
      <c r="E1121" s="24">
        <f>IF('ORDENES'!$A1099="","",IF('ORDENES'!$Y1099="","-",'ORDENES'!$Y1099))</f>
        <v/>
      </c>
      <c r="F1121" s="24">
        <f>IF('ORDENES'!$A1099="","",IF('ORDENES'!$AB1099="","-",'ORDENES'!$AB1099))</f>
        <v/>
      </c>
      <c r="G1121" s="24">
        <f>IF('ORDENES'!$A1099="","",IF('ORDENES'!$Z1099="","-",'ORDENES'!$Z1099))</f>
        <v/>
      </c>
      <c r="H1121" s="24">
        <f>IF('ORDENES'!$A1099="","",IF('ORDENES'!$AH1099="","-",'ORDENES'!$AH1099))</f>
        <v/>
      </c>
      <c r="I1121" s="24">
        <f>IF('ORDENES'!$A1099="","",IF('ORDENES'!$AU1099="","-",'ORDENES'!$AU1099))</f>
        <v/>
      </c>
      <c r="J1121" s="24">
        <f>IF('ORDENES'!$A1099="","",IF('ORDENES'!$D1099="","-",'ORDENES'!$D1099))</f>
        <v/>
      </c>
      <c r="K1121" s="24">
        <f>IF('ORDENES'!$A1099="","",IF('ORDENES'!$E1099="","-",'ORDENES'!$E1099))</f>
        <v/>
      </c>
      <c r="L1121" s="26">
        <f>IF('ORDENES'!$A1099="","",IF('ORDENES'!$M1099="",0,'ORDENES'!$M1099))</f>
        <v/>
      </c>
      <c r="M1121" s="24">
        <f>IF('ORDENES'!$A1099="","",IF('ORDENES'!$N1099="","-",'ORDENES'!$N1099))</f>
        <v/>
      </c>
      <c r="N1121" s="24">
        <f>IF('ORDENES'!$A1099="","",'ORDENES'!$AG1099)</f>
        <v/>
      </c>
    </row>
    <row r="1122">
      <c r="A1122" s="24">
        <f>IF('ORDENES'!$A1100="","",IF('ORDENES'!$O1100="","-",'ORDENES'!$O1100))</f>
        <v/>
      </c>
      <c r="B1122" s="24">
        <f>IF('ORDENES'!$A1100="","",IF('ORDENES'!$S1100="","-",'ORDENES'!$S1100))</f>
        <v/>
      </c>
      <c r="C1122" s="24">
        <f>IF('ORDENES'!$A1100="","",IF('ORDENES'!$AI1100="","-",'ORDENES'!$AI1100))</f>
        <v/>
      </c>
      <c r="D1122" s="24">
        <f>IF('ORDENES'!$A1100="","",IF('ORDENES'!$AA1100="","-",'ORDENES'!$AA1100))</f>
        <v/>
      </c>
      <c r="E1122" s="24">
        <f>IF('ORDENES'!$A1100="","",IF('ORDENES'!$Y1100="","-",'ORDENES'!$Y1100))</f>
        <v/>
      </c>
      <c r="F1122" s="24">
        <f>IF('ORDENES'!$A1100="","",IF('ORDENES'!$AB1100="","-",'ORDENES'!$AB1100))</f>
        <v/>
      </c>
      <c r="G1122" s="24">
        <f>IF('ORDENES'!$A1100="","",IF('ORDENES'!$Z1100="","-",'ORDENES'!$Z1100))</f>
        <v/>
      </c>
      <c r="H1122" s="24">
        <f>IF('ORDENES'!$A1100="","",IF('ORDENES'!$AH1100="","-",'ORDENES'!$AH1100))</f>
        <v/>
      </c>
      <c r="I1122" s="24">
        <f>IF('ORDENES'!$A1100="","",IF('ORDENES'!$AU1100="","-",'ORDENES'!$AU1100))</f>
        <v/>
      </c>
      <c r="J1122" s="24">
        <f>IF('ORDENES'!$A1100="","",IF('ORDENES'!$D1100="","-",'ORDENES'!$D1100))</f>
        <v/>
      </c>
      <c r="K1122" s="24">
        <f>IF('ORDENES'!$A1100="","",IF('ORDENES'!$E1100="","-",'ORDENES'!$E1100))</f>
        <v/>
      </c>
      <c r="L1122" s="26">
        <f>IF('ORDENES'!$A1100="","",IF('ORDENES'!$M1100="",0,'ORDENES'!$M1100))</f>
        <v/>
      </c>
      <c r="M1122" s="24">
        <f>IF('ORDENES'!$A1100="","",IF('ORDENES'!$N1100="","-",'ORDENES'!$N1100))</f>
        <v/>
      </c>
      <c r="N1122" s="24">
        <f>IF('ORDENES'!$A1100="","",'ORDENES'!$AG1100)</f>
        <v/>
      </c>
    </row>
    <row r="1123">
      <c r="A1123" s="24">
        <f>IF('ORDENES'!$A1101="","",IF('ORDENES'!$O1101="","-",'ORDENES'!$O1101))</f>
        <v/>
      </c>
      <c r="B1123" s="24">
        <f>IF('ORDENES'!$A1101="","",IF('ORDENES'!$S1101="","-",'ORDENES'!$S1101))</f>
        <v/>
      </c>
      <c r="C1123" s="24">
        <f>IF('ORDENES'!$A1101="","",IF('ORDENES'!$AI1101="","-",'ORDENES'!$AI1101))</f>
        <v/>
      </c>
      <c r="D1123" s="24">
        <f>IF('ORDENES'!$A1101="","",IF('ORDENES'!$AA1101="","-",'ORDENES'!$AA1101))</f>
        <v/>
      </c>
      <c r="E1123" s="24">
        <f>IF('ORDENES'!$A1101="","",IF('ORDENES'!$Y1101="","-",'ORDENES'!$Y1101))</f>
        <v/>
      </c>
      <c r="F1123" s="24">
        <f>IF('ORDENES'!$A1101="","",IF('ORDENES'!$AB1101="","-",'ORDENES'!$AB1101))</f>
        <v/>
      </c>
      <c r="G1123" s="24">
        <f>IF('ORDENES'!$A1101="","",IF('ORDENES'!$Z1101="","-",'ORDENES'!$Z1101))</f>
        <v/>
      </c>
      <c r="H1123" s="24">
        <f>IF('ORDENES'!$A1101="","",IF('ORDENES'!$AH1101="","-",'ORDENES'!$AH1101))</f>
        <v/>
      </c>
      <c r="I1123" s="24">
        <f>IF('ORDENES'!$A1101="","",IF('ORDENES'!$AU1101="","-",'ORDENES'!$AU1101))</f>
        <v/>
      </c>
      <c r="J1123" s="24">
        <f>IF('ORDENES'!$A1101="","",IF('ORDENES'!$D1101="","-",'ORDENES'!$D1101))</f>
        <v/>
      </c>
      <c r="K1123" s="24">
        <f>IF('ORDENES'!$A1101="","",IF('ORDENES'!$E1101="","-",'ORDENES'!$E1101))</f>
        <v/>
      </c>
      <c r="L1123" s="26">
        <f>IF('ORDENES'!$A1101="","",IF('ORDENES'!$M1101="",0,'ORDENES'!$M1101))</f>
        <v/>
      </c>
      <c r="M1123" s="24">
        <f>IF('ORDENES'!$A1101="","",IF('ORDENES'!$N1101="","-",'ORDENES'!$N1101))</f>
        <v/>
      </c>
      <c r="N1123" s="24">
        <f>IF('ORDENES'!$A1101="","",'ORDENES'!$AG1101)</f>
        <v/>
      </c>
    </row>
    <row r="1124">
      <c r="A1124" s="24">
        <f>IF('ORDENES'!$A1102="","",IF('ORDENES'!$O1102="","-",'ORDENES'!$O1102))</f>
        <v/>
      </c>
      <c r="B1124" s="24">
        <f>IF('ORDENES'!$A1102="","",IF('ORDENES'!$S1102="","-",'ORDENES'!$S1102))</f>
        <v/>
      </c>
      <c r="C1124" s="24">
        <f>IF('ORDENES'!$A1102="","",IF('ORDENES'!$AI1102="","-",'ORDENES'!$AI1102))</f>
        <v/>
      </c>
      <c r="D1124" s="24">
        <f>IF('ORDENES'!$A1102="","",IF('ORDENES'!$AA1102="","-",'ORDENES'!$AA1102))</f>
        <v/>
      </c>
      <c r="E1124" s="24">
        <f>IF('ORDENES'!$A1102="","",IF('ORDENES'!$Y1102="","-",'ORDENES'!$Y1102))</f>
        <v/>
      </c>
      <c r="F1124" s="24">
        <f>IF('ORDENES'!$A1102="","",IF('ORDENES'!$AB1102="","-",'ORDENES'!$AB1102))</f>
        <v/>
      </c>
      <c r="G1124" s="24">
        <f>IF('ORDENES'!$A1102="","",IF('ORDENES'!$Z1102="","-",'ORDENES'!$Z1102))</f>
        <v/>
      </c>
      <c r="H1124" s="24">
        <f>IF('ORDENES'!$A1102="","",IF('ORDENES'!$AH1102="","-",'ORDENES'!$AH1102))</f>
        <v/>
      </c>
      <c r="I1124" s="24">
        <f>IF('ORDENES'!$A1102="","",IF('ORDENES'!$AU1102="","-",'ORDENES'!$AU1102))</f>
        <v/>
      </c>
      <c r="J1124" s="24">
        <f>IF('ORDENES'!$A1102="","",IF('ORDENES'!$D1102="","-",'ORDENES'!$D1102))</f>
        <v/>
      </c>
      <c r="K1124" s="24">
        <f>IF('ORDENES'!$A1102="","",IF('ORDENES'!$E1102="","-",'ORDENES'!$E1102))</f>
        <v/>
      </c>
      <c r="L1124" s="26">
        <f>IF('ORDENES'!$A1102="","",IF('ORDENES'!$M1102="",0,'ORDENES'!$M1102))</f>
        <v/>
      </c>
      <c r="M1124" s="24">
        <f>IF('ORDENES'!$A1102="","",IF('ORDENES'!$N1102="","-",'ORDENES'!$N1102))</f>
        <v/>
      </c>
      <c r="N1124" s="24">
        <f>IF('ORDENES'!$A1102="","",'ORDENES'!$AG1102)</f>
        <v/>
      </c>
    </row>
    <row r="1125">
      <c r="A1125" s="24">
        <f>IF('ORDENES'!$A1103="","",IF('ORDENES'!$O1103="","-",'ORDENES'!$O1103))</f>
        <v/>
      </c>
      <c r="B1125" s="24">
        <f>IF('ORDENES'!$A1103="","",IF('ORDENES'!$S1103="","-",'ORDENES'!$S1103))</f>
        <v/>
      </c>
      <c r="C1125" s="24">
        <f>IF('ORDENES'!$A1103="","",IF('ORDENES'!$AI1103="","-",'ORDENES'!$AI1103))</f>
        <v/>
      </c>
      <c r="D1125" s="24">
        <f>IF('ORDENES'!$A1103="","",IF('ORDENES'!$AA1103="","-",'ORDENES'!$AA1103))</f>
        <v/>
      </c>
      <c r="E1125" s="24">
        <f>IF('ORDENES'!$A1103="","",IF('ORDENES'!$Y1103="","-",'ORDENES'!$Y1103))</f>
        <v/>
      </c>
      <c r="F1125" s="24">
        <f>IF('ORDENES'!$A1103="","",IF('ORDENES'!$AB1103="","-",'ORDENES'!$AB1103))</f>
        <v/>
      </c>
      <c r="G1125" s="24">
        <f>IF('ORDENES'!$A1103="","",IF('ORDENES'!$Z1103="","-",'ORDENES'!$Z1103))</f>
        <v/>
      </c>
      <c r="H1125" s="24">
        <f>IF('ORDENES'!$A1103="","",IF('ORDENES'!$AH1103="","-",'ORDENES'!$AH1103))</f>
        <v/>
      </c>
      <c r="I1125" s="24">
        <f>IF('ORDENES'!$A1103="","",IF('ORDENES'!$AU1103="","-",'ORDENES'!$AU1103))</f>
        <v/>
      </c>
      <c r="J1125" s="24">
        <f>IF('ORDENES'!$A1103="","",IF('ORDENES'!$D1103="","-",'ORDENES'!$D1103))</f>
        <v/>
      </c>
      <c r="K1125" s="24">
        <f>IF('ORDENES'!$A1103="","",IF('ORDENES'!$E1103="","-",'ORDENES'!$E1103))</f>
        <v/>
      </c>
      <c r="L1125" s="26">
        <f>IF('ORDENES'!$A1103="","",IF('ORDENES'!$M1103="",0,'ORDENES'!$M1103))</f>
        <v/>
      </c>
      <c r="M1125" s="24">
        <f>IF('ORDENES'!$A1103="","",IF('ORDENES'!$N1103="","-",'ORDENES'!$N1103))</f>
        <v/>
      </c>
      <c r="N1125" s="24">
        <f>IF('ORDENES'!$A1103="","",'ORDENES'!$AG1103)</f>
        <v/>
      </c>
    </row>
    <row r="1126">
      <c r="A1126" s="24">
        <f>IF('ORDENES'!$A1104="","",IF('ORDENES'!$O1104="","-",'ORDENES'!$O1104))</f>
        <v/>
      </c>
      <c r="B1126" s="24">
        <f>IF('ORDENES'!$A1104="","",IF('ORDENES'!$S1104="","-",'ORDENES'!$S1104))</f>
        <v/>
      </c>
      <c r="C1126" s="24">
        <f>IF('ORDENES'!$A1104="","",IF('ORDENES'!$AI1104="","-",'ORDENES'!$AI1104))</f>
        <v/>
      </c>
      <c r="D1126" s="24">
        <f>IF('ORDENES'!$A1104="","",IF('ORDENES'!$AA1104="","-",'ORDENES'!$AA1104))</f>
        <v/>
      </c>
      <c r="E1126" s="24">
        <f>IF('ORDENES'!$A1104="","",IF('ORDENES'!$Y1104="","-",'ORDENES'!$Y1104))</f>
        <v/>
      </c>
      <c r="F1126" s="24">
        <f>IF('ORDENES'!$A1104="","",IF('ORDENES'!$AB1104="","-",'ORDENES'!$AB1104))</f>
        <v/>
      </c>
      <c r="G1126" s="24">
        <f>IF('ORDENES'!$A1104="","",IF('ORDENES'!$Z1104="","-",'ORDENES'!$Z1104))</f>
        <v/>
      </c>
      <c r="H1126" s="24">
        <f>IF('ORDENES'!$A1104="","",IF('ORDENES'!$AH1104="","-",'ORDENES'!$AH1104))</f>
        <v/>
      </c>
      <c r="I1126" s="24">
        <f>IF('ORDENES'!$A1104="","",IF('ORDENES'!$AU1104="","-",'ORDENES'!$AU1104))</f>
        <v/>
      </c>
      <c r="J1126" s="24">
        <f>IF('ORDENES'!$A1104="","",IF('ORDENES'!$D1104="","-",'ORDENES'!$D1104))</f>
        <v/>
      </c>
      <c r="K1126" s="24">
        <f>IF('ORDENES'!$A1104="","",IF('ORDENES'!$E1104="","-",'ORDENES'!$E1104))</f>
        <v/>
      </c>
      <c r="L1126" s="26">
        <f>IF('ORDENES'!$A1104="","",IF('ORDENES'!$M1104="",0,'ORDENES'!$M1104))</f>
        <v/>
      </c>
      <c r="M1126" s="24">
        <f>IF('ORDENES'!$A1104="","",IF('ORDENES'!$N1104="","-",'ORDENES'!$N1104))</f>
        <v/>
      </c>
      <c r="N1126" s="24">
        <f>IF('ORDENES'!$A1104="","",'ORDENES'!$AG1104)</f>
        <v/>
      </c>
    </row>
    <row r="1127">
      <c r="A1127" s="24">
        <f>IF('ORDENES'!$A1105="","",IF('ORDENES'!$O1105="","-",'ORDENES'!$O1105))</f>
        <v/>
      </c>
      <c r="B1127" s="24">
        <f>IF('ORDENES'!$A1105="","",IF('ORDENES'!$S1105="","-",'ORDENES'!$S1105))</f>
        <v/>
      </c>
      <c r="C1127" s="24">
        <f>IF('ORDENES'!$A1105="","",IF('ORDENES'!$AI1105="","-",'ORDENES'!$AI1105))</f>
        <v/>
      </c>
      <c r="D1127" s="24">
        <f>IF('ORDENES'!$A1105="","",IF('ORDENES'!$AA1105="","-",'ORDENES'!$AA1105))</f>
        <v/>
      </c>
      <c r="E1127" s="24">
        <f>IF('ORDENES'!$A1105="","",IF('ORDENES'!$Y1105="","-",'ORDENES'!$Y1105))</f>
        <v/>
      </c>
      <c r="F1127" s="24">
        <f>IF('ORDENES'!$A1105="","",IF('ORDENES'!$AB1105="","-",'ORDENES'!$AB1105))</f>
        <v/>
      </c>
      <c r="G1127" s="24">
        <f>IF('ORDENES'!$A1105="","",IF('ORDENES'!$Z1105="","-",'ORDENES'!$Z1105))</f>
        <v/>
      </c>
      <c r="H1127" s="24">
        <f>IF('ORDENES'!$A1105="","",IF('ORDENES'!$AH1105="","-",'ORDENES'!$AH1105))</f>
        <v/>
      </c>
      <c r="I1127" s="24">
        <f>IF('ORDENES'!$A1105="","",IF('ORDENES'!$AU1105="","-",'ORDENES'!$AU1105))</f>
        <v/>
      </c>
      <c r="J1127" s="24">
        <f>IF('ORDENES'!$A1105="","",IF('ORDENES'!$D1105="","-",'ORDENES'!$D1105))</f>
        <v/>
      </c>
      <c r="K1127" s="24">
        <f>IF('ORDENES'!$A1105="","",IF('ORDENES'!$E1105="","-",'ORDENES'!$E1105))</f>
        <v/>
      </c>
      <c r="L1127" s="26">
        <f>IF('ORDENES'!$A1105="","",IF('ORDENES'!$M1105="",0,'ORDENES'!$M1105))</f>
        <v/>
      </c>
      <c r="M1127" s="24">
        <f>IF('ORDENES'!$A1105="","",IF('ORDENES'!$N1105="","-",'ORDENES'!$N1105))</f>
        <v/>
      </c>
      <c r="N1127" s="24">
        <f>IF('ORDENES'!$A1105="","",'ORDENES'!$AG1105)</f>
        <v/>
      </c>
    </row>
    <row r="1128">
      <c r="A1128" s="24">
        <f>IF('ORDENES'!$A1106="","",IF('ORDENES'!$O1106="","-",'ORDENES'!$O1106))</f>
        <v/>
      </c>
      <c r="B1128" s="24">
        <f>IF('ORDENES'!$A1106="","",IF('ORDENES'!$S1106="","-",'ORDENES'!$S1106))</f>
        <v/>
      </c>
      <c r="C1128" s="24">
        <f>IF('ORDENES'!$A1106="","",IF('ORDENES'!$AI1106="","-",'ORDENES'!$AI1106))</f>
        <v/>
      </c>
      <c r="D1128" s="24">
        <f>IF('ORDENES'!$A1106="","",IF('ORDENES'!$AA1106="","-",'ORDENES'!$AA1106))</f>
        <v/>
      </c>
      <c r="E1128" s="24">
        <f>IF('ORDENES'!$A1106="","",IF('ORDENES'!$Y1106="","-",'ORDENES'!$Y1106))</f>
        <v/>
      </c>
      <c r="F1128" s="24">
        <f>IF('ORDENES'!$A1106="","",IF('ORDENES'!$AB1106="","-",'ORDENES'!$AB1106))</f>
        <v/>
      </c>
      <c r="G1128" s="24">
        <f>IF('ORDENES'!$A1106="","",IF('ORDENES'!$Z1106="","-",'ORDENES'!$Z1106))</f>
        <v/>
      </c>
      <c r="H1128" s="24">
        <f>IF('ORDENES'!$A1106="","",IF('ORDENES'!$AH1106="","-",'ORDENES'!$AH1106))</f>
        <v/>
      </c>
      <c r="I1128" s="24">
        <f>IF('ORDENES'!$A1106="","",IF('ORDENES'!$AU1106="","-",'ORDENES'!$AU1106))</f>
        <v/>
      </c>
      <c r="J1128" s="24">
        <f>IF('ORDENES'!$A1106="","",IF('ORDENES'!$D1106="","-",'ORDENES'!$D1106))</f>
        <v/>
      </c>
      <c r="K1128" s="24">
        <f>IF('ORDENES'!$A1106="","",IF('ORDENES'!$E1106="","-",'ORDENES'!$E1106))</f>
        <v/>
      </c>
      <c r="L1128" s="26">
        <f>IF('ORDENES'!$A1106="","",IF('ORDENES'!$M1106="",0,'ORDENES'!$M1106))</f>
        <v/>
      </c>
      <c r="M1128" s="24">
        <f>IF('ORDENES'!$A1106="","",IF('ORDENES'!$N1106="","-",'ORDENES'!$N1106))</f>
        <v/>
      </c>
      <c r="N1128" s="24">
        <f>IF('ORDENES'!$A1106="","",'ORDENES'!$AG1106)</f>
        <v/>
      </c>
    </row>
    <row r="1129">
      <c r="A1129" s="24">
        <f>IF('ORDENES'!$A1107="","",IF('ORDENES'!$O1107="","-",'ORDENES'!$O1107))</f>
        <v/>
      </c>
      <c r="B1129" s="24">
        <f>IF('ORDENES'!$A1107="","",IF('ORDENES'!$S1107="","-",'ORDENES'!$S1107))</f>
        <v/>
      </c>
      <c r="C1129" s="24">
        <f>IF('ORDENES'!$A1107="","",IF('ORDENES'!$AI1107="","-",'ORDENES'!$AI1107))</f>
        <v/>
      </c>
      <c r="D1129" s="24">
        <f>IF('ORDENES'!$A1107="","",IF('ORDENES'!$AA1107="","-",'ORDENES'!$AA1107))</f>
        <v/>
      </c>
      <c r="E1129" s="24">
        <f>IF('ORDENES'!$A1107="","",IF('ORDENES'!$Y1107="","-",'ORDENES'!$Y1107))</f>
        <v/>
      </c>
      <c r="F1129" s="24">
        <f>IF('ORDENES'!$A1107="","",IF('ORDENES'!$AB1107="","-",'ORDENES'!$AB1107))</f>
        <v/>
      </c>
      <c r="G1129" s="24">
        <f>IF('ORDENES'!$A1107="","",IF('ORDENES'!$Z1107="","-",'ORDENES'!$Z1107))</f>
        <v/>
      </c>
      <c r="H1129" s="24">
        <f>IF('ORDENES'!$A1107="","",IF('ORDENES'!$AH1107="","-",'ORDENES'!$AH1107))</f>
        <v/>
      </c>
      <c r="I1129" s="24">
        <f>IF('ORDENES'!$A1107="","",IF('ORDENES'!$AU1107="","-",'ORDENES'!$AU1107))</f>
        <v/>
      </c>
      <c r="J1129" s="24">
        <f>IF('ORDENES'!$A1107="","",IF('ORDENES'!$D1107="","-",'ORDENES'!$D1107))</f>
        <v/>
      </c>
      <c r="K1129" s="24">
        <f>IF('ORDENES'!$A1107="","",IF('ORDENES'!$E1107="","-",'ORDENES'!$E1107))</f>
        <v/>
      </c>
      <c r="L1129" s="26">
        <f>IF('ORDENES'!$A1107="","",IF('ORDENES'!$M1107="",0,'ORDENES'!$M1107))</f>
        <v/>
      </c>
      <c r="M1129" s="24">
        <f>IF('ORDENES'!$A1107="","",IF('ORDENES'!$N1107="","-",'ORDENES'!$N1107))</f>
        <v/>
      </c>
      <c r="N1129" s="24">
        <f>IF('ORDENES'!$A1107="","",'ORDENES'!$AG1107)</f>
        <v/>
      </c>
    </row>
    <row r="1130">
      <c r="A1130" s="24">
        <f>IF('ORDENES'!$A1108="","",IF('ORDENES'!$O1108="","-",'ORDENES'!$O1108))</f>
        <v/>
      </c>
      <c r="B1130" s="24">
        <f>IF('ORDENES'!$A1108="","",IF('ORDENES'!$S1108="","-",'ORDENES'!$S1108))</f>
        <v/>
      </c>
      <c r="C1130" s="24">
        <f>IF('ORDENES'!$A1108="","",IF('ORDENES'!$AI1108="","-",'ORDENES'!$AI1108))</f>
        <v/>
      </c>
      <c r="D1130" s="24">
        <f>IF('ORDENES'!$A1108="","",IF('ORDENES'!$AA1108="","-",'ORDENES'!$AA1108))</f>
        <v/>
      </c>
      <c r="E1130" s="24">
        <f>IF('ORDENES'!$A1108="","",IF('ORDENES'!$Y1108="","-",'ORDENES'!$Y1108))</f>
        <v/>
      </c>
      <c r="F1130" s="24">
        <f>IF('ORDENES'!$A1108="","",IF('ORDENES'!$AB1108="","-",'ORDENES'!$AB1108))</f>
        <v/>
      </c>
      <c r="G1130" s="24">
        <f>IF('ORDENES'!$A1108="","",IF('ORDENES'!$Z1108="","-",'ORDENES'!$Z1108))</f>
        <v/>
      </c>
      <c r="H1130" s="24">
        <f>IF('ORDENES'!$A1108="","",IF('ORDENES'!$AH1108="","-",'ORDENES'!$AH1108))</f>
        <v/>
      </c>
      <c r="I1130" s="24">
        <f>IF('ORDENES'!$A1108="","",IF('ORDENES'!$AU1108="","-",'ORDENES'!$AU1108))</f>
        <v/>
      </c>
      <c r="J1130" s="24">
        <f>IF('ORDENES'!$A1108="","",IF('ORDENES'!$D1108="","-",'ORDENES'!$D1108))</f>
        <v/>
      </c>
      <c r="K1130" s="24">
        <f>IF('ORDENES'!$A1108="","",IF('ORDENES'!$E1108="","-",'ORDENES'!$E1108))</f>
        <v/>
      </c>
      <c r="L1130" s="26">
        <f>IF('ORDENES'!$A1108="","",IF('ORDENES'!$M1108="",0,'ORDENES'!$M1108))</f>
        <v/>
      </c>
      <c r="M1130" s="24">
        <f>IF('ORDENES'!$A1108="","",IF('ORDENES'!$N1108="","-",'ORDENES'!$N1108))</f>
        <v/>
      </c>
      <c r="N1130" s="24">
        <f>IF('ORDENES'!$A1108="","",'ORDENES'!$AG1108)</f>
        <v/>
      </c>
    </row>
    <row r="1131">
      <c r="A1131" s="24">
        <f>IF('ORDENES'!$A1109="","",IF('ORDENES'!$O1109="","-",'ORDENES'!$O1109))</f>
        <v/>
      </c>
      <c r="B1131" s="24">
        <f>IF('ORDENES'!$A1109="","",IF('ORDENES'!$S1109="","-",'ORDENES'!$S1109))</f>
        <v/>
      </c>
      <c r="C1131" s="24">
        <f>IF('ORDENES'!$A1109="","",IF('ORDENES'!$AI1109="","-",'ORDENES'!$AI1109))</f>
        <v/>
      </c>
      <c r="D1131" s="24">
        <f>IF('ORDENES'!$A1109="","",IF('ORDENES'!$AA1109="","-",'ORDENES'!$AA1109))</f>
        <v/>
      </c>
      <c r="E1131" s="24">
        <f>IF('ORDENES'!$A1109="","",IF('ORDENES'!$Y1109="","-",'ORDENES'!$Y1109))</f>
        <v/>
      </c>
      <c r="F1131" s="24">
        <f>IF('ORDENES'!$A1109="","",IF('ORDENES'!$AB1109="","-",'ORDENES'!$AB1109))</f>
        <v/>
      </c>
      <c r="G1131" s="24">
        <f>IF('ORDENES'!$A1109="","",IF('ORDENES'!$Z1109="","-",'ORDENES'!$Z1109))</f>
        <v/>
      </c>
      <c r="H1131" s="24">
        <f>IF('ORDENES'!$A1109="","",IF('ORDENES'!$AH1109="","-",'ORDENES'!$AH1109))</f>
        <v/>
      </c>
      <c r="I1131" s="24">
        <f>IF('ORDENES'!$A1109="","",IF('ORDENES'!$AU1109="","-",'ORDENES'!$AU1109))</f>
        <v/>
      </c>
      <c r="J1131" s="24">
        <f>IF('ORDENES'!$A1109="","",IF('ORDENES'!$D1109="","-",'ORDENES'!$D1109))</f>
        <v/>
      </c>
      <c r="K1131" s="24">
        <f>IF('ORDENES'!$A1109="","",IF('ORDENES'!$E1109="","-",'ORDENES'!$E1109))</f>
        <v/>
      </c>
      <c r="L1131" s="26">
        <f>IF('ORDENES'!$A1109="","",IF('ORDENES'!$M1109="",0,'ORDENES'!$M1109))</f>
        <v/>
      </c>
      <c r="M1131" s="24">
        <f>IF('ORDENES'!$A1109="","",IF('ORDENES'!$N1109="","-",'ORDENES'!$N1109))</f>
        <v/>
      </c>
      <c r="N1131" s="24">
        <f>IF('ORDENES'!$A1109="","",'ORDENES'!$AG1109)</f>
        <v/>
      </c>
    </row>
    <row r="1132">
      <c r="A1132" s="24">
        <f>IF('ORDENES'!$A1110="","",IF('ORDENES'!$O1110="","-",'ORDENES'!$O1110))</f>
        <v/>
      </c>
      <c r="B1132" s="24">
        <f>IF('ORDENES'!$A1110="","",IF('ORDENES'!$S1110="","-",'ORDENES'!$S1110))</f>
        <v/>
      </c>
      <c r="C1132" s="24">
        <f>IF('ORDENES'!$A1110="","",IF('ORDENES'!$AI1110="","-",'ORDENES'!$AI1110))</f>
        <v/>
      </c>
      <c r="D1132" s="24">
        <f>IF('ORDENES'!$A1110="","",IF('ORDENES'!$AA1110="","-",'ORDENES'!$AA1110))</f>
        <v/>
      </c>
      <c r="E1132" s="24">
        <f>IF('ORDENES'!$A1110="","",IF('ORDENES'!$Y1110="","-",'ORDENES'!$Y1110))</f>
        <v/>
      </c>
      <c r="F1132" s="24">
        <f>IF('ORDENES'!$A1110="","",IF('ORDENES'!$AB1110="","-",'ORDENES'!$AB1110))</f>
        <v/>
      </c>
      <c r="G1132" s="24">
        <f>IF('ORDENES'!$A1110="","",IF('ORDENES'!$Z1110="","-",'ORDENES'!$Z1110))</f>
        <v/>
      </c>
      <c r="H1132" s="24">
        <f>IF('ORDENES'!$A1110="","",IF('ORDENES'!$AH1110="","-",'ORDENES'!$AH1110))</f>
        <v/>
      </c>
      <c r="I1132" s="24">
        <f>IF('ORDENES'!$A1110="","",IF('ORDENES'!$AU1110="","-",'ORDENES'!$AU1110))</f>
        <v/>
      </c>
      <c r="J1132" s="24">
        <f>IF('ORDENES'!$A1110="","",IF('ORDENES'!$D1110="","-",'ORDENES'!$D1110))</f>
        <v/>
      </c>
      <c r="K1132" s="24">
        <f>IF('ORDENES'!$A1110="","",IF('ORDENES'!$E1110="","-",'ORDENES'!$E1110))</f>
        <v/>
      </c>
      <c r="L1132" s="26">
        <f>IF('ORDENES'!$A1110="","",IF('ORDENES'!$M1110="",0,'ORDENES'!$M1110))</f>
        <v/>
      </c>
      <c r="M1132" s="24">
        <f>IF('ORDENES'!$A1110="","",IF('ORDENES'!$N1110="","-",'ORDENES'!$N1110))</f>
        <v/>
      </c>
      <c r="N1132" s="24">
        <f>IF('ORDENES'!$A1110="","",'ORDENES'!$AG1110)</f>
        <v/>
      </c>
    </row>
    <row r="1133">
      <c r="A1133" s="24">
        <f>IF('ORDENES'!$A1111="","",IF('ORDENES'!$O1111="","-",'ORDENES'!$O1111))</f>
        <v/>
      </c>
      <c r="B1133" s="24">
        <f>IF('ORDENES'!$A1111="","",IF('ORDENES'!$S1111="","-",'ORDENES'!$S1111))</f>
        <v/>
      </c>
      <c r="C1133" s="24">
        <f>IF('ORDENES'!$A1111="","",IF('ORDENES'!$AI1111="","-",'ORDENES'!$AI1111))</f>
        <v/>
      </c>
      <c r="D1133" s="24">
        <f>IF('ORDENES'!$A1111="","",IF('ORDENES'!$AA1111="","-",'ORDENES'!$AA1111))</f>
        <v/>
      </c>
      <c r="E1133" s="24">
        <f>IF('ORDENES'!$A1111="","",IF('ORDENES'!$Y1111="","-",'ORDENES'!$Y1111))</f>
        <v/>
      </c>
      <c r="F1133" s="24">
        <f>IF('ORDENES'!$A1111="","",IF('ORDENES'!$AB1111="","-",'ORDENES'!$AB1111))</f>
        <v/>
      </c>
      <c r="G1133" s="24">
        <f>IF('ORDENES'!$A1111="","",IF('ORDENES'!$Z1111="","-",'ORDENES'!$Z1111))</f>
        <v/>
      </c>
      <c r="H1133" s="24">
        <f>IF('ORDENES'!$A1111="","",IF('ORDENES'!$AH1111="","-",'ORDENES'!$AH1111))</f>
        <v/>
      </c>
      <c r="I1133" s="24">
        <f>IF('ORDENES'!$A1111="","",IF('ORDENES'!$AU1111="","-",'ORDENES'!$AU1111))</f>
        <v/>
      </c>
      <c r="J1133" s="24">
        <f>IF('ORDENES'!$A1111="","",IF('ORDENES'!$D1111="","-",'ORDENES'!$D1111))</f>
        <v/>
      </c>
      <c r="K1133" s="24">
        <f>IF('ORDENES'!$A1111="","",IF('ORDENES'!$E1111="","-",'ORDENES'!$E1111))</f>
        <v/>
      </c>
      <c r="L1133" s="26">
        <f>IF('ORDENES'!$A1111="","",IF('ORDENES'!$M1111="",0,'ORDENES'!$M1111))</f>
        <v/>
      </c>
      <c r="M1133" s="24">
        <f>IF('ORDENES'!$A1111="","",IF('ORDENES'!$N1111="","-",'ORDENES'!$N1111))</f>
        <v/>
      </c>
      <c r="N1133" s="24">
        <f>IF('ORDENES'!$A1111="","",'ORDENES'!$AG1111)</f>
        <v/>
      </c>
    </row>
    <row r="1134">
      <c r="A1134" s="24">
        <f>IF('ORDENES'!$A1112="","",IF('ORDENES'!$O1112="","-",'ORDENES'!$O1112))</f>
        <v/>
      </c>
      <c r="B1134" s="24">
        <f>IF('ORDENES'!$A1112="","",IF('ORDENES'!$S1112="","-",'ORDENES'!$S1112))</f>
        <v/>
      </c>
      <c r="C1134" s="24">
        <f>IF('ORDENES'!$A1112="","",IF('ORDENES'!$AI1112="","-",'ORDENES'!$AI1112))</f>
        <v/>
      </c>
      <c r="D1134" s="24">
        <f>IF('ORDENES'!$A1112="","",IF('ORDENES'!$AA1112="","-",'ORDENES'!$AA1112))</f>
        <v/>
      </c>
      <c r="E1134" s="24">
        <f>IF('ORDENES'!$A1112="","",IF('ORDENES'!$Y1112="","-",'ORDENES'!$Y1112))</f>
        <v/>
      </c>
      <c r="F1134" s="24">
        <f>IF('ORDENES'!$A1112="","",IF('ORDENES'!$AB1112="","-",'ORDENES'!$AB1112))</f>
        <v/>
      </c>
      <c r="G1134" s="24">
        <f>IF('ORDENES'!$A1112="","",IF('ORDENES'!$Z1112="","-",'ORDENES'!$Z1112))</f>
        <v/>
      </c>
      <c r="H1134" s="24">
        <f>IF('ORDENES'!$A1112="","",IF('ORDENES'!$AH1112="","-",'ORDENES'!$AH1112))</f>
        <v/>
      </c>
      <c r="I1134" s="24">
        <f>IF('ORDENES'!$A1112="","",IF('ORDENES'!$AU1112="","-",'ORDENES'!$AU1112))</f>
        <v/>
      </c>
      <c r="J1134" s="24">
        <f>IF('ORDENES'!$A1112="","",IF('ORDENES'!$D1112="","-",'ORDENES'!$D1112))</f>
        <v/>
      </c>
      <c r="K1134" s="24">
        <f>IF('ORDENES'!$A1112="","",IF('ORDENES'!$E1112="","-",'ORDENES'!$E1112))</f>
        <v/>
      </c>
      <c r="L1134" s="26">
        <f>IF('ORDENES'!$A1112="","",IF('ORDENES'!$M1112="",0,'ORDENES'!$M1112))</f>
        <v/>
      </c>
      <c r="M1134" s="24">
        <f>IF('ORDENES'!$A1112="","",IF('ORDENES'!$N1112="","-",'ORDENES'!$N1112))</f>
        <v/>
      </c>
      <c r="N1134" s="24">
        <f>IF('ORDENES'!$A1112="","",'ORDENES'!$AG1112)</f>
        <v/>
      </c>
    </row>
    <row r="1135">
      <c r="A1135" s="24">
        <f>IF('ORDENES'!$A1113="","",IF('ORDENES'!$O1113="","-",'ORDENES'!$O1113))</f>
        <v/>
      </c>
      <c r="B1135" s="24">
        <f>IF('ORDENES'!$A1113="","",IF('ORDENES'!$S1113="","-",'ORDENES'!$S1113))</f>
        <v/>
      </c>
      <c r="C1135" s="24">
        <f>IF('ORDENES'!$A1113="","",IF('ORDENES'!$AI1113="","-",'ORDENES'!$AI1113))</f>
        <v/>
      </c>
      <c r="D1135" s="24">
        <f>IF('ORDENES'!$A1113="","",IF('ORDENES'!$AA1113="","-",'ORDENES'!$AA1113))</f>
        <v/>
      </c>
      <c r="E1135" s="24">
        <f>IF('ORDENES'!$A1113="","",IF('ORDENES'!$Y1113="","-",'ORDENES'!$Y1113))</f>
        <v/>
      </c>
      <c r="F1135" s="24">
        <f>IF('ORDENES'!$A1113="","",IF('ORDENES'!$AB1113="","-",'ORDENES'!$AB1113))</f>
        <v/>
      </c>
      <c r="G1135" s="24">
        <f>IF('ORDENES'!$A1113="","",IF('ORDENES'!$Z1113="","-",'ORDENES'!$Z1113))</f>
        <v/>
      </c>
      <c r="H1135" s="24">
        <f>IF('ORDENES'!$A1113="","",IF('ORDENES'!$AH1113="","-",'ORDENES'!$AH1113))</f>
        <v/>
      </c>
      <c r="I1135" s="24">
        <f>IF('ORDENES'!$A1113="","",IF('ORDENES'!$AU1113="","-",'ORDENES'!$AU1113))</f>
        <v/>
      </c>
      <c r="J1135" s="24">
        <f>IF('ORDENES'!$A1113="","",IF('ORDENES'!$D1113="","-",'ORDENES'!$D1113))</f>
        <v/>
      </c>
      <c r="K1135" s="24">
        <f>IF('ORDENES'!$A1113="","",IF('ORDENES'!$E1113="","-",'ORDENES'!$E1113))</f>
        <v/>
      </c>
      <c r="L1135" s="26">
        <f>IF('ORDENES'!$A1113="","",IF('ORDENES'!$M1113="",0,'ORDENES'!$M1113))</f>
        <v/>
      </c>
      <c r="M1135" s="24">
        <f>IF('ORDENES'!$A1113="","",IF('ORDENES'!$N1113="","-",'ORDENES'!$N1113))</f>
        <v/>
      </c>
      <c r="N1135" s="24">
        <f>IF('ORDENES'!$A1113="","",'ORDENES'!$AG1113)</f>
        <v/>
      </c>
    </row>
    <row r="1136">
      <c r="A1136" s="24">
        <f>IF('ORDENES'!$A1114="","",IF('ORDENES'!$O1114="","-",'ORDENES'!$O1114))</f>
        <v/>
      </c>
      <c r="B1136" s="24">
        <f>IF('ORDENES'!$A1114="","",IF('ORDENES'!$S1114="","-",'ORDENES'!$S1114))</f>
        <v/>
      </c>
      <c r="C1136" s="24">
        <f>IF('ORDENES'!$A1114="","",IF('ORDENES'!$AI1114="","-",'ORDENES'!$AI1114))</f>
        <v/>
      </c>
      <c r="D1136" s="24">
        <f>IF('ORDENES'!$A1114="","",IF('ORDENES'!$AA1114="","-",'ORDENES'!$AA1114))</f>
        <v/>
      </c>
      <c r="E1136" s="24">
        <f>IF('ORDENES'!$A1114="","",IF('ORDENES'!$Y1114="","-",'ORDENES'!$Y1114))</f>
        <v/>
      </c>
      <c r="F1136" s="24">
        <f>IF('ORDENES'!$A1114="","",IF('ORDENES'!$AB1114="","-",'ORDENES'!$AB1114))</f>
        <v/>
      </c>
      <c r="G1136" s="24">
        <f>IF('ORDENES'!$A1114="","",IF('ORDENES'!$Z1114="","-",'ORDENES'!$Z1114))</f>
        <v/>
      </c>
      <c r="H1136" s="24">
        <f>IF('ORDENES'!$A1114="","",IF('ORDENES'!$AH1114="","-",'ORDENES'!$AH1114))</f>
        <v/>
      </c>
      <c r="I1136" s="24">
        <f>IF('ORDENES'!$A1114="","",IF('ORDENES'!$AU1114="","-",'ORDENES'!$AU1114))</f>
        <v/>
      </c>
      <c r="J1136" s="24">
        <f>IF('ORDENES'!$A1114="","",IF('ORDENES'!$D1114="","-",'ORDENES'!$D1114))</f>
        <v/>
      </c>
      <c r="K1136" s="24">
        <f>IF('ORDENES'!$A1114="","",IF('ORDENES'!$E1114="","-",'ORDENES'!$E1114))</f>
        <v/>
      </c>
      <c r="L1136" s="26">
        <f>IF('ORDENES'!$A1114="","",IF('ORDENES'!$M1114="",0,'ORDENES'!$M1114))</f>
        <v/>
      </c>
      <c r="M1136" s="24">
        <f>IF('ORDENES'!$A1114="","",IF('ORDENES'!$N1114="","-",'ORDENES'!$N1114))</f>
        <v/>
      </c>
      <c r="N1136" s="24">
        <f>IF('ORDENES'!$A1114="","",'ORDENES'!$AG1114)</f>
        <v/>
      </c>
    </row>
    <row r="1137">
      <c r="A1137" s="24">
        <f>IF('ORDENES'!$A1115="","",IF('ORDENES'!$O1115="","-",'ORDENES'!$O1115))</f>
        <v/>
      </c>
      <c r="B1137" s="24">
        <f>IF('ORDENES'!$A1115="","",IF('ORDENES'!$S1115="","-",'ORDENES'!$S1115))</f>
        <v/>
      </c>
      <c r="C1137" s="24">
        <f>IF('ORDENES'!$A1115="","",IF('ORDENES'!$AI1115="","-",'ORDENES'!$AI1115))</f>
        <v/>
      </c>
      <c r="D1137" s="24">
        <f>IF('ORDENES'!$A1115="","",IF('ORDENES'!$AA1115="","-",'ORDENES'!$AA1115))</f>
        <v/>
      </c>
      <c r="E1137" s="24">
        <f>IF('ORDENES'!$A1115="","",IF('ORDENES'!$Y1115="","-",'ORDENES'!$Y1115))</f>
        <v/>
      </c>
      <c r="F1137" s="24">
        <f>IF('ORDENES'!$A1115="","",IF('ORDENES'!$AB1115="","-",'ORDENES'!$AB1115))</f>
        <v/>
      </c>
      <c r="G1137" s="24">
        <f>IF('ORDENES'!$A1115="","",IF('ORDENES'!$Z1115="","-",'ORDENES'!$Z1115))</f>
        <v/>
      </c>
      <c r="H1137" s="24">
        <f>IF('ORDENES'!$A1115="","",IF('ORDENES'!$AH1115="","-",'ORDENES'!$AH1115))</f>
        <v/>
      </c>
      <c r="I1137" s="24">
        <f>IF('ORDENES'!$A1115="","",IF('ORDENES'!$AU1115="","-",'ORDENES'!$AU1115))</f>
        <v/>
      </c>
      <c r="J1137" s="24">
        <f>IF('ORDENES'!$A1115="","",IF('ORDENES'!$D1115="","-",'ORDENES'!$D1115))</f>
        <v/>
      </c>
      <c r="K1137" s="24">
        <f>IF('ORDENES'!$A1115="","",IF('ORDENES'!$E1115="","-",'ORDENES'!$E1115))</f>
        <v/>
      </c>
      <c r="L1137" s="26">
        <f>IF('ORDENES'!$A1115="","",IF('ORDENES'!$M1115="",0,'ORDENES'!$M1115))</f>
        <v/>
      </c>
      <c r="M1137" s="24">
        <f>IF('ORDENES'!$A1115="","",IF('ORDENES'!$N1115="","-",'ORDENES'!$N1115))</f>
        <v/>
      </c>
      <c r="N1137" s="24">
        <f>IF('ORDENES'!$A1115="","",'ORDENES'!$AG1115)</f>
        <v/>
      </c>
    </row>
    <row r="1138">
      <c r="A1138" s="24">
        <f>IF('ORDENES'!$A1116="","",IF('ORDENES'!$O1116="","-",'ORDENES'!$O1116))</f>
        <v/>
      </c>
      <c r="B1138" s="24">
        <f>IF('ORDENES'!$A1116="","",IF('ORDENES'!$S1116="","-",'ORDENES'!$S1116))</f>
        <v/>
      </c>
      <c r="C1138" s="24">
        <f>IF('ORDENES'!$A1116="","",IF('ORDENES'!$AI1116="","-",'ORDENES'!$AI1116))</f>
        <v/>
      </c>
      <c r="D1138" s="24">
        <f>IF('ORDENES'!$A1116="","",IF('ORDENES'!$AA1116="","-",'ORDENES'!$AA1116))</f>
        <v/>
      </c>
      <c r="E1138" s="24">
        <f>IF('ORDENES'!$A1116="","",IF('ORDENES'!$Y1116="","-",'ORDENES'!$Y1116))</f>
        <v/>
      </c>
      <c r="F1138" s="24">
        <f>IF('ORDENES'!$A1116="","",IF('ORDENES'!$AB1116="","-",'ORDENES'!$AB1116))</f>
        <v/>
      </c>
      <c r="G1138" s="24">
        <f>IF('ORDENES'!$A1116="","",IF('ORDENES'!$Z1116="","-",'ORDENES'!$Z1116))</f>
        <v/>
      </c>
      <c r="H1138" s="24">
        <f>IF('ORDENES'!$A1116="","",IF('ORDENES'!$AH1116="","-",'ORDENES'!$AH1116))</f>
        <v/>
      </c>
      <c r="I1138" s="24">
        <f>IF('ORDENES'!$A1116="","",IF('ORDENES'!$AU1116="","-",'ORDENES'!$AU1116))</f>
        <v/>
      </c>
      <c r="J1138" s="24">
        <f>IF('ORDENES'!$A1116="","",IF('ORDENES'!$D1116="","-",'ORDENES'!$D1116))</f>
        <v/>
      </c>
      <c r="K1138" s="24">
        <f>IF('ORDENES'!$A1116="","",IF('ORDENES'!$E1116="","-",'ORDENES'!$E1116))</f>
        <v/>
      </c>
      <c r="L1138" s="26">
        <f>IF('ORDENES'!$A1116="","",IF('ORDENES'!$M1116="",0,'ORDENES'!$M1116))</f>
        <v/>
      </c>
      <c r="M1138" s="24">
        <f>IF('ORDENES'!$A1116="","",IF('ORDENES'!$N1116="","-",'ORDENES'!$N1116))</f>
        <v/>
      </c>
      <c r="N1138" s="24">
        <f>IF('ORDENES'!$A1116="","",'ORDENES'!$AG1116)</f>
        <v/>
      </c>
    </row>
    <row r="1139">
      <c r="A1139" s="24">
        <f>IF('ORDENES'!$A1117="","",IF('ORDENES'!$O1117="","-",'ORDENES'!$O1117))</f>
        <v/>
      </c>
      <c r="B1139" s="24">
        <f>IF('ORDENES'!$A1117="","",IF('ORDENES'!$S1117="","-",'ORDENES'!$S1117))</f>
        <v/>
      </c>
      <c r="C1139" s="24">
        <f>IF('ORDENES'!$A1117="","",IF('ORDENES'!$AI1117="","-",'ORDENES'!$AI1117))</f>
        <v/>
      </c>
      <c r="D1139" s="24">
        <f>IF('ORDENES'!$A1117="","",IF('ORDENES'!$AA1117="","-",'ORDENES'!$AA1117))</f>
        <v/>
      </c>
      <c r="E1139" s="24">
        <f>IF('ORDENES'!$A1117="","",IF('ORDENES'!$Y1117="","-",'ORDENES'!$Y1117))</f>
        <v/>
      </c>
      <c r="F1139" s="24">
        <f>IF('ORDENES'!$A1117="","",IF('ORDENES'!$AB1117="","-",'ORDENES'!$AB1117))</f>
        <v/>
      </c>
      <c r="G1139" s="24">
        <f>IF('ORDENES'!$A1117="","",IF('ORDENES'!$Z1117="","-",'ORDENES'!$Z1117))</f>
        <v/>
      </c>
      <c r="H1139" s="24">
        <f>IF('ORDENES'!$A1117="","",IF('ORDENES'!$AH1117="","-",'ORDENES'!$AH1117))</f>
        <v/>
      </c>
      <c r="I1139" s="24">
        <f>IF('ORDENES'!$A1117="","",IF('ORDENES'!$AU1117="","-",'ORDENES'!$AU1117))</f>
        <v/>
      </c>
      <c r="J1139" s="24">
        <f>IF('ORDENES'!$A1117="","",IF('ORDENES'!$D1117="","-",'ORDENES'!$D1117))</f>
        <v/>
      </c>
      <c r="K1139" s="24">
        <f>IF('ORDENES'!$A1117="","",IF('ORDENES'!$E1117="","-",'ORDENES'!$E1117))</f>
        <v/>
      </c>
      <c r="L1139" s="26">
        <f>IF('ORDENES'!$A1117="","",IF('ORDENES'!$M1117="",0,'ORDENES'!$M1117))</f>
        <v/>
      </c>
      <c r="M1139" s="24">
        <f>IF('ORDENES'!$A1117="","",IF('ORDENES'!$N1117="","-",'ORDENES'!$N1117))</f>
        <v/>
      </c>
      <c r="N1139" s="24">
        <f>IF('ORDENES'!$A1117="","",'ORDENES'!$AG1117)</f>
        <v/>
      </c>
    </row>
    <row r="1140">
      <c r="A1140" s="24">
        <f>IF('ORDENES'!$A1118="","",IF('ORDENES'!$O1118="","-",'ORDENES'!$O1118))</f>
        <v/>
      </c>
      <c r="B1140" s="24">
        <f>IF('ORDENES'!$A1118="","",IF('ORDENES'!$S1118="","-",'ORDENES'!$S1118))</f>
        <v/>
      </c>
      <c r="C1140" s="24">
        <f>IF('ORDENES'!$A1118="","",IF('ORDENES'!$AI1118="","-",'ORDENES'!$AI1118))</f>
        <v/>
      </c>
      <c r="D1140" s="24">
        <f>IF('ORDENES'!$A1118="","",IF('ORDENES'!$AA1118="","-",'ORDENES'!$AA1118))</f>
        <v/>
      </c>
      <c r="E1140" s="24">
        <f>IF('ORDENES'!$A1118="","",IF('ORDENES'!$Y1118="","-",'ORDENES'!$Y1118))</f>
        <v/>
      </c>
      <c r="F1140" s="24">
        <f>IF('ORDENES'!$A1118="","",IF('ORDENES'!$AB1118="","-",'ORDENES'!$AB1118))</f>
        <v/>
      </c>
      <c r="G1140" s="24">
        <f>IF('ORDENES'!$A1118="","",IF('ORDENES'!$Z1118="","-",'ORDENES'!$Z1118))</f>
        <v/>
      </c>
      <c r="H1140" s="24">
        <f>IF('ORDENES'!$A1118="","",IF('ORDENES'!$AH1118="","-",'ORDENES'!$AH1118))</f>
        <v/>
      </c>
      <c r="I1140" s="24">
        <f>IF('ORDENES'!$A1118="","",IF('ORDENES'!$AU1118="","-",'ORDENES'!$AU1118))</f>
        <v/>
      </c>
      <c r="J1140" s="24">
        <f>IF('ORDENES'!$A1118="","",IF('ORDENES'!$D1118="","-",'ORDENES'!$D1118))</f>
        <v/>
      </c>
      <c r="K1140" s="24">
        <f>IF('ORDENES'!$A1118="","",IF('ORDENES'!$E1118="","-",'ORDENES'!$E1118))</f>
        <v/>
      </c>
      <c r="L1140" s="26">
        <f>IF('ORDENES'!$A1118="","",IF('ORDENES'!$M1118="",0,'ORDENES'!$M1118))</f>
        <v/>
      </c>
      <c r="M1140" s="24">
        <f>IF('ORDENES'!$A1118="","",IF('ORDENES'!$N1118="","-",'ORDENES'!$N1118))</f>
        <v/>
      </c>
      <c r="N1140" s="24">
        <f>IF('ORDENES'!$A1118="","",'ORDENES'!$AG1118)</f>
        <v/>
      </c>
    </row>
    <row r="1141">
      <c r="A1141" s="24">
        <f>IF('ORDENES'!$A1119="","",IF('ORDENES'!$O1119="","-",'ORDENES'!$O1119))</f>
        <v/>
      </c>
      <c r="B1141" s="24">
        <f>IF('ORDENES'!$A1119="","",IF('ORDENES'!$S1119="","-",'ORDENES'!$S1119))</f>
        <v/>
      </c>
      <c r="C1141" s="24">
        <f>IF('ORDENES'!$A1119="","",IF('ORDENES'!$AI1119="","-",'ORDENES'!$AI1119))</f>
        <v/>
      </c>
      <c r="D1141" s="24">
        <f>IF('ORDENES'!$A1119="","",IF('ORDENES'!$AA1119="","-",'ORDENES'!$AA1119))</f>
        <v/>
      </c>
      <c r="E1141" s="24">
        <f>IF('ORDENES'!$A1119="","",IF('ORDENES'!$Y1119="","-",'ORDENES'!$Y1119))</f>
        <v/>
      </c>
      <c r="F1141" s="24">
        <f>IF('ORDENES'!$A1119="","",IF('ORDENES'!$AB1119="","-",'ORDENES'!$AB1119))</f>
        <v/>
      </c>
      <c r="G1141" s="24">
        <f>IF('ORDENES'!$A1119="","",IF('ORDENES'!$Z1119="","-",'ORDENES'!$Z1119))</f>
        <v/>
      </c>
      <c r="H1141" s="24">
        <f>IF('ORDENES'!$A1119="","",IF('ORDENES'!$AH1119="","-",'ORDENES'!$AH1119))</f>
        <v/>
      </c>
      <c r="I1141" s="24">
        <f>IF('ORDENES'!$A1119="","",IF('ORDENES'!$AU1119="","-",'ORDENES'!$AU1119))</f>
        <v/>
      </c>
      <c r="J1141" s="24">
        <f>IF('ORDENES'!$A1119="","",IF('ORDENES'!$D1119="","-",'ORDENES'!$D1119))</f>
        <v/>
      </c>
      <c r="K1141" s="24">
        <f>IF('ORDENES'!$A1119="","",IF('ORDENES'!$E1119="","-",'ORDENES'!$E1119))</f>
        <v/>
      </c>
      <c r="L1141" s="26">
        <f>IF('ORDENES'!$A1119="","",IF('ORDENES'!$M1119="",0,'ORDENES'!$M1119))</f>
        <v/>
      </c>
      <c r="M1141" s="24">
        <f>IF('ORDENES'!$A1119="","",IF('ORDENES'!$N1119="","-",'ORDENES'!$N1119))</f>
        <v/>
      </c>
      <c r="N1141" s="24">
        <f>IF('ORDENES'!$A1119="","",'ORDENES'!$AG1119)</f>
        <v/>
      </c>
    </row>
    <row r="1142">
      <c r="A1142" s="24">
        <f>IF('ORDENES'!$A1120="","",IF('ORDENES'!$O1120="","-",'ORDENES'!$O1120))</f>
        <v/>
      </c>
      <c r="B1142" s="24">
        <f>IF('ORDENES'!$A1120="","",IF('ORDENES'!$S1120="","-",'ORDENES'!$S1120))</f>
        <v/>
      </c>
      <c r="C1142" s="24">
        <f>IF('ORDENES'!$A1120="","",IF('ORDENES'!$AI1120="","-",'ORDENES'!$AI1120))</f>
        <v/>
      </c>
      <c r="D1142" s="24">
        <f>IF('ORDENES'!$A1120="","",IF('ORDENES'!$AA1120="","-",'ORDENES'!$AA1120))</f>
        <v/>
      </c>
      <c r="E1142" s="24">
        <f>IF('ORDENES'!$A1120="","",IF('ORDENES'!$Y1120="","-",'ORDENES'!$Y1120))</f>
        <v/>
      </c>
      <c r="F1142" s="24">
        <f>IF('ORDENES'!$A1120="","",IF('ORDENES'!$AB1120="","-",'ORDENES'!$AB1120))</f>
        <v/>
      </c>
      <c r="G1142" s="24">
        <f>IF('ORDENES'!$A1120="","",IF('ORDENES'!$Z1120="","-",'ORDENES'!$Z1120))</f>
        <v/>
      </c>
      <c r="H1142" s="24">
        <f>IF('ORDENES'!$A1120="","",IF('ORDENES'!$AH1120="","-",'ORDENES'!$AH1120))</f>
        <v/>
      </c>
      <c r="I1142" s="24">
        <f>IF('ORDENES'!$A1120="","",IF('ORDENES'!$AU1120="","-",'ORDENES'!$AU1120))</f>
        <v/>
      </c>
      <c r="J1142" s="24">
        <f>IF('ORDENES'!$A1120="","",IF('ORDENES'!$D1120="","-",'ORDENES'!$D1120))</f>
        <v/>
      </c>
      <c r="K1142" s="24">
        <f>IF('ORDENES'!$A1120="","",IF('ORDENES'!$E1120="","-",'ORDENES'!$E1120))</f>
        <v/>
      </c>
      <c r="L1142" s="26">
        <f>IF('ORDENES'!$A1120="","",IF('ORDENES'!$M1120="",0,'ORDENES'!$M1120))</f>
        <v/>
      </c>
      <c r="M1142" s="24">
        <f>IF('ORDENES'!$A1120="","",IF('ORDENES'!$N1120="","-",'ORDENES'!$N1120))</f>
        <v/>
      </c>
      <c r="N1142" s="24">
        <f>IF('ORDENES'!$A1120="","",'ORDENES'!$AG1120)</f>
        <v/>
      </c>
    </row>
    <row r="1143">
      <c r="A1143" s="24">
        <f>IF('ORDENES'!$A1121="","",IF('ORDENES'!$O1121="","-",'ORDENES'!$O1121))</f>
        <v/>
      </c>
      <c r="B1143" s="24">
        <f>IF('ORDENES'!$A1121="","",IF('ORDENES'!$S1121="","-",'ORDENES'!$S1121))</f>
        <v/>
      </c>
      <c r="C1143" s="24">
        <f>IF('ORDENES'!$A1121="","",IF('ORDENES'!$AI1121="","-",'ORDENES'!$AI1121))</f>
        <v/>
      </c>
      <c r="D1143" s="24">
        <f>IF('ORDENES'!$A1121="","",IF('ORDENES'!$AA1121="","-",'ORDENES'!$AA1121))</f>
        <v/>
      </c>
      <c r="E1143" s="24">
        <f>IF('ORDENES'!$A1121="","",IF('ORDENES'!$Y1121="","-",'ORDENES'!$Y1121))</f>
        <v/>
      </c>
      <c r="F1143" s="24">
        <f>IF('ORDENES'!$A1121="","",IF('ORDENES'!$AB1121="","-",'ORDENES'!$AB1121))</f>
        <v/>
      </c>
      <c r="G1143" s="24">
        <f>IF('ORDENES'!$A1121="","",IF('ORDENES'!$Z1121="","-",'ORDENES'!$Z1121))</f>
        <v/>
      </c>
      <c r="H1143" s="24">
        <f>IF('ORDENES'!$A1121="","",IF('ORDENES'!$AH1121="","-",'ORDENES'!$AH1121))</f>
        <v/>
      </c>
      <c r="I1143" s="24">
        <f>IF('ORDENES'!$A1121="","",IF('ORDENES'!$AU1121="","-",'ORDENES'!$AU1121))</f>
        <v/>
      </c>
      <c r="J1143" s="24">
        <f>IF('ORDENES'!$A1121="","",IF('ORDENES'!$D1121="","-",'ORDENES'!$D1121))</f>
        <v/>
      </c>
      <c r="K1143" s="24">
        <f>IF('ORDENES'!$A1121="","",IF('ORDENES'!$E1121="","-",'ORDENES'!$E1121))</f>
        <v/>
      </c>
      <c r="L1143" s="26">
        <f>IF('ORDENES'!$A1121="","",IF('ORDENES'!$M1121="",0,'ORDENES'!$M1121))</f>
        <v/>
      </c>
      <c r="M1143" s="24">
        <f>IF('ORDENES'!$A1121="","",IF('ORDENES'!$N1121="","-",'ORDENES'!$N1121))</f>
        <v/>
      </c>
      <c r="N1143" s="24">
        <f>IF('ORDENES'!$A1121="","",'ORDENES'!$AG1121)</f>
        <v/>
      </c>
    </row>
    <row r="1144">
      <c r="A1144" s="24">
        <f>IF('ORDENES'!$A1122="","",IF('ORDENES'!$O1122="","-",'ORDENES'!$O1122))</f>
        <v/>
      </c>
      <c r="B1144" s="24">
        <f>IF('ORDENES'!$A1122="","",IF('ORDENES'!$S1122="","-",'ORDENES'!$S1122))</f>
        <v/>
      </c>
      <c r="C1144" s="24">
        <f>IF('ORDENES'!$A1122="","",IF('ORDENES'!$AI1122="","-",'ORDENES'!$AI1122))</f>
        <v/>
      </c>
      <c r="D1144" s="24">
        <f>IF('ORDENES'!$A1122="","",IF('ORDENES'!$AA1122="","-",'ORDENES'!$AA1122))</f>
        <v/>
      </c>
      <c r="E1144" s="24">
        <f>IF('ORDENES'!$A1122="","",IF('ORDENES'!$Y1122="","-",'ORDENES'!$Y1122))</f>
        <v/>
      </c>
      <c r="F1144" s="24">
        <f>IF('ORDENES'!$A1122="","",IF('ORDENES'!$AB1122="","-",'ORDENES'!$AB1122))</f>
        <v/>
      </c>
      <c r="G1144" s="24">
        <f>IF('ORDENES'!$A1122="","",IF('ORDENES'!$Z1122="","-",'ORDENES'!$Z1122))</f>
        <v/>
      </c>
      <c r="H1144" s="24">
        <f>IF('ORDENES'!$A1122="","",IF('ORDENES'!$AH1122="","-",'ORDENES'!$AH1122))</f>
        <v/>
      </c>
      <c r="I1144" s="24">
        <f>IF('ORDENES'!$A1122="","",IF('ORDENES'!$AU1122="","-",'ORDENES'!$AU1122))</f>
        <v/>
      </c>
      <c r="J1144" s="24">
        <f>IF('ORDENES'!$A1122="","",IF('ORDENES'!$D1122="","-",'ORDENES'!$D1122))</f>
        <v/>
      </c>
      <c r="K1144" s="24">
        <f>IF('ORDENES'!$A1122="","",IF('ORDENES'!$E1122="","-",'ORDENES'!$E1122))</f>
        <v/>
      </c>
      <c r="L1144" s="26">
        <f>IF('ORDENES'!$A1122="","",IF('ORDENES'!$M1122="",0,'ORDENES'!$M1122))</f>
        <v/>
      </c>
      <c r="M1144" s="24">
        <f>IF('ORDENES'!$A1122="","",IF('ORDENES'!$N1122="","-",'ORDENES'!$N1122))</f>
        <v/>
      </c>
      <c r="N1144" s="24">
        <f>IF('ORDENES'!$A1122="","",'ORDENES'!$AG1122)</f>
        <v/>
      </c>
    </row>
    <row r="1145">
      <c r="A1145" s="24">
        <f>IF('ORDENES'!$A1123="","",IF('ORDENES'!$O1123="","-",'ORDENES'!$O1123))</f>
        <v/>
      </c>
      <c r="B1145" s="24">
        <f>IF('ORDENES'!$A1123="","",IF('ORDENES'!$S1123="","-",'ORDENES'!$S1123))</f>
        <v/>
      </c>
      <c r="C1145" s="24">
        <f>IF('ORDENES'!$A1123="","",IF('ORDENES'!$AI1123="","-",'ORDENES'!$AI1123))</f>
        <v/>
      </c>
      <c r="D1145" s="24">
        <f>IF('ORDENES'!$A1123="","",IF('ORDENES'!$AA1123="","-",'ORDENES'!$AA1123))</f>
        <v/>
      </c>
      <c r="E1145" s="24">
        <f>IF('ORDENES'!$A1123="","",IF('ORDENES'!$Y1123="","-",'ORDENES'!$Y1123))</f>
        <v/>
      </c>
      <c r="F1145" s="24">
        <f>IF('ORDENES'!$A1123="","",IF('ORDENES'!$AB1123="","-",'ORDENES'!$AB1123))</f>
        <v/>
      </c>
      <c r="G1145" s="24">
        <f>IF('ORDENES'!$A1123="","",IF('ORDENES'!$Z1123="","-",'ORDENES'!$Z1123))</f>
        <v/>
      </c>
      <c r="H1145" s="24">
        <f>IF('ORDENES'!$A1123="","",IF('ORDENES'!$AH1123="","-",'ORDENES'!$AH1123))</f>
        <v/>
      </c>
      <c r="I1145" s="24">
        <f>IF('ORDENES'!$A1123="","",IF('ORDENES'!$AU1123="","-",'ORDENES'!$AU1123))</f>
        <v/>
      </c>
      <c r="J1145" s="24">
        <f>IF('ORDENES'!$A1123="","",IF('ORDENES'!$D1123="","-",'ORDENES'!$D1123))</f>
        <v/>
      </c>
      <c r="K1145" s="24">
        <f>IF('ORDENES'!$A1123="","",IF('ORDENES'!$E1123="","-",'ORDENES'!$E1123))</f>
        <v/>
      </c>
      <c r="L1145" s="26">
        <f>IF('ORDENES'!$A1123="","",IF('ORDENES'!$M1123="",0,'ORDENES'!$M1123))</f>
        <v/>
      </c>
      <c r="M1145" s="24">
        <f>IF('ORDENES'!$A1123="","",IF('ORDENES'!$N1123="","-",'ORDENES'!$N1123))</f>
        <v/>
      </c>
      <c r="N1145" s="24">
        <f>IF('ORDENES'!$A1123="","",'ORDENES'!$AG1123)</f>
        <v/>
      </c>
    </row>
    <row r="1146">
      <c r="A1146" s="24">
        <f>IF('ORDENES'!$A1124="","",IF('ORDENES'!$O1124="","-",'ORDENES'!$O1124))</f>
        <v/>
      </c>
      <c r="B1146" s="24">
        <f>IF('ORDENES'!$A1124="","",IF('ORDENES'!$S1124="","-",'ORDENES'!$S1124))</f>
        <v/>
      </c>
      <c r="C1146" s="24">
        <f>IF('ORDENES'!$A1124="","",IF('ORDENES'!$AI1124="","-",'ORDENES'!$AI1124))</f>
        <v/>
      </c>
      <c r="D1146" s="24">
        <f>IF('ORDENES'!$A1124="","",IF('ORDENES'!$AA1124="","-",'ORDENES'!$AA1124))</f>
        <v/>
      </c>
      <c r="E1146" s="24">
        <f>IF('ORDENES'!$A1124="","",IF('ORDENES'!$Y1124="","-",'ORDENES'!$Y1124))</f>
        <v/>
      </c>
      <c r="F1146" s="24">
        <f>IF('ORDENES'!$A1124="","",IF('ORDENES'!$AB1124="","-",'ORDENES'!$AB1124))</f>
        <v/>
      </c>
      <c r="G1146" s="24">
        <f>IF('ORDENES'!$A1124="","",IF('ORDENES'!$Z1124="","-",'ORDENES'!$Z1124))</f>
        <v/>
      </c>
      <c r="H1146" s="24">
        <f>IF('ORDENES'!$A1124="","",IF('ORDENES'!$AH1124="","-",'ORDENES'!$AH1124))</f>
        <v/>
      </c>
      <c r="I1146" s="24">
        <f>IF('ORDENES'!$A1124="","",IF('ORDENES'!$AU1124="","-",'ORDENES'!$AU1124))</f>
        <v/>
      </c>
      <c r="J1146" s="24">
        <f>IF('ORDENES'!$A1124="","",IF('ORDENES'!$D1124="","-",'ORDENES'!$D1124))</f>
        <v/>
      </c>
      <c r="K1146" s="24">
        <f>IF('ORDENES'!$A1124="","",IF('ORDENES'!$E1124="","-",'ORDENES'!$E1124))</f>
        <v/>
      </c>
      <c r="L1146" s="26">
        <f>IF('ORDENES'!$A1124="","",IF('ORDENES'!$M1124="",0,'ORDENES'!$M1124))</f>
        <v/>
      </c>
      <c r="M1146" s="24">
        <f>IF('ORDENES'!$A1124="","",IF('ORDENES'!$N1124="","-",'ORDENES'!$N1124))</f>
        <v/>
      </c>
      <c r="N1146" s="24">
        <f>IF('ORDENES'!$A1124="","",'ORDENES'!$AG1124)</f>
        <v/>
      </c>
    </row>
    <row r="1147">
      <c r="A1147" s="24">
        <f>IF('ORDENES'!$A1125="","",IF('ORDENES'!$O1125="","-",'ORDENES'!$O1125))</f>
        <v/>
      </c>
      <c r="B1147" s="24">
        <f>IF('ORDENES'!$A1125="","",IF('ORDENES'!$S1125="","-",'ORDENES'!$S1125))</f>
        <v/>
      </c>
      <c r="C1147" s="24">
        <f>IF('ORDENES'!$A1125="","",IF('ORDENES'!$AI1125="","-",'ORDENES'!$AI1125))</f>
        <v/>
      </c>
      <c r="D1147" s="24">
        <f>IF('ORDENES'!$A1125="","",IF('ORDENES'!$AA1125="","-",'ORDENES'!$AA1125))</f>
        <v/>
      </c>
      <c r="E1147" s="24">
        <f>IF('ORDENES'!$A1125="","",IF('ORDENES'!$Y1125="","-",'ORDENES'!$Y1125))</f>
        <v/>
      </c>
      <c r="F1147" s="24">
        <f>IF('ORDENES'!$A1125="","",IF('ORDENES'!$AB1125="","-",'ORDENES'!$AB1125))</f>
        <v/>
      </c>
      <c r="G1147" s="24">
        <f>IF('ORDENES'!$A1125="","",IF('ORDENES'!$Z1125="","-",'ORDENES'!$Z1125))</f>
        <v/>
      </c>
      <c r="H1147" s="24">
        <f>IF('ORDENES'!$A1125="","",IF('ORDENES'!$AH1125="","-",'ORDENES'!$AH1125))</f>
        <v/>
      </c>
      <c r="I1147" s="24">
        <f>IF('ORDENES'!$A1125="","",IF('ORDENES'!$AU1125="","-",'ORDENES'!$AU1125))</f>
        <v/>
      </c>
      <c r="J1147" s="24">
        <f>IF('ORDENES'!$A1125="","",IF('ORDENES'!$D1125="","-",'ORDENES'!$D1125))</f>
        <v/>
      </c>
      <c r="K1147" s="24">
        <f>IF('ORDENES'!$A1125="","",IF('ORDENES'!$E1125="","-",'ORDENES'!$E1125))</f>
        <v/>
      </c>
      <c r="L1147" s="26">
        <f>IF('ORDENES'!$A1125="","",IF('ORDENES'!$M1125="",0,'ORDENES'!$M1125))</f>
        <v/>
      </c>
      <c r="M1147" s="24">
        <f>IF('ORDENES'!$A1125="","",IF('ORDENES'!$N1125="","-",'ORDENES'!$N1125))</f>
        <v/>
      </c>
      <c r="N1147" s="24">
        <f>IF('ORDENES'!$A1125="","",'ORDENES'!$AG1125)</f>
        <v/>
      </c>
    </row>
    <row r="1148">
      <c r="A1148" s="24">
        <f>IF('ORDENES'!$A1126="","",IF('ORDENES'!$O1126="","-",'ORDENES'!$O1126))</f>
        <v/>
      </c>
      <c r="B1148" s="24">
        <f>IF('ORDENES'!$A1126="","",IF('ORDENES'!$S1126="","-",'ORDENES'!$S1126))</f>
        <v/>
      </c>
      <c r="C1148" s="24">
        <f>IF('ORDENES'!$A1126="","",IF('ORDENES'!$AI1126="","-",'ORDENES'!$AI1126))</f>
        <v/>
      </c>
      <c r="D1148" s="24">
        <f>IF('ORDENES'!$A1126="","",IF('ORDENES'!$AA1126="","-",'ORDENES'!$AA1126))</f>
        <v/>
      </c>
      <c r="E1148" s="24">
        <f>IF('ORDENES'!$A1126="","",IF('ORDENES'!$Y1126="","-",'ORDENES'!$Y1126))</f>
        <v/>
      </c>
      <c r="F1148" s="24">
        <f>IF('ORDENES'!$A1126="","",IF('ORDENES'!$AB1126="","-",'ORDENES'!$AB1126))</f>
        <v/>
      </c>
      <c r="G1148" s="24">
        <f>IF('ORDENES'!$A1126="","",IF('ORDENES'!$Z1126="","-",'ORDENES'!$Z1126))</f>
        <v/>
      </c>
      <c r="H1148" s="24">
        <f>IF('ORDENES'!$A1126="","",IF('ORDENES'!$AH1126="","-",'ORDENES'!$AH1126))</f>
        <v/>
      </c>
      <c r="I1148" s="24">
        <f>IF('ORDENES'!$A1126="","",IF('ORDENES'!$AU1126="","-",'ORDENES'!$AU1126))</f>
        <v/>
      </c>
      <c r="J1148" s="24">
        <f>IF('ORDENES'!$A1126="","",IF('ORDENES'!$D1126="","-",'ORDENES'!$D1126))</f>
        <v/>
      </c>
      <c r="K1148" s="24">
        <f>IF('ORDENES'!$A1126="","",IF('ORDENES'!$E1126="","-",'ORDENES'!$E1126))</f>
        <v/>
      </c>
      <c r="L1148" s="26">
        <f>IF('ORDENES'!$A1126="","",IF('ORDENES'!$M1126="",0,'ORDENES'!$M1126))</f>
        <v/>
      </c>
      <c r="M1148" s="24">
        <f>IF('ORDENES'!$A1126="","",IF('ORDENES'!$N1126="","-",'ORDENES'!$N1126))</f>
        <v/>
      </c>
      <c r="N1148" s="24">
        <f>IF('ORDENES'!$A1126="","",'ORDENES'!$AG1126)</f>
        <v/>
      </c>
    </row>
    <row r="1149">
      <c r="A1149" s="24">
        <f>IF('ORDENES'!$A1127="","",IF('ORDENES'!$O1127="","-",'ORDENES'!$O1127))</f>
        <v/>
      </c>
      <c r="B1149" s="24">
        <f>IF('ORDENES'!$A1127="","",IF('ORDENES'!$S1127="","-",'ORDENES'!$S1127))</f>
        <v/>
      </c>
      <c r="C1149" s="24">
        <f>IF('ORDENES'!$A1127="","",IF('ORDENES'!$AI1127="","-",'ORDENES'!$AI1127))</f>
        <v/>
      </c>
      <c r="D1149" s="24">
        <f>IF('ORDENES'!$A1127="","",IF('ORDENES'!$AA1127="","-",'ORDENES'!$AA1127))</f>
        <v/>
      </c>
      <c r="E1149" s="24">
        <f>IF('ORDENES'!$A1127="","",IF('ORDENES'!$Y1127="","-",'ORDENES'!$Y1127))</f>
        <v/>
      </c>
      <c r="F1149" s="24">
        <f>IF('ORDENES'!$A1127="","",IF('ORDENES'!$AB1127="","-",'ORDENES'!$AB1127))</f>
        <v/>
      </c>
      <c r="G1149" s="24">
        <f>IF('ORDENES'!$A1127="","",IF('ORDENES'!$Z1127="","-",'ORDENES'!$Z1127))</f>
        <v/>
      </c>
      <c r="H1149" s="24">
        <f>IF('ORDENES'!$A1127="","",IF('ORDENES'!$AH1127="","-",'ORDENES'!$AH1127))</f>
        <v/>
      </c>
      <c r="I1149" s="24">
        <f>IF('ORDENES'!$A1127="","",IF('ORDENES'!$AU1127="","-",'ORDENES'!$AU1127))</f>
        <v/>
      </c>
      <c r="J1149" s="24">
        <f>IF('ORDENES'!$A1127="","",IF('ORDENES'!$D1127="","-",'ORDENES'!$D1127))</f>
        <v/>
      </c>
      <c r="K1149" s="24">
        <f>IF('ORDENES'!$A1127="","",IF('ORDENES'!$E1127="","-",'ORDENES'!$E1127))</f>
        <v/>
      </c>
      <c r="L1149" s="26">
        <f>IF('ORDENES'!$A1127="","",IF('ORDENES'!$M1127="",0,'ORDENES'!$M1127))</f>
        <v/>
      </c>
      <c r="M1149" s="24">
        <f>IF('ORDENES'!$A1127="","",IF('ORDENES'!$N1127="","-",'ORDENES'!$N1127))</f>
        <v/>
      </c>
      <c r="N1149" s="24">
        <f>IF('ORDENES'!$A1127="","",'ORDENES'!$AG1127)</f>
        <v/>
      </c>
    </row>
    <row r="1150">
      <c r="A1150" s="24">
        <f>IF('ORDENES'!$A1128="","",IF('ORDENES'!$O1128="","-",'ORDENES'!$O1128))</f>
        <v/>
      </c>
      <c r="B1150" s="24">
        <f>IF('ORDENES'!$A1128="","",IF('ORDENES'!$S1128="","-",'ORDENES'!$S1128))</f>
        <v/>
      </c>
      <c r="C1150" s="24">
        <f>IF('ORDENES'!$A1128="","",IF('ORDENES'!$AI1128="","-",'ORDENES'!$AI1128))</f>
        <v/>
      </c>
      <c r="D1150" s="24">
        <f>IF('ORDENES'!$A1128="","",IF('ORDENES'!$AA1128="","-",'ORDENES'!$AA1128))</f>
        <v/>
      </c>
      <c r="E1150" s="24">
        <f>IF('ORDENES'!$A1128="","",IF('ORDENES'!$Y1128="","-",'ORDENES'!$Y1128))</f>
        <v/>
      </c>
      <c r="F1150" s="24">
        <f>IF('ORDENES'!$A1128="","",IF('ORDENES'!$AB1128="","-",'ORDENES'!$AB1128))</f>
        <v/>
      </c>
      <c r="G1150" s="24">
        <f>IF('ORDENES'!$A1128="","",IF('ORDENES'!$Z1128="","-",'ORDENES'!$Z1128))</f>
        <v/>
      </c>
      <c r="H1150" s="24">
        <f>IF('ORDENES'!$A1128="","",IF('ORDENES'!$AH1128="","-",'ORDENES'!$AH1128))</f>
        <v/>
      </c>
      <c r="I1150" s="24">
        <f>IF('ORDENES'!$A1128="","",IF('ORDENES'!$AU1128="","-",'ORDENES'!$AU1128))</f>
        <v/>
      </c>
      <c r="J1150" s="24">
        <f>IF('ORDENES'!$A1128="","",IF('ORDENES'!$D1128="","-",'ORDENES'!$D1128))</f>
        <v/>
      </c>
      <c r="K1150" s="24">
        <f>IF('ORDENES'!$A1128="","",IF('ORDENES'!$E1128="","-",'ORDENES'!$E1128))</f>
        <v/>
      </c>
      <c r="L1150" s="26">
        <f>IF('ORDENES'!$A1128="","",IF('ORDENES'!$M1128="",0,'ORDENES'!$M1128))</f>
        <v/>
      </c>
      <c r="M1150" s="24">
        <f>IF('ORDENES'!$A1128="","",IF('ORDENES'!$N1128="","-",'ORDENES'!$N1128))</f>
        <v/>
      </c>
      <c r="N1150" s="24">
        <f>IF('ORDENES'!$A1128="","",'ORDENES'!$AG1128)</f>
        <v/>
      </c>
    </row>
    <row r="1151">
      <c r="A1151" s="24">
        <f>IF('ORDENES'!$A1129="","",IF('ORDENES'!$O1129="","-",'ORDENES'!$O1129))</f>
        <v/>
      </c>
      <c r="B1151" s="24">
        <f>IF('ORDENES'!$A1129="","",IF('ORDENES'!$S1129="","-",'ORDENES'!$S1129))</f>
        <v/>
      </c>
      <c r="C1151" s="24">
        <f>IF('ORDENES'!$A1129="","",IF('ORDENES'!$AI1129="","-",'ORDENES'!$AI1129))</f>
        <v/>
      </c>
      <c r="D1151" s="24">
        <f>IF('ORDENES'!$A1129="","",IF('ORDENES'!$AA1129="","-",'ORDENES'!$AA1129))</f>
        <v/>
      </c>
      <c r="E1151" s="24">
        <f>IF('ORDENES'!$A1129="","",IF('ORDENES'!$Y1129="","-",'ORDENES'!$Y1129))</f>
        <v/>
      </c>
      <c r="F1151" s="24">
        <f>IF('ORDENES'!$A1129="","",IF('ORDENES'!$AB1129="","-",'ORDENES'!$AB1129))</f>
        <v/>
      </c>
      <c r="G1151" s="24">
        <f>IF('ORDENES'!$A1129="","",IF('ORDENES'!$Z1129="","-",'ORDENES'!$Z1129))</f>
        <v/>
      </c>
      <c r="H1151" s="24">
        <f>IF('ORDENES'!$A1129="","",IF('ORDENES'!$AH1129="","-",'ORDENES'!$AH1129))</f>
        <v/>
      </c>
      <c r="I1151" s="24">
        <f>IF('ORDENES'!$A1129="","",IF('ORDENES'!$AU1129="","-",'ORDENES'!$AU1129))</f>
        <v/>
      </c>
      <c r="J1151" s="24">
        <f>IF('ORDENES'!$A1129="","",IF('ORDENES'!$D1129="","-",'ORDENES'!$D1129))</f>
        <v/>
      </c>
      <c r="K1151" s="24">
        <f>IF('ORDENES'!$A1129="","",IF('ORDENES'!$E1129="","-",'ORDENES'!$E1129))</f>
        <v/>
      </c>
      <c r="L1151" s="26">
        <f>IF('ORDENES'!$A1129="","",IF('ORDENES'!$M1129="",0,'ORDENES'!$M1129))</f>
        <v/>
      </c>
      <c r="M1151" s="24">
        <f>IF('ORDENES'!$A1129="","",IF('ORDENES'!$N1129="","-",'ORDENES'!$N1129))</f>
        <v/>
      </c>
      <c r="N1151" s="24">
        <f>IF('ORDENES'!$A1129="","",'ORDENES'!$AG1129)</f>
        <v/>
      </c>
    </row>
    <row r="1152">
      <c r="A1152" s="24">
        <f>IF('ORDENES'!$A1130="","",IF('ORDENES'!$O1130="","-",'ORDENES'!$O1130))</f>
        <v/>
      </c>
      <c r="B1152" s="24">
        <f>IF('ORDENES'!$A1130="","",IF('ORDENES'!$S1130="","-",'ORDENES'!$S1130))</f>
        <v/>
      </c>
      <c r="C1152" s="24">
        <f>IF('ORDENES'!$A1130="","",IF('ORDENES'!$AI1130="","-",'ORDENES'!$AI1130))</f>
        <v/>
      </c>
      <c r="D1152" s="24">
        <f>IF('ORDENES'!$A1130="","",IF('ORDENES'!$AA1130="","-",'ORDENES'!$AA1130))</f>
        <v/>
      </c>
      <c r="E1152" s="24">
        <f>IF('ORDENES'!$A1130="","",IF('ORDENES'!$Y1130="","-",'ORDENES'!$Y1130))</f>
        <v/>
      </c>
      <c r="F1152" s="24">
        <f>IF('ORDENES'!$A1130="","",IF('ORDENES'!$AB1130="","-",'ORDENES'!$AB1130))</f>
        <v/>
      </c>
      <c r="G1152" s="24">
        <f>IF('ORDENES'!$A1130="","",IF('ORDENES'!$Z1130="","-",'ORDENES'!$Z1130))</f>
        <v/>
      </c>
      <c r="H1152" s="24">
        <f>IF('ORDENES'!$A1130="","",IF('ORDENES'!$AH1130="","-",'ORDENES'!$AH1130))</f>
        <v/>
      </c>
      <c r="I1152" s="24">
        <f>IF('ORDENES'!$A1130="","",IF('ORDENES'!$AU1130="","-",'ORDENES'!$AU1130))</f>
        <v/>
      </c>
      <c r="J1152" s="24">
        <f>IF('ORDENES'!$A1130="","",IF('ORDENES'!$D1130="","-",'ORDENES'!$D1130))</f>
        <v/>
      </c>
      <c r="K1152" s="24">
        <f>IF('ORDENES'!$A1130="","",IF('ORDENES'!$E1130="","-",'ORDENES'!$E1130))</f>
        <v/>
      </c>
      <c r="L1152" s="26">
        <f>IF('ORDENES'!$A1130="","",IF('ORDENES'!$M1130="",0,'ORDENES'!$M1130))</f>
        <v/>
      </c>
      <c r="M1152" s="24">
        <f>IF('ORDENES'!$A1130="","",IF('ORDENES'!$N1130="","-",'ORDENES'!$N1130))</f>
        <v/>
      </c>
      <c r="N1152" s="24">
        <f>IF('ORDENES'!$A1130="","",'ORDENES'!$AG1130)</f>
        <v/>
      </c>
    </row>
    <row r="1153">
      <c r="A1153" s="24">
        <f>IF('ORDENES'!$A1131="","",IF('ORDENES'!$O1131="","-",'ORDENES'!$O1131))</f>
        <v/>
      </c>
      <c r="B1153" s="24">
        <f>IF('ORDENES'!$A1131="","",IF('ORDENES'!$S1131="","-",'ORDENES'!$S1131))</f>
        <v/>
      </c>
      <c r="C1153" s="24">
        <f>IF('ORDENES'!$A1131="","",IF('ORDENES'!$AI1131="","-",'ORDENES'!$AI1131))</f>
        <v/>
      </c>
      <c r="D1153" s="24">
        <f>IF('ORDENES'!$A1131="","",IF('ORDENES'!$AA1131="","-",'ORDENES'!$AA1131))</f>
        <v/>
      </c>
      <c r="E1153" s="24">
        <f>IF('ORDENES'!$A1131="","",IF('ORDENES'!$Y1131="","-",'ORDENES'!$Y1131))</f>
        <v/>
      </c>
      <c r="F1153" s="24">
        <f>IF('ORDENES'!$A1131="","",IF('ORDENES'!$AB1131="","-",'ORDENES'!$AB1131))</f>
        <v/>
      </c>
      <c r="G1153" s="24">
        <f>IF('ORDENES'!$A1131="","",IF('ORDENES'!$Z1131="","-",'ORDENES'!$Z1131))</f>
        <v/>
      </c>
      <c r="H1153" s="24">
        <f>IF('ORDENES'!$A1131="","",IF('ORDENES'!$AH1131="","-",'ORDENES'!$AH1131))</f>
        <v/>
      </c>
      <c r="I1153" s="24">
        <f>IF('ORDENES'!$A1131="","",IF('ORDENES'!$AU1131="","-",'ORDENES'!$AU1131))</f>
        <v/>
      </c>
      <c r="J1153" s="24">
        <f>IF('ORDENES'!$A1131="","",IF('ORDENES'!$D1131="","-",'ORDENES'!$D1131))</f>
        <v/>
      </c>
      <c r="K1153" s="24">
        <f>IF('ORDENES'!$A1131="","",IF('ORDENES'!$E1131="","-",'ORDENES'!$E1131))</f>
        <v/>
      </c>
      <c r="L1153" s="26">
        <f>IF('ORDENES'!$A1131="","",IF('ORDENES'!$M1131="",0,'ORDENES'!$M1131))</f>
        <v/>
      </c>
      <c r="M1153" s="24">
        <f>IF('ORDENES'!$A1131="","",IF('ORDENES'!$N1131="","-",'ORDENES'!$N1131))</f>
        <v/>
      </c>
      <c r="N1153" s="24">
        <f>IF('ORDENES'!$A1131="","",'ORDENES'!$AG1131)</f>
        <v/>
      </c>
    </row>
    <row r="1154">
      <c r="A1154" s="24">
        <f>IF('ORDENES'!$A1132="","",IF('ORDENES'!$O1132="","-",'ORDENES'!$O1132))</f>
        <v/>
      </c>
      <c r="B1154" s="24">
        <f>IF('ORDENES'!$A1132="","",IF('ORDENES'!$S1132="","-",'ORDENES'!$S1132))</f>
        <v/>
      </c>
      <c r="C1154" s="24">
        <f>IF('ORDENES'!$A1132="","",IF('ORDENES'!$AI1132="","-",'ORDENES'!$AI1132))</f>
        <v/>
      </c>
      <c r="D1154" s="24">
        <f>IF('ORDENES'!$A1132="","",IF('ORDENES'!$AA1132="","-",'ORDENES'!$AA1132))</f>
        <v/>
      </c>
      <c r="E1154" s="24">
        <f>IF('ORDENES'!$A1132="","",IF('ORDENES'!$Y1132="","-",'ORDENES'!$Y1132))</f>
        <v/>
      </c>
      <c r="F1154" s="24">
        <f>IF('ORDENES'!$A1132="","",IF('ORDENES'!$AB1132="","-",'ORDENES'!$AB1132))</f>
        <v/>
      </c>
      <c r="G1154" s="24">
        <f>IF('ORDENES'!$A1132="","",IF('ORDENES'!$Z1132="","-",'ORDENES'!$Z1132))</f>
        <v/>
      </c>
      <c r="H1154" s="24">
        <f>IF('ORDENES'!$A1132="","",IF('ORDENES'!$AH1132="","-",'ORDENES'!$AH1132))</f>
        <v/>
      </c>
      <c r="I1154" s="24">
        <f>IF('ORDENES'!$A1132="","",IF('ORDENES'!$AU1132="","-",'ORDENES'!$AU1132))</f>
        <v/>
      </c>
      <c r="J1154" s="24">
        <f>IF('ORDENES'!$A1132="","",IF('ORDENES'!$D1132="","-",'ORDENES'!$D1132))</f>
        <v/>
      </c>
      <c r="K1154" s="24">
        <f>IF('ORDENES'!$A1132="","",IF('ORDENES'!$E1132="","-",'ORDENES'!$E1132))</f>
        <v/>
      </c>
      <c r="L1154" s="26">
        <f>IF('ORDENES'!$A1132="","",IF('ORDENES'!$M1132="",0,'ORDENES'!$M1132))</f>
        <v/>
      </c>
      <c r="M1154" s="24">
        <f>IF('ORDENES'!$A1132="","",IF('ORDENES'!$N1132="","-",'ORDENES'!$N1132))</f>
        <v/>
      </c>
      <c r="N1154" s="24">
        <f>IF('ORDENES'!$A1132="","",'ORDENES'!$AG1132)</f>
        <v/>
      </c>
    </row>
    <row r="1155">
      <c r="A1155" s="24">
        <f>IF('ORDENES'!$A1133="","",IF('ORDENES'!$O1133="","-",'ORDENES'!$O1133))</f>
        <v/>
      </c>
      <c r="B1155" s="24">
        <f>IF('ORDENES'!$A1133="","",IF('ORDENES'!$S1133="","-",'ORDENES'!$S1133))</f>
        <v/>
      </c>
      <c r="C1155" s="24">
        <f>IF('ORDENES'!$A1133="","",IF('ORDENES'!$AI1133="","-",'ORDENES'!$AI1133))</f>
        <v/>
      </c>
      <c r="D1155" s="24">
        <f>IF('ORDENES'!$A1133="","",IF('ORDENES'!$AA1133="","-",'ORDENES'!$AA1133))</f>
        <v/>
      </c>
      <c r="E1155" s="24">
        <f>IF('ORDENES'!$A1133="","",IF('ORDENES'!$Y1133="","-",'ORDENES'!$Y1133))</f>
        <v/>
      </c>
      <c r="F1155" s="24">
        <f>IF('ORDENES'!$A1133="","",IF('ORDENES'!$AB1133="","-",'ORDENES'!$AB1133))</f>
        <v/>
      </c>
      <c r="G1155" s="24">
        <f>IF('ORDENES'!$A1133="","",IF('ORDENES'!$Z1133="","-",'ORDENES'!$Z1133))</f>
        <v/>
      </c>
      <c r="H1155" s="24">
        <f>IF('ORDENES'!$A1133="","",IF('ORDENES'!$AH1133="","-",'ORDENES'!$AH1133))</f>
        <v/>
      </c>
      <c r="I1155" s="24">
        <f>IF('ORDENES'!$A1133="","",IF('ORDENES'!$AU1133="","-",'ORDENES'!$AU1133))</f>
        <v/>
      </c>
      <c r="J1155" s="24">
        <f>IF('ORDENES'!$A1133="","",IF('ORDENES'!$D1133="","-",'ORDENES'!$D1133))</f>
        <v/>
      </c>
      <c r="K1155" s="24">
        <f>IF('ORDENES'!$A1133="","",IF('ORDENES'!$E1133="","-",'ORDENES'!$E1133))</f>
        <v/>
      </c>
      <c r="L1155" s="26">
        <f>IF('ORDENES'!$A1133="","",IF('ORDENES'!$M1133="",0,'ORDENES'!$M1133))</f>
        <v/>
      </c>
      <c r="M1155" s="24">
        <f>IF('ORDENES'!$A1133="","",IF('ORDENES'!$N1133="","-",'ORDENES'!$N1133))</f>
        <v/>
      </c>
      <c r="N1155" s="24">
        <f>IF('ORDENES'!$A1133="","",'ORDENES'!$AG1133)</f>
        <v/>
      </c>
    </row>
    <row r="1156">
      <c r="A1156" s="24">
        <f>IF('ORDENES'!$A1134="","",IF('ORDENES'!$O1134="","-",'ORDENES'!$O1134))</f>
        <v/>
      </c>
      <c r="B1156" s="24">
        <f>IF('ORDENES'!$A1134="","",IF('ORDENES'!$S1134="","-",'ORDENES'!$S1134))</f>
        <v/>
      </c>
      <c r="C1156" s="24">
        <f>IF('ORDENES'!$A1134="","",IF('ORDENES'!$AI1134="","-",'ORDENES'!$AI1134))</f>
        <v/>
      </c>
      <c r="D1156" s="24">
        <f>IF('ORDENES'!$A1134="","",IF('ORDENES'!$AA1134="","-",'ORDENES'!$AA1134))</f>
        <v/>
      </c>
      <c r="E1156" s="24">
        <f>IF('ORDENES'!$A1134="","",IF('ORDENES'!$Y1134="","-",'ORDENES'!$Y1134))</f>
        <v/>
      </c>
      <c r="F1156" s="24">
        <f>IF('ORDENES'!$A1134="","",IF('ORDENES'!$AB1134="","-",'ORDENES'!$AB1134))</f>
        <v/>
      </c>
      <c r="G1156" s="24">
        <f>IF('ORDENES'!$A1134="","",IF('ORDENES'!$Z1134="","-",'ORDENES'!$Z1134))</f>
        <v/>
      </c>
      <c r="H1156" s="24">
        <f>IF('ORDENES'!$A1134="","",IF('ORDENES'!$AH1134="","-",'ORDENES'!$AH1134))</f>
        <v/>
      </c>
      <c r="I1156" s="24">
        <f>IF('ORDENES'!$A1134="","",IF('ORDENES'!$AU1134="","-",'ORDENES'!$AU1134))</f>
        <v/>
      </c>
      <c r="J1156" s="24">
        <f>IF('ORDENES'!$A1134="","",IF('ORDENES'!$D1134="","-",'ORDENES'!$D1134))</f>
        <v/>
      </c>
      <c r="K1156" s="24">
        <f>IF('ORDENES'!$A1134="","",IF('ORDENES'!$E1134="","-",'ORDENES'!$E1134))</f>
        <v/>
      </c>
      <c r="L1156" s="26">
        <f>IF('ORDENES'!$A1134="","",IF('ORDENES'!$M1134="",0,'ORDENES'!$M1134))</f>
        <v/>
      </c>
      <c r="M1156" s="24">
        <f>IF('ORDENES'!$A1134="","",IF('ORDENES'!$N1134="","-",'ORDENES'!$N1134))</f>
        <v/>
      </c>
      <c r="N1156" s="24">
        <f>IF('ORDENES'!$A1134="","",'ORDENES'!$AG1134)</f>
        <v/>
      </c>
    </row>
    <row r="1157">
      <c r="A1157" s="24">
        <f>IF('ORDENES'!$A1135="","",IF('ORDENES'!$O1135="","-",'ORDENES'!$O1135))</f>
        <v/>
      </c>
      <c r="B1157" s="24">
        <f>IF('ORDENES'!$A1135="","",IF('ORDENES'!$S1135="","-",'ORDENES'!$S1135))</f>
        <v/>
      </c>
      <c r="C1157" s="24">
        <f>IF('ORDENES'!$A1135="","",IF('ORDENES'!$AI1135="","-",'ORDENES'!$AI1135))</f>
        <v/>
      </c>
      <c r="D1157" s="24">
        <f>IF('ORDENES'!$A1135="","",IF('ORDENES'!$AA1135="","-",'ORDENES'!$AA1135))</f>
        <v/>
      </c>
      <c r="E1157" s="24">
        <f>IF('ORDENES'!$A1135="","",IF('ORDENES'!$Y1135="","-",'ORDENES'!$Y1135))</f>
        <v/>
      </c>
      <c r="F1157" s="24">
        <f>IF('ORDENES'!$A1135="","",IF('ORDENES'!$AB1135="","-",'ORDENES'!$AB1135))</f>
        <v/>
      </c>
      <c r="G1157" s="24">
        <f>IF('ORDENES'!$A1135="","",IF('ORDENES'!$Z1135="","-",'ORDENES'!$Z1135))</f>
        <v/>
      </c>
      <c r="H1157" s="24">
        <f>IF('ORDENES'!$A1135="","",IF('ORDENES'!$AH1135="","-",'ORDENES'!$AH1135))</f>
        <v/>
      </c>
      <c r="I1157" s="24">
        <f>IF('ORDENES'!$A1135="","",IF('ORDENES'!$AU1135="","-",'ORDENES'!$AU1135))</f>
        <v/>
      </c>
      <c r="J1157" s="24">
        <f>IF('ORDENES'!$A1135="","",IF('ORDENES'!$D1135="","-",'ORDENES'!$D1135))</f>
        <v/>
      </c>
      <c r="K1157" s="24">
        <f>IF('ORDENES'!$A1135="","",IF('ORDENES'!$E1135="","-",'ORDENES'!$E1135))</f>
        <v/>
      </c>
      <c r="L1157" s="26">
        <f>IF('ORDENES'!$A1135="","",IF('ORDENES'!$M1135="",0,'ORDENES'!$M1135))</f>
        <v/>
      </c>
      <c r="M1157" s="24">
        <f>IF('ORDENES'!$A1135="","",IF('ORDENES'!$N1135="","-",'ORDENES'!$N1135))</f>
        <v/>
      </c>
      <c r="N1157" s="24">
        <f>IF('ORDENES'!$A1135="","",'ORDENES'!$AG1135)</f>
        <v/>
      </c>
    </row>
    <row r="1158">
      <c r="A1158" s="24">
        <f>IF('ORDENES'!$A1136="","",IF('ORDENES'!$O1136="","-",'ORDENES'!$O1136))</f>
        <v/>
      </c>
      <c r="B1158" s="24">
        <f>IF('ORDENES'!$A1136="","",IF('ORDENES'!$S1136="","-",'ORDENES'!$S1136))</f>
        <v/>
      </c>
      <c r="C1158" s="24">
        <f>IF('ORDENES'!$A1136="","",IF('ORDENES'!$AI1136="","-",'ORDENES'!$AI1136))</f>
        <v/>
      </c>
      <c r="D1158" s="24">
        <f>IF('ORDENES'!$A1136="","",IF('ORDENES'!$AA1136="","-",'ORDENES'!$AA1136))</f>
        <v/>
      </c>
      <c r="E1158" s="24">
        <f>IF('ORDENES'!$A1136="","",IF('ORDENES'!$Y1136="","-",'ORDENES'!$Y1136))</f>
        <v/>
      </c>
      <c r="F1158" s="24">
        <f>IF('ORDENES'!$A1136="","",IF('ORDENES'!$AB1136="","-",'ORDENES'!$AB1136))</f>
        <v/>
      </c>
      <c r="G1158" s="24">
        <f>IF('ORDENES'!$A1136="","",IF('ORDENES'!$Z1136="","-",'ORDENES'!$Z1136))</f>
        <v/>
      </c>
      <c r="H1158" s="24">
        <f>IF('ORDENES'!$A1136="","",IF('ORDENES'!$AH1136="","-",'ORDENES'!$AH1136))</f>
        <v/>
      </c>
      <c r="I1158" s="24">
        <f>IF('ORDENES'!$A1136="","",IF('ORDENES'!$AU1136="","-",'ORDENES'!$AU1136))</f>
        <v/>
      </c>
      <c r="J1158" s="24">
        <f>IF('ORDENES'!$A1136="","",IF('ORDENES'!$D1136="","-",'ORDENES'!$D1136))</f>
        <v/>
      </c>
      <c r="K1158" s="24">
        <f>IF('ORDENES'!$A1136="","",IF('ORDENES'!$E1136="","-",'ORDENES'!$E1136))</f>
        <v/>
      </c>
      <c r="L1158" s="26">
        <f>IF('ORDENES'!$A1136="","",IF('ORDENES'!$M1136="",0,'ORDENES'!$M1136))</f>
        <v/>
      </c>
      <c r="M1158" s="24">
        <f>IF('ORDENES'!$A1136="","",IF('ORDENES'!$N1136="","-",'ORDENES'!$N1136))</f>
        <v/>
      </c>
      <c r="N1158" s="24">
        <f>IF('ORDENES'!$A1136="","",'ORDENES'!$AG1136)</f>
        <v/>
      </c>
    </row>
    <row r="1159">
      <c r="A1159" s="24">
        <f>IF('ORDENES'!$A1137="","",IF('ORDENES'!$O1137="","-",'ORDENES'!$O1137))</f>
        <v/>
      </c>
      <c r="B1159" s="24">
        <f>IF('ORDENES'!$A1137="","",IF('ORDENES'!$S1137="","-",'ORDENES'!$S1137))</f>
        <v/>
      </c>
      <c r="C1159" s="24">
        <f>IF('ORDENES'!$A1137="","",IF('ORDENES'!$AI1137="","-",'ORDENES'!$AI1137))</f>
        <v/>
      </c>
      <c r="D1159" s="24">
        <f>IF('ORDENES'!$A1137="","",IF('ORDENES'!$AA1137="","-",'ORDENES'!$AA1137))</f>
        <v/>
      </c>
      <c r="E1159" s="24">
        <f>IF('ORDENES'!$A1137="","",IF('ORDENES'!$Y1137="","-",'ORDENES'!$Y1137))</f>
        <v/>
      </c>
      <c r="F1159" s="24">
        <f>IF('ORDENES'!$A1137="","",IF('ORDENES'!$AB1137="","-",'ORDENES'!$AB1137))</f>
        <v/>
      </c>
      <c r="G1159" s="24">
        <f>IF('ORDENES'!$A1137="","",IF('ORDENES'!$Z1137="","-",'ORDENES'!$Z1137))</f>
        <v/>
      </c>
      <c r="H1159" s="24">
        <f>IF('ORDENES'!$A1137="","",IF('ORDENES'!$AH1137="","-",'ORDENES'!$AH1137))</f>
        <v/>
      </c>
      <c r="I1159" s="24">
        <f>IF('ORDENES'!$A1137="","",IF('ORDENES'!$AU1137="","-",'ORDENES'!$AU1137))</f>
        <v/>
      </c>
      <c r="J1159" s="24">
        <f>IF('ORDENES'!$A1137="","",IF('ORDENES'!$D1137="","-",'ORDENES'!$D1137))</f>
        <v/>
      </c>
      <c r="K1159" s="24">
        <f>IF('ORDENES'!$A1137="","",IF('ORDENES'!$E1137="","-",'ORDENES'!$E1137))</f>
        <v/>
      </c>
      <c r="L1159" s="26">
        <f>IF('ORDENES'!$A1137="","",IF('ORDENES'!$M1137="",0,'ORDENES'!$M1137))</f>
        <v/>
      </c>
      <c r="M1159" s="24">
        <f>IF('ORDENES'!$A1137="","",IF('ORDENES'!$N1137="","-",'ORDENES'!$N1137))</f>
        <v/>
      </c>
      <c r="N1159" s="24">
        <f>IF('ORDENES'!$A1137="","",'ORDENES'!$AG1137)</f>
        <v/>
      </c>
    </row>
    <row r="1160">
      <c r="A1160" s="24">
        <f>IF('ORDENES'!$A1138="","",IF('ORDENES'!$O1138="","-",'ORDENES'!$O1138))</f>
        <v/>
      </c>
      <c r="B1160" s="24">
        <f>IF('ORDENES'!$A1138="","",IF('ORDENES'!$S1138="","-",'ORDENES'!$S1138))</f>
        <v/>
      </c>
      <c r="C1160" s="24">
        <f>IF('ORDENES'!$A1138="","",IF('ORDENES'!$AI1138="","-",'ORDENES'!$AI1138))</f>
        <v/>
      </c>
      <c r="D1160" s="24">
        <f>IF('ORDENES'!$A1138="","",IF('ORDENES'!$AA1138="","-",'ORDENES'!$AA1138))</f>
        <v/>
      </c>
      <c r="E1160" s="24">
        <f>IF('ORDENES'!$A1138="","",IF('ORDENES'!$Y1138="","-",'ORDENES'!$Y1138))</f>
        <v/>
      </c>
      <c r="F1160" s="24">
        <f>IF('ORDENES'!$A1138="","",IF('ORDENES'!$AB1138="","-",'ORDENES'!$AB1138))</f>
        <v/>
      </c>
      <c r="G1160" s="24">
        <f>IF('ORDENES'!$A1138="","",IF('ORDENES'!$Z1138="","-",'ORDENES'!$Z1138))</f>
        <v/>
      </c>
      <c r="H1160" s="24">
        <f>IF('ORDENES'!$A1138="","",IF('ORDENES'!$AH1138="","-",'ORDENES'!$AH1138))</f>
        <v/>
      </c>
      <c r="I1160" s="24">
        <f>IF('ORDENES'!$A1138="","",IF('ORDENES'!$AU1138="","-",'ORDENES'!$AU1138))</f>
        <v/>
      </c>
      <c r="J1160" s="24">
        <f>IF('ORDENES'!$A1138="","",IF('ORDENES'!$D1138="","-",'ORDENES'!$D1138))</f>
        <v/>
      </c>
      <c r="K1160" s="24">
        <f>IF('ORDENES'!$A1138="","",IF('ORDENES'!$E1138="","-",'ORDENES'!$E1138))</f>
        <v/>
      </c>
      <c r="L1160" s="26">
        <f>IF('ORDENES'!$A1138="","",IF('ORDENES'!$M1138="",0,'ORDENES'!$M1138))</f>
        <v/>
      </c>
      <c r="M1160" s="24">
        <f>IF('ORDENES'!$A1138="","",IF('ORDENES'!$N1138="","-",'ORDENES'!$N1138))</f>
        <v/>
      </c>
      <c r="N1160" s="24">
        <f>IF('ORDENES'!$A1138="","",'ORDENES'!$AG1138)</f>
        <v/>
      </c>
    </row>
    <row r="1161">
      <c r="A1161" s="24">
        <f>IF('ORDENES'!$A1139="","",IF('ORDENES'!$O1139="","-",'ORDENES'!$O1139))</f>
        <v/>
      </c>
      <c r="B1161" s="24">
        <f>IF('ORDENES'!$A1139="","",IF('ORDENES'!$S1139="","-",'ORDENES'!$S1139))</f>
        <v/>
      </c>
      <c r="C1161" s="24">
        <f>IF('ORDENES'!$A1139="","",IF('ORDENES'!$AI1139="","-",'ORDENES'!$AI1139))</f>
        <v/>
      </c>
      <c r="D1161" s="24">
        <f>IF('ORDENES'!$A1139="","",IF('ORDENES'!$AA1139="","-",'ORDENES'!$AA1139))</f>
        <v/>
      </c>
      <c r="E1161" s="24">
        <f>IF('ORDENES'!$A1139="","",IF('ORDENES'!$Y1139="","-",'ORDENES'!$Y1139))</f>
        <v/>
      </c>
      <c r="F1161" s="24">
        <f>IF('ORDENES'!$A1139="","",IF('ORDENES'!$AB1139="","-",'ORDENES'!$AB1139))</f>
        <v/>
      </c>
      <c r="G1161" s="24">
        <f>IF('ORDENES'!$A1139="","",IF('ORDENES'!$Z1139="","-",'ORDENES'!$Z1139))</f>
        <v/>
      </c>
      <c r="H1161" s="24">
        <f>IF('ORDENES'!$A1139="","",IF('ORDENES'!$AH1139="","-",'ORDENES'!$AH1139))</f>
        <v/>
      </c>
      <c r="I1161" s="24">
        <f>IF('ORDENES'!$A1139="","",IF('ORDENES'!$AU1139="","-",'ORDENES'!$AU1139))</f>
        <v/>
      </c>
      <c r="J1161" s="24">
        <f>IF('ORDENES'!$A1139="","",IF('ORDENES'!$D1139="","-",'ORDENES'!$D1139))</f>
        <v/>
      </c>
      <c r="K1161" s="24">
        <f>IF('ORDENES'!$A1139="","",IF('ORDENES'!$E1139="","-",'ORDENES'!$E1139))</f>
        <v/>
      </c>
      <c r="L1161" s="26">
        <f>IF('ORDENES'!$A1139="","",IF('ORDENES'!$M1139="",0,'ORDENES'!$M1139))</f>
        <v/>
      </c>
      <c r="M1161" s="24">
        <f>IF('ORDENES'!$A1139="","",IF('ORDENES'!$N1139="","-",'ORDENES'!$N1139))</f>
        <v/>
      </c>
      <c r="N1161" s="24">
        <f>IF('ORDENES'!$A1139="","",'ORDENES'!$AG1139)</f>
        <v/>
      </c>
    </row>
    <row r="1162">
      <c r="A1162" s="24">
        <f>IF('ORDENES'!$A1140="","",IF('ORDENES'!$O1140="","-",'ORDENES'!$O1140))</f>
        <v/>
      </c>
      <c r="B1162" s="24">
        <f>IF('ORDENES'!$A1140="","",IF('ORDENES'!$S1140="","-",'ORDENES'!$S1140))</f>
        <v/>
      </c>
      <c r="C1162" s="24">
        <f>IF('ORDENES'!$A1140="","",IF('ORDENES'!$AI1140="","-",'ORDENES'!$AI1140))</f>
        <v/>
      </c>
      <c r="D1162" s="24">
        <f>IF('ORDENES'!$A1140="","",IF('ORDENES'!$AA1140="","-",'ORDENES'!$AA1140))</f>
        <v/>
      </c>
      <c r="E1162" s="24">
        <f>IF('ORDENES'!$A1140="","",IF('ORDENES'!$Y1140="","-",'ORDENES'!$Y1140))</f>
        <v/>
      </c>
      <c r="F1162" s="24">
        <f>IF('ORDENES'!$A1140="","",IF('ORDENES'!$AB1140="","-",'ORDENES'!$AB1140))</f>
        <v/>
      </c>
      <c r="G1162" s="24">
        <f>IF('ORDENES'!$A1140="","",IF('ORDENES'!$Z1140="","-",'ORDENES'!$Z1140))</f>
        <v/>
      </c>
      <c r="H1162" s="24">
        <f>IF('ORDENES'!$A1140="","",IF('ORDENES'!$AH1140="","-",'ORDENES'!$AH1140))</f>
        <v/>
      </c>
      <c r="I1162" s="24">
        <f>IF('ORDENES'!$A1140="","",IF('ORDENES'!$AU1140="","-",'ORDENES'!$AU1140))</f>
        <v/>
      </c>
      <c r="J1162" s="24">
        <f>IF('ORDENES'!$A1140="","",IF('ORDENES'!$D1140="","-",'ORDENES'!$D1140))</f>
        <v/>
      </c>
      <c r="K1162" s="24">
        <f>IF('ORDENES'!$A1140="","",IF('ORDENES'!$E1140="","-",'ORDENES'!$E1140))</f>
        <v/>
      </c>
      <c r="L1162" s="26">
        <f>IF('ORDENES'!$A1140="","",IF('ORDENES'!$M1140="",0,'ORDENES'!$M1140))</f>
        <v/>
      </c>
      <c r="M1162" s="24">
        <f>IF('ORDENES'!$A1140="","",IF('ORDENES'!$N1140="","-",'ORDENES'!$N1140))</f>
        <v/>
      </c>
      <c r="N1162" s="24">
        <f>IF('ORDENES'!$A1140="","",'ORDENES'!$AG1140)</f>
        <v/>
      </c>
    </row>
    <row r="1163">
      <c r="A1163" s="24">
        <f>IF('ORDENES'!$A1141="","",IF('ORDENES'!$O1141="","-",'ORDENES'!$O1141))</f>
        <v/>
      </c>
      <c r="B1163" s="24">
        <f>IF('ORDENES'!$A1141="","",IF('ORDENES'!$S1141="","-",'ORDENES'!$S1141))</f>
        <v/>
      </c>
      <c r="C1163" s="24">
        <f>IF('ORDENES'!$A1141="","",IF('ORDENES'!$AI1141="","-",'ORDENES'!$AI1141))</f>
        <v/>
      </c>
      <c r="D1163" s="24">
        <f>IF('ORDENES'!$A1141="","",IF('ORDENES'!$AA1141="","-",'ORDENES'!$AA1141))</f>
        <v/>
      </c>
      <c r="E1163" s="24">
        <f>IF('ORDENES'!$A1141="","",IF('ORDENES'!$Y1141="","-",'ORDENES'!$Y1141))</f>
        <v/>
      </c>
      <c r="F1163" s="24">
        <f>IF('ORDENES'!$A1141="","",IF('ORDENES'!$AB1141="","-",'ORDENES'!$AB1141))</f>
        <v/>
      </c>
      <c r="G1163" s="24">
        <f>IF('ORDENES'!$A1141="","",IF('ORDENES'!$Z1141="","-",'ORDENES'!$Z1141))</f>
        <v/>
      </c>
      <c r="H1163" s="24">
        <f>IF('ORDENES'!$A1141="","",IF('ORDENES'!$AH1141="","-",'ORDENES'!$AH1141))</f>
        <v/>
      </c>
      <c r="I1163" s="24">
        <f>IF('ORDENES'!$A1141="","",IF('ORDENES'!$AU1141="","-",'ORDENES'!$AU1141))</f>
        <v/>
      </c>
      <c r="J1163" s="24">
        <f>IF('ORDENES'!$A1141="","",IF('ORDENES'!$D1141="","-",'ORDENES'!$D1141))</f>
        <v/>
      </c>
      <c r="K1163" s="24">
        <f>IF('ORDENES'!$A1141="","",IF('ORDENES'!$E1141="","-",'ORDENES'!$E1141))</f>
        <v/>
      </c>
      <c r="L1163" s="26">
        <f>IF('ORDENES'!$A1141="","",IF('ORDENES'!$M1141="",0,'ORDENES'!$M1141))</f>
        <v/>
      </c>
      <c r="M1163" s="24">
        <f>IF('ORDENES'!$A1141="","",IF('ORDENES'!$N1141="","-",'ORDENES'!$N1141))</f>
        <v/>
      </c>
      <c r="N1163" s="24">
        <f>IF('ORDENES'!$A1141="","",'ORDENES'!$AG1141)</f>
        <v/>
      </c>
    </row>
    <row r="1164">
      <c r="A1164" s="24">
        <f>IF('ORDENES'!$A1142="","",IF('ORDENES'!$O1142="","-",'ORDENES'!$O1142))</f>
        <v/>
      </c>
      <c r="B1164" s="24">
        <f>IF('ORDENES'!$A1142="","",IF('ORDENES'!$S1142="","-",'ORDENES'!$S1142))</f>
        <v/>
      </c>
      <c r="C1164" s="24">
        <f>IF('ORDENES'!$A1142="","",IF('ORDENES'!$AI1142="","-",'ORDENES'!$AI1142))</f>
        <v/>
      </c>
      <c r="D1164" s="24">
        <f>IF('ORDENES'!$A1142="","",IF('ORDENES'!$AA1142="","-",'ORDENES'!$AA1142))</f>
        <v/>
      </c>
      <c r="E1164" s="24">
        <f>IF('ORDENES'!$A1142="","",IF('ORDENES'!$Y1142="","-",'ORDENES'!$Y1142))</f>
        <v/>
      </c>
      <c r="F1164" s="24">
        <f>IF('ORDENES'!$A1142="","",IF('ORDENES'!$AB1142="","-",'ORDENES'!$AB1142))</f>
        <v/>
      </c>
      <c r="G1164" s="24">
        <f>IF('ORDENES'!$A1142="","",IF('ORDENES'!$Z1142="","-",'ORDENES'!$Z1142))</f>
        <v/>
      </c>
      <c r="H1164" s="24">
        <f>IF('ORDENES'!$A1142="","",IF('ORDENES'!$AH1142="","-",'ORDENES'!$AH1142))</f>
        <v/>
      </c>
      <c r="I1164" s="24">
        <f>IF('ORDENES'!$A1142="","",IF('ORDENES'!$AU1142="","-",'ORDENES'!$AU1142))</f>
        <v/>
      </c>
      <c r="J1164" s="24">
        <f>IF('ORDENES'!$A1142="","",IF('ORDENES'!$D1142="","-",'ORDENES'!$D1142))</f>
        <v/>
      </c>
      <c r="K1164" s="24">
        <f>IF('ORDENES'!$A1142="","",IF('ORDENES'!$E1142="","-",'ORDENES'!$E1142))</f>
        <v/>
      </c>
      <c r="L1164" s="26">
        <f>IF('ORDENES'!$A1142="","",IF('ORDENES'!$M1142="",0,'ORDENES'!$M1142))</f>
        <v/>
      </c>
      <c r="M1164" s="24">
        <f>IF('ORDENES'!$A1142="","",IF('ORDENES'!$N1142="","-",'ORDENES'!$N1142))</f>
        <v/>
      </c>
      <c r="N1164" s="24">
        <f>IF('ORDENES'!$A1142="","",'ORDENES'!$AG1142)</f>
        <v/>
      </c>
    </row>
    <row r="1165">
      <c r="A1165" s="24">
        <f>IF('ORDENES'!$A1143="","",IF('ORDENES'!$O1143="","-",'ORDENES'!$O1143))</f>
        <v/>
      </c>
      <c r="B1165" s="24">
        <f>IF('ORDENES'!$A1143="","",IF('ORDENES'!$S1143="","-",'ORDENES'!$S1143))</f>
        <v/>
      </c>
      <c r="C1165" s="24">
        <f>IF('ORDENES'!$A1143="","",IF('ORDENES'!$AI1143="","-",'ORDENES'!$AI1143))</f>
        <v/>
      </c>
      <c r="D1165" s="24">
        <f>IF('ORDENES'!$A1143="","",IF('ORDENES'!$AA1143="","-",'ORDENES'!$AA1143))</f>
        <v/>
      </c>
      <c r="E1165" s="24">
        <f>IF('ORDENES'!$A1143="","",IF('ORDENES'!$Y1143="","-",'ORDENES'!$Y1143))</f>
        <v/>
      </c>
      <c r="F1165" s="24">
        <f>IF('ORDENES'!$A1143="","",IF('ORDENES'!$AB1143="","-",'ORDENES'!$AB1143))</f>
        <v/>
      </c>
      <c r="G1165" s="24">
        <f>IF('ORDENES'!$A1143="","",IF('ORDENES'!$Z1143="","-",'ORDENES'!$Z1143))</f>
        <v/>
      </c>
      <c r="H1165" s="24">
        <f>IF('ORDENES'!$A1143="","",IF('ORDENES'!$AH1143="","-",'ORDENES'!$AH1143))</f>
        <v/>
      </c>
      <c r="I1165" s="24">
        <f>IF('ORDENES'!$A1143="","",IF('ORDENES'!$AU1143="","-",'ORDENES'!$AU1143))</f>
        <v/>
      </c>
      <c r="J1165" s="24">
        <f>IF('ORDENES'!$A1143="","",IF('ORDENES'!$D1143="","-",'ORDENES'!$D1143))</f>
        <v/>
      </c>
      <c r="K1165" s="24">
        <f>IF('ORDENES'!$A1143="","",IF('ORDENES'!$E1143="","-",'ORDENES'!$E1143))</f>
        <v/>
      </c>
      <c r="L1165" s="26">
        <f>IF('ORDENES'!$A1143="","",IF('ORDENES'!$M1143="",0,'ORDENES'!$M1143))</f>
        <v/>
      </c>
      <c r="M1165" s="24">
        <f>IF('ORDENES'!$A1143="","",IF('ORDENES'!$N1143="","-",'ORDENES'!$N1143))</f>
        <v/>
      </c>
      <c r="N1165" s="24">
        <f>IF('ORDENES'!$A1143="","",'ORDENES'!$AG1143)</f>
        <v/>
      </c>
    </row>
    <row r="1166">
      <c r="A1166" s="24">
        <f>IF('ORDENES'!$A1144="","",IF('ORDENES'!$O1144="","-",'ORDENES'!$O1144))</f>
        <v/>
      </c>
      <c r="B1166" s="24">
        <f>IF('ORDENES'!$A1144="","",IF('ORDENES'!$S1144="","-",'ORDENES'!$S1144))</f>
        <v/>
      </c>
      <c r="C1166" s="24">
        <f>IF('ORDENES'!$A1144="","",IF('ORDENES'!$AI1144="","-",'ORDENES'!$AI1144))</f>
        <v/>
      </c>
      <c r="D1166" s="24">
        <f>IF('ORDENES'!$A1144="","",IF('ORDENES'!$AA1144="","-",'ORDENES'!$AA1144))</f>
        <v/>
      </c>
      <c r="E1166" s="24">
        <f>IF('ORDENES'!$A1144="","",IF('ORDENES'!$Y1144="","-",'ORDENES'!$Y1144))</f>
        <v/>
      </c>
      <c r="F1166" s="24">
        <f>IF('ORDENES'!$A1144="","",IF('ORDENES'!$AB1144="","-",'ORDENES'!$AB1144))</f>
        <v/>
      </c>
      <c r="G1166" s="24">
        <f>IF('ORDENES'!$A1144="","",IF('ORDENES'!$Z1144="","-",'ORDENES'!$Z1144))</f>
        <v/>
      </c>
      <c r="H1166" s="24">
        <f>IF('ORDENES'!$A1144="","",IF('ORDENES'!$AH1144="","-",'ORDENES'!$AH1144))</f>
        <v/>
      </c>
      <c r="I1166" s="24">
        <f>IF('ORDENES'!$A1144="","",IF('ORDENES'!$AU1144="","-",'ORDENES'!$AU1144))</f>
        <v/>
      </c>
      <c r="J1166" s="24">
        <f>IF('ORDENES'!$A1144="","",IF('ORDENES'!$D1144="","-",'ORDENES'!$D1144))</f>
        <v/>
      </c>
      <c r="K1166" s="24">
        <f>IF('ORDENES'!$A1144="","",IF('ORDENES'!$E1144="","-",'ORDENES'!$E1144))</f>
        <v/>
      </c>
      <c r="L1166" s="26">
        <f>IF('ORDENES'!$A1144="","",IF('ORDENES'!$M1144="",0,'ORDENES'!$M1144))</f>
        <v/>
      </c>
      <c r="M1166" s="24">
        <f>IF('ORDENES'!$A1144="","",IF('ORDENES'!$N1144="","-",'ORDENES'!$N1144))</f>
        <v/>
      </c>
      <c r="N1166" s="24">
        <f>IF('ORDENES'!$A1144="","",'ORDENES'!$AG1144)</f>
        <v/>
      </c>
    </row>
    <row r="1167">
      <c r="A1167" s="24">
        <f>IF('ORDENES'!$A1145="","",IF('ORDENES'!$O1145="","-",'ORDENES'!$O1145))</f>
        <v/>
      </c>
      <c r="B1167" s="24">
        <f>IF('ORDENES'!$A1145="","",IF('ORDENES'!$S1145="","-",'ORDENES'!$S1145))</f>
        <v/>
      </c>
      <c r="C1167" s="24">
        <f>IF('ORDENES'!$A1145="","",IF('ORDENES'!$AI1145="","-",'ORDENES'!$AI1145))</f>
        <v/>
      </c>
      <c r="D1167" s="24">
        <f>IF('ORDENES'!$A1145="","",IF('ORDENES'!$AA1145="","-",'ORDENES'!$AA1145))</f>
        <v/>
      </c>
      <c r="E1167" s="24">
        <f>IF('ORDENES'!$A1145="","",IF('ORDENES'!$Y1145="","-",'ORDENES'!$Y1145))</f>
        <v/>
      </c>
      <c r="F1167" s="24">
        <f>IF('ORDENES'!$A1145="","",IF('ORDENES'!$AB1145="","-",'ORDENES'!$AB1145))</f>
        <v/>
      </c>
      <c r="G1167" s="24">
        <f>IF('ORDENES'!$A1145="","",IF('ORDENES'!$Z1145="","-",'ORDENES'!$Z1145))</f>
        <v/>
      </c>
      <c r="H1167" s="24">
        <f>IF('ORDENES'!$A1145="","",IF('ORDENES'!$AH1145="","-",'ORDENES'!$AH1145))</f>
        <v/>
      </c>
      <c r="I1167" s="24">
        <f>IF('ORDENES'!$A1145="","",IF('ORDENES'!$AU1145="","-",'ORDENES'!$AU1145))</f>
        <v/>
      </c>
      <c r="J1167" s="24">
        <f>IF('ORDENES'!$A1145="","",IF('ORDENES'!$D1145="","-",'ORDENES'!$D1145))</f>
        <v/>
      </c>
      <c r="K1167" s="24">
        <f>IF('ORDENES'!$A1145="","",IF('ORDENES'!$E1145="","-",'ORDENES'!$E1145))</f>
        <v/>
      </c>
      <c r="L1167" s="26">
        <f>IF('ORDENES'!$A1145="","",IF('ORDENES'!$M1145="",0,'ORDENES'!$M1145))</f>
        <v/>
      </c>
      <c r="M1167" s="24">
        <f>IF('ORDENES'!$A1145="","",IF('ORDENES'!$N1145="","-",'ORDENES'!$N1145))</f>
        <v/>
      </c>
      <c r="N1167" s="24">
        <f>IF('ORDENES'!$A1145="","",'ORDENES'!$AG1145)</f>
        <v/>
      </c>
    </row>
    <row r="1168">
      <c r="A1168" s="24">
        <f>IF('ORDENES'!$A1146="","",IF('ORDENES'!$O1146="","-",'ORDENES'!$O1146))</f>
        <v/>
      </c>
      <c r="B1168" s="24">
        <f>IF('ORDENES'!$A1146="","",IF('ORDENES'!$S1146="","-",'ORDENES'!$S1146))</f>
        <v/>
      </c>
      <c r="C1168" s="24">
        <f>IF('ORDENES'!$A1146="","",IF('ORDENES'!$AI1146="","-",'ORDENES'!$AI1146))</f>
        <v/>
      </c>
      <c r="D1168" s="24">
        <f>IF('ORDENES'!$A1146="","",IF('ORDENES'!$AA1146="","-",'ORDENES'!$AA1146))</f>
        <v/>
      </c>
      <c r="E1168" s="24">
        <f>IF('ORDENES'!$A1146="","",IF('ORDENES'!$Y1146="","-",'ORDENES'!$Y1146))</f>
        <v/>
      </c>
      <c r="F1168" s="24">
        <f>IF('ORDENES'!$A1146="","",IF('ORDENES'!$AB1146="","-",'ORDENES'!$AB1146))</f>
        <v/>
      </c>
      <c r="G1168" s="24">
        <f>IF('ORDENES'!$A1146="","",IF('ORDENES'!$Z1146="","-",'ORDENES'!$Z1146))</f>
        <v/>
      </c>
      <c r="H1168" s="24">
        <f>IF('ORDENES'!$A1146="","",IF('ORDENES'!$AH1146="","-",'ORDENES'!$AH1146))</f>
        <v/>
      </c>
      <c r="I1168" s="24">
        <f>IF('ORDENES'!$A1146="","",IF('ORDENES'!$AU1146="","-",'ORDENES'!$AU1146))</f>
        <v/>
      </c>
      <c r="J1168" s="24">
        <f>IF('ORDENES'!$A1146="","",IF('ORDENES'!$D1146="","-",'ORDENES'!$D1146))</f>
        <v/>
      </c>
      <c r="K1168" s="24">
        <f>IF('ORDENES'!$A1146="","",IF('ORDENES'!$E1146="","-",'ORDENES'!$E1146))</f>
        <v/>
      </c>
      <c r="L1168" s="26">
        <f>IF('ORDENES'!$A1146="","",IF('ORDENES'!$M1146="",0,'ORDENES'!$M1146))</f>
        <v/>
      </c>
      <c r="M1168" s="24">
        <f>IF('ORDENES'!$A1146="","",IF('ORDENES'!$N1146="","-",'ORDENES'!$N1146))</f>
        <v/>
      </c>
      <c r="N1168" s="24">
        <f>IF('ORDENES'!$A1146="","",'ORDENES'!$AG1146)</f>
        <v/>
      </c>
    </row>
    <row r="1169">
      <c r="A1169" s="24">
        <f>IF('ORDENES'!$A1147="","",IF('ORDENES'!$O1147="","-",'ORDENES'!$O1147))</f>
        <v/>
      </c>
      <c r="B1169" s="24">
        <f>IF('ORDENES'!$A1147="","",IF('ORDENES'!$S1147="","-",'ORDENES'!$S1147))</f>
        <v/>
      </c>
      <c r="C1169" s="24">
        <f>IF('ORDENES'!$A1147="","",IF('ORDENES'!$AI1147="","-",'ORDENES'!$AI1147))</f>
        <v/>
      </c>
      <c r="D1169" s="24">
        <f>IF('ORDENES'!$A1147="","",IF('ORDENES'!$AA1147="","-",'ORDENES'!$AA1147))</f>
        <v/>
      </c>
      <c r="E1169" s="24">
        <f>IF('ORDENES'!$A1147="","",IF('ORDENES'!$Y1147="","-",'ORDENES'!$Y1147))</f>
        <v/>
      </c>
      <c r="F1169" s="24">
        <f>IF('ORDENES'!$A1147="","",IF('ORDENES'!$AB1147="","-",'ORDENES'!$AB1147))</f>
        <v/>
      </c>
      <c r="G1169" s="24">
        <f>IF('ORDENES'!$A1147="","",IF('ORDENES'!$Z1147="","-",'ORDENES'!$Z1147))</f>
        <v/>
      </c>
      <c r="H1169" s="24">
        <f>IF('ORDENES'!$A1147="","",IF('ORDENES'!$AH1147="","-",'ORDENES'!$AH1147))</f>
        <v/>
      </c>
      <c r="I1169" s="24">
        <f>IF('ORDENES'!$A1147="","",IF('ORDENES'!$AU1147="","-",'ORDENES'!$AU1147))</f>
        <v/>
      </c>
      <c r="J1169" s="24">
        <f>IF('ORDENES'!$A1147="","",IF('ORDENES'!$D1147="","-",'ORDENES'!$D1147))</f>
        <v/>
      </c>
      <c r="K1169" s="24">
        <f>IF('ORDENES'!$A1147="","",IF('ORDENES'!$E1147="","-",'ORDENES'!$E1147))</f>
        <v/>
      </c>
      <c r="L1169" s="26">
        <f>IF('ORDENES'!$A1147="","",IF('ORDENES'!$M1147="",0,'ORDENES'!$M1147))</f>
        <v/>
      </c>
      <c r="M1169" s="24">
        <f>IF('ORDENES'!$A1147="","",IF('ORDENES'!$N1147="","-",'ORDENES'!$N1147))</f>
        <v/>
      </c>
      <c r="N1169" s="24">
        <f>IF('ORDENES'!$A1147="","",'ORDENES'!$AG1147)</f>
        <v/>
      </c>
    </row>
    <row r="1170">
      <c r="A1170" s="24">
        <f>IF('ORDENES'!$A1148="","",IF('ORDENES'!$O1148="","-",'ORDENES'!$O1148))</f>
        <v/>
      </c>
      <c r="B1170" s="24">
        <f>IF('ORDENES'!$A1148="","",IF('ORDENES'!$S1148="","-",'ORDENES'!$S1148))</f>
        <v/>
      </c>
      <c r="C1170" s="24">
        <f>IF('ORDENES'!$A1148="","",IF('ORDENES'!$AI1148="","-",'ORDENES'!$AI1148))</f>
        <v/>
      </c>
      <c r="D1170" s="24">
        <f>IF('ORDENES'!$A1148="","",IF('ORDENES'!$AA1148="","-",'ORDENES'!$AA1148))</f>
        <v/>
      </c>
      <c r="E1170" s="24">
        <f>IF('ORDENES'!$A1148="","",IF('ORDENES'!$Y1148="","-",'ORDENES'!$Y1148))</f>
        <v/>
      </c>
      <c r="F1170" s="24">
        <f>IF('ORDENES'!$A1148="","",IF('ORDENES'!$AB1148="","-",'ORDENES'!$AB1148))</f>
        <v/>
      </c>
      <c r="G1170" s="24">
        <f>IF('ORDENES'!$A1148="","",IF('ORDENES'!$Z1148="","-",'ORDENES'!$Z1148))</f>
        <v/>
      </c>
      <c r="H1170" s="24">
        <f>IF('ORDENES'!$A1148="","",IF('ORDENES'!$AH1148="","-",'ORDENES'!$AH1148))</f>
        <v/>
      </c>
      <c r="I1170" s="24">
        <f>IF('ORDENES'!$A1148="","",IF('ORDENES'!$AU1148="","-",'ORDENES'!$AU1148))</f>
        <v/>
      </c>
      <c r="J1170" s="24">
        <f>IF('ORDENES'!$A1148="","",IF('ORDENES'!$D1148="","-",'ORDENES'!$D1148))</f>
        <v/>
      </c>
      <c r="K1170" s="24">
        <f>IF('ORDENES'!$A1148="","",IF('ORDENES'!$E1148="","-",'ORDENES'!$E1148))</f>
        <v/>
      </c>
      <c r="L1170" s="26">
        <f>IF('ORDENES'!$A1148="","",IF('ORDENES'!$M1148="",0,'ORDENES'!$M1148))</f>
        <v/>
      </c>
      <c r="M1170" s="24">
        <f>IF('ORDENES'!$A1148="","",IF('ORDENES'!$N1148="","-",'ORDENES'!$N1148))</f>
        <v/>
      </c>
      <c r="N1170" s="24">
        <f>IF('ORDENES'!$A1148="","",'ORDENES'!$AG1148)</f>
        <v/>
      </c>
    </row>
    <row r="1171">
      <c r="A1171" s="24">
        <f>IF('ORDENES'!$A1149="","",IF('ORDENES'!$O1149="","-",'ORDENES'!$O1149))</f>
        <v/>
      </c>
      <c r="B1171" s="24">
        <f>IF('ORDENES'!$A1149="","",IF('ORDENES'!$S1149="","-",'ORDENES'!$S1149))</f>
        <v/>
      </c>
      <c r="C1171" s="24">
        <f>IF('ORDENES'!$A1149="","",IF('ORDENES'!$AI1149="","-",'ORDENES'!$AI1149))</f>
        <v/>
      </c>
      <c r="D1171" s="24">
        <f>IF('ORDENES'!$A1149="","",IF('ORDENES'!$AA1149="","-",'ORDENES'!$AA1149))</f>
        <v/>
      </c>
      <c r="E1171" s="24">
        <f>IF('ORDENES'!$A1149="","",IF('ORDENES'!$Y1149="","-",'ORDENES'!$Y1149))</f>
        <v/>
      </c>
      <c r="F1171" s="24">
        <f>IF('ORDENES'!$A1149="","",IF('ORDENES'!$AB1149="","-",'ORDENES'!$AB1149))</f>
        <v/>
      </c>
      <c r="G1171" s="24">
        <f>IF('ORDENES'!$A1149="","",IF('ORDENES'!$Z1149="","-",'ORDENES'!$Z1149))</f>
        <v/>
      </c>
      <c r="H1171" s="24">
        <f>IF('ORDENES'!$A1149="","",IF('ORDENES'!$AH1149="","-",'ORDENES'!$AH1149))</f>
        <v/>
      </c>
      <c r="I1171" s="24">
        <f>IF('ORDENES'!$A1149="","",IF('ORDENES'!$AU1149="","-",'ORDENES'!$AU1149))</f>
        <v/>
      </c>
      <c r="J1171" s="24">
        <f>IF('ORDENES'!$A1149="","",IF('ORDENES'!$D1149="","-",'ORDENES'!$D1149))</f>
        <v/>
      </c>
      <c r="K1171" s="24">
        <f>IF('ORDENES'!$A1149="","",IF('ORDENES'!$E1149="","-",'ORDENES'!$E1149))</f>
        <v/>
      </c>
      <c r="L1171" s="26">
        <f>IF('ORDENES'!$A1149="","",IF('ORDENES'!$M1149="",0,'ORDENES'!$M1149))</f>
        <v/>
      </c>
      <c r="M1171" s="24">
        <f>IF('ORDENES'!$A1149="","",IF('ORDENES'!$N1149="","-",'ORDENES'!$N1149))</f>
        <v/>
      </c>
      <c r="N1171" s="24">
        <f>IF('ORDENES'!$A1149="","",'ORDENES'!$AG1149)</f>
        <v/>
      </c>
    </row>
    <row r="1172">
      <c r="A1172" s="24">
        <f>IF('ORDENES'!$A1150="","",IF('ORDENES'!$O1150="","-",'ORDENES'!$O1150))</f>
        <v/>
      </c>
      <c r="B1172" s="24">
        <f>IF('ORDENES'!$A1150="","",IF('ORDENES'!$S1150="","-",'ORDENES'!$S1150))</f>
        <v/>
      </c>
      <c r="C1172" s="24">
        <f>IF('ORDENES'!$A1150="","",IF('ORDENES'!$AI1150="","-",'ORDENES'!$AI1150))</f>
        <v/>
      </c>
      <c r="D1172" s="24">
        <f>IF('ORDENES'!$A1150="","",IF('ORDENES'!$AA1150="","-",'ORDENES'!$AA1150))</f>
        <v/>
      </c>
      <c r="E1172" s="24">
        <f>IF('ORDENES'!$A1150="","",IF('ORDENES'!$Y1150="","-",'ORDENES'!$Y1150))</f>
        <v/>
      </c>
      <c r="F1172" s="24">
        <f>IF('ORDENES'!$A1150="","",IF('ORDENES'!$AB1150="","-",'ORDENES'!$AB1150))</f>
        <v/>
      </c>
      <c r="G1172" s="24">
        <f>IF('ORDENES'!$A1150="","",IF('ORDENES'!$Z1150="","-",'ORDENES'!$Z1150))</f>
        <v/>
      </c>
      <c r="H1172" s="24">
        <f>IF('ORDENES'!$A1150="","",IF('ORDENES'!$AH1150="","-",'ORDENES'!$AH1150))</f>
        <v/>
      </c>
      <c r="I1172" s="24">
        <f>IF('ORDENES'!$A1150="","",IF('ORDENES'!$AU1150="","-",'ORDENES'!$AU1150))</f>
        <v/>
      </c>
      <c r="J1172" s="24">
        <f>IF('ORDENES'!$A1150="","",IF('ORDENES'!$D1150="","-",'ORDENES'!$D1150))</f>
        <v/>
      </c>
      <c r="K1172" s="24">
        <f>IF('ORDENES'!$A1150="","",IF('ORDENES'!$E1150="","-",'ORDENES'!$E1150))</f>
        <v/>
      </c>
      <c r="L1172" s="26">
        <f>IF('ORDENES'!$A1150="","",IF('ORDENES'!$M1150="",0,'ORDENES'!$M1150))</f>
        <v/>
      </c>
      <c r="M1172" s="24">
        <f>IF('ORDENES'!$A1150="","",IF('ORDENES'!$N1150="","-",'ORDENES'!$N1150))</f>
        <v/>
      </c>
      <c r="N1172" s="24">
        <f>IF('ORDENES'!$A1150="","",'ORDENES'!$AG1150)</f>
        <v/>
      </c>
    </row>
    <row r="1173">
      <c r="A1173" s="24">
        <f>IF('ORDENES'!$A1151="","",IF('ORDENES'!$O1151="","-",'ORDENES'!$O1151))</f>
        <v/>
      </c>
      <c r="B1173" s="24">
        <f>IF('ORDENES'!$A1151="","",IF('ORDENES'!$S1151="","-",'ORDENES'!$S1151))</f>
        <v/>
      </c>
      <c r="C1173" s="24">
        <f>IF('ORDENES'!$A1151="","",IF('ORDENES'!$AI1151="","-",'ORDENES'!$AI1151))</f>
        <v/>
      </c>
      <c r="D1173" s="24">
        <f>IF('ORDENES'!$A1151="","",IF('ORDENES'!$AA1151="","-",'ORDENES'!$AA1151))</f>
        <v/>
      </c>
      <c r="E1173" s="24">
        <f>IF('ORDENES'!$A1151="","",IF('ORDENES'!$Y1151="","-",'ORDENES'!$Y1151))</f>
        <v/>
      </c>
      <c r="F1173" s="24">
        <f>IF('ORDENES'!$A1151="","",IF('ORDENES'!$AB1151="","-",'ORDENES'!$AB1151))</f>
        <v/>
      </c>
      <c r="G1173" s="24">
        <f>IF('ORDENES'!$A1151="","",IF('ORDENES'!$Z1151="","-",'ORDENES'!$Z1151))</f>
        <v/>
      </c>
      <c r="H1173" s="24">
        <f>IF('ORDENES'!$A1151="","",IF('ORDENES'!$AH1151="","-",'ORDENES'!$AH1151))</f>
        <v/>
      </c>
      <c r="I1173" s="24">
        <f>IF('ORDENES'!$A1151="","",IF('ORDENES'!$AU1151="","-",'ORDENES'!$AU1151))</f>
        <v/>
      </c>
      <c r="J1173" s="24">
        <f>IF('ORDENES'!$A1151="","",IF('ORDENES'!$D1151="","-",'ORDENES'!$D1151))</f>
        <v/>
      </c>
      <c r="K1173" s="24">
        <f>IF('ORDENES'!$A1151="","",IF('ORDENES'!$E1151="","-",'ORDENES'!$E1151))</f>
        <v/>
      </c>
      <c r="L1173" s="26">
        <f>IF('ORDENES'!$A1151="","",IF('ORDENES'!$M1151="",0,'ORDENES'!$M1151))</f>
        <v/>
      </c>
      <c r="M1173" s="24">
        <f>IF('ORDENES'!$A1151="","",IF('ORDENES'!$N1151="","-",'ORDENES'!$N1151))</f>
        <v/>
      </c>
      <c r="N1173" s="24">
        <f>IF('ORDENES'!$A1151="","",'ORDENES'!$AG1151)</f>
        <v/>
      </c>
    </row>
    <row r="1174">
      <c r="A1174" s="24">
        <f>IF('ORDENES'!$A1152="","",IF('ORDENES'!$O1152="","-",'ORDENES'!$O1152))</f>
        <v/>
      </c>
      <c r="B1174" s="24">
        <f>IF('ORDENES'!$A1152="","",IF('ORDENES'!$S1152="","-",'ORDENES'!$S1152))</f>
        <v/>
      </c>
      <c r="C1174" s="24">
        <f>IF('ORDENES'!$A1152="","",IF('ORDENES'!$AI1152="","-",'ORDENES'!$AI1152))</f>
        <v/>
      </c>
      <c r="D1174" s="24">
        <f>IF('ORDENES'!$A1152="","",IF('ORDENES'!$AA1152="","-",'ORDENES'!$AA1152))</f>
        <v/>
      </c>
      <c r="E1174" s="24">
        <f>IF('ORDENES'!$A1152="","",IF('ORDENES'!$Y1152="","-",'ORDENES'!$Y1152))</f>
        <v/>
      </c>
      <c r="F1174" s="24">
        <f>IF('ORDENES'!$A1152="","",IF('ORDENES'!$AB1152="","-",'ORDENES'!$AB1152))</f>
        <v/>
      </c>
      <c r="G1174" s="24">
        <f>IF('ORDENES'!$A1152="","",IF('ORDENES'!$Z1152="","-",'ORDENES'!$Z1152))</f>
        <v/>
      </c>
      <c r="H1174" s="24">
        <f>IF('ORDENES'!$A1152="","",IF('ORDENES'!$AH1152="","-",'ORDENES'!$AH1152))</f>
        <v/>
      </c>
      <c r="I1174" s="24">
        <f>IF('ORDENES'!$A1152="","",IF('ORDENES'!$AU1152="","-",'ORDENES'!$AU1152))</f>
        <v/>
      </c>
      <c r="J1174" s="24">
        <f>IF('ORDENES'!$A1152="","",IF('ORDENES'!$D1152="","-",'ORDENES'!$D1152))</f>
        <v/>
      </c>
      <c r="K1174" s="24">
        <f>IF('ORDENES'!$A1152="","",IF('ORDENES'!$E1152="","-",'ORDENES'!$E1152))</f>
        <v/>
      </c>
      <c r="L1174" s="26">
        <f>IF('ORDENES'!$A1152="","",IF('ORDENES'!$M1152="",0,'ORDENES'!$M1152))</f>
        <v/>
      </c>
      <c r="M1174" s="24">
        <f>IF('ORDENES'!$A1152="","",IF('ORDENES'!$N1152="","-",'ORDENES'!$N1152))</f>
        <v/>
      </c>
      <c r="N1174" s="24">
        <f>IF('ORDENES'!$A1152="","",'ORDENES'!$AG1152)</f>
        <v/>
      </c>
    </row>
    <row r="1175">
      <c r="A1175" s="24">
        <f>IF('ORDENES'!$A1153="","",IF('ORDENES'!$O1153="","-",'ORDENES'!$O1153))</f>
        <v/>
      </c>
      <c r="B1175" s="24">
        <f>IF('ORDENES'!$A1153="","",IF('ORDENES'!$S1153="","-",'ORDENES'!$S1153))</f>
        <v/>
      </c>
      <c r="C1175" s="24">
        <f>IF('ORDENES'!$A1153="","",IF('ORDENES'!$AI1153="","-",'ORDENES'!$AI1153))</f>
        <v/>
      </c>
      <c r="D1175" s="24">
        <f>IF('ORDENES'!$A1153="","",IF('ORDENES'!$AA1153="","-",'ORDENES'!$AA1153))</f>
        <v/>
      </c>
      <c r="E1175" s="24">
        <f>IF('ORDENES'!$A1153="","",IF('ORDENES'!$Y1153="","-",'ORDENES'!$Y1153))</f>
        <v/>
      </c>
      <c r="F1175" s="24">
        <f>IF('ORDENES'!$A1153="","",IF('ORDENES'!$AB1153="","-",'ORDENES'!$AB1153))</f>
        <v/>
      </c>
      <c r="G1175" s="24">
        <f>IF('ORDENES'!$A1153="","",IF('ORDENES'!$Z1153="","-",'ORDENES'!$Z1153))</f>
        <v/>
      </c>
      <c r="H1175" s="24">
        <f>IF('ORDENES'!$A1153="","",IF('ORDENES'!$AH1153="","-",'ORDENES'!$AH1153))</f>
        <v/>
      </c>
      <c r="I1175" s="24">
        <f>IF('ORDENES'!$A1153="","",IF('ORDENES'!$AU1153="","-",'ORDENES'!$AU1153))</f>
        <v/>
      </c>
      <c r="J1175" s="24">
        <f>IF('ORDENES'!$A1153="","",IF('ORDENES'!$D1153="","-",'ORDENES'!$D1153))</f>
        <v/>
      </c>
      <c r="K1175" s="24">
        <f>IF('ORDENES'!$A1153="","",IF('ORDENES'!$E1153="","-",'ORDENES'!$E1153))</f>
        <v/>
      </c>
      <c r="L1175" s="26">
        <f>IF('ORDENES'!$A1153="","",IF('ORDENES'!$M1153="",0,'ORDENES'!$M1153))</f>
        <v/>
      </c>
      <c r="M1175" s="24">
        <f>IF('ORDENES'!$A1153="","",IF('ORDENES'!$N1153="","-",'ORDENES'!$N1153))</f>
        <v/>
      </c>
      <c r="N1175" s="24">
        <f>IF('ORDENES'!$A1153="","",'ORDENES'!$AG1153)</f>
        <v/>
      </c>
    </row>
    <row r="1176">
      <c r="A1176" s="24">
        <f>IF('ORDENES'!$A1154="","",IF('ORDENES'!$O1154="","-",'ORDENES'!$O1154))</f>
        <v/>
      </c>
      <c r="B1176" s="24">
        <f>IF('ORDENES'!$A1154="","",IF('ORDENES'!$S1154="","-",'ORDENES'!$S1154))</f>
        <v/>
      </c>
      <c r="C1176" s="24">
        <f>IF('ORDENES'!$A1154="","",IF('ORDENES'!$AI1154="","-",'ORDENES'!$AI1154))</f>
        <v/>
      </c>
      <c r="D1176" s="24">
        <f>IF('ORDENES'!$A1154="","",IF('ORDENES'!$AA1154="","-",'ORDENES'!$AA1154))</f>
        <v/>
      </c>
      <c r="E1176" s="24">
        <f>IF('ORDENES'!$A1154="","",IF('ORDENES'!$Y1154="","-",'ORDENES'!$Y1154))</f>
        <v/>
      </c>
      <c r="F1176" s="24">
        <f>IF('ORDENES'!$A1154="","",IF('ORDENES'!$AB1154="","-",'ORDENES'!$AB1154))</f>
        <v/>
      </c>
      <c r="G1176" s="24">
        <f>IF('ORDENES'!$A1154="","",IF('ORDENES'!$Z1154="","-",'ORDENES'!$Z1154))</f>
        <v/>
      </c>
      <c r="H1176" s="24">
        <f>IF('ORDENES'!$A1154="","",IF('ORDENES'!$AH1154="","-",'ORDENES'!$AH1154))</f>
        <v/>
      </c>
      <c r="I1176" s="24">
        <f>IF('ORDENES'!$A1154="","",IF('ORDENES'!$AU1154="","-",'ORDENES'!$AU1154))</f>
        <v/>
      </c>
      <c r="J1176" s="24">
        <f>IF('ORDENES'!$A1154="","",IF('ORDENES'!$D1154="","-",'ORDENES'!$D1154))</f>
        <v/>
      </c>
      <c r="K1176" s="24">
        <f>IF('ORDENES'!$A1154="","",IF('ORDENES'!$E1154="","-",'ORDENES'!$E1154))</f>
        <v/>
      </c>
      <c r="L1176" s="26">
        <f>IF('ORDENES'!$A1154="","",IF('ORDENES'!$M1154="",0,'ORDENES'!$M1154))</f>
        <v/>
      </c>
      <c r="M1176" s="24">
        <f>IF('ORDENES'!$A1154="","",IF('ORDENES'!$N1154="","-",'ORDENES'!$N1154))</f>
        <v/>
      </c>
      <c r="N1176" s="24">
        <f>IF('ORDENES'!$A1154="","",'ORDENES'!$AG1154)</f>
        <v/>
      </c>
    </row>
    <row r="1177">
      <c r="A1177" s="24">
        <f>IF('ORDENES'!$A1155="","",IF('ORDENES'!$O1155="","-",'ORDENES'!$O1155))</f>
        <v/>
      </c>
      <c r="B1177" s="24">
        <f>IF('ORDENES'!$A1155="","",IF('ORDENES'!$S1155="","-",'ORDENES'!$S1155))</f>
        <v/>
      </c>
      <c r="C1177" s="24">
        <f>IF('ORDENES'!$A1155="","",IF('ORDENES'!$AI1155="","-",'ORDENES'!$AI1155))</f>
        <v/>
      </c>
      <c r="D1177" s="24">
        <f>IF('ORDENES'!$A1155="","",IF('ORDENES'!$AA1155="","-",'ORDENES'!$AA1155))</f>
        <v/>
      </c>
      <c r="E1177" s="24">
        <f>IF('ORDENES'!$A1155="","",IF('ORDENES'!$Y1155="","-",'ORDENES'!$Y1155))</f>
        <v/>
      </c>
      <c r="F1177" s="24">
        <f>IF('ORDENES'!$A1155="","",IF('ORDENES'!$AB1155="","-",'ORDENES'!$AB1155))</f>
        <v/>
      </c>
      <c r="G1177" s="24">
        <f>IF('ORDENES'!$A1155="","",IF('ORDENES'!$Z1155="","-",'ORDENES'!$Z1155))</f>
        <v/>
      </c>
      <c r="H1177" s="24">
        <f>IF('ORDENES'!$A1155="","",IF('ORDENES'!$AH1155="","-",'ORDENES'!$AH1155))</f>
        <v/>
      </c>
      <c r="I1177" s="24">
        <f>IF('ORDENES'!$A1155="","",IF('ORDENES'!$AU1155="","-",'ORDENES'!$AU1155))</f>
        <v/>
      </c>
      <c r="J1177" s="24">
        <f>IF('ORDENES'!$A1155="","",IF('ORDENES'!$D1155="","-",'ORDENES'!$D1155))</f>
        <v/>
      </c>
      <c r="K1177" s="24">
        <f>IF('ORDENES'!$A1155="","",IF('ORDENES'!$E1155="","-",'ORDENES'!$E1155))</f>
        <v/>
      </c>
      <c r="L1177" s="26">
        <f>IF('ORDENES'!$A1155="","",IF('ORDENES'!$M1155="",0,'ORDENES'!$M1155))</f>
        <v/>
      </c>
      <c r="M1177" s="24">
        <f>IF('ORDENES'!$A1155="","",IF('ORDENES'!$N1155="","-",'ORDENES'!$N1155))</f>
        <v/>
      </c>
      <c r="N1177" s="24">
        <f>IF('ORDENES'!$A1155="","",'ORDENES'!$AG1155)</f>
        <v/>
      </c>
    </row>
    <row r="1178">
      <c r="A1178" s="24">
        <f>IF('ORDENES'!$A1156="","",IF('ORDENES'!$O1156="","-",'ORDENES'!$O1156))</f>
        <v/>
      </c>
      <c r="B1178" s="24">
        <f>IF('ORDENES'!$A1156="","",IF('ORDENES'!$S1156="","-",'ORDENES'!$S1156))</f>
        <v/>
      </c>
      <c r="C1178" s="24">
        <f>IF('ORDENES'!$A1156="","",IF('ORDENES'!$AI1156="","-",'ORDENES'!$AI1156))</f>
        <v/>
      </c>
      <c r="D1178" s="24">
        <f>IF('ORDENES'!$A1156="","",IF('ORDENES'!$AA1156="","-",'ORDENES'!$AA1156))</f>
        <v/>
      </c>
      <c r="E1178" s="24">
        <f>IF('ORDENES'!$A1156="","",IF('ORDENES'!$Y1156="","-",'ORDENES'!$Y1156))</f>
        <v/>
      </c>
      <c r="F1178" s="24">
        <f>IF('ORDENES'!$A1156="","",IF('ORDENES'!$AB1156="","-",'ORDENES'!$AB1156))</f>
        <v/>
      </c>
      <c r="G1178" s="24">
        <f>IF('ORDENES'!$A1156="","",IF('ORDENES'!$Z1156="","-",'ORDENES'!$Z1156))</f>
        <v/>
      </c>
      <c r="H1178" s="24">
        <f>IF('ORDENES'!$A1156="","",IF('ORDENES'!$AH1156="","-",'ORDENES'!$AH1156))</f>
        <v/>
      </c>
      <c r="I1178" s="24">
        <f>IF('ORDENES'!$A1156="","",IF('ORDENES'!$AU1156="","-",'ORDENES'!$AU1156))</f>
        <v/>
      </c>
      <c r="J1178" s="24">
        <f>IF('ORDENES'!$A1156="","",IF('ORDENES'!$D1156="","-",'ORDENES'!$D1156))</f>
        <v/>
      </c>
      <c r="K1178" s="24">
        <f>IF('ORDENES'!$A1156="","",IF('ORDENES'!$E1156="","-",'ORDENES'!$E1156))</f>
        <v/>
      </c>
      <c r="L1178" s="26">
        <f>IF('ORDENES'!$A1156="","",IF('ORDENES'!$M1156="",0,'ORDENES'!$M1156))</f>
        <v/>
      </c>
      <c r="M1178" s="24">
        <f>IF('ORDENES'!$A1156="","",IF('ORDENES'!$N1156="","-",'ORDENES'!$N1156))</f>
        <v/>
      </c>
      <c r="N1178" s="24">
        <f>IF('ORDENES'!$A1156="","",'ORDENES'!$AG1156)</f>
        <v/>
      </c>
    </row>
    <row r="1179">
      <c r="A1179" s="24">
        <f>IF('ORDENES'!$A1157="","",IF('ORDENES'!$O1157="","-",'ORDENES'!$O1157))</f>
        <v/>
      </c>
      <c r="B1179" s="24">
        <f>IF('ORDENES'!$A1157="","",IF('ORDENES'!$S1157="","-",'ORDENES'!$S1157))</f>
        <v/>
      </c>
      <c r="C1179" s="24">
        <f>IF('ORDENES'!$A1157="","",IF('ORDENES'!$AI1157="","-",'ORDENES'!$AI1157))</f>
        <v/>
      </c>
      <c r="D1179" s="24">
        <f>IF('ORDENES'!$A1157="","",IF('ORDENES'!$AA1157="","-",'ORDENES'!$AA1157))</f>
        <v/>
      </c>
      <c r="E1179" s="24">
        <f>IF('ORDENES'!$A1157="","",IF('ORDENES'!$Y1157="","-",'ORDENES'!$Y1157))</f>
        <v/>
      </c>
      <c r="F1179" s="24">
        <f>IF('ORDENES'!$A1157="","",IF('ORDENES'!$AB1157="","-",'ORDENES'!$AB1157))</f>
        <v/>
      </c>
      <c r="G1179" s="24">
        <f>IF('ORDENES'!$A1157="","",IF('ORDENES'!$Z1157="","-",'ORDENES'!$Z1157))</f>
        <v/>
      </c>
      <c r="H1179" s="24">
        <f>IF('ORDENES'!$A1157="","",IF('ORDENES'!$AH1157="","-",'ORDENES'!$AH1157))</f>
        <v/>
      </c>
      <c r="I1179" s="24">
        <f>IF('ORDENES'!$A1157="","",IF('ORDENES'!$AU1157="","-",'ORDENES'!$AU1157))</f>
        <v/>
      </c>
      <c r="J1179" s="24">
        <f>IF('ORDENES'!$A1157="","",IF('ORDENES'!$D1157="","-",'ORDENES'!$D1157))</f>
        <v/>
      </c>
      <c r="K1179" s="24">
        <f>IF('ORDENES'!$A1157="","",IF('ORDENES'!$E1157="","-",'ORDENES'!$E1157))</f>
        <v/>
      </c>
      <c r="L1179" s="26">
        <f>IF('ORDENES'!$A1157="","",IF('ORDENES'!$M1157="",0,'ORDENES'!$M1157))</f>
        <v/>
      </c>
      <c r="M1179" s="24">
        <f>IF('ORDENES'!$A1157="","",IF('ORDENES'!$N1157="","-",'ORDENES'!$N1157))</f>
        <v/>
      </c>
      <c r="N1179" s="24">
        <f>IF('ORDENES'!$A1157="","",'ORDENES'!$AG1157)</f>
        <v/>
      </c>
    </row>
    <row r="1180">
      <c r="A1180" s="24">
        <f>IF('ORDENES'!$A1158="","",IF('ORDENES'!$O1158="","-",'ORDENES'!$O1158))</f>
        <v/>
      </c>
      <c r="B1180" s="24">
        <f>IF('ORDENES'!$A1158="","",IF('ORDENES'!$S1158="","-",'ORDENES'!$S1158))</f>
        <v/>
      </c>
      <c r="C1180" s="24">
        <f>IF('ORDENES'!$A1158="","",IF('ORDENES'!$AI1158="","-",'ORDENES'!$AI1158))</f>
        <v/>
      </c>
      <c r="D1180" s="24">
        <f>IF('ORDENES'!$A1158="","",IF('ORDENES'!$AA1158="","-",'ORDENES'!$AA1158))</f>
        <v/>
      </c>
      <c r="E1180" s="24">
        <f>IF('ORDENES'!$A1158="","",IF('ORDENES'!$Y1158="","-",'ORDENES'!$Y1158))</f>
        <v/>
      </c>
      <c r="F1180" s="24">
        <f>IF('ORDENES'!$A1158="","",IF('ORDENES'!$AB1158="","-",'ORDENES'!$AB1158))</f>
        <v/>
      </c>
      <c r="G1180" s="24">
        <f>IF('ORDENES'!$A1158="","",IF('ORDENES'!$Z1158="","-",'ORDENES'!$Z1158))</f>
        <v/>
      </c>
      <c r="H1180" s="24">
        <f>IF('ORDENES'!$A1158="","",IF('ORDENES'!$AH1158="","-",'ORDENES'!$AH1158))</f>
        <v/>
      </c>
      <c r="I1180" s="24">
        <f>IF('ORDENES'!$A1158="","",IF('ORDENES'!$AU1158="","-",'ORDENES'!$AU1158))</f>
        <v/>
      </c>
      <c r="J1180" s="24">
        <f>IF('ORDENES'!$A1158="","",IF('ORDENES'!$D1158="","-",'ORDENES'!$D1158))</f>
        <v/>
      </c>
      <c r="K1180" s="24">
        <f>IF('ORDENES'!$A1158="","",IF('ORDENES'!$E1158="","-",'ORDENES'!$E1158))</f>
        <v/>
      </c>
      <c r="L1180" s="26">
        <f>IF('ORDENES'!$A1158="","",IF('ORDENES'!$M1158="",0,'ORDENES'!$M1158))</f>
        <v/>
      </c>
      <c r="M1180" s="24">
        <f>IF('ORDENES'!$A1158="","",IF('ORDENES'!$N1158="","-",'ORDENES'!$N1158))</f>
        <v/>
      </c>
      <c r="N1180" s="24">
        <f>IF('ORDENES'!$A1158="","",'ORDENES'!$AG1158)</f>
        <v/>
      </c>
    </row>
    <row r="1181">
      <c r="A1181" s="24">
        <f>IF('ORDENES'!$A1159="","",IF('ORDENES'!$O1159="","-",'ORDENES'!$O1159))</f>
        <v/>
      </c>
      <c r="B1181" s="24">
        <f>IF('ORDENES'!$A1159="","",IF('ORDENES'!$S1159="","-",'ORDENES'!$S1159))</f>
        <v/>
      </c>
      <c r="C1181" s="24">
        <f>IF('ORDENES'!$A1159="","",IF('ORDENES'!$AI1159="","-",'ORDENES'!$AI1159))</f>
        <v/>
      </c>
      <c r="D1181" s="24">
        <f>IF('ORDENES'!$A1159="","",IF('ORDENES'!$AA1159="","-",'ORDENES'!$AA1159))</f>
        <v/>
      </c>
      <c r="E1181" s="24">
        <f>IF('ORDENES'!$A1159="","",IF('ORDENES'!$Y1159="","-",'ORDENES'!$Y1159))</f>
        <v/>
      </c>
      <c r="F1181" s="24">
        <f>IF('ORDENES'!$A1159="","",IF('ORDENES'!$AB1159="","-",'ORDENES'!$AB1159))</f>
        <v/>
      </c>
      <c r="G1181" s="24">
        <f>IF('ORDENES'!$A1159="","",IF('ORDENES'!$Z1159="","-",'ORDENES'!$Z1159))</f>
        <v/>
      </c>
      <c r="H1181" s="24">
        <f>IF('ORDENES'!$A1159="","",IF('ORDENES'!$AH1159="","-",'ORDENES'!$AH1159))</f>
        <v/>
      </c>
      <c r="I1181" s="24">
        <f>IF('ORDENES'!$A1159="","",IF('ORDENES'!$AU1159="","-",'ORDENES'!$AU1159))</f>
        <v/>
      </c>
      <c r="J1181" s="24">
        <f>IF('ORDENES'!$A1159="","",IF('ORDENES'!$D1159="","-",'ORDENES'!$D1159))</f>
        <v/>
      </c>
      <c r="K1181" s="24">
        <f>IF('ORDENES'!$A1159="","",IF('ORDENES'!$E1159="","-",'ORDENES'!$E1159))</f>
        <v/>
      </c>
      <c r="L1181" s="26">
        <f>IF('ORDENES'!$A1159="","",IF('ORDENES'!$M1159="",0,'ORDENES'!$M1159))</f>
        <v/>
      </c>
      <c r="M1181" s="24">
        <f>IF('ORDENES'!$A1159="","",IF('ORDENES'!$N1159="","-",'ORDENES'!$N1159))</f>
        <v/>
      </c>
      <c r="N1181" s="24">
        <f>IF('ORDENES'!$A1159="","",'ORDENES'!$AG1159)</f>
        <v/>
      </c>
    </row>
    <row r="1182">
      <c r="A1182" s="24">
        <f>IF('ORDENES'!$A1160="","",IF('ORDENES'!$O1160="","-",'ORDENES'!$O1160))</f>
        <v/>
      </c>
      <c r="B1182" s="24">
        <f>IF('ORDENES'!$A1160="","",IF('ORDENES'!$S1160="","-",'ORDENES'!$S1160))</f>
        <v/>
      </c>
      <c r="C1182" s="24">
        <f>IF('ORDENES'!$A1160="","",IF('ORDENES'!$AI1160="","-",'ORDENES'!$AI1160))</f>
        <v/>
      </c>
      <c r="D1182" s="24">
        <f>IF('ORDENES'!$A1160="","",IF('ORDENES'!$AA1160="","-",'ORDENES'!$AA1160))</f>
        <v/>
      </c>
      <c r="E1182" s="24">
        <f>IF('ORDENES'!$A1160="","",IF('ORDENES'!$Y1160="","-",'ORDENES'!$Y1160))</f>
        <v/>
      </c>
      <c r="F1182" s="24">
        <f>IF('ORDENES'!$A1160="","",IF('ORDENES'!$AB1160="","-",'ORDENES'!$AB1160))</f>
        <v/>
      </c>
      <c r="G1182" s="24">
        <f>IF('ORDENES'!$A1160="","",IF('ORDENES'!$Z1160="","-",'ORDENES'!$Z1160))</f>
        <v/>
      </c>
      <c r="H1182" s="24">
        <f>IF('ORDENES'!$A1160="","",IF('ORDENES'!$AH1160="","-",'ORDENES'!$AH1160))</f>
        <v/>
      </c>
      <c r="I1182" s="24">
        <f>IF('ORDENES'!$A1160="","",IF('ORDENES'!$AU1160="","-",'ORDENES'!$AU1160))</f>
        <v/>
      </c>
      <c r="J1182" s="24">
        <f>IF('ORDENES'!$A1160="","",IF('ORDENES'!$D1160="","-",'ORDENES'!$D1160))</f>
        <v/>
      </c>
      <c r="K1182" s="24">
        <f>IF('ORDENES'!$A1160="","",IF('ORDENES'!$E1160="","-",'ORDENES'!$E1160))</f>
        <v/>
      </c>
      <c r="L1182" s="26">
        <f>IF('ORDENES'!$A1160="","",IF('ORDENES'!$M1160="",0,'ORDENES'!$M1160))</f>
        <v/>
      </c>
      <c r="M1182" s="24">
        <f>IF('ORDENES'!$A1160="","",IF('ORDENES'!$N1160="","-",'ORDENES'!$N1160))</f>
        <v/>
      </c>
      <c r="N1182" s="24">
        <f>IF('ORDENES'!$A1160="","",'ORDENES'!$AG1160)</f>
        <v/>
      </c>
    </row>
    <row r="1183">
      <c r="A1183" s="24">
        <f>IF('ORDENES'!$A1161="","",IF('ORDENES'!$O1161="","-",'ORDENES'!$O1161))</f>
        <v/>
      </c>
      <c r="B1183" s="24">
        <f>IF('ORDENES'!$A1161="","",IF('ORDENES'!$S1161="","-",'ORDENES'!$S1161))</f>
        <v/>
      </c>
      <c r="C1183" s="24">
        <f>IF('ORDENES'!$A1161="","",IF('ORDENES'!$AI1161="","-",'ORDENES'!$AI1161))</f>
        <v/>
      </c>
      <c r="D1183" s="24">
        <f>IF('ORDENES'!$A1161="","",IF('ORDENES'!$AA1161="","-",'ORDENES'!$AA1161))</f>
        <v/>
      </c>
      <c r="E1183" s="24">
        <f>IF('ORDENES'!$A1161="","",IF('ORDENES'!$Y1161="","-",'ORDENES'!$Y1161))</f>
        <v/>
      </c>
      <c r="F1183" s="24">
        <f>IF('ORDENES'!$A1161="","",IF('ORDENES'!$AB1161="","-",'ORDENES'!$AB1161))</f>
        <v/>
      </c>
      <c r="G1183" s="24">
        <f>IF('ORDENES'!$A1161="","",IF('ORDENES'!$Z1161="","-",'ORDENES'!$Z1161))</f>
        <v/>
      </c>
      <c r="H1183" s="24">
        <f>IF('ORDENES'!$A1161="","",IF('ORDENES'!$AH1161="","-",'ORDENES'!$AH1161))</f>
        <v/>
      </c>
      <c r="I1183" s="24">
        <f>IF('ORDENES'!$A1161="","",IF('ORDENES'!$AU1161="","-",'ORDENES'!$AU1161))</f>
        <v/>
      </c>
      <c r="J1183" s="24">
        <f>IF('ORDENES'!$A1161="","",IF('ORDENES'!$D1161="","-",'ORDENES'!$D1161))</f>
        <v/>
      </c>
      <c r="K1183" s="24">
        <f>IF('ORDENES'!$A1161="","",IF('ORDENES'!$E1161="","-",'ORDENES'!$E1161))</f>
        <v/>
      </c>
      <c r="L1183" s="26">
        <f>IF('ORDENES'!$A1161="","",IF('ORDENES'!$M1161="",0,'ORDENES'!$M1161))</f>
        <v/>
      </c>
      <c r="M1183" s="24">
        <f>IF('ORDENES'!$A1161="","",IF('ORDENES'!$N1161="","-",'ORDENES'!$N1161))</f>
        <v/>
      </c>
      <c r="N1183" s="24">
        <f>IF('ORDENES'!$A1161="","",'ORDENES'!$AG1161)</f>
        <v/>
      </c>
    </row>
    <row r="1184">
      <c r="A1184" s="24">
        <f>IF('ORDENES'!$A1162="","",IF('ORDENES'!$O1162="","-",'ORDENES'!$O1162))</f>
        <v/>
      </c>
      <c r="B1184" s="24">
        <f>IF('ORDENES'!$A1162="","",IF('ORDENES'!$S1162="","-",'ORDENES'!$S1162))</f>
        <v/>
      </c>
      <c r="C1184" s="24">
        <f>IF('ORDENES'!$A1162="","",IF('ORDENES'!$AI1162="","-",'ORDENES'!$AI1162))</f>
        <v/>
      </c>
      <c r="D1184" s="24">
        <f>IF('ORDENES'!$A1162="","",IF('ORDENES'!$AA1162="","-",'ORDENES'!$AA1162))</f>
        <v/>
      </c>
      <c r="E1184" s="24">
        <f>IF('ORDENES'!$A1162="","",IF('ORDENES'!$Y1162="","-",'ORDENES'!$Y1162))</f>
        <v/>
      </c>
      <c r="F1184" s="24">
        <f>IF('ORDENES'!$A1162="","",IF('ORDENES'!$AB1162="","-",'ORDENES'!$AB1162))</f>
        <v/>
      </c>
      <c r="G1184" s="24">
        <f>IF('ORDENES'!$A1162="","",IF('ORDENES'!$Z1162="","-",'ORDENES'!$Z1162))</f>
        <v/>
      </c>
      <c r="H1184" s="24">
        <f>IF('ORDENES'!$A1162="","",IF('ORDENES'!$AH1162="","-",'ORDENES'!$AH1162))</f>
        <v/>
      </c>
      <c r="I1184" s="24">
        <f>IF('ORDENES'!$A1162="","",IF('ORDENES'!$AU1162="","-",'ORDENES'!$AU1162))</f>
        <v/>
      </c>
      <c r="J1184" s="24">
        <f>IF('ORDENES'!$A1162="","",IF('ORDENES'!$D1162="","-",'ORDENES'!$D1162))</f>
        <v/>
      </c>
      <c r="K1184" s="24">
        <f>IF('ORDENES'!$A1162="","",IF('ORDENES'!$E1162="","-",'ORDENES'!$E1162))</f>
        <v/>
      </c>
      <c r="L1184" s="26">
        <f>IF('ORDENES'!$A1162="","",IF('ORDENES'!$M1162="",0,'ORDENES'!$M1162))</f>
        <v/>
      </c>
      <c r="M1184" s="24">
        <f>IF('ORDENES'!$A1162="","",IF('ORDENES'!$N1162="","-",'ORDENES'!$N1162))</f>
        <v/>
      </c>
      <c r="N1184" s="24">
        <f>IF('ORDENES'!$A1162="","",'ORDENES'!$AG1162)</f>
        <v/>
      </c>
    </row>
    <row r="1185">
      <c r="A1185" s="24">
        <f>IF('ORDENES'!$A1163="","",IF('ORDENES'!$O1163="","-",'ORDENES'!$O1163))</f>
        <v/>
      </c>
      <c r="B1185" s="24">
        <f>IF('ORDENES'!$A1163="","",IF('ORDENES'!$S1163="","-",'ORDENES'!$S1163))</f>
        <v/>
      </c>
      <c r="C1185" s="24">
        <f>IF('ORDENES'!$A1163="","",IF('ORDENES'!$AI1163="","-",'ORDENES'!$AI1163))</f>
        <v/>
      </c>
      <c r="D1185" s="24">
        <f>IF('ORDENES'!$A1163="","",IF('ORDENES'!$AA1163="","-",'ORDENES'!$AA1163))</f>
        <v/>
      </c>
      <c r="E1185" s="24">
        <f>IF('ORDENES'!$A1163="","",IF('ORDENES'!$Y1163="","-",'ORDENES'!$Y1163))</f>
        <v/>
      </c>
      <c r="F1185" s="24">
        <f>IF('ORDENES'!$A1163="","",IF('ORDENES'!$AB1163="","-",'ORDENES'!$AB1163))</f>
        <v/>
      </c>
      <c r="G1185" s="24">
        <f>IF('ORDENES'!$A1163="","",IF('ORDENES'!$Z1163="","-",'ORDENES'!$Z1163))</f>
        <v/>
      </c>
      <c r="H1185" s="24">
        <f>IF('ORDENES'!$A1163="","",IF('ORDENES'!$AH1163="","-",'ORDENES'!$AH1163))</f>
        <v/>
      </c>
      <c r="I1185" s="24">
        <f>IF('ORDENES'!$A1163="","",IF('ORDENES'!$AU1163="","-",'ORDENES'!$AU1163))</f>
        <v/>
      </c>
      <c r="J1185" s="24">
        <f>IF('ORDENES'!$A1163="","",IF('ORDENES'!$D1163="","-",'ORDENES'!$D1163))</f>
        <v/>
      </c>
      <c r="K1185" s="24">
        <f>IF('ORDENES'!$A1163="","",IF('ORDENES'!$E1163="","-",'ORDENES'!$E1163))</f>
        <v/>
      </c>
      <c r="L1185" s="26">
        <f>IF('ORDENES'!$A1163="","",IF('ORDENES'!$M1163="",0,'ORDENES'!$M1163))</f>
        <v/>
      </c>
      <c r="M1185" s="24">
        <f>IF('ORDENES'!$A1163="","",IF('ORDENES'!$N1163="","-",'ORDENES'!$N1163))</f>
        <v/>
      </c>
      <c r="N1185" s="24">
        <f>IF('ORDENES'!$A1163="","",'ORDENES'!$AG1163)</f>
        <v/>
      </c>
    </row>
    <row r="1186">
      <c r="A1186" s="24">
        <f>IF('ORDENES'!$A1164="","",IF('ORDENES'!$O1164="","-",'ORDENES'!$O1164))</f>
        <v/>
      </c>
      <c r="B1186" s="24">
        <f>IF('ORDENES'!$A1164="","",IF('ORDENES'!$S1164="","-",'ORDENES'!$S1164))</f>
        <v/>
      </c>
      <c r="C1186" s="24">
        <f>IF('ORDENES'!$A1164="","",IF('ORDENES'!$AI1164="","-",'ORDENES'!$AI1164))</f>
        <v/>
      </c>
      <c r="D1186" s="24">
        <f>IF('ORDENES'!$A1164="","",IF('ORDENES'!$AA1164="","-",'ORDENES'!$AA1164))</f>
        <v/>
      </c>
      <c r="E1186" s="24">
        <f>IF('ORDENES'!$A1164="","",IF('ORDENES'!$Y1164="","-",'ORDENES'!$Y1164))</f>
        <v/>
      </c>
      <c r="F1186" s="24">
        <f>IF('ORDENES'!$A1164="","",IF('ORDENES'!$AB1164="","-",'ORDENES'!$AB1164))</f>
        <v/>
      </c>
      <c r="G1186" s="24">
        <f>IF('ORDENES'!$A1164="","",IF('ORDENES'!$Z1164="","-",'ORDENES'!$Z1164))</f>
        <v/>
      </c>
      <c r="H1186" s="24">
        <f>IF('ORDENES'!$A1164="","",IF('ORDENES'!$AH1164="","-",'ORDENES'!$AH1164))</f>
        <v/>
      </c>
      <c r="I1186" s="24">
        <f>IF('ORDENES'!$A1164="","",IF('ORDENES'!$AU1164="","-",'ORDENES'!$AU1164))</f>
        <v/>
      </c>
      <c r="J1186" s="24">
        <f>IF('ORDENES'!$A1164="","",IF('ORDENES'!$D1164="","-",'ORDENES'!$D1164))</f>
        <v/>
      </c>
      <c r="K1186" s="24">
        <f>IF('ORDENES'!$A1164="","",IF('ORDENES'!$E1164="","-",'ORDENES'!$E1164))</f>
        <v/>
      </c>
      <c r="L1186" s="26">
        <f>IF('ORDENES'!$A1164="","",IF('ORDENES'!$M1164="",0,'ORDENES'!$M1164))</f>
        <v/>
      </c>
      <c r="M1186" s="24">
        <f>IF('ORDENES'!$A1164="","",IF('ORDENES'!$N1164="","-",'ORDENES'!$N1164))</f>
        <v/>
      </c>
      <c r="N1186" s="24">
        <f>IF('ORDENES'!$A1164="","",'ORDENES'!$AG1164)</f>
        <v/>
      </c>
    </row>
    <row r="1187">
      <c r="A1187" s="24">
        <f>IF('ORDENES'!$A1165="","",IF('ORDENES'!$O1165="","-",'ORDENES'!$O1165))</f>
        <v/>
      </c>
      <c r="B1187" s="24">
        <f>IF('ORDENES'!$A1165="","",IF('ORDENES'!$S1165="","-",'ORDENES'!$S1165))</f>
        <v/>
      </c>
      <c r="C1187" s="24">
        <f>IF('ORDENES'!$A1165="","",IF('ORDENES'!$AI1165="","-",'ORDENES'!$AI1165))</f>
        <v/>
      </c>
      <c r="D1187" s="24">
        <f>IF('ORDENES'!$A1165="","",IF('ORDENES'!$AA1165="","-",'ORDENES'!$AA1165))</f>
        <v/>
      </c>
      <c r="E1187" s="24">
        <f>IF('ORDENES'!$A1165="","",IF('ORDENES'!$Y1165="","-",'ORDENES'!$Y1165))</f>
        <v/>
      </c>
      <c r="F1187" s="24">
        <f>IF('ORDENES'!$A1165="","",IF('ORDENES'!$AB1165="","-",'ORDENES'!$AB1165))</f>
        <v/>
      </c>
      <c r="G1187" s="24">
        <f>IF('ORDENES'!$A1165="","",IF('ORDENES'!$Z1165="","-",'ORDENES'!$Z1165))</f>
        <v/>
      </c>
      <c r="H1187" s="24">
        <f>IF('ORDENES'!$A1165="","",IF('ORDENES'!$AH1165="","-",'ORDENES'!$AH1165))</f>
        <v/>
      </c>
      <c r="I1187" s="24">
        <f>IF('ORDENES'!$A1165="","",IF('ORDENES'!$AU1165="","-",'ORDENES'!$AU1165))</f>
        <v/>
      </c>
      <c r="J1187" s="24">
        <f>IF('ORDENES'!$A1165="","",IF('ORDENES'!$D1165="","-",'ORDENES'!$D1165))</f>
        <v/>
      </c>
      <c r="K1187" s="24">
        <f>IF('ORDENES'!$A1165="","",IF('ORDENES'!$E1165="","-",'ORDENES'!$E1165))</f>
        <v/>
      </c>
      <c r="L1187" s="26">
        <f>IF('ORDENES'!$A1165="","",IF('ORDENES'!$M1165="",0,'ORDENES'!$M1165))</f>
        <v/>
      </c>
      <c r="M1187" s="24">
        <f>IF('ORDENES'!$A1165="","",IF('ORDENES'!$N1165="","-",'ORDENES'!$N1165))</f>
        <v/>
      </c>
      <c r="N1187" s="24">
        <f>IF('ORDENES'!$A1165="","",'ORDENES'!$AG1165)</f>
        <v/>
      </c>
    </row>
    <row r="1188">
      <c r="A1188" s="24">
        <f>IF('ORDENES'!$A1166="","",IF('ORDENES'!$O1166="","-",'ORDENES'!$O1166))</f>
        <v/>
      </c>
      <c r="B1188" s="24">
        <f>IF('ORDENES'!$A1166="","",IF('ORDENES'!$S1166="","-",'ORDENES'!$S1166))</f>
        <v/>
      </c>
      <c r="C1188" s="24">
        <f>IF('ORDENES'!$A1166="","",IF('ORDENES'!$AI1166="","-",'ORDENES'!$AI1166))</f>
        <v/>
      </c>
      <c r="D1188" s="24">
        <f>IF('ORDENES'!$A1166="","",IF('ORDENES'!$AA1166="","-",'ORDENES'!$AA1166))</f>
        <v/>
      </c>
      <c r="E1188" s="24">
        <f>IF('ORDENES'!$A1166="","",IF('ORDENES'!$Y1166="","-",'ORDENES'!$Y1166))</f>
        <v/>
      </c>
      <c r="F1188" s="24">
        <f>IF('ORDENES'!$A1166="","",IF('ORDENES'!$AB1166="","-",'ORDENES'!$AB1166))</f>
        <v/>
      </c>
      <c r="G1188" s="24">
        <f>IF('ORDENES'!$A1166="","",IF('ORDENES'!$Z1166="","-",'ORDENES'!$Z1166))</f>
        <v/>
      </c>
      <c r="H1188" s="24">
        <f>IF('ORDENES'!$A1166="","",IF('ORDENES'!$AH1166="","-",'ORDENES'!$AH1166))</f>
        <v/>
      </c>
      <c r="I1188" s="24">
        <f>IF('ORDENES'!$A1166="","",IF('ORDENES'!$AU1166="","-",'ORDENES'!$AU1166))</f>
        <v/>
      </c>
      <c r="J1188" s="24">
        <f>IF('ORDENES'!$A1166="","",IF('ORDENES'!$D1166="","-",'ORDENES'!$D1166))</f>
        <v/>
      </c>
      <c r="K1188" s="24">
        <f>IF('ORDENES'!$A1166="","",IF('ORDENES'!$E1166="","-",'ORDENES'!$E1166))</f>
        <v/>
      </c>
      <c r="L1188" s="26">
        <f>IF('ORDENES'!$A1166="","",IF('ORDENES'!$M1166="",0,'ORDENES'!$M1166))</f>
        <v/>
      </c>
      <c r="M1188" s="24">
        <f>IF('ORDENES'!$A1166="","",IF('ORDENES'!$N1166="","-",'ORDENES'!$N1166))</f>
        <v/>
      </c>
      <c r="N1188" s="24">
        <f>IF('ORDENES'!$A1166="","",'ORDENES'!$AG1166)</f>
        <v/>
      </c>
    </row>
    <row r="1189">
      <c r="A1189" s="24">
        <f>IF('ORDENES'!$A1167="","",IF('ORDENES'!$O1167="","-",'ORDENES'!$O1167))</f>
        <v/>
      </c>
      <c r="B1189" s="24">
        <f>IF('ORDENES'!$A1167="","",IF('ORDENES'!$S1167="","-",'ORDENES'!$S1167))</f>
        <v/>
      </c>
      <c r="C1189" s="24">
        <f>IF('ORDENES'!$A1167="","",IF('ORDENES'!$AI1167="","-",'ORDENES'!$AI1167))</f>
        <v/>
      </c>
      <c r="D1189" s="24">
        <f>IF('ORDENES'!$A1167="","",IF('ORDENES'!$AA1167="","-",'ORDENES'!$AA1167))</f>
        <v/>
      </c>
      <c r="E1189" s="24">
        <f>IF('ORDENES'!$A1167="","",IF('ORDENES'!$Y1167="","-",'ORDENES'!$Y1167))</f>
        <v/>
      </c>
      <c r="F1189" s="24">
        <f>IF('ORDENES'!$A1167="","",IF('ORDENES'!$AB1167="","-",'ORDENES'!$AB1167))</f>
        <v/>
      </c>
      <c r="G1189" s="24">
        <f>IF('ORDENES'!$A1167="","",IF('ORDENES'!$Z1167="","-",'ORDENES'!$Z1167))</f>
        <v/>
      </c>
      <c r="H1189" s="24">
        <f>IF('ORDENES'!$A1167="","",IF('ORDENES'!$AH1167="","-",'ORDENES'!$AH1167))</f>
        <v/>
      </c>
      <c r="I1189" s="24">
        <f>IF('ORDENES'!$A1167="","",IF('ORDENES'!$AU1167="","-",'ORDENES'!$AU1167))</f>
        <v/>
      </c>
      <c r="J1189" s="24">
        <f>IF('ORDENES'!$A1167="","",IF('ORDENES'!$D1167="","-",'ORDENES'!$D1167))</f>
        <v/>
      </c>
      <c r="K1189" s="24">
        <f>IF('ORDENES'!$A1167="","",IF('ORDENES'!$E1167="","-",'ORDENES'!$E1167))</f>
        <v/>
      </c>
      <c r="L1189" s="26">
        <f>IF('ORDENES'!$A1167="","",IF('ORDENES'!$M1167="",0,'ORDENES'!$M1167))</f>
        <v/>
      </c>
      <c r="M1189" s="24">
        <f>IF('ORDENES'!$A1167="","",IF('ORDENES'!$N1167="","-",'ORDENES'!$N1167))</f>
        <v/>
      </c>
      <c r="N1189" s="24">
        <f>IF('ORDENES'!$A1167="","",'ORDENES'!$AG1167)</f>
        <v/>
      </c>
    </row>
    <row r="1190">
      <c r="A1190" s="24">
        <f>IF('ORDENES'!$A1168="","",IF('ORDENES'!$O1168="","-",'ORDENES'!$O1168))</f>
        <v/>
      </c>
      <c r="B1190" s="24">
        <f>IF('ORDENES'!$A1168="","",IF('ORDENES'!$S1168="","-",'ORDENES'!$S1168))</f>
        <v/>
      </c>
      <c r="C1190" s="24">
        <f>IF('ORDENES'!$A1168="","",IF('ORDENES'!$AI1168="","-",'ORDENES'!$AI1168))</f>
        <v/>
      </c>
      <c r="D1190" s="24">
        <f>IF('ORDENES'!$A1168="","",IF('ORDENES'!$AA1168="","-",'ORDENES'!$AA1168))</f>
        <v/>
      </c>
      <c r="E1190" s="24">
        <f>IF('ORDENES'!$A1168="","",IF('ORDENES'!$Y1168="","-",'ORDENES'!$Y1168))</f>
        <v/>
      </c>
      <c r="F1190" s="24">
        <f>IF('ORDENES'!$A1168="","",IF('ORDENES'!$AB1168="","-",'ORDENES'!$AB1168))</f>
        <v/>
      </c>
      <c r="G1190" s="24">
        <f>IF('ORDENES'!$A1168="","",IF('ORDENES'!$Z1168="","-",'ORDENES'!$Z1168))</f>
        <v/>
      </c>
      <c r="H1190" s="24">
        <f>IF('ORDENES'!$A1168="","",IF('ORDENES'!$AH1168="","-",'ORDENES'!$AH1168))</f>
        <v/>
      </c>
      <c r="I1190" s="24">
        <f>IF('ORDENES'!$A1168="","",IF('ORDENES'!$AU1168="","-",'ORDENES'!$AU1168))</f>
        <v/>
      </c>
      <c r="J1190" s="24">
        <f>IF('ORDENES'!$A1168="","",IF('ORDENES'!$D1168="","-",'ORDENES'!$D1168))</f>
        <v/>
      </c>
      <c r="K1190" s="24">
        <f>IF('ORDENES'!$A1168="","",IF('ORDENES'!$E1168="","-",'ORDENES'!$E1168))</f>
        <v/>
      </c>
      <c r="L1190" s="26">
        <f>IF('ORDENES'!$A1168="","",IF('ORDENES'!$M1168="",0,'ORDENES'!$M1168))</f>
        <v/>
      </c>
      <c r="M1190" s="24">
        <f>IF('ORDENES'!$A1168="","",IF('ORDENES'!$N1168="","-",'ORDENES'!$N1168))</f>
        <v/>
      </c>
      <c r="N1190" s="24">
        <f>IF('ORDENES'!$A1168="","",'ORDENES'!$AG1168)</f>
        <v/>
      </c>
    </row>
    <row r="1191">
      <c r="A1191" s="24">
        <f>IF('ORDENES'!$A1169="","",IF('ORDENES'!$O1169="","-",'ORDENES'!$O1169))</f>
        <v/>
      </c>
      <c r="B1191" s="24">
        <f>IF('ORDENES'!$A1169="","",IF('ORDENES'!$S1169="","-",'ORDENES'!$S1169))</f>
        <v/>
      </c>
      <c r="C1191" s="24">
        <f>IF('ORDENES'!$A1169="","",IF('ORDENES'!$AI1169="","-",'ORDENES'!$AI1169))</f>
        <v/>
      </c>
      <c r="D1191" s="24">
        <f>IF('ORDENES'!$A1169="","",IF('ORDENES'!$AA1169="","-",'ORDENES'!$AA1169))</f>
        <v/>
      </c>
      <c r="E1191" s="24">
        <f>IF('ORDENES'!$A1169="","",IF('ORDENES'!$Y1169="","-",'ORDENES'!$Y1169))</f>
        <v/>
      </c>
      <c r="F1191" s="24">
        <f>IF('ORDENES'!$A1169="","",IF('ORDENES'!$AB1169="","-",'ORDENES'!$AB1169))</f>
        <v/>
      </c>
      <c r="G1191" s="24">
        <f>IF('ORDENES'!$A1169="","",IF('ORDENES'!$Z1169="","-",'ORDENES'!$Z1169))</f>
        <v/>
      </c>
      <c r="H1191" s="24">
        <f>IF('ORDENES'!$A1169="","",IF('ORDENES'!$AH1169="","-",'ORDENES'!$AH1169))</f>
        <v/>
      </c>
      <c r="I1191" s="24">
        <f>IF('ORDENES'!$A1169="","",IF('ORDENES'!$AU1169="","-",'ORDENES'!$AU1169))</f>
        <v/>
      </c>
      <c r="J1191" s="24">
        <f>IF('ORDENES'!$A1169="","",IF('ORDENES'!$D1169="","-",'ORDENES'!$D1169))</f>
        <v/>
      </c>
      <c r="K1191" s="24">
        <f>IF('ORDENES'!$A1169="","",IF('ORDENES'!$E1169="","-",'ORDENES'!$E1169))</f>
        <v/>
      </c>
      <c r="L1191" s="26">
        <f>IF('ORDENES'!$A1169="","",IF('ORDENES'!$M1169="",0,'ORDENES'!$M1169))</f>
        <v/>
      </c>
      <c r="M1191" s="24">
        <f>IF('ORDENES'!$A1169="","",IF('ORDENES'!$N1169="","-",'ORDENES'!$N1169))</f>
        <v/>
      </c>
      <c r="N1191" s="24">
        <f>IF('ORDENES'!$A1169="","",'ORDENES'!$AG1169)</f>
        <v/>
      </c>
    </row>
    <row r="1192">
      <c r="A1192" s="24">
        <f>IF('ORDENES'!$A1170="","",IF('ORDENES'!$O1170="","-",'ORDENES'!$O1170))</f>
        <v/>
      </c>
      <c r="B1192" s="24">
        <f>IF('ORDENES'!$A1170="","",IF('ORDENES'!$S1170="","-",'ORDENES'!$S1170))</f>
        <v/>
      </c>
      <c r="C1192" s="24">
        <f>IF('ORDENES'!$A1170="","",IF('ORDENES'!$AI1170="","-",'ORDENES'!$AI1170))</f>
        <v/>
      </c>
      <c r="D1192" s="24">
        <f>IF('ORDENES'!$A1170="","",IF('ORDENES'!$AA1170="","-",'ORDENES'!$AA1170))</f>
        <v/>
      </c>
      <c r="E1192" s="24">
        <f>IF('ORDENES'!$A1170="","",IF('ORDENES'!$Y1170="","-",'ORDENES'!$Y1170))</f>
        <v/>
      </c>
      <c r="F1192" s="24">
        <f>IF('ORDENES'!$A1170="","",IF('ORDENES'!$AB1170="","-",'ORDENES'!$AB1170))</f>
        <v/>
      </c>
      <c r="G1192" s="24">
        <f>IF('ORDENES'!$A1170="","",IF('ORDENES'!$Z1170="","-",'ORDENES'!$Z1170))</f>
        <v/>
      </c>
      <c r="H1192" s="24">
        <f>IF('ORDENES'!$A1170="","",IF('ORDENES'!$AH1170="","-",'ORDENES'!$AH1170))</f>
        <v/>
      </c>
      <c r="I1192" s="24">
        <f>IF('ORDENES'!$A1170="","",IF('ORDENES'!$AU1170="","-",'ORDENES'!$AU1170))</f>
        <v/>
      </c>
      <c r="J1192" s="24">
        <f>IF('ORDENES'!$A1170="","",IF('ORDENES'!$D1170="","-",'ORDENES'!$D1170))</f>
        <v/>
      </c>
      <c r="K1192" s="24">
        <f>IF('ORDENES'!$A1170="","",IF('ORDENES'!$E1170="","-",'ORDENES'!$E1170))</f>
        <v/>
      </c>
      <c r="L1192" s="26">
        <f>IF('ORDENES'!$A1170="","",IF('ORDENES'!$M1170="",0,'ORDENES'!$M1170))</f>
        <v/>
      </c>
      <c r="M1192" s="24">
        <f>IF('ORDENES'!$A1170="","",IF('ORDENES'!$N1170="","-",'ORDENES'!$N1170))</f>
        <v/>
      </c>
      <c r="N1192" s="24">
        <f>IF('ORDENES'!$A1170="","",'ORDENES'!$AG1170)</f>
        <v/>
      </c>
    </row>
    <row r="1193">
      <c r="A1193" s="24">
        <f>IF('ORDENES'!$A1171="","",IF('ORDENES'!$O1171="","-",'ORDENES'!$O1171))</f>
        <v/>
      </c>
      <c r="B1193" s="24">
        <f>IF('ORDENES'!$A1171="","",IF('ORDENES'!$S1171="","-",'ORDENES'!$S1171))</f>
        <v/>
      </c>
      <c r="C1193" s="24">
        <f>IF('ORDENES'!$A1171="","",IF('ORDENES'!$AI1171="","-",'ORDENES'!$AI1171))</f>
        <v/>
      </c>
      <c r="D1193" s="24">
        <f>IF('ORDENES'!$A1171="","",IF('ORDENES'!$AA1171="","-",'ORDENES'!$AA1171))</f>
        <v/>
      </c>
      <c r="E1193" s="24">
        <f>IF('ORDENES'!$A1171="","",IF('ORDENES'!$Y1171="","-",'ORDENES'!$Y1171))</f>
        <v/>
      </c>
      <c r="F1193" s="24">
        <f>IF('ORDENES'!$A1171="","",IF('ORDENES'!$AB1171="","-",'ORDENES'!$AB1171))</f>
        <v/>
      </c>
      <c r="G1193" s="24">
        <f>IF('ORDENES'!$A1171="","",IF('ORDENES'!$Z1171="","-",'ORDENES'!$Z1171))</f>
        <v/>
      </c>
      <c r="H1193" s="24">
        <f>IF('ORDENES'!$A1171="","",IF('ORDENES'!$AH1171="","-",'ORDENES'!$AH1171))</f>
        <v/>
      </c>
      <c r="I1193" s="24">
        <f>IF('ORDENES'!$A1171="","",IF('ORDENES'!$AU1171="","-",'ORDENES'!$AU1171))</f>
        <v/>
      </c>
      <c r="J1193" s="24">
        <f>IF('ORDENES'!$A1171="","",IF('ORDENES'!$D1171="","-",'ORDENES'!$D1171))</f>
        <v/>
      </c>
      <c r="K1193" s="24">
        <f>IF('ORDENES'!$A1171="","",IF('ORDENES'!$E1171="","-",'ORDENES'!$E1171))</f>
        <v/>
      </c>
      <c r="L1193" s="26">
        <f>IF('ORDENES'!$A1171="","",IF('ORDENES'!$M1171="",0,'ORDENES'!$M1171))</f>
        <v/>
      </c>
      <c r="M1193" s="24">
        <f>IF('ORDENES'!$A1171="","",IF('ORDENES'!$N1171="","-",'ORDENES'!$N1171))</f>
        <v/>
      </c>
      <c r="N1193" s="24">
        <f>IF('ORDENES'!$A1171="","",'ORDENES'!$AG1171)</f>
        <v/>
      </c>
    </row>
    <row r="1194">
      <c r="A1194" s="24">
        <f>IF('ORDENES'!$A1172="","",IF('ORDENES'!$O1172="","-",'ORDENES'!$O1172))</f>
        <v/>
      </c>
      <c r="B1194" s="24">
        <f>IF('ORDENES'!$A1172="","",IF('ORDENES'!$S1172="","-",'ORDENES'!$S1172))</f>
        <v/>
      </c>
      <c r="C1194" s="24">
        <f>IF('ORDENES'!$A1172="","",IF('ORDENES'!$AI1172="","-",'ORDENES'!$AI1172))</f>
        <v/>
      </c>
      <c r="D1194" s="24">
        <f>IF('ORDENES'!$A1172="","",IF('ORDENES'!$AA1172="","-",'ORDENES'!$AA1172))</f>
        <v/>
      </c>
      <c r="E1194" s="24">
        <f>IF('ORDENES'!$A1172="","",IF('ORDENES'!$Y1172="","-",'ORDENES'!$Y1172))</f>
        <v/>
      </c>
      <c r="F1194" s="24">
        <f>IF('ORDENES'!$A1172="","",IF('ORDENES'!$AB1172="","-",'ORDENES'!$AB1172))</f>
        <v/>
      </c>
      <c r="G1194" s="24">
        <f>IF('ORDENES'!$A1172="","",IF('ORDENES'!$Z1172="","-",'ORDENES'!$Z1172))</f>
        <v/>
      </c>
      <c r="H1194" s="24">
        <f>IF('ORDENES'!$A1172="","",IF('ORDENES'!$AH1172="","-",'ORDENES'!$AH1172))</f>
        <v/>
      </c>
      <c r="I1194" s="24">
        <f>IF('ORDENES'!$A1172="","",IF('ORDENES'!$AU1172="","-",'ORDENES'!$AU1172))</f>
        <v/>
      </c>
      <c r="J1194" s="24">
        <f>IF('ORDENES'!$A1172="","",IF('ORDENES'!$D1172="","-",'ORDENES'!$D1172))</f>
        <v/>
      </c>
      <c r="K1194" s="24">
        <f>IF('ORDENES'!$A1172="","",IF('ORDENES'!$E1172="","-",'ORDENES'!$E1172))</f>
        <v/>
      </c>
      <c r="L1194" s="26">
        <f>IF('ORDENES'!$A1172="","",IF('ORDENES'!$M1172="",0,'ORDENES'!$M1172))</f>
        <v/>
      </c>
      <c r="M1194" s="24">
        <f>IF('ORDENES'!$A1172="","",IF('ORDENES'!$N1172="","-",'ORDENES'!$N1172))</f>
        <v/>
      </c>
      <c r="N1194" s="24">
        <f>IF('ORDENES'!$A1172="","",'ORDENES'!$AG1172)</f>
        <v/>
      </c>
    </row>
    <row r="1195">
      <c r="A1195" s="24">
        <f>IF('ORDENES'!$A1173="","",IF('ORDENES'!$O1173="","-",'ORDENES'!$O1173))</f>
        <v/>
      </c>
      <c r="B1195" s="24">
        <f>IF('ORDENES'!$A1173="","",IF('ORDENES'!$S1173="","-",'ORDENES'!$S1173))</f>
        <v/>
      </c>
      <c r="C1195" s="24">
        <f>IF('ORDENES'!$A1173="","",IF('ORDENES'!$AI1173="","-",'ORDENES'!$AI1173))</f>
        <v/>
      </c>
      <c r="D1195" s="24">
        <f>IF('ORDENES'!$A1173="","",IF('ORDENES'!$AA1173="","-",'ORDENES'!$AA1173))</f>
        <v/>
      </c>
      <c r="E1195" s="24">
        <f>IF('ORDENES'!$A1173="","",IF('ORDENES'!$Y1173="","-",'ORDENES'!$Y1173))</f>
        <v/>
      </c>
      <c r="F1195" s="24">
        <f>IF('ORDENES'!$A1173="","",IF('ORDENES'!$AB1173="","-",'ORDENES'!$AB1173))</f>
        <v/>
      </c>
      <c r="G1195" s="24">
        <f>IF('ORDENES'!$A1173="","",IF('ORDENES'!$Z1173="","-",'ORDENES'!$Z1173))</f>
        <v/>
      </c>
      <c r="H1195" s="24">
        <f>IF('ORDENES'!$A1173="","",IF('ORDENES'!$AH1173="","-",'ORDENES'!$AH1173))</f>
        <v/>
      </c>
      <c r="I1195" s="24">
        <f>IF('ORDENES'!$A1173="","",IF('ORDENES'!$AU1173="","-",'ORDENES'!$AU1173))</f>
        <v/>
      </c>
      <c r="J1195" s="24">
        <f>IF('ORDENES'!$A1173="","",IF('ORDENES'!$D1173="","-",'ORDENES'!$D1173))</f>
        <v/>
      </c>
      <c r="K1195" s="24">
        <f>IF('ORDENES'!$A1173="","",IF('ORDENES'!$E1173="","-",'ORDENES'!$E1173))</f>
        <v/>
      </c>
      <c r="L1195" s="26">
        <f>IF('ORDENES'!$A1173="","",IF('ORDENES'!$M1173="",0,'ORDENES'!$M1173))</f>
        <v/>
      </c>
      <c r="M1195" s="24">
        <f>IF('ORDENES'!$A1173="","",IF('ORDENES'!$N1173="","-",'ORDENES'!$N1173))</f>
        <v/>
      </c>
      <c r="N1195" s="24">
        <f>IF('ORDENES'!$A1173="","",'ORDENES'!$AG1173)</f>
        <v/>
      </c>
    </row>
    <row r="1196">
      <c r="A1196" s="24">
        <f>IF('ORDENES'!$A1174="","",IF('ORDENES'!$O1174="","-",'ORDENES'!$O1174))</f>
        <v/>
      </c>
      <c r="B1196" s="24">
        <f>IF('ORDENES'!$A1174="","",IF('ORDENES'!$S1174="","-",'ORDENES'!$S1174))</f>
        <v/>
      </c>
      <c r="C1196" s="24">
        <f>IF('ORDENES'!$A1174="","",IF('ORDENES'!$AI1174="","-",'ORDENES'!$AI1174))</f>
        <v/>
      </c>
      <c r="D1196" s="24">
        <f>IF('ORDENES'!$A1174="","",IF('ORDENES'!$AA1174="","-",'ORDENES'!$AA1174))</f>
        <v/>
      </c>
      <c r="E1196" s="24">
        <f>IF('ORDENES'!$A1174="","",IF('ORDENES'!$Y1174="","-",'ORDENES'!$Y1174))</f>
        <v/>
      </c>
      <c r="F1196" s="24">
        <f>IF('ORDENES'!$A1174="","",IF('ORDENES'!$AB1174="","-",'ORDENES'!$AB1174))</f>
        <v/>
      </c>
      <c r="G1196" s="24">
        <f>IF('ORDENES'!$A1174="","",IF('ORDENES'!$Z1174="","-",'ORDENES'!$Z1174))</f>
        <v/>
      </c>
      <c r="H1196" s="24">
        <f>IF('ORDENES'!$A1174="","",IF('ORDENES'!$AH1174="","-",'ORDENES'!$AH1174))</f>
        <v/>
      </c>
      <c r="I1196" s="24">
        <f>IF('ORDENES'!$A1174="","",IF('ORDENES'!$AU1174="","-",'ORDENES'!$AU1174))</f>
        <v/>
      </c>
      <c r="J1196" s="24">
        <f>IF('ORDENES'!$A1174="","",IF('ORDENES'!$D1174="","-",'ORDENES'!$D1174))</f>
        <v/>
      </c>
      <c r="K1196" s="24">
        <f>IF('ORDENES'!$A1174="","",IF('ORDENES'!$E1174="","-",'ORDENES'!$E1174))</f>
        <v/>
      </c>
      <c r="L1196" s="26">
        <f>IF('ORDENES'!$A1174="","",IF('ORDENES'!$M1174="",0,'ORDENES'!$M1174))</f>
        <v/>
      </c>
      <c r="M1196" s="24">
        <f>IF('ORDENES'!$A1174="","",IF('ORDENES'!$N1174="","-",'ORDENES'!$N1174))</f>
        <v/>
      </c>
      <c r="N1196" s="24">
        <f>IF('ORDENES'!$A1174="","",'ORDENES'!$AG1174)</f>
        <v/>
      </c>
    </row>
    <row r="1197">
      <c r="A1197" s="24">
        <f>IF('ORDENES'!$A1175="","",IF('ORDENES'!$O1175="","-",'ORDENES'!$O1175))</f>
        <v/>
      </c>
      <c r="B1197" s="24">
        <f>IF('ORDENES'!$A1175="","",IF('ORDENES'!$S1175="","-",'ORDENES'!$S1175))</f>
        <v/>
      </c>
      <c r="C1197" s="24">
        <f>IF('ORDENES'!$A1175="","",IF('ORDENES'!$AI1175="","-",'ORDENES'!$AI1175))</f>
        <v/>
      </c>
      <c r="D1197" s="24">
        <f>IF('ORDENES'!$A1175="","",IF('ORDENES'!$AA1175="","-",'ORDENES'!$AA1175))</f>
        <v/>
      </c>
      <c r="E1197" s="24">
        <f>IF('ORDENES'!$A1175="","",IF('ORDENES'!$Y1175="","-",'ORDENES'!$Y1175))</f>
        <v/>
      </c>
      <c r="F1197" s="24">
        <f>IF('ORDENES'!$A1175="","",IF('ORDENES'!$AB1175="","-",'ORDENES'!$AB1175))</f>
        <v/>
      </c>
      <c r="G1197" s="24">
        <f>IF('ORDENES'!$A1175="","",IF('ORDENES'!$Z1175="","-",'ORDENES'!$Z1175))</f>
        <v/>
      </c>
      <c r="H1197" s="24">
        <f>IF('ORDENES'!$A1175="","",IF('ORDENES'!$AH1175="","-",'ORDENES'!$AH1175))</f>
        <v/>
      </c>
      <c r="I1197" s="24">
        <f>IF('ORDENES'!$A1175="","",IF('ORDENES'!$AU1175="","-",'ORDENES'!$AU1175))</f>
        <v/>
      </c>
      <c r="J1197" s="24">
        <f>IF('ORDENES'!$A1175="","",IF('ORDENES'!$D1175="","-",'ORDENES'!$D1175))</f>
        <v/>
      </c>
      <c r="K1197" s="24">
        <f>IF('ORDENES'!$A1175="","",IF('ORDENES'!$E1175="","-",'ORDENES'!$E1175))</f>
        <v/>
      </c>
      <c r="L1197" s="26">
        <f>IF('ORDENES'!$A1175="","",IF('ORDENES'!$M1175="",0,'ORDENES'!$M1175))</f>
        <v/>
      </c>
      <c r="M1197" s="24">
        <f>IF('ORDENES'!$A1175="","",IF('ORDENES'!$N1175="","-",'ORDENES'!$N1175))</f>
        <v/>
      </c>
      <c r="N1197" s="24">
        <f>IF('ORDENES'!$A1175="","",'ORDENES'!$AG1175)</f>
        <v/>
      </c>
    </row>
    <row r="1198">
      <c r="A1198" s="24">
        <f>IF('ORDENES'!$A1176="","",IF('ORDENES'!$O1176="","-",'ORDENES'!$O1176))</f>
        <v/>
      </c>
      <c r="B1198" s="24">
        <f>IF('ORDENES'!$A1176="","",IF('ORDENES'!$S1176="","-",'ORDENES'!$S1176))</f>
        <v/>
      </c>
      <c r="C1198" s="24">
        <f>IF('ORDENES'!$A1176="","",IF('ORDENES'!$AI1176="","-",'ORDENES'!$AI1176))</f>
        <v/>
      </c>
      <c r="D1198" s="24">
        <f>IF('ORDENES'!$A1176="","",IF('ORDENES'!$AA1176="","-",'ORDENES'!$AA1176))</f>
        <v/>
      </c>
      <c r="E1198" s="24">
        <f>IF('ORDENES'!$A1176="","",IF('ORDENES'!$Y1176="","-",'ORDENES'!$Y1176))</f>
        <v/>
      </c>
      <c r="F1198" s="24">
        <f>IF('ORDENES'!$A1176="","",IF('ORDENES'!$AB1176="","-",'ORDENES'!$AB1176))</f>
        <v/>
      </c>
      <c r="G1198" s="24">
        <f>IF('ORDENES'!$A1176="","",IF('ORDENES'!$Z1176="","-",'ORDENES'!$Z1176))</f>
        <v/>
      </c>
      <c r="H1198" s="24">
        <f>IF('ORDENES'!$A1176="","",IF('ORDENES'!$AH1176="","-",'ORDENES'!$AH1176))</f>
        <v/>
      </c>
      <c r="I1198" s="24">
        <f>IF('ORDENES'!$A1176="","",IF('ORDENES'!$AU1176="","-",'ORDENES'!$AU1176))</f>
        <v/>
      </c>
      <c r="J1198" s="24">
        <f>IF('ORDENES'!$A1176="","",IF('ORDENES'!$D1176="","-",'ORDENES'!$D1176))</f>
        <v/>
      </c>
      <c r="K1198" s="24">
        <f>IF('ORDENES'!$A1176="","",IF('ORDENES'!$E1176="","-",'ORDENES'!$E1176))</f>
        <v/>
      </c>
      <c r="L1198" s="26">
        <f>IF('ORDENES'!$A1176="","",IF('ORDENES'!$M1176="",0,'ORDENES'!$M1176))</f>
        <v/>
      </c>
      <c r="M1198" s="24">
        <f>IF('ORDENES'!$A1176="","",IF('ORDENES'!$N1176="","-",'ORDENES'!$N1176))</f>
        <v/>
      </c>
      <c r="N1198" s="24">
        <f>IF('ORDENES'!$A1176="","",'ORDENES'!$AG1176)</f>
        <v/>
      </c>
    </row>
    <row r="1199">
      <c r="A1199" s="24">
        <f>IF('ORDENES'!$A1177="","",IF('ORDENES'!$O1177="","-",'ORDENES'!$O1177))</f>
        <v/>
      </c>
      <c r="B1199" s="24">
        <f>IF('ORDENES'!$A1177="","",IF('ORDENES'!$S1177="","-",'ORDENES'!$S1177))</f>
        <v/>
      </c>
      <c r="C1199" s="24">
        <f>IF('ORDENES'!$A1177="","",IF('ORDENES'!$AI1177="","-",'ORDENES'!$AI1177))</f>
        <v/>
      </c>
      <c r="D1199" s="24">
        <f>IF('ORDENES'!$A1177="","",IF('ORDENES'!$AA1177="","-",'ORDENES'!$AA1177))</f>
        <v/>
      </c>
      <c r="E1199" s="24">
        <f>IF('ORDENES'!$A1177="","",IF('ORDENES'!$Y1177="","-",'ORDENES'!$Y1177))</f>
        <v/>
      </c>
      <c r="F1199" s="24">
        <f>IF('ORDENES'!$A1177="","",IF('ORDENES'!$AB1177="","-",'ORDENES'!$AB1177))</f>
        <v/>
      </c>
      <c r="G1199" s="24">
        <f>IF('ORDENES'!$A1177="","",IF('ORDENES'!$Z1177="","-",'ORDENES'!$Z1177))</f>
        <v/>
      </c>
      <c r="H1199" s="24">
        <f>IF('ORDENES'!$A1177="","",IF('ORDENES'!$AH1177="","-",'ORDENES'!$AH1177))</f>
        <v/>
      </c>
      <c r="I1199" s="24">
        <f>IF('ORDENES'!$A1177="","",IF('ORDENES'!$AU1177="","-",'ORDENES'!$AU1177))</f>
        <v/>
      </c>
      <c r="J1199" s="24">
        <f>IF('ORDENES'!$A1177="","",IF('ORDENES'!$D1177="","-",'ORDENES'!$D1177))</f>
        <v/>
      </c>
      <c r="K1199" s="24">
        <f>IF('ORDENES'!$A1177="","",IF('ORDENES'!$E1177="","-",'ORDENES'!$E1177))</f>
        <v/>
      </c>
      <c r="L1199" s="26">
        <f>IF('ORDENES'!$A1177="","",IF('ORDENES'!$M1177="",0,'ORDENES'!$M1177))</f>
        <v/>
      </c>
      <c r="M1199" s="24">
        <f>IF('ORDENES'!$A1177="","",IF('ORDENES'!$N1177="","-",'ORDENES'!$N1177))</f>
        <v/>
      </c>
      <c r="N1199" s="24">
        <f>IF('ORDENES'!$A1177="","",'ORDENES'!$AG1177)</f>
        <v/>
      </c>
    </row>
    <row r="1200">
      <c r="A1200" s="24">
        <f>IF('ORDENES'!$A1178="","",IF('ORDENES'!$O1178="","-",'ORDENES'!$O1178))</f>
        <v/>
      </c>
      <c r="B1200" s="24">
        <f>IF('ORDENES'!$A1178="","",IF('ORDENES'!$S1178="","-",'ORDENES'!$S1178))</f>
        <v/>
      </c>
      <c r="C1200" s="24">
        <f>IF('ORDENES'!$A1178="","",IF('ORDENES'!$AI1178="","-",'ORDENES'!$AI1178))</f>
        <v/>
      </c>
      <c r="D1200" s="24">
        <f>IF('ORDENES'!$A1178="","",IF('ORDENES'!$AA1178="","-",'ORDENES'!$AA1178))</f>
        <v/>
      </c>
      <c r="E1200" s="24">
        <f>IF('ORDENES'!$A1178="","",IF('ORDENES'!$Y1178="","-",'ORDENES'!$Y1178))</f>
        <v/>
      </c>
      <c r="F1200" s="24">
        <f>IF('ORDENES'!$A1178="","",IF('ORDENES'!$AB1178="","-",'ORDENES'!$AB1178))</f>
        <v/>
      </c>
      <c r="G1200" s="24">
        <f>IF('ORDENES'!$A1178="","",IF('ORDENES'!$Z1178="","-",'ORDENES'!$Z1178))</f>
        <v/>
      </c>
      <c r="H1200" s="24">
        <f>IF('ORDENES'!$A1178="","",IF('ORDENES'!$AH1178="","-",'ORDENES'!$AH1178))</f>
        <v/>
      </c>
      <c r="I1200" s="24">
        <f>IF('ORDENES'!$A1178="","",IF('ORDENES'!$AU1178="","-",'ORDENES'!$AU1178))</f>
        <v/>
      </c>
      <c r="J1200" s="24">
        <f>IF('ORDENES'!$A1178="","",IF('ORDENES'!$D1178="","-",'ORDENES'!$D1178))</f>
        <v/>
      </c>
      <c r="K1200" s="24">
        <f>IF('ORDENES'!$A1178="","",IF('ORDENES'!$E1178="","-",'ORDENES'!$E1178))</f>
        <v/>
      </c>
      <c r="L1200" s="26">
        <f>IF('ORDENES'!$A1178="","",IF('ORDENES'!$M1178="",0,'ORDENES'!$M1178))</f>
        <v/>
      </c>
      <c r="M1200" s="24">
        <f>IF('ORDENES'!$A1178="","",IF('ORDENES'!$N1178="","-",'ORDENES'!$N1178))</f>
        <v/>
      </c>
      <c r="N1200" s="24">
        <f>IF('ORDENES'!$A1178="","",'ORDENES'!$AG1178)</f>
        <v/>
      </c>
    </row>
    <row r="1201">
      <c r="A1201" s="24">
        <f>IF('ORDENES'!$A1179="","",IF('ORDENES'!$O1179="","-",'ORDENES'!$O1179))</f>
        <v/>
      </c>
      <c r="B1201" s="24">
        <f>IF('ORDENES'!$A1179="","",IF('ORDENES'!$S1179="","-",'ORDENES'!$S1179))</f>
        <v/>
      </c>
      <c r="C1201" s="24">
        <f>IF('ORDENES'!$A1179="","",IF('ORDENES'!$AI1179="","-",'ORDENES'!$AI1179))</f>
        <v/>
      </c>
      <c r="D1201" s="24">
        <f>IF('ORDENES'!$A1179="","",IF('ORDENES'!$AA1179="","-",'ORDENES'!$AA1179))</f>
        <v/>
      </c>
      <c r="E1201" s="24">
        <f>IF('ORDENES'!$A1179="","",IF('ORDENES'!$Y1179="","-",'ORDENES'!$Y1179))</f>
        <v/>
      </c>
      <c r="F1201" s="24">
        <f>IF('ORDENES'!$A1179="","",IF('ORDENES'!$AB1179="","-",'ORDENES'!$AB1179))</f>
        <v/>
      </c>
      <c r="G1201" s="24">
        <f>IF('ORDENES'!$A1179="","",IF('ORDENES'!$Z1179="","-",'ORDENES'!$Z1179))</f>
        <v/>
      </c>
      <c r="H1201" s="24">
        <f>IF('ORDENES'!$A1179="","",IF('ORDENES'!$AH1179="","-",'ORDENES'!$AH1179))</f>
        <v/>
      </c>
      <c r="I1201" s="24">
        <f>IF('ORDENES'!$A1179="","",IF('ORDENES'!$AU1179="","-",'ORDENES'!$AU1179))</f>
        <v/>
      </c>
      <c r="J1201" s="24">
        <f>IF('ORDENES'!$A1179="","",IF('ORDENES'!$D1179="","-",'ORDENES'!$D1179))</f>
        <v/>
      </c>
      <c r="K1201" s="24">
        <f>IF('ORDENES'!$A1179="","",IF('ORDENES'!$E1179="","-",'ORDENES'!$E1179))</f>
        <v/>
      </c>
      <c r="L1201" s="26">
        <f>IF('ORDENES'!$A1179="","",IF('ORDENES'!$M1179="",0,'ORDENES'!$M1179))</f>
        <v/>
      </c>
      <c r="M1201" s="24">
        <f>IF('ORDENES'!$A1179="","",IF('ORDENES'!$N1179="","-",'ORDENES'!$N1179))</f>
        <v/>
      </c>
      <c r="N1201" s="24">
        <f>IF('ORDENES'!$A1179="","",'ORDENES'!$AG1179)</f>
        <v/>
      </c>
    </row>
    <row r="1202">
      <c r="A1202" s="24">
        <f>IF('ORDENES'!$A1180="","",IF('ORDENES'!$O1180="","-",'ORDENES'!$O1180))</f>
        <v/>
      </c>
      <c r="B1202" s="24">
        <f>IF('ORDENES'!$A1180="","",IF('ORDENES'!$S1180="","-",'ORDENES'!$S1180))</f>
        <v/>
      </c>
      <c r="C1202" s="24">
        <f>IF('ORDENES'!$A1180="","",IF('ORDENES'!$AI1180="","-",'ORDENES'!$AI1180))</f>
        <v/>
      </c>
      <c r="D1202" s="24">
        <f>IF('ORDENES'!$A1180="","",IF('ORDENES'!$AA1180="","-",'ORDENES'!$AA1180))</f>
        <v/>
      </c>
      <c r="E1202" s="24">
        <f>IF('ORDENES'!$A1180="","",IF('ORDENES'!$Y1180="","-",'ORDENES'!$Y1180))</f>
        <v/>
      </c>
      <c r="F1202" s="24">
        <f>IF('ORDENES'!$A1180="","",IF('ORDENES'!$AB1180="","-",'ORDENES'!$AB1180))</f>
        <v/>
      </c>
      <c r="G1202" s="24">
        <f>IF('ORDENES'!$A1180="","",IF('ORDENES'!$Z1180="","-",'ORDENES'!$Z1180))</f>
        <v/>
      </c>
      <c r="H1202" s="24">
        <f>IF('ORDENES'!$A1180="","",IF('ORDENES'!$AH1180="","-",'ORDENES'!$AH1180))</f>
        <v/>
      </c>
      <c r="I1202" s="24">
        <f>IF('ORDENES'!$A1180="","",IF('ORDENES'!$AU1180="","-",'ORDENES'!$AU1180))</f>
        <v/>
      </c>
      <c r="J1202" s="24">
        <f>IF('ORDENES'!$A1180="","",IF('ORDENES'!$D1180="","-",'ORDENES'!$D1180))</f>
        <v/>
      </c>
      <c r="K1202" s="24">
        <f>IF('ORDENES'!$A1180="","",IF('ORDENES'!$E1180="","-",'ORDENES'!$E1180))</f>
        <v/>
      </c>
      <c r="L1202" s="26">
        <f>IF('ORDENES'!$A1180="","",IF('ORDENES'!$M1180="",0,'ORDENES'!$M1180))</f>
        <v/>
      </c>
      <c r="M1202" s="24">
        <f>IF('ORDENES'!$A1180="","",IF('ORDENES'!$N1180="","-",'ORDENES'!$N1180))</f>
        <v/>
      </c>
      <c r="N1202" s="24">
        <f>IF('ORDENES'!$A1180="","",'ORDENES'!$AG1180)</f>
        <v/>
      </c>
    </row>
    <row r="1203">
      <c r="A1203" s="24">
        <f>IF('ORDENES'!$A1181="","",IF('ORDENES'!$O1181="","-",'ORDENES'!$O1181))</f>
        <v/>
      </c>
      <c r="B1203" s="24">
        <f>IF('ORDENES'!$A1181="","",IF('ORDENES'!$S1181="","-",'ORDENES'!$S1181))</f>
        <v/>
      </c>
      <c r="C1203" s="24">
        <f>IF('ORDENES'!$A1181="","",IF('ORDENES'!$AI1181="","-",'ORDENES'!$AI1181))</f>
        <v/>
      </c>
      <c r="D1203" s="24">
        <f>IF('ORDENES'!$A1181="","",IF('ORDENES'!$AA1181="","-",'ORDENES'!$AA1181))</f>
        <v/>
      </c>
      <c r="E1203" s="24">
        <f>IF('ORDENES'!$A1181="","",IF('ORDENES'!$Y1181="","-",'ORDENES'!$Y1181))</f>
        <v/>
      </c>
      <c r="F1203" s="24">
        <f>IF('ORDENES'!$A1181="","",IF('ORDENES'!$AB1181="","-",'ORDENES'!$AB1181))</f>
        <v/>
      </c>
      <c r="G1203" s="24">
        <f>IF('ORDENES'!$A1181="","",IF('ORDENES'!$Z1181="","-",'ORDENES'!$Z1181))</f>
        <v/>
      </c>
      <c r="H1203" s="24">
        <f>IF('ORDENES'!$A1181="","",IF('ORDENES'!$AH1181="","-",'ORDENES'!$AH1181))</f>
        <v/>
      </c>
      <c r="I1203" s="24">
        <f>IF('ORDENES'!$A1181="","",IF('ORDENES'!$AU1181="","-",'ORDENES'!$AU1181))</f>
        <v/>
      </c>
      <c r="J1203" s="24">
        <f>IF('ORDENES'!$A1181="","",IF('ORDENES'!$D1181="","-",'ORDENES'!$D1181))</f>
        <v/>
      </c>
      <c r="K1203" s="24">
        <f>IF('ORDENES'!$A1181="","",IF('ORDENES'!$E1181="","-",'ORDENES'!$E1181))</f>
        <v/>
      </c>
      <c r="L1203" s="26">
        <f>IF('ORDENES'!$A1181="","",IF('ORDENES'!$M1181="",0,'ORDENES'!$M1181))</f>
        <v/>
      </c>
      <c r="M1203" s="24">
        <f>IF('ORDENES'!$A1181="","",IF('ORDENES'!$N1181="","-",'ORDENES'!$N1181))</f>
        <v/>
      </c>
      <c r="N1203" s="24">
        <f>IF('ORDENES'!$A1181="","",'ORDENES'!$AG1181)</f>
        <v/>
      </c>
    </row>
    <row r="1204">
      <c r="A1204" s="24">
        <f>IF('ORDENES'!$A1182="","",IF('ORDENES'!$O1182="","-",'ORDENES'!$O1182))</f>
        <v/>
      </c>
      <c r="B1204" s="24">
        <f>IF('ORDENES'!$A1182="","",IF('ORDENES'!$S1182="","-",'ORDENES'!$S1182))</f>
        <v/>
      </c>
      <c r="C1204" s="24">
        <f>IF('ORDENES'!$A1182="","",IF('ORDENES'!$AI1182="","-",'ORDENES'!$AI1182))</f>
        <v/>
      </c>
      <c r="D1204" s="24">
        <f>IF('ORDENES'!$A1182="","",IF('ORDENES'!$AA1182="","-",'ORDENES'!$AA1182))</f>
        <v/>
      </c>
      <c r="E1204" s="24">
        <f>IF('ORDENES'!$A1182="","",IF('ORDENES'!$Y1182="","-",'ORDENES'!$Y1182))</f>
        <v/>
      </c>
      <c r="F1204" s="24">
        <f>IF('ORDENES'!$A1182="","",IF('ORDENES'!$AB1182="","-",'ORDENES'!$AB1182))</f>
        <v/>
      </c>
      <c r="G1204" s="24">
        <f>IF('ORDENES'!$A1182="","",IF('ORDENES'!$Z1182="","-",'ORDENES'!$Z1182))</f>
        <v/>
      </c>
      <c r="H1204" s="24">
        <f>IF('ORDENES'!$A1182="","",IF('ORDENES'!$AH1182="","-",'ORDENES'!$AH1182))</f>
        <v/>
      </c>
      <c r="I1204" s="24">
        <f>IF('ORDENES'!$A1182="","",IF('ORDENES'!$AU1182="","-",'ORDENES'!$AU1182))</f>
        <v/>
      </c>
      <c r="J1204" s="24">
        <f>IF('ORDENES'!$A1182="","",IF('ORDENES'!$D1182="","-",'ORDENES'!$D1182))</f>
        <v/>
      </c>
      <c r="K1204" s="24">
        <f>IF('ORDENES'!$A1182="","",IF('ORDENES'!$E1182="","-",'ORDENES'!$E1182))</f>
        <v/>
      </c>
      <c r="L1204" s="26">
        <f>IF('ORDENES'!$A1182="","",IF('ORDENES'!$M1182="",0,'ORDENES'!$M1182))</f>
        <v/>
      </c>
      <c r="M1204" s="24">
        <f>IF('ORDENES'!$A1182="","",IF('ORDENES'!$N1182="","-",'ORDENES'!$N1182))</f>
        <v/>
      </c>
      <c r="N1204" s="24">
        <f>IF('ORDENES'!$A1182="","",'ORDENES'!$AG1182)</f>
        <v/>
      </c>
    </row>
    <row r="1205">
      <c r="A1205" s="24">
        <f>IF('ORDENES'!$A1183="","",IF('ORDENES'!$O1183="","-",'ORDENES'!$O1183))</f>
        <v/>
      </c>
      <c r="B1205" s="24">
        <f>IF('ORDENES'!$A1183="","",IF('ORDENES'!$S1183="","-",'ORDENES'!$S1183))</f>
        <v/>
      </c>
      <c r="C1205" s="24">
        <f>IF('ORDENES'!$A1183="","",IF('ORDENES'!$AI1183="","-",'ORDENES'!$AI1183))</f>
        <v/>
      </c>
      <c r="D1205" s="24">
        <f>IF('ORDENES'!$A1183="","",IF('ORDENES'!$AA1183="","-",'ORDENES'!$AA1183))</f>
        <v/>
      </c>
      <c r="E1205" s="24">
        <f>IF('ORDENES'!$A1183="","",IF('ORDENES'!$Y1183="","-",'ORDENES'!$Y1183))</f>
        <v/>
      </c>
      <c r="F1205" s="24">
        <f>IF('ORDENES'!$A1183="","",IF('ORDENES'!$AB1183="","-",'ORDENES'!$AB1183))</f>
        <v/>
      </c>
      <c r="G1205" s="24">
        <f>IF('ORDENES'!$A1183="","",IF('ORDENES'!$Z1183="","-",'ORDENES'!$Z1183))</f>
        <v/>
      </c>
      <c r="H1205" s="24">
        <f>IF('ORDENES'!$A1183="","",IF('ORDENES'!$AH1183="","-",'ORDENES'!$AH1183))</f>
        <v/>
      </c>
      <c r="I1205" s="24">
        <f>IF('ORDENES'!$A1183="","",IF('ORDENES'!$AU1183="","-",'ORDENES'!$AU1183))</f>
        <v/>
      </c>
      <c r="J1205" s="24">
        <f>IF('ORDENES'!$A1183="","",IF('ORDENES'!$D1183="","-",'ORDENES'!$D1183))</f>
        <v/>
      </c>
      <c r="K1205" s="24">
        <f>IF('ORDENES'!$A1183="","",IF('ORDENES'!$E1183="","-",'ORDENES'!$E1183))</f>
        <v/>
      </c>
      <c r="L1205" s="26">
        <f>IF('ORDENES'!$A1183="","",IF('ORDENES'!$M1183="",0,'ORDENES'!$M1183))</f>
        <v/>
      </c>
      <c r="M1205" s="24">
        <f>IF('ORDENES'!$A1183="","",IF('ORDENES'!$N1183="","-",'ORDENES'!$N1183))</f>
        <v/>
      </c>
      <c r="N1205" s="24">
        <f>IF('ORDENES'!$A1183="","",'ORDENES'!$AG1183)</f>
        <v/>
      </c>
    </row>
    <row r="1206">
      <c r="A1206" s="24">
        <f>IF('ORDENES'!$A1184="","",IF('ORDENES'!$O1184="","-",'ORDENES'!$O1184))</f>
        <v/>
      </c>
      <c r="B1206" s="24">
        <f>IF('ORDENES'!$A1184="","",IF('ORDENES'!$S1184="","-",'ORDENES'!$S1184))</f>
        <v/>
      </c>
      <c r="C1206" s="24">
        <f>IF('ORDENES'!$A1184="","",IF('ORDENES'!$AI1184="","-",'ORDENES'!$AI1184))</f>
        <v/>
      </c>
      <c r="D1206" s="24">
        <f>IF('ORDENES'!$A1184="","",IF('ORDENES'!$AA1184="","-",'ORDENES'!$AA1184))</f>
        <v/>
      </c>
      <c r="E1206" s="24">
        <f>IF('ORDENES'!$A1184="","",IF('ORDENES'!$Y1184="","-",'ORDENES'!$Y1184))</f>
        <v/>
      </c>
      <c r="F1206" s="24">
        <f>IF('ORDENES'!$A1184="","",IF('ORDENES'!$AB1184="","-",'ORDENES'!$AB1184))</f>
        <v/>
      </c>
      <c r="G1206" s="24">
        <f>IF('ORDENES'!$A1184="","",IF('ORDENES'!$Z1184="","-",'ORDENES'!$Z1184))</f>
        <v/>
      </c>
      <c r="H1206" s="24">
        <f>IF('ORDENES'!$A1184="","",IF('ORDENES'!$AH1184="","-",'ORDENES'!$AH1184))</f>
        <v/>
      </c>
      <c r="I1206" s="24">
        <f>IF('ORDENES'!$A1184="","",IF('ORDENES'!$AU1184="","-",'ORDENES'!$AU1184))</f>
        <v/>
      </c>
      <c r="J1206" s="24">
        <f>IF('ORDENES'!$A1184="","",IF('ORDENES'!$D1184="","-",'ORDENES'!$D1184))</f>
        <v/>
      </c>
      <c r="K1206" s="24">
        <f>IF('ORDENES'!$A1184="","",IF('ORDENES'!$E1184="","-",'ORDENES'!$E1184))</f>
        <v/>
      </c>
      <c r="L1206" s="26">
        <f>IF('ORDENES'!$A1184="","",IF('ORDENES'!$M1184="",0,'ORDENES'!$M1184))</f>
        <v/>
      </c>
      <c r="M1206" s="24">
        <f>IF('ORDENES'!$A1184="","",IF('ORDENES'!$N1184="","-",'ORDENES'!$N1184))</f>
        <v/>
      </c>
      <c r="N1206" s="24">
        <f>IF('ORDENES'!$A1184="","",'ORDENES'!$AG1184)</f>
        <v/>
      </c>
    </row>
    <row r="1207">
      <c r="A1207" s="24">
        <f>IF('ORDENES'!$A1185="","",IF('ORDENES'!$O1185="","-",'ORDENES'!$O1185))</f>
        <v/>
      </c>
      <c r="B1207" s="24">
        <f>IF('ORDENES'!$A1185="","",IF('ORDENES'!$S1185="","-",'ORDENES'!$S1185))</f>
        <v/>
      </c>
      <c r="C1207" s="24">
        <f>IF('ORDENES'!$A1185="","",IF('ORDENES'!$AI1185="","-",'ORDENES'!$AI1185))</f>
        <v/>
      </c>
      <c r="D1207" s="24">
        <f>IF('ORDENES'!$A1185="","",IF('ORDENES'!$AA1185="","-",'ORDENES'!$AA1185))</f>
        <v/>
      </c>
      <c r="E1207" s="24">
        <f>IF('ORDENES'!$A1185="","",IF('ORDENES'!$Y1185="","-",'ORDENES'!$Y1185))</f>
        <v/>
      </c>
      <c r="F1207" s="24">
        <f>IF('ORDENES'!$A1185="","",IF('ORDENES'!$AB1185="","-",'ORDENES'!$AB1185))</f>
        <v/>
      </c>
      <c r="G1207" s="24">
        <f>IF('ORDENES'!$A1185="","",IF('ORDENES'!$Z1185="","-",'ORDENES'!$Z1185))</f>
        <v/>
      </c>
      <c r="H1207" s="24">
        <f>IF('ORDENES'!$A1185="","",IF('ORDENES'!$AH1185="","-",'ORDENES'!$AH1185))</f>
        <v/>
      </c>
      <c r="I1207" s="24">
        <f>IF('ORDENES'!$A1185="","",IF('ORDENES'!$AU1185="","-",'ORDENES'!$AU1185))</f>
        <v/>
      </c>
      <c r="J1207" s="24">
        <f>IF('ORDENES'!$A1185="","",IF('ORDENES'!$D1185="","-",'ORDENES'!$D1185))</f>
        <v/>
      </c>
      <c r="K1207" s="24">
        <f>IF('ORDENES'!$A1185="","",IF('ORDENES'!$E1185="","-",'ORDENES'!$E1185))</f>
        <v/>
      </c>
      <c r="L1207" s="26">
        <f>IF('ORDENES'!$A1185="","",IF('ORDENES'!$M1185="",0,'ORDENES'!$M1185))</f>
        <v/>
      </c>
      <c r="M1207" s="24">
        <f>IF('ORDENES'!$A1185="","",IF('ORDENES'!$N1185="","-",'ORDENES'!$N1185))</f>
        <v/>
      </c>
      <c r="N1207" s="24">
        <f>IF('ORDENES'!$A1185="","",'ORDENES'!$AG1185)</f>
        <v/>
      </c>
    </row>
    <row r="1208">
      <c r="A1208" s="24">
        <f>IF('ORDENES'!$A1186="","",IF('ORDENES'!$O1186="","-",'ORDENES'!$O1186))</f>
        <v/>
      </c>
      <c r="B1208" s="24">
        <f>IF('ORDENES'!$A1186="","",IF('ORDENES'!$S1186="","-",'ORDENES'!$S1186))</f>
        <v/>
      </c>
      <c r="C1208" s="24">
        <f>IF('ORDENES'!$A1186="","",IF('ORDENES'!$AI1186="","-",'ORDENES'!$AI1186))</f>
        <v/>
      </c>
      <c r="D1208" s="24">
        <f>IF('ORDENES'!$A1186="","",IF('ORDENES'!$AA1186="","-",'ORDENES'!$AA1186))</f>
        <v/>
      </c>
      <c r="E1208" s="24">
        <f>IF('ORDENES'!$A1186="","",IF('ORDENES'!$Y1186="","-",'ORDENES'!$Y1186))</f>
        <v/>
      </c>
      <c r="F1208" s="24">
        <f>IF('ORDENES'!$A1186="","",IF('ORDENES'!$AB1186="","-",'ORDENES'!$AB1186))</f>
        <v/>
      </c>
      <c r="G1208" s="24">
        <f>IF('ORDENES'!$A1186="","",IF('ORDENES'!$Z1186="","-",'ORDENES'!$Z1186))</f>
        <v/>
      </c>
      <c r="H1208" s="24">
        <f>IF('ORDENES'!$A1186="","",IF('ORDENES'!$AH1186="","-",'ORDENES'!$AH1186))</f>
        <v/>
      </c>
      <c r="I1208" s="24">
        <f>IF('ORDENES'!$A1186="","",IF('ORDENES'!$AU1186="","-",'ORDENES'!$AU1186))</f>
        <v/>
      </c>
      <c r="J1208" s="24">
        <f>IF('ORDENES'!$A1186="","",IF('ORDENES'!$D1186="","-",'ORDENES'!$D1186))</f>
        <v/>
      </c>
      <c r="K1208" s="24">
        <f>IF('ORDENES'!$A1186="","",IF('ORDENES'!$E1186="","-",'ORDENES'!$E1186))</f>
        <v/>
      </c>
      <c r="L1208" s="26">
        <f>IF('ORDENES'!$A1186="","",IF('ORDENES'!$M1186="",0,'ORDENES'!$M1186))</f>
        <v/>
      </c>
      <c r="M1208" s="24">
        <f>IF('ORDENES'!$A1186="","",IF('ORDENES'!$N1186="","-",'ORDENES'!$N1186))</f>
        <v/>
      </c>
      <c r="N1208" s="24">
        <f>IF('ORDENES'!$A1186="","",'ORDENES'!$AG1186)</f>
        <v/>
      </c>
    </row>
    <row r="1209">
      <c r="A1209" s="24">
        <f>IF('ORDENES'!$A1187="","",IF('ORDENES'!$O1187="","-",'ORDENES'!$O1187))</f>
        <v/>
      </c>
      <c r="B1209" s="24">
        <f>IF('ORDENES'!$A1187="","",IF('ORDENES'!$S1187="","-",'ORDENES'!$S1187))</f>
        <v/>
      </c>
      <c r="C1209" s="24">
        <f>IF('ORDENES'!$A1187="","",IF('ORDENES'!$AI1187="","-",'ORDENES'!$AI1187))</f>
        <v/>
      </c>
      <c r="D1209" s="24">
        <f>IF('ORDENES'!$A1187="","",IF('ORDENES'!$AA1187="","-",'ORDENES'!$AA1187))</f>
        <v/>
      </c>
      <c r="E1209" s="24">
        <f>IF('ORDENES'!$A1187="","",IF('ORDENES'!$Y1187="","-",'ORDENES'!$Y1187))</f>
        <v/>
      </c>
      <c r="F1209" s="24">
        <f>IF('ORDENES'!$A1187="","",IF('ORDENES'!$AB1187="","-",'ORDENES'!$AB1187))</f>
        <v/>
      </c>
      <c r="G1209" s="24">
        <f>IF('ORDENES'!$A1187="","",IF('ORDENES'!$Z1187="","-",'ORDENES'!$Z1187))</f>
        <v/>
      </c>
      <c r="H1209" s="24">
        <f>IF('ORDENES'!$A1187="","",IF('ORDENES'!$AH1187="","-",'ORDENES'!$AH1187))</f>
        <v/>
      </c>
      <c r="I1209" s="24">
        <f>IF('ORDENES'!$A1187="","",IF('ORDENES'!$AU1187="","-",'ORDENES'!$AU1187))</f>
        <v/>
      </c>
      <c r="J1209" s="24">
        <f>IF('ORDENES'!$A1187="","",IF('ORDENES'!$D1187="","-",'ORDENES'!$D1187))</f>
        <v/>
      </c>
      <c r="K1209" s="24">
        <f>IF('ORDENES'!$A1187="","",IF('ORDENES'!$E1187="","-",'ORDENES'!$E1187))</f>
        <v/>
      </c>
      <c r="L1209" s="26">
        <f>IF('ORDENES'!$A1187="","",IF('ORDENES'!$M1187="",0,'ORDENES'!$M1187))</f>
        <v/>
      </c>
      <c r="M1209" s="24">
        <f>IF('ORDENES'!$A1187="","",IF('ORDENES'!$N1187="","-",'ORDENES'!$N1187))</f>
        <v/>
      </c>
      <c r="N1209" s="24">
        <f>IF('ORDENES'!$A1187="","",'ORDENES'!$AG1187)</f>
        <v/>
      </c>
    </row>
    <row r="1210">
      <c r="A1210" s="24">
        <f>IF('ORDENES'!$A1188="","",IF('ORDENES'!$O1188="","-",'ORDENES'!$O1188))</f>
        <v/>
      </c>
      <c r="B1210" s="24">
        <f>IF('ORDENES'!$A1188="","",IF('ORDENES'!$S1188="","-",'ORDENES'!$S1188))</f>
        <v/>
      </c>
      <c r="C1210" s="24">
        <f>IF('ORDENES'!$A1188="","",IF('ORDENES'!$AI1188="","-",'ORDENES'!$AI1188))</f>
        <v/>
      </c>
      <c r="D1210" s="24">
        <f>IF('ORDENES'!$A1188="","",IF('ORDENES'!$AA1188="","-",'ORDENES'!$AA1188))</f>
        <v/>
      </c>
      <c r="E1210" s="24">
        <f>IF('ORDENES'!$A1188="","",IF('ORDENES'!$Y1188="","-",'ORDENES'!$Y1188))</f>
        <v/>
      </c>
      <c r="F1210" s="24">
        <f>IF('ORDENES'!$A1188="","",IF('ORDENES'!$AB1188="","-",'ORDENES'!$AB1188))</f>
        <v/>
      </c>
      <c r="G1210" s="24">
        <f>IF('ORDENES'!$A1188="","",IF('ORDENES'!$Z1188="","-",'ORDENES'!$Z1188))</f>
        <v/>
      </c>
      <c r="H1210" s="24">
        <f>IF('ORDENES'!$A1188="","",IF('ORDENES'!$AH1188="","-",'ORDENES'!$AH1188))</f>
        <v/>
      </c>
      <c r="I1210" s="24">
        <f>IF('ORDENES'!$A1188="","",IF('ORDENES'!$AU1188="","-",'ORDENES'!$AU1188))</f>
        <v/>
      </c>
      <c r="J1210" s="24">
        <f>IF('ORDENES'!$A1188="","",IF('ORDENES'!$D1188="","-",'ORDENES'!$D1188))</f>
        <v/>
      </c>
      <c r="K1210" s="24">
        <f>IF('ORDENES'!$A1188="","",IF('ORDENES'!$E1188="","-",'ORDENES'!$E1188))</f>
        <v/>
      </c>
      <c r="L1210" s="26">
        <f>IF('ORDENES'!$A1188="","",IF('ORDENES'!$M1188="",0,'ORDENES'!$M1188))</f>
        <v/>
      </c>
      <c r="M1210" s="24">
        <f>IF('ORDENES'!$A1188="","",IF('ORDENES'!$N1188="","-",'ORDENES'!$N1188))</f>
        <v/>
      </c>
      <c r="N1210" s="24">
        <f>IF('ORDENES'!$A1188="","",'ORDENES'!$AG1188)</f>
        <v/>
      </c>
    </row>
    <row r="1211">
      <c r="A1211" s="24">
        <f>IF('ORDENES'!$A1189="","",IF('ORDENES'!$O1189="","-",'ORDENES'!$O1189))</f>
        <v/>
      </c>
      <c r="B1211" s="24">
        <f>IF('ORDENES'!$A1189="","",IF('ORDENES'!$S1189="","-",'ORDENES'!$S1189))</f>
        <v/>
      </c>
      <c r="C1211" s="24">
        <f>IF('ORDENES'!$A1189="","",IF('ORDENES'!$AI1189="","-",'ORDENES'!$AI1189))</f>
        <v/>
      </c>
      <c r="D1211" s="24">
        <f>IF('ORDENES'!$A1189="","",IF('ORDENES'!$AA1189="","-",'ORDENES'!$AA1189))</f>
        <v/>
      </c>
      <c r="E1211" s="24">
        <f>IF('ORDENES'!$A1189="","",IF('ORDENES'!$Y1189="","-",'ORDENES'!$Y1189))</f>
        <v/>
      </c>
      <c r="F1211" s="24">
        <f>IF('ORDENES'!$A1189="","",IF('ORDENES'!$AB1189="","-",'ORDENES'!$AB1189))</f>
        <v/>
      </c>
      <c r="G1211" s="24">
        <f>IF('ORDENES'!$A1189="","",IF('ORDENES'!$Z1189="","-",'ORDENES'!$Z1189))</f>
        <v/>
      </c>
      <c r="H1211" s="24">
        <f>IF('ORDENES'!$A1189="","",IF('ORDENES'!$AH1189="","-",'ORDENES'!$AH1189))</f>
        <v/>
      </c>
      <c r="I1211" s="24">
        <f>IF('ORDENES'!$A1189="","",IF('ORDENES'!$AU1189="","-",'ORDENES'!$AU1189))</f>
        <v/>
      </c>
      <c r="J1211" s="24">
        <f>IF('ORDENES'!$A1189="","",IF('ORDENES'!$D1189="","-",'ORDENES'!$D1189))</f>
        <v/>
      </c>
      <c r="K1211" s="24">
        <f>IF('ORDENES'!$A1189="","",IF('ORDENES'!$E1189="","-",'ORDENES'!$E1189))</f>
        <v/>
      </c>
      <c r="L1211" s="26">
        <f>IF('ORDENES'!$A1189="","",IF('ORDENES'!$M1189="",0,'ORDENES'!$M1189))</f>
        <v/>
      </c>
      <c r="M1211" s="24">
        <f>IF('ORDENES'!$A1189="","",IF('ORDENES'!$N1189="","-",'ORDENES'!$N1189))</f>
        <v/>
      </c>
      <c r="N1211" s="24">
        <f>IF('ORDENES'!$A1189="","",'ORDENES'!$AG1189)</f>
        <v/>
      </c>
    </row>
    <row r="1212">
      <c r="A1212" s="24">
        <f>IF('ORDENES'!$A1190="","",IF('ORDENES'!$O1190="","-",'ORDENES'!$O1190))</f>
        <v/>
      </c>
      <c r="B1212" s="24">
        <f>IF('ORDENES'!$A1190="","",IF('ORDENES'!$S1190="","-",'ORDENES'!$S1190))</f>
        <v/>
      </c>
      <c r="C1212" s="24">
        <f>IF('ORDENES'!$A1190="","",IF('ORDENES'!$AI1190="","-",'ORDENES'!$AI1190))</f>
        <v/>
      </c>
      <c r="D1212" s="24">
        <f>IF('ORDENES'!$A1190="","",IF('ORDENES'!$AA1190="","-",'ORDENES'!$AA1190))</f>
        <v/>
      </c>
      <c r="E1212" s="24">
        <f>IF('ORDENES'!$A1190="","",IF('ORDENES'!$Y1190="","-",'ORDENES'!$Y1190))</f>
        <v/>
      </c>
      <c r="F1212" s="24">
        <f>IF('ORDENES'!$A1190="","",IF('ORDENES'!$AB1190="","-",'ORDENES'!$AB1190))</f>
        <v/>
      </c>
      <c r="G1212" s="24">
        <f>IF('ORDENES'!$A1190="","",IF('ORDENES'!$Z1190="","-",'ORDENES'!$Z1190))</f>
        <v/>
      </c>
      <c r="H1212" s="24">
        <f>IF('ORDENES'!$A1190="","",IF('ORDENES'!$AH1190="","-",'ORDENES'!$AH1190))</f>
        <v/>
      </c>
      <c r="I1212" s="24">
        <f>IF('ORDENES'!$A1190="","",IF('ORDENES'!$AU1190="","-",'ORDENES'!$AU1190))</f>
        <v/>
      </c>
      <c r="J1212" s="24">
        <f>IF('ORDENES'!$A1190="","",IF('ORDENES'!$D1190="","-",'ORDENES'!$D1190))</f>
        <v/>
      </c>
      <c r="K1212" s="24">
        <f>IF('ORDENES'!$A1190="","",IF('ORDENES'!$E1190="","-",'ORDENES'!$E1190))</f>
        <v/>
      </c>
      <c r="L1212" s="26">
        <f>IF('ORDENES'!$A1190="","",IF('ORDENES'!$M1190="",0,'ORDENES'!$M1190))</f>
        <v/>
      </c>
      <c r="M1212" s="24">
        <f>IF('ORDENES'!$A1190="","",IF('ORDENES'!$N1190="","-",'ORDENES'!$N1190))</f>
        <v/>
      </c>
      <c r="N1212" s="24">
        <f>IF('ORDENES'!$A1190="","",'ORDENES'!$AG1190)</f>
        <v/>
      </c>
    </row>
    <row r="1213">
      <c r="A1213" s="24">
        <f>IF('ORDENES'!$A1191="","",IF('ORDENES'!$O1191="","-",'ORDENES'!$O1191))</f>
        <v/>
      </c>
      <c r="B1213" s="24">
        <f>IF('ORDENES'!$A1191="","",IF('ORDENES'!$S1191="","-",'ORDENES'!$S1191))</f>
        <v/>
      </c>
      <c r="C1213" s="24">
        <f>IF('ORDENES'!$A1191="","",IF('ORDENES'!$AI1191="","-",'ORDENES'!$AI1191))</f>
        <v/>
      </c>
      <c r="D1213" s="24">
        <f>IF('ORDENES'!$A1191="","",IF('ORDENES'!$AA1191="","-",'ORDENES'!$AA1191))</f>
        <v/>
      </c>
      <c r="E1213" s="24">
        <f>IF('ORDENES'!$A1191="","",IF('ORDENES'!$Y1191="","-",'ORDENES'!$Y1191))</f>
        <v/>
      </c>
      <c r="F1213" s="24">
        <f>IF('ORDENES'!$A1191="","",IF('ORDENES'!$AB1191="","-",'ORDENES'!$AB1191))</f>
        <v/>
      </c>
      <c r="G1213" s="24">
        <f>IF('ORDENES'!$A1191="","",IF('ORDENES'!$Z1191="","-",'ORDENES'!$Z1191))</f>
        <v/>
      </c>
      <c r="H1213" s="24">
        <f>IF('ORDENES'!$A1191="","",IF('ORDENES'!$AH1191="","-",'ORDENES'!$AH1191))</f>
        <v/>
      </c>
      <c r="I1213" s="24">
        <f>IF('ORDENES'!$A1191="","",IF('ORDENES'!$AU1191="","-",'ORDENES'!$AU1191))</f>
        <v/>
      </c>
      <c r="J1213" s="24">
        <f>IF('ORDENES'!$A1191="","",IF('ORDENES'!$D1191="","-",'ORDENES'!$D1191))</f>
        <v/>
      </c>
      <c r="K1213" s="24">
        <f>IF('ORDENES'!$A1191="","",IF('ORDENES'!$E1191="","-",'ORDENES'!$E1191))</f>
        <v/>
      </c>
      <c r="L1213" s="26">
        <f>IF('ORDENES'!$A1191="","",IF('ORDENES'!$M1191="",0,'ORDENES'!$M1191))</f>
        <v/>
      </c>
      <c r="M1213" s="24">
        <f>IF('ORDENES'!$A1191="","",IF('ORDENES'!$N1191="","-",'ORDENES'!$N1191))</f>
        <v/>
      </c>
      <c r="N1213" s="24">
        <f>IF('ORDENES'!$A1191="","",'ORDENES'!$AG1191)</f>
        <v/>
      </c>
    </row>
    <row r="1214">
      <c r="A1214" s="24">
        <f>IF('ORDENES'!$A1192="","",IF('ORDENES'!$O1192="","-",'ORDENES'!$O1192))</f>
        <v/>
      </c>
      <c r="B1214" s="24">
        <f>IF('ORDENES'!$A1192="","",IF('ORDENES'!$S1192="","-",'ORDENES'!$S1192))</f>
        <v/>
      </c>
      <c r="C1214" s="24">
        <f>IF('ORDENES'!$A1192="","",IF('ORDENES'!$AI1192="","-",'ORDENES'!$AI1192))</f>
        <v/>
      </c>
      <c r="D1214" s="24">
        <f>IF('ORDENES'!$A1192="","",IF('ORDENES'!$AA1192="","-",'ORDENES'!$AA1192))</f>
        <v/>
      </c>
      <c r="E1214" s="24">
        <f>IF('ORDENES'!$A1192="","",IF('ORDENES'!$Y1192="","-",'ORDENES'!$Y1192))</f>
        <v/>
      </c>
      <c r="F1214" s="24">
        <f>IF('ORDENES'!$A1192="","",IF('ORDENES'!$AB1192="","-",'ORDENES'!$AB1192))</f>
        <v/>
      </c>
      <c r="G1214" s="24">
        <f>IF('ORDENES'!$A1192="","",IF('ORDENES'!$Z1192="","-",'ORDENES'!$Z1192))</f>
        <v/>
      </c>
      <c r="H1214" s="24">
        <f>IF('ORDENES'!$A1192="","",IF('ORDENES'!$AH1192="","-",'ORDENES'!$AH1192))</f>
        <v/>
      </c>
      <c r="I1214" s="24">
        <f>IF('ORDENES'!$A1192="","",IF('ORDENES'!$AU1192="","-",'ORDENES'!$AU1192))</f>
        <v/>
      </c>
      <c r="J1214" s="24">
        <f>IF('ORDENES'!$A1192="","",IF('ORDENES'!$D1192="","-",'ORDENES'!$D1192))</f>
        <v/>
      </c>
      <c r="K1214" s="24">
        <f>IF('ORDENES'!$A1192="","",IF('ORDENES'!$E1192="","-",'ORDENES'!$E1192))</f>
        <v/>
      </c>
      <c r="L1214" s="26">
        <f>IF('ORDENES'!$A1192="","",IF('ORDENES'!$M1192="",0,'ORDENES'!$M1192))</f>
        <v/>
      </c>
      <c r="M1214" s="24">
        <f>IF('ORDENES'!$A1192="","",IF('ORDENES'!$N1192="","-",'ORDENES'!$N1192))</f>
        <v/>
      </c>
      <c r="N1214" s="24">
        <f>IF('ORDENES'!$A1192="","",'ORDENES'!$AG1192)</f>
        <v/>
      </c>
    </row>
    <row r="1215">
      <c r="A1215" s="24">
        <f>IF('ORDENES'!$A1193="","",IF('ORDENES'!$O1193="","-",'ORDENES'!$O1193))</f>
        <v/>
      </c>
      <c r="B1215" s="24">
        <f>IF('ORDENES'!$A1193="","",IF('ORDENES'!$S1193="","-",'ORDENES'!$S1193))</f>
        <v/>
      </c>
      <c r="C1215" s="24">
        <f>IF('ORDENES'!$A1193="","",IF('ORDENES'!$AI1193="","-",'ORDENES'!$AI1193))</f>
        <v/>
      </c>
      <c r="D1215" s="24">
        <f>IF('ORDENES'!$A1193="","",IF('ORDENES'!$AA1193="","-",'ORDENES'!$AA1193))</f>
        <v/>
      </c>
      <c r="E1215" s="24">
        <f>IF('ORDENES'!$A1193="","",IF('ORDENES'!$Y1193="","-",'ORDENES'!$Y1193))</f>
        <v/>
      </c>
      <c r="F1215" s="24">
        <f>IF('ORDENES'!$A1193="","",IF('ORDENES'!$AB1193="","-",'ORDENES'!$AB1193))</f>
        <v/>
      </c>
      <c r="G1215" s="24">
        <f>IF('ORDENES'!$A1193="","",IF('ORDENES'!$Z1193="","-",'ORDENES'!$Z1193))</f>
        <v/>
      </c>
      <c r="H1215" s="24">
        <f>IF('ORDENES'!$A1193="","",IF('ORDENES'!$AH1193="","-",'ORDENES'!$AH1193))</f>
        <v/>
      </c>
      <c r="I1215" s="24">
        <f>IF('ORDENES'!$A1193="","",IF('ORDENES'!$AU1193="","-",'ORDENES'!$AU1193))</f>
        <v/>
      </c>
      <c r="J1215" s="24">
        <f>IF('ORDENES'!$A1193="","",IF('ORDENES'!$D1193="","-",'ORDENES'!$D1193))</f>
        <v/>
      </c>
      <c r="K1215" s="24">
        <f>IF('ORDENES'!$A1193="","",IF('ORDENES'!$E1193="","-",'ORDENES'!$E1193))</f>
        <v/>
      </c>
      <c r="L1215" s="26">
        <f>IF('ORDENES'!$A1193="","",IF('ORDENES'!$M1193="",0,'ORDENES'!$M1193))</f>
        <v/>
      </c>
      <c r="M1215" s="24">
        <f>IF('ORDENES'!$A1193="","",IF('ORDENES'!$N1193="","-",'ORDENES'!$N1193))</f>
        <v/>
      </c>
      <c r="N1215" s="24">
        <f>IF('ORDENES'!$A1193="","",'ORDENES'!$AG1193)</f>
        <v/>
      </c>
    </row>
    <row r="1216">
      <c r="A1216" s="24">
        <f>IF('ORDENES'!$A1194="","",IF('ORDENES'!$O1194="","-",'ORDENES'!$O1194))</f>
        <v/>
      </c>
      <c r="B1216" s="24">
        <f>IF('ORDENES'!$A1194="","",IF('ORDENES'!$S1194="","-",'ORDENES'!$S1194))</f>
        <v/>
      </c>
      <c r="C1216" s="24">
        <f>IF('ORDENES'!$A1194="","",IF('ORDENES'!$AI1194="","-",'ORDENES'!$AI1194))</f>
        <v/>
      </c>
      <c r="D1216" s="24">
        <f>IF('ORDENES'!$A1194="","",IF('ORDENES'!$AA1194="","-",'ORDENES'!$AA1194))</f>
        <v/>
      </c>
      <c r="E1216" s="24">
        <f>IF('ORDENES'!$A1194="","",IF('ORDENES'!$Y1194="","-",'ORDENES'!$Y1194))</f>
        <v/>
      </c>
      <c r="F1216" s="24">
        <f>IF('ORDENES'!$A1194="","",IF('ORDENES'!$AB1194="","-",'ORDENES'!$AB1194))</f>
        <v/>
      </c>
      <c r="G1216" s="24">
        <f>IF('ORDENES'!$A1194="","",IF('ORDENES'!$Z1194="","-",'ORDENES'!$Z1194))</f>
        <v/>
      </c>
      <c r="H1216" s="24">
        <f>IF('ORDENES'!$A1194="","",IF('ORDENES'!$AH1194="","-",'ORDENES'!$AH1194))</f>
        <v/>
      </c>
      <c r="I1216" s="24">
        <f>IF('ORDENES'!$A1194="","",IF('ORDENES'!$AU1194="","-",'ORDENES'!$AU1194))</f>
        <v/>
      </c>
      <c r="J1216" s="24">
        <f>IF('ORDENES'!$A1194="","",IF('ORDENES'!$D1194="","-",'ORDENES'!$D1194))</f>
        <v/>
      </c>
      <c r="K1216" s="24">
        <f>IF('ORDENES'!$A1194="","",IF('ORDENES'!$E1194="","-",'ORDENES'!$E1194))</f>
        <v/>
      </c>
      <c r="L1216" s="26">
        <f>IF('ORDENES'!$A1194="","",IF('ORDENES'!$M1194="",0,'ORDENES'!$M1194))</f>
        <v/>
      </c>
      <c r="M1216" s="24">
        <f>IF('ORDENES'!$A1194="","",IF('ORDENES'!$N1194="","-",'ORDENES'!$N1194))</f>
        <v/>
      </c>
      <c r="N1216" s="24">
        <f>IF('ORDENES'!$A1194="","",'ORDENES'!$AG1194)</f>
        <v/>
      </c>
    </row>
    <row r="1217">
      <c r="A1217" s="24">
        <f>IF('ORDENES'!$A1195="","",IF('ORDENES'!$O1195="","-",'ORDENES'!$O1195))</f>
        <v/>
      </c>
      <c r="B1217" s="24">
        <f>IF('ORDENES'!$A1195="","",IF('ORDENES'!$S1195="","-",'ORDENES'!$S1195))</f>
        <v/>
      </c>
      <c r="C1217" s="24">
        <f>IF('ORDENES'!$A1195="","",IF('ORDENES'!$AI1195="","-",'ORDENES'!$AI1195))</f>
        <v/>
      </c>
      <c r="D1217" s="24">
        <f>IF('ORDENES'!$A1195="","",IF('ORDENES'!$AA1195="","-",'ORDENES'!$AA1195))</f>
        <v/>
      </c>
      <c r="E1217" s="24">
        <f>IF('ORDENES'!$A1195="","",IF('ORDENES'!$Y1195="","-",'ORDENES'!$Y1195))</f>
        <v/>
      </c>
      <c r="F1217" s="24">
        <f>IF('ORDENES'!$A1195="","",IF('ORDENES'!$AB1195="","-",'ORDENES'!$AB1195))</f>
        <v/>
      </c>
      <c r="G1217" s="24">
        <f>IF('ORDENES'!$A1195="","",IF('ORDENES'!$Z1195="","-",'ORDENES'!$Z1195))</f>
        <v/>
      </c>
      <c r="H1217" s="24">
        <f>IF('ORDENES'!$A1195="","",IF('ORDENES'!$AH1195="","-",'ORDENES'!$AH1195))</f>
        <v/>
      </c>
      <c r="I1217" s="24">
        <f>IF('ORDENES'!$A1195="","",IF('ORDENES'!$AU1195="","-",'ORDENES'!$AU1195))</f>
        <v/>
      </c>
      <c r="J1217" s="24">
        <f>IF('ORDENES'!$A1195="","",IF('ORDENES'!$D1195="","-",'ORDENES'!$D1195))</f>
        <v/>
      </c>
      <c r="K1217" s="24">
        <f>IF('ORDENES'!$A1195="","",IF('ORDENES'!$E1195="","-",'ORDENES'!$E1195))</f>
        <v/>
      </c>
      <c r="L1217" s="26">
        <f>IF('ORDENES'!$A1195="","",IF('ORDENES'!$M1195="",0,'ORDENES'!$M1195))</f>
        <v/>
      </c>
      <c r="M1217" s="24">
        <f>IF('ORDENES'!$A1195="","",IF('ORDENES'!$N1195="","-",'ORDENES'!$N1195))</f>
        <v/>
      </c>
      <c r="N1217" s="24">
        <f>IF('ORDENES'!$A1195="","",'ORDENES'!$AG1195)</f>
        <v/>
      </c>
    </row>
    <row r="1218">
      <c r="A1218" s="24">
        <f>IF('ORDENES'!$A1196="","",IF('ORDENES'!$O1196="","-",'ORDENES'!$O1196))</f>
        <v/>
      </c>
      <c r="B1218" s="24">
        <f>IF('ORDENES'!$A1196="","",IF('ORDENES'!$S1196="","-",'ORDENES'!$S1196))</f>
        <v/>
      </c>
      <c r="C1218" s="24">
        <f>IF('ORDENES'!$A1196="","",IF('ORDENES'!$AI1196="","-",'ORDENES'!$AI1196))</f>
        <v/>
      </c>
      <c r="D1218" s="24">
        <f>IF('ORDENES'!$A1196="","",IF('ORDENES'!$AA1196="","-",'ORDENES'!$AA1196))</f>
        <v/>
      </c>
      <c r="E1218" s="24">
        <f>IF('ORDENES'!$A1196="","",IF('ORDENES'!$Y1196="","-",'ORDENES'!$Y1196))</f>
        <v/>
      </c>
      <c r="F1218" s="24">
        <f>IF('ORDENES'!$A1196="","",IF('ORDENES'!$AB1196="","-",'ORDENES'!$AB1196))</f>
        <v/>
      </c>
      <c r="G1218" s="24">
        <f>IF('ORDENES'!$A1196="","",IF('ORDENES'!$Z1196="","-",'ORDENES'!$Z1196))</f>
        <v/>
      </c>
      <c r="H1218" s="24">
        <f>IF('ORDENES'!$A1196="","",IF('ORDENES'!$AH1196="","-",'ORDENES'!$AH1196))</f>
        <v/>
      </c>
      <c r="I1218" s="24">
        <f>IF('ORDENES'!$A1196="","",IF('ORDENES'!$AU1196="","-",'ORDENES'!$AU1196))</f>
        <v/>
      </c>
      <c r="J1218" s="24">
        <f>IF('ORDENES'!$A1196="","",IF('ORDENES'!$D1196="","-",'ORDENES'!$D1196))</f>
        <v/>
      </c>
      <c r="K1218" s="24">
        <f>IF('ORDENES'!$A1196="","",IF('ORDENES'!$E1196="","-",'ORDENES'!$E1196))</f>
        <v/>
      </c>
      <c r="L1218" s="26">
        <f>IF('ORDENES'!$A1196="","",IF('ORDENES'!$M1196="",0,'ORDENES'!$M1196))</f>
        <v/>
      </c>
      <c r="M1218" s="24">
        <f>IF('ORDENES'!$A1196="","",IF('ORDENES'!$N1196="","-",'ORDENES'!$N1196))</f>
        <v/>
      </c>
      <c r="N1218" s="24">
        <f>IF('ORDENES'!$A1196="","",'ORDENES'!$AG1196)</f>
        <v/>
      </c>
    </row>
    <row r="1219">
      <c r="A1219" s="24">
        <f>IF('ORDENES'!$A1197="","",IF('ORDENES'!$O1197="","-",'ORDENES'!$O1197))</f>
        <v/>
      </c>
      <c r="B1219" s="24">
        <f>IF('ORDENES'!$A1197="","",IF('ORDENES'!$S1197="","-",'ORDENES'!$S1197))</f>
        <v/>
      </c>
      <c r="C1219" s="24">
        <f>IF('ORDENES'!$A1197="","",IF('ORDENES'!$AI1197="","-",'ORDENES'!$AI1197))</f>
        <v/>
      </c>
      <c r="D1219" s="24">
        <f>IF('ORDENES'!$A1197="","",IF('ORDENES'!$AA1197="","-",'ORDENES'!$AA1197))</f>
        <v/>
      </c>
      <c r="E1219" s="24">
        <f>IF('ORDENES'!$A1197="","",IF('ORDENES'!$Y1197="","-",'ORDENES'!$Y1197))</f>
        <v/>
      </c>
      <c r="F1219" s="24">
        <f>IF('ORDENES'!$A1197="","",IF('ORDENES'!$AB1197="","-",'ORDENES'!$AB1197))</f>
        <v/>
      </c>
      <c r="G1219" s="24">
        <f>IF('ORDENES'!$A1197="","",IF('ORDENES'!$Z1197="","-",'ORDENES'!$Z1197))</f>
        <v/>
      </c>
      <c r="H1219" s="24">
        <f>IF('ORDENES'!$A1197="","",IF('ORDENES'!$AH1197="","-",'ORDENES'!$AH1197))</f>
        <v/>
      </c>
      <c r="I1219" s="24">
        <f>IF('ORDENES'!$A1197="","",IF('ORDENES'!$AU1197="","-",'ORDENES'!$AU1197))</f>
        <v/>
      </c>
      <c r="J1219" s="24">
        <f>IF('ORDENES'!$A1197="","",IF('ORDENES'!$D1197="","-",'ORDENES'!$D1197))</f>
        <v/>
      </c>
      <c r="K1219" s="24">
        <f>IF('ORDENES'!$A1197="","",IF('ORDENES'!$E1197="","-",'ORDENES'!$E1197))</f>
        <v/>
      </c>
      <c r="L1219" s="26">
        <f>IF('ORDENES'!$A1197="","",IF('ORDENES'!$M1197="",0,'ORDENES'!$M1197))</f>
        <v/>
      </c>
      <c r="M1219" s="24">
        <f>IF('ORDENES'!$A1197="","",IF('ORDENES'!$N1197="","-",'ORDENES'!$N1197))</f>
        <v/>
      </c>
      <c r="N1219" s="24">
        <f>IF('ORDENES'!$A1197="","",'ORDENES'!$AG1197)</f>
        <v/>
      </c>
    </row>
    <row r="1220">
      <c r="A1220" s="24">
        <f>IF('ORDENES'!$A1198="","",IF('ORDENES'!$O1198="","-",'ORDENES'!$O1198))</f>
        <v/>
      </c>
      <c r="B1220" s="24">
        <f>IF('ORDENES'!$A1198="","",IF('ORDENES'!$S1198="","-",'ORDENES'!$S1198))</f>
        <v/>
      </c>
      <c r="C1220" s="24">
        <f>IF('ORDENES'!$A1198="","",IF('ORDENES'!$AI1198="","-",'ORDENES'!$AI1198))</f>
        <v/>
      </c>
      <c r="D1220" s="24">
        <f>IF('ORDENES'!$A1198="","",IF('ORDENES'!$AA1198="","-",'ORDENES'!$AA1198))</f>
        <v/>
      </c>
      <c r="E1220" s="24">
        <f>IF('ORDENES'!$A1198="","",IF('ORDENES'!$Y1198="","-",'ORDENES'!$Y1198))</f>
        <v/>
      </c>
      <c r="F1220" s="24">
        <f>IF('ORDENES'!$A1198="","",IF('ORDENES'!$AB1198="","-",'ORDENES'!$AB1198))</f>
        <v/>
      </c>
      <c r="G1220" s="24">
        <f>IF('ORDENES'!$A1198="","",IF('ORDENES'!$Z1198="","-",'ORDENES'!$Z1198))</f>
        <v/>
      </c>
      <c r="H1220" s="24">
        <f>IF('ORDENES'!$A1198="","",IF('ORDENES'!$AH1198="","-",'ORDENES'!$AH1198))</f>
        <v/>
      </c>
      <c r="I1220" s="24">
        <f>IF('ORDENES'!$A1198="","",IF('ORDENES'!$AU1198="","-",'ORDENES'!$AU1198))</f>
        <v/>
      </c>
      <c r="J1220" s="24">
        <f>IF('ORDENES'!$A1198="","",IF('ORDENES'!$D1198="","-",'ORDENES'!$D1198))</f>
        <v/>
      </c>
      <c r="K1220" s="24">
        <f>IF('ORDENES'!$A1198="","",IF('ORDENES'!$E1198="","-",'ORDENES'!$E1198))</f>
        <v/>
      </c>
      <c r="L1220" s="26">
        <f>IF('ORDENES'!$A1198="","",IF('ORDENES'!$M1198="",0,'ORDENES'!$M1198))</f>
        <v/>
      </c>
      <c r="M1220" s="24">
        <f>IF('ORDENES'!$A1198="","",IF('ORDENES'!$N1198="","-",'ORDENES'!$N1198))</f>
        <v/>
      </c>
      <c r="N1220" s="24">
        <f>IF('ORDENES'!$A1198="","",'ORDENES'!$AG1198)</f>
        <v/>
      </c>
    </row>
    <row r="1221">
      <c r="A1221" s="24">
        <f>IF('ORDENES'!$A1199="","",IF('ORDENES'!$O1199="","-",'ORDENES'!$O1199))</f>
        <v/>
      </c>
      <c r="B1221" s="24">
        <f>IF('ORDENES'!$A1199="","",IF('ORDENES'!$S1199="","-",'ORDENES'!$S1199))</f>
        <v/>
      </c>
      <c r="C1221" s="24">
        <f>IF('ORDENES'!$A1199="","",IF('ORDENES'!$AI1199="","-",'ORDENES'!$AI1199))</f>
        <v/>
      </c>
      <c r="D1221" s="24">
        <f>IF('ORDENES'!$A1199="","",IF('ORDENES'!$AA1199="","-",'ORDENES'!$AA1199))</f>
        <v/>
      </c>
      <c r="E1221" s="24">
        <f>IF('ORDENES'!$A1199="","",IF('ORDENES'!$Y1199="","-",'ORDENES'!$Y1199))</f>
        <v/>
      </c>
      <c r="F1221" s="24">
        <f>IF('ORDENES'!$A1199="","",IF('ORDENES'!$AB1199="","-",'ORDENES'!$AB1199))</f>
        <v/>
      </c>
      <c r="G1221" s="24">
        <f>IF('ORDENES'!$A1199="","",IF('ORDENES'!$Z1199="","-",'ORDENES'!$Z1199))</f>
        <v/>
      </c>
      <c r="H1221" s="24">
        <f>IF('ORDENES'!$A1199="","",IF('ORDENES'!$AH1199="","-",'ORDENES'!$AH1199))</f>
        <v/>
      </c>
      <c r="I1221" s="24">
        <f>IF('ORDENES'!$A1199="","",IF('ORDENES'!$AU1199="","-",'ORDENES'!$AU1199))</f>
        <v/>
      </c>
      <c r="J1221" s="24">
        <f>IF('ORDENES'!$A1199="","",IF('ORDENES'!$D1199="","-",'ORDENES'!$D1199))</f>
        <v/>
      </c>
      <c r="K1221" s="24">
        <f>IF('ORDENES'!$A1199="","",IF('ORDENES'!$E1199="","-",'ORDENES'!$E1199))</f>
        <v/>
      </c>
      <c r="L1221" s="26">
        <f>IF('ORDENES'!$A1199="","",IF('ORDENES'!$M1199="",0,'ORDENES'!$M1199))</f>
        <v/>
      </c>
      <c r="M1221" s="24">
        <f>IF('ORDENES'!$A1199="","",IF('ORDENES'!$N1199="","-",'ORDENES'!$N1199))</f>
        <v/>
      </c>
      <c r="N1221" s="24">
        <f>IF('ORDENES'!$A1199="","",'ORDENES'!$AG1199)</f>
        <v/>
      </c>
    </row>
    <row r="1222">
      <c r="A1222" s="24">
        <f>IF('ORDENES'!$A1200="","",IF('ORDENES'!$O1200="","-",'ORDENES'!$O1200))</f>
        <v/>
      </c>
      <c r="B1222" s="24">
        <f>IF('ORDENES'!$A1200="","",IF('ORDENES'!$S1200="","-",'ORDENES'!$S1200))</f>
        <v/>
      </c>
      <c r="C1222" s="24">
        <f>IF('ORDENES'!$A1200="","",IF('ORDENES'!$AI1200="","-",'ORDENES'!$AI1200))</f>
        <v/>
      </c>
      <c r="D1222" s="24">
        <f>IF('ORDENES'!$A1200="","",IF('ORDENES'!$AA1200="","-",'ORDENES'!$AA1200))</f>
        <v/>
      </c>
      <c r="E1222" s="24">
        <f>IF('ORDENES'!$A1200="","",IF('ORDENES'!$Y1200="","-",'ORDENES'!$Y1200))</f>
        <v/>
      </c>
      <c r="F1222" s="24">
        <f>IF('ORDENES'!$A1200="","",IF('ORDENES'!$AB1200="","-",'ORDENES'!$AB1200))</f>
        <v/>
      </c>
      <c r="G1222" s="24">
        <f>IF('ORDENES'!$A1200="","",IF('ORDENES'!$Z1200="","-",'ORDENES'!$Z1200))</f>
        <v/>
      </c>
      <c r="H1222" s="24">
        <f>IF('ORDENES'!$A1200="","",IF('ORDENES'!$AH1200="","-",'ORDENES'!$AH1200))</f>
        <v/>
      </c>
      <c r="I1222" s="24">
        <f>IF('ORDENES'!$A1200="","",IF('ORDENES'!$AU1200="","-",'ORDENES'!$AU1200))</f>
        <v/>
      </c>
      <c r="J1222" s="24">
        <f>IF('ORDENES'!$A1200="","",IF('ORDENES'!$D1200="","-",'ORDENES'!$D1200))</f>
        <v/>
      </c>
      <c r="K1222" s="24">
        <f>IF('ORDENES'!$A1200="","",IF('ORDENES'!$E1200="","-",'ORDENES'!$E1200))</f>
        <v/>
      </c>
      <c r="L1222" s="26">
        <f>IF('ORDENES'!$A1200="","",IF('ORDENES'!$M1200="",0,'ORDENES'!$M1200))</f>
        <v/>
      </c>
      <c r="M1222" s="24">
        <f>IF('ORDENES'!$A1200="","",IF('ORDENES'!$N1200="","-",'ORDENES'!$N1200))</f>
        <v/>
      </c>
      <c r="N1222" s="24">
        <f>IF('ORDENES'!$A1200="","",'ORDENES'!$AG1200)</f>
        <v/>
      </c>
    </row>
    <row r="1223">
      <c r="A1223" s="24">
        <f>IF('ORDENES'!$A1201="","",IF('ORDENES'!$O1201="","-",'ORDENES'!$O1201))</f>
        <v/>
      </c>
      <c r="B1223" s="24">
        <f>IF('ORDENES'!$A1201="","",IF('ORDENES'!$S1201="","-",'ORDENES'!$S1201))</f>
        <v/>
      </c>
      <c r="C1223" s="24">
        <f>IF('ORDENES'!$A1201="","",IF('ORDENES'!$AI1201="","-",'ORDENES'!$AI1201))</f>
        <v/>
      </c>
      <c r="D1223" s="24">
        <f>IF('ORDENES'!$A1201="","",IF('ORDENES'!$AA1201="","-",'ORDENES'!$AA1201))</f>
        <v/>
      </c>
      <c r="E1223" s="24">
        <f>IF('ORDENES'!$A1201="","",IF('ORDENES'!$Y1201="","-",'ORDENES'!$Y1201))</f>
        <v/>
      </c>
      <c r="F1223" s="24">
        <f>IF('ORDENES'!$A1201="","",IF('ORDENES'!$AB1201="","-",'ORDENES'!$AB1201))</f>
        <v/>
      </c>
      <c r="G1223" s="24">
        <f>IF('ORDENES'!$A1201="","",IF('ORDENES'!$Z1201="","-",'ORDENES'!$Z1201))</f>
        <v/>
      </c>
      <c r="H1223" s="24">
        <f>IF('ORDENES'!$A1201="","",IF('ORDENES'!$AH1201="","-",'ORDENES'!$AH1201))</f>
        <v/>
      </c>
      <c r="I1223" s="24">
        <f>IF('ORDENES'!$A1201="","",IF('ORDENES'!$AU1201="","-",'ORDENES'!$AU1201))</f>
        <v/>
      </c>
      <c r="J1223" s="24">
        <f>IF('ORDENES'!$A1201="","",IF('ORDENES'!$D1201="","-",'ORDENES'!$D1201))</f>
        <v/>
      </c>
      <c r="K1223" s="24">
        <f>IF('ORDENES'!$A1201="","",IF('ORDENES'!$E1201="","-",'ORDENES'!$E1201))</f>
        <v/>
      </c>
      <c r="L1223" s="26">
        <f>IF('ORDENES'!$A1201="","",IF('ORDENES'!$M1201="",0,'ORDENES'!$M1201))</f>
        <v/>
      </c>
      <c r="M1223" s="24">
        <f>IF('ORDENES'!$A1201="","",IF('ORDENES'!$N1201="","-",'ORDENES'!$N1201))</f>
        <v/>
      </c>
      <c r="N1223" s="24">
        <f>IF('ORDENES'!$A1201="","",'ORDENES'!$AG1201)</f>
        <v/>
      </c>
    </row>
    <row r="1224">
      <c r="A1224" s="24">
        <f>IF('ORDENES'!$A1202="","",IF('ORDENES'!$O1202="","-",'ORDENES'!$O1202))</f>
        <v/>
      </c>
      <c r="B1224" s="24">
        <f>IF('ORDENES'!$A1202="","",IF('ORDENES'!$S1202="","-",'ORDENES'!$S1202))</f>
        <v/>
      </c>
      <c r="C1224" s="24">
        <f>IF('ORDENES'!$A1202="","",IF('ORDENES'!$AI1202="","-",'ORDENES'!$AI1202))</f>
        <v/>
      </c>
      <c r="D1224" s="24">
        <f>IF('ORDENES'!$A1202="","",IF('ORDENES'!$AA1202="","-",'ORDENES'!$AA1202))</f>
        <v/>
      </c>
      <c r="E1224" s="24">
        <f>IF('ORDENES'!$A1202="","",IF('ORDENES'!$Y1202="","-",'ORDENES'!$Y1202))</f>
        <v/>
      </c>
      <c r="F1224" s="24">
        <f>IF('ORDENES'!$A1202="","",IF('ORDENES'!$AB1202="","-",'ORDENES'!$AB1202))</f>
        <v/>
      </c>
      <c r="G1224" s="24">
        <f>IF('ORDENES'!$A1202="","",IF('ORDENES'!$Z1202="","-",'ORDENES'!$Z1202))</f>
        <v/>
      </c>
      <c r="H1224" s="24">
        <f>IF('ORDENES'!$A1202="","",IF('ORDENES'!$AH1202="","-",'ORDENES'!$AH1202))</f>
        <v/>
      </c>
      <c r="I1224" s="24">
        <f>IF('ORDENES'!$A1202="","",IF('ORDENES'!$AU1202="","-",'ORDENES'!$AU1202))</f>
        <v/>
      </c>
      <c r="J1224" s="24">
        <f>IF('ORDENES'!$A1202="","",IF('ORDENES'!$D1202="","-",'ORDENES'!$D1202))</f>
        <v/>
      </c>
      <c r="K1224" s="24">
        <f>IF('ORDENES'!$A1202="","",IF('ORDENES'!$E1202="","-",'ORDENES'!$E1202))</f>
        <v/>
      </c>
      <c r="L1224" s="26">
        <f>IF('ORDENES'!$A1202="","",IF('ORDENES'!$M1202="",0,'ORDENES'!$M1202))</f>
        <v/>
      </c>
      <c r="M1224" s="24">
        <f>IF('ORDENES'!$A1202="","",IF('ORDENES'!$N1202="","-",'ORDENES'!$N1202))</f>
        <v/>
      </c>
      <c r="N1224" s="24">
        <f>IF('ORDENES'!$A1202="","",'ORDENES'!$AG1202)</f>
        <v/>
      </c>
    </row>
    <row r="1225">
      <c r="A1225" s="24">
        <f>IF('ORDENES'!$A1203="","",IF('ORDENES'!$O1203="","-",'ORDENES'!$O1203))</f>
        <v/>
      </c>
      <c r="B1225" s="24">
        <f>IF('ORDENES'!$A1203="","",IF('ORDENES'!$S1203="","-",'ORDENES'!$S1203))</f>
        <v/>
      </c>
      <c r="C1225" s="24">
        <f>IF('ORDENES'!$A1203="","",IF('ORDENES'!$AI1203="","-",'ORDENES'!$AI1203))</f>
        <v/>
      </c>
      <c r="D1225" s="24">
        <f>IF('ORDENES'!$A1203="","",IF('ORDENES'!$AA1203="","-",'ORDENES'!$AA1203))</f>
        <v/>
      </c>
      <c r="E1225" s="24">
        <f>IF('ORDENES'!$A1203="","",IF('ORDENES'!$Y1203="","-",'ORDENES'!$Y1203))</f>
        <v/>
      </c>
      <c r="F1225" s="24">
        <f>IF('ORDENES'!$A1203="","",IF('ORDENES'!$AB1203="","-",'ORDENES'!$AB1203))</f>
        <v/>
      </c>
      <c r="G1225" s="24">
        <f>IF('ORDENES'!$A1203="","",IF('ORDENES'!$Z1203="","-",'ORDENES'!$Z1203))</f>
        <v/>
      </c>
      <c r="H1225" s="24">
        <f>IF('ORDENES'!$A1203="","",IF('ORDENES'!$AH1203="","-",'ORDENES'!$AH1203))</f>
        <v/>
      </c>
      <c r="I1225" s="24">
        <f>IF('ORDENES'!$A1203="","",IF('ORDENES'!$AU1203="","-",'ORDENES'!$AU1203))</f>
        <v/>
      </c>
      <c r="J1225" s="24">
        <f>IF('ORDENES'!$A1203="","",IF('ORDENES'!$D1203="","-",'ORDENES'!$D1203))</f>
        <v/>
      </c>
      <c r="K1225" s="24">
        <f>IF('ORDENES'!$A1203="","",IF('ORDENES'!$E1203="","-",'ORDENES'!$E1203))</f>
        <v/>
      </c>
      <c r="L1225" s="26">
        <f>IF('ORDENES'!$A1203="","",IF('ORDENES'!$M1203="",0,'ORDENES'!$M1203))</f>
        <v/>
      </c>
      <c r="M1225" s="24">
        <f>IF('ORDENES'!$A1203="","",IF('ORDENES'!$N1203="","-",'ORDENES'!$N1203))</f>
        <v/>
      </c>
      <c r="N1225" s="24">
        <f>IF('ORDENES'!$A1203="","",'ORDENES'!$AG1203)</f>
        <v/>
      </c>
    </row>
  </sheetData>
  <autoFilter ref="A25:N1225"/>
  <dataValidations count="7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"(todos),lunes,martes,miércoles,jueves,viernes,sábado,domingo"</formula1>
    </dataValidation>
    <dataValidation sqref="F3" showDropDown="0" showInputMessage="0" showErrorMessage="0" allowBlank="0" type="list">
      <formula1>lista_f_turno</formula1>
    </dataValidation>
    <dataValidation sqref="H3" showDropDown="0" showInputMessage="0" showErrorMessage="0" allowBlank="0" type="list">
      <formula1>lista_f_coordinador</formula1>
    </dataValidation>
    <dataValidation sqref="J3" showDropDown="0" showInputMessage="0" showErrorMessage="0" allowBlank="0" type="list">
      <formula1>lista_f_area</formula1>
    </dataValidation>
    <dataValidation sqref="L3" showDropDown="0" showInputMessage="0" showErrorMessage="0" allowBlank="0" type="list">
      <formula1>lista_f_especialidad</formula1>
    </dataValidation>
    <dataValidation sqref="N3" showDropDown="0" showInputMessage="0" showErrorMessage="0" allowBlank="0" type="list">
      <formula1>lista_f_subarea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B21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7" customWidth="1" min="4" max="4"/>
    <col width="9" customWidth="1" min="5" max="5"/>
    <col width="11" customWidth="1" min="6" max="6"/>
    <col width="16" customWidth="1" min="7" max="7"/>
    <col width="7" customWidth="1" min="8" max="8"/>
    <col width="14" customWidth="1" min="9" max="9"/>
  </cols>
  <sheetData>
    <row r="1">
      <c r="A1" s="1" t="inlineStr">
        <is>
          <t>ADHERENCIA (REGLA-7) — rojo &lt; 90 %, amarillo 90–95 %, verde &gt; 95 %. Solo días hábiles: las órdenes en día no laborable no penalizan (se reportan en VALIDACION).</t>
        </is>
      </c>
    </row>
    <row r="2">
      <c r="A2" s="19">
        <f>HYPERLINK("#DASHBOARD!A1","◂ VOLVER AL TABLERO")</f>
        <v/>
      </c>
    </row>
    <row r="3">
      <c r="A3" s="3" t="inlineStr">
        <is>
          <t>POR SEMANA (serie derivada de los datos, hasta 60)</t>
        </is>
      </c>
    </row>
    <row r="4">
      <c r="A4" s="23" t="inlineStr">
        <is>
          <t>valor</t>
        </is>
      </c>
      <c r="B4" s="23" t="inlineStr">
        <is>
          <t>total_ot</t>
        </is>
      </c>
      <c r="C4" s="23" t="inlineStr">
        <is>
          <t>cerradas</t>
        </is>
      </c>
      <c r="D4" s="23" t="inlineStr">
        <is>
          <t>adherencia_conteo</t>
        </is>
      </c>
      <c r="E4" s="23" t="inlineStr">
        <is>
          <t>hh_total</t>
        </is>
      </c>
      <c r="F4" s="23" t="inlineStr">
        <is>
          <t>hh_cerradas</t>
        </is>
      </c>
      <c r="G4" s="23" t="inlineStr">
        <is>
          <t>adherencia_horas</t>
        </is>
      </c>
      <c r="H4" s="23" t="inlineStr">
        <is>
          <t>meta</t>
        </is>
      </c>
    </row>
    <row r="5">
      <c r="A5" s="24">
        <f>'PERFIL_HH'!$O$4</f>
        <v/>
      </c>
      <c r="B5" s="24">
        <f>COUNTIFS('ORDENES'!$O$4:$O$1203,$A5,'ORDENES'!$T$4:$T$1203,"sí")</f>
        <v/>
      </c>
      <c r="C5" s="24">
        <f>COUNTIFS('ORDENES'!$O$4:$O$1203,$A5,'ORDENES'!$N$4:$N$1203,"Cerrada",'ORDENES'!$T$4:$T$1203,"sí")</f>
        <v/>
      </c>
      <c r="D5" s="27">
        <f>IF(B5=0,"",C5/B5)</f>
        <v/>
      </c>
      <c r="E5" s="25">
        <f>SUMIFS('ORDENES'!$M$4:$M$1203,'ORDENES'!$O$4:$O$1203,$A5,'ORDENES'!$T$4:$T$1203,"sí")</f>
        <v/>
      </c>
      <c r="F5" s="25">
        <f>SUMIFS('ORDENES'!$M$4:$M$1203,'ORDENES'!$O$4:$O$1203,$A5,'ORDENES'!$N$4:$N$1203,"Cerrada",'ORDENES'!$T$4:$T$1203,"sí")</f>
        <v/>
      </c>
      <c r="G5" s="27">
        <f>IF(E5=0,"",F5/E5)</f>
        <v/>
      </c>
      <c r="H5" s="28">
        <f>p_meta_adherencia</f>
        <v/>
      </c>
    </row>
    <row r="6">
      <c r="A6" s="24">
        <f>'PERFIL_HH'!$O$5</f>
        <v/>
      </c>
      <c r="B6" s="24">
        <f>COUNTIFS('ORDENES'!$O$4:$O$1203,$A6,'ORDENES'!$T$4:$T$1203,"sí")</f>
        <v/>
      </c>
      <c r="C6" s="24">
        <f>COUNTIFS('ORDENES'!$O$4:$O$1203,$A6,'ORDENES'!$N$4:$N$1203,"Cerrada",'ORDENES'!$T$4:$T$1203,"sí")</f>
        <v/>
      </c>
      <c r="D6" s="27">
        <f>IF(B6=0,"",C6/B6)</f>
        <v/>
      </c>
      <c r="E6" s="25">
        <f>SUMIFS('ORDENES'!$M$4:$M$1203,'ORDENES'!$O$4:$O$1203,$A6,'ORDENES'!$T$4:$T$1203,"sí")</f>
        <v/>
      </c>
      <c r="F6" s="25">
        <f>SUMIFS('ORDENES'!$M$4:$M$1203,'ORDENES'!$O$4:$O$1203,$A6,'ORDENES'!$N$4:$N$1203,"Cerrada",'ORDENES'!$T$4:$T$1203,"sí")</f>
        <v/>
      </c>
      <c r="G6" s="27">
        <f>IF(E6=0,"",F6/E6)</f>
        <v/>
      </c>
      <c r="H6" s="28">
        <f>p_meta_adherencia</f>
        <v/>
      </c>
    </row>
    <row r="7" hidden="1">
      <c r="A7" s="24">
        <f>'PERFIL_HH'!$O$6</f>
        <v/>
      </c>
      <c r="B7" s="24">
        <f>COUNTIFS('ORDENES'!$O$4:$O$1203,$A7,'ORDENES'!$T$4:$T$1203,"sí")</f>
        <v/>
      </c>
      <c r="C7" s="24">
        <f>COUNTIFS('ORDENES'!$O$4:$O$1203,$A7,'ORDENES'!$N$4:$N$1203,"Cerrada",'ORDENES'!$T$4:$T$1203,"sí")</f>
        <v/>
      </c>
      <c r="D7" s="27">
        <f>IF(B7=0,"",C7/B7)</f>
        <v/>
      </c>
      <c r="E7" s="25">
        <f>SUMIFS('ORDENES'!$M$4:$M$1203,'ORDENES'!$O$4:$O$1203,$A7,'ORDENES'!$T$4:$T$1203,"sí")</f>
        <v/>
      </c>
      <c r="F7" s="25">
        <f>SUMIFS('ORDENES'!$M$4:$M$1203,'ORDENES'!$O$4:$O$1203,$A7,'ORDENES'!$N$4:$N$1203,"Cerrada",'ORDENES'!$T$4:$T$1203,"sí")</f>
        <v/>
      </c>
      <c r="G7" s="27">
        <f>IF(E7=0,"",F7/E7)</f>
        <v/>
      </c>
      <c r="H7" s="28">
        <f>p_meta_adherencia</f>
        <v/>
      </c>
    </row>
    <row r="8" hidden="1">
      <c r="A8" s="24">
        <f>'PERFIL_HH'!$O$7</f>
        <v/>
      </c>
      <c r="B8" s="24">
        <f>COUNTIFS('ORDENES'!$O$4:$O$1203,$A8,'ORDENES'!$T$4:$T$1203,"sí")</f>
        <v/>
      </c>
      <c r="C8" s="24">
        <f>COUNTIFS('ORDENES'!$O$4:$O$1203,$A8,'ORDENES'!$N$4:$N$1203,"Cerrada",'ORDENES'!$T$4:$T$1203,"sí")</f>
        <v/>
      </c>
      <c r="D8" s="27">
        <f>IF(B8=0,"",C8/B8)</f>
        <v/>
      </c>
      <c r="E8" s="25">
        <f>SUMIFS('ORDENES'!$M$4:$M$1203,'ORDENES'!$O$4:$O$1203,$A8,'ORDENES'!$T$4:$T$1203,"sí")</f>
        <v/>
      </c>
      <c r="F8" s="25">
        <f>SUMIFS('ORDENES'!$M$4:$M$1203,'ORDENES'!$O$4:$O$1203,$A8,'ORDENES'!$N$4:$N$1203,"Cerrada",'ORDENES'!$T$4:$T$1203,"sí")</f>
        <v/>
      </c>
      <c r="G8" s="27">
        <f>IF(E8=0,"",F8/E8)</f>
        <v/>
      </c>
      <c r="H8" s="28">
        <f>p_meta_adherencia</f>
        <v/>
      </c>
    </row>
    <row r="9" hidden="1">
      <c r="A9" s="24">
        <f>'PERFIL_HH'!$O$8</f>
        <v/>
      </c>
      <c r="B9" s="24">
        <f>COUNTIFS('ORDENES'!$O$4:$O$1203,$A9,'ORDENES'!$T$4:$T$1203,"sí")</f>
        <v/>
      </c>
      <c r="C9" s="24">
        <f>COUNTIFS('ORDENES'!$O$4:$O$1203,$A9,'ORDENES'!$N$4:$N$1203,"Cerrada",'ORDENES'!$T$4:$T$1203,"sí")</f>
        <v/>
      </c>
      <c r="D9" s="27">
        <f>IF(B9=0,"",C9/B9)</f>
        <v/>
      </c>
      <c r="E9" s="25">
        <f>SUMIFS('ORDENES'!$M$4:$M$1203,'ORDENES'!$O$4:$O$1203,$A9,'ORDENES'!$T$4:$T$1203,"sí")</f>
        <v/>
      </c>
      <c r="F9" s="25">
        <f>SUMIFS('ORDENES'!$M$4:$M$1203,'ORDENES'!$O$4:$O$1203,$A9,'ORDENES'!$N$4:$N$1203,"Cerrada",'ORDENES'!$T$4:$T$1203,"sí")</f>
        <v/>
      </c>
      <c r="G9" s="27">
        <f>IF(E9=0,"",F9/E9)</f>
        <v/>
      </c>
      <c r="H9" s="28">
        <f>p_meta_adherencia</f>
        <v/>
      </c>
    </row>
    <row r="10" hidden="1">
      <c r="A10" s="24">
        <f>'PERFIL_HH'!$O$9</f>
        <v/>
      </c>
      <c r="B10" s="24">
        <f>COUNTIFS('ORDENES'!$O$4:$O$1203,$A10,'ORDENES'!$T$4:$T$1203,"sí")</f>
        <v/>
      </c>
      <c r="C10" s="24">
        <f>COUNTIFS('ORDENES'!$O$4:$O$1203,$A10,'ORDENES'!$N$4:$N$1203,"Cerrada",'ORDENES'!$T$4:$T$1203,"sí")</f>
        <v/>
      </c>
      <c r="D10" s="27">
        <f>IF(B10=0,"",C10/B10)</f>
        <v/>
      </c>
      <c r="E10" s="25">
        <f>SUMIFS('ORDENES'!$M$4:$M$1203,'ORDENES'!$O$4:$O$1203,$A10,'ORDENES'!$T$4:$T$1203,"sí")</f>
        <v/>
      </c>
      <c r="F10" s="25">
        <f>SUMIFS('ORDENES'!$M$4:$M$1203,'ORDENES'!$O$4:$O$1203,$A10,'ORDENES'!$N$4:$N$1203,"Cerrada",'ORDENES'!$T$4:$T$1203,"sí")</f>
        <v/>
      </c>
      <c r="G10" s="27">
        <f>IF(E10=0,"",F10/E10)</f>
        <v/>
      </c>
      <c r="H10" s="28">
        <f>p_meta_adherencia</f>
        <v/>
      </c>
    </row>
    <row r="11" hidden="1">
      <c r="A11" s="24">
        <f>'PERFIL_HH'!$O$10</f>
        <v/>
      </c>
      <c r="B11" s="24">
        <f>COUNTIFS('ORDENES'!$O$4:$O$1203,$A11,'ORDENES'!$T$4:$T$1203,"sí")</f>
        <v/>
      </c>
      <c r="C11" s="24">
        <f>COUNTIFS('ORDENES'!$O$4:$O$1203,$A11,'ORDENES'!$N$4:$N$1203,"Cerrada",'ORDENES'!$T$4:$T$1203,"sí")</f>
        <v/>
      </c>
      <c r="D11" s="27">
        <f>IF(B11=0,"",C11/B11)</f>
        <v/>
      </c>
      <c r="E11" s="25">
        <f>SUMIFS('ORDENES'!$M$4:$M$1203,'ORDENES'!$O$4:$O$1203,$A11,'ORDENES'!$T$4:$T$1203,"sí")</f>
        <v/>
      </c>
      <c r="F11" s="25">
        <f>SUMIFS('ORDENES'!$M$4:$M$1203,'ORDENES'!$O$4:$O$1203,$A11,'ORDENES'!$N$4:$N$1203,"Cerrada",'ORDENES'!$T$4:$T$1203,"sí")</f>
        <v/>
      </c>
      <c r="G11" s="27">
        <f>IF(E11=0,"",F11/E11)</f>
        <v/>
      </c>
      <c r="H11" s="28">
        <f>p_meta_adherencia</f>
        <v/>
      </c>
    </row>
    <row r="12" hidden="1">
      <c r="A12" s="24">
        <f>'PERFIL_HH'!$O$11</f>
        <v/>
      </c>
      <c r="B12" s="24">
        <f>COUNTIFS('ORDENES'!$O$4:$O$1203,$A12,'ORDENES'!$T$4:$T$1203,"sí")</f>
        <v/>
      </c>
      <c r="C12" s="24">
        <f>COUNTIFS('ORDENES'!$O$4:$O$1203,$A12,'ORDENES'!$N$4:$N$1203,"Cerrada",'ORDENES'!$T$4:$T$1203,"sí")</f>
        <v/>
      </c>
      <c r="D12" s="27">
        <f>IF(B12=0,"",C12/B12)</f>
        <v/>
      </c>
      <c r="E12" s="25">
        <f>SUMIFS('ORDENES'!$M$4:$M$1203,'ORDENES'!$O$4:$O$1203,$A12,'ORDENES'!$T$4:$T$1203,"sí")</f>
        <v/>
      </c>
      <c r="F12" s="25">
        <f>SUMIFS('ORDENES'!$M$4:$M$1203,'ORDENES'!$O$4:$O$1203,$A12,'ORDENES'!$N$4:$N$1203,"Cerrada",'ORDENES'!$T$4:$T$1203,"sí")</f>
        <v/>
      </c>
      <c r="G12" s="27">
        <f>IF(E12=0,"",F12/E12)</f>
        <v/>
      </c>
      <c r="H12" s="28">
        <f>p_meta_adherencia</f>
        <v/>
      </c>
    </row>
    <row r="13" hidden="1">
      <c r="A13" s="24">
        <f>'PERFIL_HH'!$O$12</f>
        <v/>
      </c>
      <c r="B13" s="24">
        <f>COUNTIFS('ORDENES'!$O$4:$O$1203,$A13,'ORDENES'!$T$4:$T$1203,"sí")</f>
        <v/>
      </c>
      <c r="C13" s="24">
        <f>COUNTIFS('ORDENES'!$O$4:$O$1203,$A13,'ORDENES'!$N$4:$N$1203,"Cerrada",'ORDENES'!$T$4:$T$1203,"sí")</f>
        <v/>
      </c>
      <c r="D13" s="27">
        <f>IF(B13=0,"",C13/B13)</f>
        <v/>
      </c>
      <c r="E13" s="25">
        <f>SUMIFS('ORDENES'!$M$4:$M$1203,'ORDENES'!$O$4:$O$1203,$A13,'ORDENES'!$T$4:$T$1203,"sí")</f>
        <v/>
      </c>
      <c r="F13" s="25">
        <f>SUMIFS('ORDENES'!$M$4:$M$1203,'ORDENES'!$O$4:$O$1203,$A13,'ORDENES'!$N$4:$N$1203,"Cerrada",'ORDENES'!$T$4:$T$1203,"sí")</f>
        <v/>
      </c>
      <c r="G13" s="27">
        <f>IF(E13=0,"",F13/E13)</f>
        <v/>
      </c>
      <c r="H13" s="28">
        <f>p_meta_adherencia</f>
        <v/>
      </c>
    </row>
    <row r="14" hidden="1">
      <c r="A14" s="24">
        <f>'PERFIL_HH'!$O$13</f>
        <v/>
      </c>
      <c r="B14" s="24">
        <f>COUNTIFS('ORDENES'!$O$4:$O$1203,$A14,'ORDENES'!$T$4:$T$1203,"sí")</f>
        <v/>
      </c>
      <c r="C14" s="24">
        <f>COUNTIFS('ORDENES'!$O$4:$O$1203,$A14,'ORDENES'!$N$4:$N$1203,"Cerrada",'ORDENES'!$T$4:$T$1203,"sí")</f>
        <v/>
      </c>
      <c r="D14" s="27">
        <f>IF(B14=0,"",C14/B14)</f>
        <v/>
      </c>
      <c r="E14" s="25">
        <f>SUMIFS('ORDENES'!$M$4:$M$1203,'ORDENES'!$O$4:$O$1203,$A14,'ORDENES'!$T$4:$T$1203,"sí")</f>
        <v/>
      </c>
      <c r="F14" s="25">
        <f>SUMIFS('ORDENES'!$M$4:$M$1203,'ORDENES'!$O$4:$O$1203,$A14,'ORDENES'!$N$4:$N$1203,"Cerrada",'ORDENES'!$T$4:$T$1203,"sí")</f>
        <v/>
      </c>
      <c r="G14" s="27">
        <f>IF(E14=0,"",F14/E14)</f>
        <v/>
      </c>
      <c r="H14" s="28">
        <f>p_meta_adherencia</f>
        <v/>
      </c>
    </row>
    <row r="15" hidden="1">
      <c r="A15" s="24">
        <f>'PERFIL_HH'!$O$14</f>
        <v/>
      </c>
      <c r="B15" s="24">
        <f>COUNTIFS('ORDENES'!$O$4:$O$1203,$A15,'ORDENES'!$T$4:$T$1203,"sí")</f>
        <v/>
      </c>
      <c r="C15" s="24">
        <f>COUNTIFS('ORDENES'!$O$4:$O$1203,$A15,'ORDENES'!$N$4:$N$1203,"Cerrada",'ORDENES'!$T$4:$T$1203,"sí")</f>
        <v/>
      </c>
      <c r="D15" s="27">
        <f>IF(B15=0,"",C15/B15)</f>
        <v/>
      </c>
      <c r="E15" s="25">
        <f>SUMIFS('ORDENES'!$M$4:$M$1203,'ORDENES'!$O$4:$O$1203,$A15,'ORDENES'!$T$4:$T$1203,"sí")</f>
        <v/>
      </c>
      <c r="F15" s="25">
        <f>SUMIFS('ORDENES'!$M$4:$M$1203,'ORDENES'!$O$4:$O$1203,$A15,'ORDENES'!$N$4:$N$1203,"Cerrada",'ORDENES'!$T$4:$T$1203,"sí")</f>
        <v/>
      </c>
      <c r="G15" s="27">
        <f>IF(E15=0,"",F15/E15)</f>
        <v/>
      </c>
      <c r="H15" s="28">
        <f>p_meta_adherencia</f>
        <v/>
      </c>
    </row>
    <row r="16" hidden="1">
      <c r="A16" s="24">
        <f>'PERFIL_HH'!$O$15</f>
        <v/>
      </c>
      <c r="B16" s="24">
        <f>COUNTIFS('ORDENES'!$O$4:$O$1203,$A16,'ORDENES'!$T$4:$T$1203,"sí")</f>
        <v/>
      </c>
      <c r="C16" s="24">
        <f>COUNTIFS('ORDENES'!$O$4:$O$1203,$A16,'ORDENES'!$N$4:$N$1203,"Cerrada",'ORDENES'!$T$4:$T$1203,"sí")</f>
        <v/>
      </c>
      <c r="D16" s="27">
        <f>IF(B16=0,"",C16/B16)</f>
        <v/>
      </c>
      <c r="E16" s="25">
        <f>SUMIFS('ORDENES'!$M$4:$M$1203,'ORDENES'!$O$4:$O$1203,$A16,'ORDENES'!$T$4:$T$1203,"sí")</f>
        <v/>
      </c>
      <c r="F16" s="25">
        <f>SUMIFS('ORDENES'!$M$4:$M$1203,'ORDENES'!$O$4:$O$1203,$A16,'ORDENES'!$N$4:$N$1203,"Cerrada",'ORDENES'!$T$4:$T$1203,"sí")</f>
        <v/>
      </c>
      <c r="G16" s="27">
        <f>IF(E16=0,"",F16/E16)</f>
        <v/>
      </c>
      <c r="H16" s="28">
        <f>p_meta_adherencia</f>
        <v/>
      </c>
    </row>
    <row r="17" hidden="1">
      <c r="A17" s="24">
        <f>'PERFIL_HH'!$O$16</f>
        <v/>
      </c>
      <c r="B17" s="24">
        <f>COUNTIFS('ORDENES'!$O$4:$O$1203,$A17,'ORDENES'!$T$4:$T$1203,"sí")</f>
        <v/>
      </c>
      <c r="C17" s="24">
        <f>COUNTIFS('ORDENES'!$O$4:$O$1203,$A17,'ORDENES'!$N$4:$N$1203,"Cerrada",'ORDENES'!$T$4:$T$1203,"sí")</f>
        <v/>
      </c>
      <c r="D17" s="27">
        <f>IF(B17=0,"",C17/B17)</f>
        <v/>
      </c>
      <c r="E17" s="25">
        <f>SUMIFS('ORDENES'!$M$4:$M$1203,'ORDENES'!$O$4:$O$1203,$A17,'ORDENES'!$T$4:$T$1203,"sí")</f>
        <v/>
      </c>
      <c r="F17" s="25">
        <f>SUMIFS('ORDENES'!$M$4:$M$1203,'ORDENES'!$O$4:$O$1203,$A17,'ORDENES'!$N$4:$N$1203,"Cerrada",'ORDENES'!$T$4:$T$1203,"sí")</f>
        <v/>
      </c>
      <c r="G17" s="27">
        <f>IF(E17=0,"",F17/E17)</f>
        <v/>
      </c>
      <c r="H17" s="28">
        <f>p_meta_adherencia</f>
        <v/>
      </c>
    </row>
    <row r="18" hidden="1">
      <c r="A18" s="24">
        <f>'PERFIL_HH'!$O$17</f>
        <v/>
      </c>
      <c r="B18" s="24">
        <f>COUNTIFS('ORDENES'!$O$4:$O$1203,$A18,'ORDENES'!$T$4:$T$1203,"sí")</f>
        <v/>
      </c>
      <c r="C18" s="24">
        <f>COUNTIFS('ORDENES'!$O$4:$O$1203,$A18,'ORDENES'!$N$4:$N$1203,"Cerrada",'ORDENES'!$T$4:$T$1203,"sí")</f>
        <v/>
      </c>
      <c r="D18" s="27">
        <f>IF(B18=0,"",C18/B18)</f>
        <v/>
      </c>
      <c r="E18" s="25">
        <f>SUMIFS('ORDENES'!$M$4:$M$1203,'ORDENES'!$O$4:$O$1203,$A18,'ORDENES'!$T$4:$T$1203,"sí")</f>
        <v/>
      </c>
      <c r="F18" s="25">
        <f>SUMIFS('ORDENES'!$M$4:$M$1203,'ORDENES'!$O$4:$O$1203,$A18,'ORDENES'!$N$4:$N$1203,"Cerrada",'ORDENES'!$T$4:$T$1203,"sí")</f>
        <v/>
      </c>
      <c r="G18" s="27">
        <f>IF(E18=0,"",F18/E18)</f>
        <v/>
      </c>
      <c r="H18" s="28">
        <f>p_meta_adherencia</f>
        <v/>
      </c>
    </row>
    <row r="19" hidden="1">
      <c r="A19" s="24">
        <f>'PERFIL_HH'!$O$18</f>
        <v/>
      </c>
      <c r="B19" s="24">
        <f>COUNTIFS('ORDENES'!$O$4:$O$1203,$A19,'ORDENES'!$T$4:$T$1203,"sí")</f>
        <v/>
      </c>
      <c r="C19" s="24">
        <f>COUNTIFS('ORDENES'!$O$4:$O$1203,$A19,'ORDENES'!$N$4:$N$1203,"Cerrada",'ORDENES'!$T$4:$T$1203,"sí")</f>
        <v/>
      </c>
      <c r="D19" s="27">
        <f>IF(B19=0,"",C19/B19)</f>
        <v/>
      </c>
      <c r="E19" s="25">
        <f>SUMIFS('ORDENES'!$M$4:$M$1203,'ORDENES'!$O$4:$O$1203,$A19,'ORDENES'!$T$4:$T$1203,"sí")</f>
        <v/>
      </c>
      <c r="F19" s="25">
        <f>SUMIFS('ORDENES'!$M$4:$M$1203,'ORDENES'!$O$4:$O$1203,$A19,'ORDENES'!$N$4:$N$1203,"Cerrada",'ORDENES'!$T$4:$T$1203,"sí")</f>
        <v/>
      </c>
      <c r="G19" s="27">
        <f>IF(E19=0,"",F19/E19)</f>
        <v/>
      </c>
      <c r="H19" s="28">
        <f>p_meta_adherencia</f>
        <v/>
      </c>
    </row>
    <row r="20" hidden="1">
      <c r="A20" s="24">
        <f>'PERFIL_HH'!$O$19</f>
        <v/>
      </c>
      <c r="B20" s="24">
        <f>COUNTIFS('ORDENES'!$O$4:$O$1203,$A20,'ORDENES'!$T$4:$T$1203,"sí")</f>
        <v/>
      </c>
      <c r="C20" s="24">
        <f>COUNTIFS('ORDENES'!$O$4:$O$1203,$A20,'ORDENES'!$N$4:$N$1203,"Cerrada",'ORDENES'!$T$4:$T$1203,"sí")</f>
        <v/>
      </c>
      <c r="D20" s="27">
        <f>IF(B20=0,"",C20/B20)</f>
        <v/>
      </c>
      <c r="E20" s="25">
        <f>SUMIFS('ORDENES'!$M$4:$M$1203,'ORDENES'!$O$4:$O$1203,$A20,'ORDENES'!$T$4:$T$1203,"sí")</f>
        <v/>
      </c>
      <c r="F20" s="25">
        <f>SUMIFS('ORDENES'!$M$4:$M$1203,'ORDENES'!$O$4:$O$1203,$A20,'ORDENES'!$N$4:$N$1203,"Cerrada",'ORDENES'!$T$4:$T$1203,"sí")</f>
        <v/>
      </c>
      <c r="G20" s="27">
        <f>IF(E20=0,"",F20/E20)</f>
        <v/>
      </c>
      <c r="H20" s="28">
        <f>p_meta_adherencia</f>
        <v/>
      </c>
    </row>
    <row r="21" hidden="1">
      <c r="A21" s="24">
        <f>'PERFIL_HH'!$O$20</f>
        <v/>
      </c>
      <c r="B21" s="24">
        <f>COUNTIFS('ORDENES'!$O$4:$O$1203,$A21,'ORDENES'!$T$4:$T$1203,"sí")</f>
        <v/>
      </c>
      <c r="C21" s="24">
        <f>COUNTIFS('ORDENES'!$O$4:$O$1203,$A21,'ORDENES'!$N$4:$N$1203,"Cerrada",'ORDENES'!$T$4:$T$1203,"sí")</f>
        <v/>
      </c>
      <c r="D21" s="27">
        <f>IF(B21=0,"",C21/B21)</f>
        <v/>
      </c>
      <c r="E21" s="25">
        <f>SUMIFS('ORDENES'!$M$4:$M$1203,'ORDENES'!$O$4:$O$1203,$A21,'ORDENES'!$T$4:$T$1203,"sí")</f>
        <v/>
      </c>
      <c r="F21" s="25">
        <f>SUMIFS('ORDENES'!$M$4:$M$1203,'ORDENES'!$O$4:$O$1203,$A21,'ORDENES'!$N$4:$N$1203,"Cerrada",'ORDENES'!$T$4:$T$1203,"sí")</f>
        <v/>
      </c>
      <c r="G21" s="27">
        <f>IF(E21=0,"",F21/E21)</f>
        <v/>
      </c>
      <c r="H21" s="28">
        <f>p_meta_adherencia</f>
        <v/>
      </c>
    </row>
    <row r="22" hidden="1">
      <c r="A22" s="24">
        <f>'PERFIL_HH'!$O$21</f>
        <v/>
      </c>
      <c r="B22" s="24">
        <f>COUNTIFS('ORDENES'!$O$4:$O$1203,$A22,'ORDENES'!$T$4:$T$1203,"sí")</f>
        <v/>
      </c>
      <c r="C22" s="24">
        <f>COUNTIFS('ORDENES'!$O$4:$O$1203,$A22,'ORDENES'!$N$4:$N$1203,"Cerrada",'ORDENES'!$T$4:$T$1203,"sí")</f>
        <v/>
      </c>
      <c r="D22" s="27">
        <f>IF(B22=0,"",C22/B22)</f>
        <v/>
      </c>
      <c r="E22" s="25">
        <f>SUMIFS('ORDENES'!$M$4:$M$1203,'ORDENES'!$O$4:$O$1203,$A22,'ORDENES'!$T$4:$T$1203,"sí")</f>
        <v/>
      </c>
      <c r="F22" s="25">
        <f>SUMIFS('ORDENES'!$M$4:$M$1203,'ORDENES'!$O$4:$O$1203,$A22,'ORDENES'!$N$4:$N$1203,"Cerrada",'ORDENES'!$T$4:$T$1203,"sí")</f>
        <v/>
      </c>
      <c r="G22" s="27">
        <f>IF(E22=0,"",F22/E22)</f>
        <v/>
      </c>
      <c r="H22" s="28">
        <f>p_meta_adherencia</f>
        <v/>
      </c>
    </row>
    <row r="23" hidden="1">
      <c r="A23" s="24">
        <f>'PERFIL_HH'!$O$22</f>
        <v/>
      </c>
      <c r="B23" s="24">
        <f>COUNTIFS('ORDENES'!$O$4:$O$1203,$A23,'ORDENES'!$T$4:$T$1203,"sí")</f>
        <v/>
      </c>
      <c r="C23" s="24">
        <f>COUNTIFS('ORDENES'!$O$4:$O$1203,$A23,'ORDENES'!$N$4:$N$1203,"Cerrada",'ORDENES'!$T$4:$T$1203,"sí")</f>
        <v/>
      </c>
      <c r="D23" s="27">
        <f>IF(B23=0,"",C23/B23)</f>
        <v/>
      </c>
      <c r="E23" s="25">
        <f>SUMIFS('ORDENES'!$M$4:$M$1203,'ORDENES'!$O$4:$O$1203,$A23,'ORDENES'!$T$4:$T$1203,"sí")</f>
        <v/>
      </c>
      <c r="F23" s="25">
        <f>SUMIFS('ORDENES'!$M$4:$M$1203,'ORDENES'!$O$4:$O$1203,$A23,'ORDENES'!$N$4:$N$1203,"Cerrada",'ORDENES'!$T$4:$T$1203,"sí")</f>
        <v/>
      </c>
      <c r="G23" s="27">
        <f>IF(E23=0,"",F23/E23)</f>
        <v/>
      </c>
      <c r="H23" s="28">
        <f>p_meta_adherencia</f>
        <v/>
      </c>
    </row>
    <row r="24" hidden="1">
      <c r="A24" s="24">
        <f>'PERFIL_HH'!$O$23</f>
        <v/>
      </c>
      <c r="B24" s="24">
        <f>COUNTIFS('ORDENES'!$O$4:$O$1203,$A24,'ORDENES'!$T$4:$T$1203,"sí")</f>
        <v/>
      </c>
      <c r="C24" s="24">
        <f>COUNTIFS('ORDENES'!$O$4:$O$1203,$A24,'ORDENES'!$N$4:$N$1203,"Cerrada",'ORDENES'!$T$4:$T$1203,"sí")</f>
        <v/>
      </c>
      <c r="D24" s="27">
        <f>IF(B24=0,"",C24/B24)</f>
        <v/>
      </c>
      <c r="E24" s="25">
        <f>SUMIFS('ORDENES'!$M$4:$M$1203,'ORDENES'!$O$4:$O$1203,$A24,'ORDENES'!$T$4:$T$1203,"sí")</f>
        <v/>
      </c>
      <c r="F24" s="25">
        <f>SUMIFS('ORDENES'!$M$4:$M$1203,'ORDENES'!$O$4:$O$1203,$A24,'ORDENES'!$N$4:$N$1203,"Cerrada",'ORDENES'!$T$4:$T$1203,"sí")</f>
        <v/>
      </c>
      <c r="G24" s="27">
        <f>IF(E24=0,"",F24/E24)</f>
        <v/>
      </c>
      <c r="H24" s="28">
        <f>p_meta_adherencia</f>
        <v/>
      </c>
    </row>
    <row r="25" hidden="1">
      <c r="A25" s="24">
        <f>'PERFIL_HH'!$O$24</f>
        <v/>
      </c>
      <c r="B25" s="24">
        <f>COUNTIFS('ORDENES'!$O$4:$O$1203,$A25,'ORDENES'!$T$4:$T$1203,"sí")</f>
        <v/>
      </c>
      <c r="C25" s="24">
        <f>COUNTIFS('ORDENES'!$O$4:$O$1203,$A25,'ORDENES'!$N$4:$N$1203,"Cerrada",'ORDENES'!$T$4:$T$1203,"sí")</f>
        <v/>
      </c>
      <c r="D25" s="27">
        <f>IF(B25=0,"",C25/B25)</f>
        <v/>
      </c>
      <c r="E25" s="25">
        <f>SUMIFS('ORDENES'!$M$4:$M$1203,'ORDENES'!$O$4:$O$1203,$A25,'ORDENES'!$T$4:$T$1203,"sí")</f>
        <v/>
      </c>
      <c r="F25" s="25">
        <f>SUMIFS('ORDENES'!$M$4:$M$1203,'ORDENES'!$O$4:$O$1203,$A25,'ORDENES'!$N$4:$N$1203,"Cerrada",'ORDENES'!$T$4:$T$1203,"sí")</f>
        <v/>
      </c>
      <c r="G25" s="27">
        <f>IF(E25=0,"",F25/E25)</f>
        <v/>
      </c>
      <c r="H25" s="28">
        <f>p_meta_adherencia</f>
        <v/>
      </c>
    </row>
    <row r="26" hidden="1">
      <c r="A26" s="24">
        <f>'PERFIL_HH'!$O$25</f>
        <v/>
      </c>
      <c r="B26" s="24">
        <f>COUNTIFS('ORDENES'!$O$4:$O$1203,$A26,'ORDENES'!$T$4:$T$1203,"sí")</f>
        <v/>
      </c>
      <c r="C26" s="24">
        <f>COUNTIFS('ORDENES'!$O$4:$O$1203,$A26,'ORDENES'!$N$4:$N$1203,"Cerrada",'ORDENES'!$T$4:$T$1203,"sí")</f>
        <v/>
      </c>
      <c r="D26" s="27">
        <f>IF(B26=0,"",C26/B26)</f>
        <v/>
      </c>
      <c r="E26" s="25">
        <f>SUMIFS('ORDENES'!$M$4:$M$1203,'ORDENES'!$O$4:$O$1203,$A26,'ORDENES'!$T$4:$T$1203,"sí")</f>
        <v/>
      </c>
      <c r="F26" s="25">
        <f>SUMIFS('ORDENES'!$M$4:$M$1203,'ORDENES'!$O$4:$O$1203,$A26,'ORDENES'!$N$4:$N$1203,"Cerrada",'ORDENES'!$T$4:$T$1203,"sí")</f>
        <v/>
      </c>
      <c r="G26" s="27">
        <f>IF(E26=0,"",F26/E26)</f>
        <v/>
      </c>
      <c r="H26" s="28">
        <f>p_meta_adherencia</f>
        <v/>
      </c>
    </row>
    <row r="27" hidden="1">
      <c r="A27" s="24">
        <f>'PERFIL_HH'!$O$26</f>
        <v/>
      </c>
      <c r="B27" s="24">
        <f>COUNTIFS('ORDENES'!$O$4:$O$1203,$A27,'ORDENES'!$T$4:$T$1203,"sí")</f>
        <v/>
      </c>
      <c r="C27" s="24">
        <f>COUNTIFS('ORDENES'!$O$4:$O$1203,$A27,'ORDENES'!$N$4:$N$1203,"Cerrada",'ORDENES'!$T$4:$T$1203,"sí")</f>
        <v/>
      </c>
      <c r="D27" s="27">
        <f>IF(B27=0,"",C27/B27)</f>
        <v/>
      </c>
      <c r="E27" s="25">
        <f>SUMIFS('ORDENES'!$M$4:$M$1203,'ORDENES'!$O$4:$O$1203,$A27,'ORDENES'!$T$4:$T$1203,"sí")</f>
        <v/>
      </c>
      <c r="F27" s="25">
        <f>SUMIFS('ORDENES'!$M$4:$M$1203,'ORDENES'!$O$4:$O$1203,$A27,'ORDENES'!$N$4:$N$1203,"Cerrada",'ORDENES'!$T$4:$T$1203,"sí")</f>
        <v/>
      </c>
      <c r="G27" s="27">
        <f>IF(E27=0,"",F27/E27)</f>
        <v/>
      </c>
      <c r="H27" s="28">
        <f>p_meta_adherencia</f>
        <v/>
      </c>
    </row>
    <row r="28" hidden="1">
      <c r="A28" s="24">
        <f>'PERFIL_HH'!$O$27</f>
        <v/>
      </c>
      <c r="B28" s="24">
        <f>COUNTIFS('ORDENES'!$O$4:$O$1203,$A28,'ORDENES'!$T$4:$T$1203,"sí")</f>
        <v/>
      </c>
      <c r="C28" s="24">
        <f>COUNTIFS('ORDENES'!$O$4:$O$1203,$A28,'ORDENES'!$N$4:$N$1203,"Cerrada",'ORDENES'!$T$4:$T$1203,"sí")</f>
        <v/>
      </c>
      <c r="D28" s="27">
        <f>IF(B28=0,"",C28/B28)</f>
        <v/>
      </c>
      <c r="E28" s="25">
        <f>SUMIFS('ORDENES'!$M$4:$M$1203,'ORDENES'!$O$4:$O$1203,$A28,'ORDENES'!$T$4:$T$1203,"sí")</f>
        <v/>
      </c>
      <c r="F28" s="25">
        <f>SUMIFS('ORDENES'!$M$4:$M$1203,'ORDENES'!$O$4:$O$1203,$A28,'ORDENES'!$N$4:$N$1203,"Cerrada",'ORDENES'!$T$4:$T$1203,"sí")</f>
        <v/>
      </c>
      <c r="G28" s="27">
        <f>IF(E28=0,"",F28/E28)</f>
        <v/>
      </c>
      <c r="H28" s="28">
        <f>p_meta_adherencia</f>
        <v/>
      </c>
    </row>
    <row r="29" hidden="1">
      <c r="A29" s="24">
        <f>'PERFIL_HH'!$O$28</f>
        <v/>
      </c>
      <c r="B29" s="24">
        <f>COUNTIFS('ORDENES'!$O$4:$O$1203,$A29,'ORDENES'!$T$4:$T$1203,"sí")</f>
        <v/>
      </c>
      <c r="C29" s="24">
        <f>COUNTIFS('ORDENES'!$O$4:$O$1203,$A29,'ORDENES'!$N$4:$N$1203,"Cerrada",'ORDENES'!$T$4:$T$1203,"sí")</f>
        <v/>
      </c>
      <c r="D29" s="27">
        <f>IF(B29=0,"",C29/B29)</f>
        <v/>
      </c>
      <c r="E29" s="25">
        <f>SUMIFS('ORDENES'!$M$4:$M$1203,'ORDENES'!$O$4:$O$1203,$A29,'ORDENES'!$T$4:$T$1203,"sí")</f>
        <v/>
      </c>
      <c r="F29" s="25">
        <f>SUMIFS('ORDENES'!$M$4:$M$1203,'ORDENES'!$O$4:$O$1203,$A29,'ORDENES'!$N$4:$N$1203,"Cerrada",'ORDENES'!$T$4:$T$1203,"sí")</f>
        <v/>
      </c>
      <c r="G29" s="27">
        <f>IF(E29=0,"",F29/E29)</f>
        <v/>
      </c>
      <c r="H29" s="28">
        <f>p_meta_adherencia</f>
        <v/>
      </c>
    </row>
    <row r="30" hidden="1">
      <c r="A30" s="24">
        <f>'PERFIL_HH'!$O$29</f>
        <v/>
      </c>
      <c r="B30" s="24">
        <f>COUNTIFS('ORDENES'!$O$4:$O$1203,$A30,'ORDENES'!$T$4:$T$1203,"sí")</f>
        <v/>
      </c>
      <c r="C30" s="24">
        <f>COUNTIFS('ORDENES'!$O$4:$O$1203,$A30,'ORDENES'!$N$4:$N$1203,"Cerrada",'ORDENES'!$T$4:$T$1203,"sí")</f>
        <v/>
      </c>
      <c r="D30" s="27">
        <f>IF(B30=0,"",C30/B30)</f>
        <v/>
      </c>
      <c r="E30" s="25">
        <f>SUMIFS('ORDENES'!$M$4:$M$1203,'ORDENES'!$O$4:$O$1203,$A30,'ORDENES'!$T$4:$T$1203,"sí")</f>
        <v/>
      </c>
      <c r="F30" s="25">
        <f>SUMIFS('ORDENES'!$M$4:$M$1203,'ORDENES'!$O$4:$O$1203,$A30,'ORDENES'!$N$4:$N$1203,"Cerrada",'ORDENES'!$T$4:$T$1203,"sí")</f>
        <v/>
      </c>
      <c r="G30" s="27">
        <f>IF(E30=0,"",F30/E30)</f>
        <v/>
      </c>
      <c r="H30" s="28">
        <f>p_meta_adherencia</f>
        <v/>
      </c>
    </row>
    <row r="31" hidden="1">
      <c r="A31" s="24">
        <f>'PERFIL_HH'!$O$30</f>
        <v/>
      </c>
      <c r="B31" s="24">
        <f>COUNTIFS('ORDENES'!$O$4:$O$1203,$A31,'ORDENES'!$T$4:$T$1203,"sí")</f>
        <v/>
      </c>
      <c r="C31" s="24">
        <f>COUNTIFS('ORDENES'!$O$4:$O$1203,$A31,'ORDENES'!$N$4:$N$1203,"Cerrada",'ORDENES'!$T$4:$T$1203,"sí")</f>
        <v/>
      </c>
      <c r="D31" s="27">
        <f>IF(B31=0,"",C31/B31)</f>
        <v/>
      </c>
      <c r="E31" s="25">
        <f>SUMIFS('ORDENES'!$M$4:$M$1203,'ORDENES'!$O$4:$O$1203,$A31,'ORDENES'!$T$4:$T$1203,"sí")</f>
        <v/>
      </c>
      <c r="F31" s="25">
        <f>SUMIFS('ORDENES'!$M$4:$M$1203,'ORDENES'!$O$4:$O$1203,$A31,'ORDENES'!$N$4:$N$1203,"Cerrada",'ORDENES'!$T$4:$T$1203,"sí")</f>
        <v/>
      </c>
      <c r="G31" s="27">
        <f>IF(E31=0,"",F31/E31)</f>
        <v/>
      </c>
      <c r="H31" s="28">
        <f>p_meta_adherencia</f>
        <v/>
      </c>
    </row>
    <row r="32" hidden="1">
      <c r="A32" s="24">
        <f>'PERFIL_HH'!$O$31</f>
        <v/>
      </c>
      <c r="B32" s="24">
        <f>COUNTIFS('ORDENES'!$O$4:$O$1203,$A32,'ORDENES'!$T$4:$T$1203,"sí")</f>
        <v/>
      </c>
      <c r="C32" s="24">
        <f>COUNTIFS('ORDENES'!$O$4:$O$1203,$A32,'ORDENES'!$N$4:$N$1203,"Cerrada",'ORDENES'!$T$4:$T$1203,"sí")</f>
        <v/>
      </c>
      <c r="D32" s="27">
        <f>IF(B32=0,"",C32/B32)</f>
        <v/>
      </c>
      <c r="E32" s="25">
        <f>SUMIFS('ORDENES'!$M$4:$M$1203,'ORDENES'!$O$4:$O$1203,$A32,'ORDENES'!$T$4:$T$1203,"sí")</f>
        <v/>
      </c>
      <c r="F32" s="25">
        <f>SUMIFS('ORDENES'!$M$4:$M$1203,'ORDENES'!$O$4:$O$1203,$A32,'ORDENES'!$N$4:$N$1203,"Cerrada",'ORDENES'!$T$4:$T$1203,"sí")</f>
        <v/>
      </c>
      <c r="G32" s="27">
        <f>IF(E32=0,"",F32/E32)</f>
        <v/>
      </c>
      <c r="H32" s="28">
        <f>p_meta_adherencia</f>
        <v/>
      </c>
    </row>
    <row r="33" hidden="1">
      <c r="A33" s="24">
        <f>'PERFIL_HH'!$O$32</f>
        <v/>
      </c>
      <c r="B33" s="24">
        <f>COUNTIFS('ORDENES'!$O$4:$O$1203,$A33,'ORDENES'!$T$4:$T$1203,"sí")</f>
        <v/>
      </c>
      <c r="C33" s="24">
        <f>COUNTIFS('ORDENES'!$O$4:$O$1203,$A33,'ORDENES'!$N$4:$N$1203,"Cerrada",'ORDENES'!$T$4:$T$1203,"sí")</f>
        <v/>
      </c>
      <c r="D33" s="27">
        <f>IF(B33=0,"",C33/B33)</f>
        <v/>
      </c>
      <c r="E33" s="25">
        <f>SUMIFS('ORDENES'!$M$4:$M$1203,'ORDENES'!$O$4:$O$1203,$A33,'ORDENES'!$T$4:$T$1203,"sí")</f>
        <v/>
      </c>
      <c r="F33" s="25">
        <f>SUMIFS('ORDENES'!$M$4:$M$1203,'ORDENES'!$O$4:$O$1203,$A33,'ORDENES'!$N$4:$N$1203,"Cerrada",'ORDENES'!$T$4:$T$1203,"sí")</f>
        <v/>
      </c>
      <c r="G33" s="27">
        <f>IF(E33=0,"",F33/E33)</f>
        <v/>
      </c>
      <c r="H33" s="28">
        <f>p_meta_adherencia</f>
        <v/>
      </c>
    </row>
    <row r="34" hidden="1">
      <c r="A34" s="24">
        <f>'PERFIL_HH'!$O$33</f>
        <v/>
      </c>
      <c r="B34" s="24">
        <f>COUNTIFS('ORDENES'!$O$4:$O$1203,$A34,'ORDENES'!$T$4:$T$1203,"sí")</f>
        <v/>
      </c>
      <c r="C34" s="24">
        <f>COUNTIFS('ORDENES'!$O$4:$O$1203,$A34,'ORDENES'!$N$4:$N$1203,"Cerrada",'ORDENES'!$T$4:$T$1203,"sí")</f>
        <v/>
      </c>
      <c r="D34" s="27">
        <f>IF(B34=0,"",C34/B34)</f>
        <v/>
      </c>
      <c r="E34" s="25">
        <f>SUMIFS('ORDENES'!$M$4:$M$1203,'ORDENES'!$O$4:$O$1203,$A34,'ORDENES'!$T$4:$T$1203,"sí")</f>
        <v/>
      </c>
      <c r="F34" s="25">
        <f>SUMIFS('ORDENES'!$M$4:$M$1203,'ORDENES'!$O$4:$O$1203,$A34,'ORDENES'!$N$4:$N$1203,"Cerrada",'ORDENES'!$T$4:$T$1203,"sí")</f>
        <v/>
      </c>
      <c r="G34" s="27">
        <f>IF(E34=0,"",F34/E34)</f>
        <v/>
      </c>
      <c r="H34" s="28">
        <f>p_meta_adherencia</f>
        <v/>
      </c>
    </row>
    <row r="35" hidden="1">
      <c r="A35" s="24">
        <f>'PERFIL_HH'!$O$34</f>
        <v/>
      </c>
      <c r="B35" s="24">
        <f>COUNTIFS('ORDENES'!$O$4:$O$1203,$A35,'ORDENES'!$T$4:$T$1203,"sí")</f>
        <v/>
      </c>
      <c r="C35" s="24">
        <f>COUNTIFS('ORDENES'!$O$4:$O$1203,$A35,'ORDENES'!$N$4:$N$1203,"Cerrada",'ORDENES'!$T$4:$T$1203,"sí")</f>
        <v/>
      </c>
      <c r="D35" s="27">
        <f>IF(B35=0,"",C35/B35)</f>
        <v/>
      </c>
      <c r="E35" s="25">
        <f>SUMIFS('ORDENES'!$M$4:$M$1203,'ORDENES'!$O$4:$O$1203,$A35,'ORDENES'!$T$4:$T$1203,"sí")</f>
        <v/>
      </c>
      <c r="F35" s="25">
        <f>SUMIFS('ORDENES'!$M$4:$M$1203,'ORDENES'!$O$4:$O$1203,$A35,'ORDENES'!$N$4:$N$1203,"Cerrada",'ORDENES'!$T$4:$T$1203,"sí")</f>
        <v/>
      </c>
      <c r="G35" s="27">
        <f>IF(E35=0,"",F35/E35)</f>
        <v/>
      </c>
      <c r="H35" s="28">
        <f>p_meta_adherencia</f>
        <v/>
      </c>
    </row>
    <row r="36" hidden="1">
      <c r="A36" s="24">
        <f>'PERFIL_HH'!$O$35</f>
        <v/>
      </c>
      <c r="B36" s="24">
        <f>COUNTIFS('ORDENES'!$O$4:$O$1203,$A36,'ORDENES'!$T$4:$T$1203,"sí")</f>
        <v/>
      </c>
      <c r="C36" s="24">
        <f>COUNTIFS('ORDENES'!$O$4:$O$1203,$A36,'ORDENES'!$N$4:$N$1203,"Cerrada",'ORDENES'!$T$4:$T$1203,"sí")</f>
        <v/>
      </c>
      <c r="D36" s="27">
        <f>IF(B36=0,"",C36/B36)</f>
        <v/>
      </c>
      <c r="E36" s="25">
        <f>SUMIFS('ORDENES'!$M$4:$M$1203,'ORDENES'!$O$4:$O$1203,$A36,'ORDENES'!$T$4:$T$1203,"sí")</f>
        <v/>
      </c>
      <c r="F36" s="25">
        <f>SUMIFS('ORDENES'!$M$4:$M$1203,'ORDENES'!$O$4:$O$1203,$A36,'ORDENES'!$N$4:$N$1203,"Cerrada",'ORDENES'!$T$4:$T$1203,"sí")</f>
        <v/>
      </c>
      <c r="G36" s="27">
        <f>IF(E36=0,"",F36/E36)</f>
        <v/>
      </c>
      <c r="H36" s="28">
        <f>p_meta_adherencia</f>
        <v/>
      </c>
    </row>
    <row r="37" hidden="1">
      <c r="A37" s="24">
        <f>'PERFIL_HH'!$O$36</f>
        <v/>
      </c>
      <c r="B37" s="24">
        <f>COUNTIFS('ORDENES'!$O$4:$O$1203,$A37,'ORDENES'!$T$4:$T$1203,"sí")</f>
        <v/>
      </c>
      <c r="C37" s="24">
        <f>COUNTIFS('ORDENES'!$O$4:$O$1203,$A37,'ORDENES'!$N$4:$N$1203,"Cerrada",'ORDENES'!$T$4:$T$1203,"sí")</f>
        <v/>
      </c>
      <c r="D37" s="27">
        <f>IF(B37=0,"",C37/B37)</f>
        <v/>
      </c>
      <c r="E37" s="25">
        <f>SUMIFS('ORDENES'!$M$4:$M$1203,'ORDENES'!$O$4:$O$1203,$A37,'ORDENES'!$T$4:$T$1203,"sí")</f>
        <v/>
      </c>
      <c r="F37" s="25">
        <f>SUMIFS('ORDENES'!$M$4:$M$1203,'ORDENES'!$O$4:$O$1203,$A37,'ORDENES'!$N$4:$N$1203,"Cerrada",'ORDENES'!$T$4:$T$1203,"sí")</f>
        <v/>
      </c>
      <c r="G37" s="27">
        <f>IF(E37=0,"",F37/E37)</f>
        <v/>
      </c>
      <c r="H37" s="28">
        <f>p_meta_adherencia</f>
        <v/>
      </c>
    </row>
    <row r="38" hidden="1">
      <c r="A38" s="24">
        <f>'PERFIL_HH'!$O$37</f>
        <v/>
      </c>
      <c r="B38" s="24">
        <f>COUNTIFS('ORDENES'!$O$4:$O$1203,$A38,'ORDENES'!$T$4:$T$1203,"sí")</f>
        <v/>
      </c>
      <c r="C38" s="24">
        <f>COUNTIFS('ORDENES'!$O$4:$O$1203,$A38,'ORDENES'!$N$4:$N$1203,"Cerrada",'ORDENES'!$T$4:$T$1203,"sí")</f>
        <v/>
      </c>
      <c r="D38" s="27">
        <f>IF(B38=0,"",C38/B38)</f>
        <v/>
      </c>
      <c r="E38" s="25">
        <f>SUMIFS('ORDENES'!$M$4:$M$1203,'ORDENES'!$O$4:$O$1203,$A38,'ORDENES'!$T$4:$T$1203,"sí")</f>
        <v/>
      </c>
      <c r="F38" s="25">
        <f>SUMIFS('ORDENES'!$M$4:$M$1203,'ORDENES'!$O$4:$O$1203,$A38,'ORDENES'!$N$4:$N$1203,"Cerrada",'ORDENES'!$T$4:$T$1203,"sí")</f>
        <v/>
      </c>
      <c r="G38" s="27">
        <f>IF(E38=0,"",F38/E38)</f>
        <v/>
      </c>
      <c r="H38" s="28">
        <f>p_meta_adherencia</f>
        <v/>
      </c>
    </row>
    <row r="39" hidden="1">
      <c r="A39" s="24">
        <f>'PERFIL_HH'!$O$38</f>
        <v/>
      </c>
      <c r="B39" s="24">
        <f>COUNTIFS('ORDENES'!$O$4:$O$1203,$A39,'ORDENES'!$T$4:$T$1203,"sí")</f>
        <v/>
      </c>
      <c r="C39" s="24">
        <f>COUNTIFS('ORDENES'!$O$4:$O$1203,$A39,'ORDENES'!$N$4:$N$1203,"Cerrada",'ORDENES'!$T$4:$T$1203,"sí")</f>
        <v/>
      </c>
      <c r="D39" s="27">
        <f>IF(B39=0,"",C39/B39)</f>
        <v/>
      </c>
      <c r="E39" s="25">
        <f>SUMIFS('ORDENES'!$M$4:$M$1203,'ORDENES'!$O$4:$O$1203,$A39,'ORDENES'!$T$4:$T$1203,"sí")</f>
        <v/>
      </c>
      <c r="F39" s="25">
        <f>SUMIFS('ORDENES'!$M$4:$M$1203,'ORDENES'!$O$4:$O$1203,$A39,'ORDENES'!$N$4:$N$1203,"Cerrada",'ORDENES'!$T$4:$T$1203,"sí")</f>
        <v/>
      </c>
      <c r="G39" s="27">
        <f>IF(E39=0,"",F39/E39)</f>
        <v/>
      </c>
      <c r="H39" s="28">
        <f>p_meta_adherencia</f>
        <v/>
      </c>
    </row>
    <row r="40" hidden="1">
      <c r="A40" s="24">
        <f>'PERFIL_HH'!$O$39</f>
        <v/>
      </c>
      <c r="B40" s="24">
        <f>COUNTIFS('ORDENES'!$O$4:$O$1203,$A40,'ORDENES'!$T$4:$T$1203,"sí")</f>
        <v/>
      </c>
      <c r="C40" s="24">
        <f>COUNTIFS('ORDENES'!$O$4:$O$1203,$A40,'ORDENES'!$N$4:$N$1203,"Cerrada",'ORDENES'!$T$4:$T$1203,"sí")</f>
        <v/>
      </c>
      <c r="D40" s="27">
        <f>IF(B40=0,"",C40/B40)</f>
        <v/>
      </c>
      <c r="E40" s="25">
        <f>SUMIFS('ORDENES'!$M$4:$M$1203,'ORDENES'!$O$4:$O$1203,$A40,'ORDENES'!$T$4:$T$1203,"sí")</f>
        <v/>
      </c>
      <c r="F40" s="25">
        <f>SUMIFS('ORDENES'!$M$4:$M$1203,'ORDENES'!$O$4:$O$1203,$A40,'ORDENES'!$N$4:$N$1203,"Cerrada",'ORDENES'!$T$4:$T$1203,"sí")</f>
        <v/>
      </c>
      <c r="G40" s="27">
        <f>IF(E40=0,"",F40/E40)</f>
        <v/>
      </c>
      <c r="H40" s="28">
        <f>p_meta_adherencia</f>
        <v/>
      </c>
    </row>
    <row r="41" hidden="1">
      <c r="A41" s="24">
        <f>'PERFIL_HH'!$O$40</f>
        <v/>
      </c>
      <c r="B41" s="24">
        <f>COUNTIFS('ORDENES'!$O$4:$O$1203,$A41,'ORDENES'!$T$4:$T$1203,"sí")</f>
        <v/>
      </c>
      <c r="C41" s="24">
        <f>COUNTIFS('ORDENES'!$O$4:$O$1203,$A41,'ORDENES'!$N$4:$N$1203,"Cerrada",'ORDENES'!$T$4:$T$1203,"sí")</f>
        <v/>
      </c>
      <c r="D41" s="27">
        <f>IF(B41=0,"",C41/B41)</f>
        <v/>
      </c>
      <c r="E41" s="25">
        <f>SUMIFS('ORDENES'!$M$4:$M$1203,'ORDENES'!$O$4:$O$1203,$A41,'ORDENES'!$T$4:$T$1203,"sí")</f>
        <v/>
      </c>
      <c r="F41" s="25">
        <f>SUMIFS('ORDENES'!$M$4:$M$1203,'ORDENES'!$O$4:$O$1203,$A41,'ORDENES'!$N$4:$N$1203,"Cerrada",'ORDENES'!$T$4:$T$1203,"sí")</f>
        <v/>
      </c>
      <c r="G41" s="27">
        <f>IF(E41=0,"",F41/E41)</f>
        <v/>
      </c>
      <c r="H41" s="28">
        <f>p_meta_adherencia</f>
        <v/>
      </c>
    </row>
    <row r="42" hidden="1">
      <c r="A42" s="24">
        <f>'PERFIL_HH'!$O$41</f>
        <v/>
      </c>
      <c r="B42" s="24">
        <f>COUNTIFS('ORDENES'!$O$4:$O$1203,$A42,'ORDENES'!$T$4:$T$1203,"sí")</f>
        <v/>
      </c>
      <c r="C42" s="24">
        <f>COUNTIFS('ORDENES'!$O$4:$O$1203,$A42,'ORDENES'!$N$4:$N$1203,"Cerrada",'ORDENES'!$T$4:$T$1203,"sí")</f>
        <v/>
      </c>
      <c r="D42" s="27">
        <f>IF(B42=0,"",C42/B42)</f>
        <v/>
      </c>
      <c r="E42" s="25">
        <f>SUMIFS('ORDENES'!$M$4:$M$1203,'ORDENES'!$O$4:$O$1203,$A42,'ORDENES'!$T$4:$T$1203,"sí")</f>
        <v/>
      </c>
      <c r="F42" s="25">
        <f>SUMIFS('ORDENES'!$M$4:$M$1203,'ORDENES'!$O$4:$O$1203,$A42,'ORDENES'!$N$4:$N$1203,"Cerrada",'ORDENES'!$T$4:$T$1203,"sí")</f>
        <v/>
      </c>
      <c r="G42" s="27">
        <f>IF(E42=0,"",F42/E42)</f>
        <v/>
      </c>
      <c r="H42" s="28">
        <f>p_meta_adherencia</f>
        <v/>
      </c>
    </row>
    <row r="43" hidden="1">
      <c r="A43" s="24">
        <f>'PERFIL_HH'!$O$42</f>
        <v/>
      </c>
      <c r="B43" s="24">
        <f>COUNTIFS('ORDENES'!$O$4:$O$1203,$A43,'ORDENES'!$T$4:$T$1203,"sí")</f>
        <v/>
      </c>
      <c r="C43" s="24">
        <f>COUNTIFS('ORDENES'!$O$4:$O$1203,$A43,'ORDENES'!$N$4:$N$1203,"Cerrada",'ORDENES'!$T$4:$T$1203,"sí")</f>
        <v/>
      </c>
      <c r="D43" s="27">
        <f>IF(B43=0,"",C43/B43)</f>
        <v/>
      </c>
      <c r="E43" s="25">
        <f>SUMIFS('ORDENES'!$M$4:$M$1203,'ORDENES'!$O$4:$O$1203,$A43,'ORDENES'!$T$4:$T$1203,"sí")</f>
        <v/>
      </c>
      <c r="F43" s="25">
        <f>SUMIFS('ORDENES'!$M$4:$M$1203,'ORDENES'!$O$4:$O$1203,$A43,'ORDENES'!$N$4:$N$1203,"Cerrada",'ORDENES'!$T$4:$T$1203,"sí")</f>
        <v/>
      </c>
      <c r="G43" s="27">
        <f>IF(E43=0,"",F43/E43)</f>
        <v/>
      </c>
      <c r="H43" s="28">
        <f>p_meta_adherencia</f>
        <v/>
      </c>
    </row>
    <row r="44" hidden="1">
      <c r="A44" s="24">
        <f>'PERFIL_HH'!$O$43</f>
        <v/>
      </c>
      <c r="B44" s="24">
        <f>COUNTIFS('ORDENES'!$O$4:$O$1203,$A44,'ORDENES'!$T$4:$T$1203,"sí")</f>
        <v/>
      </c>
      <c r="C44" s="24">
        <f>COUNTIFS('ORDENES'!$O$4:$O$1203,$A44,'ORDENES'!$N$4:$N$1203,"Cerrada",'ORDENES'!$T$4:$T$1203,"sí")</f>
        <v/>
      </c>
      <c r="D44" s="27">
        <f>IF(B44=0,"",C44/B44)</f>
        <v/>
      </c>
      <c r="E44" s="25">
        <f>SUMIFS('ORDENES'!$M$4:$M$1203,'ORDENES'!$O$4:$O$1203,$A44,'ORDENES'!$T$4:$T$1203,"sí")</f>
        <v/>
      </c>
      <c r="F44" s="25">
        <f>SUMIFS('ORDENES'!$M$4:$M$1203,'ORDENES'!$O$4:$O$1203,$A44,'ORDENES'!$N$4:$N$1203,"Cerrada",'ORDENES'!$T$4:$T$1203,"sí")</f>
        <v/>
      </c>
      <c r="G44" s="27">
        <f>IF(E44=0,"",F44/E44)</f>
        <v/>
      </c>
      <c r="H44" s="28">
        <f>p_meta_adherencia</f>
        <v/>
      </c>
    </row>
    <row r="45" hidden="1">
      <c r="A45" s="24">
        <f>'PERFIL_HH'!$O$44</f>
        <v/>
      </c>
      <c r="B45" s="24">
        <f>COUNTIFS('ORDENES'!$O$4:$O$1203,$A45,'ORDENES'!$T$4:$T$1203,"sí")</f>
        <v/>
      </c>
      <c r="C45" s="24">
        <f>COUNTIFS('ORDENES'!$O$4:$O$1203,$A45,'ORDENES'!$N$4:$N$1203,"Cerrada",'ORDENES'!$T$4:$T$1203,"sí")</f>
        <v/>
      </c>
      <c r="D45" s="27">
        <f>IF(B45=0,"",C45/B45)</f>
        <v/>
      </c>
      <c r="E45" s="25">
        <f>SUMIFS('ORDENES'!$M$4:$M$1203,'ORDENES'!$O$4:$O$1203,$A45,'ORDENES'!$T$4:$T$1203,"sí")</f>
        <v/>
      </c>
      <c r="F45" s="25">
        <f>SUMIFS('ORDENES'!$M$4:$M$1203,'ORDENES'!$O$4:$O$1203,$A45,'ORDENES'!$N$4:$N$1203,"Cerrada",'ORDENES'!$T$4:$T$1203,"sí")</f>
        <v/>
      </c>
      <c r="G45" s="27">
        <f>IF(E45=0,"",F45/E45)</f>
        <v/>
      </c>
      <c r="H45" s="28">
        <f>p_meta_adherencia</f>
        <v/>
      </c>
    </row>
    <row r="46" hidden="1">
      <c r="A46" s="24">
        <f>'PERFIL_HH'!$O$45</f>
        <v/>
      </c>
      <c r="B46" s="24">
        <f>COUNTIFS('ORDENES'!$O$4:$O$1203,$A46,'ORDENES'!$T$4:$T$1203,"sí")</f>
        <v/>
      </c>
      <c r="C46" s="24">
        <f>COUNTIFS('ORDENES'!$O$4:$O$1203,$A46,'ORDENES'!$N$4:$N$1203,"Cerrada",'ORDENES'!$T$4:$T$1203,"sí")</f>
        <v/>
      </c>
      <c r="D46" s="27">
        <f>IF(B46=0,"",C46/B46)</f>
        <v/>
      </c>
      <c r="E46" s="25">
        <f>SUMIFS('ORDENES'!$M$4:$M$1203,'ORDENES'!$O$4:$O$1203,$A46,'ORDENES'!$T$4:$T$1203,"sí")</f>
        <v/>
      </c>
      <c r="F46" s="25">
        <f>SUMIFS('ORDENES'!$M$4:$M$1203,'ORDENES'!$O$4:$O$1203,$A46,'ORDENES'!$N$4:$N$1203,"Cerrada",'ORDENES'!$T$4:$T$1203,"sí")</f>
        <v/>
      </c>
      <c r="G46" s="27">
        <f>IF(E46=0,"",F46/E46)</f>
        <v/>
      </c>
      <c r="H46" s="28">
        <f>p_meta_adherencia</f>
        <v/>
      </c>
    </row>
    <row r="47" hidden="1">
      <c r="A47" s="24">
        <f>'PERFIL_HH'!$O$46</f>
        <v/>
      </c>
      <c r="B47" s="24">
        <f>COUNTIFS('ORDENES'!$O$4:$O$1203,$A47,'ORDENES'!$T$4:$T$1203,"sí")</f>
        <v/>
      </c>
      <c r="C47" s="24">
        <f>COUNTIFS('ORDENES'!$O$4:$O$1203,$A47,'ORDENES'!$N$4:$N$1203,"Cerrada",'ORDENES'!$T$4:$T$1203,"sí")</f>
        <v/>
      </c>
      <c r="D47" s="27">
        <f>IF(B47=0,"",C47/B47)</f>
        <v/>
      </c>
      <c r="E47" s="25">
        <f>SUMIFS('ORDENES'!$M$4:$M$1203,'ORDENES'!$O$4:$O$1203,$A47,'ORDENES'!$T$4:$T$1203,"sí")</f>
        <v/>
      </c>
      <c r="F47" s="25">
        <f>SUMIFS('ORDENES'!$M$4:$M$1203,'ORDENES'!$O$4:$O$1203,$A47,'ORDENES'!$N$4:$N$1203,"Cerrada",'ORDENES'!$T$4:$T$1203,"sí")</f>
        <v/>
      </c>
      <c r="G47" s="27">
        <f>IF(E47=0,"",F47/E47)</f>
        <v/>
      </c>
      <c r="H47" s="28">
        <f>p_meta_adherencia</f>
        <v/>
      </c>
    </row>
    <row r="48" hidden="1">
      <c r="A48" s="24">
        <f>'PERFIL_HH'!$O$47</f>
        <v/>
      </c>
      <c r="B48" s="24">
        <f>COUNTIFS('ORDENES'!$O$4:$O$1203,$A48,'ORDENES'!$T$4:$T$1203,"sí")</f>
        <v/>
      </c>
      <c r="C48" s="24">
        <f>COUNTIFS('ORDENES'!$O$4:$O$1203,$A48,'ORDENES'!$N$4:$N$1203,"Cerrada",'ORDENES'!$T$4:$T$1203,"sí")</f>
        <v/>
      </c>
      <c r="D48" s="27">
        <f>IF(B48=0,"",C48/B48)</f>
        <v/>
      </c>
      <c r="E48" s="25">
        <f>SUMIFS('ORDENES'!$M$4:$M$1203,'ORDENES'!$O$4:$O$1203,$A48,'ORDENES'!$T$4:$T$1203,"sí")</f>
        <v/>
      </c>
      <c r="F48" s="25">
        <f>SUMIFS('ORDENES'!$M$4:$M$1203,'ORDENES'!$O$4:$O$1203,$A48,'ORDENES'!$N$4:$N$1203,"Cerrada",'ORDENES'!$T$4:$T$1203,"sí")</f>
        <v/>
      </c>
      <c r="G48" s="27">
        <f>IF(E48=0,"",F48/E48)</f>
        <v/>
      </c>
      <c r="H48" s="28">
        <f>p_meta_adherencia</f>
        <v/>
      </c>
    </row>
    <row r="49" hidden="1">
      <c r="A49" s="24">
        <f>'PERFIL_HH'!$O$48</f>
        <v/>
      </c>
      <c r="B49" s="24">
        <f>COUNTIFS('ORDENES'!$O$4:$O$1203,$A49,'ORDENES'!$T$4:$T$1203,"sí")</f>
        <v/>
      </c>
      <c r="C49" s="24">
        <f>COUNTIFS('ORDENES'!$O$4:$O$1203,$A49,'ORDENES'!$N$4:$N$1203,"Cerrada",'ORDENES'!$T$4:$T$1203,"sí")</f>
        <v/>
      </c>
      <c r="D49" s="27">
        <f>IF(B49=0,"",C49/B49)</f>
        <v/>
      </c>
      <c r="E49" s="25">
        <f>SUMIFS('ORDENES'!$M$4:$M$1203,'ORDENES'!$O$4:$O$1203,$A49,'ORDENES'!$T$4:$T$1203,"sí")</f>
        <v/>
      </c>
      <c r="F49" s="25">
        <f>SUMIFS('ORDENES'!$M$4:$M$1203,'ORDENES'!$O$4:$O$1203,$A49,'ORDENES'!$N$4:$N$1203,"Cerrada",'ORDENES'!$T$4:$T$1203,"sí")</f>
        <v/>
      </c>
      <c r="G49" s="27">
        <f>IF(E49=0,"",F49/E49)</f>
        <v/>
      </c>
      <c r="H49" s="28">
        <f>p_meta_adherencia</f>
        <v/>
      </c>
    </row>
    <row r="50" hidden="1">
      <c r="A50" s="24">
        <f>'PERFIL_HH'!$O$49</f>
        <v/>
      </c>
      <c r="B50" s="24">
        <f>COUNTIFS('ORDENES'!$O$4:$O$1203,$A50,'ORDENES'!$T$4:$T$1203,"sí")</f>
        <v/>
      </c>
      <c r="C50" s="24">
        <f>COUNTIFS('ORDENES'!$O$4:$O$1203,$A50,'ORDENES'!$N$4:$N$1203,"Cerrada",'ORDENES'!$T$4:$T$1203,"sí")</f>
        <v/>
      </c>
      <c r="D50" s="27">
        <f>IF(B50=0,"",C50/B50)</f>
        <v/>
      </c>
      <c r="E50" s="25">
        <f>SUMIFS('ORDENES'!$M$4:$M$1203,'ORDENES'!$O$4:$O$1203,$A50,'ORDENES'!$T$4:$T$1203,"sí")</f>
        <v/>
      </c>
      <c r="F50" s="25">
        <f>SUMIFS('ORDENES'!$M$4:$M$1203,'ORDENES'!$O$4:$O$1203,$A50,'ORDENES'!$N$4:$N$1203,"Cerrada",'ORDENES'!$T$4:$T$1203,"sí")</f>
        <v/>
      </c>
      <c r="G50" s="27">
        <f>IF(E50=0,"",F50/E50)</f>
        <v/>
      </c>
      <c r="H50" s="28">
        <f>p_meta_adherencia</f>
        <v/>
      </c>
    </row>
    <row r="51" hidden="1">
      <c r="A51" s="24">
        <f>'PERFIL_HH'!$O$50</f>
        <v/>
      </c>
      <c r="B51" s="24">
        <f>COUNTIFS('ORDENES'!$O$4:$O$1203,$A51,'ORDENES'!$T$4:$T$1203,"sí")</f>
        <v/>
      </c>
      <c r="C51" s="24">
        <f>COUNTIFS('ORDENES'!$O$4:$O$1203,$A51,'ORDENES'!$N$4:$N$1203,"Cerrada",'ORDENES'!$T$4:$T$1203,"sí")</f>
        <v/>
      </c>
      <c r="D51" s="27">
        <f>IF(B51=0,"",C51/B51)</f>
        <v/>
      </c>
      <c r="E51" s="25">
        <f>SUMIFS('ORDENES'!$M$4:$M$1203,'ORDENES'!$O$4:$O$1203,$A51,'ORDENES'!$T$4:$T$1203,"sí")</f>
        <v/>
      </c>
      <c r="F51" s="25">
        <f>SUMIFS('ORDENES'!$M$4:$M$1203,'ORDENES'!$O$4:$O$1203,$A51,'ORDENES'!$N$4:$N$1203,"Cerrada",'ORDENES'!$T$4:$T$1203,"sí")</f>
        <v/>
      </c>
      <c r="G51" s="27">
        <f>IF(E51=0,"",F51/E51)</f>
        <v/>
      </c>
      <c r="H51" s="28">
        <f>p_meta_adherencia</f>
        <v/>
      </c>
    </row>
    <row r="52" hidden="1">
      <c r="A52" s="24">
        <f>'PERFIL_HH'!$O$51</f>
        <v/>
      </c>
      <c r="B52" s="24">
        <f>COUNTIFS('ORDENES'!$O$4:$O$1203,$A52,'ORDENES'!$T$4:$T$1203,"sí")</f>
        <v/>
      </c>
      <c r="C52" s="24">
        <f>COUNTIFS('ORDENES'!$O$4:$O$1203,$A52,'ORDENES'!$N$4:$N$1203,"Cerrada",'ORDENES'!$T$4:$T$1203,"sí")</f>
        <v/>
      </c>
      <c r="D52" s="27">
        <f>IF(B52=0,"",C52/B52)</f>
        <v/>
      </c>
      <c r="E52" s="25">
        <f>SUMIFS('ORDENES'!$M$4:$M$1203,'ORDENES'!$O$4:$O$1203,$A52,'ORDENES'!$T$4:$T$1203,"sí")</f>
        <v/>
      </c>
      <c r="F52" s="25">
        <f>SUMIFS('ORDENES'!$M$4:$M$1203,'ORDENES'!$O$4:$O$1203,$A52,'ORDENES'!$N$4:$N$1203,"Cerrada",'ORDENES'!$T$4:$T$1203,"sí")</f>
        <v/>
      </c>
      <c r="G52" s="27">
        <f>IF(E52=0,"",F52/E52)</f>
        <v/>
      </c>
      <c r="H52" s="28">
        <f>p_meta_adherencia</f>
        <v/>
      </c>
    </row>
    <row r="53" hidden="1">
      <c r="A53" s="24">
        <f>'PERFIL_HH'!$O$52</f>
        <v/>
      </c>
      <c r="B53" s="24">
        <f>COUNTIFS('ORDENES'!$O$4:$O$1203,$A53,'ORDENES'!$T$4:$T$1203,"sí")</f>
        <v/>
      </c>
      <c r="C53" s="24">
        <f>COUNTIFS('ORDENES'!$O$4:$O$1203,$A53,'ORDENES'!$N$4:$N$1203,"Cerrada",'ORDENES'!$T$4:$T$1203,"sí")</f>
        <v/>
      </c>
      <c r="D53" s="27">
        <f>IF(B53=0,"",C53/B53)</f>
        <v/>
      </c>
      <c r="E53" s="25">
        <f>SUMIFS('ORDENES'!$M$4:$M$1203,'ORDENES'!$O$4:$O$1203,$A53,'ORDENES'!$T$4:$T$1203,"sí")</f>
        <v/>
      </c>
      <c r="F53" s="25">
        <f>SUMIFS('ORDENES'!$M$4:$M$1203,'ORDENES'!$O$4:$O$1203,$A53,'ORDENES'!$N$4:$N$1203,"Cerrada",'ORDENES'!$T$4:$T$1203,"sí")</f>
        <v/>
      </c>
      <c r="G53" s="27">
        <f>IF(E53=0,"",F53/E53)</f>
        <v/>
      </c>
      <c r="H53" s="28">
        <f>p_meta_adherencia</f>
        <v/>
      </c>
    </row>
    <row r="54" hidden="1">
      <c r="A54" s="24">
        <f>'PERFIL_HH'!$O$53</f>
        <v/>
      </c>
      <c r="B54" s="24">
        <f>COUNTIFS('ORDENES'!$O$4:$O$1203,$A54,'ORDENES'!$T$4:$T$1203,"sí")</f>
        <v/>
      </c>
      <c r="C54" s="24">
        <f>COUNTIFS('ORDENES'!$O$4:$O$1203,$A54,'ORDENES'!$N$4:$N$1203,"Cerrada",'ORDENES'!$T$4:$T$1203,"sí")</f>
        <v/>
      </c>
      <c r="D54" s="27">
        <f>IF(B54=0,"",C54/B54)</f>
        <v/>
      </c>
      <c r="E54" s="25">
        <f>SUMIFS('ORDENES'!$M$4:$M$1203,'ORDENES'!$O$4:$O$1203,$A54,'ORDENES'!$T$4:$T$1203,"sí")</f>
        <v/>
      </c>
      <c r="F54" s="25">
        <f>SUMIFS('ORDENES'!$M$4:$M$1203,'ORDENES'!$O$4:$O$1203,$A54,'ORDENES'!$N$4:$N$1203,"Cerrada",'ORDENES'!$T$4:$T$1203,"sí")</f>
        <v/>
      </c>
      <c r="G54" s="27">
        <f>IF(E54=0,"",F54/E54)</f>
        <v/>
      </c>
      <c r="H54" s="28">
        <f>p_meta_adherencia</f>
        <v/>
      </c>
    </row>
    <row r="55" hidden="1">
      <c r="A55" s="24">
        <f>'PERFIL_HH'!$O$54</f>
        <v/>
      </c>
      <c r="B55" s="24">
        <f>COUNTIFS('ORDENES'!$O$4:$O$1203,$A55,'ORDENES'!$T$4:$T$1203,"sí")</f>
        <v/>
      </c>
      <c r="C55" s="24">
        <f>COUNTIFS('ORDENES'!$O$4:$O$1203,$A55,'ORDENES'!$N$4:$N$1203,"Cerrada",'ORDENES'!$T$4:$T$1203,"sí")</f>
        <v/>
      </c>
      <c r="D55" s="27">
        <f>IF(B55=0,"",C55/B55)</f>
        <v/>
      </c>
      <c r="E55" s="25">
        <f>SUMIFS('ORDENES'!$M$4:$M$1203,'ORDENES'!$O$4:$O$1203,$A55,'ORDENES'!$T$4:$T$1203,"sí")</f>
        <v/>
      </c>
      <c r="F55" s="25">
        <f>SUMIFS('ORDENES'!$M$4:$M$1203,'ORDENES'!$O$4:$O$1203,$A55,'ORDENES'!$N$4:$N$1203,"Cerrada",'ORDENES'!$T$4:$T$1203,"sí")</f>
        <v/>
      </c>
      <c r="G55" s="27">
        <f>IF(E55=0,"",F55/E55)</f>
        <v/>
      </c>
      <c r="H55" s="28">
        <f>p_meta_adherencia</f>
        <v/>
      </c>
    </row>
    <row r="56" hidden="1">
      <c r="A56" s="24">
        <f>'PERFIL_HH'!$O$55</f>
        <v/>
      </c>
      <c r="B56" s="24">
        <f>COUNTIFS('ORDENES'!$O$4:$O$1203,$A56,'ORDENES'!$T$4:$T$1203,"sí")</f>
        <v/>
      </c>
      <c r="C56" s="24">
        <f>COUNTIFS('ORDENES'!$O$4:$O$1203,$A56,'ORDENES'!$N$4:$N$1203,"Cerrada",'ORDENES'!$T$4:$T$1203,"sí")</f>
        <v/>
      </c>
      <c r="D56" s="27">
        <f>IF(B56=0,"",C56/B56)</f>
        <v/>
      </c>
      <c r="E56" s="25">
        <f>SUMIFS('ORDENES'!$M$4:$M$1203,'ORDENES'!$O$4:$O$1203,$A56,'ORDENES'!$T$4:$T$1203,"sí")</f>
        <v/>
      </c>
      <c r="F56" s="25">
        <f>SUMIFS('ORDENES'!$M$4:$M$1203,'ORDENES'!$O$4:$O$1203,$A56,'ORDENES'!$N$4:$N$1203,"Cerrada",'ORDENES'!$T$4:$T$1203,"sí")</f>
        <v/>
      </c>
      <c r="G56" s="27">
        <f>IF(E56=0,"",F56/E56)</f>
        <v/>
      </c>
      <c r="H56" s="28">
        <f>p_meta_adherencia</f>
        <v/>
      </c>
    </row>
    <row r="57" hidden="1">
      <c r="A57" s="24">
        <f>'PERFIL_HH'!$O$56</f>
        <v/>
      </c>
      <c r="B57" s="24">
        <f>COUNTIFS('ORDENES'!$O$4:$O$1203,$A57,'ORDENES'!$T$4:$T$1203,"sí")</f>
        <v/>
      </c>
      <c r="C57" s="24">
        <f>COUNTIFS('ORDENES'!$O$4:$O$1203,$A57,'ORDENES'!$N$4:$N$1203,"Cerrada",'ORDENES'!$T$4:$T$1203,"sí")</f>
        <v/>
      </c>
      <c r="D57" s="27">
        <f>IF(B57=0,"",C57/B57)</f>
        <v/>
      </c>
      <c r="E57" s="25">
        <f>SUMIFS('ORDENES'!$M$4:$M$1203,'ORDENES'!$O$4:$O$1203,$A57,'ORDENES'!$T$4:$T$1203,"sí")</f>
        <v/>
      </c>
      <c r="F57" s="25">
        <f>SUMIFS('ORDENES'!$M$4:$M$1203,'ORDENES'!$O$4:$O$1203,$A57,'ORDENES'!$N$4:$N$1203,"Cerrada",'ORDENES'!$T$4:$T$1203,"sí")</f>
        <v/>
      </c>
      <c r="G57" s="27">
        <f>IF(E57=0,"",F57/E57)</f>
        <v/>
      </c>
      <c r="H57" s="28">
        <f>p_meta_adherencia</f>
        <v/>
      </c>
    </row>
    <row r="58" hidden="1">
      <c r="A58" s="24">
        <f>'PERFIL_HH'!$O$57</f>
        <v/>
      </c>
      <c r="B58" s="24">
        <f>COUNTIFS('ORDENES'!$O$4:$O$1203,$A58,'ORDENES'!$T$4:$T$1203,"sí")</f>
        <v/>
      </c>
      <c r="C58" s="24">
        <f>COUNTIFS('ORDENES'!$O$4:$O$1203,$A58,'ORDENES'!$N$4:$N$1203,"Cerrada",'ORDENES'!$T$4:$T$1203,"sí")</f>
        <v/>
      </c>
      <c r="D58" s="27">
        <f>IF(B58=0,"",C58/B58)</f>
        <v/>
      </c>
      <c r="E58" s="25">
        <f>SUMIFS('ORDENES'!$M$4:$M$1203,'ORDENES'!$O$4:$O$1203,$A58,'ORDENES'!$T$4:$T$1203,"sí")</f>
        <v/>
      </c>
      <c r="F58" s="25">
        <f>SUMIFS('ORDENES'!$M$4:$M$1203,'ORDENES'!$O$4:$O$1203,$A58,'ORDENES'!$N$4:$N$1203,"Cerrada",'ORDENES'!$T$4:$T$1203,"sí")</f>
        <v/>
      </c>
      <c r="G58" s="27">
        <f>IF(E58=0,"",F58/E58)</f>
        <v/>
      </c>
      <c r="H58" s="28">
        <f>p_meta_adherencia</f>
        <v/>
      </c>
    </row>
    <row r="59" hidden="1">
      <c r="A59" s="24">
        <f>'PERFIL_HH'!$O$58</f>
        <v/>
      </c>
      <c r="B59" s="24">
        <f>COUNTIFS('ORDENES'!$O$4:$O$1203,$A59,'ORDENES'!$T$4:$T$1203,"sí")</f>
        <v/>
      </c>
      <c r="C59" s="24">
        <f>COUNTIFS('ORDENES'!$O$4:$O$1203,$A59,'ORDENES'!$N$4:$N$1203,"Cerrada",'ORDENES'!$T$4:$T$1203,"sí")</f>
        <v/>
      </c>
      <c r="D59" s="27">
        <f>IF(B59=0,"",C59/B59)</f>
        <v/>
      </c>
      <c r="E59" s="25">
        <f>SUMIFS('ORDENES'!$M$4:$M$1203,'ORDENES'!$O$4:$O$1203,$A59,'ORDENES'!$T$4:$T$1203,"sí")</f>
        <v/>
      </c>
      <c r="F59" s="25">
        <f>SUMIFS('ORDENES'!$M$4:$M$1203,'ORDENES'!$O$4:$O$1203,$A59,'ORDENES'!$N$4:$N$1203,"Cerrada",'ORDENES'!$T$4:$T$1203,"sí")</f>
        <v/>
      </c>
      <c r="G59" s="27">
        <f>IF(E59=0,"",F59/E59)</f>
        <v/>
      </c>
      <c r="H59" s="28">
        <f>p_meta_adherencia</f>
        <v/>
      </c>
    </row>
    <row r="60" hidden="1">
      <c r="A60" s="24">
        <f>'PERFIL_HH'!$O$59</f>
        <v/>
      </c>
      <c r="B60" s="24">
        <f>COUNTIFS('ORDENES'!$O$4:$O$1203,$A60,'ORDENES'!$T$4:$T$1203,"sí")</f>
        <v/>
      </c>
      <c r="C60" s="24">
        <f>COUNTIFS('ORDENES'!$O$4:$O$1203,$A60,'ORDENES'!$N$4:$N$1203,"Cerrada",'ORDENES'!$T$4:$T$1203,"sí")</f>
        <v/>
      </c>
      <c r="D60" s="27">
        <f>IF(B60=0,"",C60/B60)</f>
        <v/>
      </c>
      <c r="E60" s="25">
        <f>SUMIFS('ORDENES'!$M$4:$M$1203,'ORDENES'!$O$4:$O$1203,$A60,'ORDENES'!$T$4:$T$1203,"sí")</f>
        <v/>
      </c>
      <c r="F60" s="25">
        <f>SUMIFS('ORDENES'!$M$4:$M$1203,'ORDENES'!$O$4:$O$1203,$A60,'ORDENES'!$N$4:$N$1203,"Cerrada",'ORDENES'!$T$4:$T$1203,"sí")</f>
        <v/>
      </c>
      <c r="G60" s="27">
        <f>IF(E60=0,"",F60/E60)</f>
        <v/>
      </c>
      <c r="H60" s="28">
        <f>p_meta_adherencia</f>
        <v/>
      </c>
    </row>
    <row r="61" hidden="1">
      <c r="A61" s="24">
        <f>'PERFIL_HH'!$O$60</f>
        <v/>
      </c>
      <c r="B61" s="24">
        <f>COUNTIFS('ORDENES'!$O$4:$O$1203,$A61,'ORDENES'!$T$4:$T$1203,"sí")</f>
        <v/>
      </c>
      <c r="C61" s="24">
        <f>COUNTIFS('ORDENES'!$O$4:$O$1203,$A61,'ORDENES'!$N$4:$N$1203,"Cerrada",'ORDENES'!$T$4:$T$1203,"sí")</f>
        <v/>
      </c>
      <c r="D61" s="27">
        <f>IF(B61=0,"",C61/B61)</f>
        <v/>
      </c>
      <c r="E61" s="25">
        <f>SUMIFS('ORDENES'!$M$4:$M$1203,'ORDENES'!$O$4:$O$1203,$A61,'ORDENES'!$T$4:$T$1203,"sí")</f>
        <v/>
      </c>
      <c r="F61" s="25">
        <f>SUMIFS('ORDENES'!$M$4:$M$1203,'ORDENES'!$O$4:$O$1203,$A61,'ORDENES'!$N$4:$N$1203,"Cerrada",'ORDENES'!$T$4:$T$1203,"sí")</f>
        <v/>
      </c>
      <c r="G61" s="27">
        <f>IF(E61=0,"",F61/E61)</f>
        <v/>
      </c>
      <c r="H61" s="28">
        <f>p_meta_adherencia</f>
        <v/>
      </c>
    </row>
    <row r="62" hidden="1">
      <c r="A62" s="24">
        <f>'PERFIL_HH'!$O$61</f>
        <v/>
      </c>
      <c r="B62" s="24">
        <f>COUNTIFS('ORDENES'!$O$4:$O$1203,$A62,'ORDENES'!$T$4:$T$1203,"sí")</f>
        <v/>
      </c>
      <c r="C62" s="24">
        <f>COUNTIFS('ORDENES'!$O$4:$O$1203,$A62,'ORDENES'!$N$4:$N$1203,"Cerrada",'ORDENES'!$T$4:$T$1203,"sí")</f>
        <v/>
      </c>
      <c r="D62" s="27">
        <f>IF(B62=0,"",C62/B62)</f>
        <v/>
      </c>
      <c r="E62" s="25">
        <f>SUMIFS('ORDENES'!$M$4:$M$1203,'ORDENES'!$O$4:$O$1203,$A62,'ORDENES'!$T$4:$T$1203,"sí")</f>
        <v/>
      </c>
      <c r="F62" s="25">
        <f>SUMIFS('ORDENES'!$M$4:$M$1203,'ORDENES'!$O$4:$O$1203,$A62,'ORDENES'!$N$4:$N$1203,"Cerrada",'ORDENES'!$T$4:$T$1203,"sí")</f>
        <v/>
      </c>
      <c r="G62" s="27">
        <f>IF(E62=0,"",F62/E62)</f>
        <v/>
      </c>
      <c r="H62" s="28">
        <f>p_meta_adherencia</f>
        <v/>
      </c>
    </row>
    <row r="63" hidden="1">
      <c r="A63" s="24">
        <f>'PERFIL_HH'!$O$62</f>
        <v/>
      </c>
      <c r="B63" s="24">
        <f>COUNTIFS('ORDENES'!$O$4:$O$1203,$A63,'ORDENES'!$T$4:$T$1203,"sí")</f>
        <v/>
      </c>
      <c r="C63" s="24">
        <f>COUNTIFS('ORDENES'!$O$4:$O$1203,$A63,'ORDENES'!$N$4:$N$1203,"Cerrada",'ORDENES'!$T$4:$T$1203,"sí")</f>
        <v/>
      </c>
      <c r="D63" s="27">
        <f>IF(B63=0,"",C63/B63)</f>
        <v/>
      </c>
      <c r="E63" s="25">
        <f>SUMIFS('ORDENES'!$M$4:$M$1203,'ORDENES'!$O$4:$O$1203,$A63,'ORDENES'!$T$4:$T$1203,"sí")</f>
        <v/>
      </c>
      <c r="F63" s="25">
        <f>SUMIFS('ORDENES'!$M$4:$M$1203,'ORDENES'!$O$4:$O$1203,$A63,'ORDENES'!$N$4:$N$1203,"Cerrada",'ORDENES'!$T$4:$T$1203,"sí")</f>
        <v/>
      </c>
      <c r="G63" s="27">
        <f>IF(E63=0,"",F63/E63)</f>
        <v/>
      </c>
      <c r="H63" s="28">
        <f>p_meta_adherencia</f>
        <v/>
      </c>
    </row>
    <row r="64" hidden="1">
      <c r="A64" s="24">
        <f>'PERFIL_HH'!$O$63</f>
        <v/>
      </c>
      <c r="B64" s="24">
        <f>COUNTIFS('ORDENES'!$O$4:$O$1203,$A64,'ORDENES'!$T$4:$T$1203,"sí")</f>
        <v/>
      </c>
      <c r="C64" s="24">
        <f>COUNTIFS('ORDENES'!$O$4:$O$1203,$A64,'ORDENES'!$N$4:$N$1203,"Cerrada",'ORDENES'!$T$4:$T$1203,"sí")</f>
        <v/>
      </c>
      <c r="D64" s="27">
        <f>IF(B64=0,"",C64/B64)</f>
        <v/>
      </c>
      <c r="E64" s="25">
        <f>SUMIFS('ORDENES'!$M$4:$M$1203,'ORDENES'!$O$4:$O$1203,$A64,'ORDENES'!$T$4:$T$1203,"sí")</f>
        <v/>
      </c>
      <c r="F64" s="25">
        <f>SUMIFS('ORDENES'!$M$4:$M$1203,'ORDENES'!$O$4:$O$1203,$A64,'ORDENES'!$N$4:$N$1203,"Cerrada",'ORDENES'!$T$4:$T$1203,"sí")</f>
        <v/>
      </c>
      <c r="G64" s="27">
        <f>IF(E64=0,"",F64/E64)</f>
        <v/>
      </c>
      <c r="H64" s="28">
        <f>p_meta_adherencia</f>
        <v/>
      </c>
    </row>
    <row r="65"/>
    <row r="66">
      <c r="A66" s="3" t="inlineStr">
        <is>
          <t>POR ÁREA</t>
        </is>
      </c>
    </row>
    <row r="67">
      <c r="A67" s="23" t="inlineStr">
        <is>
          <t>valor</t>
        </is>
      </c>
      <c r="B67" s="23" t="inlineStr">
        <is>
          <t>total_ot</t>
        </is>
      </c>
      <c r="C67" s="23" t="inlineStr">
        <is>
          <t>cerradas</t>
        </is>
      </c>
      <c r="D67" s="23" t="inlineStr">
        <is>
          <t>adherencia_conteo</t>
        </is>
      </c>
      <c r="E67" s="23" t="inlineStr">
        <is>
          <t>hh_total</t>
        </is>
      </c>
      <c r="F67" s="23" t="inlineStr">
        <is>
          <t>hh_cerradas</t>
        </is>
      </c>
      <c r="G67" s="23" t="inlineStr">
        <is>
          <t>adherencia_horas</t>
        </is>
      </c>
    </row>
    <row r="68">
      <c r="A68" s="24" t="inlineStr">
        <is>
          <t>PRODUCCION</t>
        </is>
      </c>
      <c r="B68" s="24">
        <f>COUNTIFS('ORDENES'!$Y$4:$Y$1203,$A68,'ORDENES'!$T$4:$T$1203,"sí")</f>
        <v/>
      </c>
      <c r="C68" s="24">
        <f>COUNTIFS('ORDENES'!$Y$4:$Y$1203,$A68,'ORDENES'!$N$4:$N$1203,"Cerrada",'ORDENES'!$T$4:$T$1203,"sí")</f>
        <v/>
      </c>
      <c r="D68" s="27">
        <f>IF(B68=0,"",C68/B68)</f>
        <v/>
      </c>
      <c r="E68" s="25">
        <f>SUMIFS('ORDENES'!$M$4:$M$1203,'ORDENES'!$Y$4:$Y$1203,$A68,'ORDENES'!$T$4:$T$1203,"sí")</f>
        <v/>
      </c>
      <c r="F68" s="25">
        <f>SUMIFS('ORDENES'!$M$4:$M$1203,'ORDENES'!$Y$4:$Y$1203,$A68,'ORDENES'!$N$4:$N$1203,"Cerrada",'ORDENES'!$T$4:$T$1203,"sí")</f>
        <v/>
      </c>
      <c r="G68" s="27">
        <f>IF(E68=0,"",F68/E68)</f>
        <v/>
      </c>
    </row>
    <row r="69">
      <c r="A69" s="24" t="inlineStr">
        <is>
          <t>EMPAQUE</t>
        </is>
      </c>
      <c r="B69" s="24">
        <f>COUNTIFS('ORDENES'!$Y$4:$Y$1203,$A69,'ORDENES'!$T$4:$T$1203,"sí")</f>
        <v/>
      </c>
      <c r="C69" s="24">
        <f>COUNTIFS('ORDENES'!$Y$4:$Y$1203,$A69,'ORDENES'!$N$4:$N$1203,"Cerrada",'ORDENES'!$T$4:$T$1203,"sí")</f>
        <v/>
      </c>
      <c r="D69" s="27">
        <f>IF(B69=0,"",C69/B69)</f>
        <v/>
      </c>
      <c r="E69" s="25">
        <f>SUMIFS('ORDENES'!$M$4:$M$1203,'ORDENES'!$Y$4:$Y$1203,$A69,'ORDENES'!$T$4:$T$1203,"sí")</f>
        <v/>
      </c>
      <c r="F69" s="25">
        <f>SUMIFS('ORDENES'!$M$4:$M$1203,'ORDENES'!$Y$4:$Y$1203,$A69,'ORDENES'!$N$4:$N$1203,"Cerrada",'ORDENES'!$T$4:$T$1203,"sí")</f>
        <v/>
      </c>
      <c r="G69" s="27">
        <f>IF(E69=0,"",F69/E69)</f>
        <v/>
      </c>
    </row>
    <row r="70">
      <c r="A70" s="24" t="inlineStr">
        <is>
          <t>SERVICIOS</t>
        </is>
      </c>
      <c r="B70" s="24">
        <f>COUNTIFS('ORDENES'!$Y$4:$Y$1203,$A70,'ORDENES'!$T$4:$T$1203,"sí")</f>
        <v/>
      </c>
      <c r="C70" s="24">
        <f>COUNTIFS('ORDENES'!$Y$4:$Y$1203,$A70,'ORDENES'!$N$4:$N$1203,"Cerrada",'ORDENES'!$T$4:$T$1203,"sí")</f>
        <v/>
      </c>
      <c r="D70" s="27">
        <f>IF(B70=0,"",C70/B70)</f>
        <v/>
      </c>
      <c r="E70" s="25">
        <f>SUMIFS('ORDENES'!$M$4:$M$1203,'ORDENES'!$Y$4:$Y$1203,$A70,'ORDENES'!$T$4:$T$1203,"sí")</f>
        <v/>
      </c>
      <c r="F70" s="25">
        <f>SUMIFS('ORDENES'!$M$4:$M$1203,'ORDENES'!$Y$4:$Y$1203,$A70,'ORDENES'!$N$4:$N$1203,"Cerrada",'ORDENES'!$T$4:$T$1203,"sí")</f>
        <v/>
      </c>
      <c r="G70" s="27">
        <f>IF(E70=0,"",F70/E70)</f>
        <v/>
      </c>
    </row>
    <row r="71"/>
    <row r="72">
      <c r="A72" s="3" t="inlineStr">
        <is>
          <t>POR SUB-ÁREA (agrupada bajo su área madre — col. I)</t>
        </is>
      </c>
    </row>
    <row r="73">
      <c r="A73" s="23" t="inlineStr">
        <is>
          <t>valor</t>
        </is>
      </c>
      <c r="B73" s="23" t="inlineStr">
        <is>
          <t>total_ot</t>
        </is>
      </c>
      <c r="C73" s="23" t="inlineStr">
        <is>
          <t>cerradas</t>
        </is>
      </c>
      <c r="D73" s="23" t="inlineStr">
        <is>
          <t>adherencia_conteo</t>
        </is>
      </c>
      <c r="E73" s="23" t="inlineStr">
        <is>
          <t>hh_total</t>
        </is>
      </c>
      <c r="F73" s="23" t="inlineStr">
        <is>
          <t>hh_cerradas</t>
        </is>
      </c>
      <c r="G73" s="23" t="inlineStr">
        <is>
          <t>adherencia_horas</t>
        </is>
      </c>
      <c r="I73" s="23" t="inlineStr">
        <is>
          <t>área madre</t>
        </is>
      </c>
    </row>
    <row r="74">
      <c r="A74" s="24" t="inlineStr">
        <is>
          <t>PRODUCCION</t>
        </is>
      </c>
      <c r="B74" s="24">
        <f>COUNTIFS('ORDENES'!$Z$4:$Z$1203,$A74,'ORDENES'!$T$4:$T$1203,"sí")</f>
        <v/>
      </c>
      <c r="C74" s="24">
        <f>COUNTIFS('ORDENES'!$Z$4:$Z$1203,$A74,'ORDENES'!$N$4:$N$1203,"Cerrada",'ORDENES'!$T$4:$T$1203,"sí")</f>
        <v/>
      </c>
      <c r="D74" s="27">
        <f>IF(B74=0,"",C74/B74)</f>
        <v/>
      </c>
      <c r="E74" s="25">
        <f>SUMIFS('ORDENES'!$M$4:$M$1203,'ORDENES'!$Z$4:$Z$1203,$A74,'ORDENES'!$T$4:$T$1203,"sí")</f>
        <v/>
      </c>
      <c r="F74" s="25">
        <f>SUMIFS('ORDENES'!$M$4:$M$1203,'ORDENES'!$Z$4:$Z$1203,$A74,'ORDENES'!$N$4:$N$1203,"Cerrada",'ORDENES'!$T$4:$T$1203,"sí")</f>
        <v/>
      </c>
      <c r="G74" s="27">
        <f>IF(E74=0,"",F74/E74)</f>
        <v/>
      </c>
      <c r="I74" s="29" t="inlineStr">
        <is>
          <t>PRODUCCION</t>
        </is>
      </c>
    </row>
    <row r="75">
      <c r="A75" s="24" t="inlineStr">
        <is>
          <t>EMPAQUE</t>
        </is>
      </c>
      <c r="B75" s="24">
        <f>COUNTIFS('ORDENES'!$Z$4:$Z$1203,$A75,'ORDENES'!$T$4:$T$1203,"sí")</f>
        <v/>
      </c>
      <c r="C75" s="24">
        <f>COUNTIFS('ORDENES'!$Z$4:$Z$1203,$A75,'ORDENES'!$N$4:$N$1203,"Cerrada",'ORDENES'!$T$4:$T$1203,"sí")</f>
        <v/>
      </c>
      <c r="D75" s="27">
        <f>IF(B75=0,"",C75/B75)</f>
        <v/>
      </c>
      <c r="E75" s="25">
        <f>SUMIFS('ORDENES'!$M$4:$M$1203,'ORDENES'!$Z$4:$Z$1203,$A75,'ORDENES'!$T$4:$T$1203,"sí")</f>
        <v/>
      </c>
      <c r="F75" s="25">
        <f>SUMIFS('ORDENES'!$M$4:$M$1203,'ORDENES'!$Z$4:$Z$1203,$A75,'ORDENES'!$N$4:$N$1203,"Cerrada",'ORDENES'!$T$4:$T$1203,"sí")</f>
        <v/>
      </c>
      <c r="G75" s="27">
        <f>IF(E75=0,"",F75/E75)</f>
        <v/>
      </c>
      <c r="I75" s="29" t="inlineStr">
        <is>
          <t>EMPAQUE</t>
        </is>
      </c>
    </row>
    <row r="76">
      <c r="A76" s="24" t="inlineStr">
        <is>
          <t>Vapor</t>
        </is>
      </c>
      <c r="B76" s="24">
        <f>COUNTIFS('ORDENES'!$Z$4:$Z$1203,$A76,'ORDENES'!$T$4:$T$1203,"sí")</f>
        <v/>
      </c>
      <c r="C76" s="24">
        <f>COUNTIFS('ORDENES'!$Z$4:$Z$1203,$A76,'ORDENES'!$N$4:$N$1203,"Cerrada",'ORDENES'!$T$4:$T$1203,"sí")</f>
        <v/>
      </c>
      <c r="D76" s="27">
        <f>IF(B76=0,"",C76/B76)</f>
        <v/>
      </c>
      <c r="E76" s="25">
        <f>SUMIFS('ORDENES'!$M$4:$M$1203,'ORDENES'!$Z$4:$Z$1203,$A76,'ORDENES'!$T$4:$T$1203,"sí")</f>
        <v/>
      </c>
      <c r="F76" s="25">
        <f>SUMIFS('ORDENES'!$M$4:$M$1203,'ORDENES'!$Z$4:$Z$1203,$A76,'ORDENES'!$N$4:$N$1203,"Cerrada",'ORDENES'!$T$4:$T$1203,"sí")</f>
        <v/>
      </c>
      <c r="G76" s="27">
        <f>IF(E76=0,"",F76/E76)</f>
        <v/>
      </c>
      <c r="I76" s="29" t="inlineStr">
        <is>
          <t>SERVICIOS</t>
        </is>
      </c>
    </row>
    <row r="77">
      <c r="A77" s="24" t="inlineStr">
        <is>
          <t>Refrigeración</t>
        </is>
      </c>
      <c r="B77" s="24">
        <f>COUNTIFS('ORDENES'!$Z$4:$Z$1203,$A77,'ORDENES'!$T$4:$T$1203,"sí")</f>
        <v/>
      </c>
      <c r="C77" s="24">
        <f>COUNTIFS('ORDENES'!$Z$4:$Z$1203,$A77,'ORDENES'!$N$4:$N$1203,"Cerrada",'ORDENES'!$T$4:$T$1203,"sí")</f>
        <v/>
      </c>
      <c r="D77" s="27">
        <f>IF(B77=0,"",C77/B77)</f>
        <v/>
      </c>
      <c r="E77" s="25">
        <f>SUMIFS('ORDENES'!$M$4:$M$1203,'ORDENES'!$Z$4:$Z$1203,$A77,'ORDENES'!$T$4:$T$1203,"sí")</f>
        <v/>
      </c>
      <c r="F77" s="25">
        <f>SUMIFS('ORDENES'!$M$4:$M$1203,'ORDENES'!$Z$4:$Z$1203,$A77,'ORDENES'!$N$4:$N$1203,"Cerrada",'ORDENES'!$T$4:$T$1203,"sí")</f>
        <v/>
      </c>
      <c r="G77" s="27">
        <f>IF(E77=0,"",F77/E77)</f>
        <v/>
      </c>
      <c r="I77" s="29" t="inlineStr">
        <is>
          <t>SERVICIOS</t>
        </is>
      </c>
    </row>
    <row r="78">
      <c r="A78" s="24" t="inlineStr">
        <is>
          <t>CO2</t>
        </is>
      </c>
      <c r="B78" s="24">
        <f>COUNTIFS('ORDENES'!$Z$4:$Z$1203,$A78,'ORDENES'!$T$4:$T$1203,"sí")</f>
        <v/>
      </c>
      <c r="C78" s="24">
        <f>COUNTIFS('ORDENES'!$Z$4:$Z$1203,$A78,'ORDENES'!$N$4:$N$1203,"Cerrada",'ORDENES'!$T$4:$T$1203,"sí")</f>
        <v/>
      </c>
      <c r="D78" s="27">
        <f>IF(B78=0,"",C78/B78)</f>
        <v/>
      </c>
      <c r="E78" s="25">
        <f>SUMIFS('ORDENES'!$M$4:$M$1203,'ORDENES'!$Z$4:$Z$1203,$A78,'ORDENES'!$T$4:$T$1203,"sí")</f>
        <v/>
      </c>
      <c r="F78" s="25">
        <f>SUMIFS('ORDENES'!$M$4:$M$1203,'ORDENES'!$Z$4:$Z$1203,$A78,'ORDENES'!$N$4:$N$1203,"Cerrada",'ORDENES'!$T$4:$T$1203,"sí")</f>
        <v/>
      </c>
      <c r="G78" s="27">
        <f>IF(E78=0,"",F78/E78)</f>
        <v/>
      </c>
      <c r="I78" s="29" t="inlineStr">
        <is>
          <t>SERVICIOS</t>
        </is>
      </c>
    </row>
    <row r="79">
      <c r="A79" s="24" t="inlineStr">
        <is>
          <t>Aire comprimido</t>
        </is>
      </c>
      <c r="B79" s="24">
        <f>COUNTIFS('ORDENES'!$Z$4:$Z$1203,$A79,'ORDENES'!$T$4:$T$1203,"sí")</f>
        <v/>
      </c>
      <c r="C79" s="24">
        <f>COUNTIFS('ORDENES'!$Z$4:$Z$1203,$A79,'ORDENES'!$N$4:$N$1203,"Cerrada",'ORDENES'!$T$4:$T$1203,"sí")</f>
        <v/>
      </c>
      <c r="D79" s="27">
        <f>IF(B79=0,"",C79/B79)</f>
        <v/>
      </c>
      <c r="E79" s="25">
        <f>SUMIFS('ORDENES'!$M$4:$M$1203,'ORDENES'!$Z$4:$Z$1203,$A79,'ORDENES'!$T$4:$T$1203,"sí")</f>
        <v/>
      </c>
      <c r="F79" s="25">
        <f>SUMIFS('ORDENES'!$M$4:$M$1203,'ORDENES'!$Z$4:$Z$1203,$A79,'ORDENES'!$N$4:$N$1203,"Cerrada",'ORDENES'!$T$4:$T$1203,"sí")</f>
        <v/>
      </c>
      <c r="G79" s="27">
        <f>IF(E79=0,"",F79/E79)</f>
        <v/>
      </c>
      <c r="I79" s="29" t="inlineStr">
        <is>
          <t>SERVICIOS</t>
        </is>
      </c>
    </row>
    <row r="80"/>
    <row r="81">
      <c r="A81" s="3" t="inlineStr">
        <is>
          <t>POR ESPECIALIDAD</t>
        </is>
      </c>
    </row>
    <row r="82">
      <c r="A82" s="23" t="inlineStr">
        <is>
          <t>valor</t>
        </is>
      </c>
      <c r="B82" s="23" t="inlineStr">
        <is>
          <t>total_ot</t>
        </is>
      </c>
      <c r="C82" s="23" t="inlineStr">
        <is>
          <t>cerradas</t>
        </is>
      </c>
      <c r="D82" s="23" t="inlineStr">
        <is>
          <t>adherencia_conteo</t>
        </is>
      </c>
      <c r="E82" s="23" t="inlineStr">
        <is>
          <t>hh_total</t>
        </is>
      </c>
      <c r="F82" s="23" t="inlineStr">
        <is>
          <t>hh_cerradas</t>
        </is>
      </c>
      <c r="G82" s="23" t="inlineStr">
        <is>
          <t>adherencia_horas</t>
        </is>
      </c>
    </row>
    <row r="83">
      <c r="A83" s="24" t="inlineStr">
        <is>
          <t>MEC</t>
        </is>
      </c>
      <c r="B83" s="24">
        <f>COUNTIFS('ORDENES'!$AB$4:$AB$1203,$A83,'ORDENES'!$T$4:$T$1203,"sí")</f>
        <v/>
      </c>
      <c r="C83" s="24">
        <f>COUNTIFS('ORDENES'!$AB$4:$AB$1203,$A83,'ORDENES'!$N$4:$N$1203,"Cerrada",'ORDENES'!$T$4:$T$1203,"sí")</f>
        <v/>
      </c>
      <c r="D83" s="27">
        <f>IF(B83=0,"",C83/B83)</f>
        <v/>
      </c>
      <c r="E83" s="25">
        <f>SUMIFS('ORDENES'!$M$4:$M$1203,'ORDENES'!$AB$4:$AB$1203,$A83,'ORDENES'!$T$4:$T$1203,"sí")</f>
        <v/>
      </c>
      <c r="F83" s="25">
        <f>SUMIFS('ORDENES'!$M$4:$M$1203,'ORDENES'!$AB$4:$AB$1203,$A83,'ORDENES'!$N$4:$N$1203,"Cerrada",'ORDENES'!$T$4:$T$1203,"sí")</f>
        <v/>
      </c>
      <c r="G83" s="27">
        <f>IF(E83=0,"",F83/E83)</f>
        <v/>
      </c>
    </row>
    <row r="84">
      <c r="A84" s="24" t="inlineStr">
        <is>
          <t>ELE</t>
        </is>
      </c>
      <c r="B84" s="24">
        <f>COUNTIFS('ORDENES'!$AB$4:$AB$1203,$A84,'ORDENES'!$T$4:$T$1203,"sí")</f>
        <v/>
      </c>
      <c r="C84" s="24">
        <f>COUNTIFS('ORDENES'!$AB$4:$AB$1203,$A84,'ORDENES'!$N$4:$N$1203,"Cerrada",'ORDENES'!$T$4:$T$1203,"sí")</f>
        <v/>
      </c>
      <c r="D84" s="27">
        <f>IF(B84=0,"",C84/B84)</f>
        <v/>
      </c>
      <c r="E84" s="25">
        <f>SUMIFS('ORDENES'!$M$4:$M$1203,'ORDENES'!$AB$4:$AB$1203,$A84,'ORDENES'!$T$4:$T$1203,"sí")</f>
        <v/>
      </c>
      <c r="F84" s="25">
        <f>SUMIFS('ORDENES'!$M$4:$M$1203,'ORDENES'!$AB$4:$AB$1203,$A84,'ORDENES'!$N$4:$N$1203,"Cerrada",'ORDENES'!$T$4:$T$1203,"sí")</f>
        <v/>
      </c>
      <c r="G84" s="27">
        <f>IF(E84=0,"",F84/E84)</f>
        <v/>
      </c>
    </row>
    <row r="85">
      <c r="A85" s="24" t="inlineStr">
        <is>
          <t>AUT</t>
        </is>
      </c>
      <c r="B85" s="24">
        <f>COUNTIFS('ORDENES'!$AB$4:$AB$1203,$A85,'ORDENES'!$T$4:$T$1203,"sí")</f>
        <v/>
      </c>
      <c r="C85" s="24">
        <f>COUNTIFS('ORDENES'!$AB$4:$AB$1203,$A85,'ORDENES'!$N$4:$N$1203,"Cerrada",'ORDENES'!$T$4:$T$1203,"sí")</f>
        <v/>
      </c>
      <c r="D85" s="27">
        <f>IF(B85=0,"",C85/B85)</f>
        <v/>
      </c>
      <c r="E85" s="25">
        <f>SUMIFS('ORDENES'!$M$4:$M$1203,'ORDENES'!$AB$4:$AB$1203,$A85,'ORDENES'!$T$4:$T$1203,"sí")</f>
        <v/>
      </c>
      <c r="F85" s="25">
        <f>SUMIFS('ORDENES'!$M$4:$M$1203,'ORDENES'!$AB$4:$AB$1203,$A85,'ORDENES'!$N$4:$N$1203,"Cerrada",'ORDENES'!$T$4:$T$1203,"sí")</f>
        <v/>
      </c>
      <c r="G85" s="27">
        <f>IF(E85=0,"",F85/E85)</f>
        <v/>
      </c>
    </row>
    <row r="86">
      <c r="A86" s="24" t="inlineStr">
        <is>
          <t>TERCERO</t>
        </is>
      </c>
      <c r="B86" s="24">
        <f>COUNTIFS('ORDENES'!$AB$4:$AB$1203,$A86,'ORDENES'!$T$4:$T$1203,"sí")</f>
        <v/>
      </c>
      <c r="C86" s="24">
        <f>COUNTIFS('ORDENES'!$AB$4:$AB$1203,$A86,'ORDENES'!$N$4:$N$1203,"Cerrada",'ORDENES'!$T$4:$T$1203,"sí")</f>
        <v/>
      </c>
      <c r="D86" s="27">
        <f>IF(B86=0,"",C86/B86)</f>
        <v/>
      </c>
      <c r="E86" s="25">
        <f>SUMIFS('ORDENES'!$M$4:$M$1203,'ORDENES'!$AB$4:$AB$1203,$A86,'ORDENES'!$T$4:$T$1203,"sí")</f>
        <v/>
      </c>
      <c r="F86" s="25">
        <f>SUMIFS('ORDENES'!$M$4:$M$1203,'ORDENES'!$AB$4:$AB$1203,$A86,'ORDENES'!$N$4:$N$1203,"Cerrada",'ORDENES'!$T$4:$T$1203,"sí")</f>
        <v/>
      </c>
      <c r="G86" s="27">
        <f>IF(E86=0,"",F86/E86)</f>
        <v/>
      </c>
    </row>
    <row r="87"/>
    <row r="88">
      <c r="A88" s="3" t="inlineStr">
        <is>
          <t>POR COORDINADOR</t>
        </is>
      </c>
    </row>
    <row r="89">
      <c r="A89" s="23" t="inlineStr">
        <is>
          <t>valor</t>
        </is>
      </c>
      <c r="B89" s="23" t="inlineStr">
        <is>
          <t>total_ot</t>
        </is>
      </c>
      <c r="C89" s="23" t="inlineStr">
        <is>
          <t>cerradas</t>
        </is>
      </c>
      <c r="D89" s="23" t="inlineStr">
        <is>
          <t>adherencia_conteo</t>
        </is>
      </c>
      <c r="E89" s="23" t="inlineStr">
        <is>
          <t>hh_total</t>
        </is>
      </c>
      <c r="F89" s="23" t="inlineStr">
        <is>
          <t>hh_cerradas</t>
        </is>
      </c>
      <c r="G89" s="23" t="inlineStr">
        <is>
          <t>adherencia_horas</t>
        </is>
      </c>
    </row>
    <row r="90">
      <c r="A90" s="24" t="inlineStr">
        <is>
          <t>Coordinador A</t>
        </is>
      </c>
      <c r="B90" s="24">
        <f>COUNTIFS('ORDENES'!$AA$4:$AA$1203,$A90,'ORDENES'!$T$4:$T$1203,"sí")</f>
        <v/>
      </c>
      <c r="C90" s="24">
        <f>COUNTIFS('ORDENES'!$AA$4:$AA$1203,$A90,'ORDENES'!$N$4:$N$1203,"Cerrada",'ORDENES'!$T$4:$T$1203,"sí")</f>
        <v/>
      </c>
      <c r="D90" s="27">
        <f>IF(B90=0,"",C90/B90)</f>
        <v/>
      </c>
      <c r="E90" s="25">
        <f>SUMIFS('ORDENES'!$M$4:$M$1203,'ORDENES'!$AA$4:$AA$1203,$A90,'ORDENES'!$T$4:$T$1203,"sí")</f>
        <v/>
      </c>
      <c r="F90" s="25">
        <f>SUMIFS('ORDENES'!$M$4:$M$1203,'ORDENES'!$AA$4:$AA$1203,$A90,'ORDENES'!$N$4:$N$1203,"Cerrada",'ORDENES'!$T$4:$T$1203,"sí")</f>
        <v/>
      </c>
      <c r="G90" s="27">
        <f>IF(E90=0,"",F90/E90)</f>
        <v/>
      </c>
    </row>
    <row r="91">
      <c r="A91" s="24" t="inlineStr">
        <is>
          <t>Coordinador B</t>
        </is>
      </c>
      <c r="B91" s="24">
        <f>COUNTIFS('ORDENES'!$AA$4:$AA$1203,$A91,'ORDENES'!$T$4:$T$1203,"sí")</f>
        <v/>
      </c>
      <c r="C91" s="24">
        <f>COUNTIFS('ORDENES'!$AA$4:$AA$1203,$A91,'ORDENES'!$N$4:$N$1203,"Cerrada",'ORDENES'!$T$4:$T$1203,"sí")</f>
        <v/>
      </c>
      <c r="D91" s="27">
        <f>IF(B91=0,"",C91/B91)</f>
        <v/>
      </c>
      <c r="E91" s="25">
        <f>SUMIFS('ORDENES'!$M$4:$M$1203,'ORDENES'!$AA$4:$AA$1203,$A91,'ORDENES'!$T$4:$T$1203,"sí")</f>
        <v/>
      </c>
      <c r="F91" s="25">
        <f>SUMIFS('ORDENES'!$M$4:$M$1203,'ORDENES'!$AA$4:$AA$1203,$A91,'ORDENES'!$N$4:$N$1203,"Cerrada",'ORDENES'!$T$4:$T$1203,"sí")</f>
        <v/>
      </c>
      <c r="G91" s="27">
        <f>IF(E91=0,"",F91/E91)</f>
        <v/>
      </c>
    </row>
    <row r="92">
      <c r="A92" s="24" t="inlineStr">
        <is>
          <t>Coordinador C</t>
        </is>
      </c>
      <c r="B92" s="24">
        <f>COUNTIFS('ORDENES'!$AA$4:$AA$1203,$A92,'ORDENES'!$T$4:$T$1203,"sí")</f>
        <v/>
      </c>
      <c r="C92" s="24">
        <f>COUNTIFS('ORDENES'!$AA$4:$AA$1203,$A92,'ORDENES'!$N$4:$N$1203,"Cerrada",'ORDENES'!$T$4:$T$1203,"sí")</f>
        <v/>
      </c>
      <c r="D92" s="27">
        <f>IF(B92=0,"",C92/B92)</f>
        <v/>
      </c>
      <c r="E92" s="25">
        <f>SUMIFS('ORDENES'!$M$4:$M$1203,'ORDENES'!$AA$4:$AA$1203,$A92,'ORDENES'!$T$4:$T$1203,"sí")</f>
        <v/>
      </c>
      <c r="F92" s="25">
        <f>SUMIFS('ORDENES'!$M$4:$M$1203,'ORDENES'!$AA$4:$AA$1203,$A92,'ORDENES'!$N$4:$N$1203,"Cerrada",'ORDENES'!$T$4:$T$1203,"sí")</f>
        <v/>
      </c>
      <c r="G92" s="27">
        <f>IF(E92=0,"",F92/E92)</f>
        <v/>
      </c>
    </row>
    <row r="93"/>
    <row r="94">
      <c r="A94" s="3" t="inlineStr">
        <is>
          <t>POR CLASIFICACIÓN</t>
        </is>
      </c>
    </row>
    <row r="95">
      <c r="A95" s="23" t="inlineStr">
        <is>
          <t>valor</t>
        </is>
      </c>
      <c r="B95" s="23" t="inlineStr">
        <is>
          <t>total_ot</t>
        </is>
      </c>
      <c r="C95" s="23" t="inlineStr">
        <is>
          <t>cerradas</t>
        </is>
      </c>
      <c r="D95" s="23" t="inlineStr">
        <is>
          <t>adherencia_conteo</t>
        </is>
      </c>
      <c r="E95" s="23" t="inlineStr">
        <is>
          <t>hh_total</t>
        </is>
      </c>
      <c r="F95" s="23" t="inlineStr">
        <is>
          <t>hh_cerradas</t>
        </is>
      </c>
      <c r="G95" s="23" t="inlineStr">
        <is>
          <t>adherencia_horas</t>
        </is>
      </c>
    </row>
    <row r="96">
      <c r="A96" s="24" t="inlineStr">
        <is>
          <t>preventiva</t>
        </is>
      </c>
      <c r="B96" s="24">
        <f>COUNTIFS('ORDENES'!$U$4:$U$1203,$A96,'ORDENES'!$T$4:$T$1203,"sí")</f>
        <v/>
      </c>
      <c r="C96" s="24">
        <f>COUNTIFS('ORDENES'!$U$4:$U$1203,$A96,'ORDENES'!$N$4:$N$1203,"Cerrada",'ORDENES'!$T$4:$T$1203,"sí")</f>
        <v/>
      </c>
      <c r="D96" s="27">
        <f>IF(B96=0,"",C96/B96)</f>
        <v/>
      </c>
      <c r="E96" s="25">
        <f>SUMIFS('ORDENES'!$M$4:$M$1203,'ORDENES'!$U$4:$U$1203,$A96,'ORDENES'!$T$4:$T$1203,"sí")</f>
        <v/>
      </c>
      <c r="F96" s="25">
        <f>SUMIFS('ORDENES'!$M$4:$M$1203,'ORDENES'!$U$4:$U$1203,$A96,'ORDENES'!$N$4:$N$1203,"Cerrada",'ORDENES'!$T$4:$T$1203,"sí")</f>
        <v/>
      </c>
      <c r="G96" s="27">
        <f>IF(E96=0,"",F96/E96)</f>
        <v/>
      </c>
    </row>
    <row r="97">
      <c r="A97" s="24" t="inlineStr">
        <is>
          <t>correctiva</t>
        </is>
      </c>
      <c r="B97" s="24">
        <f>COUNTIFS('ORDENES'!$U$4:$U$1203,$A97,'ORDENES'!$T$4:$T$1203,"sí")</f>
        <v/>
      </c>
      <c r="C97" s="24">
        <f>COUNTIFS('ORDENES'!$U$4:$U$1203,$A97,'ORDENES'!$N$4:$N$1203,"Cerrada",'ORDENES'!$T$4:$T$1203,"sí")</f>
        <v/>
      </c>
      <c r="D97" s="27">
        <f>IF(B97=0,"",C97/B97)</f>
        <v/>
      </c>
      <c r="E97" s="25">
        <f>SUMIFS('ORDENES'!$M$4:$M$1203,'ORDENES'!$U$4:$U$1203,$A97,'ORDENES'!$T$4:$T$1203,"sí")</f>
        <v/>
      </c>
      <c r="F97" s="25">
        <f>SUMIFS('ORDENES'!$M$4:$M$1203,'ORDENES'!$U$4:$U$1203,$A97,'ORDENES'!$N$4:$N$1203,"Cerrada",'ORDENES'!$T$4:$T$1203,"sí")</f>
        <v/>
      </c>
      <c r="G97" s="27">
        <f>IF(E97=0,"",F97/E97)</f>
        <v/>
      </c>
    </row>
    <row r="98">
      <c r="A98" s="24" t="inlineStr">
        <is>
          <t>sin_clasificar</t>
        </is>
      </c>
      <c r="B98" s="24">
        <f>COUNTIFS('ORDENES'!$U$4:$U$1203,$A98,'ORDENES'!$T$4:$T$1203,"sí")</f>
        <v/>
      </c>
      <c r="C98" s="24">
        <f>COUNTIFS('ORDENES'!$U$4:$U$1203,$A98,'ORDENES'!$N$4:$N$1203,"Cerrada",'ORDENES'!$T$4:$T$1203,"sí")</f>
        <v/>
      </c>
      <c r="D98" s="27">
        <f>IF(B98=0,"",C98/B98)</f>
        <v/>
      </c>
      <c r="E98" s="25">
        <f>SUMIFS('ORDENES'!$M$4:$M$1203,'ORDENES'!$U$4:$U$1203,$A98,'ORDENES'!$T$4:$T$1203,"sí")</f>
        <v/>
      </c>
      <c r="F98" s="25">
        <f>SUMIFS('ORDENES'!$M$4:$M$1203,'ORDENES'!$U$4:$U$1203,$A98,'ORDENES'!$N$4:$N$1203,"Cerrada",'ORDENES'!$T$4:$T$1203,"sí")</f>
        <v/>
      </c>
      <c r="G98" s="27">
        <f>IF(E98=0,"",F98/E98)</f>
        <v/>
      </c>
    </row>
    <row r="99"/>
    <row r="100">
      <c r="A100" s="3" t="inlineStr">
        <is>
          <t>POR CLASE DE MANTENIMIENTO (mix; la clase la hereda la orden de CAT_TIPOS_OT)</t>
        </is>
      </c>
    </row>
    <row r="101">
      <c r="A101" s="23" t="inlineStr">
        <is>
          <t>valor</t>
        </is>
      </c>
      <c r="B101" s="23" t="inlineStr">
        <is>
          <t>total_ot</t>
        </is>
      </c>
      <c r="C101" s="23" t="inlineStr">
        <is>
          <t>cerradas</t>
        </is>
      </c>
      <c r="D101" s="23" t="inlineStr">
        <is>
          <t>adherencia_conteo</t>
        </is>
      </c>
      <c r="E101" s="23" t="inlineStr">
        <is>
          <t>hh_total</t>
        </is>
      </c>
      <c r="F101" s="23" t="inlineStr">
        <is>
          <t>hh_cerradas</t>
        </is>
      </c>
      <c r="G101" s="23" t="inlineStr">
        <is>
          <t>adherencia_horas</t>
        </is>
      </c>
    </row>
    <row r="102">
      <c r="A102" s="24" t="inlineStr">
        <is>
          <t>predictivo</t>
        </is>
      </c>
      <c r="B102" s="24">
        <f>COUNTIFS('ORDENES'!$V$4:$V$1203,$A102,'ORDENES'!$T$4:$T$1203,"sí")</f>
        <v/>
      </c>
      <c r="C102" s="24">
        <f>COUNTIFS('ORDENES'!$V$4:$V$1203,$A102,'ORDENES'!$N$4:$N$1203,"Cerrada",'ORDENES'!$T$4:$T$1203,"sí")</f>
        <v/>
      </c>
      <c r="D102" s="27">
        <f>IF(B102=0,"",C102/B102)</f>
        <v/>
      </c>
      <c r="E102" s="25">
        <f>SUMIFS('ORDENES'!$M$4:$M$1203,'ORDENES'!$V$4:$V$1203,$A102,'ORDENES'!$T$4:$T$1203,"sí")</f>
        <v/>
      </c>
      <c r="F102" s="25">
        <f>SUMIFS('ORDENES'!$M$4:$M$1203,'ORDENES'!$V$4:$V$1203,$A102,'ORDENES'!$N$4:$N$1203,"Cerrada",'ORDENES'!$T$4:$T$1203,"sí")</f>
        <v/>
      </c>
      <c r="G102" s="27">
        <f>IF(E102=0,"",F102/E102)</f>
        <v/>
      </c>
    </row>
    <row r="103">
      <c r="A103" s="24" t="inlineStr">
        <is>
          <t>preventivo</t>
        </is>
      </c>
      <c r="B103" s="24">
        <f>COUNTIFS('ORDENES'!$V$4:$V$1203,$A103,'ORDENES'!$T$4:$T$1203,"sí")</f>
        <v/>
      </c>
      <c r="C103" s="24">
        <f>COUNTIFS('ORDENES'!$V$4:$V$1203,$A103,'ORDENES'!$N$4:$N$1203,"Cerrada",'ORDENES'!$T$4:$T$1203,"sí")</f>
        <v/>
      </c>
      <c r="D103" s="27">
        <f>IF(B103=0,"",C103/B103)</f>
        <v/>
      </c>
      <c r="E103" s="25">
        <f>SUMIFS('ORDENES'!$M$4:$M$1203,'ORDENES'!$V$4:$V$1203,$A103,'ORDENES'!$T$4:$T$1203,"sí")</f>
        <v/>
      </c>
      <c r="F103" s="25">
        <f>SUMIFS('ORDENES'!$M$4:$M$1203,'ORDENES'!$V$4:$V$1203,$A103,'ORDENES'!$N$4:$N$1203,"Cerrada",'ORDENES'!$T$4:$T$1203,"sí")</f>
        <v/>
      </c>
      <c r="G103" s="27">
        <f>IF(E103=0,"",F103/E103)</f>
        <v/>
      </c>
    </row>
    <row r="104">
      <c r="A104" s="24" t="inlineStr">
        <is>
          <t>correctivo_programado</t>
        </is>
      </c>
      <c r="B104" s="24">
        <f>COUNTIFS('ORDENES'!$V$4:$V$1203,$A104,'ORDENES'!$T$4:$T$1203,"sí")</f>
        <v/>
      </c>
      <c r="C104" s="24">
        <f>COUNTIFS('ORDENES'!$V$4:$V$1203,$A104,'ORDENES'!$N$4:$N$1203,"Cerrada",'ORDENES'!$T$4:$T$1203,"sí")</f>
        <v/>
      </c>
      <c r="D104" s="27">
        <f>IF(B104=0,"",C104/B104)</f>
        <v/>
      </c>
      <c r="E104" s="25">
        <f>SUMIFS('ORDENES'!$M$4:$M$1203,'ORDENES'!$V$4:$V$1203,$A104,'ORDENES'!$T$4:$T$1203,"sí")</f>
        <v/>
      </c>
      <c r="F104" s="25">
        <f>SUMIFS('ORDENES'!$M$4:$M$1203,'ORDENES'!$V$4:$V$1203,$A104,'ORDENES'!$N$4:$N$1203,"Cerrada",'ORDENES'!$T$4:$T$1203,"sí")</f>
        <v/>
      </c>
      <c r="G104" s="27">
        <f>IF(E104=0,"",F104/E104)</f>
        <v/>
      </c>
    </row>
    <row r="105">
      <c r="A105" s="24" t="inlineStr">
        <is>
          <t>emergencia</t>
        </is>
      </c>
      <c r="B105" s="24">
        <f>COUNTIFS('ORDENES'!$V$4:$V$1203,$A105,'ORDENES'!$T$4:$T$1203,"sí")</f>
        <v/>
      </c>
      <c r="C105" s="24">
        <f>COUNTIFS('ORDENES'!$V$4:$V$1203,$A105,'ORDENES'!$N$4:$N$1203,"Cerrada",'ORDENES'!$T$4:$T$1203,"sí")</f>
        <v/>
      </c>
      <c r="D105" s="27">
        <f>IF(B105=0,"",C105/B105)</f>
        <v/>
      </c>
      <c r="E105" s="25">
        <f>SUMIFS('ORDENES'!$M$4:$M$1203,'ORDENES'!$V$4:$V$1203,$A105,'ORDENES'!$T$4:$T$1203,"sí")</f>
        <v/>
      </c>
      <c r="F105" s="25">
        <f>SUMIFS('ORDENES'!$M$4:$M$1203,'ORDENES'!$V$4:$V$1203,$A105,'ORDENES'!$N$4:$N$1203,"Cerrada",'ORDENES'!$T$4:$T$1203,"sí")</f>
        <v/>
      </c>
      <c r="G105" s="27">
        <f>IF(E105=0,"",F105/E105)</f>
        <v/>
      </c>
    </row>
    <row r="106">
      <c r="A106" s="24" t="inlineStr">
        <is>
          <t>SIN CLASIFICAR</t>
        </is>
      </c>
      <c r="B106" s="24">
        <f>COUNTIFS('ORDENES'!$V$4:$V$1203,$A106,'ORDENES'!$T$4:$T$1203,"sí")</f>
        <v/>
      </c>
      <c r="C106" s="24">
        <f>COUNTIFS('ORDENES'!$V$4:$V$1203,$A106,'ORDENES'!$N$4:$N$1203,"Cerrada",'ORDENES'!$T$4:$T$1203,"sí")</f>
        <v/>
      </c>
      <c r="D106" s="27">
        <f>IF(B106=0,"",C106/B106)</f>
        <v/>
      </c>
      <c r="E106" s="25">
        <f>SUMIFS('ORDENES'!$M$4:$M$1203,'ORDENES'!$V$4:$V$1203,$A106,'ORDENES'!$T$4:$T$1203,"sí")</f>
        <v/>
      </c>
      <c r="F106" s="25">
        <f>SUMIFS('ORDENES'!$M$4:$M$1203,'ORDENES'!$V$4:$V$1203,$A106,'ORDENES'!$N$4:$N$1203,"Cerrada",'ORDENES'!$T$4:$T$1203,"sí")</f>
        <v/>
      </c>
      <c r="G106" s="27">
        <f>IF(E106=0,"",F106/E106)</f>
        <v/>
      </c>
    </row>
    <row r="107"/>
    <row r="108">
      <c r="A108" s="3" t="inlineStr">
        <is>
          <t>POR RUBRO (etiqueta transversal; no suma con las clases)</t>
        </is>
      </c>
    </row>
    <row r="109">
      <c r="A109" s="23" t="inlineStr">
        <is>
          <t>valor</t>
        </is>
      </c>
      <c r="B109" s="23" t="inlineStr">
        <is>
          <t>total_ot</t>
        </is>
      </c>
      <c r="C109" s="23" t="inlineStr">
        <is>
          <t>cerradas</t>
        </is>
      </c>
      <c r="D109" s="23" t="inlineStr">
        <is>
          <t>adherencia_conteo</t>
        </is>
      </c>
      <c r="E109" s="23" t="inlineStr">
        <is>
          <t>hh_total</t>
        </is>
      </c>
      <c r="F109" s="23" t="inlineStr">
        <is>
          <t>hh_cerradas</t>
        </is>
      </c>
      <c r="G109" s="23" t="inlineStr">
        <is>
          <t>adherencia_horas</t>
        </is>
      </c>
    </row>
    <row r="110">
      <c r="A110" s="24" t="inlineStr">
        <is>
          <t>calibracion</t>
        </is>
      </c>
      <c r="B110" s="24">
        <f>COUNTIFS('ORDENES'!$W$4:$W$1203,$A110,'ORDENES'!$T$4:$T$1203,"sí")</f>
        <v/>
      </c>
      <c r="C110" s="24">
        <f>COUNTIFS('ORDENES'!$W$4:$W$1203,$A110,'ORDENES'!$N$4:$N$1203,"Cerrada",'ORDENES'!$T$4:$T$1203,"sí")</f>
        <v/>
      </c>
      <c r="D110" s="27">
        <f>IF(B110=0,"",C110/B110)</f>
        <v/>
      </c>
      <c r="E110" s="25">
        <f>SUMIFS('ORDENES'!$M$4:$M$1203,'ORDENES'!$W$4:$W$1203,$A110,'ORDENES'!$T$4:$T$1203,"sí")</f>
        <v/>
      </c>
      <c r="F110" s="25">
        <f>SUMIFS('ORDENES'!$M$4:$M$1203,'ORDENES'!$W$4:$W$1203,$A110,'ORDENES'!$N$4:$N$1203,"Cerrada",'ORDENES'!$T$4:$T$1203,"sí")</f>
        <v/>
      </c>
      <c r="G110" s="27">
        <f>IF(E110=0,"",F110/E110)</f>
        <v/>
      </c>
    </row>
    <row r="111">
      <c r="A111" s="24" t="inlineStr">
        <is>
          <t>lubricacion</t>
        </is>
      </c>
      <c r="B111" s="24">
        <f>COUNTIFS('ORDENES'!$W$4:$W$1203,$A111,'ORDENES'!$T$4:$T$1203,"sí")</f>
        <v/>
      </c>
      <c r="C111" s="24">
        <f>COUNTIFS('ORDENES'!$W$4:$W$1203,$A111,'ORDENES'!$N$4:$N$1203,"Cerrada",'ORDENES'!$T$4:$T$1203,"sí")</f>
        <v/>
      </c>
      <c r="D111" s="27">
        <f>IF(B111=0,"",C111/B111)</f>
        <v/>
      </c>
      <c r="E111" s="25">
        <f>SUMIFS('ORDENES'!$M$4:$M$1203,'ORDENES'!$W$4:$W$1203,$A111,'ORDENES'!$T$4:$T$1203,"sí")</f>
        <v/>
      </c>
      <c r="F111" s="25">
        <f>SUMIFS('ORDENES'!$M$4:$M$1203,'ORDENES'!$W$4:$W$1203,$A111,'ORDENES'!$N$4:$N$1203,"Cerrada",'ORDENES'!$T$4:$T$1203,"sí")</f>
        <v/>
      </c>
      <c r="G111" s="27">
        <f>IF(E111=0,"",F111/E111)</f>
        <v/>
      </c>
    </row>
    <row r="112"/>
    <row r="113">
      <c r="A113" s="3" t="inlineStr">
        <is>
          <t>POR TÉCNICO</t>
        </is>
      </c>
    </row>
    <row r="114">
      <c r="A114" s="23" t="inlineStr">
        <is>
          <t>valor</t>
        </is>
      </c>
      <c r="B114" s="23" t="inlineStr">
        <is>
          <t>total_ot</t>
        </is>
      </c>
      <c r="C114" s="23" t="inlineStr">
        <is>
          <t>cerradas</t>
        </is>
      </c>
      <c r="D114" s="23" t="inlineStr">
        <is>
          <t>adherencia_conteo</t>
        </is>
      </c>
      <c r="E114" s="23" t="inlineStr">
        <is>
          <t>hh_total</t>
        </is>
      </c>
      <c r="F114" s="23" t="inlineStr">
        <is>
          <t>hh_cerradas</t>
        </is>
      </c>
      <c r="G114" s="23" t="inlineStr">
        <is>
          <t>adherencia_horas</t>
        </is>
      </c>
    </row>
    <row r="115">
      <c r="A115" s="24" t="inlineStr">
        <is>
          <t>Carlos Pérez</t>
        </is>
      </c>
      <c r="B115" s="24">
        <f>COUNTIFS('ORDENES'!$AH$4:$AH$1203,$A115,'ORDENES'!$T$4:$T$1203,"sí")</f>
        <v/>
      </c>
      <c r="C115" s="24">
        <f>COUNTIFS('ORDENES'!$AH$4:$AH$1203,$A115,'ORDENES'!$N$4:$N$1203,"Cerrada",'ORDENES'!$T$4:$T$1203,"sí")</f>
        <v/>
      </c>
      <c r="D115" s="27">
        <f>IF(B115=0,"",C115/B115)</f>
        <v/>
      </c>
      <c r="E115" s="25">
        <f>SUMIFS('ORDENES'!$M$4:$M$1203,'ORDENES'!$AH$4:$AH$1203,$A115,'ORDENES'!$T$4:$T$1203,"sí")</f>
        <v/>
      </c>
      <c r="F115" s="25">
        <f>SUMIFS('ORDENES'!$M$4:$M$1203,'ORDENES'!$AH$4:$AH$1203,$A115,'ORDENES'!$N$4:$N$1203,"Cerrada",'ORDENES'!$T$4:$T$1203,"sí")</f>
        <v/>
      </c>
      <c r="G115" s="27">
        <f>IF(E115=0,"",F115/E115)</f>
        <v/>
      </c>
    </row>
    <row r="116">
      <c r="A116" s="24" t="inlineStr">
        <is>
          <t>María Gómez</t>
        </is>
      </c>
      <c r="B116" s="24">
        <f>COUNTIFS('ORDENES'!$AH$4:$AH$1203,$A116,'ORDENES'!$T$4:$T$1203,"sí")</f>
        <v/>
      </c>
      <c r="C116" s="24">
        <f>COUNTIFS('ORDENES'!$AH$4:$AH$1203,$A116,'ORDENES'!$N$4:$N$1203,"Cerrada",'ORDENES'!$T$4:$T$1203,"sí")</f>
        <v/>
      </c>
      <c r="D116" s="27">
        <f>IF(B116=0,"",C116/B116)</f>
        <v/>
      </c>
      <c r="E116" s="25">
        <f>SUMIFS('ORDENES'!$M$4:$M$1203,'ORDENES'!$AH$4:$AH$1203,$A116,'ORDENES'!$T$4:$T$1203,"sí")</f>
        <v/>
      </c>
      <c r="F116" s="25">
        <f>SUMIFS('ORDENES'!$M$4:$M$1203,'ORDENES'!$AH$4:$AH$1203,$A116,'ORDENES'!$N$4:$N$1203,"Cerrada",'ORDENES'!$T$4:$T$1203,"sí")</f>
        <v/>
      </c>
      <c r="G116" s="27">
        <f>IF(E116=0,"",F116/E116)</f>
        <v/>
      </c>
    </row>
    <row r="117">
      <c r="A117" s="24" t="inlineStr">
        <is>
          <t>Luis Rodríguez</t>
        </is>
      </c>
      <c r="B117" s="24">
        <f>COUNTIFS('ORDENES'!$AH$4:$AH$1203,$A117,'ORDENES'!$T$4:$T$1203,"sí")</f>
        <v/>
      </c>
      <c r="C117" s="24">
        <f>COUNTIFS('ORDENES'!$AH$4:$AH$1203,$A117,'ORDENES'!$N$4:$N$1203,"Cerrada",'ORDENES'!$T$4:$T$1203,"sí")</f>
        <v/>
      </c>
      <c r="D117" s="27">
        <f>IF(B117=0,"",C117/B117)</f>
        <v/>
      </c>
      <c r="E117" s="25">
        <f>SUMIFS('ORDENES'!$M$4:$M$1203,'ORDENES'!$AH$4:$AH$1203,$A117,'ORDENES'!$T$4:$T$1203,"sí")</f>
        <v/>
      </c>
      <c r="F117" s="25">
        <f>SUMIFS('ORDENES'!$M$4:$M$1203,'ORDENES'!$AH$4:$AH$1203,$A117,'ORDENES'!$N$4:$N$1203,"Cerrada",'ORDENES'!$T$4:$T$1203,"sí")</f>
        <v/>
      </c>
      <c r="G117" s="27">
        <f>IF(E117=0,"",F117/E117)</f>
        <v/>
      </c>
    </row>
    <row r="118">
      <c r="A118" s="24" t="inlineStr">
        <is>
          <t>Miguel Martínez</t>
        </is>
      </c>
      <c r="B118" s="24">
        <f>COUNTIFS('ORDENES'!$AH$4:$AH$1203,$A118,'ORDENES'!$T$4:$T$1203,"sí")</f>
        <v/>
      </c>
      <c r="C118" s="24">
        <f>COUNTIFS('ORDENES'!$AH$4:$AH$1203,$A118,'ORDENES'!$N$4:$N$1203,"Cerrada",'ORDENES'!$T$4:$T$1203,"sí")</f>
        <v/>
      </c>
      <c r="D118" s="27">
        <f>IF(B118=0,"",C118/B118)</f>
        <v/>
      </c>
      <c r="E118" s="25">
        <f>SUMIFS('ORDENES'!$M$4:$M$1203,'ORDENES'!$AH$4:$AH$1203,$A118,'ORDENES'!$T$4:$T$1203,"sí")</f>
        <v/>
      </c>
      <c r="F118" s="25">
        <f>SUMIFS('ORDENES'!$M$4:$M$1203,'ORDENES'!$AH$4:$AH$1203,$A118,'ORDENES'!$N$4:$N$1203,"Cerrada",'ORDENES'!$T$4:$T$1203,"sí")</f>
        <v/>
      </c>
      <c r="G118" s="27">
        <f>IF(E118=0,"",F118/E118)</f>
        <v/>
      </c>
    </row>
    <row r="119">
      <c r="A119" s="24" t="inlineStr">
        <is>
          <t>Ana Sánchez</t>
        </is>
      </c>
      <c r="B119" s="24">
        <f>COUNTIFS('ORDENES'!$AH$4:$AH$1203,$A119,'ORDENES'!$T$4:$T$1203,"sí")</f>
        <v/>
      </c>
      <c r="C119" s="24">
        <f>COUNTIFS('ORDENES'!$AH$4:$AH$1203,$A119,'ORDENES'!$N$4:$N$1203,"Cerrada",'ORDENES'!$T$4:$T$1203,"sí")</f>
        <v/>
      </c>
      <c r="D119" s="27">
        <f>IF(B119=0,"",C119/B119)</f>
        <v/>
      </c>
      <c r="E119" s="25">
        <f>SUMIFS('ORDENES'!$M$4:$M$1203,'ORDENES'!$AH$4:$AH$1203,$A119,'ORDENES'!$T$4:$T$1203,"sí")</f>
        <v/>
      </c>
      <c r="F119" s="25">
        <f>SUMIFS('ORDENES'!$M$4:$M$1203,'ORDENES'!$AH$4:$AH$1203,$A119,'ORDENES'!$N$4:$N$1203,"Cerrada",'ORDENES'!$T$4:$T$1203,"sí")</f>
        <v/>
      </c>
      <c r="G119" s="27">
        <f>IF(E119=0,"",F119/E119)</f>
        <v/>
      </c>
    </row>
    <row r="120">
      <c r="A120" s="24" t="inlineStr">
        <is>
          <t>David Torres</t>
        </is>
      </c>
      <c r="B120" s="24">
        <f>COUNTIFS('ORDENES'!$AH$4:$AH$1203,$A120,'ORDENES'!$T$4:$T$1203,"sí")</f>
        <v/>
      </c>
      <c r="C120" s="24">
        <f>COUNTIFS('ORDENES'!$AH$4:$AH$1203,$A120,'ORDENES'!$N$4:$N$1203,"Cerrada",'ORDENES'!$T$4:$T$1203,"sí")</f>
        <v/>
      </c>
      <c r="D120" s="27">
        <f>IF(B120=0,"",C120/B120)</f>
        <v/>
      </c>
      <c r="E120" s="25">
        <f>SUMIFS('ORDENES'!$M$4:$M$1203,'ORDENES'!$AH$4:$AH$1203,$A120,'ORDENES'!$T$4:$T$1203,"sí")</f>
        <v/>
      </c>
      <c r="F120" s="25">
        <f>SUMIFS('ORDENES'!$M$4:$M$1203,'ORDENES'!$AH$4:$AH$1203,$A120,'ORDENES'!$N$4:$N$1203,"Cerrada",'ORDENES'!$T$4:$T$1203,"sí")</f>
        <v/>
      </c>
      <c r="G120" s="27">
        <f>IF(E120=0,"",F120/E120)</f>
        <v/>
      </c>
    </row>
    <row r="121">
      <c r="A121" s="24" t="inlineStr">
        <is>
          <t>Francisco Ramírez</t>
        </is>
      </c>
      <c r="B121" s="24">
        <f>COUNTIFS('ORDENES'!$AH$4:$AH$1203,$A121,'ORDENES'!$T$4:$T$1203,"sí")</f>
        <v/>
      </c>
      <c r="C121" s="24">
        <f>COUNTIFS('ORDENES'!$AH$4:$AH$1203,$A121,'ORDENES'!$N$4:$N$1203,"Cerrada",'ORDENES'!$T$4:$T$1203,"sí")</f>
        <v/>
      </c>
      <c r="D121" s="27">
        <f>IF(B121=0,"",C121/B121)</f>
        <v/>
      </c>
      <c r="E121" s="25">
        <f>SUMIFS('ORDENES'!$M$4:$M$1203,'ORDENES'!$AH$4:$AH$1203,$A121,'ORDENES'!$T$4:$T$1203,"sí")</f>
        <v/>
      </c>
      <c r="F121" s="25">
        <f>SUMIFS('ORDENES'!$M$4:$M$1203,'ORDENES'!$AH$4:$AH$1203,$A121,'ORDENES'!$N$4:$N$1203,"Cerrada",'ORDENES'!$T$4:$T$1203,"sí")</f>
        <v/>
      </c>
      <c r="G121" s="27">
        <f>IF(E121=0,"",F121/E121)</f>
        <v/>
      </c>
    </row>
    <row r="122">
      <c r="A122" s="24" t="inlineStr">
        <is>
          <t>Jorge Díaz</t>
        </is>
      </c>
      <c r="B122" s="24">
        <f>COUNTIFS('ORDENES'!$AH$4:$AH$1203,$A122,'ORDENES'!$T$4:$T$1203,"sí")</f>
        <v/>
      </c>
      <c r="C122" s="24">
        <f>COUNTIFS('ORDENES'!$AH$4:$AH$1203,$A122,'ORDENES'!$N$4:$N$1203,"Cerrada",'ORDENES'!$T$4:$T$1203,"sí")</f>
        <v/>
      </c>
      <c r="D122" s="27">
        <f>IF(B122=0,"",C122/B122)</f>
        <v/>
      </c>
      <c r="E122" s="25">
        <f>SUMIFS('ORDENES'!$M$4:$M$1203,'ORDENES'!$AH$4:$AH$1203,$A122,'ORDENES'!$T$4:$T$1203,"sí")</f>
        <v/>
      </c>
      <c r="F122" s="25">
        <f>SUMIFS('ORDENES'!$M$4:$M$1203,'ORDENES'!$AH$4:$AH$1203,$A122,'ORDENES'!$N$4:$N$1203,"Cerrada",'ORDENES'!$T$4:$T$1203,"sí")</f>
        <v/>
      </c>
      <c r="G122" s="27">
        <f>IF(E122=0,"",F122/E122)</f>
        <v/>
      </c>
    </row>
    <row r="123">
      <c r="A123" s="24" t="inlineStr">
        <is>
          <t>Roberto Castro</t>
        </is>
      </c>
      <c r="B123" s="24">
        <f>COUNTIFS('ORDENES'!$AH$4:$AH$1203,$A123,'ORDENES'!$T$4:$T$1203,"sí")</f>
        <v/>
      </c>
      <c r="C123" s="24">
        <f>COUNTIFS('ORDENES'!$AH$4:$AH$1203,$A123,'ORDENES'!$N$4:$N$1203,"Cerrada",'ORDENES'!$T$4:$T$1203,"sí")</f>
        <v/>
      </c>
      <c r="D123" s="27">
        <f>IF(B123=0,"",C123/B123)</f>
        <v/>
      </c>
      <c r="E123" s="25">
        <f>SUMIFS('ORDENES'!$M$4:$M$1203,'ORDENES'!$AH$4:$AH$1203,$A123,'ORDENES'!$T$4:$T$1203,"sí")</f>
        <v/>
      </c>
      <c r="F123" s="25">
        <f>SUMIFS('ORDENES'!$M$4:$M$1203,'ORDENES'!$AH$4:$AH$1203,$A123,'ORDENES'!$N$4:$N$1203,"Cerrada",'ORDENES'!$T$4:$T$1203,"sí")</f>
        <v/>
      </c>
      <c r="G123" s="27">
        <f>IF(E123=0,"",F123/E123)</f>
        <v/>
      </c>
    </row>
    <row r="124">
      <c r="A124" s="24" t="inlineStr">
        <is>
          <t>Laura Morales</t>
        </is>
      </c>
      <c r="B124" s="24">
        <f>COUNTIFS('ORDENES'!$AH$4:$AH$1203,$A124,'ORDENES'!$T$4:$T$1203,"sí")</f>
        <v/>
      </c>
      <c r="C124" s="24">
        <f>COUNTIFS('ORDENES'!$AH$4:$AH$1203,$A124,'ORDENES'!$N$4:$N$1203,"Cerrada",'ORDENES'!$T$4:$T$1203,"sí")</f>
        <v/>
      </c>
      <c r="D124" s="27">
        <f>IF(B124=0,"",C124/B124)</f>
        <v/>
      </c>
      <c r="E124" s="25">
        <f>SUMIFS('ORDENES'!$M$4:$M$1203,'ORDENES'!$AH$4:$AH$1203,$A124,'ORDENES'!$T$4:$T$1203,"sí")</f>
        <v/>
      </c>
      <c r="F124" s="25">
        <f>SUMIFS('ORDENES'!$M$4:$M$1203,'ORDENES'!$AH$4:$AH$1203,$A124,'ORDENES'!$N$4:$N$1203,"Cerrada",'ORDENES'!$T$4:$T$1203,"sí")</f>
        <v/>
      </c>
      <c r="G124" s="27">
        <f>IF(E124=0,"",F124/E124)</f>
        <v/>
      </c>
    </row>
    <row r="125">
      <c r="A125" s="24" t="inlineStr">
        <is>
          <t>Ricardo Ortiz</t>
        </is>
      </c>
      <c r="B125" s="24">
        <f>COUNTIFS('ORDENES'!$AH$4:$AH$1203,$A125,'ORDENES'!$T$4:$T$1203,"sí")</f>
        <v/>
      </c>
      <c r="C125" s="24">
        <f>COUNTIFS('ORDENES'!$AH$4:$AH$1203,$A125,'ORDENES'!$N$4:$N$1203,"Cerrada",'ORDENES'!$T$4:$T$1203,"sí")</f>
        <v/>
      </c>
      <c r="D125" s="27">
        <f>IF(B125=0,"",C125/B125)</f>
        <v/>
      </c>
      <c r="E125" s="25">
        <f>SUMIFS('ORDENES'!$M$4:$M$1203,'ORDENES'!$AH$4:$AH$1203,$A125,'ORDENES'!$T$4:$T$1203,"sí")</f>
        <v/>
      </c>
      <c r="F125" s="25">
        <f>SUMIFS('ORDENES'!$M$4:$M$1203,'ORDENES'!$AH$4:$AH$1203,$A125,'ORDENES'!$N$4:$N$1203,"Cerrada",'ORDENES'!$T$4:$T$1203,"sí")</f>
        <v/>
      </c>
      <c r="G125" s="27">
        <f>IF(E125=0,"",F125/E125)</f>
        <v/>
      </c>
    </row>
    <row r="126">
      <c r="A126" s="24" t="inlineStr">
        <is>
          <t>Eduardo Silva</t>
        </is>
      </c>
      <c r="B126" s="24">
        <f>COUNTIFS('ORDENES'!$AH$4:$AH$1203,$A126,'ORDENES'!$T$4:$T$1203,"sí")</f>
        <v/>
      </c>
      <c r="C126" s="24">
        <f>COUNTIFS('ORDENES'!$AH$4:$AH$1203,$A126,'ORDENES'!$N$4:$N$1203,"Cerrada",'ORDENES'!$T$4:$T$1203,"sí")</f>
        <v/>
      </c>
      <c r="D126" s="27">
        <f>IF(B126=0,"",C126/B126)</f>
        <v/>
      </c>
      <c r="E126" s="25">
        <f>SUMIFS('ORDENES'!$M$4:$M$1203,'ORDENES'!$AH$4:$AH$1203,$A126,'ORDENES'!$T$4:$T$1203,"sí")</f>
        <v/>
      </c>
      <c r="F126" s="25">
        <f>SUMIFS('ORDENES'!$M$4:$M$1203,'ORDENES'!$AH$4:$AH$1203,$A126,'ORDENES'!$N$4:$N$1203,"Cerrada",'ORDENES'!$T$4:$T$1203,"sí")</f>
        <v/>
      </c>
      <c r="G126" s="27">
        <f>IF(E126=0,"",F126/E126)</f>
        <v/>
      </c>
    </row>
    <row r="127">
      <c r="A127" s="24" t="inlineStr">
        <is>
          <t>Gabriela Rojas</t>
        </is>
      </c>
      <c r="B127" s="24">
        <f>COUNTIFS('ORDENES'!$AH$4:$AH$1203,$A127,'ORDENES'!$T$4:$T$1203,"sí")</f>
        <v/>
      </c>
      <c r="C127" s="24">
        <f>COUNTIFS('ORDENES'!$AH$4:$AH$1203,$A127,'ORDENES'!$N$4:$N$1203,"Cerrada",'ORDENES'!$T$4:$T$1203,"sí")</f>
        <v/>
      </c>
      <c r="D127" s="27">
        <f>IF(B127=0,"",C127/B127)</f>
        <v/>
      </c>
      <c r="E127" s="25">
        <f>SUMIFS('ORDENES'!$M$4:$M$1203,'ORDENES'!$AH$4:$AH$1203,$A127,'ORDENES'!$T$4:$T$1203,"sí")</f>
        <v/>
      </c>
      <c r="F127" s="25">
        <f>SUMIFS('ORDENES'!$M$4:$M$1203,'ORDENES'!$AH$4:$AH$1203,$A127,'ORDENES'!$N$4:$N$1203,"Cerrada",'ORDENES'!$T$4:$T$1203,"sí")</f>
        <v/>
      </c>
      <c r="G127" s="27">
        <f>IF(E127=0,"",F127/E127)</f>
        <v/>
      </c>
    </row>
    <row r="128">
      <c r="A128" s="24" t="inlineStr">
        <is>
          <t>Fernando Mendoza</t>
        </is>
      </c>
      <c r="B128" s="24">
        <f>COUNTIFS('ORDENES'!$AH$4:$AH$1203,$A128,'ORDENES'!$T$4:$T$1203,"sí")</f>
        <v/>
      </c>
      <c r="C128" s="24">
        <f>COUNTIFS('ORDENES'!$AH$4:$AH$1203,$A128,'ORDENES'!$N$4:$N$1203,"Cerrada",'ORDENES'!$T$4:$T$1203,"sí")</f>
        <v/>
      </c>
      <c r="D128" s="27">
        <f>IF(B128=0,"",C128/B128)</f>
        <v/>
      </c>
      <c r="E128" s="25">
        <f>SUMIFS('ORDENES'!$M$4:$M$1203,'ORDENES'!$AH$4:$AH$1203,$A128,'ORDENES'!$T$4:$T$1203,"sí")</f>
        <v/>
      </c>
      <c r="F128" s="25">
        <f>SUMIFS('ORDENES'!$M$4:$M$1203,'ORDENES'!$AH$4:$AH$1203,$A128,'ORDENES'!$N$4:$N$1203,"Cerrada",'ORDENES'!$T$4:$T$1203,"sí")</f>
        <v/>
      </c>
      <c r="G128" s="27">
        <f>IF(E128=0,"",F128/E128)</f>
        <v/>
      </c>
    </row>
    <row r="129">
      <c r="A129" s="24" t="inlineStr">
        <is>
          <t>Alberto Vargas</t>
        </is>
      </c>
      <c r="B129" s="24">
        <f>COUNTIFS('ORDENES'!$AH$4:$AH$1203,$A129,'ORDENES'!$T$4:$T$1203,"sí")</f>
        <v/>
      </c>
      <c r="C129" s="24">
        <f>COUNTIFS('ORDENES'!$AH$4:$AH$1203,$A129,'ORDENES'!$N$4:$N$1203,"Cerrada",'ORDENES'!$T$4:$T$1203,"sí")</f>
        <v/>
      </c>
      <c r="D129" s="27">
        <f>IF(B129=0,"",C129/B129)</f>
        <v/>
      </c>
      <c r="E129" s="25">
        <f>SUMIFS('ORDENES'!$M$4:$M$1203,'ORDENES'!$AH$4:$AH$1203,$A129,'ORDENES'!$T$4:$T$1203,"sí")</f>
        <v/>
      </c>
      <c r="F129" s="25">
        <f>SUMIFS('ORDENES'!$M$4:$M$1203,'ORDENES'!$AH$4:$AH$1203,$A129,'ORDENES'!$N$4:$N$1203,"Cerrada",'ORDENES'!$T$4:$T$1203,"sí")</f>
        <v/>
      </c>
      <c r="G129" s="27">
        <f>IF(E129=0,"",F129/E129)</f>
        <v/>
      </c>
    </row>
    <row r="130">
      <c r="A130" s="24" t="inlineStr">
        <is>
          <t>Daniela Medina</t>
        </is>
      </c>
      <c r="B130" s="24">
        <f>COUNTIFS('ORDENES'!$AH$4:$AH$1203,$A130,'ORDENES'!$T$4:$T$1203,"sí")</f>
        <v/>
      </c>
      <c r="C130" s="24">
        <f>COUNTIFS('ORDENES'!$AH$4:$AH$1203,$A130,'ORDENES'!$N$4:$N$1203,"Cerrada",'ORDENES'!$T$4:$T$1203,"sí")</f>
        <v/>
      </c>
      <c r="D130" s="27">
        <f>IF(B130=0,"",C130/B130)</f>
        <v/>
      </c>
      <c r="E130" s="25">
        <f>SUMIFS('ORDENES'!$M$4:$M$1203,'ORDENES'!$AH$4:$AH$1203,$A130,'ORDENES'!$T$4:$T$1203,"sí")</f>
        <v/>
      </c>
      <c r="F130" s="25">
        <f>SUMIFS('ORDENES'!$M$4:$M$1203,'ORDENES'!$AH$4:$AH$1203,$A130,'ORDENES'!$N$4:$N$1203,"Cerrada",'ORDENES'!$T$4:$T$1203,"sí")</f>
        <v/>
      </c>
      <c r="G130" s="27">
        <f>IF(E130=0,"",F130/E130)</f>
        <v/>
      </c>
    </row>
    <row r="131"/>
    <row r="132">
      <c r="A132" s="3" t="inlineStr">
        <is>
          <t>MES A MES — corte del tablero (fuente del DASHBOARD; no editar). El mes de la fecha de datos se corta el DÍA ANTERIOR a ella; el resto, a fin de mes. El mix cuenta TODAS las órdenes del mes (la adherencia, solo días hábiles, como REGLA-7). CLASE es partición (suma 100 %); RUBRO es etiqueta transversal y NO suma con las clases.</t>
        </is>
      </c>
    </row>
    <row r="133">
      <c r="A133" s="23" t="inlineStr">
        <is>
          <t>mes</t>
        </is>
      </c>
      <c r="B133" s="23" t="inlineStr">
        <is>
          <t>corte</t>
        </is>
      </c>
      <c r="C133" s="23" t="inlineStr">
        <is>
          <t>total_ot</t>
        </is>
      </c>
      <c r="D133" s="23" t="inlineStr">
        <is>
          <t>cerradas</t>
        </is>
      </c>
      <c r="E133" s="23" t="inlineStr">
        <is>
          <t>adherencia</t>
        </is>
      </c>
      <c r="F133" s="23" t="inlineStr">
        <is>
          <t>meta</t>
        </is>
      </c>
      <c r="G133" s="23" t="inlineStr">
        <is>
          <t>calibracion_programadas</t>
        </is>
      </c>
      <c r="H133" s="23" t="inlineStr">
        <is>
          <t>calibracion_cerradas</t>
        </is>
      </c>
      <c r="I133" s="23" t="inlineStr">
        <is>
          <t>calibracion_adherencia</t>
        </is>
      </c>
      <c r="J133" s="23" t="inlineStr">
        <is>
          <t>calibracion_vencidas</t>
        </is>
      </c>
      <c r="K133" s="23" t="inlineStr">
        <is>
          <t>lubricacion_programadas</t>
        </is>
      </c>
      <c r="L133" s="23" t="inlineStr">
        <is>
          <t>lubricacion_cerradas</t>
        </is>
      </c>
      <c r="M133" s="23" t="inlineStr">
        <is>
          <t>lubricacion_adherencia</t>
        </is>
      </c>
      <c r="N133" s="23" t="inlineStr">
        <is>
          <t>lubricacion_vencidas</t>
        </is>
      </c>
      <c r="O133" s="23" t="inlineStr">
        <is>
          <t>n_predictivo</t>
        </is>
      </c>
      <c r="P133" s="23" t="inlineStr">
        <is>
          <t>n_preventivo</t>
        </is>
      </c>
      <c r="Q133" s="23" t="inlineStr">
        <is>
          <t>n_correctivo_programado</t>
        </is>
      </c>
      <c r="R133" s="23" t="inlineStr">
        <is>
          <t>n_emergencia</t>
        </is>
      </c>
      <c r="S133" s="23" t="inlineStr">
        <is>
          <t>n_SIN CLASIFICAR</t>
        </is>
      </c>
      <c r="T133" s="23" t="inlineStr">
        <is>
          <t>CONTROL — órdenes del mes</t>
        </is>
      </c>
      <c r="U133" s="23" t="inlineStr">
        <is>
          <t>DIFERENCIA conteo (debe ser 0)</t>
        </is>
      </c>
      <c r="V133" s="23" t="inlineStr">
        <is>
          <t>hh_predictivo</t>
        </is>
      </c>
      <c r="W133" s="23" t="inlineStr">
        <is>
          <t>hh_preventivo</t>
        </is>
      </c>
      <c r="X133" s="23" t="inlineStr">
        <is>
          <t>hh_correctivo_programado</t>
        </is>
      </c>
      <c r="Y133" s="23" t="inlineStr">
        <is>
          <t>hh_emergencia</t>
        </is>
      </c>
      <c r="Z133" s="23" t="inlineStr">
        <is>
          <t>hh_SIN CLASIFICAR</t>
        </is>
      </c>
      <c r="AA133" s="23" t="inlineStr">
        <is>
          <t>CONTROL — horas del mes</t>
        </is>
      </c>
      <c r="AB133" s="23" t="inlineStr">
        <is>
          <t>DIFERENCIA horas (debe ser 0)</t>
        </is>
      </c>
    </row>
    <row r="134">
      <c r="A134" s="24" t="inlineStr">
        <is>
          <t>2025-10</t>
        </is>
      </c>
      <c r="B134" s="30">
        <f>IF($A134="","",IF($A134=YEAR(p_fecha_datos)&amp;"-"&amp;TEXT(MONTH(p_fecha_datos),"00"),p_fecha_datos-1,DATE(VALUE(LEFT($A134,4)),VALUE(RIGHT($A134,2))+1,0)))</f>
        <v/>
      </c>
      <c r="C134" s="24">
        <f>COUNTIFS('ORDENES'!$R$4:$R$1203,$A134,'ORDENES'!$J$4:$J$1203,"&lt;="&amp;$B134,'ORDENES'!$T$4:$T$1203,"sí")</f>
        <v/>
      </c>
      <c r="D134" s="24">
        <f>COUNTIFS('ORDENES'!$R$4:$R$1203,$A134,'ORDENES'!$J$4:$J$1203,"&lt;="&amp;$B134,'ORDENES'!$T$4:$T$1203,"sí",'ORDENES'!$N$4:$N$1203,"Cerrada")</f>
        <v/>
      </c>
      <c r="E134" s="27">
        <f>IF($C134=0,"",$D134/$C134)</f>
        <v/>
      </c>
      <c r="F134" s="28">
        <f>p_meta_adherencia</f>
        <v/>
      </c>
      <c r="G134" s="24">
        <f>COUNTIFS('ORDENES'!$R$4:$R$1203,$A134,'ORDENES'!$J$4:$J$1203,"&lt;="&amp;$B134,'ORDENES'!$W$4:$W$1203,"calibracion")</f>
        <v/>
      </c>
      <c r="H134" s="24">
        <f>COUNTIFS('ORDENES'!$R$4:$R$1203,$A134,'ORDENES'!$J$4:$J$1203,"&lt;="&amp;$B134,'ORDENES'!$W$4:$W$1203,"calibracion",'ORDENES'!$N$4:$N$1203,"Cerrada")</f>
        <v/>
      </c>
      <c r="I134" s="27">
        <f>IF($G134=0,"",$H134/$G134)</f>
        <v/>
      </c>
      <c r="J134" s="24">
        <f>COUNTIFS('ORDENES'!$R$4:$R$1203,$A134,'ORDENES'!$J$4:$J$1203,"&lt;="&amp;$B134,'ORDENES'!$W$4:$W$1203,"calibracion",'ORDENES'!$N$4:$N$1203,"Pendiente")</f>
        <v/>
      </c>
      <c r="K134" s="24">
        <f>COUNTIFS('ORDENES'!$R$4:$R$1203,$A134,'ORDENES'!$J$4:$J$1203,"&lt;="&amp;$B134,'ORDENES'!$W$4:$W$1203,"lubricacion")</f>
        <v/>
      </c>
      <c r="L134" s="24">
        <f>COUNTIFS('ORDENES'!$R$4:$R$1203,$A134,'ORDENES'!$J$4:$J$1203,"&lt;="&amp;$B134,'ORDENES'!$W$4:$W$1203,"lubricacion",'ORDENES'!$N$4:$N$1203,"Cerrada")</f>
        <v/>
      </c>
      <c r="M134" s="27">
        <f>IF($K134=0,"",$L134/$K134)</f>
        <v/>
      </c>
      <c r="N134" s="24">
        <f>COUNTIFS('ORDENES'!$R$4:$R$1203,$A134,'ORDENES'!$J$4:$J$1203,"&lt;="&amp;$B134,'ORDENES'!$W$4:$W$1203,"lubricacion",'ORDENES'!$N$4:$N$1203,"Pendiente")</f>
        <v/>
      </c>
      <c r="O134" s="24">
        <f>COUNTIFS('ORDENES'!$R$4:$R$1203,$A134,'ORDENES'!$J$4:$J$1203,"&lt;="&amp;$B134,'ORDENES'!$V$4:$V$1203,"predictivo")</f>
        <v/>
      </c>
      <c r="P134" s="24">
        <f>COUNTIFS('ORDENES'!$R$4:$R$1203,$A134,'ORDENES'!$J$4:$J$1203,"&lt;="&amp;$B134,'ORDENES'!$V$4:$V$1203,"preventivo")</f>
        <v/>
      </c>
      <c r="Q134" s="24">
        <f>COUNTIFS('ORDENES'!$R$4:$R$1203,$A134,'ORDENES'!$J$4:$J$1203,"&lt;="&amp;$B134,'ORDENES'!$V$4:$V$1203,"correctivo_programado")</f>
        <v/>
      </c>
      <c r="R134" s="24">
        <f>COUNTIFS('ORDENES'!$R$4:$R$1203,$A134,'ORDENES'!$J$4:$J$1203,"&lt;="&amp;$B134,'ORDENES'!$V$4:$V$1203,"emergencia")</f>
        <v/>
      </c>
      <c r="S134" s="24">
        <f>COUNTIFS('ORDENES'!$R$4:$R$1203,$A134,'ORDENES'!$J$4:$J$1203,"&lt;="&amp;$B134,'ORDENES'!$V$4:$V$1203,"SIN CLASIFICAR")</f>
        <v/>
      </c>
      <c r="T134" s="24">
        <f>COUNTIFS('ORDENES'!$R$4:$R$1203,$A134,'ORDENES'!$J$4:$J$1203,"&lt;="&amp;$B134)</f>
        <v/>
      </c>
      <c r="U134" s="24">
        <f>SUM(O134:S134)-T134</f>
        <v/>
      </c>
      <c r="V134" s="25">
        <f>SUMIFS('ORDENES'!$M$4:$M$1203,'ORDENES'!$R$4:$R$1203,$A134,'ORDENES'!$J$4:$J$1203,"&lt;="&amp;$B134,'ORDENES'!$V$4:$V$1203,"predictivo")</f>
        <v/>
      </c>
      <c r="W134" s="25">
        <f>SUMIFS('ORDENES'!$M$4:$M$1203,'ORDENES'!$R$4:$R$1203,$A134,'ORDENES'!$J$4:$J$1203,"&lt;="&amp;$B134,'ORDENES'!$V$4:$V$1203,"preventivo")</f>
        <v/>
      </c>
      <c r="X134" s="25">
        <f>SUMIFS('ORDENES'!$M$4:$M$1203,'ORDENES'!$R$4:$R$1203,$A134,'ORDENES'!$J$4:$J$1203,"&lt;="&amp;$B134,'ORDENES'!$V$4:$V$1203,"correctivo_programado")</f>
        <v/>
      </c>
      <c r="Y134" s="25">
        <f>SUMIFS('ORDENES'!$M$4:$M$1203,'ORDENES'!$R$4:$R$1203,$A134,'ORDENES'!$J$4:$J$1203,"&lt;="&amp;$B134,'ORDENES'!$V$4:$V$1203,"emergencia")</f>
        <v/>
      </c>
      <c r="Z134" s="25">
        <f>SUMIFS('ORDENES'!$M$4:$M$1203,'ORDENES'!$R$4:$R$1203,$A134,'ORDENES'!$J$4:$J$1203,"&lt;="&amp;$B134,'ORDENES'!$V$4:$V$1203,"SIN CLASIFICAR")</f>
        <v/>
      </c>
      <c r="AA134" s="25">
        <f>SUMIFS('ORDENES'!$M$4:$M$1203,'ORDENES'!$R$4:$R$1203,$A134,'ORDENES'!$J$4:$J$1203,"&lt;="&amp;$B134)</f>
        <v/>
      </c>
      <c r="AB134" s="25">
        <f>ROUND(SUM(V134:Z134)-AA134,6)</f>
        <v/>
      </c>
    </row>
    <row r="135">
      <c r="A135" s="24" t="inlineStr">
        <is>
          <t>2025-11</t>
        </is>
      </c>
      <c r="B135" s="30">
        <f>IF($A135="","",IF($A135=YEAR(p_fecha_datos)&amp;"-"&amp;TEXT(MONTH(p_fecha_datos),"00"),p_fecha_datos-1,DATE(VALUE(LEFT($A135,4)),VALUE(RIGHT($A135,2))+1,0)))</f>
        <v/>
      </c>
      <c r="C135" s="24">
        <f>COUNTIFS('ORDENES'!$R$4:$R$1203,$A135,'ORDENES'!$J$4:$J$1203,"&lt;="&amp;$B135,'ORDENES'!$T$4:$T$1203,"sí")</f>
        <v/>
      </c>
      <c r="D135" s="24">
        <f>COUNTIFS('ORDENES'!$R$4:$R$1203,$A135,'ORDENES'!$J$4:$J$1203,"&lt;="&amp;$B135,'ORDENES'!$T$4:$T$1203,"sí",'ORDENES'!$N$4:$N$1203,"Cerrada")</f>
        <v/>
      </c>
      <c r="E135" s="27">
        <f>IF($C135=0,"",$D135/$C135)</f>
        <v/>
      </c>
      <c r="F135" s="28">
        <f>p_meta_adherencia</f>
        <v/>
      </c>
      <c r="G135" s="24">
        <f>COUNTIFS('ORDENES'!$R$4:$R$1203,$A135,'ORDENES'!$J$4:$J$1203,"&lt;="&amp;$B135,'ORDENES'!$W$4:$W$1203,"calibracion")</f>
        <v/>
      </c>
      <c r="H135" s="24">
        <f>COUNTIFS('ORDENES'!$R$4:$R$1203,$A135,'ORDENES'!$J$4:$J$1203,"&lt;="&amp;$B135,'ORDENES'!$W$4:$W$1203,"calibracion",'ORDENES'!$N$4:$N$1203,"Cerrada")</f>
        <v/>
      </c>
      <c r="I135" s="27">
        <f>IF($G135=0,"",$H135/$G135)</f>
        <v/>
      </c>
      <c r="J135" s="24">
        <f>COUNTIFS('ORDENES'!$R$4:$R$1203,$A135,'ORDENES'!$J$4:$J$1203,"&lt;="&amp;$B135,'ORDENES'!$W$4:$W$1203,"calibracion",'ORDENES'!$N$4:$N$1203,"Pendiente")</f>
        <v/>
      </c>
      <c r="K135" s="24">
        <f>COUNTIFS('ORDENES'!$R$4:$R$1203,$A135,'ORDENES'!$J$4:$J$1203,"&lt;="&amp;$B135,'ORDENES'!$W$4:$W$1203,"lubricacion")</f>
        <v/>
      </c>
      <c r="L135" s="24">
        <f>COUNTIFS('ORDENES'!$R$4:$R$1203,$A135,'ORDENES'!$J$4:$J$1203,"&lt;="&amp;$B135,'ORDENES'!$W$4:$W$1203,"lubricacion",'ORDENES'!$N$4:$N$1203,"Cerrada")</f>
        <v/>
      </c>
      <c r="M135" s="27">
        <f>IF($K135=0,"",$L135/$K135)</f>
        <v/>
      </c>
      <c r="N135" s="24">
        <f>COUNTIFS('ORDENES'!$R$4:$R$1203,$A135,'ORDENES'!$J$4:$J$1203,"&lt;="&amp;$B135,'ORDENES'!$W$4:$W$1203,"lubricacion",'ORDENES'!$N$4:$N$1203,"Pendiente")</f>
        <v/>
      </c>
      <c r="O135" s="24">
        <f>COUNTIFS('ORDENES'!$R$4:$R$1203,$A135,'ORDENES'!$J$4:$J$1203,"&lt;="&amp;$B135,'ORDENES'!$V$4:$V$1203,"predictivo")</f>
        <v/>
      </c>
      <c r="P135" s="24">
        <f>COUNTIFS('ORDENES'!$R$4:$R$1203,$A135,'ORDENES'!$J$4:$J$1203,"&lt;="&amp;$B135,'ORDENES'!$V$4:$V$1203,"preventivo")</f>
        <v/>
      </c>
      <c r="Q135" s="24">
        <f>COUNTIFS('ORDENES'!$R$4:$R$1203,$A135,'ORDENES'!$J$4:$J$1203,"&lt;="&amp;$B135,'ORDENES'!$V$4:$V$1203,"correctivo_programado")</f>
        <v/>
      </c>
      <c r="R135" s="24">
        <f>COUNTIFS('ORDENES'!$R$4:$R$1203,$A135,'ORDENES'!$J$4:$J$1203,"&lt;="&amp;$B135,'ORDENES'!$V$4:$V$1203,"emergencia")</f>
        <v/>
      </c>
      <c r="S135" s="24">
        <f>COUNTIFS('ORDENES'!$R$4:$R$1203,$A135,'ORDENES'!$J$4:$J$1203,"&lt;="&amp;$B135,'ORDENES'!$V$4:$V$1203,"SIN CLASIFICAR")</f>
        <v/>
      </c>
      <c r="T135" s="24">
        <f>COUNTIFS('ORDENES'!$R$4:$R$1203,$A135,'ORDENES'!$J$4:$J$1203,"&lt;="&amp;$B135)</f>
        <v/>
      </c>
      <c r="U135" s="24">
        <f>SUM(O135:S135)-T135</f>
        <v/>
      </c>
      <c r="V135" s="25">
        <f>SUMIFS('ORDENES'!$M$4:$M$1203,'ORDENES'!$R$4:$R$1203,$A135,'ORDENES'!$J$4:$J$1203,"&lt;="&amp;$B135,'ORDENES'!$V$4:$V$1203,"predictivo")</f>
        <v/>
      </c>
      <c r="W135" s="25">
        <f>SUMIFS('ORDENES'!$M$4:$M$1203,'ORDENES'!$R$4:$R$1203,$A135,'ORDENES'!$J$4:$J$1203,"&lt;="&amp;$B135,'ORDENES'!$V$4:$V$1203,"preventivo")</f>
        <v/>
      </c>
      <c r="X135" s="25">
        <f>SUMIFS('ORDENES'!$M$4:$M$1203,'ORDENES'!$R$4:$R$1203,$A135,'ORDENES'!$J$4:$J$1203,"&lt;="&amp;$B135,'ORDENES'!$V$4:$V$1203,"correctivo_programado")</f>
        <v/>
      </c>
      <c r="Y135" s="25">
        <f>SUMIFS('ORDENES'!$M$4:$M$1203,'ORDENES'!$R$4:$R$1203,$A135,'ORDENES'!$J$4:$J$1203,"&lt;="&amp;$B135,'ORDENES'!$V$4:$V$1203,"emergencia")</f>
        <v/>
      </c>
      <c r="Z135" s="25">
        <f>SUMIFS('ORDENES'!$M$4:$M$1203,'ORDENES'!$R$4:$R$1203,$A135,'ORDENES'!$J$4:$J$1203,"&lt;="&amp;$B135,'ORDENES'!$V$4:$V$1203,"SIN CLASIFICAR")</f>
        <v/>
      </c>
      <c r="AA135" s="25">
        <f>SUMIFS('ORDENES'!$M$4:$M$1203,'ORDENES'!$R$4:$R$1203,$A135,'ORDENES'!$J$4:$J$1203,"&lt;="&amp;$B135)</f>
        <v/>
      </c>
      <c r="AB135" s="25">
        <f>ROUND(SUM(V135:Z135)-AA135,6)</f>
        <v/>
      </c>
    </row>
    <row r="136">
      <c r="A136" s="24" t="inlineStr">
        <is>
          <t>2025-12</t>
        </is>
      </c>
      <c r="B136" s="30">
        <f>IF($A136="","",IF($A136=YEAR(p_fecha_datos)&amp;"-"&amp;TEXT(MONTH(p_fecha_datos),"00"),p_fecha_datos-1,DATE(VALUE(LEFT($A136,4)),VALUE(RIGHT($A136,2))+1,0)))</f>
        <v/>
      </c>
      <c r="C136" s="24">
        <f>COUNTIFS('ORDENES'!$R$4:$R$1203,$A136,'ORDENES'!$J$4:$J$1203,"&lt;="&amp;$B136,'ORDENES'!$T$4:$T$1203,"sí")</f>
        <v/>
      </c>
      <c r="D136" s="24">
        <f>COUNTIFS('ORDENES'!$R$4:$R$1203,$A136,'ORDENES'!$J$4:$J$1203,"&lt;="&amp;$B136,'ORDENES'!$T$4:$T$1203,"sí",'ORDENES'!$N$4:$N$1203,"Cerrada")</f>
        <v/>
      </c>
      <c r="E136" s="27">
        <f>IF($C136=0,"",$D136/$C136)</f>
        <v/>
      </c>
      <c r="F136" s="28">
        <f>p_meta_adherencia</f>
        <v/>
      </c>
      <c r="G136" s="24">
        <f>COUNTIFS('ORDENES'!$R$4:$R$1203,$A136,'ORDENES'!$J$4:$J$1203,"&lt;="&amp;$B136,'ORDENES'!$W$4:$W$1203,"calibracion")</f>
        <v/>
      </c>
      <c r="H136" s="24">
        <f>COUNTIFS('ORDENES'!$R$4:$R$1203,$A136,'ORDENES'!$J$4:$J$1203,"&lt;="&amp;$B136,'ORDENES'!$W$4:$W$1203,"calibracion",'ORDENES'!$N$4:$N$1203,"Cerrada")</f>
        <v/>
      </c>
      <c r="I136" s="27">
        <f>IF($G136=0,"",$H136/$G136)</f>
        <v/>
      </c>
      <c r="J136" s="24">
        <f>COUNTIFS('ORDENES'!$R$4:$R$1203,$A136,'ORDENES'!$J$4:$J$1203,"&lt;="&amp;$B136,'ORDENES'!$W$4:$W$1203,"calibracion",'ORDENES'!$N$4:$N$1203,"Pendiente")</f>
        <v/>
      </c>
      <c r="K136" s="24">
        <f>COUNTIFS('ORDENES'!$R$4:$R$1203,$A136,'ORDENES'!$J$4:$J$1203,"&lt;="&amp;$B136,'ORDENES'!$W$4:$W$1203,"lubricacion")</f>
        <v/>
      </c>
      <c r="L136" s="24">
        <f>COUNTIFS('ORDENES'!$R$4:$R$1203,$A136,'ORDENES'!$J$4:$J$1203,"&lt;="&amp;$B136,'ORDENES'!$W$4:$W$1203,"lubricacion",'ORDENES'!$N$4:$N$1203,"Cerrada")</f>
        <v/>
      </c>
      <c r="M136" s="27">
        <f>IF($K136=0,"",$L136/$K136)</f>
        <v/>
      </c>
      <c r="N136" s="24">
        <f>COUNTIFS('ORDENES'!$R$4:$R$1203,$A136,'ORDENES'!$J$4:$J$1203,"&lt;="&amp;$B136,'ORDENES'!$W$4:$W$1203,"lubricacion",'ORDENES'!$N$4:$N$1203,"Pendiente")</f>
        <v/>
      </c>
      <c r="O136" s="24">
        <f>COUNTIFS('ORDENES'!$R$4:$R$1203,$A136,'ORDENES'!$J$4:$J$1203,"&lt;="&amp;$B136,'ORDENES'!$V$4:$V$1203,"predictivo")</f>
        <v/>
      </c>
      <c r="P136" s="24">
        <f>COUNTIFS('ORDENES'!$R$4:$R$1203,$A136,'ORDENES'!$J$4:$J$1203,"&lt;="&amp;$B136,'ORDENES'!$V$4:$V$1203,"preventivo")</f>
        <v/>
      </c>
      <c r="Q136" s="24">
        <f>COUNTIFS('ORDENES'!$R$4:$R$1203,$A136,'ORDENES'!$J$4:$J$1203,"&lt;="&amp;$B136,'ORDENES'!$V$4:$V$1203,"correctivo_programado")</f>
        <v/>
      </c>
      <c r="R136" s="24">
        <f>COUNTIFS('ORDENES'!$R$4:$R$1203,$A136,'ORDENES'!$J$4:$J$1203,"&lt;="&amp;$B136,'ORDENES'!$V$4:$V$1203,"emergencia")</f>
        <v/>
      </c>
      <c r="S136" s="24">
        <f>COUNTIFS('ORDENES'!$R$4:$R$1203,$A136,'ORDENES'!$J$4:$J$1203,"&lt;="&amp;$B136,'ORDENES'!$V$4:$V$1203,"SIN CLASIFICAR")</f>
        <v/>
      </c>
      <c r="T136" s="24">
        <f>COUNTIFS('ORDENES'!$R$4:$R$1203,$A136,'ORDENES'!$J$4:$J$1203,"&lt;="&amp;$B136)</f>
        <v/>
      </c>
      <c r="U136" s="24">
        <f>SUM(O136:S136)-T136</f>
        <v/>
      </c>
      <c r="V136" s="25">
        <f>SUMIFS('ORDENES'!$M$4:$M$1203,'ORDENES'!$R$4:$R$1203,$A136,'ORDENES'!$J$4:$J$1203,"&lt;="&amp;$B136,'ORDENES'!$V$4:$V$1203,"predictivo")</f>
        <v/>
      </c>
      <c r="W136" s="25">
        <f>SUMIFS('ORDENES'!$M$4:$M$1203,'ORDENES'!$R$4:$R$1203,$A136,'ORDENES'!$J$4:$J$1203,"&lt;="&amp;$B136,'ORDENES'!$V$4:$V$1203,"preventivo")</f>
        <v/>
      </c>
      <c r="X136" s="25">
        <f>SUMIFS('ORDENES'!$M$4:$M$1203,'ORDENES'!$R$4:$R$1203,$A136,'ORDENES'!$J$4:$J$1203,"&lt;="&amp;$B136,'ORDENES'!$V$4:$V$1203,"correctivo_programado")</f>
        <v/>
      </c>
      <c r="Y136" s="25">
        <f>SUMIFS('ORDENES'!$M$4:$M$1203,'ORDENES'!$R$4:$R$1203,$A136,'ORDENES'!$J$4:$J$1203,"&lt;="&amp;$B136,'ORDENES'!$V$4:$V$1203,"emergencia")</f>
        <v/>
      </c>
      <c r="Z136" s="25">
        <f>SUMIFS('ORDENES'!$M$4:$M$1203,'ORDENES'!$R$4:$R$1203,$A136,'ORDENES'!$J$4:$J$1203,"&lt;="&amp;$B136,'ORDENES'!$V$4:$V$1203,"SIN CLASIFICAR")</f>
        <v/>
      </c>
      <c r="AA136" s="25">
        <f>SUMIFS('ORDENES'!$M$4:$M$1203,'ORDENES'!$R$4:$R$1203,$A136,'ORDENES'!$J$4:$J$1203,"&lt;="&amp;$B136)</f>
        <v/>
      </c>
      <c r="AB136" s="25">
        <f>ROUND(SUM(V136:Z136)-AA136,6)</f>
        <v/>
      </c>
    </row>
    <row r="137">
      <c r="A137" s="24" t="inlineStr">
        <is>
          <t>2026-01</t>
        </is>
      </c>
      <c r="B137" s="30">
        <f>IF($A137="","",IF($A137=YEAR(p_fecha_datos)&amp;"-"&amp;TEXT(MONTH(p_fecha_datos),"00"),p_fecha_datos-1,DATE(VALUE(LEFT($A137,4)),VALUE(RIGHT($A137,2))+1,0)))</f>
        <v/>
      </c>
      <c r="C137" s="24">
        <f>COUNTIFS('ORDENES'!$R$4:$R$1203,$A137,'ORDENES'!$J$4:$J$1203,"&lt;="&amp;$B137,'ORDENES'!$T$4:$T$1203,"sí")</f>
        <v/>
      </c>
      <c r="D137" s="24">
        <f>COUNTIFS('ORDENES'!$R$4:$R$1203,$A137,'ORDENES'!$J$4:$J$1203,"&lt;="&amp;$B137,'ORDENES'!$T$4:$T$1203,"sí",'ORDENES'!$N$4:$N$1203,"Cerrada")</f>
        <v/>
      </c>
      <c r="E137" s="27">
        <f>IF($C137=0,"",$D137/$C137)</f>
        <v/>
      </c>
      <c r="F137" s="28">
        <f>p_meta_adherencia</f>
        <v/>
      </c>
      <c r="G137" s="24">
        <f>COUNTIFS('ORDENES'!$R$4:$R$1203,$A137,'ORDENES'!$J$4:$J$1203,"&lt;="&amp;$B137,'ORDENES'!$W$4:$W$1203,"calibracion")</f>
        <v/>
      </c>
      <c r="H137" s="24">
        <f>COUNTIFS('ORDENES'!$R$4:$R$1203,$A137,'ORDENES'!$J$4:$J$1203,"&lt;="&amp;$B137,'ORDENES'!$W$4:$W$1203,"calibracion",'ORDENES'!$N$4:$N$1203,"Cerrada")</f>
        <v/>
      </c>
      <c r="I137" s="27">
        <f>IF($G137=0,"",$H137/$G137)</f>
        <v/>
      </c>
      <c r="J137" s="24">
        <f>COUNTIFS('ORDENES'!$R$4:$R$1203,$A137,'ORDENES'!$J$4:$J$1203,"&lt;="&amp;$B137,'ORDENES'!$W$4:$W$1203,"calibracion",'ORDENES'!$N$4:$N$1203,"Pendiente")</f>
        <v/>
      </c>
      <c r="K137" s="24">
        <f>COUNTIFS('ORDENES'!$R$4:$R$1203,$A137,'ORDENES'!$J$4:$J$1203,"&lt;="&amp;$B137,'ORDENES'!$W$4:$W$1203,"lubricacion")</f>
        <v/>
      </c>
      <c r="L137" s="24">
        <f>COUNTIFS('ORDENES'!$R$4:$R$1203,$A137,'ORDENES'!$J$4:$J$1203,"&lt;="&amp;$B137,'ORDENES'!$W$4:$W$1203,"lubricacion",'ORDENES'!$N$4:$N$1203,"Cerrada")</f>
        <v/>
      </c>
      <c r="M137" s="27">
        <f>IF($K137=0,"",$L137/$K137)</f>
        <v/>
      </c>
      <c r="N137" s="24">
        <f>COUNTIFS('ORDENES'!$R$4:$R$1203,$A137,'ORDENES'!$J$4:$J$1203,"&lt;="&amp;$B137,'ORDENES'!$W$4:$W$1203,"lubricacion",'ORDENES'!$N$4:$N$1203,"Pendiente")</f>
        <v/>
      </c>
      <c r="O137" s="24">
        <f>COUNTIFS('ORDENES'!$R$4:$R$1203,$A137,'ORDENES'!$J$4:$J$1203,"&lt;="&amp;$B137,'ORDENES'!$V$4:$V$1203,"predictivo")</f>
        <v/>
      </c>
      <c r="P137" s="24">
        <f>COUNTIFS('ORDENES'!$R$4:$R$1203,$A137,'ORDENES'!$J$4:$J$1203,"&lt;="&amp;$B137,'ORDENES'!$V$4:$V$1203,"preventivo")</f>
        <v/>
      </c>
      <c r="Q137" s="24">
        <f>COUNTIFS('ORDENES'!$R$4:$R$1203,$A137,'ORDENES'!$J$4:$J$1203,"&lt;="&amp;$B137,'ORDENES'!$V$4:$V$1203,"correctivo_programado")</f>
        <v/>
      </c>
      <c r="R137" s="24">
        <f>COUNTIFS('ORDENES'!$R$4:$R$1203,$A137,'ORDENES'!$J$4:$J$1203,"&lt;="&amp;$B137,'ORDENES'!$V$4:$V$1203,"emergencia")</f>
        <v/>
      </c>
      <c r="S137" s="24">
        <f>COUNTIFS('ORDENES'!$R$4:$R$1203,$A137,'ORDENES'!$J$4:$J$1203,"&lt;="&amp;$B137,'ORDENES'!$V$4:$V$1203,"SIN CLASIFICAR")</f>
        <v/>
      </c>
      <c r="T137" s="24">
        <f>COUNTIFS('ORDENES'!$R$4:$R$1203,$A137,'ORDENES'!$J$4:$J$1203,"&lt;="&amp;$B137)</f>
        <v/>
      </c>
      <c r="U137" s="24">
        <f>SUM(O137:S137)-T137</f>
        <v/>
      </c>
      <c r="V137" s="25">
        <f>SUMIFS('ORDENES'!$M$4:$M$1203,'ORDENES'!$R$4:$R$1203,$A137,'ORDENES'!$J$4:$J$1203,"&lt;="&amp;$B137,'ORDENES'!$V$4:$V$1203,"predictivo")</f>
        <v/>
      </c>
      <c r="W137" s="25">
        <f>SUMIFS('ORDENES'!$M$4:$M$1203,'ORDENES'!$R$4:$R$1203,$A137,'ORDENES'!$J$4:$J$1203,"&lt;="&amp;$B137,'ORDENES'!$V$4:$V$1203,"preventivo")</f>
        <v/>
      </c>
      <c r="X137" s="25">
        <f>SUMIFS('ORDENES'!$M$4:$M$1203,'ORDENES'!$R$4:$R$1203,$A137,'ORDENES'!$J$4:$J$1203,"&lt;="&amp;$B137,'ORDENES'!$V$4:$V$1203,"correctivo_programado")</f>
        <v/>
      </c>
      <c r="Y137" s="25">
        <f>SUMIFS('ORDENES'!$M$4:$M$1203,'ORDENES'!$R$4:$R$1203,$A137,'ORDENES'!$J$4:$J$1203,"&lt;="&amp;$B137,'ORDENES'!$V$4:$V$1203,"emergencia")</f>
        <v/>
      </c>
      <c r="Z137" s="25">
        <f>SUMIFS('ORDENES'!$M$4:$M$1203,'ORDENES'!$R$4:$R$1203,$A137,'ORDENES'!$J$4:$J$1203,"&lt;="&amp;$B137,'ORDENES'!$V$4:$V$1203,"SIN CLASIFICAR")</f>
        <v/>
      </c>
      <c r="AA137" s="25">
        <f>SUMIFS('ORDENES'!$M$4:$M$1203,'ORDENES'!$R$4:$R$1203,$A137,'ORDENES'!$J$4:$J$1203,"&lt;="&amp;$B137)</f>
        <v/>
      </c>
      <c r="AB137" s="25">
        <f>ROUND(SUM(V137:Z137)-AA137,6)</f>
        <v/>
      </c>
    </row>
    <row r="138">
      <c r="A138" s="24" t="inlineStr">
        <is>
          <t>2026-02</t>
        </is>
      </c>
      <c r="B138" s="30">
        <f>IF($A138="","",IF($A138=YEAR(p_fecha_datos)&amp;"-"&amp;TEXT(MONTH(p_fecha_datos),"00"),p_fecha_datos-1,DATE(VALUE(LEFT($A138,4)),VALUE(RIGHT($A138,2))+1,0)))</f>
        <v/>
      </c>
      <c r="C138" s="24">
        <f>COUNTIFS('ORDENES'!$R$4:$R$1203,$A138,'ORDENES'!$J$4:$J$1203,"&lt;="&amp;$B138,'ORDENES'!$T$4:$T$1203,"sí")</f>
        <v/>
      </c>
      <c r="D138" s="24">
        <f>COUNTIFS('ORDENES'!$R$4:$R$1203,$A138,'ORDENES'!$J$4:$J$1203,"&lt;="&amp;$B138,'ORDENES'!$T$4:$T$1203,"sí",'ORDENES'!$N$4:$N$1203,"Cerrada")</f>
        <v/>
      </c>
      <c r="E138" s="27">
        <f>IF($C138=0,"",$D138/$C138)</f>
        <v/>
      </c>
      <c r="F138" s="28">
        <f>p_meta_adherencia</f>
        <v/>
      </c>
      <c r="G138" s="24">
        <f>COUNTIFS('ORDENES'!$R$4:$R$1203,$A138,'ORDENES'!$J$4:$J$1203,"&lt;="&amp;$B138,'ORDENES'!$W$4:$W$1203,"calibracion")</f>
        <v/>
      </c>
      <c r="H138" s="24">
        <f>COUNTIFS('ORDENES'!$R$4:$R$1203,$A138,'ORDENES'!$J$4:$J$1203,"&lt;="&amp;$B138,'ORDENES'!$W$4:$W$1203,"calibracion",'ORDENES'!$N$4:$N$1203,"Cerrada")</f>
        <v/>
      </c>
      <c r="I138" s="27">
        <f>IF($G138=0,"",$H138/$G138)</f>
        <v/>
      </c>
      <c r="J138" s="24">
        <f>COUNTIFS('ORDENES'!$R$4:$R$1203,$A138,'ORDENES'!$J$4:$J$1203,"&lt;="&amp;$B138,'ORDENES'!$W$4:$W$1203,"calibracion",'ORDENES'!$N$4:$N$1203,"Pendiente")</f>
        <v/>
      </c>
      <c r="K138" s="24">
        <f>COUNTIFS('ORDENES'!$R$4:$R$1203,$A138,'ORDENES'!$J$4:$J$1203,"&lt;="&amp;$B138,'ORDENES'!$W$4:$W$1203,"lubricacion")</f>
        <v/>
      </c>
      <c r="L138" s="24">
        <f>COUNTIFS('ORDENES'!$R$4:$R$1203,$A138,'ORDENES'!$J$4:$J$1203,"&lt;="&amp;$B138,'ORDENES'!$W$4:$W$1203,"lubricacion",'ORDENES'!$N$4:$N$1203,"Cerrada")</f>
        <v/>
      </c>
      <c r="M138" s="27">
        <f>IF($K138=0,"",$L138/$K138)</f>
        <v/>
      </c>
      <c r="N138" s="24">
        <f>COUNTIFS('ORDENES'!$R$4:$R$1203,$A138,'ORDENES'!$J$4:$J$1203,"&lt;="&amp;$B138,'ORDENES'!$W$4:$W$1203,"lubricacion",'ORDENES'!$N$4:$N$1203,"Pendiente")</f>
        <v/>
      </c>
      <c r="O138" s="24">
        <f>COUNTIFS('ORDENES'!$R$4:$R$1203,$A138,'ORDENES'!$J$4:$J$1203,"&lt;="&amp;$B138,'ORDENES'!$V$4:$V$1203,"predictivo")</f>
        <v/>
      </c>
      <c r="P138" s="24">
        <f>COUNTIFS('ORDENES'!$R$4:$R$1203,$A138,'ORDENES'!$J$4:$J$1203,"&lt;="&amp;$B138,'ORDENES'!$V$4:$V$1203,"preventivo")</f>
        <v/>
      </c>
      <c r="Q138" s="24">
        <f>COUNTIFS('ORDENES'!$R$4:$R$1203,$A138,'ORDENES'!$J$4:$J$1203,"&lt;="&amp;$B138,'ORDENES'!$V$4:$V$1203,"correctivo_programado")</f>
        <v/>
      </c>
      <c r="R138" s="24">
        <f>COUNTIFS('ORDENES'!$R$4:$R$1203,$A138,'ORDENES'!$J$4:$J$1203,"&lt;="&amp;$B138,'ORDENES'!$V$4:$V$1203,"emergencia")</f>
        <v/>
      </c>
      <c r="S138" s="24">
        <f>COUNTIFS('ORDENES'!$R$4:$R$1203,$A138,'ORDENES'!$J$4:$J$1203,"&lt;="&amp;$B138,'ORDENES'!$V$4:$V$1203,"SIN CLASIFICAR")</f>
        <v/>
      </c>
      <c r="T138" s="24">
        <f>COUNTIFS('ORDENES'!$R$4:$R$1203,$A138,'ORDENES'!$J$4:$J$1203,"&lt;="&amp;$B138)</f>
        <v/>
      </c>
      <c r="U138" s="24">
        <f>SUM(O138:S138)-T138</f>
        <v/>
      </c>
      <c r="V138" s="25">
        <f>SUMIFS('ORDENES'!$M$4:$M$1203,'ORDENES'!$R$4:$R$1203,$A138,'ORDENES'!$J$4:$J$1203,"&lt;="&amp;$B138,'ORDENES'!$V$4:$V$1203,"predictivo")</f>
        <v/>
      </c>
      <c r="W138" s="25">
        <f>SUMIFS('ORDENES'!$M$4:$M$1203,'ORDENES'!$R$4:$R$1203,$A138,'ORDENES'!$J$4:$J$1203,"&lt;="&amp;$B138,'ORDENES'!$V$4:$V$1203,"preventivo")</f>
        <v/>
      </c>
      <c r="X138" s="25">
        <f>SUMIFS('ORDENES'!$M$4:$M$1203,'ORDENES'!$R$4:$R$1203,$A138,'ORDENES'!$J$4:$J$1203,"&lt;="&amp;$B138,'ORDENES'!$V$4:$V$1203,"correctivo_programado")</f>
        <v/>
      </c>
      <c r="Y138" s="25">
        <f>SUMIFS('ORDENES'!$M$4:$M$1203,'ORDENES'!$R$4:$R$1203,$A138,'ORDENES'!$J$4:$J$1203,"&lt;="&amp;$B138,'ORDENES'!$V$4:$V$1203,"emergencia")</f>
        <v/>
      </c>
      <c r="Z138" s="25">
        <f>SUMIFS('ORDENES'!$M$4:$M$1203,'ORDENES'!$R$4:$R$1203,$A138,'ORDENES'!$J$4:$J$1203,"&lt;="&amp;$B138,'ORDENES'!$V$4:$V$1203,"SIN CLASIFICAR")</f>
        <v/>
      </c>
      <c r="AA138" s="25">
        <f>SUMIFS('ORDENES'!$M$4:$M$1203,'ORDENES'!$R$4:$R$1203,$A138,'ORDENES'!$J$4:$J$1203,"&lt;="&amp;$B138)</f>
        <v/>
      </c>
      <c r="AB138" s="25">
        <f>ROUND(SUM(V138:Z138)-AA138,6)</f>
        <v/>
      </c>
    </row>
    <row r="139">
      <c r="A139" s="24" t="inlineStr">
        <is>
          <t>2026-03</t>
        </is>
      </c>
      <c r="B139" s="30">
        <f>IF($A139="","",IF($A139=YEAR(p_fecha_datos)&amp;"-"&amp;TEXT(MONTH(p_fecha_datos),"00"),p_fecha_datos-1,DATE(VALUE(LEFT($A139,4)),VALUE(RIGHT($A139,2))+1,0)))</f>
        <v/>
      </c>
      <c r="C139" s="24">
        <f>COUNTIFS('ORDENES'!$R$4:$R$1203,$A139,'ORDENES'!$J$4:$J$1203,"&lt;="&amp;$B139,'ORDENES'!$T$4:$T$1203,"sí")</f>
        <v/>
      </c>
      <c r="D139" s="24">
        <f>COUNTIFS('ORDENES'!$R$4:$R$1203,$A139,'ORDENES'!$J$4:$J$1203,"&lt;="&amp;$B139,'ORDENES'!$T$4:$T$1203,"sí",'ORDENES'!$N$4:$N$1203,"Cerrada")</f>
        <v/>
      </c>
      <c r="E139" s="27">
        <f>IF($C139=0,"",$D139/$C139)</f>
        <v/>
      </c>
      <c r="F139" s="28">
        <f>p_meta_adherencia</f>
        <v/>
      </c>
      <c r="G139" s="24">
        <f>COUNTIFS('ORDENES'!$R$4:$R$1203,$A139,'ORDENES'!$J$4:$J$1203,"&lt;="&amp;$B139,'ORDENES'!$W$4:$W$1203,"calibracion")</f>
        <v/>
      </c>
      <c r="H139" s="24">
        <f>COUNTIFS('ORDENES'!$R$4:$R$1203,$A139,'ORDENES'!$J$4:$J$1203,"&lt;="&amp;$B139,'ORDENES'!$W$4:$W$1203,"calibracion",'ORDENES'!$N$4:$N$1203,"Cerrada")</f>
        <v/>
      </c>
      <c r="I139" s="27">
        <f>IF($G139=0,"",$H139/$G139)</f>
        <v/>
      </c>
      <c r="J139" s="24">
        <f>COUNTIFS('ORDENES'!$R$4:$R$1203,$A139,'ORDENES'!$J$4:$J$1203,"&lt;="&amp;$B139,'ORDENES'!$W$4:$W$1203,"calibracion",'ORDENES'!$N$4:$N$1203,"Pendiente")</f>
        <v/>
      </c>
      <c r="K139" s="24">
        <f>COUNTIFS('ORDENES'!$R$4:$R$1203,$A139,'ORDENES'!$J$4:$J$1203,"&lt;="&amp;$B139,'ORDENES'!$W$4:$W$1203,"lubricacion")</f>
        <v/>
      </c>
      <c r="L139" s="24">
        <f>COUNTIFS('ORDENES'!$R$4:$R$1203,$A139,'ORDENES'!$J$4:$J$1203,"&lt;="&amp;$B139,'ORDENES'!$W$4:$W$1203,"lubricacion",'ORDENES'!$N$4:$N$1203,"Cerrada")</f>
        <v/>
      </c>
      <c r="M139" s="27">
        <f>IF($K139=0,"",$L139/$K139)</f>
        <v/>
      </c>
      <c r="N139" s="24">
        <f>COUNTIFS('ORDENES'!$R$4:$R$1203,$A139,'ORDENES'!$J$4:$J$1203,"&lt;="&amp;$B139,'ORDENES'!$W$4:$W$1203,"lubricacion",'ORDENES'!$N$4:$N$1203,"Pendiente")</f>
        <v/>
      </c>
      <c r="O139" s="24">
        <f>COUNTIFS('ORDENES'!$R$4:$R$1203,$A139,'ORDENES'!$J$4:$J$1203,"&lt;="&amp;$B139,'ORDENES'!$V$4:$V$1203,"predictivo")</f>
        <v/>
      </c>
      <c r="P139" s="24">
        <f>COUNTIFS('ORDENES'!$R$4:$R$1203,$A139,'ORDENES'!$J$4:$J$1203,"&lt;="&amp;$B139,'ORDENES'!$V$4:$V$1203,"preventivo")</f>
        <v/>
      </c>
      <c r="Q139" s="24">
        <f>COUNTIFS('ORDENES'!$R$4:$R$1203,$A139,'ORDENES'!$J$4:$J$1203,"&lt;="&amp;$B139,'ORDENES'!$V$4:$V$1203,"correctivo_programado")</f>
        <v/>
      </c>
      <c r="R139" s="24">
        <f>COUNTIFS('ORDENES'!$R$4:$R$1203,$A139,'ORDENES'!$J$4:$J$1203,"&lt;="&amp;$B139,'ORDENES'!$V$4:$V$1203,"emergencia")</f>
        <v/>
      </c>
      <c r="S139" s="24">
        <f>COUNTIFS('ORDENES'!$R$4:$R$1203,$A139,'ORDENES'!$J$4:$J$1203,"&lt;="&amp;$B139,'ORDENES'!$V$4:$V$1203,"SIN CLASIFICAR")</f>
        <v/>
      </c>
      <c r="T139" s="24">
        <f>COUNTIFS('ORDENES'!$R$4:$R$1203,$A139,'ORDENES'!$J$4:$J$1203,"&lt;="&amp;$B139)</f>
        <v/>
      </c>
      <c r="U139" s="24">
        <f>SUM(O139:S139)-T139</f>
        <v/>
      </c>
      <c r="V139" s="25">
        <f>SUMIFS('ORDENES'!$M$4:$M$1203,'ORDENES'!$R$4:$R$1203,$A139,'ORDENES'!$J$4:$J$1203,"&lt;="&amp;$B139,'ORDENES'!$V$4:$V$1203,"predictivo")</f>
        <v/>
      </c>
      <c r="W139" s="25">
        <f>SUMIFS('ORDENES'!$M$4:$M$1203,'ORDENES'!$R$4:$R$1203,$A139,'ORDENES'!$J$4:$J$1203,"&lt;="&amp;$B139,'ORDENES'!$V$4:$V$1203,"preventivo")</f>
        <v/>
      </c>
      <c r="X139" s="25">
        <f>SUMIFS('ORDENES'!$M$4:$M$1203,'ORDENES'!$R$4:$R$1203,$A139,'ORDENES'!$J$4:$J$1203,"&lt;="&amp;$B139,'ORDENES'!$V$4:$V$1203,"correctivo_programado")</f>
        <v/>
      </c>
      <c r="Y139" s="25">
        <f>SUMIFS('ORDENES'!$M$4:$M$1203,'ORDENES'!$R$4:$R$1203,$A139,'ORDENES'!$J$4:$J$1203,"&lt;="&amp;$B139,'ORDENES'!$V$4:$V$1203,"emergencia")</f>
        <v/>
      </c>
      <c r="Z139" s="25">
        <f>SUMIFS('ORDENES'!$M$4:$M$1203,'ORDENES'!$R$4:$R$1203,$A139,'ORDENES'!$J$4:$J$1203,"&lt;="&amp;$B139,'ORDENES'!$V$4:$V$1203,"SIN CLASIFICAR")</f>
        <v/>
      </c>
      <c r="AA139" s="25">
        <f>SUMIFS('ORDENES'!$M$4:$M$1203,'ORDENES'!$R$4:$R$1203,$A139,'ORDENES'!$J$4:$J$1203,"&lt;="&amp;$B139)</f>
        <v/>
      </c>
      <c r="AB139" s="25">
        <f>ROUND(SUM(V139:Z139)-AA139,6)</f>
        <v/>
      </c>
    </row>
    <row r="140">
      <c r="A140" s="24" t="inlineStr">
        <is>
          <t>2026-04</t>
        </is>
      </c>
      <c r="B140" s="30">
        <f>IF($A140="","",IF($A140=YEAR(p_fecha_datos)&amp;"-"&amp;TEXT(MONTH(p_fecha_datos),"00"),p_fecha_datos-1,DATE(VALUE(LEFT($A140,4)),VALUE(RIGHT($A140,2))+1,0)))</f>
        <v/>
      </c>
      <c r="C140" s="24">
        <f>COUNTIFS('ORDENES'!$R$4:$R$1203,$A140,'ORDENES'!$J$4:$J$1203,"&lt;="&amp;$B140,'ORDENES'!$T$4:$T$1203,"sí")</f>
        <v/>
      </c>
      <c r="D140" s="24">
        <f>COUNTIFS('ORDENES'!$R$4:$R$1203,$A140,'ORDENES'!$J$4:$J$1203,"&lt;="&amp;$B140,'ORDENES'!$T$4:$T$1203,"sí",'ORDENES'!$N$4:$N$1203,"Cerrada")</f>
        <v/>
      </c>
      <c r="E140" s="27">
        <f>IF($C140=0,"",$D140/$C140)</f>
        <v/>
      </c>
      <c r="F140" s="28">
        <f>p_meta_adherencia</f>
        <v/>
      </c>
      <c r="G140" s="24">
        <f>COUNTIFS('ORDENES'!$R$4:$R$1203,$A140,'ORDENES'!$J$4:$J$1203,"&lt;="&amp;$B140,'ORDENES'!$W$4:$W$1203,"calibracion")</f>
        <v/>
      </c>
      <c r="H140" s="24">
        <f>COUNTIFS('ORDENES'!$R$4:$R$1203,$A140,'ORDENES'!$J$4:$J$1203,"&lt;="&amp;$B140,'ORDENES'!$W$4:$W$1203,"calibracion",'ORDENES'!$N$4:$N$1203,"Cerrada")</f>
        <v/>
      </c>
      <c r="I140" s="27">
        <f>IF($G140=0,"",$H140/$G140)</f>
        <v/>
      </c>
      <c r="J140" s="24">
        <f>COUNTIFS('ORDENES'!$R$4:$R$1203,$A140,'ORDENES'!$J$4:$J$1203,"&lt;="&amp;$B140,'ORDENES'!$W$4:$W$1203,"calibracion",'ORDENES'!$N$4:$N$1203,"Pendiente")</f>
        <v/>
      </c>
      <c r="K140" s="24">
        <f>COUNTIFS('ORDENES'!$R$4:$R$1203,$A140,'ORDENES'!$J$4:$J$1203,"&lt;="&amp;$B140,'ORDENES'!$W$4:$W$1203,"lubricacion")</f>
        <v/>
      </c>
      <c r="L140" s="24">
        <f>COUNTIFS('ORDENES'!$R$4:$R$1203,$A140,'ORDENES'!$J$4:$J$1203,"&lt;="&amp;$B140,'ORDENES'!$W$4:$W$1203,"lubricacion",'ORDENES'!$N$4:$N$1203,"Cerrada")</f>
        <v/>
      </c>
      <c r="M140" s="27">
        <f>IF($K140=0,"",$L140/$K140)</f>
        <v/>
      </c>
      <c r="N140" s="24">
        <f>COUNTIFS('ORDENES'!$R$4:$R$1203,$A140,'ORDENES'!$J$4:$J$1203,"&lt;="&amp;$B140,'ORDENES'!$W$4:$W$1203,"lubricacion",'ORDENES'!$N$4:$N$1203,"Pendiente")</f>
        <v/>
      </c>
      <c r="O140" s="24">
        <f>COUNTIFS('ORDENES'!$R$4:$R$1203,$A140,'ORDENES'!$J$4:$J$1203,"&lt;="&amp;$B140,'ORDENES'!$V$4:$V$1203,"predictivo")</f>
        <v/>
      </c>
      <c r="P140" s="24">
        <f>COUNTIFS('ORDENES'!$R$4:$R$1203,$A140,'ORDENES'!$J$4:$J$1203,"&lt;="&amp;$B140,'ORDENES'!$V$4:$V$1203,"preventivo")</f>
        <v/>
      </c>
      <c r="Q140" s="24">
        <f>COUNTIFS('ORDENES'!$R$4:$R$1203,$A140,'ORDENES'!$J$4:$J$1203,"&lt;="&amp;$B140,'ORDENES'!$V$4:$V$1203,"correctivo_programado")</f>
        <v/>
      </c>
      <c r="R140" s="24">
        <f>COUNTIFS('ORDENES'!$R$4:$R$1203,$A140,'ORDENES'!$J$4:$J$1203,"&lt;="&amp;$B140,'ORDENES'!$V$4:$V$1203,"emergencia")</f>
        <v/>
      </c>
      <c r="S140" s="24">
        <f>COUNTIFS('ORDENES'!$R$4:$R$1203,$A140,'ORDENES'!$J$4:$J$1203,"&lt;="&amp;$B140,'ORDENES'!$V$4:$V$1203,"SIN CLASIFICAR")</f>
        <v/>
      </c>
      <c r="T140" s="24">
        <f>COUNTIFS('ORDENES'!$R$4:$R$1203,$A140,'ORDENES'!$J$4:$J$1203,"&lt;="&amp;$B140)</f>
        <v/>
      </c>
      <c r="U140" s="24">
        <f>SUM(O140:S140)-T140</f>
        <v/>
      </c>
      <c r="V140" s="25">
        <f>SUMIFS('ORDENES'!$M$4:$M$1203,'ORDENES'!$R$4:$R$1203,$A140,'ORDENES'!$J$4:$J$1203,"&lt;="&amp;$B140,'ORDENES'!$V$4:$V$1203,"predictivo")</f>
        <v/>
      </c>
      <c r="W140" s="25">
        <f>SUMIFS('ORDENES'!$M$4:$M$1203,'ORDENES'!$R$4:$R$1203,$A140,'ORDENES'!$J$4:$J$1203,"&lt;="&amp;$B140,'ORDENES'!$V$4:$V$1203,"preventivo")</f>
        <v/>
      </c>
      <c r="X140" s="25">
        <f>SUMIFS('ORDENES'!$M$4:$M$1203,'ORDENES'!$R$4:$R$1203,$A140,'ORDENES'!$J$4:$J$1203,"&lt;="&amp;$B140,'ORDENES'!$V$4:$V$1203,"correctivo_programado")</f>
        <v/>
      </c>
      <c r="Y140" s="25">
        <f>SUMIFS('ORDENES'!$M$4:$M$1203,'ORDENES'!$R$4:$R$1203,$A140,'ORDENES'!$J$4:$J$1203,"&lt;="&amp;$B140,'ORDENES'!$V$4:$V$1203,"emergencia")</f>
        <v/>
      </c>
      <c r="Z140" s="25">
        <f>SUMIFS('ORDENES'!$M$4:$M$1203,'ORDENES'!$R$4:$R$1203,$A140,'ORDENES'!$J$4:$J$1203,"&lt;="&amp;$B140,'ORDENES'!$V$4:$V$1203,"SIN CLASIFICAR")</f>
        <v/>
      </c>
      <c r="AA140" s="25">
        <f>SUMIFS('ORDENES'!$M$4:$M$1203,'ORDENES'!$R$4:$R$1203,$A140,'ORDENES'!$J$4:$J$1203,"&lt;="&amp;$B140)</f>
        <v/>
      </c>
      <c r="AB140" s="25">
        <f>ROUND(SUM(V140:Z140)-AA140,6)</f>
        <v/>
      </c>
    </row>
    <row r="141">
      <c r="A141" s="24" t="inlineStr">
        <is>
          <t>2026-05</t>
        </is>
      </c>
      <c r="B141" s="30">
        <f>IF($A141="","",IF($A141=YEAR(p_fecha_datos)&amp;"-"&amp;TEXT(MONTH(p_fecha_datos),"00"),p_fecha_datos-1,DATE(VALUE(LEFT($A141,4)),VALUE(RIGHT($A141,2))+1,0)))</f>
        <v/>
      </c>
      <c r="C141" s="24">
        <f>COUNTIFS('ORDENES'!$R$4:$R$1203,$A141,'ORDENES'!$J$4:$J$1203,"&lt;="&amp;$B141,'ORDENES'!$T$4:$T$1203,"sí")</f>
        <v/>
      </c>
      <c r="D141" s="24">
        <f>COUNTIFS('ORDENES'!$R$4:$R$1203,$A141,'ORDENES'!$J$4:$J$1203,"&lt;="&amp;$B141,'ORDENES'!$T$4:$T$1203,"sí",'ORDENES'!$N$4:$N$1203,"Cerrada")</f>
        <v/>
      </c>
      <c r="E141" s="27">
        <f>IF($C141=0,"",$D141/$C141)</f>
        <v/>
      </c>
      <c r="F141" s="28">
        <f>p_meta_adherencia</f>
        <v/>
      </c>
      <c r="G141" s="24">
        <f>COUNTIFS('ORDENES'!$R$4:$R$1203,$A141,'ORDENES'!$J$4:$J$1203,"&lt;="&amp;$B141,'ORDENES'!$W$4:$W$1203,"calibracion")</f>
        <v/>
      </c>
      <c r="H141" s="24">
        <f>COUNTIFS('ORDENES'!$R$4:$R$1203,$A141,'ORDENES'!$J$4:$J$1203,"&lt;="&amp;$B141,'ORDENES'!$W$4:$W$1203,"calibracion",'ORDENES'!$N$4:$N$1203,"Cerrada")</f>
        <v/>
      </c>
      <c r="I141" s="27">
        <f>IF($G141=0,"",$H141/$G141)</f>
        <v/>
      </c>
      <c r="J141" s="24">
        <f>COUNTIFS('ORDENES'!$R$4:$R$1203,$A141,'ORDENES'!$J$4:$J$1203,"&lt;="&amp;$B141,'ORDENES'!$W$4:$W$1203,"calibracion",'ORDENES'!$N$4:$N$1203,"Pendiente")</f>
        <v/>
      </c>
      <c r="K141" s="24">
        <f>COUNTIFS('ORDENES'!$R$4:$R$1203,$A141,'ORDENES'!$J$4:$J$1203,"&lt;="&amp;$B141,'ORDENES'!$W$4:$W$1203,"lubricacion")</f>
        <v/>
      </c>
      <c r="L141" s="24">
        <f>COUNTIFS('ORDENES'!$R$4:$R$1203,$A141,'ORDENES'!$J$4:$J$1203,"&lt;="&amp;$B141,'ORDENES'!$W$4:$W$1203,"lubricacion",'ORDENES'!$N$4:$N$1203,"Cerrada")</f>
        <v/>
      </c>
      <c r="M141" s="27">
        <f>IF($K141=0,"",$L141/$K141)</f>
        <v/>
      </c>
      <c r="N141" s="24">
        <f>COUNTIFS('ORDENES'!$R$4:$R$1203,$A141,'ORDENES'!$J$4:$J$1203,"&lt;="&amp;$B141,'ORDENES'!$W$4:$W$1203,"lubricacion",'ORDENES'!$N$4:$N$1203,"Pendiente")</f>
        <v/>
      </c>
      <c r="O141" s="24">
        <f>COUNTIFS('ORDENES'!$R$4:$R$1203,$A141,'ORDENES'!$J$4:$J$1203,"&lt;="&amp;$B141,'ORDENES'!$V$4:$V$1203,"predictivo")</f>
        <v/>
      </c>
      <c r="P141" s="24">
        <f>COUNTIFS('ORDENES'!$R$4:$R$1203,$A141,'ORDENES'!$J$4:$J$1203,"&lt;="&amp;$B141,'ORDENES'!$V$4:$V$1203,"preventivo")</f>
        <v/>
      </c>
      <c r="Q141" s="24">
        <f>COUNTIFS('ORDENES'!$R$4:$R$1203,$A141,'ORDENES'!$J$4:$J$1203,"&lt;="&amp;$B141,'ORDENES'!$V$4:$V$1203,"correctivo_programado")</f>
        <v/>
      </c>
      <c r="R141" s="24">
        <f>COUNTIFS('ORDENES'!$R$4:$R$1203,$A141,'ORDENES'!$J$4:$J$1203,"&lt;="&amp;$B141,'ORDENES'!$V$4:$V$1203,"emergencia")</f>
        <v/>
      </c>
      <c r="S141" s="24">
        <f>COUNTIFS('ORDENES'!$R$4:$R$1203,$A141,'ORDENES'!$J$4:$J$1203,"&lt;="&amp;$B141,'ORDENES'!$V$4:$V$1203,"SIN CLASIFICAR")</f>
        <v/>
      </c>
      <c r="T141" s="24">
        <f>COUNTIFS('ORDENES'!$R$4:$R$1203,$A141,'ORDENES'!$J$4:$J$1203,"&lt;="&amp;$B141)</f>
        <v/>
      </c>
      <c r="U141" s="24">
        <f>SUM(O141:S141)-T141</f>
        <v/>
      </c>
      <c r="V141" s="25">
        <f>SUMIFS('ORDENES'!$M$4:$M$1203,'ORDENES'!$R$4:$R$1203,$A141,'ORDENES'!$J$4:$J$1203,"&lt;="&amp;$B141,'ORDENES'!$V$4:$V$1203,"predictivo")</f>
        <v/>
      </c>
      <c r="W141" s="25">
        <f>SUMIFS('ORDENES'!$M$4:$M$1203,'ORDENES'!$R$4:$R$1203,$A141,'ORDENES'!$J$4:$J$1203,"&lt;="&amp;$B141,'ORDENES'!$V$4:$V$1203,"preventivo")</f>
        <v/>
      </c>
      <c r="X141" s="25">
        <f>SUMIFS('ORDENES'!$M$4:$M$1203,'ORDENES'!$R$4:$R$1203,$A141,'ORDENES'!$J$4:$J$1203,"&lt;="&amp;$B141,'ORDENES'!$V$4:$V$1203,"correctivo_programado")</f>
        <v/>
      </c>
      <c r="Y141" s="25">
        <f>SUMIFS('ORDENES'!$M$4:$M$1203,'ORDENES'!$R$4:$R$1203,$A141,'ORDENES'!$J$4:$J$1203,"&lt;="&amp;$B141,'ORDENES'!$V$4:$V$1203,"emergencia")</f>
        <v/>
      </c>
      <c r="Z141" s="25">
        <f>SUMIFS('ORDENES'!$M$4:$M$1203,'ORDENES'!$R$4:$R$1203,$A141,'ORDENES'!$J$4:$J$1203,"&lt;="&amp;$B141,'ORDENES'!$V$4:$V$1203,"SIN CLASIFICAR")</f>
        <v/>
      </c>
      <c r="AA141" s="25">
        <f>SUMIFS('ORDENES'!$M$4:$M$1203,'ORDENES'!$R$4:$R$1203,$A141,'ORDENES'!$J$4:$J$1203,"&lt;="&amp;$B141)</f>
        <v/>
      </c>
      <c r="AB141" s="25">
        <f>ROUND(SUM(V141:Z141)-AA141,6)</f>
        <v/>
      </c>
    </row>
    <row r="142">
      <c r="A142" s="24" t="inlineStr">
        <is>
          <t>2026-06</t>
        </is>
      </c>
      <c r="B142" s="30">
        <f>IF($A142="","",IF($A142=YEAR(p_fecha_datos)&amp;"-"&amp;TEXT(MONTH(p_fecha_datos),"00"),p_fecha_datos-1,DATE(VALUE(LEFT($A142,4)),VALUE(RIGHT($A142,2))+1,0)))</f>
        <v/>
      </c>
      <c r="C142" s="24">
        <f>COUNTIFS('ORDENES'!$R$4:$R$1203,$A142,'ORDENES'!$J$4:$J$1203,"&lt;="&amp;$B142,'ORDENES'!$T$4:$T$1203,"sí")</f>
        <v/>
      </c>
      <c r="D142" s="24">
        <f>COUNTIFS('ORDENES'!$R$4:$R$1203,$A142,'ORDENES'!$J$4:$J$1203,"&lt;="&amp;$B142,'ORDENES'!$T$4:$T$1203,"sí",'ORDENES'!$N$4:$N$1203,"Cerrada")</f>
        <v/>
      </c>
      <c r="E142" s="27">
        <f>IF($C142=0,"",$D142/$C142)</f>
        <v/>
      </c>
      <c r="F142" s="28">
        <f>p_meta_adherencia</f>
        <v/>
      </c>
      <c r="G142" s="24">
        <f>COUNTIFS('ORDENES'!$R$4:$R$1203,$A142,'ORDENES'!$J$4:$J$1203,"&lt;="&amp;$B142,'ORDENES'!$W$4:$W$1203,"calibracion")</f>
        <v/>
      </c>
      <c r="H142" s="24">
        <f>COUNTIFS('ORDENES'!$R$4:$R$1203,$A142,'ORDENES'!$J$4:$J$1203,"&lt;="&amp;$B142,'ORDENES'!$W$4:$W$1203,"calibracion",'ORDENES'!$N$4:$N$1203,"Cerrada")</f>
        <v/>
      </c>
      <c r="I142" s="27">
        <f>IF($G142=0,"",$H142/$G142)</f>
        <v/>
      </c>
      <c r="J142" s="24">
        <f>COUNTIFS('ORDENES'!$R$4:$R$1203,$A142,'ORDENES'!$J$4:$J$1203,"&lt;="&amp;$B142,'ORDENES'!$W$4:$W$1203,"calibracion",'ORDENES'!$N$4:$N$1203,"Pendiente")</f>
        <v/>
      </c>
      <c r="K142" s="24">
        <f>COUNTIFS('ORDENES'!$R$4:$R$1203,$A142,'ORDENES'!$J$4:$J$1203,"&lt;="&amp;$B142,'ORDENES'!$W$4:$W$1203,"lubricacion")</f>
        <v/>
      </c>
      <c r="L142" s="24">
        <f>COUNTIFS('ORDENES'!$R$4:$R$1203,$A142,'ORDENES'!$J$4:$J$1203,"&lt;="&amp;$B142,'ORDENES'!$W$4:$W$1203,"lubricacion",'ORDENES'!$N$4:$N$1203,"Cerrada")</f>
        <v/>
      </c>
      <c r="M142" s="27">
        <f>IF($K142=0,"",$L142/$K142)</f>
        <v/>
      </c>
      <c r="N142" s="24">
        <f>COUNTIFS('ORDENES'!$R$4:$R$1203,$A142,'ORDENES'!$J$4:$J$1203,"&lt;="&amp;$B142,'ORDENES'!$W$4:$W$1203,"lubricacion",'ORDENES'!$N$4:$N$1203,"Pendiente")</f>
        <v/>
      </c>
      <c r="O142" s="24">
        <f>COUNTIFS('ORDENES'!$R$4:$R$1203,$A142,'ORDENES'!$J$4:$J$1203,"&lt;="&amp;$B142,'ORDENES'!$V$4:$V$1203,"predictivo")</f>
        <v/>
      </c>
      <c r="P142" s="24">
        <f>COUNTIFS('ORDENES'!$R$4:$R$1203,$A142,'ORDENES'!$J$4:$J$1203,"&lt;="&amp;$B142,'ORDENES'!$V$4:$V$1203,"preventivo")</f>
        <v/>
      </c>
      <c r="Q142" s="24">
        <f>COUNTIFS('ORDENES'!$R$4:$R$1203,$A142,'ORDENES'!$J$4:$J$1203,"&lt;="&amp;$B142,'ORDENES'!$V$4:$V$1203,"correctivo_programado")</f>
        <v/>
      </c>
      <c r="R142" s="24">
        <f>COUNTIFS('ORDENES'!$R$4:$R$1203,$A142,'ORDENES'!$J$4:$J$1203,"&lt;="&amp;$B142,'ORDENES'!$V$4:$V$1203,"emergencia")</f>
        <v/>
      </c>
      <c r="S142" s="24">
        <f>COUNTIFS('ORDENES'!$R$4:$R$1203,$A142,'ORDENES'!$J$4:$J$1203,"&lt;="&amp;$B142,'ORDENES'!$V$4:$V$1203,"SIN CLASIFICAR")</f>
        <v/>
      </c>
      <c r="T142" s="24">
        <f>COUNTIFS('ORDENES'!$R$4:$R$1203,$A142,'ORDENES'!$J$4:$J$1203,"&lt;="&amp;$B142)</f>
        <v/>
      </c>
      <c r="U142" s="24">
        <f>SUM(O142:S142)-T142</f>
        <v/>
      </c>
      <c r="V142" s="25">
        <f>SUMIFS('ORDENES'!$M$4:$M$1203,'ORDENES'!$R$4:$R$1203,$A142,'ORDENES'!$J$4:$J$1203,"&lt;="&amp;$B142,'ORDENES'!$V$4:$V$1203,"predictivo")</f>
        <v/>
      </c>
      <c r="W142" s="25">
        <f>SUMIFS('ORDENES'!$M$4:$M$1203,'ORDENES'!$R$4:$R$1203,$A142,'ORDENES'!$J$4:$J$1203,"&lt;="&amp;$B142,'ORDENES'!$V$4:$V$1203,"preventivo")</f>
        <v/>
      </c>
      <c r="X142" s="25">
        <f>SUMIFS('ORDENES'!$M$4:$M$1203,'ORDENES'!$R$4:$R$1203,$A142,'ORDENES'!$J$4:$J$1203,"&lt;="&amp;$B142,'ORDENES'!$V$4:$V$1203,"correctivo_programado")</f>
        <v/>
      </c>
      <c r="Y142" s="25">
        <f>SUMIFS('ORDENES'!$M$4:$M$1203,'ORDENES'!$R$4:$R$1203,$A142,'ORDENES'!$J$4:$J$1203,"&lt;="&amp;$B142,'ORDENES'!$V$4:$V$1203,"emergencia")</f>
        <v/>
      </c>
      <c r="Z142" s="25">
        <f>SUMIFS('ORDENES'!$M$4:$M$1203,'ORDENES'!$R$4:$R$1203,$A142,'ORDENES'!$J$4:$J$1203,"&lt;="&amp;$B142,'ORDENES'!$V$4:$V$1203,"SIN CLASIFICAR")</f>
        <v/>
      </c>
      <c r="AA142" s="25">
        <f>SUMIFS('ORDENES'!$M$4:$M$1203,'ORDENES'!$R$4:$R$1203,$A142,'ORDENES'!$J$4:$J$1203,"&lt;="&amp;$B142)</f>
        <v/>
      </c>
      <c r="AB142" s="25">
        <f>ROUND(SUM(V142:Z142)-AA142,6)</f>
        <v/>
      </c>
    </row>
    <row r="143">
      <c r="A143" s="24" t="inlineStr">
        <is>
          <t>2026-07</t>
        </is>
      </c>
      <c r="B143" s="30">
        <f>IF($A143="","",IF($A143=YEAR(p_fecha_datos)&amp;"-"&amp;TEXT(MONTH(p_fecha_datos),"00"),p_fecha_datos-1,DATE(VALUE(LEFT($A143,4)),VALUE(RIGHT($A143,2))+1,0)))</f>
        <v/>
      </c>
      <c r="C143" s="24">
        <f>COUNTIFS('ORDENES'!$R$4:$R$1203,$A143,'ORDENES'!$J$4:$J$1203,"&lt;="&amp;$B143,'ORDENES'!$T$4:$T$1203,"sí")</f>
        <v/>
      </c>
      <c r="D143" s="24">
        <f>COUNTIFS('ORDENES'!$R$4:$R$1203,$A143,'ORDENES'!$J$4:$J$1203,"&lt;="&amp;$B143,'ORDENES'!$T$4:$T$1203,"sí",'ORDENES'!$N$4:$N$1203,"Cerrada")</f>
        <v/>
      </c>
      <c r="E143" s="27">
        <f>IF($C143=0,"",$D143/$C143)</f>
        <v/>
      </c>
      <c r="F143" s="28">
        <f>p_meta_adherencia</f>
        <v/>
      </c>
      <c r="G143" s="24">
        <f>COUNTIFS('ORDENES'!$R$4:$R$1203,$A143,'ORDENES'!$J$4:$J$1203,"&lt;="&amp;$B143,'ORDENES'!$W$4:$W$1203,"calibracion")</f>
        <v/>
      </c>
      <c r="H143" s="24">
        <f>COUNTIFS('ORDENES'!$R$4:$R$1203,$A143,'ORDENES'!$J$4:$J$1203,"&lt;="&amp;$B143,'ORDENES'!$W$4:$W$1203,"calibracion",'ORDENES'!$N$4:$N$1203,"Cerrada")</f>
        <v/>
      </c>
      <c r="I143" s="27">
        <f>IF($G143=0,"",$H143/$G143)</f>
        <v/>
      </c>
      <c r="J143" s="24">
        <f>COUNTIFS('ORDENES'!$R$4:$R$1203,$A143,'ORDENES'!$J$4:$J$1203,"&lt;="&amp;$B143,'ORDENES'!$W$4:$W$1203,"calibracion",'ORDENES'!$N$4:$N$1203,"Pendiente")</f>
        <v/>
      </c>
      <c r="K143" s="24">
        <f>COUNTIFS('ORDENES'!$R$4:$R$1203,$A143,'ORDENES'!$J$4:$J$1203,"&lt;="&amp;$B143,'ORDENES'!$W$4:$W$1203,"lubricacion")</f>
        <v/>
      </c>
      <c r="L143" s="24">
        <f>COUNTIFS('ORDENES'!$R$4:$R$1203,$A143,'ORDENES'!$J$4:$J$1203,"&lt;="&amp;$B143,'ORDENES'!$W$4:$W$1203,"lubricacion",'ORDENES'!$N$4:$N$1203,"Cerrada")</f>
        <v/>
      </c>
      <c r="M143" s="27">
        <f>IF($K143=0,"",$L143/$K143)</f>
        <v/>
      </c>
      <c r="N143" s="24">
        <f>COUNTIFS('ORDENES'!$R$4:$R$1203,$A143,'ORDENES'!$J$4:$J$1203,"&lt;="&amp;$B143,'ORDENES'!$W$4:$W$1203,"lubricacion",'ORDENES'!$N$4:$N$1203,"Pendiente")</f>
        <v/>
      </c>
      <c r="O143" s="24">
        <f>COUNTIFS('ORDENES'!$R$4:$R$1203,$A143,'ORDENES'!$J$4:$J$1203,"&lt;="&amp;$B143,'ORDENES'!$V$4:$V$1203,"predictivo")</f>
        <v/>
      </c>
      <c r="P143" s="24">
        <f>COUNTIFS('ORDENES'!$R$4:$R$1203,$A143,'ORDENES'!$J$4:$J$1203,"&lt;="&amp;$B143,'ORDENES'!$V$4:$V$1203,"preventivo")</f>
        <v/>
      </c>
      <c r="Q143" s="24">
        <f>COUNTIFS('ORDENES'!$R$4:$R$1203,$A143,'ORDENES'!$J$4:$J$1203,"&lt;="&amp;$B143,'ORDENES'!$V$4:$V$1203,"correctivo_programado")</f>
        <v/>
      </c>
      <c r="R143" s="24">
        <f>COUNTIFS('ORDENES'!$R$4:$R$1203,$A143,'ORDENES'!$J$4:$J$1203,"&lt;="&amp;$B143,'ORDENES'!$V$4:$V$1203,"emergencia")</f>
        <v/>
      </c>
      <c r="S143" s="24">
        <f>COUNTIFS('ORDENES'!$R$4:$R$1203,$A143,'ORDENES'!$J$4:$J$1203,"&lt;="&amp;$B143,'ORDENES'!$V$4:$V$1203,"SIN CLASIFICAR")</f>
        <v/>
      </c>
      <c r="T143" s="24">
        <f>COUNTIFS('ORDENES'!$R$4:$R$1203,$A143,'ORDENES'!$J$4:$J$1203,"&lt;="&amp;$B143)</f>
        <v/>
      </c>
      <c r="U143" s="24">
        <f>SUM(O143:S143)-T143</f>
        <v/>
      </c>
      <c r="V143" s="25">
        <f>SUMIFS('ORDENES'!$M$4:$M$1203,'ORDENES'!$R$4:$R$1203,$A143,'ORDENES'!$J$4:$J$1203,"&lt;="&amp;$B143,'ORDENES'!$V$4:$V$1203,"predictivo")</f>
        <v/>
      </c>
      <c r="W143" s="25">
        <f>SUMIFS('ORDENES'!$M$4:$M$1203,'ORDENES'!$R$4:$R$1203,$A143,'ORDENES'!$J$4:$J$1203,"&lt;="&amp;$B143,'ORDENES'!$V$4:$V$1203,"preventivo")</f>
        <v/>
      </c>
      <c r="X143" s="25">
        <f>SUMIFS('ORDENES'!$M$4:$M$1203,'ORDENES'!$R$4:$R$1203,$A143,'ORDENES'!$J$4:$J$1203,"&lt;="&amp;$B143,'ORDENES'!$V$4:$V$1203,"correctivo_programado")</f>
        <v/>
      </c>
      <c r="Y143" s="25">
        <f>SUMIFS('ORDENES'!$M$4:$M$1203,'ORDENES'!$R$4:$R$1203,$A143,'ORDENES'!$J$4:$J$1203,"&lt;="&amp;$B143,'ORDENES'!$V$4:$V$1203,"emergencia")</f>
        <v/>
      </c>
      <c r="Z143" s="25">
        <f>SUMIFS('ORDENES'!$M$4:$M$1203,'ORDENES'!$R$4:$R$1203,$A143,'ORDENES'!$J$4:$J$1203,"&lt;="&amp;$B143,'ORDENES'!$V$4:$V$1203,"SIN CLASIFICAR")</f>
        <v/>
      </c>
      <c r="AA143" s="25">
        <f>SUMIFS('ORDENES'!$M$4:$M$1203,'ORDENES'!$R$4:$R$1203,$A143,'ORDENES'!$J$4:$J$1203,"&lt;="&amp;$B143)</f>
        <v/>
      </c>
      <c r="AB143" s="25">
        <f>ROUND(SUM(V143:Z143)-AA143,6)</f>
        <v/>
      </c>
    </row>
    <row r="144">
      <c r="A144" s="24" t="inlineStr">
        <is>
          <t>2026-08</t>
        </is>
      </c>
      <c r="B144" s="30">
        <f>IF($A144="","",IF($A144=YEAR(p_fecha_datos)&amp;"-"&amp;TEXT(MONTH(p_fecha_datos),"00"),p_fecha_datos-1,DATE(VALUE(LEFT($A144,4)),VALUE(RIGHT($A144,2))+1,0)))</f>
        <v/>
      </c>
      <c r="C144" s="24">
        <f>COUNTIFS('ORDENES'!$R$4:$R$1203,$A144,'ORDENES'!$J$4:$J$1203,"&lt;="&amp;$B144,'ORDENES'!$T$4:$T$1203,"sí")</f>
        <v/>
      </c>
      <c r="D144" s="24">
        <f>COUNTIFS('ORDENES'!$R$4:$R$1203,$A144,'ORDENES'!$J$4:$J$1203,"&lt;="&amp;$B144,'ORDENES'!$T$4:$T$1203,"sí",'ORDENES'!$N$4:$N$1203,"Cerrada")</f>
        <v/>
      </c>
      <c r="E144" s="27">
        <f>IF($C144=0,"",$D144/$C144)</f>
        <v/>
      </c>
      <c r="F144" s="28">
        <f>p_meta_adherencia</f>
        <v/>
      </c>
      <c r="G144" s="24">
        <f>COUNTIFS('ORDENES'!$R$4:$R$1203,$A144,'ORDENES'!$J$4:$J$1203,"&lt;="&amp;$B144,'ORDENES'!$W$4:$W$1203,"calibracion")</f>
        <v/>
      </c>
      <c r="H144" s="24">
        <f>COUNTIFS('ORDENES'!$R$4:$R$1203,$A144,'ORDENES'!$J$4:$J$1203,"&lt;="&amp;$B144,'ORDENES'!$W$4:$W$1203,"calibracion",'ORDENES'!$N$4:$N$1203,"Cerrada")</f>
        <v/>
      </c>
      <c r="I144" s="27">
        <f>IF($G144=0,"",$H144/$G144)</f>
        <v/>
      </c>
      <c r="J144" s="24">
        <f>COUNTIFS('ORDENES'!$R$4:$R$1203,$A144,'ORDENES'!$J$4:$J$1203,"&lt;="&amp;$B144,'ORDENES'!$W$4:$W$1203,"calibracion",'ORDENES'!$N$4:$N$1203,"Pendiente")</f>
        <v/>
      </c>
      <c r="K144" s="24">
        <f>COUNTIFS('ORDENES'!$R$4:$R$1203,$A144,'ORDENES'!$J$4:$J$1203,"&lt;="&amp;$B144,'ORDENES'!$W$4:$W$1203,"lubricacion")</f>
        <v/>
      </c>
      <c r="L144" s="24">
        <f>COUNTIFS('ORDENES'!$R$4:$R$1203,$A144,'ORDENES'!$J$4:$J$1203,"&lt;="&amp;$B144,'ORDENES'!$W$4:$W$1203,"lubricacion",'ORDENES'!$N$4:$N$1203,"Cerrada")</f>
        <v/>
      </c>
      <c r="M144" s="27">
        <f>IF($K144=0,"",$L144/$K144)</f>
        <v/>
      </c>
      <c r="N144" s="24">
        <f>COUNTIFS('ORDENES'!$R$4:$R$1203,$A144,'ORDENES'!$J$4:$J$1203,"&lt;="&amp;$B144,'ORDENES'!$W$4:$W$1203,"lubricacion",'ORDENES'!$N$4:$N$1203,"Pendiente")</f>
        <v/>
      </c>
      <c r="O144" s="24">
        <f>COUNTIFS('ORDENES'!$R$4:$R$1203,$A144,'ORDENES'!$J$4:$J$1203,"&lt;="&amp;$B144,'ORDENES'!$V$4:$V$1203,"predictivo")</f>
        <v/>
      </c>
      <c r="P144" s="24">
        <f>COUNTIFS('ORDENES'!$R$4:$R$1203,$A144,'ORDENES'!$J$4:$J$1203,"&lt;="&amp;$B144,'ORDENES'!$V$4:$V$1203,"preventivo")</f>
        <v/>
      </c>
      <c r="Q144" s="24">
        <f>COUNTIFS('ORDENES'!$R$4:$R$1203,$A144,'ORDENES'!$J$4:$J$1203,"&lt;="&amp;$B144,'ORDENES'!$V$4:$V$1203,"correctivo_programado")</f>
        <v/>
      </c>
      <c r="R144" s="24">
        <f>COUNTIFS('ORDENES'!$R$4:$R$1203,$A144,'ORDENES'!$J$4:$J$1203,"&lt;="&amp;$B144,'ORDENES'!$V$4:$V$1203,"emergencia")</f>
        <v/>
      </c>
      <c r="S144" s="24">
        <f>COUNTIFS('ORDENES'!$R$4:$R$1203,$A144,'ORDENES'!$J$4:$J$1203,"&lt;="&amp;$B144,'ORDENES'!$V$4:$V$1203,"SIN CLASIFICAR")</f>
        <v/>
      </c>
      <c r="T144" s="24">
        <f>COUNTIFS('ORDENES'!$R$4:$R$1203,$A144,'ORDENES'!$J$4:$J$1203,"&lt;="&amp;$B144)</f>
        <v/>
      </c>
      <c r="U144" s="24">
        <f>SUM(O144:S144)-T144</f>
        <v/>
      </c>
      <c r="V144" s="25">
        <f>SUMIFS('ORDENES'!$M$4:$M$1203,'ORDENES'!$R$4:$R$1203,$A144,'ORDENES'!$J$4:$J$1203,"&lt;="&amp;$B144,'ORDENES'!$V$4:$V$1203,"predictivo")</f>
        <v/>
      </c>
      <c r="W144" s="25">
        <f>SUMIFS('ORDENES'!$M$4:$M$1203,'ORDENES'!$R$4:$R$1203,$A144,'ORDENES'!$J$4:$J$1203,"&lt;="&amp;$B144,'ORDENES'!$V$4:$V$1203,"preventivo")</f>
        <v/>
      </c>
      <c r="X144" s="25">
        <f>SUMIFS('ORDENES'!$M$4:$M$1203,'ORDENES'!$R$4:$R$1203,$A144,'ORDENES'!$J$4:$J$1203,"&lt;="&amp;$B144,'ORDENES'!$V$4:$V$1203,"correctivo_programado")</f>
        <v/>
      </c>
      <c r="Y144" s="25">
        <f>SUMIFS('ORDENES'!$M$4:$M$1203,'ORDENES'!$R$4:$R$1203,$A144,'ORDENES'!$J$4:$J$1203,"&lt;="&amp;$B144,'ORDENES'!$V$4:$V$1203,"emergencia")</f>
        <v/>
      </c>
      <c r="Z144" s="25">
        <f>SUMIFS('ORDENES'!$M$4:$M$1203,'ORDENES'!$R$4:$R$1203,$A144,'ORDENES'!$J$4:$J$1203,"&lt;="&amp;$B144,'ORDENES'!$V$4:$V$1203,"SIN CLASIFICAR")</f>
        <v/>
      </c>
      <c r="AA144" s="25">
        <f>SUMIFS('ORDENES'!$M$4:$M$1203,'ORDENES'!$R$4:$R$1203,$A144,'ORDENES'!$J$4:$J$1203,"&lt;="&amp;$B144)</f>
        <v/>
      </c>
      <c r="AB144" s="25">
        <f>ROUND(SUM(V144:Z144)-AA144,6)</f>
        <v/>
      </c>
    </row>
    <row r="145">
      <c r="A145" s="24" t="inlineStr">
        <is>
          <t>2026-09</t>
        </is>
      </c>
      <c r="B145" s="30">
        <f>IF($A145="","",IF($A145=YEAR(p_fecha_datos)&amp;"-"&amp;TEXT(MONTH(p_fecha_datos),"00"),p_fecha_datos-1,DATE(VALUE(LEFT($A145,4)),VALUE(RIGHT($A145,2))+1,0)))</f>
        <v/>
      </c>
      <c r="C145" s="24">
        <f>COUNTIFS('ORDENES'!$R$4:$R$1203,$A145,'ORDENES'!$J$4:$J$1203,"&lt;="&amp;$B145,'ORDENES'!$T$4:$T$1203,"sí")</f>
        <v/>
      </c>
      <c r="D145" s="24">
        <f>COUNTIFS('ORDENES'!$R$4:$R$1203,$A145,'ORDENES'!$J$4:$J$1203,"&lt;="&amp;$B145,'ORDENES'!$T$4:$T$1203,"sí",'ORDENES'!$N$4:$N$1203,"Cerrada")</f>
        <v/>
      </c>
      <c r="E145" s="27">
        <f>IF($C145=0,"",$D145/$C145)</f>
        <v/>
      </c>
      <c r="F145" s="28">
        <f>p_meta_adherencia</f>
        <v/>
      </c>
      <c r="G145" s="24">
        <f>COUNTIFS('ORDENES'!$R$4:$R$1203,$A145,'ORDENES'!$J$4:$J$1203,"&lt;="&amp;$B145,'ORDENES'!$W$4:$W$1203,"calibracion")</f>
        <v/>
      </c>
      <c r="H145" s="24">
        <f>COUNTIFS('ORDENES'!$R$4:$R$1203,$A145,'ORDENES'!$J$4:$J$1203,"&lt;="&amp;$B145,'ORDENES'!$W$4:$W$1203,"calibracion",'ORDENES'!$N$4:$N$1203,"Cerrada")</f>
        <v/>
      </c>
      <c r="I145" s="27">
        <f>IF($G145=0,"",$H145/$G145)</f>
        <v/>
      </c>
      <c r="J145" s="24">
        <f>COUNTIFS('ORDENES'!$R$4:$R$1203,$A145,'ORDENES'!$J$4:$J$1203,"&lt;="&amp;$B145,'ORDENES'!$W$4:$W$1203,"calibracion",'ORDENES'!$N$4:$N$1203,"Pendiente")</f>
        <v/>
      </c>
      <c r="K145" s="24">
        <f>COUNTIFS('ORDENES'!$R$4:$R$1203,$A145,'ORDENES'!$J$4:$J$1203,"&lt;="&amp;$B145,'ORDENES'!$W$4:$W$1203,"lubricacion")</f>
        <v/>
      </c>
      <c r="L145" s="24">
        <f>COUNTIFS('ORDENES'!$R$4:$R$1203,$A145,'ORDENES'!$J$4:$J$1203,"&lt;="&amp;$B145,'ORDENES'!$W$4:$W$1203,"lubricacion",'ORDENES'!$N$4:$N$1203,"Cerrada")</f>
        <v/>
      </c>
      <c r="M145" s="27">
        <f>IF($K145=0,"",$L145/$K145)</f>
        <v/>
      </c>
      <c r="N145" s="24">
        <f>COUNTIFS('ORDENES'!$R$4:$R$1203,$A145,'ORDENES'!$J$4:$J$1203,"&lt;="&amp;$B145,'ORDENES'!$W$4:$W$1203,"lubricacion",'ORDENES'!$N$4:$N$1203,"Pendiente")</f>
        <v/>
      </c>
      <c r="O145" s="24">
        <f>COUNTIFS('ORDENES'!$R$4:$R$1203,$A145,'ORDENES'!$J$4:$J$1203,"&lt;="&amp;$B145,'ORDENES'!$V$4:$V$1203,"predictivo")</f>
        <v/>
      </c>
      <c r="P145" s="24">
        <f>COUNTIFS('ORDENES'!$R$4:$R$1203,$A145,'ORDENES'!$J$4:$J$1203,"&lt;="&amp;$B145,'ORDENES'!$V$4:$V$1203,"preventivo")</f>
        <v/>
      </c>
      <c r="Q145" s="24">
        <f>COUNTIFS('ORDENES'!$R$4:$R$1203,$A145,'ORDENES'!$J$4:$J$1203,"&lt;="&amp;$B145,'ORDENES'!$V$4:$V$1203,"correctivo_programado")</f>
        <v/>
      </c>
      <c r="R145" s="24">
        <f>COUNTIFS('ORDENES'!$R$4:$R$1203,$A145,'ORDENES'!$J$4:$J$1203,"&lt;="&amp;$B145,'ORDENES'!$V$4:$V$1203,"emergencia")</f>
        <v/>
      </c>
      <c r="S145" s="24">
        <f>COUNTIFS('ORDENES'!$R$4:$R$1203,$A145,'ORDENES'!$J$4:$J$1203,"&lt;="&amp;$B145,'ORDENES'!$V$4:$V$1203,"SIN CLASIFICAR")</f>
        <v/>
      </c>
      <c r="T145" s="24">
        <f>COUNTIFS('ORDENES'!$R$4:$R$1203,$A145,'ORDENES'!$J$4:$J$1203,"&lt;="&amp;$B145)</f>
        <v/>
      </c>
      <c r="U145" s="24">
        <f>SUM(O145:S145)-T145</f>
        <v/>
      </c>
      <c r="V145" s="25">
        <f>SUMIFS('ORDENES'!$M$4:$M$1203,'ORDENES'!$R$4:$R$1203,$A145,'ORDENES'!$J$4:$J$1203,"&lt;="&amp;$B145,'ORDENES'!$V$4:$V$1203,"predictivo")</f>
        <v/>
      </c>
      <c r="W145" s="25">
        <f>SUMIFS('ORDENES'!$M$4:$M$1203,'ORDENES'!$R$4:$R$1203,$A145,'ORDENES'!$J$4:$J$1203,"&lt;="&amp;$B145,'ORDENES'!$V$4:$V$1203,"preventivo")</f>
        <v/>
      </c>
      <c r="X145" s="25">
        <f>SUMIFS('ORDENES'!$M$4:$M$1203,'ORDENES'!$R$4:$R$1203,$A145,'ORDENES'!$J$4:$J$1203,"&lt;="&amp;$B145,'ORDENES'!$V$4:$V$1203,"correctivo_programado")</f>
        <v/>
      </c>
      <c r="Y145" s="25">
        <f>SUMIFS('ORDENES'!$M$4:$M$1203,'ORDENES'!$R$4:$R$1203,$A145,'ORDENES'!$J$4:$J$1203,"&lt;="&amp;$B145,'ORDENES'!$V$4:$V$1203,"emergencia")</f>
        <v/>
      </c>
      <c r="Z145" s="25">
        <f>SUMIFS('ORDENES'!$M$4:$M$1203,'ORDENES'!$R$4:$R$1203,$A145,'ORDENES'!$J$4:$J$1203,"&lt;="&amp;$B145,'ORDENES'!$V$4:$V$1203,"SIN CLASIFICAR")</f>
        <v/>
      </c>
      <c r="AA145" s="25">
        <f>SUMIFS('ORDENES'!$M$4:$M$1203,'ORDENES'!$R$4:$R$1203,$A145,'ORDENES'!$J$4:$J$1203,"&lt;="&amp;$B145)</f>
        <v/>
      </c>
      <c r="AB145" s="25">
        <f>ROUND(SUM(V145:Z145)-AA145,6)</f>
        <v/>
      </c>
    </row>
    <row r="146">
      <c r="A146" s="24" t="inlineStr">
        <is>
          <t>2026-10</t>
        </is>
      </c>
      <c r="B146" s="30">
        <f>IF($A146="","",IF($A146=YEAR(p_fecha_datos)&amp;"-"&amp;TEXT(MONTH(p_fecha_datos),"00"),p_fecha_datos-1,DATE(VALUE(LEFT($A146,4)),VALUE(RIGHT($A146,2))+1,0)))</f>
        <v/>
      </c>
      <c r="C146" s="24">
        <f>COUNTIFS('ORDENES'!$R$4:$R$1203,$A146,'ORDENES'!$J$4:$J$1203,"&lt;="&amp;$B146,'ORDENES'!$T$4:$T$1203,"sí")</f>
        <v/>
      </c>
      <c r="D146" s="24">
        <f>COUNTIFS('ORDENES'!$R$4:$R$1203,$A146,'ORDENES'!$J$4:$J$1203,"&lt;="&amp;$B146,'ORDENES'!$T$4:$T$1203,"sí",'ORDENES'!$N$4:$N$1203,"Cerrada")</f>
        <v/>
      </c>
      <c r="E146" s="27">
        <f>IF($C146=0,"",$D146/$C146)</f>
        <v/>
      </c>
      <c r="F146" s="28">
        <f>p_meta_adherencia</f>
        <v/>
      </c>
      <c r="G146" s="24">
        <f>COUNTIFS('ORDENES'!$R$4:$R$1203,$A146,'ORDENES'!$J$4:$J$1203,"&lt;="&amp;$B146,'ORDENES'!$W$4:$W$1203,"calibracion")</f>
        <v/>
      </c>
      <c r="H146" s="24">
        <f>COUNTIFS('ORDENES'!$R$4:$R$1203,$A146,'ORDENES'!$J$4:$J$1203,"&lt;="&amp;$B146,'ORDENES'!$W$4:$W$1203,"calibracion",'ORDENES'!$N$4:$N$1203,"Cerrada")</f>
        <v/>
      </c>
      <c r="I146" s="27">
        <f>IF($G146=0,"",$H146/$G146)</f>
        <v/>
      </c>
      <c r="J146" s="24">
        <f>COUNTIFS('ORDENES'!$R$4:$R$1203,$A146,'ORDENES'!$J$4:$J$1203,"&lt;="&amp;$B146,'ORDENES'!$W$4:$W$1203,"calibracion",'ORDENES'!$N$4:$N$1203,"Pendiente")</f>
        <v/>
      </c>
      <c r="K146" s="24">
        <f>COUNTIFS('ORDENES'!$R$4:$R$1203,$A146,'ORDENES'!$J$4:$J$1203,"&lt;="&amp;$B146,'ORDENES'!$W$4:$W$1203,"lubricacion")</f>
        <v/>
      </c>
      <c r="L146" s="24">
        <f>COUNTIFS('ORDENES'!$R$4:$R$1203,$A146,'ORDENES'!$J$4:$J$1203,"&lt;="&amp;$B146,'ORDENES'!$W$4:$W$1203,"lubricacion",'ORDENES'!$N$4:$N$1203,"Cerrada")</f>
        <v/>
      </c>
      <c r="M146" s="27">
        <f>IF($K146=0,"",$L146/$K146)</f>
        <v/>
      </c>
      <c r="N146" s="24">
        <f>COUNTIFS('ORDENES'!$R$4:$R$1203,$A146,'ORDENES'!$J$4:$J$1203,"&lt;="&amp;$B146,'ORDENES'!$W$4:$W$1203,"lubricacion",'ORDENES'!$N$4:$N$1203,"Pendiente")</f>
        <v/>
      </c>
      <c r="O146" s="24">
        <f>COUNTIFS('ORDENES'!$R$4:$R$1203,$A146,'ORDENES'!$J$4:$J$1203,"&lt;="&amp;$B146,'ORDENES'!$V$4:$V$1203,"predictivo")</f>
        <v/>
      </c>
      <c r="P146" s="24">
        <f>COUNTIFS('ORDENES'!$R$4:$R$1203,$A146,'ORDENES'!$J$4:$J$1203,"&lt;="&amp;$B146,'ORDENES'!$V$4:$V$1203,"preventivo")</f>
        <v/>
      </c>
      <c r="Q146" s="24">
        <f>COUNTIFS('ORDENES'!$R$4:$R$1203,$A146,'ORDENES'!$J$4:$J$1203,"&lt;="&amp;$B146,'ORDENES'!$V$4:$V$1203,"correctivo_programado")</f>
        <v/>
      </c>
      <c r="R146" s="24">
        <f>COUNTIFS('ORDENES'!$R$4:$R$1203,$A146,'ORDENES'!$J$4:$J$1203,"&lt;="&amp;$B146,'ORDENES'!$V$4:$V$1203,"emergencia")</f>
        <v/>
      </c>
      <c r="S146" s="24">
        <f>COUNTIFS('ORDENES'!$R$4:$R$1203,$A146,'ORDENES'!$J$4:$J$1203,"&lt;="&amp;$B146,'ORDENES'!$V$4:$V$1203,"SIN CLASIFICAR")</f>
        <v/>
      </c>
      <c r="T146" s="24">
        <f>COUNTIFS('ORDENES'!$R$4:$R$1203,$A146,'ORDENES'!$J$4:$J$1203,"&lt;="&amp;$B146)</f>
        <v/>
      </c>
      <c r="U146" s="24">
        <f>SUM(O146:S146)-T146</f>
        <v/>
      </c>
      <c r="V146" s="25">
        <f>SUMIFS('ORDENES'!$M$4:$M$1203,'ORDENES'!$R$4:$R$1203,$A146,'ORDENES'!$J$4:$J$1203,"&lt;="&amp;$B146,'ORDENES'!$V$4:$V$1203,"predictivo")</f>
        <v/>
      </c>
      <c r="W146" s="25">
        <f>SUMIFS('ORDENES'!$M$4:$M$1203,'ORDENES'!$R$4:$R$1203,$A146,'ORDENES'!$J$4:$J$1203,"&lt;="&amp;$B146,'ORDENES'!$V$4:$V$1203,"preventivo")</f>
        <v/>
      </c>
      <c r="X146" s="25">
        <f>SUMIFS('ORDENES'!$M$4:$M$1203,'ORDENES'!$R$4:$R$1203,$A146,'ORDENES'!$J$4:$J$1203,"&lt;="&amp;$B146,'ORDENES'!$V$4:$V$1203,"correctivo_programado")</f>
        <v/>
      </c>
      <c r="Y146" s="25">
        <f>SUMIFS('ORDENES'!$M$4:$M$1203,'ORDENES'!$R$4:$R$1203,$A146,'ORDENES'!$J$4:$J$1203,"&lt;="&amp;$B146,'ORDENES'!$V$4:$V$1203,"emergencia")</f>
        <v/>
      </c>
      <c r="Z146" s="25">
        <f>SUMIFS('ORDENES'!$M$4:$M$1203,'ORDENES'!$R$4:$R$1203,$A146,'ORDENES'!$J$4:$J$1203,"&lt;="&amp;$B146,'ORDENES'!$V$4:$V$1203,"SIN CLASIFICAR")</f>
        <v/>
      </c>
      <c r="AA146" s="25">
        <f>SUMIFS('ORDENES'!$M$4:$M$1203,'ORDENES'!$R$4:$R$1203,$A146,'ORDENES'!$J$4:$J$1203,"&lt;="&amp;$B146)</f>
        <v/>
      </c>
      <c r="AB146" s="25">
        <f>ROUND(SUM(V146:Z146)-AA146,6)</f>
        <v/>
      </c>
    </row>
    <row r="147">
      <c r="A147" s="24" t="inlineStr">
        <is>
          <t>2026-11</t>
        </is>
      </c>
      <c r="B147" s="30">
        <f>IF($A147="","",IF($A147=YEAR(p_fecha_datos)&amp;"-"&amp;TEXT(MONTH(p_fecha_datos),"00"),p_fecha_datos-1,DATE(VALUE(LEFT($A147,4)),VALUE(RIGHT($A147,2))+1,0)))</f>
        <v/>
      </c>
      <c r="C147" s="24">
        <f>COUNTIFS('ORDENES'!$R$4:$R$1203,$A147,'ORDENES'!$J$4:$J$1203,"&lt;="&amp;$B147,'ORDENES'!$T$4:$T$1203,"sí")</f>
        <v/>
      </c>
      <c r="D147" s="24">
        <f>COUNTIFS('ORDENES'!$R$4:$R$1203,$A147,'ORDENES'!$J$4:$J$1203,"&lt;="&amp;$B147,'ORDENES'!$T$4:$T$1203,"sí",'ORDENES'!$N$4:$N$1203,"Cerrada")</f>
        <v/>
      </c>
      <c r="E147" s="27">
        <f>IF($C147=0,"",$D147/$C147)</f>
        <v/>
      </c>
      <c r="F147" s="28">
        <f>p_meta_adherencia</f>
        <v/>
      </c>
      <c r="G147" s="24">
        <f>COUNTIFS('ORDENES'!$R$4:$R$1203,$A147,'ORDENES'!$J$4:$J$1203,"&lt;="&amp;$B147,'ORDENES'!$W$4:$W$1203,"calibracion")</f>
        <v/>
      </c>
      <c r="H147" s="24">
        <f>COUNTIFS('ORDENES'!$R$4:$R$1203,$A147,'ORDENES'!$J$4:$J$1203,"&lt;="&amp;$B147,'ORDENES'!$W$4:$W$1203,"calibracion",'ORDENES'!$N$4:$N$1203,"Cerrada")</f>
        <v/>
      </c>
      <c r="I147" s="27">
        <f>IF($G147=0,"",$H147/$G147)</f>
        <v/>
      </c>
      <c r="J147" s="24">
        <f>COUNTIFS('ORDENES'!$R$4:$R$1203,$A147,'ORDENES'!$J$4:$J$1203,"&lt;="&amp;$B147,'ORDENES'!$W$4:$W$1203,"calibracion",'ORDENES'!$N$4:$N$1203,"Pendiente")</f>
        <v/>
      </c>
      <c r="K147" s="24">
        <f>COUNTIFS('ORDENES'!$R$4:$R$1203,$A147,'ORDENES'!$J$4:$J$1203,"&lt;="&amp;$B147,'ORDENES'!$W$4:$W$1203,"lubricacion")</f>
        <v/>
      </c>
      <c r="L147" s="24">
        <f>COUNTIFS('ORDENES'!$R$4:$R$1203,$A147,'ORDENES'!$J$4:$J$1203,"&lt;="&amp;$B147,'ORDENES'!$W$4:$W$1203,"lubricacion",'ORDENES'!$N$4:$N$1203,"Cerrada")</f>
        <v/>
      </c>
      <c r="M147" s="27">
        <f>IF($K147=0,"",$L147/$K147)</f>
        <v/>
      </c>
      <c r="N147" s="24">
        <f>COUNTIFS('ORDENES'!$R$4:$R$1203,$A147,'ORDENES'!$J$4:$J$1203,"&lt;="&amp;$B147,'ORDENES'!$W$4:$W$1203,"lubricacion",'ORDENES'!$N$4:$N$1203,"Pendiente")</f>
        <v/>
      </c>
      <c r="O147" s="24">
        <f>COUNTIFS('ORDENES'!$R$4:$R$1203,$A147,'ORDENES'!$J$4:$J$1203,"&lt;="&amp;$B147,'ORDENES'!$V$4:$V$1203,"predictivo")</f>
        <v/>
      </c>
      <c r="P147" s="24">
        <f>COUNTIFS('ORDENES'!$R$4:$R$1203,$A147,'ORDENES'!$J$4:$J$1203,"&lt;="&amp;$B147,'ORDENES'!$V$4:$V$1203,"preventivo")</f>
        <v/>
      </c>
      <c r="Q147" s="24">
        <f>COUNTIFS('ORDENES'!$R$4:$R$1203,$A147,'ORDENES'!$J$4:$J$1203,"&lt;="&amp;$B147,'ORDENES'!$V$4:$V$1203,"correctivo_programado")</f>
        <v/>
      </c>
      <c r="R147" s="24">
        <f>COUNTIFS('ORDENES'!$R$4:$R$1203,$A147,'ORDENES'!$J$4:$J$1203,"&lt;="&amp;$B147,'ORDENES'!$V$4:$V$1203,"emergencia")</f>
        <v/>
      </c>
      <c r="S147" s="24">
        <f>COUNTIFS('ORDENES'!$R$4:$R$1203,$A147,'ORDENES'!$J$4:$J$1203,"&lt;="&amp;$B147,'ORDENES'!$V$4:$V$1203,"SIN CLASIFICAR")</f>
        <v/>
      </c>
      <c r="T147" s="24">
        <f>COUNTIFS('ORDENES'!$R$4:$R$1203,$A147,'ORDENES'!$J$4:$J$1203,"&lt;="&amp;$B147)</f>
        <v/>
      </c>
      <c r="U147" s="24">
        <f>SUM(O147:S147)-T147</f>
        <v/>
      </c>
      <c r="V147" s="25">
        <f>SUMIFS('ORDENES'!$M$4:$M$1203,'ORDENES'!$R$4:$R$1203,$A147,'ORDENES'!$J$4:$J$1203,"&lt;="&amp;$B147,'ORDENES'!$V$4:$V$1203,"predictivo")</f>
        <v/>
      </c>
      <c r="W147" s="25">
        <f>SUMIFS('ORDENES'!$M$4:$M$1203,'ORDENES'!$R$4:$R$1203,$A147,'ORDENES'!$J$4:$J$1203,"&lt;="&amp;$B147,'ORDENES'!$V$4:$V$1203,"preventivo")</f>
        <v/>
      </c>
      <c r="X147" s="25">
        <f>SUMIFS('ORDENES'!$M$4:$M$1203,'ORDENES'!$R$4:$R$1203,$A147,'ORDENES'!$J$4:$J$1203,"&lt;="&amp;$B147,'ORDENES'!$V$4:$V$1203,"correctivo_programado")</f>
        <v/>
      </c>
      <c r="Y147" s="25">
        <f>SUMIFS('ORDENES'!$M$4:$M$1203,'ORDENES'!$R$4:$R$1203,$A147,'ORDENES'!$J$4:$J$1203,"&lt;="&amp;$B147,'ORDENES'!$V$4:$V$1203,"emergencia")</f>
        <v/>
      </c>
      <c r="Z147" s="25">
        <f>SUMIFS('ORDENES'!$M$4:$M$1203,'ORDENES'!$R$4:$R$1203,$A147,'ORDENES'!$J$4:$J$1203,"&lt;="&amp;$B147,'ORDENES'!$V$4:$V$1203,"SIN CLASIFICAR")</f>
        <v/>
      </c>
      <c r="AA147" s="25">
        <f>SUMIFS('ORDENES'!$M$4:$M$1203,'ORDENES'!$R$4:$R$1203,$A147,'ORDENES'!$J$4:$J$1203,"&lt;="&amp;$B147)</f>
        <v/>
      </c>
      <c r="AB147" s="25">
        <f>ROUND(SUM(V147:Z147)-AA147,6)</f>
        <v/>
      </c>
    </row>
    <row r="148">
      <c r="A148" s="24" t="inlineStr">
        <is>
          <t>2026-12</t>
        </is>
      </c>
      <c r="B148" s="30">
        <f>IF($A148="","",IF($A148=YEAR(p_fecha_datos)&amp;"-"&amp;TEXT(MONTH(p_fecha_datos),"00"),p_fecha_datos-1,DATE(VALUE(LEFT($A148,4)),VALUE(RIGHT($A148,2))+1,0)))</f>
        <v/>
      </c>
      <c r="C148" s="24">
        <f>COUNTIFS('ORDENES'!$R$4:$R$1203,$A148,'ORDENES'!$J$4:$J$1203,"&lt;="&amp;$B148,'ORDENES'!$T$4:$T$1203,"sí")</f>
        <v/>
      </c>
      <c r="D148" s="24">
        <f>COUNTIFS('ORDENES'!$R$4:$R$1203,$A148,'ORDENES'!$J$4:$J$1203,"&lt;="&amp;$B148,'ORDENES'!$T$4:$T$1203,"sí",'ORDENES'!$N$4:$N$1203,"Cerrada")</f>
        <v/>
      </c>
      <c r="E148" s="27">
        <f>IF($C148=0,"",$D148/$C148)</f>
        <v/>
      </c>
      <c r="F148" s="28">
        <f>p_meta_adherencia</f>
        <v/>
      </c>
      <c r="G148" s="24">
        <f>COUNTIFS('ORDENES'!$R$4:$R$1203,$A148,'ORDENES'!$J$4:$J$1203,"&lt;="&amp;$B148,'ORDENES'!$W$4:$W$1203,"calibracion")</f>
        <v/>
      </c>
      <c r="H148" s="24">
        <f>COUNTIFS('ORDENES'!$R$4:$R$1203,$A148,'ORDENES'!$J$4:$J$1203,"&lt;="&amp;$B148,'ORDENES'!$W$4:$W$1203,"calibracion",'ORDENES'!$N$4:$N$1203,"Cerrada")</f>
        <v/>
      </c>
      <c r="I148" s="27">
        <f>IF($G148=0,"",$H148/$G148)</f>
        <v/>
      </c>
      <c r="J148" s="24">
        <f>COUNTIFS('ORDENES'!$R$4:$R$1203,$A148,'ORDENES'!$J$4:$J$1203,"&lt;="&amp;$B148,'ORDENES'!$W$4:$W$1203,"calibracion",'ORDENES'!$N$4:$N$1203,"Pendiente")</f>
        <v/>
      </c>
      <c r="K148" s="24">
        <f>COUNTIFS('ORDENES'!$R$4:$R$1203,$A148,'ORDENES'!$J$4:$J$1203,"&lt;="&amp;$B148,'ORDENES'!$W$4:$W$1203,"lubricacion")</f>
        <v/>
      </c>
      <c r="L148" s="24">
        <f>COUNTIFS('ORDENES'!$R$4:$R$1203,$A148,'ORDENES'!$J$4:$J$1203,"&lt;="&amp;$B148,'ORDENES'!$W$4:$W$1203,"lubricacion",'ORDENES'!$N$4:$N$1203,"Cerrada")</f>
        <v/>
      </c>
      <c r="M148" s="27">
        <f>IF($K148=0,"",$L148/$K148)</f>
        <v/>
      </c>
      <c r="N148" s="24">
        <f>COUNTIFS('ORDENES'!$R$4:$R$1203,$A148,'ORDENES'!$J$4:$J$1203,"&lt;="&amp;$B148,'ORDENES'!$W$4:$W$1203,"lubricacion",'ORDENES'!$N$4:$N$1203,"Pendiente")</f>
        <v/>
      </c>
      <c r="O148" s="24">
        <f>COUNTIFS('ORDENES'!$R$4:$R$1203,$A148,'ORDENES'!$J$4:$J$1203,"&lt;="&amp;$B148,'ORDENES'!$V$4:$V$1203,"predictivo")</f>
        <v/>
      </c>
      <c r="P148" s="24">
        <f>COUNTIFS('ORDENES'!$R$4:$R$1203,$A148,'ORDENES'!$J$4:$J$1203,"&lt;="&amp;$B148,'ORDENES'!$V$4:$V$1203,"preventivo")</f>
        <v/>
      </c>
      <c r="Q148" s="24">
        <f>COUNTIFS('ORDENES'!$R$4:$R$1203,$A148,'ORDENES'!$J$4:$J$1203,"&lt;="&amp;$B148,'ORDENES'!$V$4:$V$1203,"correctivo_programado")</f>
        <v/>
      </c>
      <c r="R148" s="24">
        <f>COUNTIFS('ORDENES'!$R$4:$R$1203,$A148,'ORDENES'!$J$4:$J$1203,"&lt;="&amp;$B148,'ORDENES'!$V$4:$V$1203,"emergencia")</f>
        <v/>
      </c>
      <c r="S148" s="24">
        <f>COUNTIFS('ORDENES'!$R$4:$R$1203,$A148,'ORDENES'!$J$4:$J$1203,"&lt;="&amp;$B148,'ORDENES'!$V$4:$V$1203,"SIN CLASIFICAR")</f>
        <v/>
      </c>
      <c r="T148" s="24">
        <f>COUNTIFS('ORDENES'!$R$4:$R$1203,$A148,'ORDENES'!$J$4:$J$1203,"&lt;="&amp;$B148)</f>
        <v/>
      </c>
      <c r="U148" s="24">
        <f>SUM(O148:S148)-T148</f>
        <v/>
      </c>
      <c r="V148" s="25">
        <f>SUMIFS('ORDENES'!$M$4:$M$1203,'ORDENES'!$R$4:$R$1203,$A148,'ORDENES'!$J$4:$J$1203,"&lt;="&amp;$B148,'ORDENES'!$V$4:$V$1203,"predictivo")</f>
        <v/>
      </c>
      <c r="W148" s="25">
        <f>SUMIFS('ORDENES'!$M$4:$M$1203,'ORDENES'!$R$4:$R$1203,$A148,'ORDENES'!$J$4:$J$1203,"&lt;="&amp;$B148,'ORDENES'!$V$4:$V$1203,"preventivo")</f>
        <v/>
      </c>
      <c r="X148" s="25">
        <f>SUMIFS('ORDENES'!$M$4:$M$1203,'ORDENES'!$R$4:$R$1203,$A148,'ORDENES'!$J$4:$J$1203,"&lt;="&amp;$B148,'ORDENES'!$V$4:$V$1203,"correctivo_programado")</f>
        <v/>
      </c>
      <c r="Y148" s="25">
        <f>SUMIFS('ORDENES'!$M$4:$M$1203,'ORDENES'!$R$4:$R$1203,$A148,'ORDENES'!$J$4:$J$1203,"&lt;="&amp;$B148,'ORDENES'!$V$4:$V$1203,"emergencia")</f>
        <v/>
      </c>
      <c r="Z148" s="25">
        <f>SUMIFS('ORDENES'!$M$4:$M$1203,'ORDENES'!$R$4:$R$1203,$A148,'ORDENES'!$J$4:$J$1203,"&lt;="&amp;$B148,'ORDENES'!$V$4:$V$1203,"SIN CLASIFICAR")</f>
        <v/>
      </c>
      <c r="AA148" s="25">
        <f>SUMIFS('ORDENES'!$M$4:$M$1203,'ORDENES'!$R$4:$R$1203,$A148,'ORDENES'!$J$4:$J$1203,"&lt;="&amp;$B148)</f>
        <v/>
      </c>
      <c r="AB148" s="25">
        <f>ROUND(SUM(V148:Z148)-AA148,6)</f>
        <v/>
      </c>
    </row>
    <row r="149">
      <c r="A149" s="24" t="inlineStr">
        <is>
          <t>2027-01</t>
        </is>
      </c>
      <c r="B149" s="30">
        <f>IF($A149="","",IF($A149=YEAR(p_fecha_datos)&amp;"-"&amp;TEXT(MONTH(p_fecha_datos),"00"),p_fecha_datos-1,DATE(VALUE(LEFT($A149,4)),VALUE(RIGHT($A149,2))+1,0)))</f>
        <v/>
      </c>
      <c r="C149" s="24">
        <f>COUNTIFS('ORDENES'!$R$4:$R$1203,$A149,'ORDENES'!$J$4:$J$1203,"&lt;="&amp;$B149,'ORDENES'!$T$4:$T$1203,"sí")</f>
        <v/>
      </c>
      <c r="D149" s="24">
        <f>COUNTIFS('ORDENES'!$R$4:$R$1203,$A149,'ORDENES'!$J$4:$J$1203,"&lt;="&amp;$B149,'ORDENES'!$T$4:$T$1203,"sí",'ORDENES'!$N$4:$N$1203,"Cerrada")</f>
        <v/>
      </c>
      <c r="E149" s="27">
        <f>IF($C149=0,"",$D149/$C149)</f>
        <v/>
      </c>
      <c r="F149" s="28">
        <f>p_meta_adherencia</f>
        <v/>
      </c>
      <c r="G149" s="24">
        <f>COUNTIFS('ORDENES'!$R$4:$R$1203,$A149,'ORDENES'!$J$4:$J$1203,"&lt;="&amp;$B149,'ORDENES'!$W$4:$W$1203,"calibracion")</f>
        <v/>
      </c>
      <c r="H149" s="24">
        <f>COUNTIFS('ORDENES'!$R$4:$R$1203,$A149,'ORDENES'!$J$4:$J$1203,"&lt;="&amp;$B149,'ORDENES'!$W$4:$W$1203,"calibracion",'ORDENES'!$N$4:$N$1203,"Cerrada")</f>
        <v/>
      </c>
      <c r="I149" s="27">
        <f>IF($G149=0,"",$H149/$G149)</f>
        <v/>
      </c>
      <c r="J149" s="24">
        <f>COUNTIFS('ORDENES'!$R$4:$R$1203,$A149,'ORDENES'!$J$4:$J$1203,"&lt;="&amp;$B149,'ORDENES'!$W$4:$W$1203,"calibracion",'ORDENES'!$N$4:$N$1203,"Pendiente")</f>
        <v/>
      </c>
      <c r="K149" s="24">
        <f>COUNTIFS('ORDENES'!$R$4:$R$1203,$A149,'ORDENES'!$J$4:$J$1203,"&lt;="&amp;$B149,'ORDENES'!$W$4:$W$1203,"lubricacion")</f>
        <v/>
      </c>
      <c r="L149" s="24">
        <f>COUNTIFS('ORDENES'!$R$4:$R$1203,$A149,'ORDENES'!$J$4:$J$1203,"&lt;="&amp;$B149,'ORDENES'!$W$4:$W$1203,"lubricacion",'ORDENES'!$N$4:$N$1203,"Cerrada")</f>
        <v/>
      </c>
      <c r="M149" s="27">
        <f>IF($K149=0,"",$L149/$K149)</f>
        <v/>
      </c>
      <c r="N149" s="24">
        <f>COUNTIFS('ORDENES'!$R$4:$R$1203,$A149,'ORDENES'!$J$4:$J$1203,"&lt;="&amp;$B149,'ORDENES'!$W$4:$W$1203,"lubricacion",'ORDENES'!$N$4:$N$1203,"Pendiente")</f>
        <v/>
      </c>
      <c r="O149" s="24">
        <f>COUNTIFS('ORDENES'!$R$4:$R$1203,$A149,'ORDENES'!$J$4:$J$1203,"&lt;="&amp;$B149,'ORDENES'!$V$4:$V$1203,"predictivo")</f>
        <v/>
      </c>
      <c r="P149" s="24">
        <f>COUNTIFS('ORDENES'!$R$4:$R$1203,$A149,'ORDENES'!$J$4:$J$1203,"&lt;="&amp;$B149,'ORDENES'!$V$4:$V$1203,"preventivo")</f>
        <v/>
      </c>
      <c r="Q149" s="24">
        <f>COUNTIFS('ORDENES'!$R$4:$R$1203,$A149,'ORDENES'!$J$4:$J$1203,"&lt;="&amp;$B149,'ORDENES'!$V$4:$V$1203,"correctivo_programado")</f>
        <v/>
      </c>
      <c r="R149" s="24">
        <f>COUNTIFS('ORDENES'!$R$4:$R$1203,$A149,'ORDENES'!$J$4:$J$1203,"&lt;="&amp;$B149,'ORDENES'!$V$4:$V$1203,"emergencia")</f>
        <v/>
      </c>
      <c r="S149" s="24">
        <f>COUNTIFS('ORDENES'!$R$4:$R$1203,$A149,'ORDENES'!$J$4:$J$1203,"&lt;="&amp;$B149,'ORDENES'!$V$4:$V$1203,"SIN CLASIFICAR")</f>
        <v/>
      </c>
      <c r="T149" s="24">
        <f>COUNTIFS('ORDENES'!$R$4:$R$1203,$A149,'ORDENES'!$J$4:$J$1203,"&lt;="&amp;$B149)</f>
        <v/>
      </c>
      <c r="U149" s="24">
        <f>SUM(O149:S149)-T149</f>
        <v/>
      </c>
      <c r="V149" s="25">
        <f>SUMIFS('ORDENES'!$M$4:$M$1203,'ORDENES'!$R$4:$R$1203,$A149,'ORDENES'!$J$4:$J$1203,"&lt;="&amp;$B149,'ORDENES'!$V$4:$V$1203,"predictivo")</f>
        <v/>
      </c>
      <c r="W149" s="25">
        <f>SUMIFS('ORDENES'!$M$4:$M$1203,'ORDENES'!$R$4:$R$1203,$A149,'ORDENES'!$J$4:$J$1203,"&lt;="&amp;$B149,'ORDENES'!$V$4:$V$1203,"preventivo")</f>
        <v/>
      </c>
      <c r="X149" s="25">
        <f>SUMIFS('ORDENES'!$M$4:$M$1203,'ORDENES'!$R$4:$R$1203,$A149,'ORDENES'!$J$4:$J$1203,"&lt;="&amp;$B149,'ORDENES'!$V$4:$V$1203,"correctivo_programado")</f>
        <v/>
      </c>
      <c r="Y149" s="25">
        <f>SUMIFS('ORDENES'!$M$4:$M$1203,'ORDENES'!$R$4:$R$1203,$A149,'ORDENES'!$J$4:$J$1203,"&lt;="&amp;$B149,'ORDENES'!$V$4:$V$1203,"emergencia")</f>
        <v/>
      </c>
      <c r="Z149" s="25">
        <f>SUMIFS('ORDENES'!$M$4:$M$1203,'ORDENES'!$R$4:$R$1203,$A149,'ORDENES'!$J$4:$J$1203,"&lt;="&amp;$B149,'ORDENES'!$V$4:$V$1203,"SIN CLASIFICAR")</f>
        <v/>
      </c>
      <c r="AA149" s="25">
        <f>SUMIFS('ORDENES'!$M$4:$M$1203,'ORDENES'!$R$4:$R$1203,$A149,'ORDENES'!$J$4:$J$1203,"&lt;="&amp;$B149)</f>
        <v/>
      </c>
      <c r="AB149" s="25">
        <f>ROUND(SUM(V149:Z149)-AA149,6)</f>
        <v/>
      </c>
    </row>
    <row r="150">
      <c r="A150" s="24" t="inlineStr">
        <is>
          <t>2027-02</t>
        </is>
      </c>
      <c r="B150" s="30">
        <f>IF($A150="","",IF($A150=YEAR(p_fecha_datos)&amp;"-"&amp;TEXT(MONTH(p_fecha_datos),"00"),p_fecha_datos-1,DATE(VALUE(LEFT($A150,4)),VALUE(RIGHT($A150,2))+1,0)))</f>
        <v/>
      </c>
      <c r="C150" s="24">
        <f>COUNTIFS('ORDENES'!$R$4:$R$1203,$A150,'ORDENES'!$J$4:$J$1203,"&lt;="&amp;$B150,'ORDENES'!$T$4:$T$1203,"sí")</f>
        <v/>
      </c>
      <c r="D150" s="24">
        <f>COUNTIFS('ORDENES'!$R$4:$R$1203,$A150,'ORDENES'!$J$4:$J$1203,"&lt;="&amp;$B150,'ORDENES'!$T$4:$T$1203,"sí",'ORDENES'!$N$4:$N$1203,"Cerrada")</f>
        <v/>
      </c>
      <c r="E150" s="27">
        <f>IF($C150=0,"",$D150/$C150)</f>
        <v/>
      </c>
      <c r="F150" s="28">
        <f>p_meta_adherencia</f>
        <v/>
      </c>
      <c r="G150" s="24">
        <f>COUNTIFS('ORDENES'!$R$4:$R$1203,$A150,'ORDENES'!$J$4:$J$1203,"&lt;="&amp;$B150,'ORDENES'!$W$4:$W$1203,"calibracion")</f>
        <v/>
      </c>
      <c r="H150" s="24">
        <f>COUNTIFS('ORDENES'!$R$4:$R$1203,$A150,'ORDENES'!$J$4:$J$1203,"&lt;="&amp;$B150,'ORDENES'!$W$4:$W$1203,"calibracion",'ORDENES'!$N$4:$N$1203,"Cerrada")</f>
        <v/>
      </c>
      <c r="I150" s="27">
        <f>IF($G150=0,"",$H150/$G150)</f>
        <v/>
      </c>
      <c r="J150" s="24">
        <f>COUNTIFS('ORDENES'!$R$4:$R$1203,$A150,'ORDENES'!$J$4:$J$1203,"&lt;="&amp;$B150,'ORDENES'!$W$4:$W$1203,"calibracion",'ORDENES'!$N$4:$N$1203,"Pendiente")</f>
        <v/>
      </c>
      <c r="K150" s="24">
        <f>COUNTIFS('ORDENES'!$R$4:$R$1203,$A150,'ORDENES'!$J$4:$J$1203,"&lt;="&amp;$B150,'ORDENES'!$W$4:$W$1203,"lubricacion")</f>
        <v/>
      </c>
      <c r="L150" s="24">
        <f>COUNTIFS('ORDENES'!$R$4:$R$1203,$A150,'ORDENES'!$J$4:$J$1203,"&lt;="&amp;$B150,'ORDENES'!$W$4:$W$1203,"lubricacion",'ORDENES'!$N$4:$N$1203,"Cerrada")</f>
        <v/>
      </c>
      <c r="M150" s="27">
        <f>IF($K150=0,"",$L150/$K150)</f>
        <v/>
      </c>
      <c r="N150" s="24">
        <f>COUNTIFS('ORDENES'!$R$4:$R$1203,$A150,'ORDENES'!$J$4:$J$1203,"&lt;="&amp;$B150,'ORDENES'!$W$4:$W$1203,"lubricacion",'ORDENES'!$N$4:$N$1203,"Pendiente")</f>
        <v/>
      </c>
      <c r="O150" s="24">
        <f>COUNTIFS('ORDENES'!$R$4:$R$1203,$A150,'ORDENES'!$J$4:$J$1203,"&lt;="&amp;$B150,'ORDENES'!$V$4:$V$1203,"predictivo")</f>
        <v/>
      </c>
      <c r="P150" s="24">
        <f>COUNTIFS('ORDENES'!$R$4:$R$1203,$A150,'ORDENES'!$J$4:$J$1203,"&lt;="&amp;$B150,'ORDENES'!$V$4:$V$1203,"preventivo")</f>
        <v/>
      </c>
      <c r="Q150" s="24">
        <f>COUNTIFS('ORDENES'!$R$4:$R$1203,$A150,'ORDENES'!$J$4:$J$1203,"&lt;="&amp;$B150,'ORDENES'!$V$4:$V$1203,"correctivo_programado")</f>
        <v/>
      </c>
      <c r="R150" s="24">
        <f>COUNTIFS('ORDENES'!$R$4:$R$1203,$A150,'ORDENES'!$J$4:$J$1203,"&lt;="&amp;$B150,'ORDENES'!$V$4:$V$1203,"emergencia")</f>
        <v/>
      </c>
      <c r="S150" s="24">
        <f>COUNTIFS('ORDENES'!$R$4:$R$1203,$A150,'ORDENES'!$J$4:$J$1203,"&lt;="&amp;$B150,'ORDENES'!$V$4:$V$1203,"SIN CLASIFICAR")</f>
        <v/>
      </c>
      <c r="T150" s="24">
        <f>COUNTIFS('ORDENES'!$R$4:$R$1203,$A150,'ORDENES'!$J$4:$J$1203,"&lt;="&amp;$B150)</f>
        <v/>
      </c>
      <c r="U150" s="24">
        <f>SUM(O150:S150)-T150</f>
        <v/>
      </c>
      <c r="V150" s="25">
        <f>SUMIFS('ORDENES'!$M$4:$M$1203,'ORDENES'!$R$4:$R$1203,$A150,'ORDENES'!$J$4:$J$1203,"&lt;="&amp;$B150,'ORDENES'!$V$4:$V$1203,"predictivo")</f>
        <v/>
      </c>
      <c r="W150" s="25">
        <f>SUMIFS('ORDENES'!$M$4:$M$1203,'ORDENES'!$R$4:$R$1203,$A150,'ORDENES'!$J$4:$J$1203,"&lt;="&amp;$B150,'ORDENES'!$V$4:$V$1203,"preventivo")</f>
        <v/>
      </c>
      <c r="X150" s="25">
        <f>SUMIFS('ORDENES'!$M$4:$M$1203,'ORDENES'!$R$4:$R$1203,$A150,'ORDENES'!$J$4:$J$1203,"&lt;="&amp;$B150,'ORDENES'!$V$4:$V$1203,"correctivo_programado")</f>
        <v/>
      </c>
      <c r="Y150" s="25">
        <f>SUMIFS('ORDENES'!$M$4:$M$1203,'ORDENES'!$R$4:$R$1203,$A150,'ORDENES'!$J$4:$J$1203,"&lt;="&amp;$B150,'ORDENES'!$V$4:$V$1203,"emergencia")</f>
        <v/>
      </c>
      <c r="Z150" s="25">
        <f>SUMIFS('ORDENES'!$M$4:$M$1203,'ORDENES'!$R$4:$R$1203,$A150,'ORDENES'!$J$4:$J$1203,"&lt;="&amp;$B150,'ORDENES'!$V$4:$V$1203,"SIN CLASIFICAR")</f>
        <v/>
      </c>
      <c r="AA150" s="25">
        <f>SUMIFS('ORDENES'!$M$4:$M$1203,'ORDENES'!$R$4:$R$1203,$A150,'ORDENES'!$J$4:$J$1203,"&lt;="&amp;$B150)</f>
        <v/>
      </c>
      <c r="AB150" s="25">
        <f>ROUND(SUM(V150:Z150)-AA150,6)</f>
        <v/>
      </c>
    </row>
    <row r="151">
      <c r="A151" s="24" t="inlineStr">
        <is>
          <t>2027-03</t>
        </is>
      </c>
      <c r="B151" s="30">
        <f>IF($A151="","",IF($A151=YEAR(p_fecha_datos)&amp;"-"&amp;TEXT(MONTH(p_fecha_datos),"00"),p_fecha_datos-1,DATE(VALUE(LEFT($A151,4)),VALUE(RIGHT($A151,2))+1,0)))</f>
        <v/>
      </c>
      <c r="C151" s="24">
        <f>COUNTIFS('ORDENES'!$R$4:$R$1203,$A151,'ORDENES'!$J$4:$J$1203,"&lt;="&amp;$B151,'ORDENES'!$T$4:$T$1203,"sí")</f>
        <v/>
      </c>
      <c r="D151" s="24">
        <f>COUNTIFS('ORDENES'!$R$4:$R$1203,$A151,'ORDENES'!$J$4:$J$1203,"&lt;="&amp;$B151,'ORDENES'!$T$4:$T$1203,"sí",'ORDENES'!$N$4:$N$1203,"Cerrada")</f>
        <v/>
      </c>
      <c r="E151" s="27">
        <f>IF($C151=0,"",$D151/$C151)</f>
        <v/>
      </c>
      <c r="F151" s="28">
        <f>p_meta_adherencia</f>
        <v/>
      </c>
      <c r="G151" s="24">
        <f>COUNTIFS('ORDENES'!$R$4:$R$1203,$A151,'ORDENES'!$J$4:$J$1203,"&lt;="&amp;$B151,'ORDENES'!$W$4:$W$1203,"calibracion")</f>
        <v/>
      </c>
      <c r="H151" s="24">
        <f>COUNTIFS('ORDENES'!$R$4:$R$1203,$A151,'ORDENES'!$J$4:$J$1203,"&lt;="&amp;$B151,'ORDENES'!$W$4:$W$1203,"calibracion",'ORDENES'!$N$4:$N$1203,"Cerrada")</f>
        <v/>
      </c>
      <c r="I151" s="27">
        <f>IF($G151=0,"",$H151/$G151)</f>
        <v/>
      </c>
      <c r="J151" s="24">
        <f>COUNTIFS('ORDENES'!$R$4:$R$1203,$A151,'ORDENES'!$J$4:$J$1203,"&lt;="&amp;$B151,'ORDENES'!$W$4:$W$1203,"calibracion",'ORDENES'!$N$4:$N$1203,"Pendiente")</f>
        <v/>
      </c>
      <c r="K151" s="24">
        <f>COUNTIFS('ORDENES'!$R$4:$R$1203,$A151,'ORDENES'!$J$4:$J$1203,"&lt;="&amp;$B151,'ORDENES'!$W$4:$W$1203,"lubricacion")</f>
        <v/>
      </c>
      <c r="L151" s="24">
        <f>COUNTIFS('ORDENES'!$R$4:$R$1203,$A151,'ORDENES'!$J$4:$J$1203,"&lt;="&amp;$B151,'ORDENES'!$W$4:$W$1203,"lubricacion",'ORDENES'!$N$4:$N$1203,"Cerrada")</f>
        <v/>
      </c>
      <c r="M151" s="27">
        <f>IF($K151=0,"",$L151/$K151)</f>
        <v/>
      </c>
      <c r="N151" s="24">
        <f>COUNTIFS('ORDENES'!$R$4:$R$1203,$A151,'ORDENES'!$J$4:$J$1203,"&lt;="&amp;$B151,'ORDENES'!$W$4:$W$1203,"lubricacion",'ORDENES'!$N$4:$N$1203,"Pendiente")</f>
        <v/>
      </c>
      <c r="O151" s="24">
        <f>COUNTIFS('ORDENES'!$R$4:$R$1203,$A151,'ORDENES'!$J$4:$J$1203,"&lt;="&amp;$B151,'ORDENES'!$V$4:$V$1203,"predictivo")</f>
        <v/>
      </c>
      <c r="P151" s="24">
        <f>COUNTIFS('ORDENES'!$R$4:$R$1203,$A151,'ORDENES'!$J$4:$J$1203,"&lt;="&amp;$B151,'ORDENES'!$V$4:$V$1203,"preventivo")</f>
        <v/>
      </c>
      <c r="Q151" s="24">
        <f>COUNTIFS('ORDENES'!$R$4:$R$1203,$A151,'ORDENES'!$J$4:$J$1203,"&lt;="&amp;$B151,'ORDENES'!$V$4:$V$1203,"correctivo_programado")</f>
        <v/>
      </c>
      <c r="R151" s="24">
        <f>COUNTIFS('ORDENES'!$R$4:$R$1203,$A151,'ORDENES'!$J$4:$J$1203,"&lt;="&amp;$B151,'ORDENES'!$V$4:$V$1203,"emergencia")</f>
        <v/>
      </c>
      <c r="S151" s="24">
        <f>COUNTIFS('ORDENES'!$R$4:$R$1203,$A151,'ORDENES'!$J$4:$J$1203,"&lt;="&amp;$B151,'ORDENES'!$V$4:$V$1203,"SIN CLASIFICAR")</f>
        <v/>
      </c>
      <c r="T151" s="24">
        <f>COUNTIFS('ORDENES'!$R$4:$R$1203,$A151,'ORDENES'!$J$4:$J$1203,"&lt;="&amp;$B151)</f>
        <v/>
      </c>
      <c r="U151" s="24">
        <f>SUM(O151:S151)-T151</f>
        <v/>
      </c>
      <c r="V151" s="25">
        <f>SUMIFS('ORDENES'!$M$4:$M$1203,'ORDENES'!$R$4:$R$1203,$A151,'ORDENES'!$J$4:$J$1203,"&lt;="&amp;$B151,'ORDENES'!$V$4:$V$1203,"predictivo")</f>
        <v/>
      </c>
      <c r="W151" s="25">
        <f>SUMIFS('ORDENES'!$M$4:$M$1203,'ORDENES'!$R$4:$R$1203,$A151,'ORDENES'!$J$4:$J$1203,"&lt;="&amp;$B151,'ORDENES'!$V$4:$V$1203,"preventivo")</f>
        <v/>
      </c>
      <c r="X151" s="25">
        <f>SUMIFS('ORDENES'!$M$4:$M$1203,'ORDENES'!$R$4:$R$1203,$A151,'ORDENES'!$J$4:$J$1203,"&lt;="&amp;$B151,'ORDENES'!$V$4:$V$1203,"correctivo_programado")</f>
        <v/>
      </c>
      <c r="Y151" s="25">
        <f>SUMIFS('ORDENES'!$M$4:$M$1203,'ORDENES'!$R$4:$R$1203,$A151,'ORDENES'!$J$4:$J$1203,"&lt;="&amp;$B151,'ORDENES'!$V$4:$V$1203,"emergencia")</f>
        <v/>
      </c>
      <c r="Z151" s="25">
        <f>SUMIFS('ORDENES'!$M$4:$M$1203,'ORDENES'!$R$4:$R$1203,$A151,'ORDENES'!$J$4:$J$1203,"&lt;="&amp;$B151,'ORDENES'!$V$4:$V$1203,"SIN CLASIFICAR")</f>
        <v/>
      </c>
      <c r="AA151" s="25">
        <f>SUMIFS('ORDENES'!$M$4:$M$1203,'ORDENES'!$R$4:$R$1203,$A151,'ORDENES'!$J$4:$J$1203,"&lt;="&amp;$B151)</f>
        <v/>
      </c>
      <c r="AB151" s="25">
        <f>ROUND(SUM(V151:Z151)-AA151,6)</f>
        <v/>
      </c>
    </row>
    <row r="152"/>
    <row r="153">
      <c r="A153" s="3" t="inlineStr">
        <is>
          <t>SEMANA × RUBRO — programadas vs cerradas (fuente del DASHBOARD; no editar).</t>
        </is>
      </c>
    </row>
    <row r="154">
      <c r="A154" s="23" t="inlineStr">
        <is>
          <t>semana</t>
        </is>
      </c>
      <c r="B154" s="23" t="inlineStr">
        <is>
          <t>calibracion_programadas</t>
        </is>
      </c>
      <c r="C154" s="23" t="inlineStr">
        <is>
          <t>calibracion_cerradas</t>
        </is>
      </c>
      <c r="D154" s="23" t="inlineStr">
        <is>
          <t>lubricacion_programadas</t>
        </is>
      </c>
      <c r="E154" s="23" t="inlineStr">
        <is>
          <t>lubricacion_cerradas</t>
        </is>
      </c>
    </row>
    <row r="155">
      <c r="A155" s="24">
        <f>'PERFIL_HH'!$O$4</f>
        <v/>
      </c>
      <c r="B155" s="24">
        <f>IF($A155="","",COUNTIFS('ORDENES'!$O$4:$O$1203,$A155,'ORDENES'!$W$4:$W$1203,"calibracion"))</f>
        <v/>
      </c>
      <c r="C155" s="24">
        <f>IF($A155="","",COUNTIFS('ORDENES'!$O$4:$O$1203,$A155,'ORDENES'!$W$4:$W$1203,"calibracion",'ORDENES'!$N$4:$N$1203,"Cerrada"))</f>
        <v/>
      </c>
      <c r="D155" s="24">
        <f>IF($A155="","",COUNTIFS('ORDENES'!$O$4:$O$1203,$A155,'ORDENES'!$W$4:$W$1203,"lubricacion"))</f>
        <v/>
      </c>
      <c r="E155" s="24">
        <f>IF($A155="","",COUNTIFS('ORDENES'!$O$4:$O$1203,$A155,'ORDENES'!$W$4:$W$1203,"lubricacion",'ORDENES'!$N$4:$N$1203,"Cerrada"))</f>
        <v/>
      </c>
    </row>
    <row r="156">
      <c r="A156" s="24">
        <f>'PERFIL_HH'!$O$5</f>
        <v/>
      </c>
      <c r="B156" s="24">
        <f>IF($A156="","",COUNTIFS('ORDENES'!$O$4:$O$1203,$A156,'ORDENES'!$W$4:$W$1203,"calibracion"))</f>
        <v/>
      </c>
      <c r="C156" s="24">
        <f>IF($A156="","",COUNTIFS('ORDENES'!$O$4:$O$1203,$A156,'ORDENES'!$W$4:$W$1203,"calibracion",'ORDENES'!$N$4:$N$1203,"Cerrada"))</f>
        <v/>
      </c>
      <c r="D156" s="24">
        <f>IF($A156="","",COUNTIFS('ORDENES'!$O$4:$O$1203,$A156,'ORDENES'!$W$4:$W$1203,"lubricacion"))</f>
        <v/>
      </c>
      <c r="E156" s="24">
        <f>IF($A156="","",COUNTIFS('ORDENES'!$O$4:$O$1203,$A156,'ORDENES'!$W$4:$W$1203,"lubricacion",'ORDENES'!$N$4:$N$1203,"Cerrada"))</f>
        <v/>
      </c>
    </row>
    <row r="157" hidden="1">
      <c r="A157" s="24">
        <f>'PERFIL_HH'!$O$6</f>
        <v/>
      </c>
      <c r="B157" s="24">
        <f>IF($A157="","",COUNTIFS('ORDENES'!$O$4:$O$1203,$A157,'ORDENES'!$W$4:$W$1203,"calibracion"))</f>
        <v/>
      </c>
      <c r="C157" s="24">
        <f>IF($A157="","",COUNTIFS('ORDENES'!$O$4:$O$1203,$A157,'ORDENES'!$W$4:$W$1203,"calibracion",'ORDENES'!$N$4:$N$1203,"Cerrada"))</f>
        <v/>
      </c>
      <c r="D157" s="24">
        <f>IF($A157="","",COUNTIFS('ORDENES'!$O$4:$O$1203,$A157,'ORDENES'!$W$4:$W$1203,"lubricacion"))</f>
        <v/>
      </c>
      <c r="E157" s="24">
        <f>IF($A157="","",COUNTIFS('ORDENES'!$O$4:$O$1203,$A157,'ORDENES'!$W$4:$W$1203,"lubricacion",'ORDENES'!$N$4:$N$1203,"Cerrada"))</f>
        <v/>
      </c>
    </row>
    <row r="158" hidden="1">
      <c r="A158" s="24">
        <f>'PERFIL_HH'!$O$7</f>
        <v/>
      </c>
      <c r="B158" s="24">
        <f>IF($A158="","",COUNTIFS('ORDENES'!$O$4:$O$1203,$A158,'ORDENES'!$W$4:$W$1203,"calibracion"))</f>
        <v/>
      </c>
      <c r="C158" s="24">
        <f>IF($A158="","",COUNTIFS('ORDENES'!$O$4:$O$1203,$A158,'ORDENES'!$W$4:$W$1203,"calibracion",'ORDENES'!$N$4:$N$1203,"Cerrada"))</f>
        <v/>
      </c>
      <c r="D158" s="24">
        <f>IF($A158="","",COUNTIFS('ORDENES'!$O$4:$O$1203,$A158,'ORDENES'!$W$4:$W$1203,"lubricacion"))</f>
        <v/>
      </c>
      <c r="E158" s="24">
        <f>IF($A158="","",COUNTIFS('ORDENES'!$O$4:$O$1203,$A158,'ORDENES'!$W$4:$W$1203,"lubricacion",'ORDENES'!$N$4:$N$1203,"Cerrada"))</f>
        <v/>
      </c>
    </row>
    <row r="159" hidden="1">
      <c r="A159" s="24">
        <f>'PERFIL_HH'!$O$8</f>
        <v/>
      </c>
      <c r="B159" s="24">
        <f>IF($A159="","",COUNTIFS('ORDENES'!$O$4:$O$1203,$A159,'ORDENES'!$W$4:$W$1203,"calibracion"))</f>
        <v/>
      </c>
      <c r="C159" s="24">
        <f>IF($A159="","",COUNTIFS('ORDENES'!$O$4:$O$1203,$A159,'ORDENES'!$W$4:$W$1203,"calibracion",'ORDENES'!$N$4:$N$1203,"Cerrada"))</f>
        <v/>
      </c>
      <c r="D159" s="24">
        <f>IF($A159="","",COUNTIFS('ORDENES'!$O$4:$O$1203,$A159,'ORDENES'!$W$4:$W$1203,"lubricacion"))</f>
        <v/>
      </c>
      <c r="E159" s="24">
        <f>IF($A159="","",COUNTIFS('ORDENES'!$O$4:$O$1203,$A159,'ORDENES'!$W$4:$W$1203,"lubricacion",'ORDENES'!$N$4:$N$1203,"Cerrada"))</f>
        <v/>
      </c>
    </row>
    <row r="160" hidden="1">
      <c r="A160" s="24">
        <f>'PERFIL_HH'!$O$9</f>
        <v/>
      </c>
      <c r="B160" s="24">
        <f>IF($A160="","",COUNTIFS('ORDENES'!$O$4:$O$1203,$A160,'ORDENES'!$W$4:$W$1203,"calibracion"))</f>
        <v/>
      </c>
      <c r="C160" s="24">
        <f>IF($A160="","",COUNTIFS('ORDENES'!$O$4:$O$1203,$A160,'ORDENES'!$W$4:$W$1203,"calibracion",'ORDENES'!$N$4:$N$1203,"Cerrada"))</f>
        <v/>
      </c>
      <c r="D160" s="24">
        <f>IF($A160="","",COUNTIFS('ORDENES'!$O$4:$O$1203,$A160,'ORDENES'!$W$4:$W$1203,"lubricacion"))</f>
        <v/>
      </c>
      <c r="E160" s="24">
        <f>IF($A160="","",COUNTIFS('ORDENES'!$O$4:$O$1203,$A160,'ORDENES'!$W$4:$W$1203,"lubricacion",'ORDENES'!$N$4:$N$1203,"Cerrada"))</f>
        <v/>
      </c>
    </row>
    <row r="161" hidden="1">
      <c r="A161" s="24">
        <f>'PERFIL_HH'!$O$10</f>
        <v/>
      </c>
      <c r="B161" s="24">
        <f>IF($A161="","",COUNTIFS('ORDENES'!$O$4:$O$1203,$A161,'ORDENES'!$W$4:$W$1203,"calibracion"))</f>
        <v/>
      </c>
      <c r="C161" s="24">
        <f>IF($A161="","",COUNTIFS('ORDENES'!$O$4:$O$1203,$A161,'ORDENES'!$W$4:$W$1203,"calibracion",'ORDENES'!$N$4:$N$1203,"Cerrada"))</f>
        <v/>
      </c>
      <c r="D161" s="24">
        <f>IF($A161="","",COUNTIFS('ORDENES'!$O$4:$O$1203,$A161,'ORDENES'!$W$4:$W$1203,"lubricacion"))</f>
        <v/>
      </c>
      <c r="E161" s="24">
        <f>IF($A161="","",COUNTIFS('ORDENES'!$O$4:$O$1203,$A161,'ORDENES'!$W$4:$W$1203,"lubricacion",'ORDENES'!$N$4:$N$1203,"Cerrada"))</f>
        <v/>
      </c>
    </row>
    <row r="162" hidden="1">
      <c r="A162" s="24">
        <f>'PERFIL_HH'!$O$11</f>
        <v/>
      </c>
      <c r="B162" s="24">
        <f>IF($A162="","",COUNTIFS('ORDENES'!$O$4:$O$1203,$A162,'ORDENES'!$W$4:$W$1203,"calibracion"))</f>
        <v/>
      </c>
      <c r="C162" s="24">
        <f>IF($A162="","",COUNTIFS('ORDENES'!$O$4:$O$1203,$A162,'ORDENES'!$W$4:$W$1203,"calibracion",'ORDENES'!$N$4:$N$1203,"Cerrada"))</f>
        <v/>
      </c>
      <c r="D162" s="24">
        <f>IF($A162="","",COUNTIFS('ORDENES'!$O$4:$O$1203,$A162,'ORDENES'!$W$4:$W$1203,"lubricacion"))</f>
        <v/>
      </c>
      <c r="E162" s="24">
        <f>IF($A162="","",COUNTIFS('ORDENES'!$O$4:$O$1203,$A162,'ORDENES'!$W$4:$W$1203,"lubricacion",'ORDENES'!$N$4:$N$1203,"Cerrada"))</f>
        <v/>
      </c>
    </row>
    <row r="163" hidden="1">
      <c r="A163" s="24">
        <f>'PERFIL_HH'!$O$12</f>
        <v/>
      </c>
      <c r="B163" s="24">
        <f>IF($A163="","",COUNTIFS('ORDENES'!$O$4:$O$1203,$A163,'ORDENES'!$W$4:$W$1203,"calibracion"))</f>
        <v/>
      </c>
      <c r="C163" s="24">
        <f>IF($A163="","",COUNTIFS('ORDENES'!$O$4:$O$1203,$A163,'ORDENES'!$W$4:$W$1203,"calibracion",'ORDENES'!$N$4:$N$1203,"Cerrada"))</f>
        <v/>
      </c>
      <c r="D163" s="24">
        <f>IF($A163="","",COUNTIFS('ORDENES'!$O$4:$O$1203,$A163,'ORDENES'!$W$4:$W$1203,"lubricacion"))</f>
        <v/>
      </c>
      <c r="E163" s="24">
        <f>IF($A163="","",COUNTIFS('ORDENES'!$O$4:$O$1203,$A163,'ORDENES'!$W$4:$W$1203,"lubricacion",'ORDENES'!$N$4:$N$1203,"Cerrada"))</f>
        <v/>
      </c>
    </row>
    <row r="164" hidden="1">
      <c r="A164" s="24">
        <f>'PERFIL_HH'!$O$13</f>
        <v/>
      </c>
      <c r="B164" s="24">
        <f>IF($A164="","",COUNTIFS('ORDENES'!$O$4:$O$1203,$A164,'ORDENES'!$W$4:$W$1203,"calibracion"))</f>
        <v/>
      </c>
      <c r="C164" s="24">
        <f>IF($A164="","",COUNTIFS('ORDENES'!$O$4:$O$1203,$A164,'ORDENES'!$W$4:$W$1203,"calibracion",'ORDENES'!$N$4:$N$1203,"Cerrada"))</f>
        <v/>
      </c>
      <c r="D164" s="24">
        <f>IF($A164="","",COUNTIFS('ORDENES'!$O$4:$O$1203,$A164,'ORDENES'!$W$4:$W$1203,"lubricacion"))</f>
        <v/>
      </c>
      <c r="E164" s="24">
        <f>IF($A164="","",COUNTIFS('ORDENES'!$O$4:$O$1203,$A164,'ORDENES'!$W$4:$W$1203,"lubricacion",'ORDENES'!$N$4:$N$1203,"Cerrada"))</f>
        <v/>
      </c>
    </row>
    <row r="165" hidden="1">
      <c r="A165" s="24">
        <f>'PERFIL_HH'!$O$14</f>
        <v/>
      </c>
      <c r="B165" s="24">
        <f>IF($A165="","",COUNTIFS('ORDENES'!$O$4:$O$1203,$A165,'ORDENES'!$W$4:$W$1203,"calibracion"))</f>
        <v/>
      </c>
      <c r="C165" s="24">
        <f>IF($A165="","",COUNTIFS('ORDENES'!$O$4:$O$1203,$A165,'ORDENES'!$W$4:$W$1203,"calibracion",'ORDENES'!$N$4:$N$1203,"Cerrada"))</f>
        <v/>
      </c>
      <c r="D165" s="24">
        <f>IF($A165="","",COUNTIFS('ORDENES'!$O$4:$O$1203,$A165,'ORDENES'!$W$4:$W$1203,"lubricacion"))</f>
        <v/>
      </c>
      <c r="E165" s="24">
        <f>IF($A165="","",COUNTIFS('ORDENES'!$O$4:$O$1203,$A165,'ORDENES'!$W$4:$W$1203,"lubricacion",'ORDENES'!$N$4:$N$1203,"Cerrada"))</f>
        <v/>
      </c>
    </row>
    <row r="166" hidden="1">
      <c r="A166" s="24">
        <f>'PERFIL_HH'!$O$15</f>
        <v/>
      </c>
      <c r="B166" s="24">
        <f>IF($A166="","",COUNTIFS('ORDENES'!$O$4:$O$1203,$A166,'ORDENES'!$W$4:$W$1203,"calibracion"))</f>
        <v/>
      </c>
      <c r="C166" s="24">
        <f>IF($A166="","",COUNTIFS('ORDENES'!$O$4:$O$1203,$A166,'ORDENES'!$W$4:$W$1203,"calibracion",'ORDENES'!$N$4:$N$1203,"Cerrada"))</f>
        <v/>
      </c>
      <c r="D166" s="24">
        <f>IF($A166="","",COUNTIFS('ORDENES'!$O$4:$O$1203,$A166,'ORDENES'!$W$4:$W$1203,"lubricacion"))</f>
        <v/>
      </c>
      <c r="E166" s="24">
        <f>IF($A166="","",COUNTIFS('ORDENES'!$O$4:$O$1203,$A166,'ORDENES'!$W$4:$W$1203,"lubricacion",'ORDENES'!$N$4:$N$1203,"Cerrada"))</f>
        <v/>
      </c>
    </row>
    <row r="167" hidden="1">
      <c r="A167" s="24">
        <f>'PERFIL_HH'!$O$16</f>
        <v/>
      </c>
      <c r="B167" s="24">
        <f>IF($A167="","",COUNTIFS('ORDENES'!$O$4:$O$1203,$A167,'ORDENES'!$W$4:$W$1203,"calibracion"))</f>
        <v/>
      </c>
      <c r="C167" s="24">
        <f>IF($A167="","",COUNTIFS('ORDENES'!$O$4:$O$1203,$A167,'ORDENES'!$W$4:$W$1203,"calibracion",'ORDENES'!$N$4:$N$1203,"Cerrada"))</f>
        <v/>
      </c>
      <c r="D167" s="24">
        <f>IF($A167="","",COUNTIFS('ORDENES'!$O$4:$O$1203,$A167,'ORDENES'!$W$4:$W$1203,"lubricacion"))</f>
        <v/>
      </c>
      <c r="E167" s="24">
        <f>IF($A167="","",COUNTIFS('ORDENES'!$O$4:$O$1203,$A167,'ORDENES'!$W$4:$W$1203,"lubricacion",'ORDENES'!$N$4:$N$1203,"Cerrada"))</f>
        <v/>
      </c>
    </row>
    <row r="168" hidden="1">
      <c r="A168" s="24">
        <f>'PERFIL_HH'!$O$17</f>
        <v/>
      </c>
      <c r="B168" s="24">
        <f>IF($A168="","",COUNTIFS('ORDENES'!$O$4:$O$1203,$A168,'ORDENES'!$W$4:$W$1203,"calibracion"))</f>
        <v/>
      </c>
      <c r="C168" s="24">
        <f>IF($A168="","",COUNTIFS('ORDENES'!$O$4:$O$1203,$A168,'ORDENES'!$W$4:$W$1203,"calibracion",'ORDENES'!$N$4:$N$1203,"Cerrada"))</f>
        <v/>
      </c>
      <c r="D168" s="24">
        <f>IF($A168="","",COUNTIFS('ORDENES'!$O$4:$O$1203,$A168,'ORDENES'!$W$4:$W$1203,"lubricacion"))</f>
        <v/>
      </c>
      <c r="E168" s="24">
        <f>IF($A168="","",COUNTIFS('ORDENES'!$O$4:$O$1203,$A168,'ORDENES'!$W$4:$W$1203,"lubricacion",'ORDENES'!$N$4:$N$1203,"Cerrada"))</f>
        <v/>
      </c>
    </row>
    <row r="169" hidden="1">
      <c r="A169" s="24">
        <f>'PERFIL_HH'!$O$18</f>
        <v/>
      </c>
      <c r="B169" s="24">
        <f>IF($A169="","",COUNTIFS('ORDENES'!$O$4:$O$1203,$A169,'ORDENES'!$W$4:$W$1203,"calibracion"))</f>
        <v/>
      </c>
      <c r="C169" s="24">
        <f>IF($A169="","",COUNTIFS('ORDENES'!$O$4:$O$1203,$A169,'ORDENES'!$W$4:$W$1203,"calibracion",'ORDENES'!$N$4:$N$1203,"Cerrada"))</f>
        <v/>
      </c>
      <c r="D169" s="24">
        <f>IF($A169="","",COUNTIFS('ORDENES'!$O$4:$O$1203,$A169,'ORDENES'!$W$4:$W$1203,"lubricacion"))</f>
        <v/>
      </c>
      <c r="E169" s="24">
        <f>IF($A169="","",COUNTIFS('ORDENES'!$O$4:$O$1203,$A169,'ORDENES'!$W$4:$W$1203,"lubricacion",'ORDENES'!$N$4:$N$1203,"Cerrada"))</f>
        <v/>
      </c>
    </row>
    <row r="170" hidden="1">
      <c r="A170" s="24">
        <f>'PERFIL_HH'!$O$19</f>
        <v/>
      </c>
      <c r="B170" s="24">
        <f>IF($A170="","",COUNTIFS('ORDENES'!$O$4:$O$1203,$A170,'ORDENES'!$W$4:$W$1203,"calibracion"))</f>
        <v/>
      </c>
      <c r="C170" s="24">
        <f>IF($A170="","",COUNTIFS('ORDENES'!$O$4:$O$1203,$A170,'ORDENES'!$W$4:$W$1203,"calibracion",'ORDENES'!$N$4:$N$1203,"Cerrada"))</f>
        <v/>
      </c>
      <c r="D170" s="24">
        <f>IF($A170="","",COUNTIFS('ORDENES'!$O$4:$O$1203,$A170,'ORDENES'!$W$4:$W$1203,"lubricacion"))</f>
        <v/>
      </c>
      <c r="E170" s="24">
        <f>IF($A170="","",COUNTIFS('ORDENES'!$O$4:$O$1203,$A170,'ORDENES'!$W$4:$W$1203,"lubricacion",'ORDENES'!$N$4:$N$1203,"Cerrada"))</f>
        <v/>
      </c>
    </row>
    <row r="171" hidden="1">
      <c r="A171" s="24">
        <f>'PERFIL_HH'!$O$20</f>
        <v/>
      </c>
      <c r="B171" s="24">
        <f>IF($A171="","",COUNTIFS('ORDENES'!$O$4:$O$1203,$A171,'ORDENES'!$W$4:$W$1203,"calibracion"))</f>
        <v/>
      </c>
      <c r="C171" s="24">
        <f>IF($A171="","",COUNTIFS('ORDENES'!$O$4:$O$1203,$A171,'ORDENES'!$W$4:$W$1203,"calibracion",'ORDENES'!$N$4:$N$1203,"Cerrada"))</f>
        <v/>
      </c>
      <c r="D171" s="24">
        <f>IF($A171="","",COUNTIFS('ORDENES'!$O$4:$O$1203,$A171,'ORDENES'!$W$4:$W$1203,"lubricacion"))</f>
        <v/>
      </c>
      <c r="E171" s="24">
        <f>IF($A171="","",COUNTIFS('ORDENES'!$O$4:$O$1203,$A171,'ORDENES'!$W$4:$W$1203,"lubricacion",'ORDENES'!$N$4:$N$1203,"Cerrada"))</f>
        <v/>
      </c>
    </row>
    <row r="172" hidden="1">
      <c r="A172" s="24">
        <f>'PERFIL_HH'!$O$21</f>
        <v/>
      </c>
      <c r="B172" s="24">
        <f>IF($A172="","",COUNTIFS('ORDENES'!$O$4:$O$1203,$A172,'ORDENES'!$W$4:$W$1203,"calibracion"))</f>
        <v/>
      </c>
      <c r="C172" s="24">
        <f>IF($A172="","",COUNTIFS('ORDENES'!$O$4:$O$1203,$A172,'ORDENES'!$W$4:$W$1203,"calibracion",'ORDENES'!$N$4:$N$1203,"Cerrada"))</f>
        <v/>
      </c>
      <c r="D172" s="24">
        <f>IF($A172="","",COUNTIFS('ORDENES'!$O$4:$O$1203,$A172,'ORDENES'!$W$4:$W$1203,"lubricacion"))</f>
        <v/>
      </c>
      <c r="E172" s="24">
        <f>IF($A172="","",COUNTIFS('ORDENES'!$O$4:$O$1203,$A172,'ORDENES'!$W$4:$W$1203,"lubricacion",'ORDENES'!$N$4:$N$1203,"Cerrada"))</f>
        <v/>
      </c>
    </row>
    <row r="173" hidden="1">
      <c r="A173" s="24">
        <f>'PERFIL_HH'!$O$22</f>
        <v/>
      </c>
      <c r="B173" s="24">
        <f>IF($A173="","",COUNTIFS('ORDENES'!$O$4:$O$1203,$A173,'ORDENES'!$W$4:$W$1203,"calibracion"))</f>
        <v/>
      </c>
      <c r="C173" s="24">
        <f>IF($A173="","",COUNTIFS('ORDENES'!$O$4:$O$1203,$A173,'ORDENES'!$W$4:$W$1203,"calibracion",'ORDENES'!$N$4:$N$1203,"Cerrada"))</f>
        <v/>
      </c>
      <c r="D173" s="24">
        <f>IF($A173="","",COUNTIFS('ORDENES'!$O$4:$O$1203,$A173,'ORDENES'!$W$4:$W$1203,"lubricacion"))</f>
        <v/>
      </c>
      <c r="E173" s="24">
        <f>IF($A173="","",COUNTIFS('ORDENES'!$O$4:$O$1203,$A173,'ORDENES'!$W$4:$W$1203,"lubricacion",'ORDENES'!$N$4:$N$1203,"Cerrada"))</f>
        <v/>
      </c>
    </row>
    <row r="174" hidden="1">
      <c r="A174" s="24">
        <f>'PERFIL_HH'!$O$23</f>
        <v/>
      </c>
      <c r="B174" s="24">
        <f>IF($A174="","",COUNTIFS('ORDENES'!$O$4:$O$1203,$A174,'ORDENES'!$W$4:$W$1203,"calibracion"))</f>
        <v/>
      </c>
      <c r="C174" s="24">
        <f>IF($A174="","",COUNTIFS('ORDENES'!$O$4:$O$1203,$A174,'ORDENES'!$W$4:$W$1203,"calibracion",'ORDENES'!$N$4:$N$1203,"Cerrada"))</f>
        <v/>
      </c>
      <c r="D174" s="24">
        <f>IF($A174="","",COUNTIFS('ORDENES'!$O$4:$O$1203,$A174,'ORDENES'!$W$4:$W$1203,"lubricacion"))</f>
        <v/>
      </c>
      <c r="E174" s="24">
        <f>IF($A174="","",COUNTIFS('ORDENES'!$O$4:$O$1203,$A174,'ORDENES'!$W$4:$W$1203,"lubricacion",'ORDENES'!$N$4:$N$1203,"Cerrada"))</f>
        <v/>
      </c>
    </row>
    <row r="175" hidden="1">
      <c r="A175" s="24">
        <f>'PERFIL_HH'!$O$24</f>
        <v/>
      </c>
      <c r="B175" s="24">
        <f>IF($A175="","",COUNTIFS('ORDENES'!$O$4:$O$1203,$A175,'ORDENES'!$W$4:$W$1203,"calibracion"))</f>
        <v/>
      </c>
      <c r="C175" s="24">
        <f>IF($A175="","",COUNTIFS('ORDENES'!$O$4:$O$1203,$A175,'ORDENES'!$W$4:$W$1203,"calibracion",'ORDENES'!$N$4:$N$1203,"Cerrada"))</f>
        <v/>
      </c>
      <c r="D175" s="24">
        <f>IF($A175="","",COUNTIFS('ORDENES'!$O$4:$O$1203,$A175,'ORDENES'!$W$4:$W$1203,"lubricacion"))</f>
        <v/>
      </c>
      <c r="E175" s="24">
        <f>IF($A175="","",COUNTIFS('ORDENES'!$O$4:$O$1203,$A175,'ORDENES'!$W$4:$W$1203,"lubricacion",'ORDENES'!$N$4:$N$1203,"Cerrada"))</f>
        <v/>
      </c>
    </row>
    <row r="176" hidden="1">
      <c r="A176" s="24">
        <f>'PERFIL_HH'!$O$25</f>
        <v/>
      </c>
      <c r="B176" s="24">
        <f>IF($A176="","",COUNTIFS('ORDENES'!$O$4:$O$1203,$A176,'ORDENES'!$W$4:$W$1203,"calibracion"))</f>
        <v/>
      </c>
      <c r="C176" s="24">
        <f>IF($A176="","",COUNTIFS('ORDENES'!$O$4:$O$1203,$A176,'ORDENES'!$W$4:$W$1203,"calibracion",'ORDENES'!$N$4:$N$1203,"Cerrada"))</f>
        <v/>
      </c>
      <c r="D176" s="24">
        <f>IF($A176="","",COUNTIFS('ORDENES'!$O$4:$O$1203,$A176,'ORDENES'!$W$4:$W$1203,"lubricacion"))</f>
        <v/>
      </c>
      <c r="E176" s="24">
        <f>IF($A176="","",COUNTIFS('ORDENES'!$O$4:$O$1203,$A176,'ORDENES'!$W$4:$W$1203,"lubricacion",'ORDENES'!$N$4:$N$1203,"Cerrada"))</f>
        <v/>
      </c>
    </row>
    <row r="177" hidden="1">
      <c r="A177" s="24">
        <f>'PERFIL_HH'!$O$26</f>
        <v/>
      </c>
      <c r="B177" s="24">
        <f>IF($A177="","",COUNTIFS('ORDENES'!$O$4:$O$1203,$A177,'ORDENES'!$W$4:$W$1203,"calibracion"))</f>
        <v/>
      </c>
      <c r="C177" s="24">
        <f>IF($A177="","",COUNTIFS('ORDENES'!$O$4:$O$1203,$A177,'ORDENES'!$W$4:$W$1203,"calibracion",'ORDENES'!$N$4:$N$1203,"Cerrada"))</f>
        <v/>
      </c>
      <c r="D177" s="24">
        <f>IF($A177="","",COUNTIFS('ORDENES'!$O$4:$O$1203,$A177,'ORDENES'!$W$4:$W$1203,"lubricacion"))</f>
        <v/>
      </c>
      <c r="E177" s="24">
        <f>IF($A177="","",COUNTIFS('ORDENES'!$O$4:$O$1203,$A177,'ORDENES'!$W$4:$W$1203,"lubricacion",'ORDENES'!$N$4:$N$1203,"Cerrada"))</f>
        <v/>
      </c>
    </row>
    <row r="178" hidden="1">
      <c r="A178" s="24">
        <f>'PERFIL_HH'!$O$27</f>
        <v/>
      </c>
      <c r="B178" s="24">
        <f>IF($A178="","",COUNTIFS('ORDENES'!$O$4:$O$1203,$A178,'ORDENES'!$W$4:$W$1203,"calibracion"))</f>
        <v/>
      </c>
      <c r="C178" s="24">
        <f>IF($A178="","",COUNTIFS('ORDENES'!$O$4:$O$1203,$A178,'ORDENES'!$W$4:$W$1203,"calibracion",'ORDENES'!$N$4:$N$1203,"Cerrada"))</f>
        <v/>
      </c>
      <c r="D178" s="24">
        <f>IF($A178="","",COUNTIFS('ORDENES'!$O$4:$O$1203,$A178,'ORDENES'!$W$4:$W$1203,"lubricacion"))</f>
        <v/>
      </c>
      <c r="E178" s="24">
        <f>IF($A178="","",COUNTIFS('ORDENES'!$O$4:$O$1203,$A178,'ORDENES'!$W$4:$W$1203,"lubricacion",'ORDENES'!$N$4:$N$1203,"Cerrada"))</f>
        <v/>
      </c>
    </row>
    <row r="179" hidden="1">
      <c r="A179" s="24">
        <f>'PERFIL_HH'!$O$28</f>
        <v/>
      </c>
      <c r="B179" s="24">
        <f>IF($A179="","",COUNTIFS('ORDENES'!$O$4:$O$1203,$A179,'ORDENES'!$W$4:$W$1203,"calibracion"))</f>
        <v/>
      </c>
      <c r="C179" s="24">
        <f>IF($A179="","",COUNTIFS('ORDENES'!$O$4:$O$1203,$A179,'ORDENES'!$W$4:$W$1203,"calibracion",'ORDENES'!$N$4:$N$1203,"Cerrada"))</f>
        <v/>
      </c>
      <c r="D179" s="24">
        <f>IF($A179="","",COUNTIFS('ORDENES'!$O$4:$O$1203,$A179,'ORDENES'!$W$4:$W$1203,"lubricacion"))</f>
        <v/>
      </c>
      <c r="E179" s="24">
        <f>IF($A179="","",COUNTIFS('ORDENES'!$O$4:$O$1203,$A179,'ORDENES'!$W$4:$W$1203,"lubricacion",'ORDENES'!$N$4:$N$1203,"Cerrada"))</f>
        <v/>
      </c>
    </row>
    <row r="180" hidden="1">
      <c r="A180" s="24">
        <f>'PERFIL_HH'!$O$29</f>
        <v/>
      </c>
      <c r="B180" s="24">
        <f>IF($A180="","",COUNTIFS('ORDENES'!$O$4:$O$1203,$A180,'ORDENES'!$W$4:$W$1203,"calibracion"))</f>
        <v/>
      </c>
      <c r="C180" s="24">
        <f>IF($A180="","",COUNTIFS('ORDENES'!$O$4:$O$1203,$A180,'ORDENES'!$W$4:$W$1203,"calibracion",'ORDENES'!$N$4:$N$1203,"Cerrada"))</f>
        <v/>
      </c>
      <c r="D180" s="24">
        <f>IF($A180="","",COUNTIFS('ORDENES'!$O$4:$O$1203,$A180,'ORDENES'!$W$4:$W$1203,"lubricacion"))</f>
        <v/>
      </c>
      <c r="E180" s="24">
        <f>IF($A180="","",COUNTIFS('ORDENES'!$O$4:$O$1203,$A180,'ORDENES'!$W$4:$W$1203,"lubricacion",'ORDENES'!$N$4:$N$1203,"Cerrada"))</f>
        <v/>
      </c>
    </row>
    <row r="181" hidden="1">
      <c r="A181" s="24">
        <f>'PERFIL_HH'!$O$30</f>
        <v/>
      </c>
      <c r="B181" s="24">
        <f>IF($A181="","",COUNTIFS('ORDENES'!$O$4:$O$1203,$A181,'ORDENES'!$W$4:$W$1203,"calibracion"))</f>
        <v/>
      </c>
      <c r="C181" s="24">
        <f>IF($A181="","",COUNTIFS('ORDENES'!$O$4:$O$1203,$A181,'ORDENES'!$W$4:$W$1203,"calibracion",'ORDENES'!$N$4:$N$1203,"Cerrada"))</f>
        <v/>
      </c>
      <c r="D181" s="24">
        <f>IF($A181="","",COUNTIFS('ORDENES'!$O$4:$O$1203,$A181,'ORDENES'!$W$4:$W$1203,"lubricacion"))</f>
        <v/>
      </c>
      <c r="E181" s="24">
        <f>IF($A181="","",COUNTIFS('ORDENES'!$O$4:$O$1203,$A181,'ORDENES'!$W$4:$W$1203,"lubricacion",'ORDENES'!$N$4:$N$1203,"Cerrada"))</f>
        <v/>
      </c>
    </row>
    <row r="182" hidden="1">
      <c r="A182" s="24">
        <f>'PERFIL_HH'!$O$31</f>
        <v/>
      </c>
      <c r="B182" s="24">
        <f>IF($A182="","",COUNTIFS('ORDENES'!$O$4:$O$1203,$A182,'ORDENES'!$W$4:$W$1203,"calibracion"))</f>
        <v/>
      </c>
      <c r="C182" s="24">
        <f>IF($A182="","",COUNTIFS('ORDENES'!$O$4:$O$1203,$A182,'ORDENES'!$W$4:$W$1203,"calibracion",'ORDENES'!$N$4:$N$1203,"Cerrada"))</f>
        <v/>
      </c>
      <c r="D182" s="24">
        <f>IF($A182="","",COUNTIFS('ORDENES'!$O$4:$O$1203,$A182,'ORDENES'!$W$4:$W$1203,"lubricacion"))</f>
        <v/>
      </c>
      <c r="E182" s="24">
        <f>IF($A182="","",COUNTIFS('ORDENES'!$O$4:$O$1203,$A182,'ORDENES'!$W$4:$W$1203,"lubricacion",'ORDENES'!$N$4:$N$1203,"Cerrada"))</f>
        <v/>
      </c>
    </row>
    <row r="183" hidden="1">
      <c r="A183" s="24">
        <f>'PERFIL_HH'!$O$32</f>
        <v/>
      </c>
      <c r="B183" s="24">
        <f>IF($A183="","",COUNTIFS('ORDENES'!$O$4:$O$1203,$A183,'ORDENES'!$W$4:$W$1203,"calibracion"))</f>
        <v/>
      </c>
      <c r="C183" s="24">
        <f>IF($A183="","",COUNTIFS('ORDENES'!$O$4:$O$1203,$A183,'ORDENES'!$W$4:$W$1203,"calibracion",'ORDENES'!$N$4:$N$1203,"Cerrada"))</f>
        <v/>
      </c>
      <c r="D183" s="24">
        <f>IF($A183="","",COUNTIFS('ORDENES'!$O$4:$O$1203,$A183,'ORDENES'!$W$4:$W$1203,"lubricacion"))</f>
        <v/>
      </c>
      <c r="E183" s="24">
        <f>IF($A183="","",COUNTIFS('ORDENES'!$O$4:$O$1203,$A183,'ORDENES'!$W$4:$W$1203,"lubricacion",'ORDENES'!$N$4:$N$1203,"Cerrada"))</f>
        <v/>
      </c>
    </row>
    <row r="184" hidden="1">
      <c r="A184" s="24">
        <f>'PERFIL_HH'!$O$33</f>
        <v/>
      </c>
      <c r="B184" s="24">
        <f>IF($A184="","",COUNTIFS('ORDENES'!$O$4:$O$1203,$A184,'ORDENES'!$W$4:$W$1203,"calibracion"))</f>
        <v/>
      </c>
      <c r="C184" s="24">
        <f>IF($A184="","",COUNTIFS('ORDENES'!$O$4:$O$1203,$A184,'ORDENES'!$W$4:$W$1203,"calibracion",'ORDENES'!$N$4:$N$1203,"Cerrada"))</f>
        <v/>
      </c>
      <c r="D184" s="24">
        <f>IF($A184="","",COUNTIFS('ORDENES'!$O$4:$O$1203,$A184,'ORDENES'!$W$4:$W$1203,"lubricacion"))</f>
        <v/>
      </c>
      <c r="E184" s="24">
        <f>IF($A184="","",COUNTIFS('ORDENES'!$O$4:$O$1203,$A184,'ORDENES'!$W$4:$W$1203,"lubricacion",'ORDENES'!$N$4:$N$1203,"Cerrada"))</f>
        <v/>
      </c>
    </row>
    <row r="185" hidden="1">
      <c r="A185" s="24">
        <f>'PERFIL_HH'!$O$34</f>
        <v/>
      </c>
      <c r="B185" s="24">
        <f>IF($A185="","",COUNTIFS('ORDENES'!$O$4:$O$1203,$A185,'ORDENES'!$W$4:$W$1203,"calibracion"))</f>
        <v/>
      </c>
      <c r="C185" s="24">
        <f>IF($A185="","",COUNTIFS('ORDENES'!$O$4:$O$1203,$A185,'ORDENES'!$W$4:$W$1203,"calibracion",'ORDENES'!$N$4:$N$1203,"Cerrada"))</f>
        <v/>
      </c>
      <c r="D185" s="24">
        <f>IF($A185="","",COUNTIFS('ORDENES'!$O$4:$O$1203,$A185,'ORDENES'!$W$4:$W$1203,"lubricacion"))</f>
        <v/>
      </c>
      <c r="E185" s="24">
        <f>IF($A185="","",COUNTIFS('ORDENES'!$O$4:$O$1203,$A185,'ORDENES'!$W$4:$W$1203,"lubricacion",'ORDENES'!$N$4:$N$1203,"Cerrada"))</f>
        <v/>
      </c>
    </row>
    <row r="186" hidden="1">
      <c r="A186" s="24">
        <f>'PERFIL_HH'!$O$35</f>
        <v/>
      </c>
      <c r="B186" s="24">
        <f>IF($A186="","",COUNTIFS('ORDENES'!$O$4:$O$1203,$A186,'ORDENES'!$W$4:$W$1203,"calibracion"))</f>
        <v/>
      </c>
      <c r="C186" s="24">
        <f>IF($A186="","",COUNTIFS('ORDENES'!$O$4:$O$1203,$A186,'ORDENES'!$W$4:$W$1203,"calibracion",'ORDENES'!$N$4:$N$1203,"Cerrada"))</f>
        <v/>
      </c>
      <c r="D186" s="24">
        <f>IF($A186="","",COUNTIFS('ORDENES'!$O$4:$O$1203,$A186,'ORDENES'!$W$4:$W$1203,"lubricacion"))</f>
        <v/>
      </c>
      <c r="E186" s="24">
        <f>IF($A186="","",COUNTIFS('ORDENES'!$O$4:$O$1203,$A186,'ORDENES'!$W$4:$W$1203,"lubricacion",'ORDENES'!$N$4:$N$1203,"Cerrada"))</f>
        <v/>
      </c>
    </row>
    <row r="187" hidden="1">
      <c r="A187" s="24">
        <f>'PERFIL_HH'!$O$36</f>
        <v/>
      </c>
      <c r="B187" s="24">
        <f>IF($A187="","",COUNTIFS('ORDENES'!$O$4:$O$1203,$A187,'ORDENES'!$W$4:$W$1203,"calibracion"))</f>
        <v/>
      </c>
      <c r="C187" s="24">
        <f>IF($A187="","",COUNTIFS('ORDENES'!$O$4:$O$1203,$A187,'ORDENES'!$W$4:$W$1203,"calibracion",'ORDENES'!$N$4:$N$1203,"Cerrada"))</f>
        <v/>
      </c>
      <c r="D187" s="24">
        <f>IF($A187="","",COUNTIFS('ORDENES'!$O$4:$O$1203,$A187,'ORDENES'!$W$4:$W$1203,"lubricacion"))</f>
        <v/>
      </c>
      <c r="E187" s="24">
        <f>IF($A187="","",COUNTIFS('ORDENES'!$O$4:$O$1203,$A187,'ORDENES'!$W$4:$W$1203,"lubricacion",'ORDENES'!$N$4:$N$1203,"Cerrada"))</f>
        <v/>
      </c>
    </row>
    <row r="188" hidden="1">
      <c r="A188" s="24">
        <f>'PERFIL_HH'!$O$37</f>
        <v/>
      </c>
      <c r="B188" s="24">
        <f>IF($A188="","",COUNTIFS('ORDENES'!$O$4:$O$1203,$A188,'ORDENES'!$W$4:$W$1203,"calibracion"))</f>
        <v/>
      </c>
      <c r="C188" s="24">
        <f>IF($A188="","",COUNTIFS('ORDENES'!$O$4:$O$1203,$A188,'ORDENES'!$W$4:$W$1203,"calibracion",'ORDENES'!$N$4:$N$1203,"Cerrada"))</f>
        <v/>
      </c>
      <c r="D188" s="24">
        <f>IF($A188="","",COUNTIFS('ORDENES'!$O$4:$O$1203,$A188,'ORDENES'!$W$4:$W$1203,"lubricacion"))</f>
        <v/>
      </c>
      <c r="E188" s="24">
        <f>IF($A188="","",COUNTIFS('ORDENES'!$O$4:$O$1203,$A188,'ORDENES'!$W$4:$W$1203,"lubricacion",'ORDENES'!$N$4:$N$1203,"Cerrada"))</f>
        <v/>
      </c>
    </row>
    <row r="189" hidden="1">
      <c r="A189" s="24">
        <f>'PERFIL_HH'!$O$38</f>
        <v/>
      </c>
      <c r="B189" s="24">
        <f>IF($A189="","",COUNTIFS('ORDENES'!$O$4:$O$1203,$A189,'ORDENES'!$W$4:$W$1203,"calibracion"))</f>
        <v/>
      </c>
      <c r="C189" s="24">
        <f>IF($A189="","",COUNTIFS('ORDENES'!$O$4:$O$1203,$A189,'ORDENES'!$W$4:$W$1203,"calibracion",'ORDENES'!$N$4:$N$1203,"Cerrada"))</f>
        <v/>
      </c>
      <c r="D189" s="24">
        <f>IF($A189="","",COUNTIFS('ORDENES'!$O$4:$O$1203,$A189,'ORDENES'!$W$4:$W$1203,"lubricacion"))</f>
        <v/>
      </c>
      <c r="E189" s="24">
        <f>IF($A189="","",COUNTIFS('ORDENES'!$O$4:$O$1203,$A189,'ORDENES'!$W$4:$W$1203,"lubricacion",'ORDENES'!$N$4:$N$1203,"Cerrada"))</f>
        <v/>
      </c>
    </row>
    <row r="190" hidden="1">
      <c r="A190" s="24">
        <f>'PERFIL_HH'!$O$39</f>
        <v/>
      </c>
      <c r="B190" s="24">
        <f>IF($A190="","",COUNTIFS('ORDENES'!$O$4:$O$1203,$A190,'ORDENES'!$W$4:$W$1203,"calibracion"))</f>
        <v/>
      </c>
      <c r="C190" s="24">
        <f>IF($A190="","",COUNTIFS('ORDENES'!$O$4:$O$1203,$A190,'ORDENES'!$W$4:$W$1203,"calibracion",'ORDENES'!$N$4:$N$1203,"Cerrada"))</f>
        <v/>
      </c>
      <c r="D190" s="24">
        <f>IF($A190="","",COUNTIFS('ORDENES'!$O$4:$O$1203,$A190,'ORDENES'!$W$4:$W$1203,"lubricacion"))</f>
        <v/>
      </c>
      <c r="E190" s="24">
        <f>IF($A190="","",COUNTIFS('ORDENES'!$O$4:$O$1203,$A190,'ORDENES'!$W$4:$W$1203,"lubricacion",'ORDENES'!$N$4:$N$1203,"Cerrada"))</f>
        <v/>
      </c>
    </row>
    <row r="191" hidden="1">
      <c r="A191" s="24">
        <f>'PERFIL_HH'!$O$40</f>
        <v/>
      </c>
      <c r="B191" s="24">
        <f>IF($A191="","",COUNTIFS('ORDENES'!$O$4:$O$1203,$A191,'ORDENES'!$W$4:$W$1203,"calibracion"))</f>
        <v/>
      </c>
      <c r="C191" s="24">
        <f>IF($A191="","",COUNTIFS('ORDENES'!$O$4:$O$1203,$A191,'ORDENES'!$W$4:$W$1203,"calibracion",'ORDENES'!$N$4:$N$1203,"Cerrada"))</f>
        <v/>
      </c>
      <c r="D191" s="24">
        <f>IF($A191="","",COUNTIFS('ORDENES'!$O$4:$O$1203,$A191,'ORDENES'!$W$4:$W$1203,"lubricacion"))</f>
        <v/>
      </c>
      <c r="E191" s="24">
        <f>IF($A191="","",COUNTIFS('ORDENES'!$O$4:$O$1203,$A191,'ORDENES'!$W$4:$W$1203,"lubricacion",'ORDENES'!$N$4:$N$1203,"Cerrada"))</f>
        <v/>
      </c>
    </row>
    <row r="192" hidden="1">
      <c r="A192" s="24">
        <f>'PERFIL_HH'!$O$41</f>
        <v/>
      </c>
      <c r="B192" s="24">
        <f>IF($A192="","",COUNTIFS('ORDENES'!$O$4:$O$1203,$A192,'ORDENES'!$W$4:$W$1203,"calibracion"))</f>
        <v/>
      </c>
      <c r="C192" s="24">
        <f>IF($A192="","",COUNTIFS('ORDENES'!$O$4:$O$1203,$A192,'ORDENES'!$W$4:$W$1203,"calibracion",'ORDENES'!$N$4:$N$1203,"Cerrada"))</f>
        <v/>
      </c>
      <c r="D192" s="24">
        <f>IF($A192="","",COUNTIFS('ORDENES'!$O$4:$O$1203,$A192,'ORDENES'!$W$4:$W$1203,"lubricacion"))</f>
        <v/>
      </c>
      <c r="E192" s="24">
        <f>IF($A192="","",COUNTIFS('ORDENES'!$O$4:$O$1203,$A192,'ORDENES'!$W$4:$W$1203,"lubricacion",'ORDENES'!$N$4:$N$1203,"Cerrada"))</f>
        <v/>
      </c>
    </row>
    <row r="193" hidden="1">
      <c r="A193" s="24">
        <f>'PERFIL_HH'!$O$42</f>
        <v/>
      </c>
      <c r="B193" s="24">
        <f>IF($A193="","",COUNTIFS('ORDENES'!$O$4:$O$1203,$A193,'ORDENES'!$W$4:$W$1203,"calibracion"))</f>
        <v/>
      </c>
      <c r="C193" s="24">
        <f>IF($A193="","",COUNTIFS('ORDENES'!$O$4:$O$1203,$A193,'ORDENES'!$W$4:$W$1203,"calibracion",'ORDENES'!$N$4:$N$1203,"Cerrada"))</f>
        <v/>
      </c>
      <c r="D193" s="24">
        <f>IF($A193="","",COUNTIFS('ORDENES'!$O$4:$O$1203,$A193,'ORDENES'!$W$4:$W$1203,"lubricacion"))</f>
        <v/>
      </c>
      <c r="E193" s="24">
        <f>IF($A193="","",COUNTIFS('ORDENES'!$O$4:$O$1203,$A193,'ORDENES'!$W$4:$W$1203,"lubricacion",'ORDENES'!$N$4:$N$1203,"Cerrada"))</f>
        <v/>
      </c>
    </row>
    <row r="194" hidden="1">
      <c r="A194" s="24">
        <f>'PERFIL_HH'!$O$43</f>
        <v/>
      </c>
      <c r="B194" s="24">
        <f>IF($A194="","",COUNTIFS('ORDENES'!$O$4:$O$1203,$A194,'ORDENES'!$W$4:$W$1203,"calibracion"))</f>
        <v/>
      </c>
      <c r="C194" s="24">
        <f>IF($A194="","",COUNTIFS('ORDENES'!$O$4:$O$1203,$A194,'ORDENES'!$W$4:$W$1203,"calibracion",'ORDENES'!$N$4:$N$1203,"Cerrada"))</f>
        <v/>
      </c>
      <c r="D194" s="24">
        <f>IF($A194="","",COUNTIFS('ORDENES'!$O$4:$O$1203,$A194,'ORDENES'!$W$4:$W$1203,"lubricacion"))</f>
        <v/>
      </c>
      <c r="E194" s="24">
        <f>IF($A194="","",COUNTIFS('ORDENES'!$O$4:$O$1203,$A194,'ORDENES'!$W$4:$W$1203,"lubricacion",'ORDENES'!$N$4:$N$1203,"Cerrada"))</f>
        <v/>
      </c>
    </row>
    <row r="195" hidden="1">
      <c r="A195" s="24">
        <f>'PERFIL_HH'!$O$44</f>
        <v/>
      </c>
      <c r="B195" s="24">
        <f>IF($A195="","",COUNTIFS('ORDENES'!$O$4:$O$1203,$A195,'ORDENES'!$W$4:$W$1203,"calibracion"))</f>
        <v/>
      </c>
      <c r="C195" s="24">
        <f>IF($A195="","",COUNTIFS('ORDENES'!$O$4:$O$1203,$A195,'ORDENES'!$W$4:$W$1203,"calibracion",'ORDENES'!$N$4:$N$1203,"Cerrada"))</f>
        <v/>
      </c>
      <c r="D195" s="24">
        <f>IF($A195="","",COUNTIFS('ORDENES'!$O$4:$O$1203,$A195,'ORDENES'!$W$4:$W$1203,"lubricacion"))</f>
        <v/>
      </c>
      <c r="E195" s="24">
        <f>IF($A195="","",COUNTIFS('ORDENES'!$O$4:$O$1203,$A195,'ORDENES'!$W$4:$W$1203,"lubricacion",'ORDENES'!$N$4:$N$1203,"Cerrada"))</f>
        <v/>
      </c>
    </row>
    <row r="196" hidden="1">
      <c r="A196" s="24">
        <f>'PERFIL_HH'!$O$45</f>
        <v/>
      </c>
      <c r="B196" s="24">
        <f>IF($A196="","",COUNTIFS('ORDENES'!$O$4:$O$1203,$A196,'ORDENES'!$W$4:$W$1203,"calibracion"))</f>
        <v/>
      </c>
      <c r="C196" s="24">
        <f>IF($A196="","",COUNTIFS('ORDENES'!$O$4:$O$1203,$A196,'ORDENES'!$W$4:$W$1203,"calibracion",'ORDENES'!$N$4:$N$1203,"Cerrada"))</f>
        <v/>
      </c>
      <c r="D196" s="24">
        <f>IF($A196="","",COUNTIFS('ORDENES'!$O$4:$O$1203,$A196,'ORDENES'!$W$4:$W$1203,"lubricacion"))</f>
        <v/>
      </c>
      <c r="E196" s="24">
        <f>IF($A196="","",COUNTIFS('ORDENES'!$O$4:$O$1203,$A196,'ORDENES'!$W$4:$W$1203,"lubricacion",'ORDENES'!$N$4:$N$1203,"Cerrada"))</f>
        <v/>
      </c>
    </row>
    <row r="197" hidden="1">
      <c r="A197" s="24">
        <f>'PERFIL_HH'!$O$46</f>
        <v/>
      </c>
      <c r="B197" s="24">
        <f>IF($A197="","",COUNTIFS('ORDENES'!$O$4:$O$1203,$A197,'ORDENES'!$W$4:$W$1203,"calibracion"))</f>
        <v/>
      </c>
      <c r="C197" s="24">
        <f>IF($A197="","",COUNTIFS('ORDENES'!$O$4:$O$1203,$A197,'ORDENES'!$W$4:$W$1203,"calibracion",'ORDENES'!$N$4:$N$1203,"Cerrada"))</f>
        <v/>
      </c>
      <c r="D197" s="24">
        <f>IF($A197="","",COUNTIFS('ORDENES'!$O$4:$O$1203,$A197,'ORDENES'!$W$4:$W$1203,"lubricacion"))</f>
        <v/>
      </c>
      <c r="E197" s="24">
        <f>IF($A197="","",COUNTIFS('ORDENES'!$O$4:$O$1203,$A197,'ORDENES'!$W$4:$W$1203,"lubricacion",'ORDENES'!$N$4:$N$1203,"Cerrada"))</f>
        <v/>
      </c>
    </row>
    <row r="198" hidden="1">
      <c r="A198" s="24">
        <f>'PERFIL_HH'!$O$47</f>
        <v/>
      </c>
      <c r="B198" s="24">
        <f>IF($A198="","",COUNTIFS('ORDENES'!$O$4:$O$1203,$A198,'ORDENES'!$W$4:$W$1203,"calibracion"))</f>
        <v/>
      </c>
      <c r="C198" s="24">
        <f>IF($A198="","",COUNTIFS('ORDENES'!$O$4:$O$1203,$A198,'ORDENES'!$W$4:$W$1203,"calibracion",'ORDENES'!$N$4:$N$1203,"Cerrada"))</f>
        <v/>
      </c>
      <c r="D198" s="24">
        <f>IF($A198="","",COUNTIFS('ORDENES'!$O$4:$O$1203,$A198,'ORDENES'!$W$4:$W$1203,"lubricacion"))</f>
        <v/>
      </c>
      <c r="E198" s="24">
        <f>IF($A198="","",COUNTIFS('ORDENES'!$O$4:$O$1203,$A198,'ORDENES'!$W$4:$W$1203,"lubricacion",'ORDENES'!$N$4:$N$1203,"Cerrada"))</f>
        <v/>
      </c>
    </row>
    <row r="199" hidden="1">
      <c r="A199" s="24">
        <f>'PERFIL_HH'!$O$48</f>
        <v/>
      </c>
      <c r="B199" s="24">
        <f>IF($A199="","",COUNTIFS('ORDENES'!$O$4:$O$1203,$A199,'ORDENES'!$W$4:$W$1203,"calibracion"))</f>
        <v/>
      </c>
      <c r="C199" s="24">
        <f>IF($A199="","",COUNTIFS('ORDENES'!$O$4:$O$1203,$A199,'ORDENES'!$W$4:$W$1203,"calibracion",'ORDENES'!$N$4:$N$1203,"Cerrada"))</f>
        <v/>
      </c>
      <c r="D199" s="24">
        <f>IF($A199="","",COUNTIFS('ORDENES'!$O$4:$O$1203,$A199,'ORDENES'!$W$4:$W$1203,"lubricacion"))</f>
        <v/>
      </c>
      <c r="E199" s="24">
        <f>IF($A199="","",COUNTIFS('ORDENES'!$O$4:$O$1203,$A199,'ORDENES'!$W$4:$W$1203,"lubricacion",'ORDENES'!$N$4:$N$1203,"Cerrada"))</f>
        <v/>
      </c>
    </row>
    <row r="200" hidden="1">
      <c r="A200" s="24">
        <f>'PERFIL_HH'!$O$49</f>
        <v/>
      </c>
      <c r="B200" s="24">
        <f>IF($A200="","",COUNTIFS('ORDENES'!$O$4:$O$1203,$A200,'ORDENES'!$W$4:$W$1203,"calibracion"))</f>
        <v/>
      </c>
      <c r="C200" s="24">
        <f>IF($A200="","",COUNTIFS('ORDENES'!$O$4:$O$1203,$A200,'ORDENES'!$W$4:$W$1203,"calibracion",'ORDENES'!$N$4:$N$1203,"Cerrada"))</f>
        <v/>
      </c>
      <c r="D200" s="24">
        <f>IF($A200="","",COUNTIFS('ORDENES'!$O$4:$O$1203,$A200,'ORDENES'!$W$4:$W$1203,"lubricacion"))</f>
        <v/>
      </c>
      <c r="E200" s="24">
        <f>IF($A200="","",COUNTIFS('ORDENES'!$O$4:$O$1203,$A200,'ORDENES'!$W$4:$W$1203,"lubricacion",'ORDENES'!$N$4:$N$1203,"Cerrada"))</f>
        <v/>
      </c>
    </row>
    <row r="201" hidden="1">
      <c r="A201" s="24">
        <f>'PERFIL_HH'!$O$50</f>
        <v/>
      </c>
      <c r="B201" s="24">
        <f>IF($A201="","",COUNTIFS('ORDENES'!$O$4:$O$1203,$A201,'ORDENES'!$W$4:$W$1203,"calibracion"))</f>
        <v/>
      </c>
      <c r="C201" s="24">
        <f>IF($A201="","",COUNTIFS('ORDENES'!$O$4:$O$1203,$A201,'ORDENES'!$W$4:$W$1203,"calibracion",'ORDENES'!$N$4:$N$1203,"Cerrada"))</f>
        <v/>
      </c>
      <c r="D201" s="24">
        <f>IF($A201="","",COUNTIFS('ORDENES'!$O$4:$O$1203,$A201,'ORDENES'!$W$4:$W$1203,"lubricacion"))</f>
        <v/>
      </c>
      <c r="E201" s="24">
        <f>IF($A201="","",COUNTIFS('ORDENES'!$O$4:$O$1203,$A201,'ORDENES'!$W$4:$W$1203,"lubricacion",'ORDENES'!$N$4:$N$1203,"Cerrada"))</f>
        <v/>
      </c>
    </row>
    <row r="202" hidden="1">
      <c r="A202" s="24">
        <f>'PERFIL_HH'!$O$51</f>
        <v/>
      </c>
      <c r="B202" s="24">
        <f>IF($A202="","",COUNTIFS('ORDENES'!$O$4:$O$1203,$A202,'ORDENES'!$W$4:$W$1203,"calibracion"))</f>
        <v/>
      </c>
      <c r="C202" s="24">
        <f>IF($A202="","",COUNTIFS('ORDENES'!$O$4:$O$1203,$A202,'ORDENES'!$W$4:$W$1203,"calibracion",'ORDENES'!$N$4:$N$1203,"Cerrada"))</f>
        <v/>
      </c>
      <c r="D202" s="24">
        <f>IF($A202="","",COUNTIFS('ORDENES'!$O$4:$O$1203,$A202,'ORDENES'!$W$4:$W$1203,"lubricacion"))</f>
        <v/>
      </c>
      <c r="E202" s="24">
        <f>IF($A202="","",COUNTIFS('ORDENES'!$O$4:$O$1203,$A202,'ORDENES'!$W$4:$W$1203,"lubricacion",'ORDENES'!$N$4:$N$1203,"Cerrada"))</f>
        <v/>
      </c>
    </row>
    <row r="203" hidden="1">
      <c r="A203" s="24">
        <f>'PERFIL_HH'!$O$52</f>
        <v/>
      </c>
      <c r="B203" s="24">
        <f>IF($A203="","",COUNTIFS('ORDENES'!$O$4:$O$1203,$A203,'ORDENES'!$W$4:$W$1203,"calibracion"))</f>
        <v/>
      </c>
      <c r="C203" s="24">
        <f>IF($A203="","",COUNTIFS('ORDENES'!$O$4:$O$1203,$A203,'ORDENES'!$W$4:$W$1203,"calibracion",'ORDENES'!$N$4:$N$1203,"Cerrada"))</f>
        <v/>
      </c>
      <c r="D203" s="24">
        <f>IF($A203="","",COUNTIFS('ORDENES'!$O$4:$O$1203,$A203,'ORDENES'!$W$4:$W$1203,"lubricacion"))</f>
        <v/>
      </c>
      <c r="E203" s="24">
        <f>IF($A203="","",COUNTIFS('ORDENES'!$O$4:$O$1203,$A203,'ORDENES'!$W$4:$W$1203,"lubricacion",'ORDENES'!$N$4:$N$1203,"Cerrada"))</f>
        <v/>
      </c>
    </row>
    <row r="204" hidden="1">
      <c r="A204" s="24">
        <f>'PERFIL_HH'!$O$53</f>
        <v/>
      </c>
      <c r="B204" s="24">
        <f>IF($A204="","",COUNTIFS('ORDENES'!$O$4:$O$1203,$A204,'ORDENES'!$W$4:$W$1203,"calibracion"))</f>
        <v/>
      </c>
      <c r="C204" s="24">
        <f>IF($A204="","",COUNTIFS('ORDENES'!$O$4:$O$1203,$A204,'ORDENES'!$W$4:$W$1203,"calibracion",'ORDENES'!$N$4:$N$1203,"Cerrada"))</f>
        <v/>
      </c>
      <c r="D204" s="24">
        <f>IF($A204="","",COUNTIFS('ORDENES'!$O$4:$O$1203,$A204,'ORDENES'!$W$4:$W$1203,"lubricacion"))</f>
        <v/>
      </c>
      <c r="E204" s="24">
        <f>IF($A204="","",COUNTIFS('ORDENES'!$O$4:$O$1203,$A204,'ORDENES'!$W$4:$W$1203,"lubricacion",'ORDENES'!$N$4:$N$1203,"Cerrada"))</f>
        <v/>
      </c>
    </row>
    <row r="205" hidden="1">
      <c r="A205" s="24">
        <f>'PERFIL_HH'!$O$54</f>
        <v/>
      </c>
      <c r="B205" s="24">
        <f>IF($A205="","",COUNTIFS('ORDENES'!$O$4:$O$1203,$A205,'ORDENES'!$W$4:$W$1203,"calibracion"))</f>
        <v/>
      </c>
      <c r="C205" s="24">
        <f>IF($A205="","",COUNTIFS('ORDENES'!$O$4:$O$1203,$A205,'ORDENES'!$W$4:$W$1203,"calibracion",'ORDENES'!$N$4:$N$1203,"Cerrada"))</f>
        <v/>
      </c>
      <c r="D205" s="24">
        <f>IF($A205="","",COUNTIFS('ORDENES'!$O$4:$O$1203,$A205,'ORDENES'!$W$4:$W$1203,"lubricacion"))</f>
        <v/>
      </c>
      <c r="E205" s="24">
        <f>IF($A205="","",COUNTIFS('ORDENES'!$O$4:$O$1203,$A205,'ORDENES'!$W$4:$W$1203,"lubricacion",'ORDENES'!$N$4:$N$1203,"Cerrada"))</f>
        <v/>
      </c>
    </row>
    <row r="206" hidden="1">
      <c r="A206" s="24">
        <f>'PERFIL_HH'!$O$55</f>
        <v/>
      </c>
      <c r="B206" s="24">
        <f>IF($A206="","",COUNTIFS('ORDENES'!$O$4:$O$1203,$A206,'ORDENES'!$W$4:$W$1203,"calibracion"))</f>
        <v/>
      </c>
      <c r="C206" s="24">
        <f>IF($A206="","",COUNTIFS('ORDENES'!$O$4:$O$1203,$A206,'ORDENES'!$W$4:$W$1203,"calibracion",'ORDENES'!$N$4:$N$1203,"Cerrada"))</f>
        <v/>
      </c>
      <c r="D206" s="24">
        <f>IF($A206="","",COUNTIFS('ORDENES'!$O$4:$O$1203,$A206,'ORDENES'!$W$4:$W$1203,"lubricacion"))</f>
        <v/>
      </c>
      <c r="E206" s="24">
        <f>IF($A206="","",COUNTIFS('ORDENES'!$O$4:$O$1203,$A206,'ORDENES'!$W$4:$W$1203,"lubricacion",'ORDENES'!$N$4:$N$1203,"Cerrada"))</f>
        <v/>
      </c>
    </row>
    <row r="207" hidden="1">
      <c r="A207" s="24">
        <f>'PERFIL_HH'!$O$56</f>
        <v/>
      </c>
      <c r="B207" s="24">
        <f>IF($A207="","",COUNTIFS('ORDENES'!$O$4:$O$1203,$A207,'ORDENES'!$W$4:$W$1203,"calibracion"))</f>
        <v/>
      </c>
      <c r="C207" s="24">
        <f>IF($A207="","",COUNTIFS('ORDENES'!$O$4:$O$1203,$A207,'ORDENES'!$W$4:$W$1203,"calibracion",'ORDENES'!$N$4:$N$1203,"Cerrada"))</f>
        <v/>
      </c>
      <c r="D207" s="24">
        <f>IF($A207="","",COUNTIFS('ORDENES'!$O$4:$O$1203,$A207,'ORDENES'!$W$4:$W$1203,"lubricacion"))</f>
        <v/>
      </c>
      <c r="E207" s="24">
        <f>IF($A207="","",COUNTIFS('ORDENES'!$O$4:$O$1203,$A207,'ORDENES'!$W$4:$W$1203,"lubricacion",'ORDENES'!$N$4:$N$1203,"Cerrada"))</f>
        <v/>
      </c>
    </row>
    <row r="208" hidden="1">
      <c r="A208" s="24">
        <f>'PERFIL_HH'!$O$57</f>
        <v/>
      </c>
      <c r="B208" s="24">
        <f>IF($A208="","",COUNTIFS('ORDENES'!$O$4:$O$1203,$A208,'ORDENES'!$W$4:$W$1203,"calibracion"))</f>
        <v/>
      </c>
      <c r="C208" s="24">
        <f>IF($A208="","",COUNTIFS('ORDENES'!$O$4:$O$1203,$A208,'ORDENES'!$W$4:$W$1203,"calibracion",'ORDENES'!$N$4:$N$1203,"Cerrada"))</f>
        <v/>
      </c>
      <c r="D208" s="24">
        <f>IF($A208="","",COUNTIFS('ORDENES'!$O$4:$O$1203,$A208,'ORDENES'!$W$4:$W$1203,"lubricacion"))</f>
        <v/>
      </c>
      <c r="E208" s="24">
        <f>IF($A208="","",COUNTIFS('ORDENES'!$O$4:$O$1203,$A208,'ORDENES'!$W$4:$W$1203,"lubricacion",'ORDENES'!$N$4:$N$1203,"Cerrada"))</f>
        <v/>
      </c>
    </row>
    <row r="209" hidden="1">
      <c r="A209" s="24">
        <f>'PERFIL_HH'!$O$58</f>
        <v/>
      </c>
      <c r="B209" s="24">
        <f>IF($A209="","",COUNTIFS('ORDENES'!$O$4:$O$1203,$A209,'ORDENES'!$W$4:$W$1203,"calibracion"))</f>
        <v/>
      </c>
      <c r="C209" s="24">
        <f>IF($A209="","",COUNTIFS('ORDENES'!$O$4:$O$1203,$A209,'ORDENES'!$W$4:$W$1203,"calibracion",'ORDENES'!$N$4:$N$1203,"Cerrada"))</f>
        <v/>
      </c>
      <c r="D209" s="24">
        <f>IF($A209="","",COUNTIFS('ORDENES'!$O$4:$O$1203,$A209,'ORDENES'!$W$4:$W$1203,"lubricacion"))</f>
        <v/>
      </c>
      <c r="E209" s="24">
        <f>IF($A209="","",COUNTIFS('ORDENES'!$O$4:$O$1203,$A209,'ORDENES'!$W$4:$W$1203,"lubricacion",'ORDENES'!$N$4:$N$1203,"Cerrada"))</f>
        <v/>
      </c>
    </row>
    <row r="210" hidden="1">
      <c r="A210" s="24">
        <f>'PERFIL_HH'!$O$59</f>
        <v/>
      </c>
      <c r="B210" s="24">
        <f>IF($A210="","",COUNTIFS('ORDENES'!$O$4:$O$1203,$A210,'ORDENES'!$W$4:$W$1203,"calibracion"))</f>
        <v/>
      </c>
      <c r="C210" s="24">
        <f>IF($A210="","",COUNTIFS('ORDENES'!$O$4:$O$1203,$A210,'ORDENES'!$W$4:$W$1203,"calibracion",'ORDENES'!$N$4:$N$1203,"Cerrada"))</f>
        <v/>
      </c>
      <c r="D210" s="24">
        <f>IF($A210="","",COUNTIFS('ORDENES'!$O$4:$O$1203,$A210,'ORDENES'!$W$4:$W$1203,"lubricacion"))</f>
        <v/>
      </c>
      <c r="E210" s="24">
        <f>IF($A210="","",COUNTIFS('ORDENES'!$O$4:$O$1203,$A210,'ORDENES'!$W$4:$W$1203,"lubricacion",'ORDENES'!$N$4:$N$1203,"Cerrada"))</f>
        <v/>
      </c>
    </row>
    <row r="211" hidden="1">
      <c r="A211" s="24">
        <f>'PERFIL_HH'!$O$60</f>
        <v/>
      </c>
      <c r="B211" s="24">
        <f>IF($A211="","",COUNTIFS('ORDENES'!$O$4:$O$1203,$A211,'ORDENES'!$W$4:$W$1203,"calibracion"))</f>
        <v/>
      </c>
      <c r="C211" s="24">
        <f>IF($A211="","",COUNTIFS('ORDENES'!$O$4:$O$1203,$A211,'ORDENES'!$W$4:$W$1203,"calibracion",'ORDENES'!$N$4:$N$1203,"Cerrada"))</f>
        <v/>
      </c>
      <c r="D211" s="24">
        <f>IF($A211="","",COUNTIFS('ORDENES'!$O$4:$O$1203,$A211,'ORDENES'!$W$4:$W$1203,"lubricacion"))</f>
        <v/>
      </c>
      <c r="E211" s="24">
        <f>IF($A211="","",COUNTIFS('ORDENES'!$O$4:$O$1203,$A211,'ORDENES'!$W$4:$W$1203,"lubricacion",'ORDENES'!$N$4:$N$1203,"Cerrada"))</f>
        <v/>
      </c>
    </row>
    <row r="212" hidden="1">
      <c r="A212" s="24">
        <f>'PERFIL_HH'!$O$61</f>
        <v/>
      </c>
      <c r="B212" s="24">
        <f>IF($A212="","",COUNTIFS('ORDENES'!$O$4:$O$1203,$A212,'ORDENES'!$W$4:$W$1203,"calibracion"))</f>
        <v/>
      </c>
      <c r="C212" s="24">
        <f>IF($A212="","",COUNTIFS('ORDENES'!$O$4:$O$1203,$A212,'ORDENES'!$W$4:$W$1203,"calibracion",'ORDENES'!$N$4:$N$1203,"Cerrada"))</f>
        <v/>
      </c>
      <c r="D212" s="24">
        <f>IF($A212="","",COUNTIFS('ORDENES'!$O$4:$O$1203,$A212,'ORDENES'!$W$4:$W$1203,"lubricacion"))</f>
        <v/>
      </c>
      <c r="E212" s="24">
        <f>IF($A212="","",COUNTIFS('ORDENES'!$O$4:$O$1203,$A212,'ORDENES'!$W$4:$W$1203,"lubricacion",'ORDENES'!$N$4:$N$1203,"Cerrada"))</f>
        <v/>
      </c>
    </row>
    <row r="213" hidden="1">
      <c r="A213" s="24">
        <f>'PERFIL_HH'!$O$62</f>
        <v/>
      </c>
      <c r="B213" s="24">
        <f>IF($A213="","",COUNTIFS('ORDENES'!$O$4:$O$1203,$A213,'ORDENES'!$W$4:$W$1203,"calibracion"))</f>
        <v/>
      </c>
      <c r="C213" s="24">
        <f>IF($A213="","",COUNTIFS('ORDENES'!$O$4:$O$1203,$A213,'ORDENES'!$W$4:$W$1203,"calibracion",'ORDENES'!$N$4:$N$1203,"Cerrada"))</f>
        <v/>
      </c>
      <c r="D213" s="24">
        <f>IF($A213="","",COUNTIFS('ORDENES'!$O$4:$O$1203,$A213,'ORDENES'!$W$4:$W$1203,"lubricacion"))</f>
        <v/>
      </c>
      <c r="E213" s="24">
        <f>IF($A213="","",COUNTIFS('ORDENES'!$O$4:$O$1203,$A213,'ORDENES'!$W$4:$W$1203,"lubricacion",'ORDENES'!$N$4:$N$1203,"Cerrada"))</f>
        <v/>
      </c>
    </row>
    <row r="214" hidden="1">
      <c r="A214" s="24">
        <f>'PERFIL_HH'!$O$63</f>
        <v/>
      </c>
      <c r="B214" s="24">
        <f>IF($A214="","",COUNTIFS('ORDENES'!$O$4:$O$1203,$A214,'ORDENES'!$W$4:$W$1203,"calibracion"))</f>
        <v/>
      </c>
      <c r="C214" s="24">
        <f>IF($A214="","",COUNTIFS('ORDENES'!$O$4:$O$1203,$A214,'ORDENES'!$W$4:$W$1203,"calibracion",'ORDENES'!$N$4:$N$1203,"Cerrada"))</f>
        <v/>
      </c>
      <c r="D214" s="24">
        <f>IF($A214="","",COUNTIFS('ORDENES'!$O$4:$O$1203,$A214,'ORDENES'!$W$4:$W$1203,"lubricacion"))</f>
        <v/>
      </c>
      <c r="E214" s="24">
        <f>IF($A214="","",COUNTIFS('ORDENES'!$O$4:$O$1203,$A214,'ORDENES'!$W$4:$W$1203,"lubricacion",'ORDENES'!$N$4:$N$1203,"Cerrada"))</f>
        <v/>
      </c>
    </row>
  </sheetData>
  <conditionalFormatting sqref="D5:D64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5:G64">
    <cfRule type="cellIs" priority="4" operator="lessThan" dxfId="0">
      <formula>0.9</formula>
    </cfRule>
    <cfRule type="cellIs" priority="5" operator="between" dxfId="1">
      <formula>0.9</formula>
      <formula>0.95</formula>
    </cfRule>
    <cfRule type="cellIs" priority="6" operator="greaterThan" dxfId="2">
      <formula>0.95</formula>
    </cfRule>
  </conditionalFormatting>
  <conditionalFormatting sqref="D68:D70">
    <cfRule type="cellIs" priority="7" operator="lessThan" dxfId="0">
      <formula>0.9</formula>
    </cfRule>
    <cfRule type="cellIs" priority="8" operator="between" dxfId="1">
      <formula>0.9</formula>
      <formula>0.95</formula>
    </cfRule>
    <cfRule type="cellIs" priority="9" operator="greaterThan" dxfId="2">
      <formula>0.95</formula>
    </cfRule>
  </conditionalFormatting>
  <conditionalFormatting sqref="G68:G70">
    <cfRule type="cellIs" priority="10" operator="lessThan" dxfId="0">
      <formula>0.9</formula>
    </cfRule>
    <cfRule type="cellIs" priority="11" operator="between" dxfId="1">
      <formula>0.9</formula>
      <formula>0.95</formula>
    </cfRule>
    <cfRule type="cellIs" priority="12" operator="greaterThan" dxfId="2">
      <formula>0.95</formula>
    </cfRule>
  </conditionalFormatting>
  <conditionalFormatting sqref="D74:D79">
    <cfRule type="cellIs" priority="13" operator="lessThan" dxfId="0">
      <formula>0.9</formula>
    </cfRule>
    <cfRule type="cellIs" priority="14" operator="between" dxfId="1">
      <formula>0.9</formula>
      <formula>0.95</formula>
    </cfRule>
    <cfRule type="cellIs" priority="15" operator="greaterThan" dxfId="2">
      <formula>0.95</formula>
    </cfRule>
  </conditionalFormatting>
  <conditionalFormatting sqref="G74:G79">
    <cfRule type="cellIs" priority="16" operator="lessThan" dxfId="0">
      <formula>0.9</formula>
    </cfRule>
    <cfRule type="cellIs" priority="17" operator="between" dxfId="1">
      <formula>0.9</formula>
      <formula>0.95</formula>
    </cfRule>
    <cfRule type="cellIs" priority="18" operator="greaterThan" dxfId="2">
      <formula>0.95</formula>
    </cfRule>
  </conditionalFormatting>
  <conditionalFormatting sqref="D83:D86">
    <cfRule type="cellIs" priority="19" operator="lessThan" dxfId="0">
      <formula>0.9</formula>
    </cfRule>
    <cfRule type="cellIs" priority="20" operator="between" dxfId="1">
      <formula>0.9</formula>
      <formula>0.95</formula>
    </cfRule>
    <cfRule type="cellIs" priority="21" operator="greaterThan" dxfId="2">
      <formula>0.95</formula>
    </cfRule>
  </conditionalFormatting>
  <conditionalFormatting sqref="G83:G86">
    <cfRule type="cellIs" priority="22" operator="lessThan" dxfId="0">
      <formula>0.9</formula>
    </cfRule>
    <cfRule type="cellIs" priority="23" operator="between" dxfId="1">
      <formula>0.9</formula>
      <formula>0.95</formula>
    </cfRule>
    <cfRule type="cellIs" priority="24" operator="greaterThan" dxfId="2">
      <formula>0.95</formula>
    </cfRule>
  </conditionalFormatting>
  <conditionalFormatting sqref="D90:D92">
    <cfRule type="cellIs" priority="25" operator="lessThan" dxfId="0">
      <formula>0.9</formula>
    </cfRule>
    <cfRule type="cellIs" priority="26" operator="between" dxfId="1">
      <formula>0.9</formula>
      <formula>0.95</formula>
    </cfRule>
    <cfRule type="cellIs" priority="27" operator="greaterThan" dxfId="2">
      <formula>0.95</formula>
    </cfRule>
  </conditionalFormatting>
  <conditionalFormatting sqref="G90:G92">
    <cfRule type="cellIs" priority="28" operator="lessThan" dxfId="0">
      <formula>0.9</formula>
    </cfRule>
    <cfRule type="cellIs" priority="29" operator="between" dxfId="1">
      <formula>0.9</formula>
      <formula>0.95</formula>
    </cfRule>
    <cfRule type="cellIs" priority="30" operator="greaterThan" dxfId="2">
      <formula>0.95</formula>
    </cfRule>
  </conditionalFormatting>
  <conditionalFormatting sqref="D96:D98">
    <cfRule type="cellIs" priority="31" operator="lessThan" dxfId="0">
      <formula>0.9</formula>
    </cfRule>
    <cfRule type="cellIs" priority="32" operator="between" dxfId="1">
      <formula>0.9</formula>
      <formula>0.95</formula>
    </cfRule>
    <cfRule type="cellIs" priority="33" operator="greaterThan" dxfId="2">
      <formula>0.95</formula>
    </cfRule>
  </conditionalFormatting>
  <conditionalFormatting sqref="G96:G98">
    <cfRule type="cellIs" priority="34" operator="lessThan" dxfId="0">
      <formula>0.9</formula>
    </cfRule>
    <cfRule type="cellIs" priority="35" operator="between" dxfId="1">
      <formula>0.9</formula>
      <formula>0.95</formula>
    </cfRule>
    <cfRule type="cellIs" priority="36" operator="greaterThan" dxfId="2">
      <formula>0.95</formula>
    </cfRule>
  </conditionalFormatting>
  <conditionalFormatting sqref="D102:D106">
    <cfRule type="cellIs" priority="37" operator="lessThan" dxfId="0">
      <formula>0.9</formula>
    </cfRule>
    <cfRule type="cellIs" priority="38" operator="between" dxfId="1">
      <formula>0.9</formula>
      <formula>0.95</formula>
    </cfRule>
    <cfRule type="cellIs" priority="39" operator="greaterThan" dxfId="2">
      <formula>0.95</formula>
    </cfRule>
  </conditionalFormatting>
  <conditionalFormatting sqref="G102:G106">
    <cfRule type="cellIs" priority="40" operator="lessThan" dxfId="0">
      <formula>0.9</formula>
    </cfRule>
    <cfRule type="cellIs" priority="41" operator="between" dxfId="1">
      <formula>0.9</formula>
      <formula>0.95</formula>
    </cfRule>
    <cfRule type="cellIs" priority="42" operator="greaterThan" dxfId="2">
      <formula>0.95</formula>
    </cfRule>
  </conditionalFormatting>
  <conditionalFormatting sqref="D110:D111">
    <cfRule type="cellIs" priority="43" operator="lessThan" dxfId="0">
      <formula>0.9</formula>
    </cfRule>
    <cfRule type="cellIs" priority="44" operator="between" dxfId="1">
      <formula>0.9</formula>
      <formula>0.95</formula>
    </cfRule>
    <cfRule type="cellIs" priority="45" operator="greaterThan" dxfId="2">
      <formula>0.95</formula>
    </cfRule>
  </conditionalFormatting>
  <conditionalFormatting sqref="G110:G111">
    <cfRule type="cellIs" priority="46" operator="lessThan" dxfId="0">
      <formula>0.9</formula>
    </cfRule>
    <cfRule type="cellIs" priority="47" operator="between" dxfId="1">
      <formula>0.9</formula>
      <formula>0.95</formula>
    </cfRule>
    <cfRule type="cellIs" priority="48" operator="greaterThan" dxfId="2">
      <formula>0.95</formula>
    </cfRule>
  </conditionalFormatting>
  <conditionalFormatting sqref="D115:D130">
    <cfRule type="cellIs" priority="49" operator="lessThan" dxfId="0">
      <formula>0.9</formula>
    </cfRule>
    <cfRule type="cellIs" priority="50" operator="between" dxfId="1">
      <formula>0.9</formula>
      <formula>0.95</formula>
    </cfRule>
    <cfRule type="cellIs" priority="51" operator="greaterThan" dxfId="2">
      <formula>0.95</formula>
    </cfRule>
  </conditionalFormatting>
  <conditionalFormatting sqref="G115:G130">
    <cfRule type="cellIs" priority="52" operator="lessThan" dxfId="0">
      <formula>0.9</formula>
    </cfRule>
    <cfRule type="cellIs" priority="53" operator="between" dxfId="1">
      <formula>0.9</formula>
      <formula>0.95</formula>
    </cfRule>
    <cfRule type="cellIs" priority="54" operator="greaterThan" dxfId="2">
      <formula>0.95</formula>
    </cfRule>
  </conditionalFormatting>
  <conditionalFormatting sqref="E134:E151">
    <cfRule type="cellIs" priority="55" operator="lessThan" dxfId="0">
      <formula>0.9</formula>
    </cfRule>
    <cfRule type="cellIs" priority="56" operator="between" dxfId="1">
      <formula>0.9</formula>
      <formula>0.95</formula>
    </cfRule>
    <cfRule type="cellIs" priority="57" operator="greaterThan" dxfId="2">
      <formula>0.95</formula>
    </cfRule>
  </conditionalFormatting>
  <conditionalFormatting sqref="I134:I151">
    <cfRule type="cellIs" priority="58" operator="lessThan" dxfId="0">
      <formula>0.9</formula>
    </cfRule>
    <cfRule type="cellIs" priority="59" operator="between" dxfId="1">
      <formula>0.9</formula>
      <formula>0.95</formula>
    </cfRule>
    <cfRule type="cellIs" priority="60" operator="greaterThan" dxfId="2">
      <formula>0.95</formula>
    </cfRule>
  </conditionalFormatting>
  <conditionalFormatting sqref="J134:J151">
    <cfRule type="cellIs" priority="61" operator="greaterThan" dxfId="0">
      <formula>0</formula>
    </cfRule>
  </conditionalFormatting>
  <conditionalFormatting sqref="M134:M151">
    <cfRule type="cellIs" priority="62" operator="lessThan" dxfId="0">
      <formula>0.9</formula>
    </cfRule>
    <cfRule type="cellIs" priority="63" operator="between" dxfId="1">
      <formula>0.9</formula>
      <formula>0.95</formula>
    </cfRule>
    <cfRule type="cellIs" priority="64" operator="greaterThan" dxfId="2">
      <formula>0.95</formula>
    </cfRule>
  </conditionalFormatting>
  <conditionalFormatting sqref="N134:N151">
    <cfRule type="cellIs" priority="65" operator="greaterThan" dxfId="0">
      <formula>0</formula>
    </cfRule>
  </conditionalFormatting>
  <conditionalFormatting sqref="U134:U151">
    <cfRule type="cellIs" priority="66" operator="notEqual" dxfId="0">
      <formula>0</formula>
    </cfRule>
  </conditionalFormatting>
  <conditionalFormatting sqref="AB134:AB151">
    <cfRule type="cellIs" priority="67" operator="not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O39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1" customWidth="1" min="9" max="9"/>
    <col width="13" customWidth="1" min="14" max="14"/>
    <col width="18" customWidth="1" min="15" max="15"/>
  </cols>
  <sheetData>
    <row r="1">
      <c r="A1" s="1" t="inlineStr">
        <is>
          <t>PERFIL DE HH (REGLA-6) — especialidad × semana. La serie de semanas se deriva de los datos (capacidad 60); las semanas sin órdenes están ocultas.</t>
        </is>
      </c>
    </row>
    <row r="2">
      <c r="A2" s="19">
        <f>HYPERLINK("#DASHBOARD!A1","◂ VOLVER AL TABLERO")</f>
        <v/>
      </c>
    </row>
    <row r="3">
      <c r="A3" s="23" t="inlineStr">
        <is>
          <t>especialidad</t>
        </is>
      </c>
      <c r="B3" s="23" t="inlineStr">
        <is>
          <t>semana</t>
        </is>
      </c>
      <c r="C3" s="23" t="inlineStr">
        <is>
          <t>hh_disponible</t>
        </is>
      </c>
      <c r="D3" s="23" t="inlineStr">
        <is>
          <t>hh_productiva</t>
        </is>
      </c>
      <c r="E3" s="23" t="inlineStr">
        <is>
          <t>hh_preventiva</t>
        </is>
      </c>
      <c r="F3" s="23" t="inlineStr">
        <is>
          <t>hh_correctiva</t>
        </is>
      </c>
      <c r="G3" s="23" t="inlineStr">
        <is>
          <t>hh_planificada</t>
        </is>
      </c>
      <c r="H3" s="23" t="inlineStr">
        <is>
          <t>holgura</t>
        </is>
      </c>
      <c r="I3" s="23" t="inlineStr">
        <is>
          <t>pct_carga</t>
        </is>
      </c>
      <c r="N3" s="23" t="inlineStr">
        <is>
          <t>lunes_semana</t>
        </is>
      </c>
      <c r="O3" s="23" t="inlineStr">
        <is>
          <t>semana (serie auto)</t>
        </is>
      </c>
    </row>
    <row r="4">
      <c r="A4" s="24" t="inlineStr">
        <is>
          <t>MEC</t>
        </is>
      </c>
      <c r="B4" s="24">
        <f>$O$4</f>
        <v/>
      </c>
      <c r="C4" s="25">
        <f>SUMIFS('ASIGNACIONES'!$M$4:$M$451,'ASIGNACIONES'!$E$4:$E$451,$A4,'ASIGNACIONES'!$A$4:$A$451,$B4)</f>
        <v/>
      </c>
      <c r="D4" s="25">
        <f>C4*p_factor_productividad</f>
        <v/>
      </c>
      <c r="E4" s="25">
        <f>SUMIFS('ORDENES'!$M$4:$M$1203,'ORDENES'!$AB$4:$AB$1203,$A4,'ORDENES'!$O$4:$O$1203,$B4,'ORDENES'!$U$4:$U$1203,"preventiva")</f>
        <v/>
      </c>
      <c r="F4" s="25">
        <f>SUMIFS('ORDENES'!$M$4:$M$1203,'ORDENES'!$AB$4:$AB$1203,$A4,'ORDENES'!$O$4:$O$1203,$B4,'ORDENES'!$U$4:$U$1203,"correctiva")</f>
        <v/>
      </c>
      <c r="G4" s="25">
        <f>E4+F4</f>
        <v/>
      </c>
      <c r="H4" s="25">
        <f>D4-G4</f>
        <v/>
      </c>
      <c r="I4" s="27">
        <f>IF(D4=0,"",G4/D4)</f>
        <v/>
      </c>
      <c r="N4" s="30">
        <f>IF(COUNT('ORDENES'!$J$4:$J$1203)=0,"",MIN('ORDENES'!$J$4:$J$1203)-WEEKDAY(MIN('ORDENES'!$J$4:$J$1203),2)+1)</f>
        <v/>
      </c>
      <c r="O4" s="24">
        <f>IF(N4="","",YEAR(N4+4-WEEKDAY(N4,2))&amp;"-S"&amp;TEXT(_xlfn.ISOWEEKNUM(N4),"00"))</f>
        <v/>
      </c>
    </row>
    <row r="5">
      <c r="A5" s="24" t="inlineStr">
        <is>
          <t>ELE</t>
        </is>
      </c>
      <c r="B5" s="24">
        <f>$O$4</f>
        <v/>
      </c>
      <c r="C5" s="25">
        <f>SUMIFS('ASIGNACIONES'!$M$4:$M$451,'ASIGNACIONES'!$E$4:$E$451,$A5,'ASIGNACIONES'!$A$4:$A$451,$B5)</f>
        <v/>
      </c>
      <c r="D5" s="25">
        <f>C5*p_factor_productividad</f>
        <v/>
      </c>
      <c r="E5" s="25">
        <f>SUMIFS('ORDENES'!$M$4:$M$1203,'ORDENES'!$AB$4:$AB$1203,$A5,'ORDENES'!$O$4:$O$1203,$B5,'ORDENES'!$U$4:$U$1203,"preventiva")</f>
        <v/>
      </c>
      <c r="F5" s="25">
        <f>SUMIFS('ORDENES'!$M$4:$M$1203,'ORDENES'!$AB$4:$AB$1203,$A5,'ORDENES'!$O$4:$O$1203,$B5,'ORDENES'!$U$4:$U$1203,"correctiva")</f>
        <v/>
      </c>
      <c r="G5" s="25">
        <f>E5+F5</f>
        <v/>
      </c>
      <c r="H5" s="25">
        <f>D5-G5</f>
        <v/>
      </c>
      <c r="I5" s="27">
        <f>IF(D5=0,"",G5/D5)</f>
        <v/>
      </c>
      <c r="N5" s="30">
        <f>IF(N4="","",IF(N4+7&gt;MAX('ORDENES'!$J$4:$J$1203),"",N4+7))</f>
        <v/>
      </c>
      <c r="O5" s="24">
        <f>IF(N5="","",YEAR(N5+4-WEEKDAY(N5,2))&amp;"-S"&amp;TEXT(_xlfn.ISOWEEKNUM(N5),"00"))</f>
        <v/>
      </c>
    </row>
    <row r="6">
      <c r="A6" s="24" t="inlineStr">
        <is>
          <t>AUT</t>
        </is>
      </c>
      <c r="B6" s="24">
        <f>$O$4</f>
        <v/>
      </c>
      <c r="C6" s="25">
        <f>SUMIFS('ASIGNACIONES'!$M$4:$M$451,'ASIGNACIONES'!$E$4:$E$451,$A6,'ASIGNACIONES'!$A$4:$A$451,$B6)</f>
        <v/>
      </c>
      <c r="D6" s="25">
        <f>C6*p_factor_productividad</f>
        <v/>
      </c>
      <c r="E6" s="25">
        <f>SUMIFS('ORDENES'!$M$4:$M$1203,'ORDENES'!$AB$4:$AB$1203,$A6,'ORDENES'!$O$4:$O$1203,$B6,'ORDENES'!$U$4:$U$1203,"preventiva")</f>
        <v/>
      </c>
      <c r="F6" s="25">
        <f>SUMIFS('ORDENES'!$M$4:$M$1203,'ORDENES'!$AB$4:$AB$1203,$A6,'ORDENES'!$O$4:$O$1203,$B6,'ORDENES'!$U$4:$U$1203,"correctiva")</f>
        <v/>
      </c>
      <c r="G6" s="25">
        <f>E6+F6</f>
        <v/>
      </c>
      <c r="H6" s="25">
        <f>D6-G6</f>
        <v/>
      </c>
      <c r="I6" s="27">
        <f>IF(D6=0,"",G6/D6)</f>
        <v/>
      </c>
      <c r="N6" s="30">
        <f>IF(N5="","",IF(N5+7&gt;MAX('ORDENES'!$J$4:$J$1203),"",N5+7))</f>
        <v/>
      </c>
      <c r="O6" s="24">
        <f>IF(N6="","",YEAR(N6+4-WEEKDAY(N6,2))&amp;"-S"&amp;TEXT(_xlfn.ISOWEEKNUM(N6),"00"))</f>
        <v/>
      </c>
    </row>
    <row r="7">
      <c r="A7" s="24" t="inlineStr">
        <is>
          <t>TERCERO</t>
        </is>
      </c>
      <c r="B7" s="24">
        <f>$O$4</f>
        <v/>
      </c>
      <c r="C7" s="25">
        <f>SUMIFS('ASIGNACIONES'!$M$4:$M$451,'ASIGNACIONES'!$E$4:$E$451,$A7,'ASIGNACIONES'!$A$4:$A$451,$B7)</f>
        <v/>
      </c>
      <c r="D7" s="25">
        <f>C7*p_factor_productividad</f>
        <v/>
      </c>
      <c r="E7" s="25">
        <f>SUMIFS('ORDENES'!$M$4:$M$1203,'ORDENES'!$AB$4:$AB$1203,$A7,'ORDENES'!$O$4:$O$1203,$B7,'ORDENES'!$U$4:$U$1203,"preventiva")</f>
        <v/>
      </c>
      <c r="F7" s="25">
        <f>SUMIFS('ORDENES'!$M$4:$M$1203,'ORDENES'!$AB$4:$AB$1203,$A7,'ORDENES'!$O$4:$O$1203,$B7,'ORDENES'!$U$4:$U$1203,"correctiva")</f>
        <v/>
      </c>
      <c r="G7" s="25">
        <f>E7+F7</f>
        <v/>
      </c>
      <c r="H7" s="25">
        <f>D7-G7</f>
        <v/>
      </c>
      <c r="I7" s="27">
        <f>IF(D7=0,"",G7/D7)</f>
        <v/>
      </c>
      <c r="N7" s="30">
        <f>IF(N6="","",IF(N6+7&gt;MAX('ORDENES'!$J$4:$J$1203),"",N6+7))</f>
        <v/>
      </c>
      <c r="O7" s="24">
        <f>IF(N7="","",YEAR(N7+4-WEEKDAY(N7,2))&amp;"-S"&amp;TEXT(_xlfn.ISOWEEKNUM(N7),"00"))</f>
        <v/>
      </c>
    </row>
    <row r="8">
      <c r="A8" s="24" t="inlineStr">
        <is>
          <t>MEC</t>
        </is>
      </c>
      <c r="B8" s="24">
        <f>$O$5</f>
        <v/>
      </c>
      <c r="C8" s="25">
        <f>SUMIFS('ASIGNACIONES'!$M$4:$M$451,'ASIGNACIONES'!$E$4:$E$451,$A8,'ASIGNACIONES'!$A$4:$A$451,$B8)</f>
        <v/>
      </c>
      <c r="D8" s="25">
        <f>C8*p_factor_productividad</f>
        <v/>
      </c>
      <c r="E8" s="25">
        <f>SUMIFS('ORDENES'!$M$4:$M$1203,'ORDENES'!$AB$4:$AB$1203,$A8,'ORDENES'!$O$4:$O$1203,$B8,'ORDENES'!$U$4:$U$1203,"preventiva")</f>
        <v/>
      </c>
      <c r="F8" s="25">
        <f>SUMIFS('ORDENES'!$M$4:$M$1203,'ORDENES'!$AB$4:$AB$1203,$A8,'ORDENES'!$O$4:$O$1203,$B8,'ORDENES'!$U$4:$U$1203,"correctiva")</f>
        <v/>
      </c>
      <c r="G8" s="25">
        <f>E8+F8</f>
        <v/>
      </c>
      <c r="H8" s="25">
        <f>D8-G8</f>
        <v/>
      </c>
      <c r="I8" s="27">
        <f>IF(D8=0,"",G8/D8)</f>
        <v/>
      </c>
      <c r="N8" s="30">
        <f>IF(N7="","",IF(N7+7&gt;MAX('ORDENES'!$J$4:$J$1203),"",N7+7))</f>
        <v/>
      </c>
      <c r="O8" s="24">
        <f>IF(N8="","",YEAR(N8+4-WEEKDAY(N8,2))&amp;"-S"&amp;TEXT(_xlfn.ISOWEEKNUM(N8),"00"))</f>
        <v/>
      </c>
    </row>
    <row r="9">
      <c r="A9" s="24" t="inlineStr">
        <is>
          <t>ELE</t>
        </is>
      </c>
      <c r="B9" s="24">
        <f>$O$5</f>
        <v/>
      </c>
      <c r="C9" s="25">
        <f>SUMIFS('ASIGNACIONES'!$M$4:$M$451,'ASIGNACIONES'!$E$4:$E$451,$A9,'ASIGNACIONES'!$A$4:$A$451,$B9)</f>
        <v/>
      </c>
      <c r="D9" s="25">
        <f>C9*p_factor_productividad</f>
        <v/>
      </c>
      <c r="E9" s="25">
        <f>SUMIFS('ORDENES'!$M$4:$M$1203,'ORDENES'!$AB$4:$AB$1203,$A9,'ORDENES'!$O$4:$O$1203,$B9,'ORDENES'!$U$4:$U$1203,"preventiva")</f>
        <v/>
      </c>
      <c r="F9" s="25">
        <f>SUMIFS('ORDENES'!$M$4:$M$1203,'ORDENES'!$AB$4:$AB$1203,$A9,'ORDENES'!$O$4:$O$1203,$B9,'ORDENES'!$U$4:$U$1203,"correctiva")</f>
        <v/>
      </c>
      <c r="G9" s="25">
        <f>E9+F9</f>
        <v/>
      </c>
      <c r="H9" s="25">
        <f>D9-G9</f>
        <v/>
      </c>
      <c r="I9" s="27">
        <f>IF(D9=0,"",G9/D9)</f>
        <v/>
      </c>
      <c r="N9" s="30">
        <f>IF(N8="","",IF(N8+7&gt;MAX('ORDENES'!$J$4:$J$1203),"",N8+7))</f>
        <v/>
      </c>
      <c r="O9" s="24">
        <f>IF(N9="","",YEAR(N9+4-WEEKDAY(N9,2))&amp;"-S"&amp;TEXT(_xlfn.ISOWEEKNUM(N9),"00"))</f>
        <v/>
      </c>
    </row>
    <row r="10">
      <c r="A10" s="24" t="inlineStr">
        <is>
          <t>AUT</t>
        </is>
      </c>
      <c r="B10" s="24">
        <f>$O$5</f>
        <v/>
      </c>
      <c r="C10" s="25">
        <f>SUMIFS('ASIGNACIONES'!$M$4:$M$451,'ASIGNACIONES'!$E$4:$E$451,$A10,'ASIGNACIONES'!$A$4:$A$451,$B10)</f>
        <v/>
      </c>
      <c r="D10" s="25">
        <f>C10*p_factor_productividad</f>
        <v/>
      </c>
      <c r="E10" s="25">
        <f>SUMIFS('ORDENES'!$M$4:$M$1203,'ORDENES'!$AB$4:$AB$1203,$A10,'ORDENES'!$O$4:$O$1203,$B10,'ORDENES'!$U$4:$U$1203,"preventiva")</f>
        <v/>
      </c>
      <c r="F10" s="25">
        <f>SUMIFS('ORDENES'!$M$4:$M$1203,'ORDENES'!$AB$4:$AB$1203,$A10,'ORDENES'!$O$4:$O$1203,$B10,'ORDENES'!$U$4:$U$1203,"correctiva")</f>
        <v/>
      </c>
      <c r="G10" s="25">
        <f>E10+F10</f>
        <v/>
      </c>
      <c r="H10" s="25">
        <f>D10-G10</f>
        <v/>
      </c>
      <c r="I10" s="27">
        <f>IF(D10=0,"",G10/D10)</f>
        <v/>
      </c>
      <c r="N10" s="30">
        <f>IF(N9="","",IF(N9+7&gt;MAX('ORDENES'!$J$4:$J$1203),"",N9+7))</f>
        <v/>
      </c>
      <c r="O10" s="24">
        <f>IF(N10="","",YEAR(N10+4-WEEKDAY(N10,2))&amp;"-S"&amp;TEXT(_xlfn.ISOWEEKNUM(N10),"00"))</f>
        <v/>
      </c>
    </row>
    <row r="11">
      <c r="A11" s="24" t="inlineStr">
        <is>
          <t>TERCERO</t>
        </is>
      </c>
      <c r="B11" s="24">
        <f>$O$5</f>
        <v/>
      </c>
      <c r="C11" s="25">
        <f>SUMIFS('ASIGNACIONES'!$M$4:$M$451,'ASIGNACIONES'!$E$4:$E$451,$A11,'ASIGNACIONES'!$A$4:$A$451,$B11)</f>
        <v/>
      </c>
      <c r="D11" s="25">
        <f>C11*p_factor_productividad</f>
        <v/>
      </c>
      <c r="E11" s="25">
        <f>SUMIFS('ORDENES'!$M$4:$M$1203,'ORDENES'!$AB$4:$AB$1203,$A11,'ORDENES'!$O$4:$O$1203,$B11,'ORDENES'!$U$4:$U$1203,"preventiva")</f>
        <v/>
      </c>
      <c r="F11" s="25">
        <f>SUMIFS('ORDENES'!$M$4:$M$1203,'ORDENES'!$AB$4:$AB$1203,$A11,'ORDENES'!$O$4:$O$1203,$B11,'ORDENES'!$U$4:$U$1203,"correctiva")</f>
        <v/>
      </c>
      <c r="G11" s="25">
        <f>E11+F11</f>
        <v/>
      </c>
      <c r="H11" s="25">
        <f>D11-G11</f>
        <v/>
      </c>
      <c r="I11" s="27">
        <f>IF(D11=0,"",G11/D11)</f>
        <v/>
      </c>
      <c r="N11" s="30">
        <f>IF(N10="","",IF(N10+7&gt;MAX('ORDENES'!$J$4:$J$1203),"",N10+7))</f>
        <v/>
      </c>
      <c r="O11" s="24">
        <f>IF(N11="","",YEAR(N11+4-WEEKDAY(N11,2))&amp;"-S"&amp;TEXT(_xlfn.ISOWEEKNUM(N11),"00"))</f>
        <v/>
      </c>
    </row>
    <row r="12" hidden="1">
      <c r="A12" s="24" t="inlineStr">
        <is>
          <t>MEC</t>
        </is>
      </c>
      <c r="B12" s="24">
        <f>$O$6</f>
        <v/>
      </c>
      <c r="C12" s="25">
        <f>SUMIFS('ASIGNACIONES'!$M$4:$M$451,'ASIGNACIONES'!$E$4:$E$451,$A12,'ASIGNACIONES'!$A$4:$A$451,$B12)</f>
        <v/>
      </c>
      <c r="D12" s="25">
        <f>C12*p_factor_productividad</f>
        <v/>
      </c>
      <c r="E12" s="25">
        <f>SUMIFS('ORDENES'!$M$4:$M$1203,'ORDENES'!$AB$4:$AB$1203,$A12,'ORDENES'!$O$4:$O$1203,$B12,'ORDENES'!$U$4:$U$1203,"preventiva")</f>
        <v/>
      </c>
      <c r="F12" s="25">
        <f>SUMIFS('ORDENES'!$M$4:$M$1203,'ORDENES'!$AB$4:$AB$1203,$A12,'ORDENES'!$O$4:$O$1203,$B12,'ORDENES'!$U$4:$U$1203,"correctiva")</f>
        <v/>
      </c>
      <c r="G12" s="25">
        <f>E12+F12</f>
        <v/>
      </c>
      <c r="H12" s="25">
        <f>D12-G12</f>
        <v/>
      </c>
      <c r="I12" s="27">
        <f>IF(D12=0,"",G12/D12)</f>
        <v/>
      </c>
      <c r="N12" s="30">
        <f>IF(N11="","",IF(N11+7&gt;MAX('ORDENES'!$J$4:$J$1203),"",N11+7))</f>
        <v/>
      </c>
      <c r="O12" s="24">
        <f>IF(N12="","",YEAR(N12+4-WEEKDAY(N12,2))&amp;"-S"&amp;TEXT(_xlfn.ISOWEEKNUM(N12),"00"))</f>
        <v/>
      </c>
    </row>
    <row r="13" hidden="1">
      <c r="A13" s="24" t="inlineStr">
        <is>
          <t>ELE</t>
        </is>
      </c>
      <c r="B13" s="24">
        <f>$O$6</f>
        <v/>
      </c>
      <c r="C13" s="25">
        <f>SUMIFS('ASIGNACIONES'!$M$4:$M$451,'ASIGNACIONES'!$E$4:$E$451,$A13,'ASIGNACIONES'!$A$4:$A$451,$B13)</f>
        <v/>
      </c>
      <c r="D13" s="25">
        <f>C13*p_factor_productividad</f>
        <v/>
      </c>
      <c r="E13" s="25">
        <f>SUMIFS('ORDENES'!$M$4:$M$1203,'ORDENES'!$AB$4:$AB$1203,$A13,'ORDENES'!$O$4:$O$1203,$B13,'ORDENES'!$U$4:$U$1203,"preventiva")</f>
        <v/>
      </c>
      <c r="F13" s="25">
        <f>SUMIFS('ORDENES'!$M$4:$M$1203,'ORDENES'!$AB$4:$AB$1203,$A13,'ORDENES'!$O$4:$O$1203,$B13,'ORDENES'!$U$4:$U$1203,"correctiva")</f>
        <v/>
      </c>
      <c r="G13" s="25">
        <f>E13+F13</f>
        <v/>
      </c>
      <c r="H13" s="25">
        <f>D13-G13</f>
        <v/>
      </c>
      <c r="I13" s="27">
        <f>IF(D13=0,"",G13/D13)</f>
        <v/>
      </c>
      <c r="N13" s="30">
        <f>IF(N12="","",IF(N12+7&gt;MAX('ORDENES'!$J$4:$J$1203),"",N12+7))</f>
        <v/>
      </c>
      <c r="O13" s="24">
        <f>IF(N13="","",YEAR(N13+4-WEEKDAY(N13,2))&amp;"-S"&amp;TEXT(_xlfn.ISOWEEKNUM(N13),"00"))</f>
        <v/>
      </c>
    </row>
    <row r="14" hidden="1">
      <c r="A14" s="24" t="inlineStr">
        <is>
          <t>AUT</t>
        </is>
      </c>
      <c r="B14" s="24">
        <f>$O$6</f>
        <v/>
      </c>
      <c r="C14" s="25">
        <f>SUMIFS('ASIGNACIONES'!$M$4:$M$451,'ASIGNACIONES'!$E$4:$E$451,$A14,'ASIGNACIONES'!$A$4:$A$451,$B14)</f>
        <v/>
      </c>
      <c r="D14" s="25">
        <f>C14*p_factor_productividad</f>
        <v/>
      </c>
      <c r="E14" s="25">
        <f>SUMIFS('ORDENES'!$M$4:$M$1203,'ORDENES'!$AB$4:$AB$1203,$A14,'ORDENES'!$O$4:$O$1203,$B14,'ORDENES'!$U$4:$U$1203,"preventiva")</f>
        <v/>
      </c>
      <c r="F14" s="25">
        <f>SUMIFS('ORDENES'!$M$4:$M$1203,'ORDENES'!$AB$4:$AB$1203,$A14,'ORDENES'!$O$4:$O$1203,$B14,'ORDENES'!$U$4:$U$1203,"correctiva")</f>
        <v/>
      </c>
      <c r="G14" s="25">
        <f>E14+F14</f>
        <v/>
      </c>
      <c r="H14" s="25">
        <f>D14-G14</f>
        <v/>
      </c>
      <c r="I14" s="27">
        <f>IF(D14=0,"",G14/D14)</f>
        <v/>
      </c>
      <c r="N14" s="30">
        <f>IF(N13="","",IF(N13+7&gt;MAX('ORDENES'!$J$4:$J$1203),"",N13+7))</f>
        <v/>
      </c>
      <c r="O14" s="24">
        <f>IF(N14="","",YEAR(N14+4-WEEKDAY(N14,2))&amp;"-S"&amp;TEXT(_xlfn.ISOWEEKNUM(N14),"00"))</f>
        <v/>
      </c>
    </row>
    <row r="15" hidden="1">
      <c r="A15" s="24" t="inlineStr">
        <is>
          <t>TERCERO</t>
        </is>
      </c>
      <c r="B15" s="24">
        <f>$O$6</f>
        <v/>
      </c>
      <c r="C15" s="25">
        <f>SUMIFS('ASIGNACIONES'!$M$4:$M$451,'ASIGNACIONES'!$E$4:$E$451,$A15,'ASIGNACIONES'!$A$4:$A$451,$B15)</f>
        <v/>
      </c>
      <c r="D15" s="25">
        <f>C15*p_factor_productividad</f>
        <v/>
      </c>
      <c r="E15" s="25">
        <f>SUMIFS('ORDENES'!$M$4:$M$1203,'ORDENES'!$AB$4:$AB$1203,$A15,'ORDENES'!$O$4:$O$1203,$B15,'ORDENES'!$U$4:$U$1203,"preventiva")</f>
        <v/>
      </c>
      <c r="F15" s="25">
        <f>SUMIFS('ORDENES'!$M$4:$M$1203,'ORDENES'!$AB$4:$AB$1203,$A15,'ORDENES'!$O$4:$O$1203,$B15,'ORDENES'!$U$4:$U$1203,"correctiva")</f>
        <v/>
      </c>
      <c r="G15" s="25">
        <f>E15+F15</f>
        <v/>
      </c>
      <c r="H15" s="25">
        <f>D15-G15</f>
        <v/>
      </c>
      <c r="I15" s="27">
        <f>IF(D15=0,"",G15/D15)</f>
        <v/>
      </c>
      <c r="N15" s="30">
        <f>IF(N14="","",IF(N14+7&gt;MAX('ORDENES'!$J$4:$J$1203),"",N14+7))</f>
        <v/>
      </c>
      <c r="O15" s="24">
        <f>IF(N15="","",YEAR(N15+4-WEEKDAY(N15,2))&amp;"-S"&amp;TEXT(_xlfn.ISOWEEKNUM(N15),"00"))</f>
        <v/>
      </c>
    </row>
    <row r="16" hidden="1">
      <c r="A16" s="24" t="inlineStr">
        <is>
          <t>MEC</t>
        </is>
      </c>
      <c r="B16" s="24">
        <f>$O$7</f>
        <v/>
      </c>
      <c r="C16" s="25">
        <f>SUMIFS('ASIGNACIONES'!$M$4:$M$451,'ASIGNACIONES'!$E$4:$E$451,$A16,'ASIGNACIONES'!$A$4:$A$451,$B16)</f>
        <v/>
      </c>
      <c r="D16" s="25">
        <f>C16*p_factor_productividad</f>
        <v/>
      </c>
      <c r="E16" s="25">
        <f>SUMIFS('ORDENES'!$M$4:$M$1203,'ORDENES'!$AB$4:$AB$1203,$A16,'ORDENES'!$O$4:$O$1203,$B16,'ORDENES'!$U$4:$U$1203,"preventiva")</f>
        <v/>
      </c>
      <c r="F16" s="25">
        <f>SUMIFS('ORDENES'!$M$4:$M$1203,'ORDENES'!$AB$4:$AB$1203,$A16,'ORDENES'!$O$4:$O$1203,$B16,'ORDENES'!$U$4:$U$1203,"correctiva")</f>
        <v/>
      </c>
      <c r="G16" s="25">
        <f>E16+F16</f>
        <v/>
      </c>
      <c r="H16" s="25">
        <f>D16-G16</f>
        <v/>
      </c>
      <c r="I16" s="27">
        <f>IF(D16=0,"",G16/D16)</f>
        <v/>
      </c>
      <c r="N16" s="30">
        <f>IF(N15="","",IF(N15+7&gt;MAX('ORDENES'!$J$4:$J$1203),"",N15+7))</f>
        <v/>
      </c>
      <c r="O16" s="24">
        <f>IF(N16="","",YEAR(N16+4-WEEKDAY(N16,2))&amp;"-S"&amp;TEXT(_xlfn.ISOWEEKNUM(N16),"00"))</f>
        <v/>
      </c>
    </row>
    <row r="17" hidden="1">
      <c r="A17" s="24" t="inlineStr">
        <is>
          <t>ELE</t>
        </is>
      </c>
      <c r="B17" s="24">
        <f>$O$7</f>
        <v/>
      </c>
      <c r="C17" s="25">
        <f>SUMIFS('ASIGNACIONES'!$M$4:$M$451,'ASIGNACIONES'!$E$4:$E$451,$A17,'ASIGNACIONES'!$A$4:$A$451,$B17)</f>
        <v/>
      </c>
      <c r="D17" s="25">
        <f>C17*p_factor_productividad</f>
        <v/>
      </c>
      <c r="E17" s="25">
        <f>SUMIFS('ORDENES'!$M$4:$M$1203,'ORDENES'!$AB$4:$AB$1203,$A17,'ORDENES'!$O$4:$O$1203,$B17,'ORDENES'!$U$4:$U$1203,"preventiva")</f>
        <v/>
      </c>
      <c r="F17" s="25">
        <f>SUMIFS('ORDENES'!$M$4:$M$1203,'ORDENES'!$AB$4:$AB$1203,$A17,'ORDENES'!$O$4:$O$1203,$B17,'ORDENES'!$U$4:$U$1203,"correctiva")</f>
        <v/>
      </c>
      <c r="G17" s="25">
        <f>E17+F17</f>
        <v/>
      </c>
      <c r="H17" s="25">
        <f>D17-G17</f>
        <v/>
      </c>
      <c r="I17" s="27">
        <f>IF(D17=0,"",G17/D17)</f>
        <v/>
      </c>
      <c r="N17" s="30">
        <f>IF(N16="","",IF(N16+7&gt;MAX('ORDENES'!$J$4:$J$1203),"",N16+7))</f>
        <v/>
      </c>
      <c r="O17" s="24">
        <f>IF(N17="","",YEAR(N17+4-WEEKDAY(N17,2))&amp;"-S"&amp;TEXT(_xlfn.ISOWEEKNUM(N17),"00"))</f>
        <v/>
      </c>
    </row>
    <row r="18" hidden="1">
      <c r="A18" s="24" t="inlineStr">
        <is>
          <t>AUT</t>
        </is>
      </c>
      <c r="B18" s="24">
        <f>$O$7</f>
        <v/>
      </c>
      <c r="C18" s="25">
        <f>SUMIFS('ASIGNACIONES'!$M$4:$M$451,'ASIGNACIONES'!$E$4:$E$451,$A18,'ASIGNACIONES'!$A$4:$A$451,$B18)</f>
        <v/>
      </c>
      <c r="D18" s="25">
        <f>C18*p_factor_productividad</f>
        <v/>
      </c>
      <c r="E18" s="25">
        <f>SUMIFS('ORDENES'!$M$4:$M$1203,'ORDENES'!$AB$4:$AB$1203,$A18,'ORDENES'!$O$4:$O$1203,$B18,'ORDENES'!$U$4:$U$1203,"preventiva")</f>
        <v/>
      </c>
      <c r="F18" s="25">
        <f>SUMIFS('ORDENES'!$M$4:$M$1203,'ORDENES'!$AB$4:$AB$1203,$A18,'ORDENES'!$O$4:$O$1203,$B18,'ORDENES'!$U$4:$U$1203,"correctiva")</f>
        <v/>
      </c>
      <c r="G18" s="25">
        <f>E18+F18</f>
        <v/>
      </c>
      <c r="H18" s="25">
        <f>D18-G18</f>
        <v/>
      </c>
      <c r="I18" s="27">
        <f>IF(D18=0,"",G18/D18)</f>
        <v/>
      </c>
      <c r="N18" s="30">
        <f>IF(N17="","",IF(N17+7&gt;MAX('ORDENES'!$J$4:$J$1203),"",N17+7))</f>
        <v/>
      </c>
      <c r="O18" s="24">
        <f>IF(N18="","",YEAR(N18+4-WEEKDAY(N18,2))&amp;"-S"&amp;TEXT(_xlfn.ISOWEEKNUM(N18),"00"))</f>
        <v/>
      </c>
    </row>
    <row r="19" hidden="1">
      <c r="A19" s="24" t="inlineStr">
        <is>
          <t>TERCERO</t>
        </is>
      </c>
      <c r="B19" s="24">
        <f>$O$7</f>
        <v/>
      </c>
      <c r="C19" s="25">
        <f>SUMIFS('ASIGNACIONES'!$M$4:$M$451,'ASIGNACIONES'!$E$4:$E$451,$A19,'ASIGNACIONES'!$A$4:$A$451,$B19)</f>
        <v/>
      </c>
      <c r="D19" s="25">
        <f>C19*p_factor_productividad</f>
        <v/>
      </c>
      <c r="E19" s="25">
        <f>SUMIFS('ORDENES'!$M$4:$M$1203,'ORDENES'!$AB$4:$AB$1203,$A19,'ORDENES'!$O$4:$O$1203,$B19,'ORDENES'!$U$4:$U$1203,"preventiva")</f>
        <v/>
      </c>
      <c r="F19" s="25">
        <f>SUMIFS('ORDENES'!$M$4:$M$1203,'ORDENES'!$AB$4:$AB$1203,$A19,'ORDENES'!$O$4:$O$1203,$B19,'ORDENES'!$U$4:$U$1203,"correctiva")</f>
        <v/>
      </c>
      <c r="G19" s="25">
        <f>E19+F19</f>
        <v/>
      </c>
      <c r="H19" s="25">
        <f>D19-G19</f>
        <v/>
      </c>
      <c r="I19" s="27">
        <f>IF(D19=0,"",G19/D19)</f>
        <v/>
      </c>
      <c r="N19" s="30">
        <f>IF(N18="","",IF(N18+7&gt;MAX('ORDENES'!$J$4:$J$1203),"",N18+7))</f>
        <v/>
      </c>
      <c r="O19" s="24">
        <f>IF(N19="","",YEAR(N19+4-WEEKDAY(N19,2))&amp;"-S"&amp;TEXT(_xlfn.ISOWEEKNUM(N19),"00"))</f>
        <v/>
      </c>
    </row>
    <row r="20" hidden="1">
      <c r="A20" s="24" t="inlineStr">
        <is>
          <t>MEC</t>
        </is>
      </c>
      <c r="B20" s="24">
        <f>$O$8</f>
        <v/>
      </c>
      <c r="C20" s="25">
        <f>SUMIFS('ASIGNACIONES'!$M$4:$M$451,'ASIGNACIONES'!$E$4:$E$451,$A20,'ASIGNACIONES'!$A$4:$A$451,$B20)</f>
        <v/>
      </c>
      <c r="D20" s="25">
        <f>C20*p_factor_productividad</f>
        <v/>
      </c>
      <c r="E20" s="25">
        <f>SUMIFS('ORDENES'!$M$4:$M$1203,'ORDENES'!$AB$4:$AB$1203,$A20,'ORDENES'!$O$4:$O$1203,$B20,'ORDENES'!$U$4:$U$1203,"preventiva")</f>
        <v/>
      </c>
      <c r="F20" s="25">
        <f>SUMIFS('ORDENES'!$M$4:$M$1203,'ORDENES'!$AB$4:$AB$1203,$A20,'ORDENES'!$O$4:$O$1203,$B20,'ORDENES'!$U$4:$U$1203,"correctiva")</f>
        <v/>
      </c>
      <c r="G20" s="25">
        <f>E20+F20</f>
        <v/>
      </c>
      <c r="H20" s="25">
        <f>D20-G20</f>
        <v/>
      </c>
      <c r="I20" s="27">
        <f>IF(D20=0,"",G20/D20)</f>
        <v/>
      </c>
      <c r="N20" s="30">
        <f>IF(N19="","",IF(N19+7&gt;MAX('ORDENES'!$J$4:$J$1203),"",N19+7))</f>
        <v/>
      </c>
      <c r="O20" s="24">
        <f>IF(N20="","",YEAR(N20+4-WEEKDAY(N20,2))&amp;"-S"&amp;TEXT(_xlfn.ISOWEEKNUM(N20),"00"))</f>
        <v/>
      </c>
    </row>
    <row r="21" hidden="1">
      <c r="A21" s="24" t="inlineStr">
        <is>
          <t>ELE</t>
        </is>
      </c>
      <c r="B21" s="24">
        <f>$O$8</f>
        <v/>
      </c>
      <c r="C21" s="25">
        <f>SUMIFS('ASIGNACIONES'!$M$4:$M$451,'ASIGNACIONES'!$E$4:$E$451,$A21,'ASIGNACIONES'!$A$4:$A$451,$B21)</f>
        <v/>
      </c>
      <c r="D21" s="25">
        <f>C21*p_factor_productividad</f>
        <v/>
      </c>
      <c r="E21" s="25">
        <f>SUMIFS('ORDENES'!$M$4:$M$1203,'ORDENES'!$AB$4:$AB$1203,$A21,'ORDENES'!$O$4:$O$1203,$B21,'ORDENES'!$U$4:$U$1203,"preventiva")</f>
        <v/>
      </c>
      <c r="F21" s="25">
        <f>SUMIFS('ORDENES'!$M$4:$M$1203,'ORDENES'!$AB$4:$AB$1203,$A21,'ORDENES'!$O$4:$O$1203,$B21,'ORDENES'!$U$4:$U$1203,"correctiva")</f>
        <v/>
      </c>
      <c r="G21" s="25">
        <f>E21+F21</f>
        <v/>
      </c>
      <c r="H21" s="25">
        <f>D21-G21</f>
        <v/>
      </c>
      <c r="I21" s="27">
        <f>IF(D21=0,"",G21/D21)</f>
        <v/>
      </c>
      <c r="N21" s="30">
        <f>IF(N20="","",IF(N20+7&gt;MAX('ORDENES'!$J$4:$J$1203),"",N20+7))</f>
        <v/>
      </c>
      <c r="O21" s="24">
        <f>IF(N21="","",YEAR(N21+4-WEEKDAY(N21,2))&amp;"-S"&amp;TEXT(_xlfn.ISOWEEKNUM(N21),"00"))</f>
        <v/>
      </c>
    </row>
    <row r="22" hidden="1">
      <c r="A22" s="24" t="inlineStr">
        <is>
          <t>AUT</t>
        </is>
      </c>
      <c r="B22" s="24">
        <f>$O$8</f>
        <v/>
      </c>
      <c r="C22" s="25">
        <f>SUMIFS('ASIGNACIONES'!$M$4:$M$451,'ASIGNACIONES'!$E$4:$E$451,$A22,'ASIGNACIONES'!$A$4:$A$451,$B22)</f>
        <v/>
      </c>
      <c r="D22" s="25">
        <f>C22*p_factor_productividad</f>
        <v/>
      </c>
      <c r="E22" s="25">
        <f>SUMIFS('ORDENES'!$M$4:$M$1203,'ORDENES'!$AB$4:$AB$1203,$A22,'ORDENES'!$O$4:$O$1203,$B22,'ORDENES'!$U$4:$U$1203,"preventiva")</f>
        <v/>
      </c>
      <c r="F22" s="25">
        <f>SUMIFS('ORDENES'!$M$4:$M$1203,'ORDENES'!$AB$4:$AB$1203,$A22,'ORDENES'!$O$4:$O$1203,$B22,'ORDENES'!$U$4:$U$1203,"correctiva")</f>
        <v/>
      </c>
      <c r="G22" s="25">
        <f>E22+F22</f>
        <v/>
      </c>
      <c r="H22" s="25">
        <f>D22-G22</f>
        <v/>
      </c>
      <c r="I22" s="27">
        <f>IF(D22=0,"",G22/D22)</f>
        <v/>
      </c>
      <c r="N22" s="30">
        <f>IF(N21="","",IF(N21+7&gt;MAX('ORDENES'!$J$4:$J$1203),"",N21+7))</f>
        <v/>
      </c>
      <c r="O22" s="24">
        <f>IF(N22="","",YEAR(N22+4-WEEKDAY(N22,2))&amp;"-S"&amp;TEXT(_xlfn.ISOWEEKNUM(N22),"00"))</f>
        <v/>
      </c>
    </row>
    <row r="23" hidden="1">
      <c r="A23" s="24" t="inlineStr">
        <is>
          <t>TERCERO</t>
        </is>
      </c>
      <c r="B23" s="24">
        <f>$O$8</f>
        <v/>
      </c>
      <c r="C23" s="25">
        <f>SUMIFS('ASIGNACIONES'!$M$4:$M$451,'ASIGNACIONES'!$E$4:$E$451,$A23,'ASIGNACIONES'!$A$4:$A$451,$B23)</f>
        <v/>
      </c>
      <c r="D23" s="25">
        <f>C23*p_factor_productividad</f>
        <v/>
      </c>
      <c r="E23" s="25">
        <f>SUMIFS('ORDENES'!$M$4:$M$1203,'ORDENES'!$AB$4:$AB$1203,$A23,'ORDENES'!$O$4:$O$1203,$B23,'ORDENES'!$U$4:$U$1203,"preventiva")</f>
        <v/>
      </c>
      <c r="F23" s="25">
        <f>SUMIFS('ORDENES'!$M$4:$M$1203,'ORDENES'!$AB$4:$AB$1203,$A23,'ORDENES'!$O$4:$O$1203,$B23,'ORDENES'!$U$4:$U$1203,"correctiva")</f>
        <v/>
      </c>
      <c r="G23" s="25">
        <f>E23+F23</f>
        <v/>
      </c>
      <c r="H23" s="25">
        <f>D23-G23</f>
        <v/>
      </c>
      <c r="I23" s="27">
        <f>IF(D23=0,"",G23/D23)</f>
        <v/>
      </c>
      <c r="N23" s="30">
        <f>IF(N22="","",IF(N22+7&gt;MAX('ORDENES'!$J$4:$J$1203),"",N22+7))</f>
        <v/>
      </c>
      <c r="O23" s="24">
        <f>IF(N23="","",YEAR(N23+4-WEEKDAY(N23,2))&amp;"-S"&amp;TEXT(_xlfn.ISOWEEKNUM(N23),"00"))</f>
        <v/>
      </c>
    </row>
    <row r="24" hidden="1">
      <c r="A24" s="24" t="inlineStr">
        <is>
          <t>MEC</t>
        </is>
      </c>
      <c r="B24" s="24">
        <f>$O$9</f>
        <v/>
      </c>
      <c r="C24" s="25">
        <f>SUMIFS('ASIGNACIONES'!$M$4:$M$451,'ASIGNACIONES'!$E$4:$E$451,$A24,'ASIGNACIONES'!$A$4:$A$451,$B24)</f>
        <v/>
      </c>
      <c r="D24" s="25">
        <f>C24*p_factor_productividad</f>
        <v/>
      </c>
      <c r="E24" s="25">
        <f>SUMIFS('ORDENES'!$M$4:$M$1203,'ORDENES'!$AB$4:$AB$1203,$A24,'ORDENES'!$O$4:$O$1203,$B24,'ORDENES'!$U$4:$U$1203,"preventiva")</f>
        <v/>
      </c>
      <c r="F24" s="25">
        <f>SUMIFS('ORDENES'!$M$4:$M$1203,'ORDENES'!$AB$4:$AB$1203,$A24,'ORDENES'!$O$4:$O$1203,$B24,'ORDENES'!$U$4:$U$1203,"correctiva")</f>
        <v/>
      </c>
      <c r="G24" s="25">
        <f>E24+F24</f>
        <v/>
      </c>
      <c r="H24" s="25">
        <f>D24-G24</f>
        <v/>
      </c>
      <c r="I24" s="27">
        <f>IF(D24=0,"",G24/D24)</f>
        <v/>
      </c>
      <c r="N24" s="30">
        <f>IF(N23="","",IF(N23+7&gt;MAX('ORDENES'!$J$4:$J$1203),"",N23+7))</f>
        <v/>
      </c>
      <c r="O24" s="24">
        <f>IF(N24="","",YEAR(N24+4-WEEKDAY(N24,2))&amp;"-S"&amp;TEXT(_xlfn.ISOWEEKNUM(N24),"00"))</f>
        <v/>
      </c>
    </row>
    <row r="25" hidden="1">
      <c r="A25" s="24" t="inlineStr">
        <is>
          <t>ELE</t>
        </is>
      </c>
      <c r="B25" s="24">
        <f>$O$9</f>
        <v/>
      </c>
      <c r="C25" s="25">
        <f>SUMIFS('ASIGNACIONES'!$M$4:$M$451,'ASIGNACIONES'!$E$4:$E$451,$A25,'ASIGNACIONES'!$A$4:$A$451,$B25)</f>
        <v/>
      </c>
      <c r="D25" s="25">
        <f>C25*p_factor_productividad</f>
        <v/>
      </c>
      <c r="E25" s="25">
        <f>SUMIFS('ORDENES'!$M$4:$M$1203,'ORDENES'!$AB$4:$AB$1203,$A25,'ORDENES'!$O$4:$O$1203,$B25,'ORDENES'!$U$4:$U$1203,"preventiva")</f>
        <v/>
      </c>
      <c r="F25" s="25">
        <f>SUMIFS('ORDENES'!$M$4:$M$1203,'ORDENES'!$AB$4:$AB$1203,$A25,'ORDENES'!$O$4:$O$1203,$B25,'ORDENES'!$U$4:$U$1203,"correctiva")</f>
        <v/>
      </c>
      <c r="G25" s="25">
        <f>E25+F25</f>
        <v/>
      </c>
      <c r="H25" s="25">
        <f>D25-G25</f>
        <v/>
      </c>
      <c r="I25" s="27">
        <f>IF(D25=0,"",G25/D25)</f>
        <v/>
      </c>
      <c r="N25" s="30">
        <f>IF(N24="","",IF(N24+7&gt;MAX('ORDENES'!$J$4:$J$1203),"",N24+7))</f>
        <v/>
      </c>
      <c r="O25" s="24">
        <f>IF(N25="","",YEAR(N25+4-WEEKDAY(N25,2))&amp;"-S"&amp;TEXT(_xlfn.ISOWEEKNUM(N25),"00"))</f>
        <v/>
      </c>
    </row>
    <row r="26" hidden="1">
      <c r="A26" s="24" t="inlineStr">
        <is>
          <t>AUT</t>
        </is>
      </c>
      <c r="B26" s="24">
        <f>$O$9</f>
        <v/>
      </c>
      <c r="C26" s="25">
        <f>SUMIFS('ASIGNACIONES'!$M$4:$M$451,'ASIGNACIONES'!$E$4:$E$451,$A26,'ASIGNACIONES'!$A$4:$A$451,$B26)</f>
        <v/>
      </c>
      <c r="D26" s="25">
        <f>C26*p_factor_productividad</f>
        <v/>
      </c>
      <c r="E26" s="25">
        <f>SUMIFS('ORDENES'!$M$4:$M$1203,'ORDENES'!$AB$4:$AB$1203,$A26,'ORDENES'!$O$4:$O$1203,$B26,'ORDENES'!$U$4:$U$1203,"preventiva")</f>
        <v/>
      </c>
      <c r="F26" s="25">
        <f>SUMIFS('ORDENES'!$M$4:$M$1203,'ORDENES'!$AB$4:$AB$1203,$A26,'ORDENES'!$O$4:$O$1203,$B26,'ORDENES'!$U$4:$U$1203,"correctiva")</f>
        <v/>
      </c>
      <c r="G26" s="25">
        <f>E26+F26</f>
        <v/>
      </c>
      <c r="H26" s="25">
        <f>D26-G26</f>
        <v/>
      </c>
      <c r="I26" s="27">
        <f>IF(D26=0,"",G26/D26)</f>
        <v/>
      </c>
      <c r="N26" s="30">
        <f>IF(N25="","",IF(N25+7&gt;MAX('ORDENES'!$J$4:$J$1203),"",N25+7))</f>
        <v/>
      </c>
      <c r="O26" s="24">
        <f>IF(N26="","",YEAR(N26+4-WEEKDAY(N26,2))&amp;"-S"&amp;TEXT(_xlfn.ISOWEEKNUM(N26),"00"))</f>
        <v/>
      </c>
    </row>
    <row r="27" hidden="1">
      <c r="A27" s="24" t="inlineStr">
        <is>
          <t>TERCERO</t>
        </is>
      </c>
      <c r="B27" s="24">
        <f>$O$9</f>
        <v/>
      </c>
      <c r="C27" s="25">
        <f>SUMIFS('ASIGNACIONES'!$M$4:$M$451,'ASIGNACIONES'!$E$4:$E$451,$A27,'ASIGNACIONES'!$A$4:$A$451,$B27)</f>
        <v/>
      </c>
      <c r="D27" s="25">
        <f>C27*p_factor_productividad</f>
        <v/>
      </c>
      <c r="E27" s="25">
        <f>SUMIFS('ORDENES'!$M$4:$M$1203,'ORDENES'!$AB$4:$AB$1203,$A27,'ORDENES'!$O$4:$O$1203,$B27,'ORDENES'!$U$4:$U$1203,"preventiva")</f>
        <v/>
      </c>
      <c r="F27" s="25">
        <f>SUMIFS('ORDENES'!$M$4:$M$1203,'ORDENES'!$AB$4:$AB$1203,$A27,'ORDENES'!$O$4:$O$1203,$B27,'ORDENES'!$U$4:$U$1203,"correctiva")</f>
        <v/>
      </c>
      <c r="G27" s="25">
        <f>E27+F27</f>
        <v/>
      </c>
      <c r="H27" s="25">
        <f>D27-G27</f>
        <v/>
      </c>
      <c r="I27" s="27">
        <f>IF(D27=0,"",G27/D27)</f>
        <v/>
      </c>
      <c r="N27" s="30">
        <f>IF(N26="","",IF(N26+7&gt;MAX('ORDENES'!$J$4:$J$1203),"",N26+7))</f>
        <v/>
      </c>
      <c r="O27" s="24">
        <f>IF(N27="","",YEAR(N27+4-WEEKDAY(N27,2))&amp;"-S"&amp;TEXT(_xlfn.ISOWEEKNUM(N27),"00"))</f>
        <v/>
      </c>
    </row>
    <row r="28" hidden="1">
      <c r="A28" s="24" t="inlineStr">
        <is>
          <t>MEC</t>
        </is>
      </c>
      <c r="B28" s="24">
        <f>$O$10</f>
        <v/>
      </c>
      <c r="C28" s="25">
        <f>SUMIFS('ASIGNACIONES'!$M$4:$M$451,'ASIGNACIONES'!$E$4:$E$451,$A28,'ASIGNACIONES'!$A$4:$A$451,$B28)</f>
        <v/>
      </c>
      <c r="D28" s="25">
        <f>C28*p_factor_productividad</f>
        <v/>
      </c>
      <c r="E28" s="25">
        <f>SUMIFS('ORDENES'!$M$4:$M$1203,'ORDENES'!$AB$4:$AB$1203,$A28,'ORDENES'!$O$4:$O$1203,$B28,'ORDENES'!$U$4:$U$1203,"preventiva")</f>
        <v/>
      </c>
      <c r="F28" s="25">
        <f>SUMIFS('ORDENES'!$M$4:$M$1203,'ORDENES'!$AB$4:$AB$1203,$A28,'ORDENES'!$O$4:$O$1203,$B28,'ORDENES'!$U$4:$U$1203,"correctiva")</f>
        <v/>
      </c>
      <c r="G28" s="25">
        <f>E28+F28</f>
        <v/>
      </c>
      <c r="H28" s="25">
        <f>D28-G28</f>
        <v/>
      </c>
      <c r="I28" s="27">
        <f>IF(D28=0,"",G28/D28)</f>
        <v/>
      </c>
      <c r="N28" s="30">
        <f>IF(N27="","",IF(N27+7&gt;MAX('ORDENES'!$J$4:$J$1203),"",N27+7))</f>
        <v/>
      </c>
      <c r="O28" s="24">
        <f>IF(N28="","",YEAR(N28+4-WEEKDAY(N28,2))&amp;"-S"&amp;TEXT(_xlfn.ISOWEEKNUM(N28),"00"))</f>
        <v/>
      </c>
    </row>
    <row r="29" hidden="1">
      <c r="A29" s="24" t="inlineStr">
        <is>
          <t>ELE</t>
        </is>
      </c>
      <c r="B29" s="24">
        <f>$O$10</f>
        <v/>
      </c>
      <c r="C29" s="25">
        <f>SUMIFS('ASIGNACIONES'!$M$4:$M$451,'ASIGNACIONES'!$E$4:$E$451,$A29,'ASIGNACIONES'!$A$4:$A$451,$B29)</f>
        <v/>
      </c>
      <c r="D29" s="25">
        <f>C29*p_factor_productividad</f>
        <v/>
      </c>
      <c r="E29" s="25">
        <f>SUMIFS('ORDENES'!$M$4:$M$1203,'ORDENES'!$AB$4:$AB$1203,$A29,'ORDENES'!$O$4:$O$1203,$B29,'ORDENES'!$U$4:$U$1203,"preventiva")</f>
        <v/>
      </c>
      <c r="F29" s="25">
        <f>SUMIFS('ORDENES'!$M$4:$M$1203,'ORDENES'!$AB$4:$AB$1203,$A29,'ORDENES'!$O$4:$O$1203,$B29,'ORDENES'!$U$4:$U$1203,"correctiva")</f>
        <v/>
      </c>
      <c r="G29" s="25">
        <f>E29+F29</f>
        <v/>
      </c>
      <c r="H29" s="25">
        <f>D29-G29</f>
        <v/>
      </c>
      <c r="I29" s="27">
        <f>IF(D29=0,"",G29/D29)</f>
        <v/>
      </c>
      <c r="N29" s="30">
        <f>IF(N28="","",IF(N28+7&gt;MAX('ORDENES'!$J$4:$J$1203),"",N28+7))</f>
        <v/>
      </c>
      <c r="O29" s="24">
        <f>IF(N29="","",YEAR(N29+4-WEEKDAY(N29,2))&amp;"-S"&amp;TEXT(_xlfn.ISOWEEKNUM(N29),"00"))</f>
        <v/>
      </c>
    </row>
    <row r="30" hidden="1">
      <c r="A30" s="24" t="inlineStr">
        <is>
          <t>AUT</t>
        </is>
      </c>
      <c r="B30" s="24">
        <f>$O$10</f>
        <v/>
      </c>
      <c r="C30" s="25">
        <f>SUMIFS('ASIGNACIONES'!$M$4:$M$451,'ASIGNACIONES'!$E$4:$E$451,$A30,'ASIGNACIONES'!$A$4:$A$451,$B30)</f>
        <v/>
      </c>
      <c r="D30" s="25">
        <f>C30*p_factor_productividad</f>
        <v/>
      </c>
      <c r="E30" s="25">
        <f>SUMIFS('ORDENES'!$M$4:$M$1203,'ORDENES'!$AB$4:$AB$1203,$A30,'ORDENES'!$O$4:$O$1203,$B30,'ORDENES'!$U$4:$U$1203,"preventiva")</f>
        <v/>
      </c>
      <c r="F30" s="25">
        <f>SUMIFS('ORDENES'!$M$4:$M$1203,'ORDENES'!$AB$4:$AB$1203,$A30,'ORDENES'!$O$4:$O$1203,$B30,'ORDENES'!$U$4:$U$1203,"correctiva")</f>
        <v/>
      </c>
      <c r="G30" s="25">
        <f>E30+F30</f>
        <v/>
      </c>
      <c r="H30" s="25">
        <f>D30-G30</f>
        <v/>
      </c>
      <c r="I30" s="27">
        <f>IF(D30=0,"",G30/D30)</f>
        <v/>
      </c>
      <c r="N30" s="30">
        <f>IF(N29="","",IF(N29+7&gt;MAX('ORDENES'!$J$4:$J$1203),"",N29+7))</f>
        <v/>
      </c>
      <c r="O30" s="24">
        <f>IF(N30="","",YEAR(N30+4-WEEKDAY(N30,2))&amp;"-S"&amp;TEXT(_xlfn.ISOWEEKNUM(N30),"00"))</f>
        <v/>
      </c>
    </row>
    <row r="31" hidden="1">
      <c r="A31" s="24" t="inlineStr">
        <is>
          <t>TERCERO</t>
        </is>
      </c>
      <c r="B31" s="24">
        <f>$O$10</f>
        <v/>
      </c>
      <c r="C31" s="25">
        <f>SUMIFS('ASIGNACIONES'!$M$4:$M$451,'ASIGNACIONES'!$E$4:$E$451,$A31,'ASIGNACIONES'!$A$4:$A$451,$B31)</f>
        <v/>
      </c>
      <c r="D31" s="25">
        <f>C31*p_factor_productividad</f>
        <v/>
      </c>
      <c r="E31" s="25">
        <f>SUMIFS('ORDENES'!$M$4:$M$1203,'ORDENES'!$AB$4:$AB$1203,$A31,'ORDENES'!$O$4:$O$1203,$B31,'ORDENES'!$U$4:$U$1203,"preventiva")</f>
        <v/>
      </c>
      <c r="F31" s="25">
        <f>SUMIFS('ORDENES'!$M$4:$M$1203,'ORDENES'!$AB$4:$AB$1203,$A31,'ORDENES'!$O$4:$O$1203,$B31,'ORDENES'!$U$4:$U$1203,"correctiva")</f>
        <v/>
      </c>
      <c r="G31" s="25">
        <f>E31+F31</f>
        <v/>
      </c>
      <c r="H31" s="25">
        <f>D31-G31</f>
        <v/>
      </c>
      <c r="I31" s="27">
        <f>IF(D31=0,"",G31/D31)</f>
        <v/>
      </c>
      <c r="N31" s="30">
        <f>IF(N30="","",IF(N30+7&gt;MAX('ORDENES'!$J$4:$J$1203),"",N30+7))</f>
        <v/>
      </c>
      <c r="O31" s="24">
        <f>IF(N31="","",YEAR(N31+4-WEEKDAY(N31,2))&amp;"-S"&amp;TEXT(_xlfn.ISOWEEKNUM(N31),"00"))</f>
        <v/>
      </c>
    </row>
    <row r="32" hidden="1">
      <c r="A32" s="24" t="inlineStr">
        <is>
          <t>MEC</t>
        </is>
      </c>
      <c r="B32" s="24">
        <f>$O$11</f>
        <v/>
      </c>
      <c r="C32" s="25">
        <f>SUMIFS('ASIGNACIONES'!$M$4:$M$451,'ASIGNACIONES'!$E$4:$E$451,$A32,'ASIGNACIONES'!$A$4:$A$451,$B32)</f>
        <v/>
      </c>
      <c r="D32" s="25">
        <f>C32*p_factor_productividad</f>
        <v/>
      </c>
      <c r="E32" s="25">
        <f>SUMIFS('ORDENES'!$M$4:$M$1203,'ORDENES'!$AB$4:$AB$1203,$A32,'ORDENES'!$O$4:$O$1203,$B32,'ORDENES'!$U$4:$U$1203,"preventiva")</f>
        <v/>
      </c>
      <c r="F32" s="25">
        <f>SUMIFS('ORDENES'!$M$4:$M$1203,'ORDENES'!$AB$4:$AB$1203,$A32,'ORDENES'!$O$4:$O$1203,$B32,'ORDENES'!$U$4:$U$1203,"correctiva")</f>
        <v/>
      </c>
      <c r="G32" s="25">
        <f>E32+F32</f>
        <v/>
      </c>
      <c r="H32" s="25">
        <f>D32-G32</f>
        <v/>
      </c>
      <c r="I32" s="27">
        <f>IF(D32=0,"",G32/D32)</f>
        <v/>
      </c>
      <c r="N32" s="30">
        <f>IF(N31="","",IF(N31+7&gt;MAX('ORDENES'!$J$4:$J$1203),"",N31+7))</f>
        <v/>
      </c>
      <c r="O32" s="24">
        <f>IF(N32="","",YEAR(N32+4-WEEKDAY(N32,2))&amp;"-S"&amp;TEXT(_xlfn.ISOWEEKNUM(N32),"00"))</f>
        <v/>
      </c>
    </row>
    <row r="33" hidden="1">
      <c r="A33" s="24" t="inlineStr">
        <is>
          <t>ELE</t>
        </is>
      </c>
      <c r="B33" s="24">
        <f>$O$11</f>
        <v/>
      </c>
      <c r="C33" s="25">
        <f>SUMIFS('ASIGNACIONES'!$M$4:$M$451,'ASIGNACIONES'!$E$4:$E$451,$A33,'ASIGNACIONES'!$A$4:$A$451,$B33)</f>
        <v/>
      </c>
      <c r="D33" s="25">
        <f>C33*p_factor_productividad</f>
        <v/>
      </c>
      <c r="E33" s="25">
        <f>SUMIFS('ORDENES'!$M$4:$M$1203,'ORDENES'!$AB$4:$AB$1203,$A33,'ORDENES'!$O$4:$O$1203,$B33,'ORDENES'!$U$4:$U$1203,"preventiva")</f>
        <v/>
      </c>
      <c r="F33" s="25">
        <f>SUMIFS('ORDENES'!$M$4:$M$1203,'ORDENES'!$AB$4:$AB$1203,$A33,'ORDENES'!$O$4:$O$1203,$B33,'ORDENES'!$U$4:$U$1203,"correctiva")</f>
        <v/>
      </c>
      <c r="G33" s="25">
        <f>E33+F33</f>
        <v/>
      </c>
      <c r="H33" s="25">
        <f>D33-G33</f>
        <v/>
      </c>
      <c r="I33" s="27">
        <f>IF(D33=0,"",G33/D33)</f>
        <v/>
      </c>
      <c r="N33" s="30">
        <f>IF(N32="","",IF(N32+7&gt;MAX('ORDENES'!$J$4:$J$1203),"",N32+7))</f>
        <v/>
      </c>
      <c r="O33" s="24">
        <f>IF(N33="","",YEAR(N33+4-WEEKDAY(N33,2))&amp;"-S"&amp;TEXT(_xlfn.ISOWEEKNUM(N33),"00"))</f>
        <v/>
      </c>
    </row>
    <row r="34" hidden="1">
      <c r="A34" s="24" t="inlineStr">
        <is>
          <t>AUT</t>
        </is>
      </c>
      <c r="B34" s="24">
        <f>$O$11</f>
        <v/>
      </c>
      <c r="C34" s="25">
        <f>SUMIFS('ASIGNACIONES'!$M$4:$M$451,'ASIGNACIONES'!$E$4:$E$451,$A34,'ASIGNACIONES'!$A$4:$A$451,$B34)</f>
        <v/>
      </c>
      <c r="D34" s="25">
        <f>C34*p_factor_productividad</f>
        <v/>
      </c>
      <c r="E34" s="25">
        <f>SUMIFS('ORDENES'!$M$4:$M$1203,'ORDENES'!$AB$4:$AB$1203,$A34,'ORDENES'!$O$4:$O$1203,$B34,'ORDENES'!$U$4:$U$1203,"preventiva")</f>
        <v/>
      </c>
      <c r="F34" s="25">
        <f>SUMIFS('ORDENES'!$M$4:$M$1203,'ORDENES'!$AB$4:$AB$1203,$A34,'ORDENES'!$O$4:$O$1203,$B34,'ORDENES'!$U$4:$U$1203,"correctiva")</f>
        <v/>
      </c>
      <c r="G34" s="25">
        <f>E34+F34</f>
        <v/>
      </c>
      <c r="H34" s="25">
        <f>D34-G34</f>
        <v/>
      </c>
      <c r="I34" s="27">
        <f>IF(D34=0,"",G34/D34)</f>
        <v/>
      </c>
      <c r="N34" s="30">
        <f>IF(N33="","",IF(N33+7&gt;MAX('ORDENES'!$J$4:$J$1203),"",N33+7))</f>
        <v/>
      </c>
      <c r="O34" s="24">
        <f>IF(N34="","",YEAR(N34+4-WEEKDAY(N34,2))&amp;"-S"&amp;TEXT(_xlfn.ISOWEEKNUM(N34),"00"))</f>
        <v/>
      </c>
    </row>
    <row r="35" hidden="1">
      <c r="A35" s="24" t="inlineStr">
        <is>
          <t>TERCERO</t>
        </is>
      </c>
      <c r="B35" s="24">
        <f>$O$11</f>
        <v/>
      </c>
      <c r="C35" s="25">
        <f>SUMIFS('ASIGNACIONES'!$M$4:$M$451,'ASIGNACIONES'!$E$4:$E$451,$A35,'ASIGNACIONES'!$A$4:$A$451,$B35)</f>
        <v/>
      </c>
      <c r="D35" s="25">
        <f>C35*p_factor_productividad</f>
        <v/>
      </c>
      <c r="E35" s="25">
        <f>SUMIFS('ORDENES'!$M$4:$M$1203,'ORDENES'!$AB$4:$AB$1203,$A35,'ORDENES'!$O$4:$O$1203,$B35,'ORDENES'!$U$4:$U$1203,"preventiva")</f>
        <v/>
      </c>
      <c r="F35" s="25">
        <f>SUMIFS('ORDENES'!$M$4:$M$1203,'ORDENES'!$AB$4:$AB$1203,$A35,'ORDENES'!$O$4:$O$1203,$B35,'ORDENES'!$U$4:$U$1203,"correctiva")</f>
        <v/>
      </c>
      <c r="G35" s="25">
        <f>E35+F35</f>
        <v/>
      </c>
      <c r="H35" s="25">
        <f>D35-G35</f>
        <v/>
      </c>
      <c r="I35" s="27">
        <f>IF(D35=0,"",G35/D35)</f>
        <v/>
      </c>
      <c r="N35" s="30">
        <f>IF(N34="","",IF(N34+7&gt;MAX('ORDENES'!$J$4:$J$1203),"",N34+7))</f>
        <v/>
      </c>
      <c r="O35" s="24">
        <f>IF(N35="","",YEAR(N35+4-WEEKDAY(N35,2))&amp;"-S"&amp;TEXT(_xlfn.ISOWEEKNUM(N35),"00"))</f>
        <v/>
      </c>
    </row>
    <row r="36" hidden="1">
      <c r="A36" s="24" t="inlineStr">
        <is>
          <t>MEC</t>
        </is>
      </c>
      <c r="B36" s="24">
        <f>$O$12</f>
        <v/>
      </c>
      <c r="C36" s="25">
        <f>SUMIFS('ASIGNACIONES'!$M$4:$M$451,'ASIGNACIONES'!$E$4:$E$451,$A36,'ASIGNACIONES'!$A$4:$A$451,$B36)</f>
        <v/>
      </c>
      <c r="D36" s="25">
        <f>C36*p_factor_productividad</f>
        <v/>
      </c>
      <c r="E36" s="25">
        <f>SUMIFS('ORDENES'!$M$4:$M$1203,'ORDENES'!$AB$4:$AB$1203,$A36,'ORDENES'!$O$4:$O$1203,$B36,'ORDENES'!$U$4:$U$1203,"preventiva")</f>
        <v/>
      </c>
      <c r="F36" s="25">
        <f>SUMIFS('ORDENES'!$M$4:$M$1203,'ORDENES'!$AB$4:$AB$1203,$A36,'ORDENES'!$O$4:$O$1203,$B36,'ORDENES'!$U$4:$U$1203,"correctiva")</f>
        <v/>
      </c>
      <c r="G36" s="25">
        <f>E36+F36</f>
        <v/>
      </c>
      <c r="H36" s="25">
        <f>D36-G36</f>
        <v/>
      </c>
      <c r="I36" s="27">
        <f>IF(D36=0,"",G36/D36)</f>
        <v/>
      </c>
      <c r="N36" s="30">
        <f>IF(N35="","",IF(N35+7&gt;MAX('ORDENES'!$J$4:$J$1203),"",N35+7))</f>
        <v/>
      </c>
      <c r="O36" s="24">
        <f>IF(N36="","",YEAR(N36+4-WEEKDAY(N36,2))&amp;"-S"&amp;TEXT(_xlfn.ISOWEEKNUM(N36),"00"))</f>
        <v/>
      </c>
    </row>
    <row r="37" hidden="1">
      <c r="A37" s="24" t="inlineStr">
        <is>
          <t>ELE</t>
        </is>
      </c>
      <c r="B37" s="24">
        <f>$O$12</f>
        <v/>
      </c>
      <c r="C37" s="25">
        <f>SUMIFS('ASIGNACIONES'!$M$4:$M$451,'ASIGNACIONES'!$E$4:$E$451,$A37,'ASIGNACIONES'!$A$4:$A$451,$B37)</f>
        <v/>
      </c>
      <c r="D37" s="25">
        <f>C37*p_factor_productividad</f>
        <v/>
      </c>
      <c r="E37" s="25">
        <f>SUMIFS('ORDENES'!$M$4:$M$1203,'ORDENES'!$AB$4:$AB$1203,$A37,'ORDENES'!$O$4:$O$1203,$B37,'ORDENES'!$U$4:$U$1203,"preventiva")</f>
        <v/>
      </c>
      <c r="F37" s="25">
        <f>SUMIFS('ORDENES'!$M$4:$M$1203,'ORDENES'!$AB$4:$AB$1203,$A37,'ORDENES'!$O$4:$O$1203,$B37,'ORDENES'!$U$4:$U$1203,"correctiva")</f>
        <v/>
      </c>
      <c r="G37" s="25">
        <f>E37+F37</f>
        <v/>
      </c>
      <c r="H37" s="25">
        <f>D37-G37</f>
        <v/>
      </c>
      <c r="I37" s="27">
        <f>IF(D37=0,"",G37/D37)</f>
        <v/>
      </c>
      <c r="N37" s="30">
        <f>IF(N36="","",IF(N36+7&gt;MAX('ORDENES'!$J$4:$J$1203),"",N36+7))</f>
        <v/>
      </c>
      <c r="O37" s="24">
        <f>IF(N37="","",YEAR(N37+4-WEEKDAY(N37,2))&amp;"-S"&amp;TEXT(_xlfn.ISOWEEKNUM(N37),"00"))</f>
        <v/>
      </c>
    </row>
    <row r="38" hidden="1">
      <c r="A38" s="24" t="inlineStr">
        <is>
          <t>AUT</t>
        </is>
      </c>
      <c r="B38" s="24">
        <f>$O$12</f>
        <v/>
      </c>
      <c r="C38" s="25">
        <f>SUMIFS('ASIGNACIONES'!$M$4:$M$451,'ASIGNACIONES'!$E$4:$E$451,$A38,'ASIGNACIONES'!$A$4:$A$451,$B38)</f>
        <v/>
      </c>
      <c r="D38" s="25">
        <f>C38*p_factor_productividad</f>
        <v/>
      </c>
      <c r="E38" s="25">
        <f>SUMIFS('ORDENES'!$M$4:$M$1203,'ORDENES'!$AB$4:$AB$1203,$A38,'ORDENES'!$O$4:$O$1203,$B38,'ORDENES'!$U$4:$U$1203,"preventiva")</f>
        <v/>
      </c>
      <c r="F38" s="25">
        <f>SUMIFS('ORDENES'!$M$4:$M$1203,'ORDENES'!$AB$4:$AB$1203,$A38,'ORDENES'!$O$4:$O$1203,$B38,'ORDENES'!$U$4:$U$1203,"correctiva")</f>
        <v/>
      </c>
      <c r="G38" s="25">
        <f>E38+F38</f>
        <v/>
      </c>
      <c r="H38" s="25">
        <f>D38-G38</f>
        <v/>
      </c>
      <c r="I38" s="27">
        <f>IF(D38=0,"",G38/D38)</f>
        <v/>
      </c>
      <c r="N38" s="30">
        <f>IF(N37="","",IF(N37+7&gt;MAX('ORDENES'!$J$4:$J$1203),"",N37+7))</f>
        <v/>
      </c>
      <c r="O38" s="24">
        <f>IF(N38="","",YEAR(N38+4-WEEKDAY(N38,2))&amp;"-S"&amp;TEXT(_xlfn.ISOWEEKNUM(N38),"00"))</f>
        <v/>
      </c>
    </row>
    <row r="39" hidden="1">
      <c r="A39" s="24" t="inlineStr">
        <is>
          <t>TERCERO</t>
        </is>
      </c>
      <c r="B39" s="24">
        <f>$O$12</f>
        <v/>
      </c>
      <c r="C39" s="25">
        <f>SUMIFS('ASIGNACIONES'!$M$4:$M$451,'ASIGNACIONES'!$E$4:$E$451,$A39,'ASIGNACIONES'!$A$4:$A$451,$B39)</f>
        <v/>
      </c>
      <c r="D39" s="25">
        <f>C39*p_factor_productividad</f>
        <v/>
      </c>
      <c r="E39" s="25">
        <f>SUMIFS('ORDENES'!$M$4:$M$1203,'ORDENES'!$AB$4:$AB$1203,$A39,'ORDENES'!$O$4:$O$1203,$B39,'ORDENES'!$U$4:$U$1203,"preventiva")</f>
        <v/>
      </c>
      <c r="F39" s="25">
        <f>SUMIFS('ORDENES'!$M$4:$M$1203,'ORDENES'!$AB$4:$AB$1203,$A39,'ORDENES'!$O$4:$O$1203,$B39,'ORDENES'!$U$4:$U$1203,"correctiva")</f>
        <v/>
      </c>
      <c r="G39" s="25">
        <f>E39+F39</f>
        <v/>
      </c>
      <c r="H39" s="25">
        <f>D39-G39</f>
        <v/>
      </c>
      <c r="I39" s="27">
        <f>IF(D39=0,"",G39/D39)</f>
        <v/>
      </c>
      <c r="N39" s="30">
        <f>IF(N38="","",IF(N38+7&gt;MAX('ORDENES'!$J$4:$J$1203),"",N38+7))</f>
        <v/>
      </c>
      <c r="O39" s="24">
        <f>IF(N39="","",YEAR(N39+4-WEEKDAY(N39,2))&amp;"-S"&amp;TEXT(_xlfn.ISOWEEKNUM(N39),"00"))</f>
        <v/>
      </c>
    </row>
    <row r="40" hidden="1">
      <c r="A40" s="24" t="inlineStr">
        <is>
          <t>MEC</t>
        </is>
      </c>
      <c r="B40" s="24">
        <f>$O$13</f>
        <v/>
      </c>
      <c r="C40" s="25">
        <f>SUMIFS('ASIGNACIONES'!$M$4:$M$451,'ASIGNACIONES'!$E$4:$E$451,$A40,'ASIGNACIONES'!$A$4:$A$451,$B40)</f>
        <v/>
      </c>
      <c r="D40" s="25">
        <f>C40*p_factor_productividad</f>
        <v/>
      </c>
      <c r="E40" s="25">
        <f>SUMIFS('ORDENES'!$M$4:$M$1203,'ORDENES'!$AB$4:$AB$1203,$A40,'ORDENES'!$O$4:$O$1203,$B40,'ORDENES'!$U$4:$U$1203,"preventiva")</f>
        <v/>
      </c>
      <c r="F40" s="25">
        <f>SUMIFS('ORDENES'!$M$4:$M$1203,'ORDENES'!$AB$4:$AB$1203,$A40,'ORDENES'!$O$4:$O$1203,$B40,'ORDENES'!$U$4:$U$1203,"correctiva")</f>
        <v/>
      </c>
      <c r="G40" s="25">
        <f>E40+F40</f>
        <v/>
      </c>
      <c r="H40" s="25">
        <f>D40-G40</f>
        <v/>
      </c>
      <c r="I40" s="27">
        <f>IF(D40=0,"",G40/D40)</f>
        <v/>
      </c>
      <c r="N40" s="30">
        <f>IF(N39="","",IF(N39+7&gt;MAX('ORDENES'!$J$4:$J$1203),"",N39+7))</f>
        <v/>
      </c>
      <c r="O40" s="24">
        <f>IF(N40="","",YEAR(N40+4-WEEKDAY(N40,2))&amp;"-S"&amp;TEXT(_xlfn.ISOWEEKNUM(N40),"00"))</f>
        <v/>
      </c>
    </row>
    <row r="41" hidden="1">
      <c r="A41" s="24" t="inlineStr">
        <is>
          <t>ELE</t>
        </is>
      </c>
      <c r="B41" s="24">
        <f>$O$13</f>
        <v/>
      </c>
      <c r="C41" s="25">
        <f>SUMIFS('ASIGNACIONES'!$M$4:$M$451,'ASIGNACIONES'!$E$4:$E$451,$A41,'ASIGNACIONES'!$A$4:$A$451,$B41)</f>
        <v/>
      </c>
      <c r="D41" s="25">
        <f>C41*p_factor_productividad</f>
        <v/>
      </c>
      <c r="E41" s="25">
        <f>SUMIFS('ORDENES'!$M$4:$M$1203,'ORDENES'!$AB$4:$AB$1203,$A41,'ORDENES'!$O$4:$O$1203,$B41,'ORDENES'!$U$4:$U$1203,"preventiva")</f>
        <v/>
      </c>
      <c r="F41" s="25">
        <f>SUMIFS('ORDENES'!$M$4:$M$1203,'ORDENES'!$AB$4:$AB$1203,$A41,'ORDENES'!$O$4:$O$1203,$B41,'ORDENES'!$U$4:$U$1203,"correctiva")</f>
        <v/>
      </c>
      <c r="G41" s="25">
        <f>E41+F41</f>
        <v/>
      </c>
      <c r="H41" s="25">
        <f>D41-G41</f>
        <v/>
      </c>
      <c r="I41" s="27">
        <f>IF(D41=0,"",G41/D41)</f>
        <v/>
      </c>
      <c r="N41" s="30">
        <f>IF(N40="","",IF(N40+7&gt;MAX('ORDENES'!$J$4:$J$1203),"",N40+7))</f>
        <v/>
      </c>
      <c r="O41" s="24">
        <f>IF(N41="","",YEAR(N41+4-WEEKDAY(N41,2))&amp;"-S"&amp;TEXT(_xlfn.ISOWEEKNUM(N41),"00"))</f>
        <v/>
      </c>
    </row>
    <row r="42" hidden="1">
      <c r="A42" s="24" t="inlineStr">
        <is>
          <t>AUT</t>
        </is>
      </c>
      <c r="B42" s="24">
        <f>$O$13</f>
        <v/>
      </c>
      <c r="C42" s="25">
        <f>SUMIFS('ASIGNACIONES'!$M$4:$M$451,'ASIGNACIONES'!$E$4:$E$451,$A42,'ASIGNACIONES'!$A$4:$A$451,$B42)</f>
        <v/>
      </c>
      <c r="D42" s="25">
        <f>C42*p_factor_productividad</f>
        <v/>
      </c>
      <c r="E42" s="25">
        <f>SUMIFS('ORDENES'!$M$4:$M$1203,'ORDENES'!$AB$4:$AB$1203,$A42,'ORDENES'!$O$4:$O$1203,$B42,'ORDENES'!$U$4:$U$1203,"preventiva")</f>
        <v/>
      </c>
      <c r="F42" s="25">
        <f>SUMIFS('ORDENES'!$M$4:$M$1203,'ORDENES'!$AB$4:$AB$1203,$A42,'ORDENES'!$O$4:$O$1203,$B42,'ORDENES'!$U$4:$U$1203,"correctiva")</f>
        <v/>
      </c>
      <c r="G42" s="25">
        <f>E42+F42</f>
        <v/>
      </c>
      <c r="H42" s="25">
        <f>D42-G42</f>
        <v/>
      </c>
      <c r="I42" s="27">
        <f>IF(D42=0,"",G42/D42)</f>
        <v/>
      </c>
      <c r="N42" s="30">
        <f>IF(N41="","",IF(N41+7&gt;MAX('ORDENES'!$J$4:$J$1203),"",N41+7))</f>
        <v/>
      </c>
      <c r="O42" s="24">
        <f>IF(N42="","",YEAR(N42+4-WEEKDAY(N42,2))&amp;"-S"&amp;TEXT(_xlfn.ISOWEEKNUM(N42),"00"))</f>
        <v/>
      </c>
    </row>
    <row r="43" hidden="1">
      <c r="A43" s="24" t="inlineStr">
        <is>
          <t>TERCERO</t>
        </is>
      </c>
      <c r="B43" s="24">
        <f>$O$13</f>
        <v/>
      </c>
      <c r="C43" s="25">
        <f>SUMIFS('ASIGNACIONES'!$M$4:$M$451,'ASIGNACIONES'!$E$4:$E$451,$A43,'ASIGNACIONES'!$A$4:$A$451,$B43)</f>
        <v/>
      </c>
      <c r="D43" s="25">
        <f>C43*p_factor_productividad</f>
        <v/>
      </c>
      <c r="E43" s="25">
        <f>SUMIFS('ORDENES'!$M$4:$M$1203,'ORDENES'!$AB$4:$AB$1203,$A43,'ORDENES'!$O$4:$O$1203,$B43,'ORDENES'!$U$4:$U$1203,"preventiva")</f>
        <v/>
      </c>
      <c r="F43" s="25">
        <f>SUMIFS('ORDENES'!$M$4:$M$1203,'ORDENES'!$AB$4:$AB$1203,$A43,'ORDENES'!$O$4:$O$1203,$B43,'ORDENES'!$U$4:$U$1203,"correctiva")</f>
        <v/>
      </c>
      <c r="G43" s="25">
        <f>E43+F43</f>
        <v/>
      </c>
      <c r="H43" s="25">
        <f>D43-G43</f>
        <v/>
      </c>
      <c r="I43" s="27">
        <f>IF(D43=0,"",G43/D43)</f>
        <v/>
      </c>
      <c r="N43" s="30">
        <f>IF(N42="","",IF(N42+7&gt;MAX('ORDENES'!$J$4:$J$1203),"",N42+7))</f>
        <v/>
      </c>
      <c r="O43" s="24">
        <f>IF(N43="","",YEAR(N43+4-WEEKDAY(N43,2))&amp;"-S"&amp;TEXT(_xlfn.ISOWEEKNUM(N43),"00"))</f>
        <v/>
      </c>
    </row>
    <row r="44" hidden="1">
      <c r="A44" s="24" t="inlineStr">
        <is>
          <t>MEC</t>
        </is>
      </c>
      <c r="B44" s="24">
        <f>$O$14</f>
        <v/>
      </c>
      <c r="C44" s="25">
        <f>SUMIFS('ASIGNACIONES'!$M$4:$M$451,'ASIGNACIONES'!$E$4:$E$451,$A44,'ASIGNACIONES'!$A$4:$A$451,$B44)</f>
        <v/>
      </c>
      <c r="D44" s="25">
        <f>C44*p_factor_productividad</f>
        <v/>
      </c>
      <c r="E44" s="25">
        <f>SUMIFS('ORDENES'!$M$4:$M$1203,'ORDENES'!$AB$4:$AB$1203,$A44,'ORDENES'!$O$4:$O$1203,$B44,'ORDENES'!$U$4:$U$1203,"preventiva")</f>
        <v/>
      </c>
      <c r="F44" s="25">
        <f>SUMIFS('ORDENES'!$M$4:$M$1203,'ORDENES'!$AB$4:$AB$1203,$A44,'ORDENES'!$O$4:$O$1203,$B44,'ORDENES'!$U$4:$U$1203,"correctiva")</f>
        <v/>
      </c>
      <c r="G44" s="25">
        <f>E44+F44</f>
        <v/>
      </c>
      <c r="H44" s="25">
        <f>D44-G44</f>
        <v/>
      </c>
      <c r="I44" s="27">
        <f>IF(D44=0,"",G44/D44)</f>
        <v/>
      </c>
      <c r="N44" s="30">
        <f>IF(N43="","",IF(N43+7&gt;MAX('ORDENES'!$J$4:$J$1203),"",N43+7))</f>
        <v/>
      </c>
      <c r="O44" s="24">
        <f>IF(N44="","",YEAR(N44+4-WEEKDAY(N44,2))&amp;"-S"&amp;TEXT(_xlfn.ISOWEEKNUM(N44),"00"))</f>
        <v/>
      </c>
    </row>
    <row r="45" hidden="1">
      <c r="A45" s="24" t="inlineStr">
        <is>
          <t>ELE</t>
        </is>
      </c>
      <c r="B45" s="24">
        <f>$O$14</f>
        <v/>
      </c>
      <c r="C45" s="25">
        <f>SUMIFS('ASIGNACIONES'!$M$4:$M$451,'ASIGNACIONES'!$E$4:$E$451,$A45,'ASIGNACIONES'!$A$4:$A$451,$B45)</f>
        <v/>
      </c>
      <c r="D45" s="25">
        <f>C45*p_factor_productividad</f>
        <v/>
      </c>
      <c r="E45" s="25">
        <f>SUMIFS('ORDENES'!$M$4:$M$1203,'ORDENES'!$AB$4:$AB$1203,$A45,'ORDENES'!$O$4:$O$1203,$B45,'ORDENES'!$U$4:$U$1203,"preventiva")</f>
        <v/>
      </c>
      <c r="F45" s="25">
        <f>SUMIFS('ORDENES'!$M$4:$M$1203,'ORDENES'!$AB$4:$AB$1203,$A45,'ORDENES'!$O$4:$O$1203,$B45,'ORDENES'!$U$4:$U$1203,"correctiva")</f>
        <v/>
      </c>
      <c r="G45" s="25">
        <f>E45+F45</f>
        <v/>
      </c>
      <c r="H45" s="25">
        <f>D45-G45</f>
        <v/>
      </c>
      <c r="I45" s="27">
        <f>IF(D45=0,"",G45/D45)</f>
        <v/>
      </c>
      <c r="N45" s="30">
        <f>IF(N44="","",IF(N44+7&gt;MAX('ORDENES'!$J$4:$J$1203),"",N44+7))</f>
        <v/>
      </c>
      <c r="O45" s="24">
        <f>IF(N45="","",YEAR(N45+4-WEEKDAY(N45,2))&amp;"-S"&amp;TEXT(_xlfn.ISOWEEKNUM(N45),"00"))</f>
        <v/>
      </c>
    </row>
    <row r="46" hidden="1">
      <c r="A46" s="24" t="inlineStr">
        <is>
          <t>AUT</t>
        </is>
      </c>
      <c r="B46" s="24">
        <f>$O$14</f>
        <v/>
      </c>
      <c r="C46" s="25">
        <f>SUMIFS('ASIGNACIONES'!$M$4:$M$451,'ASIGNACIONES'!$E$4:$E$451,$A46,'ASIGNACIONES'!$A$4:$A$451,$B46)</f>
        <v/>
      </c>
      <c r="D46" s="25">
        <f>C46*p_factor_productividad</f>
        <v/>
      </c>
      <c r="E46" s="25">
        <f>SUMIFS('ORDENES'!$M$4:$M$1203,'ORDENES'!$AB$4:$AB$1203,$A46,'ORDENES'!$O$4:$O$1203,$B46,'ORDENES'!$U$4:$U$1203,"preventiva")</f>
        <v/>
      </c>
      <c r="F46" s="25">
        <f>SUMIFS('ORDENES'!$M$4:$M$1203,'ORDENES'!$AB$4:$AB$1203,$A46,'ORDENES'!$O$4:$O$1203,$B46,'ORDENES'!$U$4:$U$1203,"correctiva")</f>
        <v/>
      </c>
      <c r="G46" s="25">
        <f>E46+F46</f>
        <v/>
      </c>
      <c r="H46" s="25">
        <f>D46-G46</f>
        <v/>
      </c>
      <c r="I46" s="27">
        <f>IF(D46=0,"",G46/D46)</f>
        <v/>
      </c>
      <c r="N46" s="30">
        <f>IF(N45="","",IF(N45+7&gt;MAX('ORDENES'!$J$4:$J$1203),"",N45+7))</f>
        <v/>
      </c>
      <c r="O46" s="24">
        <f>IF(N46="","",YEAR(N46+4-WEEKDAY(N46,2))&amp;"-S"&amp;TEXT(_xlfn.ISOWEEKNUM(N46),"00"))</f>
        <v/>
      </c>
    </row>
    <row r="47" hidden="1">
      <c r="A47" s="24" t="inlineStr">
        <is>
          <t>TERCERO</t>
        </is>
      </c>
      <c r="B47" s="24">
        <f>$O$14</f>
        <v/>
      </c>
      <c r="C47" s="25">
        <f>SUMIFS('ASIGNACIONES'!$M$4:$M$451,'ASIGNACIONES'!$E$4:$E$451,$A47,'ASIGNACIONES'!$A$4:$A$451,$B47)</f>
        <v/>
      </c>
      <c r="D47" s="25">
        <f>C47*p_factor_productividad</f>
        <v/>
      </c>
      <c r="E47" s="25">
        <f>SUMIFS('ORDENES'!$M$4:$M$1203,'ORDENES'!$AB$4:$AB$1203,$A47,'ORDENES'!$O$4:$O$1203,$B47,'ORDENES'!$U$4:$U$1203,"preventiva")</f>
        <v/>
      </c>
      <c r="F47" s="25">
        <f>SUMIFS('ORDENES'!$M$4:$M$1203,'ORDENES'!$AB$4:$AB$1203,$A47,'ORDENES'!$O$4:$O$1203,$B47,'ORDENES'!$U$4:$U$1203,"correctiva")</f>
        <v/>
      </c>
      <c r="G47" s="25">
        <f>E47+F47</f>
        <v/>
      </c>
      <c r="H47" s="25">
        <f>D47-G47</f>
        <v/>
      </c>
      <c r="I47" s="27">
        <f>IF(D47=0,"",G47/D47)</f>
        <v/>
      </c>
      <c r="N47" s="30">
        <f>IF(N46="","",IF(N46+7&gt;MAX('ORDENES'!$J$4:$J$1203),"",N46+7))</f>
        <v/>
      </c>
      <c r="O47" s="24">
        <f>IF(N47="","",YEAR(N47+4-WEEKDAY(N47,2))&amp;"-S"&amp;TEXT(_xlfn.ISOWEEKNUM(N47),"00"))</f>
        <v/>
      </c>
    </row>
    <row r="48" hidden="1">
      <c r="A48" s="24" t="inlineStr">
        <is>
          <t>MEC</t>
        </is>
      </c>
      <c r="B48" s="24">
        <f>$O$15</f>
        <v/>
      </c>
      <c r="C48" s="25">
        <f>SUMIFS('ASIGNACIONES'!$M$4:$M$451,'ASIGNACIONES'!$E$4:$E$451,$A48,'ASIGNACIONES'!$A$4:$A$451,$B48)</f>
        <v/>
      </c>
      <c r="D48" s="25">
        <f>C48*p_factor_productividad</f>
        <v/>
      </c>
      <c r="E48" s="25">
        <f>SUMIFS('ORDENES'!$M$4:$M$1203,'ORDENES'!$AB$4:$AB$1203,$A48,'ORDENES'!$O$4:$O$1203,$B48,'ORDENES'!$U$4:$U$1203,"preventiva")</f>
        <v/>
      </c>
      <c r="F48" s="25">
        <f>SUMIFS('ORDENES'!$M$4:$M$1203,'ORDENES'!$AB$4:$AB$1203,$A48,'ORDENES'!$O$4:$O$1203,$B48,'ORDENES'!$U$4:$U$1203,"correctiva")</f>
        <v/>
      </c>
      <c r="G48" s="25">
        <f>E48+F48</f>
        <v/>
      </c>
      <c r="H48" s="25">
        <f>D48-G48</f>
        <v/>
      </c>
      <c r="I48" s="27">
        <f>IF(D48=0,"",G48/D48)</f>
        <v/>
      </c>
      <c r="N48" s="30">
        <f>IF(N47="","",IF(N47+7&gt;MAX('ORDENES'!$J$4:$J$1203),"",N47+7))</f>
        <v/>
      </c>
      <c r="O48" s="24">
        <f>IF(N48="","",YEAR(N48+4-WEEKDAY(N48,2))&amp;"-S"&amp;TEXT(_xlfn.ISOWEEKNUM(N48),"00"))</f>
        <v/>
      </c>
    </row>
    <row r="49" hidden="1">
      <c r="A49" s="24" t="inlineStr">
        <is>
          <t>ELE</t>
        </is>
      </c>
      <c r="B49" s="24">
        <f>$O$15</f>
        <v/>
      </c>
      <c r="C49" s="25">
        <f>SUMIFS('ASIGNACIONES'!$M$4:$M$451,'ASIGNACIONES'!$E$4:$E$451,$A49,'ASIGNACIONES'!$A$4:$A$451,$B49)</f>
        <v/>
      </c>
      <c r="D49" s="25">
        <f>C49*p_factor_productividad</f>
        <v/>
      </c>
      <c r="E49" s="25">
        <f>SUMIFS('ORDENES'!$M$4:$M$1203,'ORDENES'!$AB$4:$AB$1203,$A49,'ORDENES'!$O$4:$O$1203,$B49,'ORDENES'!$U$4:$U$1203,"preventiva")</f>
        <v/>
      </c>
      <c r="F49" s="25">
        <f>SUMIFS('ORDENES'!$M$4:$M$1203,'ORDENES'!$AB$4:$AB$1203,$A49,'ORDENES'!$O$4:$O$1203,$B49,'ORDENES'!$U$4:$U$1203,"correctiva")</f>
        <v/>
      </c>
      <c r="G49" s="25">
        <f>E49+F49</f>
        <v/>
      </c>
      <c r="H49" s="25">
        <f>D49-G49</f>
        <v/>
      </c>
      <c r="I49" s="27">
        <f>IF(D49=0,"",G49/D49)</f>
        <v/>
      </c>
      <c r="N49" s="30">
        <f>IF(N48="","",IF(N48+7&gt;MAX('ORDENES'!$J$4:$J$1203),"",N48+7))</f>
        <v/>
      </c>
      <c r="O49" s="24">
        <f>IF(N49="","",YEAR(N49+4-WEEKDAY(N49,2))&amp;"-S"&amp;TEXT(_xlfn.ISOWEEKNUM(N49),"00"))</f>
        <v/>
      </c>
    </row>
    <row r="50" hidden="1">
      <c r="A50" s="24" t="inlineStr">
        <is>
          <t>AUT</t>
        </is>
      </c>
      <c r="B50" s="24">
        <f>$O$15</f>
        <v/>
      </c>
      <c r="C50" s="25">
        <f>SUMIFS('ASIGNACIONES'!$M$4:$M$451,'ASIGNACIONES'!$E$4:$E$451,$A50,'ASIGNACIONES'!$A$4:$A$451,$B50)</f>
        <v/>
      </c>
      <c r="D50" s="25">
        <f>C50*p_factor_productividad</f>
        <v/>
      </c>
      <c r="E50" s="25">
        <f>SUMIFS('ORDENES'!$M$4:$M$1203,'ORDENES'!$AB$4:$AB$1203,$A50,'ORDENES'!$O$4:$O$1203,$B50,'ORDENES'!$U$4:$U$1203,"preventiva")</f>
        <v/>
      </c>
      <c r="F50" s="25">
        <f>SUMIFS('ORDENES'!$M$4:$M$1203,'ORDENES'!$AB$4:$AB$1203,$A50,'ORDENES'!$O$4:$O$1203,$B50,'ORDENES'!$U$4:$U$1203,"correctiva")</f>
        <v/>
      </c>
      <c r="G50" s="25">
        <f>E50+F50</f>
        <v/>
      </c>
      <c r="H50" s="25">
        <f>D50-G50</f>
        <v/>
      </c>
      <c r="I50" s="27">
        <f>IF(D50=0,"",G50/D50)</f>
        <v/>
      </c>
      <c r="N50" s="30">
        <f>IF(N49="","",IF(N49+7&gt;MAX('ORDENES'!$J$4:$J$1203),"",N49+7))</f>
        <v/>
      </c>
      <c r="O50" s="24">
        <f>IF(N50="","",YEAR(N50+4-WEEKDAY(N50,2))&amp;"-S"&amp;TEXT(_xlfn.ISOWEEKNUM(N50),"00"))</f>
        <v/>
      </c>
    </row>
    <row r="51" hidden="1">
      <c r="A51" s="24" t="inlineStr">
        <is>
          <t>TERCERO</t>
        </is>
      </c>
      <c r="B51" s="24">
        <f>$O$15</f>
        <v/>
      </c>
      <c r="C51" s="25">
        <f>SUMIFS('ASIGNACIONES'!$M$4:$M$451,'ASIGNACIONES'!$E$4:$E$451,$A51,'ASIGNACIONES'!$A$4:$A$451,$B51)</f>
        <v/>
      </c>
      <c r="D51" s="25">
        <f>C51*p_factor_productividad</f>
        <v/>
      </c>
      <c r="E51" s="25">
        <f>SUMIFS('ORDENES'!$M$4:$M$1203,'ORDENES'!$AB$4:$AB$1203,$A51,'ORDENES'!$O$4:$O$1203,$B51,'ORDENES'!$U$4:$U$1203,"preventiva")</f>
        <v/>
      </c>
      <c r="F51" s="25">
        <f>SUMIFS('ORDENES'!$M$4:$M$1203,'ORDENES'!$AB$4:$AB$1203,$A51,'ORDENES'!$O$4:$O$1203,$B51,'ORDENES'!$U$4:$U$1203,"correctiva")</f>
        <v/>
      </c>
      <c r="G51" s="25">
        <f>E51+F51</f>
        <v/>
      </c>
      <c r="H51" s="25">
        <f>D51-G51</f>
        <v/>
      </c>
      <c r="I51" s="27">
        <f>IF(D51=0,"",G51/D51)</f>
        <v/>
      </c>
      <c r="N51" s="30">
        <f>IF(N50="","",IF(N50+7&gt;MAX('ORDENES'!$J$4:$J$1203),"",N50+7))</f>
        <v/>
      </c>
      <c r="O51" s="24">
        <f>IF(N51="","",YEAR(N51+4-WEEKDAY(N51,2))&amp;"-S"&amp;TEXT(_xlfn.ISOWEEKNUM(N51),"00"))</f>
        <v/>
      </c>
    </row>
    <row r="52" hidden="1">
      <c r="A52" s="24" t="inlineStr">
        <is>
          <t>MEC</t>
        </is>
      </c>
      <c r="B52" s="24">
        <f>$O$16</f>
        <v/>
      </c>
      <c r="C52" s="25">
        <f>SUMIFS('ASIGNACIONES'!$M$4:$M$451,'ASIGNACIONES'!$E$4:$E$451,$A52,'ASIGNACIONES'!$A$4:$A$451,$B52)</f>
        <v/>
      </c>
      <c r="D52" s="25">
        <f>C52*p_factor_productividad</f>
        <v/>
      </c>
      <c r="E52" s="25">
        <f>SUMIFS('ORDENES'!$M$4:$M$1203,'ORDENES'!$AB$4:$AB$1203,$A52,'ORDENES'!$O$4:$O$1203,$B52,'ORDENES'!$U$4:$U$1203,"preventiva")</f>
        <v/>
      </c>
      <c r="F52" s="25">
        <f>SUMIFS('ORDENES'!$M$4:$M$1203,'ORDENES'!$AB$4:$AB$1203,$A52,'ORDENES'!$O$4:$O$1203,$B52,'ORDENES'!$U$4:$U$1203,"correctiva")</f>
        <v/>
      </c>
      <c r="G52" s="25">
        <f>E52+F52</f>
        <v/>
      </c>
      <c r="H52" s="25">
        <f>D52-G52</f>
        <v/>
      </c>
      <c r="I52" s="27">
        <f>IF(D52=0,"",G52/D52)</f>
        <v/>
      </c>
      <c r="N52" s="30">
        <f>IF(N51="","",IF(N51+7&gt;MAX('ORDENES'!$J$4:$J$1203),"",N51+7))</f>
        <v/>
      </c>
      <c r="O52" s="24">
        <f>IF(N52="","",YEAR(N52+4-WEEKDAY(N52,2))&amp;"-S"&amp;TEXT(_xlfn.ISOWEEKNUM(N52),"00"))</f>
        <v/>
      </c>
    </row>
    <row r="53" hidden="1">
      <c r="A53" s="24" t="inlineStr">
        <is>
          <t>ELE</t>
        </is>
      </c>
      <c r="B53" s="24">
        <f>$O$16</f>
        <v/>
      </c>
      <c r="C53" s="25">
        <f>SUMIFS('ASIGNACIONES'!$M$4:$M$451,'ASIGNACIONES'!$E$4:$E$451,$A53,'ASIGNACIONES'!$A$4:$A$451,$B53)</f>
        <v/>
      </c>
      <c r="D53" s="25">
        <f>C53*p_factor_productividad</f>
        <v/>
      </c>
      <c r="E53" s="25">
        <f>SUMIFS('ORDENES'!$M$4:$M$1203,'ORDENES'!$AB$4:$AB$1203,$A53,'ORDENES'!$O$4:$O$1203,$B53,'ORDENES'!$U$4:$U$1203,"preventiva")</f>
        <v/>
      </c>
      <c r="F53" s="25">
        <f>SUMIFS('ORDENES'!$M$4:$M$1203,'ORDENES'!$AB$4:$AB$1203,$A53,'ORDENES'!$O$4:$O$1203,$B53,'ORDENES'!$U$4:$U$1203,"correctiva")</f>
        <v/>
      </c>
      <c r="G53" s="25">
        <f>E53+F53</f>
        <v/>
      </c>
      <c r="H53" s="25">
        <f>D53-G53</f>
        <v/>
      </c>
      <c r="I53" s="27">
        <f>IF(D53=0,"",G53/D53)</f>
        <v/>
      </c>
      <c r="N53" s="30">
        <f>IF(N52="","",IF(N52+7&gt;MAX('ORDENES'!$J$4:$J$1203),"",N52+7))</f>
        <v/>
      </c>
      <c r="O53" s="24">
        <f>IF(N53="","",YEAR(N53+4-WEEKDAY(N53,2))&amp;"-S"&amp;TEXT(_xlfn.ISOWEEKNUM(N53),"00"))</f>
        <v/>
      </c>
    </row>
    <row r="54" hidden="1">
      <c r="A54" s="24" t="inlineStr">
        <is>
          <t>AUT</t>
        </is>
      </c>
      <c r="B54" s="24">
        <f>$O$16</f>
        <v/>
      </c>
      <c r="C54" s="25">
        <f>SUMIFS('ASIGNACIONES'!$M$4:$M$451,'ASIGNACIONES'!$E$4:$E$451,$A54,'ASIGNACIONES'!$A$4:$A$451,$B54)</f>
        <v/>
      </c>
      <c r="D54" s="25">
        <f>C54*p_factor_productividad</f>
        <v/>
      </c>
      <c r="E54" s="25">
        <f>SUMIFS('ORDENES'!$M$4:$M$1203,'ORDENES'!$AB$4:$AB$1203,$A54,'ORDENES'!$O$4:$O$1203,$B54,'ORDENES'!$U$4:$U$1203,"preventiva")</f>
        <v/>
      </c>
      <c r="F54" s="25">
        <f>SUMIFS('ORDENES'!$M$4:$M$1203,'ORDENES'!$AB$4:$AB$1203,$A54,'ORDENES'!$O$4:$O$1203,$B54,'ORDENES'!$U$4:$U$1203,"correctiva")</f>
        <v/>
      </c>
      <c r="G54" s="25">
        <f>E54+F54</f>
        <v/>
      </c>
      <c r="H54" s="25">
        <f>D54-G54</f>
        <v/>
      </c>
      <c r="I54" s="27">
        <f>IF(D54=0,"",G54/D54)</f>
        <v/>
      </c>
      <c r="N54" s="30">
        <f>IF(N53="","",IF(N53+7&gt;MAX('ORDENES'!$J$4:$J$1203),"",N53+7))</f>
        <v/>
      </c>
      <c r="O54" s="24">
        <f>IF(N54="","",YEAR(N54+4-WEEKDAY(N54,2))&amp;"-S"&amp;TEXT(_xlfn.ISOWEEKNUM(N54),"00"))</f>
        <v/>
      </c>
    </row>
    <row r="55" hidden="1">
      <c r="A55" s="24" t="inlineStr">
        <is>
          <t>TERCERO</t>
        </is>
      </c>
      <c r="B55" s="24">
        <f>$O$16</f>
        <v/>
      </c>
      <c r="C55" s="25">
        <f>SUMIFS('ASIGNACIONES'!$M$4:$M$451,'ASIGNACIONES'!$E$4:$E$451,$A55,'ASIGNACIONES'!$A$4:$A$451,$B55)</f>
        <v/>
      </c>
      <c r="D55" s="25">
        <f>C55*p_factor_productividad</f>
        <v/>
      </c>
      <c r="E55" s="25">
        <f>SUMIFS('ORDENES'!$M$4:$M$1203,'ORDENES'!$AB$4:$AB$1203,$A55,'ORDENES'!$O$4:$O$1203,$B55,'ORDENES'!$U$4:$U$1203,"preventiva")</f>
        <v/>
      </c>
      <c r="F55" s="25">
        <f>SUMIFS('ORDENES'!$M$4:$M$1203,'ORDENES'!$AB$4:$AB$1203,$A55,'ORDENES'!$O$4:$O$1203,$B55,'ORDENES'!$U$4:$U$1203,"correctiva")</f>
        <v/>
      </c>
      <c r="G55" s="25">
        <f>E55+F55</f>
        <v/>
      </c>
      <c r="H55" s="25">
        <f>D55-G55</f>
        <v/>
      </c>
      <c r="I55" s="27">
        <f>IF(D55=0,"",G55/D55)</f>
        <v/>
      </c>
      <c r="N55" s="30">
        <f>IF(N54="","",IF(N54+7&gt;MAX('ORDENES'!$J$4:$J$1203),"",N54+7))</f>
        <v/>
      </c>
      <c r="O55" s="24">
        <f>IF(N55="","",YEAR(N55+4-WEEKDAY(N55,2))&amp;"-S"&amp;TEXT(_xlfn.ISOWEEKNUM(N55),"00"))</f>
        <v/>
      </c>
    </row>
    <row r="56" hidden="1">
      <c r="A56" s="24" t="inlineStr">
        <is>
          <t>MEC</t>
        </is>
      </c>
      <c r="B56" s="24">
        <f>$O$17</f>
        <v/>
      </c>
      <c r="C56" s="25">
        <f>SUMIFS('ASIGNACIONES'!$M$4:$M$451,'ASIGNACIONES'!$E$4:$E$451,$A56,'ASIGNACIONES'!$A$4:$A$451,$B56)</f>
        <v/>
      </c>
      <c r="D56" s="25">
        <f>C56*p_factor_productividad</f>
        <v/>
      </c>
      <c r="E56" s="25">
        <f>SUMIFS('ORDENES'!$M$4:$M$1203,'ORDENES'!$AB$4:$AB$1203,$A56,'ORDENES'!$O$4:$O$1203,$B56,'ORDENES'!$U$4:$U$1203,"preventiva")</f>
        <v/>
      </c>
      <c r="F56" s="25">
        <f>SUMIFS('ORDENES'!$M$4:$M$1203,'ORDENES'!$AB$4:$AB$1203,$A56,'ORDENES'!$O$4:$O$1203,$B56,'ORDENES'!$U$4:$U$1203,"correctiva")</f>
        <v/>
      </c>
      <c r="G56" s="25">
        <f>E56+F56</f>
        <v/>
      </c>
      <c r="H56" s="25">
        <f>D56-G56</f>
        <v/>
      </c>
      <c r="I56" s="27">
        <f>IF(D56=0,"",G56/D56)</f>
        <v/>
      </c>
      <c r="N56" s="30">
        <f>IF(N55="","",IF(N55+7&gt;MAX('ORDENES'!$J$4:$J$1203),"",N55+7))</f>
        <v/>
      </c>
      <c r="O56" s="24">
        <f>IF(N56="","",YEAR(N56+4-WEEKDAY(N56,2))&amp;"-S"&amp;TEXT(_xlfn.ISOWEEKNUM(N56),"00"))</f>
        <v/>
      </c>
    </row>
    <row r="57" hidden="1">
      <c r="A57" s="24" t="inlineStr">
        <is>
          <t>ELE</t>
        </is>
      </c>
      <c r="B57" s="24">
        <f>$O$17</f>
        <v/>
      </c>
      <c r="C57" s="25">
        <f>SUMIFS('ASIGNACIONES'!$M$4:$M$451,'ASIGNACIONES'!$E$4:$E$451,$A57,'ASIGNACIONES'!$A$4:$A$451,$B57)</f>
        <v/>
      </c>
      <c r="D57" s="25">
        <f>C57*p_factor_productividad</f>
        <v/>
      </c>
      <c r="E57" s="25">
        <f>SUMIFS('ORDENES'!$M$4:$M$1203,'ORDENES'!$AB$4:$AB$1203,$A57,'ORDENES'!$O$4:$O$1203,$B57,'ORDENES'!$U$4:$U$1203,"preventiva")</f>
        <v/>
      </c>
      <c r="F57" s="25">
        <f>SUMIFS('ORDENES'!$M$4:$M$1203,'ORDENES'!$AB$4:$AB$1203,$A57,'ORDENES'!$O$4:$O$1203,$B57,'ORDENES'!$U$4:$U$1203,"correctiva")</f>
        <v/>
      </c>
      <c r="G57" s="25">
        <f>E57+F57</f>
        <v/>
      </c>
      <c r="H57" s="25">
        <f>D57-G57</f>
        <v/>
      </c>
      <c r="I57" s="27">
        <f>IF(D57=0,"",G57/D57)</f>
        <v/>
      </c>
      <c r="N57" s="30">
        <f>IF(N56="","",IF(N56+7&gt;MAX('ORDENES'!$J$4:$J$1203),"",N56+7))</f>
        <v/>
      </c>
      <c r="O57" s="24">
        <f>IF(N57="","",YEAR(N57+4-WEEKDAY(N57,2))&amp;"-S"&amp;TEXT(_xlfn.ISOWEEKNUM(N57),"00"))</f>
        <v/>
      </c>
    </row>
    <row r="58" hidden="1">
      <c r="A58" s="24" t="inlineStr">
        <is>
          <t>AUT</t>
        </is>
      </c>
      <c r="B58" s="24">
        <f>$O$17</f>
        <v/>
      </c>
      <c r="C58" s="25">
        <f>SUMIFS('ASIGNACIONES'!$M$4:$M$451,'ASIGNACIONES'!$E$4:$E$451,$A58,'ASIGNACIONES'!$A$4:$A$451,$B58)</f>
        <v/>
      </c>
      <c r="D58" s="25">
        <f>C58*p_factor_productividad</f>
        <v/>
      </c>
      <c r="E58" s="25">
        <f>SUMIFS('ORDENES'!$M$4:$M$1203,'ORDENES'!$AB$4:$AB$1203,$A58,'ORDENES'!$O$4:$O$1203,$B58,'ORDENES'!$U$4:$U$1203,"preventiva")</f>
        <v/>
      </c>
      <c r="F58" s="25">
        <f>SUMIFS('ORDENES'!$M$4:$M$1203,'ORDENES'!$AB$4:$AB$1203,$A58,'ORDENES'!$O$4:$O$1203,$B58,'ORDENES'!$U$4:$U$1203,"correctiva")</f>
        <v/>
      </c>
      <c r="G58" s="25">
        <f>E58+F58</f>
        <v/>
      </c>
      <c r="H58" s="25">
        <f>D58-G58</f>
        <v/>
      </c>
      <c r="I58" s="27">
        <f>IF(D58=0,"",G58/D58)</f>
        <v/>
      </c>
      <c r="N58" s="30">
        <f>IF(N57="","",IF(N57+7&gt;MAX('ORDENES'!$J$4:$J$1203),"",N57+7))</f>
        <v/>
      </c>
      <c r="O58" s="24">
        <f>IF(N58="","",YEAR(N58+4-WEEKDAY(N58,2))&amp;"-S"&amp;TEXT(_xlfn.ISOWEEKNUM(N58),"00"))</f>
        <v/>
      </c>
    </row>
    <row r="59" hidden="1">
      <c r="A59" s="24" t="inlineStr">
        <is>
          <t>TERCERO</t>
        </is>
      </c>
      <c r="B59" s="24">
        <f>$O$17</f>
        <v/>
      </c>
      <c r="C59" s="25">
        <f>SUMIFS('ASIGNACIONES'!$M$4:$M$451,'ASIGNACIONES'!$E$4:$E$451,$A59,'ASIGNACIONES'!$A$4:$A$451,$B59)</f>
        <v/>
      </c>
      <c r="D59" s="25">
        <f>C59*p_factor_productividad</f>
        <v/>
      </c>
      <c r="E59" s="25">
        <f>SUMIFS('ORDENES'!$M$4:$M$1203,'ORDENES'!$AB$4:$AB$1203,$A59,'ORDENES'!$O$4:$O$1203,$B59,'ORDENES'!$U$4:$U$1203,"preventiva")</f>
        <v/>
      </c>
      <c r="F59" s="25">
        <f>SUMIFS('ORDENES'!$M$4:$M$1203,'ORDENES'!$AB$4:$AB$1203,$A59,'ORDENES'!$O$4:$O$1203,$B59,'ORDENES'!$U$4:$U$1203,"correctiva")</f>
        <v/>
      </c>
      <c r="G59" s="25">
        <f>E59+F59</f>
        <v/>
      </c>
      <c r="H59" s="25">
        <f>D59-G59</f>
        <v/>
      </c>
      <c r="I59" s="27">
        <f>IF(D59=0,"",G59/D59)</f>
        <v/>
      </c>
      <c r="N59" s="30">
        <f>IF(N58="","",IF(N58+7&gt;MAX('ORDENES'!$J$4:$J$1203),"",N58+7))</f>
        <v/>
      </c>
      <c r="O59" s="24">
        <f>IF(N59="","",YEAR(N59+4-WEEKDAY(N59,2))&amp;"-S"&amp;TEXT(_xlfn.ISOWEEKNUM(N59),"00"))</f>
        <v/>
      </c>
    </row>
    <row r="60" hidden="1">
      <c r="A60" s="24" t="inlineStr">
        <is>
          <t>MEC</t>
        </is>
      </c>
      <c r="B60" s="24">
        <f>$O$18</f>
        <v/>
      </c>
      <c r="C60" s="25">
        <f>SUMIFS('ASIGNACIONES'!$M$4:$M$451,'ASIGNACIONES'!$E$4:$E$451,$A60,'ASIGNACIONES'!$A$4:$A$451,$B60)</f>
        <v/>
      </c>
      <c r="D60" s="25">
        <f>C60*p_factor_productividad</f>
        <v/>
      </c>
      <c r="E60" s="25">
        <f>SUMIFS('ORDENES'!$M$4:$M$1203,'ORDENES'!$AB$4:$AB$1203,$A60,'ORDENES'!$O$4:$O$1203,$B60,'ORDENES'!$U$4:$U$1203,"preventiva")</f>
        <v/>
      </c>
      <c r="F60" s="25">
        <f>SUMIFS('ORDENES'!$M$4:$M$1203,'ORDENES'!$AB$4:$AB$1203,$A60,'ORDENES'!$O$4:$O$1203,$B60,'ORDENES'!$U$4:$U$1203,"correctiva")</f>
        <v/>
      </c>
      <c r="G60" s="25">
        <f>E60+F60</f>
        <v/>
      </c>
      <c r="H60" s="25">
        <f>D60-G60</f>
        <v/>
      </c>
      <c r="I60" s="27">
        <f>IF(D60=0,"",G60/D60)</f>
        <v/>
      </c>
      <c r="N60" s="30">
        <f>IF(N59="","",IF(N59+7&gt;MAX('ORDENES'!$J$4:$J$1203),"",N59+7))</f>
        <v/>
      </c>
      <c r="O60" s="24">
        <f>IF(N60="","",YEAR(N60+4-WEEKDAY(N60,2))&amp;"-S"&amp;TEXT(_xlfn.ISOWEEKNUM(N60),"00"))</f>
        <v/>
      </c>
    </row>
    <row r="61" hidden="1">
      <c r="A61" s="24" t="inlineStr">
        <is>
          <t>ELE</t>
        </is>
      </c>
      <c r="B61" s="24">
        <f>$O$18</f>
        <v/>
      </c>
      <c r="C61" s="25">
        <f>SUMIFS('ASIGNACIONES'!$M$4:$M$451,'ASIGNACIONES'!$E$4:$E$451,$A61,'ASIGNACIONES'!$A$4:$A$451,$B61)</f>
        <v/>
      </c>
      <c r="D61" s="25">
        <f>C61*p_factor_productividad</f>
        <v/>
      </c>
      <c r="E61" s="25">
        <f>SUMIFS('ORDENES'!$M$4:$M$1203,'ORDENES'!$AB$4:$AB$1203,$A61,'ORDENES'!$O$4:$O$1203,$B61,'ORDENES'!$U$4:$U$1203,"preventiva")</f>
        <v/>
      </c>
      <c r="F61" s="25">
        <f>SUMIFS('ORDENES'!$M$4:$M$1203,'ORDENES'!$AB$4:$AB$1203,$A61,'ORDENES'!$O$4:$O$1203,$B61,'ORDENES'!$U$4:$U$1203,"correctiva")</f>
        <v/>
      </c>
      <c r="G61" s="25">
        <f>E61+F61</f>
        <v/>
      </c>
      <c r="H61" s="25">
        <f>D61-G61</f>
        <v/>
      </c>
      <c r="I61" s="27">
        <f>IF(D61=0,"",G61/D61)</f>
        <v/>
      </c>
      <c r="N61" s="30">
        <f>IF(N60="","",IF(N60+7&gt;MAX('ORDENES'!$J$4:$J$1203),"",N60+7))</f>
        <v/>
      </c>
      <c r="O61" s="24">
        <f>IF(N61="","",YEAR(N61+4-WEEKDAY(N61,2))&amp;"-S"&amp;TEXT(_xlfn.ISOWEEKNUM(N61),"00"))</f>
        <v/>
      </c>
    </row>
    <row r="62" hidden="1">
      <c r="A62" s="24" t="inlineStr">
        <is>
          <t>AUT</t>
        </is>
      </c>
      <c r="B62" s="24">
        <f>$O$18</f>
        <v/>
      </c>
      <c r="C62" s="25">
        <f>SUMIFS('ASIGNACIONES'!$M$4:$M$451,'ASIGNACIONES'!$E$4:$E$451,$A62,'ASIGNACIONES'!$A$4:$A$451,$B62)</f>
        <v/>
      </c>
      <c r="D62" s="25">
        <f>C62*p_factor_productividad</f>
        <v/>
      </c>
      <c r="E62" s="25">
        <f>SUMIFS('ORDENES'!$M$4:$M$1203,'ORDENES'!$AB$4:$AB$1203,$A62,'ORDENES'!$O$4:$O$1203,$B62,'ORDENES'!$U$4:$U$1203,"preventiva")</f>
        <v/>
      </c>
      <c r="F62" s="25">
        <f>SUMIFS('ORDENES'!$M$4:$M$1203,'ORDENES'!$AB$4:$AB$1203,$A62,'ORDENES'!$O$4:$O$1203,$B62,'ORDENES'!$U$4:$U$1203,"correctiva")</f>
        <v/>
      </c>
      <c r="G62" s="25">
        <f>E62+F62</f>
        <v/>
      </c>
      <c r="H62" s="25">
        <f>D62-G62</f>
        <v/>
      </c>
      <c r="I62" s="27">
        <f>IF(D62=0,"",G62/D62)</f>
        <v/>
      </c>
      <c r="N62" s="30">
        <f>IF(N61="","",IF(N61+7&gt;MAX('ORDENES'!$J$4:$J$1203),"",N61+7))</f>
        <v/>
      </c>
      <c r="O62" s="24">
        <f>IF(N62="","",YEAR(N62+4-WEEKDAY(N62,2))&amp;"-S"&amp;TEXT(_xlfn.ISOWEEKNUM(N62),"00"))</f>
        <v/>
      </c>
    </row>
    <row r="63" hidden="1">
      <c r="A63" s="24" t="inlineStr">
        <is>
          <t>TERCERO</t>
        </is>
      </c>
      <c r="B63" s="24">
        <f>$O$18</f>
        <v/>
      </c>
      <c r="C63" s="25">
        <f>SUMIFS('ASIGNACIONES'!$M$4:$M$451,'ASIGNACIONES'!$E$4:$E$451,$A63,'ASIGNACIONES'!$A$4:$A$451,$B63)</f>
        <v/>
      </c>
      <c r="D63" s="25">
        <f>C63*p_factor_productividad</f>
        <v/>
      </c>
      <c r="E63" s="25">
        <f>SUMIFS('ORDENES'!$M$4:$M$1203,'ORDENES'!$AB$4:$AB$1203,$A63,'ORDENES'!$O$4:$O$1203,$B63,'ORDENES'!$U$4:$U$1203,"preventiva")</f>
        <v/>
      </c>
      <c r="F63" s="25">
        <f>SUMIFS('ORDENES'!$M$4:$M$1203,'ORDENES'!$AB$4:$AB$1203,$A63,'ORDENES'!$O$4:$O$1203,$B63,'ORDENES'!$U$4:$U$1203,"correctiva")</f>
        <v/>
      </c>
      <c r="G63" s="25">
        <f>E63+F63</f>
        <v/>
      </c>
      <c r="H63" s="25">
        <f>D63-G63</f>
        <v/>
      </c>
      <c r="I63" s="27">
        <f>IF(D63=0,"",G63/D63)</f>
        <v/>
      </c>
      <c r="N63" s="30">
        <f>IF(N62="","",IF(N62+7&gt;MAX('ORDENES'!$J$4:$J$1203),"",N62+7))</f>
        <v/>
      </c>
      <c r="O63" s="24">
        <f>IF(N63="","",YEAR(N63+4-WEEKDAY(N63,2))&amp;"-S"&amp;TEXT(_xlfn.ISOWEEKNUM(N63),"00"))</f>
        <v/>
      </c>
    </row>
    <row r="64" hidden="1">
      <c r="A64" s="24" t="inlineStr">
        <is>
          <t>MEC</t>
        </is>
      </c>
      <c r="B64" s="24">
        <f>$O$19</f>
        <v/>
      </c>
      <c r="C64" s="25">
        <f>SUMIFS('ASIGNACIONES'!$M$4:$M$451,'ASIGNACIONES'!$E$4:$E$451,$A64,'ASIGNACIONES'!$A$4:$A$451,$B64)</f>
        <v/>
      </c>
      <c r="D64" s="25">
        <f>C64*p_factor_productividad</f>
        <v/>
      </c>
      <c r="E64" s="25">
        <f>SUMIFS('ORDENES'!$M$4:$M$1203,'ORDENES'!$AB$4:$AB$1203,$A64,'ORDENES'!$O$4:$O$1203,$B64,'ORDENES'!$U$4:$U$1203,"preventiva")</f>
        <v/>
      </c>
      <c r="F64" s="25">
        <f>SUMIFS('ORDENES'!$M$4:$M$1203,'ORDENES'!$AB$4:$AB$1203,$A64,'ORDENES'!$O$4:$O$1203,$B64,'ORDENES'!$U$4:$U$1203,"correctiva")</f>
        <v/>
      </c>
      <c r="G64" s="25">
        <f>E64+F64</f>
        <v/>
      </c>
      <c r="H64" s="25">
        <f>D64-G64</f>
        <v/>
      </c>
      <c r="I64" s="27">
        <f>IF(D64=0,"",G64/D64)</f>
        <v/>
      </c>
    </row>
    <row r="65" hidden="1">
      <c r="A65" s="24" t="inlineStr">
        <is>
          <t>ELE</t>
        </is>
      </c>
      <c r="B65" s="24">
        <f>$O$19</f>
        <v/>
      </c>
      <c r="C65" s="25">
        <f>SUMIFS('ASIGNACIONES'!$M$4:$M$451,'ASIGNACIONES'!$E$4:$E$451,$A65,'ASIGNACIONES'!$A$4:$A$451,$B65)</f>
        <v/>
      </c>
      <c r="D65" s="25">
        <f>C65*p_factor_productividad</f>
        <v/>
      </c>
      <c r="E65" s="25">
        <f>SUMIFS('ORDENES'!$M$4:$M$1203,'ORDENES'!$AB$4:$AB$1203,$A65,'ORDENES'!$O$4:$O$1203,$B65,'ORDENES'!$U$4:$U$1203,"preventiva")</f>
        <v/>
      </c>
      <c r="F65" s="25">
        <f>SUMIFS('ORDENES'!$M$4:$M$1203,'ORDENES'!$AB$4:$AB$1203,$A65,'ORDENES'!$O$4:$O$1203,$B65,'ORDENES'!$U$4:$U$1203,"correctiva")</f>
        <v/>
      </c>
      <c r="G65" s="25">
        <f>E65+F65</f>
        <v/>
      </c>
      <c r="H65" s="25">
        <f>D65-G65</f>
        <v/>
      </c>
      <c r="I65" s="27">
        <f>IF(D65=0,"",G65/D65)</f>
        <v/>
      </c>
    </row>
    <row r="66" hidden="1">
      <c r="A66" s="24" t="inlineStr">
        <is>
          <t>AUT</t>
        </is>
      </c>
      <c r="B66" s="24">
        <f>$O$19</f>
        <v/>
      </c>
      <c r="C66" s="25">
        <f>SUMIFS('ASIGNACIONES'!$M$4:$M$451,'ASIGNACIONES'!$E$4:$E$451,$A66,'ASIGNACIONES'!$A$4:$A$451,$B66)</f>
        <v/>
      </c>
      <c r="D66" s="25">
        <f>C66*p_factor_productividad</f>
        <v/>
      </c>
      <c r="E66" s="25">
        <f>SUMIFS('ORDENES'!$M$4:$M$1203,'ORDENES'!$AB$4:$AB$1203,$A66,'ORDENES'!$O$4:$O$1203,$B66,'ORDENES'!$U$4:$U$1203,"preventiva")</f>
        <v/>
      </c>
      <c r="F66" s="25">
        <f>SUMIFS('ORDENES'!$M$4:$M$1203,'ORDENES'!$AB$4:$AB$1203,$A66,'ORDENES'!$O$4:$O$1203,$B66,'ORDENES'!$U$4:$U$1203,"correctiva")</f>
        <v/>
      </c>
      <c r="G66" s="25">
        <f>E66+F66</f>
        <v/>
      </c>
      <c r="H66" s="25">
        <f>D66-G66</f>
        <v/>
      </c>
      <c r="I66" s="27">
        <f>IF(D66=0,"",G66/D66)</f>
        <v/>
      </c>
    </row>
    <row r="67" hidden="1">
      <c r="A67" s="24" t="inlineStr">
        <is>
          <t>TERCERO</t>
        </is>
      </c>
      <c r="B67" s="24">
        <f>$O$19</f>
        <v/>
      </c>
      <c r="C67" s="25">
        <f>SUMIFS('ASIGNACIONES'!$M$4:$M$451,'ASIGNACIONES'!$E$4:$E$451,$A67,'ASIGNACIONES'!$A$4:$A$451,$B67)</f>
        <v/>
      </c>
      <c r="D67" s="25">
        <f>C67*p_factor_productividad</f>
        <v/>
      </c>
      <c r="E67" s="25">
        <f>SUMIFS('ORDENES'!$M$4:$M$1203,'ORDENES'!$AB$4:$AB$1203,$A67,'ORDENES'!$O$4:$O$1203,$B67,'ORDENES'!$U$4:$U$1203,"preventiva")</f>
        <v/>
      </c>
      <c r="F67" s="25">
        <f>SUMIFS('ORDENES'!$M$4:$M$1203,'ORDENES'!$AB$4:$AB$1203,$A67,'ORDENES'!$O$4:$O$1203,$B67,'ORDENES'!$U$4:$U$1203,"correctiva")</f>
        <v/>
      </c>
      <c r="G67" s="25">
        <f>E67+F67</f>
        <v/>
      </c>
      <c r="H67" s="25">
        <f>D67-G67</f>
        <v/>
      </c>
      <c r="I67" s="27">
        <f>IF(D67=0,"",G67/D67)</f>
        <v/>
      </c>
    </row>
    <row r="68" hidden="1">
      <c r="A68" s="24" t="inlineStr">
        <is>
          <t>MEC</t>
        </is>
      </c>
      <c r="B68" s="24">
        <f>$O$20</f>
        <v/>
      </c>
      <c r="C68" s="25">
        <f>SUMIFS('ASIGNACIONES'!$M$4:$M$451,'ASIGNACIONES'!$E$4:$E$451,$A68,'ASIGNACIONES'!$A$4:$A$451,$B68)</f>
        <v/>
      </c>
      <c r="D68" s="25">
        <f>C68*p_factor_productividad</f>
        <v/>
      </c>
      <c r="E68" s="25">
        <f>SUMIFS('ORDENES'!$M$4:$M$1203,'ORDENES'!$AB$4:$AB$1203,$A68,'ORDENES'!$O$4:$O$1203,$B68,'ORDENES'!$U$4:$U$1203,"preventiva")</f>
        <v/>
      </c>
      <c r="F68" s="25">
        <f>SUMIFS('ORDENES'!$M$4:$M$1203,'ORDENES'!$AB$4:$AB$1203,$A68,'ORDENES'!$O$4:$O$1203,$B68,'ORDENES'!$U$4:$U$1203,"correctiva")</f>
        <v/>
      </c>
      <c r="G68" s="25">
        <f>E68+F68</f>
        <v/>
      </c>
      <c r="H68" s="25">
        <f>D68-G68</f>
        <v/>
      </c>
      <c r="I68" s="27">
        <f>IF(D68=0,"",G68/D68)</f>
        <v/>
      </c>
    </row>
    <row r="69" hidden="1">
      <c r="A69" s="24" t="inlineStr">
        <is>
          <t>ELE</t>
        </is>
      </c>
      <c r="B69" s="24">
        <f>$O$20</f>
        <v/>
      </c>
      <c r="C69" s="25">
        <f>SUMIFS('ASIGNACIONES'!$M$4:$M$451,'ASIGNACIONES'!$E$4:$E$451,$A69,'ASIGNACIONES'!$A$4:$A$451,$B69)</f>
        <v/>
      </c>
      <c r="D69" s="25">
        <f>C69*p_factor_productividad</f>
        <v/>
      </c>
      <c r="E69" s="25">
        <f>SUMIFS('ORDENES'!$M$4:$M$1203,'ORDENES'!$AB$4:$AB$1203,$A69,'ORDENES'!$O$4:$O$1203,$B69,'ORDENES'!$U$4:$U$1203,"preventiva")</f>
        <v/>
      </c>
      <c r="F69" s="25">
        <f>SUMIFS('ORDENES'!$M$4:$M$1203,'ORDENES'!$AB$4:$AB$1203,$A69,'ORDENES'!$O$4:$O$1203,$B69,'ORDENES'!$U$4:$U$1203,"correctiva")</f>
        <v/>
      </c>
      <c r="G69" s="25">
        <f>E69+F69</f>
        <v/>
      </c>
      <c r="H69" s="25">
        <f>D69-G69</f>
        <v/>
      </c>
      <c r="I69" s="27">
        <f>IF(D69=0,"",G69/D69)</f>
        <v/>
      </c>
    </row>
    <row r="70" hidden="1">
      <c r="A70" s="24" t="inlineStr">
        <is>
          <t>AUT</t>
        </is>
      </c>
      <c r="B70" s="24">
        <f>$O$20</f>
        <v/>
      </c>
      <c r="C70" s="25">
        <f>SUMIFS('ASIGNACIONES'!$M$4:$M$451,'ASIGNACIONES'!$E$4:$E$451,$A70,'ASIGNACIONES'!$A$4:$A$451,$B70)</f>
        <v/>
      </c>
      <c r="D70" s="25">
        <f>C70*p_factor_productividad</f>
        <v/>
      </c>
      <c r="E70" s="25">
        <f>SUMIFS('ORDENES'!$M$4:$M$1203,'ORDENES'!$AB$4:$AB$1203,$A70,'ORDENES'!$O$4:$O$1203,$B70,'ORDENES'!$U$4:$U$1203,"preventiva")</f>
        <v/>
      </c>
      <c r="F70" s="25">
        <f>SUMIFS('ORDENES'!$M$4:$M$1203,'ORDENES'!$AB$4:$AB$1203,$A70,'ORDENES'!$O$4:$O$1203,$B70,'ORDENES'!$U$4:$U$1203,"correctiva")</f>
        <v/>
      </c>
      <c r="G70" s="25">
        <f>E70+F70</f>
        <v/>
      </c>
      <c r="H70" s="25">
        <f>D70-G70</f>
        <v/>
      </c>
      <c r="I70" s="27">
        <f>IF(D70=0,"",G70/D70)</f>
        <v/>
      </c>
    </row>
    <row r="71" hidden="1">
      <c r="A71" s="24" t="inlineStr">
        <is>
          <t>TERCERO</t>
        </is>
      </c>
      <c r="B71" s="24">
        <f>$O$20</f>
        <v/>
      </c>
      <c r="C71" s="25">
        <f>SUMIFS('ASIGNACIONES'!$M$4:$M$451,'ASIGNACIONES'!$E$4:$E$451,$A71,'ASIGNACIONES'!$A$4:$A$451,$B71)</f>
        <v/>
      </c>
      <c r="D71" s="25">
        <f>C71*p_factor_productividad</f>
        <v/>
      </c>
      <c r="E71" s="25">
        <f>SUMIFS('ORDENES'!$M$4:$M$1203,'ORDENES'!$AB$4:$AB$1203,$A71,'ORDENES'!$O$4:$O$1203,$B71,'ORDENES'!$U$4:$U$1203,"preventiva")</f>
        <v/>
      </c>
      <c r="F71" s="25">
        <f>SUMIFS('ORDENES'!$M$4:$M$1203,'ORDENES'!$AB$4:$AB$1203,$A71,'ORDENES'!$O$4:$O$1203,$B71,'ORDENES'!$U$4:$U$1203,"correctiva")</f>
        <v/>
      </c>
      <c r="G71" s="25">
        <f>E71+F71</f>
        <v/>
      </c>
      <c r="H71" s="25">
        <f>D71-G71</f>
        <v/>
      </c>
      <c r="I71" s="27">
        <f>IF(D71=0,"",G71/D71)</f>
        <v/>
      </c>
    </row>
    <row r="72" hidden="1">
      <c r="A72" s="24" t="inlineStr">
        <is>
          <t>MEC</t>
        </is>
      </c>
      <c r="B72" s="24">
        <f>$O$21</f>
        <v/>
      </c>
      <c r="C72" s="25">
        <f>SUMIFS('ASIGNACIONES'!$M$4:$M$451,'ASIGNACIONES'!$E$4:$E$451,$A72,'ASIGNACIONES'!$A$4:$A$451,$B72)</f>
        <v/>
      </c>
      <c r="D72" s="25">
        <f>C72*p_factor_productividad</f>
        <v/>
      </c>
      <c r="E72" s="25">
        <f>SUMIFS('ORDENES'!$M$4:$M$1203,'ORDENES'!$AB$4:$AB$1203,$A72,'ORDENES'!$O$4:$O$1203,$B72,'ORDENES'!$U$4:$U$1203,"preventiva")</f>
        <v/>
      </c>
      <c r="F72" s="25">
        <f>SUMIFS('ORDENES'!$M$4:$M$1203,'ORDENES'!$AB$4:$AB$1203,$A72,'ORDENES'!$O$4:$O$1203,$B72,'ORDENES'!$U$4:$U$1203,"correctiva")</f>
        <v/>
      </c>
      <c r="G72" s="25">
        <f>E72+F72</f>
        <v/>
      </c>
      <c r="H72" s="25">
        <f>D72-G72</f>
        <v/>
      </c>
      <c r="I72" s="27">
        <f>IF(D72=0,"",G72/D72)</f>
        <v/>
      </c>
    </row>
    <row r="73" hidden="1">
      <c r="A73" s="24" t="inlineStr">
        <is>
          <t>ELE</t>
        </is>
      </c>
      <c r="B73" s="24">
        <f>$O$21</f>
        <v/>
      </c>
      <c r="C73" s="25">
        <f>SUMIFS('ASIGNACIONES'!$M$4:$M$451,'ASIGNACIONES'!$E$4:$E$451,$A73,'ASIGNACIONES'!$A$4:$A$451,$B73)</f>
        <v/>
      </c>
      <c r="D73" s="25">
        <f>C73*p_factor_productividad</f>
        <v/>
      </c>
      <c r="E73" s="25">
        <f>SUMIFS('ORDENES'!$M$4:$M$1203,'ORDENES'!$AB$4:$AB$1203,$A73,'ORDENES'!$O$4:$O$1203,$B73,'ORDENES'!$U$4:$U$1203,"preventiva")</f>
        <v/>
      </c>
      <c r="F73" s="25">
        <f>SUMIFS('ORDENES'!$M$4:$M$1203,'ORDENES'!$AB$4:$AB$1203,$A73,'ORDENES'!$O$4:$O$1203,$B73,'ORDENES'!$U$4:$U$1203,"correctiva")</f>
        <v/>
      </c>
      <c r="G73" s="25">
        <f>E73+F73</f>
        <v/>
      </c>
      <c r="H73" s="25">
        <f>D73-G73</f>
        <v/>
      </c>
      <c r="I73" s="27">
        <f>IF(D73=0,"",G73/D73)</f>
        <v/>
      </c>
    </row>
    <row r="74" hidden="1">
      <c r="A74" s="24" t="inlineStr">
        <is>
          <t>AUT</t>
        </is>
      </c>
      <c r="B74" s="24">
        <f>$O$21</f>
        <v/>
      </c>
      <c r="C74" s="25">
        <f>SUMIFS('ASIGNACIONES'!$M$4:$M$451,'ASIGNACIONES'!$E$4:$E$451,$A74,'ASIGNACIONES'!$A$4:$A$451,$B74)</f>
        <v/>
      </c>
      <c r="D74" s="25">
        <f>C74*p_factor_productividad</f>
        <v/>
      </c>
      <c r="E74" s="25">
        <f>SUMIFS('ORDENES'!$M$4:$M$1203,'ORDENES'!$AB$4:$AB$1203,$A74,'ORDENES'!$O$4:$O$1203,$B74,'ORDENES'!$U$4:$U$1203,"preventiva")</f>
        <v/>
      </c>
      <c r="F74" s="25">
        <f>SUMIFS('ORDENES'!$M$4:$M$1203,'ORDENES'!$AB$4:$AB$1203,$A74,'ORDENES'!$O$4:$O$1203,$B74,'ORDENES'!$U$4:$U$1203,"correctiva")</f>
        <v/>
      </c>
      <c r="G74" s="25">
        <f>E74+F74</f>
        <v/>
      </c>
      <c r="H74" s="25">
        <f>D74-G74</f>
        <v/>
      </c>
      <c r="I74" s="27">
        <f>IF(D74=0,"",G74/D74)</f>
        <v/>
      </c>
    </row>
    <row r="75" hidden="1">
      <c r="A75" s="24" t="inlineStr">
        <is>
          <t>TERCERO</t>
        </is>
      </c>
      <c r="B75" s="24">
        <f>$O$21</f>
        <v/>
      </c>
      <c r="C75" s="25">
        <f>SUMIFS('ASIGNACIONES'!$M$4:$M$451,'ASIGNACIONES'!$E$4:$E$451,$A75,'ASIGNACIONES'!$A$4:$A$451,$B75)</f>
        <v/>
      </c>
      <c r="D75" s="25">
        <f>C75*p_factor_productividad</f>
        <v/>
      </c>
      <c r="E75" s="25">
        <f>SUMIFS('ORDENES'!$M$4:$M$1203,'ORDENES'!$AB$4:$AB$1203,$A75,'ORDENES'!$O$4:$O$1203,$B75,'ORDENES'!$U$4:$U$1203,"preventiva")</f>
        <v/>
      </c>
      <c r="F75" s="25">
        <f>SUMIFS('ORDENES'!$M$4:$M$1203,'ORDENES'!$AB$4:$AB$1203,$A75,'ORDENES'!$O$4:$O$1203,$B75,'ORDENES'!$U$4:$U$1203,"correctiva")</f>
        <v/>
      </c>
      <c r="G75" s="25">
        <f>E75+F75</f>
        <v/>
      </c>
      <c r="H75" s="25">
        <f>D75-G75</f>
        <v/>
      </c>
      <c r="I75" s="27">
        <f>IF(D75=0,"",G75/D75)</f>
        <v/>
      </c>
    </row>
    <row r="76" hidden="1">
      <c r="A76" s="24" t="inlineStr">
        <is>
          <t>MEC</t>
        </is>
      </c>
      <c r="B76" s="24">
        <f>$O$22</f>
        <v/>
      </c>
      <c r="C76" s="25">
        <f>SUMIFS('ASIGNACIONES'!$M$4:$M$451,'ASIGNACIONES'!$E$4:$E$451,$A76,'ASIGNACIONES'!$A$4:$A$451,$B76)</f>
        <v/>
      </c>
      <c r="D76" s="25">
        <f>C76*p_factor_productividad</f>
        <v/>
      </c>
      <c r="E76" s="25">
        <f>SUMIFS('ORDENES'!$M$4:$M$1203,'ORDENES'!$AB$4:$AB$1203,$A76,'ORDENES'!$O$4:$O$1203,$B76,'ORDENES'!$U$4:$U$1203,"preventiva")</f>
        <v/>
      </c>
      <c r="F76" s="25">
        <f>SUMIFS('ORDENES'!$M$4:$M$1203,'ORDENES'!$AB$4:$AB$1203,$A76,'ORDENES'!$O$4:$O$1203,$B76,'ORDENES'!$U$4:$U$1203,"correctiva")</f>
        <v/>
      </c>
      <c r="G76" s="25">
        <f>E76+F76</f>
        <v/>
      </c>
      <c r="H76" s="25">
        <f>D76-G76</f>
        <v/>
      </c>
      <c r="I76" s="27">
        <f>IF(D76=0,"",G76/D76)</f>
        <v/>
      </c>
    </row>
    <row r="77" hidden="1">
      <c r="A77" s="24" t="inlineStr">
        <is>
          <t>ELE</t>
        </is>
      </c>
      <c r="B77" s="24">
        <f>$O$22</f>
        <v/>
      </c>
      <c r="C77" s="25">
        <f>SUMIFS('ASIGNACIONES'!$M$4:$M$451,'ASIGNACIONES'!$E$4:$E$451,$A77,'ASIGNACIONES'!$A$4:$A$451,$B77)</f>
        <v/>
      </c>
      <c r="D77" s="25">
        <f>C77*p_factor_productividad</f>
        <v/>
      </c>
      <c r="E77" s="25">
        <f>SUMIFS('ORDENES'!$M$4:$M$1203,'ORDENES'!$AB$4:$AB$1203,$A77,'ORDENES'!$O$4:$O$1203,$B77,'ORDENES'!$U$4:$U$1203,"preventiva")</f>
        <v/>
      </c>
      <c r="F77" s="25">
        <f>SUMIFS('ORDENES'!$M$4:$M$1203,'ORDENES'!$AB$4:$AB$1203,$A77,'ORDENES'!$O$4:$O$1203,$B77,'ORDENES'!$U$4:$U$1203,"correctiva")</f>
        <v/>
      </c>
      <c r="G77" s="25">
        <f>E77+F77</f>
        <v/>
      </c>
      <c r="H77" s="25">
        <f>D77-G77</f>
        <v/>
      </c>
      <c r="I77" s="27">
        <f>IF(D77=0,"",G77/D77)</f>
        <v/>
      </c>
    </row>
    <row r="78" hidden="1">
      <c r="A78" s="24" t="inlineStr">
        <is>
          <t>AUT</t>
        </is>
      </c>
      <c r="B78" s="24">
        <f>$O$22</f>
        <v/>
      </c>
      <c r="C78" s="25">
        <f>SUMIFS('ASIGNACIONES'!$M$4:$M$451,'ASIGNACIONES'!$E$4:$E$451,$A78,'ASIGNACIONES'!$A$4:$A$451,$B78)</f>
        <v/>
      </c>
      <c r="D78" s="25">
        <f>C78*p_factor_productividad</f>
        <v/>
      </c>
      <c r="E78" s="25">
        <f>SUMIFS('ORDENES'!$M$4:$M$1203,'ORDENES'!$AB$4:$AB$1203,$A78,'ORDENES'!$O$4:$O$1203,$B78,'ORDENES'!$U$4:$U$1203,"preventiva")</f>
        <v/>
      </c>
      <c r="F78" s="25">
        <f>SUMIFS('ORDENES'!$M$4:$M$1203,'ORDENES'!$AB$4:$AB$1203,$A78,'ORDENES'!$O$4:$O$1203,$B78,'ORDENES'!$U$4:$U$1203,"correctiva")</f>
        <v/>
      </c>
      <c r="G78" s="25">
        <f>E78+F78</f>
        <v/>
      </c>
      <c r="H78" s="25">
        <f>D78-G78</f>
        <v/>
      </c>
      <c r="I78" s="27">
        <f>IF(D78=0,"",G78/D78)</f>
        <v/>
      </c>
    </row>
    <row r="79" hidden="1">
      <c r="A79" s="24" t="inlineStr">
        <is>
          <t>TERCERO</t>
        </is>
      </c>
      <c r="B79" s="24">
        <f>$O$22</f>
        <v/>
      </c>
      <c r="C79" s="25">
        <f>SUMIFS('ASIGNACIONES'!$M$4:$M$451,'ASIGNACIONES'!$E$4:$E$451,$A79,'ASIGNACIONES'!$A$4:$A$451,$B79)</f>
        <v/>
      </c>
      <c r="D79" s="25">
        <f>C79*p_factor_productividad</f>
        <v/>
      </c>
      <c r="E79" s="25">
        <f>SUMIFS('ORDENES'!$M$4:$M$1203,'ORDENES'!$AB$4:$AB$1203,$A79,'ORDENES'!$O$4:$O$1203,$B79,'ORDENES'!$U$4:$U$1203,"preventiva")</f>
        <v/>
      </c>
      <c r="F79" s="25">
        <f>SUMIFS('ORDENES'!$M$4:$M$1203,'ORDENES'!$AB$4:$AB$1203,$A79,'ORDENES'!$O$4:$O$1203,$B79,'ORDENES'!$U$4:$U$1203,"correctiva")</f>
        <v/>
      </c>
      <c r="G79" s="25">
        <f>E79+F79</f>
        <v/>
      </c>
      <c r="H79" s="25">
        <f>D79-G79</f>
        <v/>
      </c>
      <c r="I79" s="27">
        <f>IF(D79=0,"",G79/D79)</f>
        <v/>
      </c>
    </row>
    <row r="80" hidden="1">
      <c r="A80" s="24" t="inlineStr">
        <is>
          <t>MEC</t>
        </is>
      </c>
      <c r="B80" s="24">
        <f>$O$23</f>
        <v/>
      </c>
      <c r="C80" s="25">
        <f>SUMIFS('ASIGNACIONES'!$M$4:$M$451,'ASIGNACIONES'!$E$4:$E$451,$A80,'ASIGNACIONES'!$A$4:$A$451,$B80)</f>
        <v/>
      </c>
      <c r="D80" s="25">
        <f>C80*p_factor_productividad</f>
        <v/>
      </c>
      <c r="E80" s="25">
        <f>SUMIFS('ORDENES'!$M$4:$M$1203,'ORDENES'!$AB$4:$AB$1203,$A80,'ORDENES'!$O$4:$O$1203,$B80,'ORDENES'!$U$4:$U$1203,"preventiva")</f>
        <v/>
      </c>
      <c r="F80" s="25">
        <f>SUMIFS('ORDENES'!$M$4:$M$1203,'ORDENES'!$AB$4:$AB$1203,$A80,'ORDENES'!$O$4:$O$1203,$B80,'ORDENES'!$U$4:$U$1203,"correctiva")</f>
        <v/>
      </c>
      <c r="G80" s="25">
        <f>E80+F80</f>
        <v/>
      </c>
      <c r="H80" s="25">
        <f>D80-G80</f>
        <v/>
      </c>
      <c r="I80" s="27">
        <f>IF(D80=0,"",G80/D80)</f>
        <v/>
      </c>
    </row>
    <row r="81" hidden="1">
      <c r="A81" s="24" t="inlineStr">
        <is>
          <t>ELE</t>
        </is>
      </c>
      <c r="B81" s="24">
        <f>$O$23</f>
        <v/>
      </c>
      <c r="C81" s="25">
        <f>SUMIFS('ASIGNACIONES'!$M$4:$M$451,'ASIGNACIONES'!$E$4:$E$451,$A81,'ASIGNACIONES'!$A$4:$A$451,$B81)</f>
        <v/>
      </c>
      <c r="D81" s="25">
        <f>C81*p_factor_productividad</f>
        <v/>
      </c>
      <c r="E81" s="25">
        <f>SUMIFS('ORDENES'!$M$4:$M$1203,'ORDENES'!$AB$4:$AB$1203,$A81,'ORDENES'!$O$4:$O$1203,$B81,'ORDENES'!$U$4:$U$1203,"preventiva")</f>
        <v/>
      </c>
      <c r="F81" s="25">
        <f>SUMIFS('ORDENES'!$M$4:$M$1203,'ORDENES'!$AB$4:$AB$1203,$A81,'ORDENES'!$O$4:$O$1203,$B81,'ORDENES'!$U$4:$U$1203,"correctiva")</f>
        <v/>
      </c>
      <c r="G81" s="25">
        <f>E81+F81</f>
        <v/>
      </c>
      <c r="H81" s="25">
        <f>D81-G81</f>
        <v/>
      </c>
      <c r="I81" s="27">
        <f>IF(D81=0,"",G81/D81)</f>
        <v/>
      </c>
    </row>
    <row r="82" hidden="1">
      <c r="A82" s="24" t="inlineStr">
        <is>
          <t>AUT</t>
        </is>
      </c>
      <c r="B82" s="24">
        <f>$O$23</f>
        <v/>
      </c>
      <c r="C82" s="25">
        <f>SUMIFS('ASIGNACIONES'!$M$4:$M$451,'ASIGNACIONES'!$E$4:$E$451,$A82,'ASIGNACIONES'!$A$4:$A$451,$B82)</f>
        <v/>
      </c>
      <c r="D82" s="25">
        <f>C82*p_factor_productividad</f>
        <v/>
      </c>
      <c r="E82" s="25">
        <f>SUMIFS('ORDENES'!$M$4:$M$1203,'ORDENES'!$AB$4:$AB$1203,$A82,'ORDENES'!$O$4:$O$1203,$B82,'ORDENES'!$U$4:$U$1203,"preventiva")</f>
        <v/>
      </c>
      <c r="F82" s="25">
        <f>SUMIFS('ORDENES'!$M$4:$M$1203,'ORDENES'!$AB$4:$AB$1203,$A82,'ORDENES'!$O$4:$O$1203,$B82,'ORDENES'!$U$4:$U$1203,"correctiva")</f>
        <v/>
      </c>
      <c r="G82" s="25">
        <f>E82+F82</f>
        <v/>
      </c>
      <c r="H82" s="25">
        <f>D82-G82</f>
        <v/>
      </c>
      <c r="I82" s="27">
        <f>IF(D82=0,"",G82/D82)</f>
        <v/>
      </c>
    </row>
    <row r="83" hidden="1">
      <c r="A83" s="24" t="inlineStr">
        <is>
          <t>TERCERO</t>
        </is>
      </c>
      <c r="B83" s="24">
        <f>$O$23</f>
        <v/>
      </c>
      <c r="C83" s="25">
        <f>SUMIFS('ASIGNACIONES'!$M$4:$M$451,'ASIGNACIONES'!$E$4:$E$451,$A83,'ASIGNACIONES'!$A$4:$A$451,$B83)</f>
        <v/>
      </c>
      <c r="D83" s="25">
        <f>C83*p_factor_productividad</f>
        <v/>
      </c>
      <c r="E83" s="25">
        <f>SUMIFS('ORDENES'!$M$4:$M$1203,'ORDENES'!$AB$4:$AB$1203,$A83,'ORDENES'!$O$4:$O$1203,$B83,'ORDENES'!$U$4:$U$1203,"preventiva")</f>
        <v/>
      </c>
      <c r="F83" s="25">
        <f>SUMIFS('ORDENES'!$M$4:$M$1203,'ORDENES'!$AB$4:$AB$1203,$A83,'ORDENES'!$O$4:$O$1203,$B83,'ORDENES'!$U$4:$U$1203,"correctiva")</f>
        <v/>
      </c>
      <c r="G83" s="25">
        <f>E83+F83</f>
        <v/>
      </c>
      <c r="H83" s="25">
        <f>D83-G83</f>
        <v/>
      </c>
      <c r="I83" s="27">
        <f>IF(D83=0,"",G83/D83)</f>
        <v/>
      </c>
    </row>
    <row r="84" hidden="1">
      <c r="A84" s="24" t="inlineStr">
        <is>
          <t>MEC</t>
        </is>
      </c>
      <c r="B84" s="24">
        <f>$O$24</f>
        <v/>
      </c>
      <c r="C84" s="25">
        <f>SUMIFS('ASIGNACIONES'!$M$4:$M$451,'ASIGNACIONES'!$E$4:$E$451,$A84,'ASIGNACIONES'!$A$4:$A$451,$B84)</f>
        <v/>
      </c>
      <c r="D84" s="25">
        <f>C84*p_factor_productividad</f>
        <v/>
      </c>
      <c r="E84" s="25">
        <f>SUMIFS('ORDENES'!$M$4:$M$1203,'ORDENES'!$AB$4:$AB$1203,$A84,'ORDENES'!$O$4:$O$1203,$B84,'ORDENES'!$U$4:$U$1203,"preventiva")</f>
        <v/>
      </c>
      <c r="F84" s="25">
        <f>SUMIFS('ORDENES'!$M$4:$M$1203,'ORDENES'!$AB$4:$AB$1203,$A84,'ORDENES'!$O$4:$O$1203,$B84,'ORDENES'!$U$4:$U$1203,"correctiva")</f>
        <v/>
      </c>
      <c r="G84" s="25">
        <f>E84+F84</f>
        <v/>
      </c>
      <c r="H84" s="25">
        <f>D84-G84</f>
        <v/>
      </c>
      <c r="I84" s="27">
        <f>IF(D84=0,"",G84/D84)</f>
        <v/>
      </c>
    </row>
    <row r="85" hidden="1">
      <c r="A85" s="24" t="inlineStr">
        <is>
          <t>ELE</t>
        </is>
      </c>
      <c r="B85" s="24">
        <f>$O$24</f>
        <v/>
      </c>
      <c r="C85" s="25">
        <f>SUMIFS('ASIGNACIONES'!$M$4:$M$451,'ASIGNACIONES'!$E$4:$E$451,$A85,'ASIGNACIONES'!$A$4:$A$451,$B85)</f>
        <v/>
      </c>
      <c r="D85" s="25">
        <f>C85*p_factor_productividad</f>
        <v/>
      </c>
      <c r="E85" s="25">
        <f>SUMIFS('ORDENES'!$M$4:$M$1203,'ORDENES'!$AB$4:$AB$1203,$A85,'ORDENES'!$O$4:$O$1203,$B85,'ORDENES'!$U$4:$U$1203,"preventiva")</f>
        <v/>
      </c>
      <c r="F85" s="25">
        <f>SUMIFS('ORDENES'!$M$4:$M$1203,'ORDENES'!$AB$4:$AB$1203,$A85,'ORDENES'!$O$4:$O$1203,$B85,'ORDENES'!$U$4:$U$1203,"correctiva")</f>
        <v/>
      </c>
      <c r="G85" s="25">
        <f>E85+F85</f>
        <v/>
      </c>
      <c r="H85" s="25">
        <f>D85-G85</f>
        <v/>
      </c>
      <c r="I85" s="27">
        <f>IF(D85=0,"",G85/D85)</f>
        <v/>
      </c>
    </row>
    <row r="86" hidden="1">
      <c r="A86" s="24" t="inlineStr">
        <is>
          <t>AUT</t>
        </is>
      </c>
      <c r="B86" s="24">
        <f>$O$24</f>
        <v/>
      </c>
      <c r="C86" s="25">
        <f>SUMIFS('ASIGNACIONES'!$M$4:$M$451,'ASIGNACIONES'!$E$4:$E$451,$A86,'ASIGNACIONES'!$A$4:$A$451,$B86)</f>
        <v/>
      </c>
      <c r="D86" s="25">
        <f>C86*p_factor_productividad</f>
        <v/>
      </c>
      <c r="E86" s="25">
        <f>SUMIFS('ORDENES'!$M$4:$M$1203,'ORDENES'!$AB$4:$AB$1203,$A86,'ORDENES'!$O$4:$O$1203,$B86,'ORDENES'!$U$4:$U$1203,"preventiva")</f>
        <v/>
      </c>
      <c r="F86" s="25">
        <f>SUMIFS('ORDENES'!$M$4:$M$1203,'ORDENES'!$AB$4:$AB$1203,$A86,'ORDENES'!$O$4:$O$1203,$B86,'ORDENES'!$U$4:$U$1203,"correctiva")</f>
        <v/>
      </c>
      <c r="G86" s="25">
        <f>E86+F86</f>
        <v/>
      </c>
      <c r="H86" s="25">
        <f>D86-G86</f>
        <v/>
      </c>
      <c r="I86" s="27">
        <f>IF(D86=0,"",G86/D86)</f>
        <v/>
      </c>
    </row>
    <row r="87" hidden="1">
      <c r="A87" s="24" t="inlineStr">
        <is>
          <t>TERCERO</t>
        </is>
      </c>
      <c r="B87" s="24">
        <f>$O$24</f>
        <v/>
      </c>
      <c r="C87" s="25">
        <f>SUMIFS('ASIGNACIONES'!$M$4:$M$451,'ASIGNACIONES'!$E$4:$E$451,$A87,'ASIGNACIONES'!$A$4:$A$451,$B87)</f>
        <v/>
      </c>
      <c r="D87" s="25">
        <f>C87*p_factor_productividad</f>
        <v/>
      </c>
      <c r="E87" s="25">
        <f>SUMIFS('ORDENES'!$M$4:$M$1203,'ORDENES'!$AB$4:$AB$1203,$A87,'ORDENES'!$O$4:$O$1203,$B87,'ORDENES'!$U$4:$U$1203,"preventiva")</f>
        <v/>
      </c>
      <c r="F87" s="25">
        <f>SUMIFS('ORDENES'!$M$4:$M$1203,'ORDENES'!$AB$4:$AB$1203,$A87,'ORDENES'!$O$4:$O$1203,$B87,'ORDENES'!$U$4:$U$1203,"correctiva")</f>
        <v/>
      </c>
      <c r="G87" s="25">
        <f>E87+F87</f>
        <v/>
      </c>
      <c r="H87" s="25">
        <f>D87-G87</f>
        <v/>
      </c>
      <c r="I87" s="27">
        <f>IF(D87=0,"",G87/D87)</f>
        <v/>
      </c>
    </row>
    <row r="88" hidden="1">
      <c r="A88" s="24" t="inlineStr">
        <is>
          <t>MEC</t>
        </is>
      </c>
      <c r="B88" s="24">
        <f>$O$25</f>
        <v/>
      </c>
      <c r="C88" s="25">
        <f>SUMIFS('ASIGNACIONES'!$M$4:$M$451,'ASIGNACIONES'!$E$4:$E$451,$A88,'ASIGNACIONES'!$A$4:$A$451,$B88)</f>
        <v/>
      </c>
      <c r="D88" s="25">
        <f>C88*p_factor_productividad</f>
        <v/>
      </c>
      <c r="E88" s="25">
        <f>SUMIFS('ORDENES'!$M$4:$M$1203,'ORDENES'!$AB$4:$AB$1203,$A88,'ORDENES'!$O$4:$O$1203,$B88,'ORDENES'!$U$4:$U$1203,"preventiva")</f>
        <v/>
      </c>
      <c r="F88" s="25">
        <f>SUMIFS('ORDENES'!$M$4:$M$1203,'ORDENES'!$AB$4:$AB$1203,$A88,'ORDENES'!$O$4:$O$1203,$B88,'ORDENES'!$U$4:$U$1203,"correctiva")</f>
        <v/>
      </c>
      <c r="G88" s="25">
        <f>E88+F88</f>
        <v/>
      </c>
      <c r="H88" s="25">
        <f>D88-G88</f>
        <v/>
      </c>
      <c r="I88" s="27">
        <f>IF(D88=0,"",G88/D88)</f>
        <v/>
      </c>
    </row>
    <row r="89" hidden="1">
      <c r="A89" s="24" t="inlineStr">
        <is>
          <t>ELE</t>
        </is>
      </c>
      <c r="B89" s="24">
        <f>$O$25</f>
        <v/>
      </c>
      <c r="C89" s="25">
        <f>SUMIFS('ASIGNACIONES'!$M$4:$M$451,'ASIGNACIONES'!$E$4:$E$451,$A89,'ASIGNACIONES'!$A$4:$A$451,$B89)</f>
        <v/>
      </c>
      <c r="D89" s="25">
        <f>C89*p_factor_productividad</f>
        <v/>
      </c>
      <c r="E89" s="25">
        <f>SUMIFS('ORDENES'!$M$4:$M$1203,'ORDENES'!$AB$4:$AB$1203,$A89,'ORDENES'!$O$4:$O$1203,$B89,'ORDENES'!$U$4:$U$1203,"preventiva")</f>
        <v/>
      </c>
      <c r="F89" s="25">
        <f>SUMIFS('ORDENES'!$M$4:$M$1203,'ORDENES'!$AB$4:$AB$1203,$A89,'ORDENES'!$O$4:$O$1203,$B89,'ORDENES'!$U$4:$U$1203,"correctiva")</f>
        <v/>
      </c>
      <c r="G89" s="25">
        <f>E89+F89</f>
        <v/>
      </c>
      <c r="H89" s="25">
        <f>D89-G89</f>
        <v/>
      </c>
      <c r="I89" s="27">
        <f>IF(D89=0,"",G89/D89)</f>
        <v/>
      </c>
    </row>
    <row r="90" hidden="1">
      <c r="A90" s="24" t="inlineStr">
        <is>
          <t>AUT</t>
        </is>
      </c>
      <c r="B90" s="24">
        <f>$O$25</f>
        <v/>
      </c>
      <c r="C90" s="25">
        <f>SUMIFS('ASIGNACIONES'!$M$4:$M$451,'ASIGNACIONES'!$E$4:$E$451,$A90,'ASIGNACIONES'!$A$4:$A$451,$B90)</f>
        <v/>
      </c>
      <c r="D90" s="25">
        <f>C90*p_factor_productividad</f>
        <v/>
      </c>
      <c r="E90" s="25">
        <f>SUMIFS('ORDENES'!$M$4:$M$1203,'ORDENES'!$AB$4:$AB$1203,$A90,'ORDENES'!$O$4:$O$1203,$B90,'ORDENES'!$U$4:$U$1203,"preventiva")</f>
        <v/>
      </c>
      <c r="F90" s="25">
        <f>SUMIFS('ORDENES'!$M$4:$M$1203,'ORDENES'!$AB$4:$AB$1203,$A90,'ORDENES'!$O$4:$O$1203,$B90,'ORDENES'!$U$4:$U$1203,"correctiva")</f>
        <v/>
      </c>
      <c r="G90" s="25">
        <f>E90+F90</f>
        <v/>
      </c>
      <c r="H90" s="25">
        <f>D90-G90</f>
        <v/>
      </c>
      <c r="I90" s="27">
        <f>IF(D90=0,"",G90/D90)</f>
        <v/>
      </c>
    </row>
    <row r="91" hidden="1">
      <c r="A91" s="24" t="inlineStr">
        <is>
          <t>TERCERO</t>
        </is>
      </c>
      <c r="B91" s="24">
        <f>$O$25</f>
        <v/>
      </c>
      <c r="C91" s="25">
        <f>SUMIFS('ASIGNACIONES'!$M$4:$M$451,'ASIGNACIONES'!$E$4:$E$451,$A91,'ASIGNACIONES'!$A$4:$A$451,$B91)</f>
        <v/>
      </c>
      <c r="D91" s="25">
        <f>C91*p_factor_productividad</f>
        <v/>
      </c>
      <c r="E91" s="25">
        <f>SUMIFS('ORDENES'!$M$4:$M$1203,'ORDENES'!$AB$4:$AB$1203,$A91,'ORDENES'!$O$4:$O$1203,$B91,'ORDENES'!$U$4:$U$1203,"preventiva")</f>
        <v/>
      </c>
      <c r="F91" s="25">
        <f>SUMIFS('ORDENES'!$M$4:$M$1203,'ORDENES'!$AB$4:$AB$1203,$A91,'ORDENES'!$O$4:$O$1203,$B91,'ORDENES'!$U$4:$U$1203,"correctiva")</f>
        <v/>
      </c>
      <c r="G91" s="25">
        <f>E91+F91</f>
        <v/>
      </c>
      <c r="H91" s="25">
        <f>D91-G91</f>
        <v/>
      </c>
      <c r="I91" s="27">
        <f>IF(D91=0,"",G91/D91)</f>
        <v/>
      </c>
    </row>
    <row r="92" hidden="1">
      <c r="A92" s="24" t="inlineStr">
        <is>
          <t>MEC</t>
        </is>
      </c>
      <c r="B92" s="24">
        <f>$O$26</f>
        <v/>
      </c>
      <c r="C92" s="25">
        <f>SUMIFS('ASIGNACIONES'!$M$4:$M$451,'ASIGNACIONES'!$E$4:$E$451,$A92,'ASIGNACIONES'!$A$4:$A$451,$B92)</f>
        <v/>
      </c>
      <c r="D92" s="25">
        <f>C92*p_factor_productividad</f>
        <v/>
      </c>
      <c r="E92" s="25">
        <f>SUMIFS('ORDENES'!$M$4:$M$1203,'ORDENES'!$AB$4:$AB$1203,$A92,'ORDENES'!$O$4:$O$1203,$B92,'ORDENES'!$U$4:$U$1203,"preventiva")</f>
        <v/>
      </c>
      <c r="F92" s="25">
        <f>SUMIFS('ORDENES'!$M$4:$M$1203,'ORDENES'!$AB$4:$AB$1203,$A92,'ORDENES'!$O$4:$O$1203,$B92,'ORDENES'!$U$4:$U$1203,"correctiva")</f>
        <v/>
      </c>
      <c r="G92" s="25">
        <f>E92+F92</f>
        <v/>
      </c>
      <c r="H92" s="25">
        <f>D92-G92</f>
        <v/>
      </c>
      <c r="I92" s="27">
        <f>IF(D92=0,"",G92/D92)</f>
        <v/>
      </c>
    </row>
    <row r="93" hidden="1">
      <c r="A93" s="24" t="inlineStr">
        <is>
          <t>ELE</t>
        </is>
      </c>
      <c r="B93" s="24">
        <f>$O$26</f>
        <v/>
      </c>
      <c r="C93" s="25">
        <f>SUMIFS('ASIGNACIONES'!$M$4:$M$451,'ASIGNACIONES'!$E$4:$E$451,$A93,'ASIGNACIONES'!$A$4:$A$451,$B93)</f>
        <v/>
      </c>
      <c r="D93" s="25">
        <f>C93*p_factor_productividad</f>
        <v/>
      </c>
      <c r="E93" s="25">
        <f>SUMIFS('ORDENES'!$M$4:$M$1203,'ORDENES'!$AB$4:$AB$1203,$A93,'ORDENES'!$O$4:$O$1203,$B93,'ORDENES'!$U$4:$U$1203,"preventiva")</f>
        <v/>
      </c>
      <c r="F93" s="25">
        <f>SUMIFS('ORDENES'!$M$4:$M$1203,'ORDENES'!$AB$4:$AB$1203,$A93,'ORDENES'!$O$4:$O$1203,$B93,'ORDENES'!$U$4:$U$1203,"correctiva")</f>
        <v/>
      </c>
      <c r="G93" s="25">
        <f>E93+F93</f>
        <v/>
      </c>
      <c r="H93" s="25">
        <f>D93-G93</f>
        <v/>
      </c>
      <c r="I93" s="27">
        <f>IF(D93=0,"",G93/D93)</f>
        <v/>
      </c>
    </row>
    <row r="94" hidden="1">
      <c r="A94" s="24" t="inlineStr">
        <is>
          <t>AUT</t>
        </is>
      </c>
      <c r="B94" s="24">
        <f>$O$26</f>
        <v/>
      </c>
      <c r="C94" s="25">
        <f>SUMIFS('ASIGNACIONES'!$M$4:$M$451,'ASIGNACIONES'!$E$4:$E$451,$A94,'ASIGNACIONES'!$A$4:$A$451,$B94)</f>
        <v/>
      </c>
      <c r="D94" s="25">
        <f>C94*p_factor_productividad</f>
        <v/>
      </c>
      <c r="E94" s="25">
        <f>SUMIFS('ORDENES'!$M$4:$M$1203,'ORDENES'!$AB$4:$AB$1203,$A94,'ORDENES'!$O$4:$O$1203,$B94,'ORDENES'!$U$4:$U$1203,"preventiva")</f>
        <v/>
      </c>
      <c r="F94" s="25">
        <f>SUMIFS('ORDENES'!$M$4:$M$1203,'ORDENES'!$AB$4:$AB$1203,$A94,'ORDENES'!$O$4:$O$1203,$B94,'ORDENES'!$U$4:$U$1203,"correctiva")</f>
        <v/>
      </c>
      <c r="G94" s="25">
        <f>E94+F94</f>
        <v/>
      </c>
      <c r="H94" s="25">
        <f>D94-G94</f>
        <v/>
      </c>
      <c r="I94" s="27">
        <f>IF(D94=0,"",G94/D94)</f>
        <v/>
      </c>
    </row>
    <row r="95" hidden="1">
      <c r="A95" s="24" t="inlineStr">
        <is>
          <t>TERCERO</t>
        </is>
      </c>
      <c r="B95" s="24">
        <f>$O$26</f>
        <v/>
      </c>
      <c r="C95" s="25">
        <f>SUMIFS('ASIGNACIONES'!$M$4:$M$451,'ASIGNACIONES'!$E$4:$E$451,$A95,'ASIGNACIONES'!$A$4:$A$451,$B95)</f>
        <v/>
      </c>
      <c r="D95" s="25">
        <f>C95*p_factor_productividad</f>
        <v/>
      </c>
      <c r="E95" s="25">
        <f>SUMIFS('ORDENES'!$M$4:$M$1203,'ORDENES'!$AB$4:$AB$1203,$A95,'ORDENES'!$O$4:$O$1203,$B95,'ORDENES'!$U$4:$U$1203,"preventiva")</f>
        <v/>
      </c>
      <c r="F95" s="25">
        <f>SUMIFS('ORDENES'!$M$4:$M$1203,'ORDENES'!$AB$4:$AB$1203,$A95,'ORDENES'!$O$4:$O$1203,$B95,'ORDENES'!$U$4:$U$1203,"correctiva")</f>
        <v/>
      </c>
      <c r="G95" s="25">
        <f>E95+F95</f>
        <v/>
      </c>
      <c r="H95" s="25">
        <f>D95-G95</f>
        <v/>
      </c>
      <c r="I95" s="27">
        <f>IF(D95=0,"",G95/D95)</f>
        <v/>
      </c>
    </row>
    <row r="96" hidden="1">
      <c r="A96" s="24" t="inlineStr">
        <is>
          <t>MEC</t>
        </is>
      </c>
      <c r="B96" s="24">
        <f>$O$27</f>
        <v/>
      </c>
      <c r="C96" s="25">
        <f>SUMIFS('ASIGNACIONES'!$M$4:$M$451,'ASIGNACIONES'!$E$4:$E$451,$A96,'ASIGNACIONES'!$A$4:$A$451,$B96)</f>
        <v/>
      </c>
      <c r="D96" s="25">
        <f>C96*p_factor_productividad</f>
        <v/>
      </c>
      <c r="E96" s="25">
        <f>SUMIFS('ORDENES'!$M$4:$M$1203,'ORDENES'!$AB$4:$AB$1203,$A96,'ORDENES'!$O$4:$O$1203,$B96,'ORDENES'!$U$4:$U$1203,"preventiva")</f>
        <v/>
      </c>
      <c r="F96" s="25">
        <f>SUMIFS('ORDENES'!$M$4:$M$1203,'ORDENES'!$AB$4:$AB$1203,$A96,'ORDENES'!$O$4:$O$1203,$B96,'ORDENES'!$U$4:$U$1203,"correctiva")</f>
        <v/>
      </c>
      <c r="G96" s="25">
        <f>E96+F96</f>
        <v/>
      </c>
      <c r="H96" s="25">
        <f>D96-G96</f>
        <v/>
      </c>
      <c r="I96" s="27">
        <f>IF(D96=0,"",G96/D96)</f>
        <v/>
      </c>
    </row>
    <row r="97" hidden="1">
      <c r="A97" s="24" t="inlineStr">
        <is>
          <t>ELE</t>
        </is>
      </c>
      <c r="B97" s="24">
        <f>$O$27</f>
        <v/>
      </c>
      <c r="C97" s="25">
        <f>SUMIFS('ASIGNACIONES'!$M$4:$M$451,'ASIGNACIONES'!$E$4:$E$451,$A97,'ASIGNACIONES'!$A$4:$A$451,$B97)</f>
        <v/>
      </c>
      <c r="D97" s="25">
        <f>C97*p_factor_productividad</f>
        <v/>
      </c>
      <c r="E97" s="25">
        <f>SUMIFS('ORDENES'!$M$4:$M$1203,'ORDENES'!$AB$4:$AB$1203,$A97,'ORDENES'!$O$4:$O$1203,$B97,'ORDENES'!$U$4:$U$1203,"preventiva")</f>
        <v/>
      </c>
      <c r="F97" s="25">
        <f>SUMIFS('ORDENES'!$M$4:$M$1203,'ORDENES'!$AB$4:$AB$1203,$A97,'ORDENES'!$O$4:$O$1203,$B97,'ORDENES'!$U$4:$U$1203,"correctiva")</f>
        <v/>
      </c>
      <c r="G97" s="25">
        <f>E97+F97</f>
        <v/>
      </c>
      <c r="H97" s="25">
        <f>D97-G97</f>
        <v/>
      </c>
      <c r="I97" s="27">
        <f>IF(D97=0,"",G97/D97)</f>
        <v/>
      </c>
    </row>
    <row r="98" hidden="1">
      <c r="A98" s="24" t="inlineStr">
        <is>
          <t>AUT</t>
        </is>
      </c>
      <c r="B98" s="24">
        <f>$O$27</f>
        <v/>
      </c>
      <c r="C98" s="25">
        <f>SUMIFS('ASIGNACIONES'!$M$4:$M$451,'ASIGNACIONES'!$E$4:$E$451,$A98,'ASIGNACIONES'!$A$4:$A$451,$B98)</f>
        <v/>
      </c>
      <c r="D98" s="25">
        <f>C98*p_factor_productividad</f>
        <v/>
      </c>
      <c r="E98" s="25">
        <f>SUMIFS('ORDENES'!$M$4:$M$1203,'ORDENES'!$AB$4:$AB$1203,$A98,'ORDENES'!$O$4:$O$1203,$B98,'ORDENES'!$U$4:$U$1203,"preventiva")</f>
        <v/>
      </c>
      <c r="F98" s="25">
        <f>SUMIFS('ORDENES'!$M$4:$M$1203,'ORDENES'!$AB$4:$AB$1203,$A98,'ORDENES'!$O$4:$O$1203,$B98,'ORDENES'!$U$4:$U$1203,"correctiva")</f>
        <v/>
      </c>
      <c r="G98" s="25">
        <f>E98+F98</f>
        <v/>
      </c>
      <c r="H98" s="25">
        <f>D98-G98</f>
        <v/>
      </c>
      <c r="I98" s="27">
        <f>IF(D98=0,"",G98/D98)</f>
        <v/>
      </c>
    </row>
    <row r="99" hidden="1">
      <c r="A99" s="24" t="inlineStr">
        <is>
          <t>TERCERO</t>
        </is>
      </c>
      <c r="B99" s="24">
        <f>$O$27</f>
        <v/>
      </c>
      <c r="C99" s="25">
        <f>SUMIFS('ASIGNACIONES'!$M$4:$M$451,'ASIGNACIONES'!$E$4:$E$451,$A99,'ASIGNACIONES'!$A$4:$A$451,$B99)</f>
        <v/>
      </c>
      <c r="D99" s="25">
        <f>C99*p_factor_productividad</f>
        <v/>
      </c>
      <c r="E99" s="25">
        <f>SUMIFS('ORDENES'!$M$4:$M$1203,'ORDENES'!$AB$4:$AB$1203,$A99,'ORDENES'!$O$4:$O$1203,$B99,'ORDENES'!$U$4:$U$1203,"preventiva")</f>
        <v/>
      </c>
      <c r="F99" s="25">
        <f>SUMIFS('ORDENES'!$M$4:$M$1203,'ORDENES'!$AB$4:$AB$1203,$A99,'ORDENES'!$O$4:$O$1203,$B99,'ORDENES'!$U$4:$U$1203,"correctiva")</f>
        <v/>
      </c>
      <c r="G99" s="25">
        <f>E99+F99</f>
        <v/>
      </c>
      <c r="H99" s="25">
        <f>D99-G99</f>
        <v/>
      </c>
      <c r="I99" s="27">
        <f>IF(D99=0,"",G99/D99)</f>
        <v/>
      </c>
    </row>
    <row r="100" hidden="1">
      <c r="A100" s="24" t="inlineStr">
        <is>
          <t>MEC</t>
        </is>
      </c>
      <c r="B100" s="24">
        <f>$O$28</f>
        <v/>
      </c>
      <c r="C100" s="25">
        <f>SUMIFS('ASIGNACIONES'!$M$4:$M$451,'ASIGNACIONES'!$E$4:$E$451,$A100,'ASIGNACIONES'!$A$4:$A$451,$B100)</f>
        <v/>
      </c>
      <c r="D100" s="25">
        <f>C100*p_factor_productividad</f>
        <v/>
      </c>
      <c r="E100" s="25">
        <f>SUMIFS('ORDENES'!$M$4:$M$1203,'ORDENES'!$AB$4:$AB$1203,$A100,'ORDENES'!$O$4:$O$1203,$B100,'ORDENES'!$U$4:$U$1203,"preventiva")</f>
        <v/>
      </c>
      <c r="F100" s="25">
        <f>SUMIFS('ORDENES'!$M$4:$M$1203,'ORDENES'!$AB$4:$AB$1203,$A100,'ORDENES'!$O$4:$O$1203,$B100,'ORDENES'!$U$4:$U$1203,"correctiva")</f>
        <v/>
      </c>
      <c r="G100" s="25">
        <f>E100+F100</f>
        <v/>
      </c>
      <c r="H100" s="25">
        <f>D100-G100</f>
        <v/>
      </c>
      <c r="I100" s="27">
        <f>IF(D100=0,"",G100/D100)</f>
        <v/>
      </c>
    </row>
    <row r="101" hidden="1">
      <c r="A101" s="24" t="inlineStr">
        <is>
          <t>ELE</t>
        </is>
      </c>
      <c r="B101" s="24">
        <f>$O$28</f>
        <v/>
      </c>
      <c r="C101" s="25">
        <f>SUMIFS('ASIGNACIONES'!$M$4:$M$451,'ASIGNACIONES'!$E$4:$E$451,$A101,'ASIGNACIONES'!$A$4:$A$451,$B101)</f>
        <v/>
      </c>
      <c r="D101" s="25">
        <f>C101*p_factor_productividad</f>
        <v/>
      </c>
      <c r="E101" s="25">
        <f>SUMIFS('ORDENES'!$M$4:$M$1203,'ORDENES'!$AB$4:$AB$1203,$A101,'ORDENES'!$O$4:$O$1203,$B101,'ORDENES'!$U$4:$U$1203,"preventiva")</f>
        <v/>
      </c>
      <c r="F101" s="25">
        <f>SUMIFS('ORDENES'!$M$4:$M$1203,'ORDENES'!$AB$4:$AB$1203,$A101,'ORDENES'!$O$4:$O$1203,$B101,'ORDENES'!$U$4:$U$1203,"correctiva")</f>
        <v/>
      </c>
      <c r="G101" s="25">
        <f>E101+F101</f>
        <v/>
      </c>
      <c r="H101" s="25">
        <f>D101-G101</f>
        <v/>
      </c>
      <c r="I101" s="27">
        <f>IF(D101=0,"",G101/D101)</f>
        <v/>
      </c>
    </row>
    <row r="102" hidden="1">
      <c r="A102" s="24" t="inlineStr">
        <is>
          <t>AUT</t>
        </is>
      </c>
      <c r="B102" s="24">
        <f>$O$28</f>
        <v/>
      </c>
      <c r="C102" s="25">
        <f>SUMIFS('ASIGNACIONES'!$M$4:$M$451,'ASIGNACIONES'!$E$4:$E$451,$A102,'ASIGNACIONES'!$A$4:$A$451,$B102)</f>
        <v/>
      </c>
      <c r="D102" s="25">
        <f>C102*p_factor_productividad</f>
        <v/>
      </c>
      <c r="E102" s="25">
        <f>SUMIFS('ORDENES'!$M$4:$M$1203,'ORDENES'!$AB$4:$AB$1203,$A102,'ORDENES'!$O$4:$O$1203,$B102,'ORDENES'!$U$4:$U$1203,"preventiva")</f>
        <v/>
      </c>
      <c r="F102" s="25">
        <f>SUMIFS('ORDENES'!$M$4:$M$1203,'ORDENES'!$AB$4:$AB$1203,$A102,'ORDENES'!$O$4:$O$1203,$B102,'ORDENES'!$U$4:$U$1203,"correctiva")</f>
        <v/>
      </c>
      <c r="G102" s="25">
        <f>E102+F102</f>
        <v/>
      </c>
      <c r="H102" s="25">
        <f>D102-G102</f>
        <v/>
      </c>
      <c r="I102" s="27">
        <f>IF(D102=0,"",G102/D102)</f>
        <v/>
      </c>
    </row>
    <row r="103" hidden="1">
      <c r="A103" s="24" t="inlineStr">
        <is>
          <t>TERCERO</t>
        </is>
      </c>
      <c r="B103" s="24">
        <f>$O$28</f>
        <v/>
      </c>
      <c r="C103" s="25">
        <f>SUMIFS('ASIGNACIONES'!$M$4:$M$451,'ASIGNACIONES'!$E$4:$E$451,$A103,'ASIGNACIONES'!$A$4:$A$451,$B103)</f>
        <v/>
      </c>
      <c r="D103" s="25">
        <f>C103*p_factor_productividad</f>
        <v/>
      </c>
      <c r="E103" s="25">
        <f>SUMIFS('ORDENES'!$M$4:$M$1203,'ORDENES'!$AB$4:$AB$1203,$A103,'ORDENES'!$O$4:$O$1203,$B103,'ORDENES'!$U$4:$U$1203,"preventiva")</f>
        <v/>
      </c>
      <c r="F103" s="25">
        <f>SUMIFS('ORDENES'!$M$4:$M$1203,'ORDENES'!$AB$4:$AB$1203,$A103,'ORDENES'!$O$4:$O$1203,$B103,'ORDENES'!$U$4:$U$1203,"correctiva")</f>
        <v/>
      </c>
      <c r="G103" s="25">
        <f>E103+F103</f>
        <v/>
      </c>
      <c r="H103" s="25">
        <f>D103-G103</f>
        <v/>
      </c>
      <c r="I103" s="27">
        <f>IF(D103=0,"",G103/D103)</f>
        <v/>
      </c>
    </row>
    <row r="104" hidden="1">
      <c r="A104" s="24" t="inlineStr">
        <is>
          <t>MEC</t>
        </is>
      </c>
      <c r="B104" s="24">
        <f>$O$29</f>
        <v/>
      </c>
      <c r="C104" s="25">
        <f>SUMIFS('ASIGNACIONES'!$M$4:$M$451,'ASIGNACIONES'!$E$4:$E$451,$A104,'ASIGNACIONES'!$A$4:$A$451,$B104)</f>
        <v/>
      </c>
      <c r="D104" s="25">
        <f>C104*p_factor_productividad</f>
        <v/>
      </c>
      <c r="E104" s="25">
        <f>SUMIFS('ORDENES'!$M$4:$M$1203,'ORDENES'!$AB$4:$AB$1203,$A104,'ORDENES'!$O$4:$O$1203,$B104,'ORDENES'!$U$4:$U$1203,"preventiva")</f>
        <v/>
      </c>
      <c r="F104" s="25">
        <f>SUMIFS('ORDENES'!$M$4:$M$1203,'ORDENES'!$AB$4:$AB$1203,$A104,'ORDENES'!$O$4:$O$1203,$B104,'ORDENES'!$U$4:$U$1203,"correctiva")</f>
        <v/>
      </c>
      <c r="G104" s="25">
        <f>E104+F104</f>
        <v/>
      </c>
      <c r="H104" s="25">
        <f>D104-G104</f>
        <v/>
      </c>
      <c r="I104" s="27">
        <f>IF(D104=0,"",G104/D104)</f>
        <v/>
      </c>
    </row>
    <row r="105" hidden="1">
      <c r="A105" s="24" t="inlineStr">
        <is>
          <t>ELE</t>
        </is>
      </c>
      <c r="B105" s="24">
        <f>$O$29</f>
        <v/>
      </c>
      <c r="C105" s="25">
        <f>SUMIFS('ASIGNACIONES'!$M$4:$M$451,'ASIGNACIONES'!$E$4:$E$451,$A105,'ASIGNACIONES'!$A$4:$A$451,$B105)</f>
        <v/>
      </c>
      <c r="D105" s="25">
        <f>C105*p_factor_productividad</f>
        <v/>
      </c>
      <c r="E105" s="25">
        <f>SUMIFS('ORDENES'!$M$4:$M$1203,'ORDENES'!$AB$4:$AB$1203,$A105,'ORDENES'!$O$4:$O$1203,$B105,'ORDENES'!$U$4:$U$1203,"preventiva")</f>
        <v/>
      </c>
      <c r="F105" s="25">
        <f>SUMIFS('ORDENES'!$M$4:$M$1203,'ORDENES'!$AB$4:$AB$1203,$A105,'ORDENES'!$O$4:$O$1203,$B105,'ORDENES'!$U$4:$U$1203,"correctiva")</f>
        <v/>
      </c>
      <c r="G105" s="25">
        <f>E105+F105</f>
        <v/>
      </c>
      <c r="H105" s="25">
        <f>D105-G105</f>
        <v/>
      </c>
      <c r="I105" s="27">
        <f>IF(D105=0,"",G105/D105)</f>
        <v/>
      </c>
    </row>
    <row r="106" hidden="1">
      <c r="A106" s="24" t="inlineStr">
        <is>
          <t>AUT</t>
        </is>
      </c>
      <c r="B106" s="24">
        <f>$O$29</f>
        <v/>
      </c>
      <c r="C106" s="25">
        <f>SUMIFS('ASIGNACIONES'!$M$4:$M$451,'ASIGNACIONES'!$E$4:$E$451,$A106,'ASIGNACIONES'!$A$4:$A$451,$B106)</f>
        <v/>
      </c>
      <c r="D106" s="25">
        <f>C106*p_factor_productividad</f>
        <v/>
      </c>
      <c r="E106" s="25">
        <f>SUMIFS('ORDENES'!$M$4:$M$1203,'ORDENES'!$AB$4:$AB$1203,$A106,'ORDENES'!$O$4:$O$1203,$B106,'ORDENES'!$U$4:$U$1203,"preventiva")</f>
        <v/>
      </c>
      <c r="F106" s="25">
        <f>SUMIFS('ORDENES'!$M$4:$M$1203,'ORDENES'!$AB$4:$AB$1203,$A106,'ORDENES'!$O$4:$O$1203,$B106,'ORDENES'!$U$4:$U$1203,"correctiva")</f>
        <v/>
      </c>
      <c r="G106" s="25">
        <f>E106+F106</f>
        <v/>
      </c>
      <c r="H106" s="25">
        <f>D106-G106</f>
        <v/>
      </c>
      <c r="I106" s="27">
        <f>IF(D106=0,"",G106/D106)</f>
        <v/>
      </c>
    </row>
    <row r="107" hidden="1">
      <c r="A107" s="24" t="inlineStr">
        <is>
          <t>TERCERO</t>
        </is>
      </c>
      <c r="B107" s="24">
        <f>$O$29</f>
        <v/>
      </c>
      <c r="C107" s="25">
        <f>SUMIFS('ASIGNACIONES'!$M$4:$M$451,'ASIGNACIONES'!$E$4:$E$451,$A107,'ASIGNACIONES'!$A$4:$A$451,$B107)</f>
        <v/>
      </c>
      <c r="D107" s="25">
        <f>C107*p_factor_productividad</f>
        <v/>
      </c>
      <c r="E107" s="25">
        <f>SUMIFS('ORDENES'!$M$4:$M$1203,'ORDENES'!$AB$4:$AB$1203,$A107,'ORDENES'!$O$4:$O$1203,$B107,'ORDENES'!$U$4:$U$1203,"preventiva")</f>
        <v/>
      </c>
      <c r="F107" s="25">
        <f>SUMIFS('ORDENES'!$M$4:$M$1203,'ORDENES'!$AB$4:$AB$1203,$A107,'ORDENES'!$O$4:$O$1203,$B107,'ORDENES'!$U$4:$U$1203,"correctiva")</f>
        <v/>
      </c>
      <c r="G107" s="25">
        <f>E107+F107</f>
        <v/>
      </c>
      <c r="H107" s="25">
        <f>D107-G107</f>
        <v/>
      </c>
      <c r="I107" s="27">
        <f>IF(D107=0,"",G107/D107)</f>
        <v/>
      </c>
    </row>
    <row r="108" hidden="1">
      <c r="A108" s="24" t="inlineStr">
        <is>
          <t>MEC</t>
        </is>
      </c>
      <c r="B108" s="24">
        <f>$O$30</f>
        <v/>
      </c>
      <c r="C108" s="25">
        <f>SUMIFS('ASIGNACIONES'!$M$4:$M$451,'ASIGNACIONES'!$E$4:$E$451,$A108,'ASIGNACIONES'!$A$4:$A$451,$B108)</f>
        <v/>
      </c>
      <c r="D108" s="25">
        <f>C108*p_factor_productividad</f>
        <v/>
      </c>
      <c r="E108" s="25">
        <f>SUMIFS('ORDENES'!$M$4:$M$1203,'ORDENES'!$AB$4:$AB$1203,$A108,'ORDENES'!$O$4:$O$1203,$B108,'ORDENES'!$U$4:$U$1203,"preventiva")</f>
        <v/>
      </c>
      <c r="F108" s="25">
        <f>SUMIFS('ORDENES'!$M$4:$M$1203,'ORDENES'!$AB$4:$AB$1203,$A108,'ORDENES'!$O$4:$O$1203,$B108,'ORDENES'!$U$4:$U$1203,"correctiva")</f>
        <v/>
      </c>
      <c r="G108" s="25">
        <f>E108+F108</f>
        <v/>
      </c>
      <c r="H108" s="25">
        <f>D108-G108</f>
        <v/>
      </c>
      <c r="I108" s="27">
        <f>IF(D108=0,"",G108/D108)</f>
        <v/>
      </c>
    </row>
    <row r="109" hidden="1">
      <c r="A109" s="24" t="inlineStr">
        <is>
          <t>ELE</t>
        </is>
      </c>
      <c r="B109" s="24">
        <f>$O$30</f>
        <v/>
      </c>
      <c r="C109" s="25">
        <f>SUMIFS('ASIGNACIONES'!$M$4:$M$451,'ASIGNACIONES'!$E$4:$E$451,$A109,'ASIGNACIONES'!$A$4:$A$451,$B109)</f>
        <v/>
      </c>
      <c r="D109" s="25">
        <f>C109*p_factor_productividad</f>
        <v/>
      </c>
      <c r="E109" s="25">
        <f>SUMIFS('ORDENES'!$M$4:$M$1203,'ORDENES'!$AB$4:$AB$1203,$A109,'ORDENES'!$O$4:$O$1203,$B109,'ORDENES'!$U$4:$U$1203,"preventiva")</f>
        <v/>
      </c>
      <c r="F109" s="25">
        <f>SUMIFS('ORDENES'!$M$4:$M$1203,'ORDENES'!$AB$4:$AB$1203,$A109,'ORDENES'!$O$4:$O$1203,$B109,'ORDENES'!$U$4:$U$1203,"correctiva")</f>
        <v/>
      </c>
      <c r="G109" s="25">
        <f>E109+F109</f>
        <v/>
      </c>
      <c r="H109" s="25">
        <f>D109-G109</f>
        <v/>
      </c>
      <c r="I109" s="27">
        <f>IF(D109=0,"",G109/D109)</f>
        <v/>
      </c>
    </row>
    <row r="110" hidden="1">
      <c r="A110" s="24" t="inlineStr">
        <is>
          <t>AUT</t>
        </is>
      </c>
      <c r="B110" s="24">
        <f>$O$30</f>
        <v/>
      </c>
      <c r="C110" s="25">
        <f>SUMIFS('ASIGNACIONES'!$M$4:$M$451,'ASIGNACIONES'!$E$4:$E$451,$A110,'ASIGNACIONES'!$A$4:$A$451,$B110)</f>
        <v/>
      </c>
      <c r="D110" s="25">
        <f>C110*p_factor_productividad</f>
        <v/>
      </c>
      <c r="E110" s="25">
        <f>SUMIFS('ORDENES'!$M$4:$M$1203,'ORDENES'!$AB$4:$AB$1203,$A110,'ORDENES'!$O$4:$O$1203,$B110,'ORDENES'!$U$4:$U$1203,"preventiva")</f>
        <v/>
      </c>
      <c r="F110" s="25">
        <f>SUMIFS('ORDENES'!$M$4:$M$1203,'ORDENES'!$AB$4:$AB$1203,$A110,'ORDENES'!$O$4:$O$1203,$B110,'ORDENES'!$U$4:$U$1203,"correctiva")</f>
        <v/>
      </c>
      <c r="G110" s="25">
        <f>E110+F110</f>
        <v/>
      </c>
      <c r="H110" s="25">
        <f>D110-G110</f>
        <v/>
      </c>
      <c r="I110" s="27">
        <f>IF(D110=0,"",G110/D110)</f>
        <v/>
      </c>
    </row>
    <row r="111" hidden="1">
      <c r="A111" s="24" t="inlineStr">
        <is>
          <t>TERCERO</t>
        </is>
      </c>
      <c r="B111" s="24">
        <f>$O$30</f>
        <v/>
      </c>
      <c r="C111" s="25">
        <f>SUMIFS('ASIGNACIONES'!$M$4:$M$451,'ASIGNACIONES'!$E$4:$E$451,$A111,'ASIGNACIONES'!$A$4:$A$451,$B111)</f>
        <v/>
      </c>
      <c r="D111" s="25">
        <f>C111*p_factor_productividad</f>
        <v/>
      </c>
      <c r="E111" s="25">
        <f>SUMIFS('ORDENES'!$M$4:$M$1203,'ORDENES'!$AB$4:$AB$1203,$A111,'ORDENES'!$O$4:$O$1203,$B111,'ORDENES'!$U$4:$U$1203,"preventiva")</f>
        <v/>
      </c>
      <c r="F111" s="25">
        <f>SUMIFS('ORDENES'!$M$4:$M$1203,'ORDENES'!$AB$4:$AB$1203,$A111,'ORDENES'!$O$4:$O$1203,$B111,'ORDENES'!$U$4:$U$1203,"correctiva")</f>
        <v/>
      </c>
      <c r="G111" s="25">
        <f>E111+F111</f>
        <v/>
      </c>
      <c r="H111" s="25">
        <f>D111-G111</f>
        <v/>
      </c>
      <c r="I111" s="27">
        <f>IF(D111=0,"",G111/D111)</f>
        <v/>
      </c>
    </row>
    <row r="112" hidden="1">
      <c r="A112" s="24" t="inlineStr">
        <is>
          <t>MEC</t>
        </is>
      </c>
      <c r="B112" s="24">
        <f>$O$31</f>
        <v/>
      </c>
      <c r="C112" s="25">
        <f>SUMIFS('ASIGNACIONES'!$M$4:$M$451,'ASIGNACIONES'!$E$4:$E$451,$A112,'ASIGNACIONES'!$A$4:$A$451,$B112)</f>
        <v/>
      </c>
      <c r="D112" s="25">
        <f>C112*p_factor_productividad</f>
        <v/>
      </c>
      <c r="E112" s="25">
        <f>SUMIFS('ORDENES'!$M$4:$M$1203,'ORDENES'!$AB$4:$AB$1203,$A112,'ORDENES'!$O$4:$O$1203,$B112,'ORDENES'!$U$4:$U$1203,"preventiva")</f>
        <v/>
      </c>
      <c r="F112" s="25">
        <f>SUMIFS('ORDENES'!$M$4:$M$1203,'ORDENES'!$AB$4:$AB$1203,$A112,'ORDENES'!$O$4:$O$1203,$B112,'ORDENES'!$U$4:$U$1203,"correctiva")</f>
        <v/>
      </c>
      <c r="G112" s="25">
        <f>E112+F112</f>
        <v/>
      </c>
      <c r="H112" s="25">
        <f>D112-G112</f>
        <v/>
      </c>
      <c r="I112" s="27">
        <f>IF(D112=0,"",G112/D112)</f>
        <v/>
      </c>
    </row>
    <row r="113" hidden="1">
      <c r="A113" s="24" t="inlineStr">
        <is>
          <t>ELE</t>
        </is>
      </c>
      <c r="B113" s="24">
        <f>$O$31</f>
        <v/>
      </c>
      <c r="C113" s="25">
        <f>SUMIFS('ASIGNACIONES'!$M$4:$M$451,'ASIGNACIONES'!$E$4:$E$451,$A113,'ASIGNACIONES'!$A$4:$A$451,$B113)</f>
        <v/>
      </c>
      <c r="D113" s="25">
        <f>C113*p_factor_productividad</f>
        <v/>
      </c>
      <c r="E113" s="25">
        <f>SUMIFS('ORDENES'!$M$4:$M$1203,'ORDENES'!$AB$4:$AB$1203,$A113,'ORDENES'!$O$4:$O$1203,$B113,'ORDENES'!$U$4:$U$1203,"preventiva")</f>
        <v/>
      </c>
      <c r="F113" s="25">
        <f>SUMIFS('ORDENES'!$M$4:$M$1203,'ORDENES'!$AB$4:$AB$1203,$A113,'ORDENES'!$O$4:$O$1203,$B113,'ORDENES'!$U$4:$U$1203,"correctiva")</f>
        <v/>
      </c>
      <c r="G113" s="25">
        <f>E113+F113</f>
        <v/>
      </c>
      <c r="H113" s="25">
        <f>D113-G113</f>
        <v/>
      </c>
      <c r="I113" s="27">
        <f>IF(D113=0,"",G113/D113)</f>
        <v/>
      </c>
    </row>
    <row r="114" hidden="1">
      <c r="A114" s="24" t="inlineStr">
        <is>
          <t>AUT</t>
        </is>
      </c>
      <c r="B114" s="24">
        <f>$O$31</f>
        <v/>
      </c>
      <c r="C114" s="25">
        <f>SUMIFS('ASIGNACIONES'!$M$4:$M$451,'ASIGNACIONES'!$E$4:$E$451,$A114,'ASIGNACIONES'!$A$4:$A$451,$B114)</f>
        <v/>
      </c>
      <c r="D114" s="25">
        <f>C114*p_factor_productividad</f>
        <v/>
      </c>
      <c r="E114" s="25">
        <f>SUMIFS('ORDENES'!$M$4:$M$1203,'ORDENES'!$AB$4:$AB$1203,$A114,'ORDENES'!$O$4:$O$1203,$B114,'ORDENES'!$U$4:$U$1203,"preventiva")</f>
        <v/>
      </c>
      <c r="F114" s="25">
        <f>SUMIFS('ORDENES'!$M$4:$M$1203,'ORDENES'!$AB$4:$AB$1203,$A114,'ORDENES'!$O$4:$O$1203,$B114,'ORDENES'!$U$4:$U$1203,"correctiva")</f>
        <v/>
      </c>
      <c r="G114" s="25">
        <f>E114+F114</f>
        <v/>
      </c>
      <c r="H114" s="25">
        <f>D114-G114</f>
        <v/>
      </c>
      <c r="I114" s="27">
        <f>IF(D114=0,"",G114/D114)</f>
        <v/>
      </c>
    </row>
    <row r="115" hidden="1">
      <c r="A115" s="24" t="inlineStr">
        <is>
          <t>TERCERO</t>
        </is>
      </c>
      <c r="B115" s="24">
        <f>$O$31</f>
        <v/>
      </c>
      <c r="C115" s="25">
        <f>SUMIFS('ASIGNACIONES'!$M$4:$M$451,'ASIGNACIONES'!$E$4:$E$451,$A115,'ASIGNACIONES'!$A$4:$A$451,$B115)</f>
        <v/>
      </c>
      <c r="D115" s="25">
        <f>C115*p_factor_productividad</f>
        <v/>
      </c>
      <c r="E115" s="25">
        <f>SUMIFS('ORDENES'!$M$4:$M$1203,'ORDENES'!$AB$4:$AB$1203,$A115,'ORDENES'!$O$4:$O$1203,$B115,'ORDENES'!$U$4:$U$1203,"preventiva")</f>
        <v/>
      </c>
      <c r="F115" s="25">
        <f>SUMIFS('ORDENES'!$M$4:$M$1203,'ORDENES'!$AB$4:$AB$1203,$A115,'ORDENES'!$O$4:$O$1203,$B115,'ORDENES'!$U$4:$U$1203,"correctiva")</f>
        <v/>
      </c>
      <c r="G115" s="25">
        <f>E115+F115</f>
        <v/>
      </c>
      <c r="H115" s="25">
        <f>D115-G115</f>
        <v/>
      </c>
      <c r="I115" s="27">
        <f>IF(D115=0,"",G115/D115)</f>
        <v/>
      </c>
    </row>
    <row r="116" hidden="1">
      <c r="A116" s="24" t="inlineStr">
        <is>
          <t>MEC</t>
        </is>
      </c>
      <c r="B116" s="24">
        <f>$O$32</f>
        <v/>
      </c>
      <c r="C116" s="25">
        <f>SUMIFS('ASIGNACIONES'!$M$4:$M$451,'ASIGNACIONES'!$E$4:$E$451,$A116,'ASIGNACIONES'!$A$4:$A$451,$B116)</f>
        <v/>
      </c>
      <c r="D116" s="25">
        <f>C116*p_factor_productividad</f>
        <v/>
      </c>
      <c r="E116" s="25">
        <f>SUMIFS('ORDENES'!$M$4:$M$1203,'ORDENES'!$AB$4:$AB$1203,$A116,'ORDENES'!$O$4:$O$1203,$B116,'ORDENES'!$U$4:$U$1203,"preventiva")</f>
        <v/>
      </c>
      <c r="F116" s="25">
        <f>SUMIFS('ORDENES'!$M$4:$M$1203,'ORDENES'!$AB$4:$AB$1203,$A116,'ORDENES'!$O$4:$O$1203,$B116,'ORDENES'!$U$4:$U$1203,"correctiva")</f>
        <v/>
      </c>
      <c r="G116" s="25">
        <f>E116+F116</f>
        <v/>
      </c>
      <c r="H116" s="25">
        <f>D116-G116</f>
        <v/>
      </c>
      <c r="I116" s="27">
        <f>IF(D116=0,"",G116/D116)</f>
        <v/>
      </c>
    </row>
    <row r="117" hidden="1">
      <c r="A117" s="24" t="inlineStr">
        <is>
          <t>ELE</t>
        </is>
      </c>
      <c r="B117" s="24">
        <f>$O$32</f>
        <v/>
      </c>
      <c r="C117" s="25">
        <f>SUMIFS('ASIGNACIONES'!$M$4:$M$451,'ASIGNACIONES'!$E$4:$E$451,$A117,'ASIGNACIONES'!$A$4:$A$451,$B117)</f>
        <v/>
      </c>
      <c r="D117" s="25">
        <f>C117*p_factor_productividad</f>
        <v/>
      </c>
      <c r="E117" s="25">
        <f>SUMIFS('ORDENES'!$M$4:$M$1203,'ORDENES'!$AB$4:$AB$1203,$A117,'ORDENES'!$O$4:$O$1203,$B117,'ORDENES'!$U$4:$U$1203,"preventiva")</f>
        <v/>
      </c>
      <c r="F117" s="25">
        <f>SUMIFS('ORDENES'!$M$4:$M$1203,'ORDENES'!$AB$4:$AB$1203,$A117,'ORDENES'!$O$4:$O$1203,$B117,'ORDENES'!$U$4:$U$1203,"correctiva")</f>
        <v/>
      </c>
      <c r="G117" s="25">
        <f>E117+F117</f>
        <v/>
      </c>
      <c r="H117" s="25">
        <f>D117-G117</f>
        <v/>
      </c>
      <c r="I117" s="27">
        <f>IF(D117=0,"",G117/D117)</f>
        <v/>
      </c>
    </row>
    <row r="118" hidden="1">
      <c r="A118" s="24" t="inlineStr">
        <is>
          <t>AUT</t>
        </is>
      </c>
      <c r="B118" s="24">
        <f>$O$32</f>
        <v/>
      </c>
      <c r="C118" s="25">
        <f>SUMIFS('ASIGNACIONES'!$M$4:$M$451,'ASIGNACIONES'!$E$4:$E$451,$A118,'ASIGNACIONES'!$A$4:$A$451,$B118)</f>
        <v/>
      </c>
      <c r="D118" s="25">
        <f>C118*p_factor_productividad</f>
        <v/>
      </c>
      <c r="E118" s="25">
        <f>SUMIFS('ORDENES'!$M$4:$M$1203,'ORDENES'!$AB$4:$AB$1203,$A118,'ORDENES'!$O$4:$O$1203,$B118,'ORDENES'!$U$4:$U$1203,"preventiva")</f>
        <v/>
      </c>
      <c r="F118" s="25">
        <f>SUMIFS('ORDENES'!$M$4:$M$1203,'ORDENES'!$AB$4:$AB$1203,$A118,'ORDENES'!$O$4:$O$1203,$B118,'ORDENES'!$U$4:$U$1203,"correctiva")</f>
        <v/>
      </c>
      <c r="G118" s="25">
        <f>E118+F118</f>
        <v/>
      </c>
      <c r="H118" s="25">
        <f>D118-G118</f>
        <v/>
      </c>
      <c r="I118" s="27">
        <f>IF(D118=0,"",G118/D118)</f>
        <v/>
      </c>
    </row>
    <row r="119" hidden="1">
      <c r="A119" s="24" t="inlineStr">
        <is>
          <t>TERCERO</t>
        </is>
      </c>
      <c r="B119" s="24">
        <f>$O$32</f>
        <v/>
      </c>
      <c r="C119" s="25">
        <f>SUMIFS('ASIGNACIONES'!$M$4:$M$451,'ASIGNACIONES'!$E$4:$E$451,$A119,'ASIGNACIONES'!$A$4:$A$451,$B119)</f>
        <v/>
      </c>
      <c r="D119" s="25">
        <f>C119*p_factor_productividad</f>
        <v/>
      </c>
      <c r="E119" s="25">
        <f>SUMIFS('ORDENES'!$M$4:$M$1203,'ORDENES'!$AB$4:$AB$1203,$A119,'ORDENES'!$O$4:$O$1203,$B119,'ORDENES'!$U$4:$U$1203,"preventiva")</f>
        <v/>
      </c>
      <c r="F119" s="25">
        <f>SUMIFS('ORDENES'!$M$4:$M$1203,'ORDENES'!$AB$4:$AB$1203,$A119,'ORDENES'!$O$4:$O$1203,$B119,'ORDENES'!$U$4:$U$1203,"correctiva")</f>
        <v/>
      </c>
      <c r="G119" s="25">
        <f>E119+F119</f>
        <v/>
      </c>
      <c r="H119" s="25">
        <f>D119-G119</f>
        <v/>
      </c>
      <c r="I119" s="27">
        <f>IF(D119=0,"",G119/D119)</f>
        <v/>
      </c>
    </row>
    <row r="120" hidden="1">
      <c r="A120" s="24" t="inlineStr">
        <is>
          <t>MEC</t>
        </is>
      </c>
      <c r="B120" s="24">
        <f>$O$33</f>
        <v/>
      </c>
      <c r="C120" s="25">
        <f>SUMIFS('ASIGNACIONES'!$M$4:$M$451,'ASIGNACIONES'!$E$4:$E$451,$A120,'ASIGNACIONES'!$A$4:$A$451,$B120)</f>
        <v/>
      </c>
      <c r="D120" s="25">
        <f>C120*p_factor_productividad</f>
        <v/>
      </c>
      <c r="E120" s="25">
        <f>SUMIFS('ORDENES'!$M$4:$M$1203,'ORDENES'!$AB$4:$AB$1203,$A120,'ORDENES'!$O$4:$O$1203,$B120,'ORDENES'!$U$4:$U$1203,"preventiva")</f>
        <v/>
      </c>
      <c r="F120" s="25">
        <f>SUMIFS('ORDENES'!$M$4:$M$1203,'ORDENES'!$AB$4:$AB$1203,$A120,'ORDENES'!$O$4:$O$1203,$B120,'ORDENES'!$U$4:$U$1203,"correctiva")</f>
        <v/>
      </c>
      <c r="G120" s="25">
        <f>E120+F120</f>
        <v/>
      </c>
      <c r="H120" s="25">
        <f>D120-G120</f>
        <v/>
      </c>
      <c r="I120" s="27">
        <f>IF(D120=0,"",G120/D120)</f>
        <v/>
      </c>
    </row>
    <row r="121" hidden="1">
      <c r="A121" s="24" t="inlineStr">
        <is>
          <t>ELE</t>
        </is>
      </c>
      <c r="B121" s="24">
        <f>$O$33</f>
        <v/>
      </c>
      <c r="C121" s="25">
        <f>SUMIFS('ASIGNACIONES'!$M$4:$M$451,'ASIGNACIONES'!$E$4:$E$451,$A121,'ASIGNACIONES'!$A$4:$A$451,$B121)</f>
        <v/>
      </c>
      <c r="D121" s="25">
        <f>C121*p_factor_productividad</f>
        <v/>
      </c>
      <c r="E121" s="25">
        <f>SUMIFS('ORDENES'!$M$4:$M$1203,'ORDENES'!$AB$4:$AB$1203,$A121,'ORDENES'!$O$4:$O$1203,$B121,'ORDENES'!$U$4:$U$1203,"preventiva")</f>
        <v/>
      </c>
      <c r="F121" s="25">
        <f>SUMIFS('ORDENES'!$M$4:$M$1203,'ORDENES'!$AB$4:$AB$1203,$A121,'ORDENES'!$O$4:$O$1203,$B121,'ORDENES'!$U$4:$U$1203,"correctiva")</f>
        <v/>
      </c>
      <c r="G121" s="25">
        <f>E121+F121</f>
        <v/>
      </c>
      <c r="H121" s="25">
        <f>D121-G121</f>
        <v/>
      </c>
      <c r="I121" s="27">
        <f>IF(D121=0,"",G121/D121)</f>
        <v/>
      </c>
    </row>
    <row r="122" hidden="1">
      <c r="A122" s="24" t="inlineStr">
        <is>
          <t>AUT</t>
        </is>
      </c>
      <c r="B122" s="24">
        <f>$O$33</f>
        <v/>
      </c>
      <c r="C122" s="25">
        <f>SUMIFS('ASIGNACIONES'!$M$4:$M$451,'ASIGNACIONES'!$E$4:$E$451,$A122,'ASIGNACIONES'!$A$4:$A$451,$B122)</f>
        <v/>
      </c>
      <c r="D122" s="25">
        <f>C122*p_factor_productividad</f>
        <v/>
      </c>
      <c r="E122" s="25">
        <f>SUMIFS('ORDENES'!$M$4:$M$1203,'ORDENES'!$AB$4:$AB$1203,$A122,'ORDENES'!$O$4:$O$1203,$B122,'ORDENES'!$U$4:$U$1203,"preventiva")</f>
        <v/>
      </c>
      <c r="F122" s="25">
        <f>SUMIFS('ORDENES'!$M$4:$M$1203,'ORDENES'!$AB$4:$AB$1203,$A122,'ORDENES'!$O$4:$O$1203,$B122,'ORDENES'!$U$4:$U$1203,"correctiva")</f>
        <v/>
      </c>
      <c r="G122" s="25">
        <f>E122+F122</f>
        <v/>
      </c>
      <c r="H122" s="25">
        <f>D122-G122</f>
        <v/>
      </c>
      <c r="I122" s="27">
        <f>IF(D122=0,"",G122/D122)</f>
        <v/>
      </c>
    </row>
    <row r="123" hidden="1">
      <c r="A123" s="24" t="inlineStr">
        <is>
          <t>TERCERO</t>
        </is>
      </c>
      <c r="B123" s="24">
        <f>$O$33</f>
        <v/>
      </c>
      <c r="C123" s="25">
        <f>SUMIFS('ASIGNACIONES'!$M$4:$M$451,'ASIGNACIONES'!$E$4:$E$451,$A123,'ASIGNACIONES'!$A$4:$A$451,$B123)</f>
        <v/>
      </c>
      <c r="D123" s="25">
        <f>C123*p_factor_productividad</f>
        <v/>
      </c>
      <c r="E123" s="25">
        <f>SUMIFS('ORDENES'!$M$4:$M$1203,'ORDENES'!$AB$4:$AB$1203,$A123,'ORDENES'!$O$4:$O$1203,$B123,'ORDENES'!$U$4:$U$1203,"preventiva")</f>
        <v/>
      </c>
      <c r="F123" s="25">
        <f>SUMIFS('ORDENES'!$M$4:$M$1203,'ORDENES'!$AB$4:$AB$1203,$A123,'ORDENES'!$O$4:$O$1203,$B123,'ORDENES'!$U$4:$U$1203,"correctiva")</f>
        <v/>
      </c>
      <c r="G123" s="25">
        <f>E123+F123</f>
        <v/>
      </c>
      <c r="H123" s="25">
        <f>D123-G123</f>
        <v/>
      </c>
      <c r="I123" s="27">
        <f>IF(D123=0,"",G123/D123)</f>
        <v/>
      </c>
    </row>
    <row r="124" hidden="1">
      <c r="A124" s="24" t="inlineStr">
        <is>
          <t>MEC</t>
        </is>
      </c>
      <c r="B124" s="24">
        <f>$O$34</f>
        <v/>
      </c>
      <c r="C124" s="25">
        <f>SUMIFS('ASIGNACIONES'!$M$4:$M$451,'ASIGNACIONES'!$E$4:$E$451,$A124,'ASIGNACIONES'!$A$4:$A$451,$B124)</f>
        <v/>
      </c>
      <c r="D124" s="25">
        <f>C124*p_factor_productividad</f>
        <v/>
      </c>
      <c r="E124" s="25">
        <f>SUMIFS('ORDENES'!$M$4:$M$1203,'ORDENES'!$AB$4:$AB$1203,$A124,'ORDENES'!$O$4:$O$1203,$B124,'ORDENES'!$U$4:$U$1203,"preventiva")</f>
        <v/>
      </c>
      <c r="F124" s="25">
        <f>SUMIFS('ORDENES'!$M$4:$M$1203,'ORDENES'!$AB$4:$AB$1203,$A124,'ORDENES'!$O$4:$O$1203,$B124,'ORDENES'!$U$4:$U$1203,"correctiva")</f>
        <v/>
      </c>
      <c r="G124" s="25">
        <f>E124+F124</f>
        <v/>
      </c>
      <c r="H124" s="25">
        <f>D124-G124</f>
        <v/>
      </c>
      <c r="I124" s="27">
        <f>IF(D124=0,"",G124/D124)</f>
        <v/>
      </c>
    </row>
    <row r="125" hidden="1">
      <c r="A125" s="24" t="inlineStr">
        <is>
          <t>ELE</t>
        </is>
      </c>
      <c r="B125" s="24">
        <f>$O$34</f>
        <v/>
      </c>
      <c r="C125" s="25">
        <f>SUMIFS('ASIGNACIONES'!$M$4:$M$451,'ASIGNACIONES'!$E$4:$E$451,$A125,'ASIGNACIONES'!$A$4:$A$451,$B125)</f>
        <v/>
      </c>
      <c r="D125" s="25">
        <f>C125*p_factor_productividad</f>
        <v/>
      </c>
      <c r="E125" s="25">
        <f>SUMIFS('ORDENES'!$M$4:$M$1203,'ORDENES'!$AB$4:$AB$1203,$A125,'ORDENES'!$O$4:$O$1203,$B125,'ORDENES'!$U$4:$U$1203,"preventiva")</f>
        <v/>
      </c>
      <c r="F125" s="25">
        <f>SUMIFS('ORDENES'!$M$4:$M$1203,'ORDENES'!$AB$4:$AB$1203,$A125,'ORDENES'!$O$4:$O$1203,$B125,'ORDENES'!$U$4:$U$1203,"correctiva")</f>
        <v/>
      </c>
      <c r="G125" s="25">
        <f>E125+F125</f>
        <v/>
      </c>
      <c r="H125" s="25">
        <f>D125-G125</f>
        <v/>
      </c>
      <c r="I125" s="27">
        <f>IF(D125=0,"",G125/D125)</f>
        <v/>
      </c>
    </row>
    <row r="126" hidden="1">
      <c r="A126" s="24" t="inlineStr">
        <is>
          <t>AUT</t>
        </is>
      </c>
      <c r="B126" s="24">
        <f>$O$34</f>
        <v/>
      </c>
      <c r="C126" s="25">
        <f>SUMIFS('ASIGNACIONES'!$M$4:$M$451,'ASIGNACIONES'!$E$4:$E$451,$A126,'ASIGNACIONES'!$A$4:$A$451,$B126)</f>
        <v/>
      </c>
      <c r="D126" s="25">
        <f>C126*p_factor_productividad</f>
        <v/>
      </c>
      <c r="E126" s="25">
        <f>SUMIFS('ORDENES'!$M$4:$M$1203,'ORDENES'!$AB$4:$AB$1203,$A126,'ORDENES'!$O$4:$O$1203,$B126,'ORDENES'!$U$4:$U$1203,"preventiva")</f>
        <v/>
      </c>
      <c r="F126" s="25">
        <f>SUMIFS('ORDENES'!$M$4:$M$1203,'ORDENES'!$AB$4:$AB$1203,$A126,'ORDENES'!$O$4:$O$1203,$B126,'ORDENES'!$U$4:$U$1203,"correctiva")</f>
        <v/>
      </c>
      <c r="G126" s="25">
        <f>E126+F126</f>
        <v/>
      </c>
      <c r="H126" s="25">
        <f>D126-G126</f>
        <v/>
      </c>
      <c r="I126" s="27">
        <f>IF(D126=0,"",G126/D126)</f>
        <v/>
      </c>
    </row>
    <row r="127" hidden="1">
      <c r="A127" s="24" t="inlineStr">
        <is>
          <t>TERCERO</t>
        </is>
      </c>
      <c r="B127" s="24">
        <f>$O$34</f>
        <v/>
      </c>
      <c r="C127" s="25">
        <f>SUMIFS('ASIGNACIONES'!$M$4:$M$451,'ASIGNACIONES'!$E$4:$E$451,$A127,'ASIGNACIONES'!$A$4:$A$451,$B127)</f>
        <v/>
      </c>
      <c r="D127" s="25">
        <f>C127*p_factor_productividad</f>
        <v/>
      </c>
      <c r="E127" s="25">
        <f>SUMIFS('ORDENES'!$M$4:$M$1203,'ORDENES'!$AB$4:$AB$1203,$A127,'ORDENES'!$O$4:$O$1203,$B127,'ORDENES'!$U$4:$U$1203,"preventiva")</f>
        <v/>
      </c>
      <c r="F127" s="25">
        <f>SUMIFS('ORDENES'!$M$4:$M$1203,'ORDENES'!$AB$4:$AB$1203,$A127,'ORDENES'!$O$4:$O$1203,$B127,'ORDENES'!$U$4:$U$1203,"correctiva")</f>
        <v/>
      </c>
      <c r="G127" s="25">
        <f>E127+F127</f>
        <v/>
      </c>
      <c r="H127" s="25">
        <f>D127-G127</f>
        <v/>
      </c>
      <c r="I127" s="27">
        <f>IF(D127=0,"",G127/D127)</f>
        <v/>
      </c>
    </row>
    <row r="128" hidden="1">
      <c r="A128" s="24" t="inlineStr">
        <is>
          <t>MEC</t>
        </is>
      </c>
      <c r="B128" s="24">
        <f>$O$35</f>
        <v/>
      </c>
      <c r="C128" s="25">
        <f>SUMIFS('ASIGNACIONES'!$M$4:$M$451,'ASIGNACIONES'!$E$4:$E$451,$A128,'ASIGNACIONES'!$A$4:$A$451,$B128)</f>
        <v/>
      </c>
      <c r="D128" s="25">
        <f>C128*p_factor_productividad</f>
        <v/>
      </c>
      <c r="E128" s="25">
        <f>SUMIFS('ORDENES'!$M$4:$M$1203,'ORDENES'!$AB$4:$AB$1203,$A128,'ORDENES'!$O$4:$O$1203,$B128,'ORDENES'!$U$4:$U$1203,"preventiva")</f>
        <v/>
      </c>
      <c r="F128" s="25">
        <f>SUMIFS('ORDENES'!$M$4:$M$1203,'ORDENES'!$AB$4:$AB$1203,$A128,'ORDENES'!$O$4:$O$1203,$B128,'ORDENES'!$U$4:$U$1203,"correctiva")</f>
        <v/>
      </c>
      <c r="G128" s="25">
        <f>E128+F128</f>
        <v/>
      </c>
      <c r="H128" s="25">
        <f>D128-G128</f>
        <v/>
      </c>
      <c r="I128" s="27">
        <f>IF(D128=0,"",G128/D128)</f>
        <v/>
      </c>
    </row>
    <row r="129" hidden="1">
      <c r="A129" s="24" t="inlineStr">
        <is>
          <t>ELE</t>
        </is>
      </c>
      <c r="B129" s="24">
        <f>$O$35</f>
        <v/>
      </c>
      <c r="C129" s="25">
        <f>SUMIFS('ASIGNACIONES'!$M$4:$M$451,'ASIGNACIONES'!$E$4:$E$451,$A129,'ASIGNACIONES'!$A$4:$A$451,$B129)</f>
        <v/>
      </c>
      <c r="D129" s="25">
        <f>C129*p_factor_productividad</f>
        <v/>
      </c>
      <c r="E129" s="25">
        <f>SUMIFS('ORDENES'!$M$4:$M$1203,'ORDENES'!$AB$4:$AB$1203,$A129,'ORDENES'!$O$4:$O$1203,$B129,'ORDENES'!$U$4:$U$1203,"preventiva")</f>
        <v/>
      </c>
      <c r="F129" s="25">
        <f>SUMIFS('ORDENES'!$M$4:$M$1203,'ORDENES'!$AB$4:$AB$1203,$A129,'ORDENES'!$O$4:$O$1203,$B129,'ORDENES'!$U$4:$U$1203,"correctiva")</f>
        <v/>
      </c>
      <c r="G129" s="25">
        <f>E129+F129</f>
        <v/>
      </c>
      <c r="H129" s="25">
        <f>D129-G129</f>
        <v/>
      </c>
      <c r="I129" s="27">
        <f>IF(D129=0,"",G129/D129)</f>
        <v/>
      </c>
    </row>
    <row r="130" hidden="1">
      <c r="A130" s="24" t="inlineStr">
        <is>
          <t>AUT</t>
        </is>
      </c>
      <c r="B130" s="24">
        <f>$O$35</f>
        <v/>
      </c>
      <c r="C130" s="25">
        <f>SUMIFS('ASIGNACIONES'!$M$4:$M$451,'ASIGNACIONES'!$E$4:$E$451,$A130,'ASIGNACIONES'!$A$4:$A$451,$B130)</f>
        <v/>
      </c>
      <c r="D130" s="25">
        <f>C130*p_factor_productividad</f>
        <v/>
      </c>
      <c r="E130" s="25">
        <f>SUMIFS('ORDENES'!$M$4:$M$1203,'ORDENES'!$AB$4:$AB$1203,$A130,'ORDENES'!$O$4:$O$1203,$B130,'ORDENES'!$U$4:$U$1203,"preventiva")</f>
        <v/>
      </c>
      <c r="F130" s="25">
        <f>SUMIFS('ORDENES'!$M$4:$M$1203,'ORDENES'!$AB$4:$AB$1203,$A130,'ORDENES'!$O$4:$O$1203,$B130,'ORDENES'!$U$4:$U$1203,"correctiva")</f>
        <v/>
      </c>
      <c r="G130" s="25">
        <f>E130+F130</f>
        <v/>
      </c>
      <c r="H130" s="25">
        <f>D130-G130</f>
        <v/>
      </c>
      <c r="I130" s="27">
        <f>IF(D130=0,"",G130/D130)</f>
        <v/>
      </c>
    </row>
    <row r="131" hidden="1">
      <c r="A131" s="24" t="inlineStr">
        <is>
          <t>TERCERO</t>
        </is>
      </c>
      <c r="B131" s="24">
        <f>$O$35</f>
        <v/>
      </c>
      <c r="C131" s="25">
        <f>SUMIFS('ASIGNACIONES'!$M$4:$M$451,'ASIGNACIONES'!$E$4:$E$451,$A131,'ASIGNACIONES'!$A$4:$A$451,$B131)</f>
        <v/>
      </c>
      <c r="D131" s="25">
        <f>C131*p_factor_productividad</f>
        <v/>
      </c>
      <c r="E131" s="25">
        <f>SUMIFS('ORDENES'!$M$4:$M$1203,'ORDENES'!$AB$4:$AB$1203,$A131,'ORDENES'!$O$4:$O$1203,$B131,'ORDENES'!$U$4:$U$1203,"preventiva")</f>
        <v/>
      </c>
      <c r="F131" s="25">
        <f>SUMIFS('ORDENES'!$M$4:$M$1203,'ORDENES'!$AB$4:$AB$1203,$A131,'ORDENES'!$O$4:$O$1203,$B131,'ORDENES'!$U$4:$U$1203,"correctiva")</f>
        <v/>
      </c>
      <c r="G131" s="25">
        <f>E131+F131</f>
        <v/>
      </c>
      <c r="H131" s="25">
        <f>D131-G131</f>
        <v/>
      </c>
      <c r="I131" s="27">
        <f>IF(D131=0,"",G131/D131)</f>
        <v/>
      </c>
    </row>
    <row r="132" hidden="1">
      <c r="A132" s="24" t="inlineStr">
        <is>
          <t>MEC</t>
        </is>
      </c>
      <c r="B132" s="24">
        <f>$O$36</f>
        <v/>
      </c>
      <c r="C132" s="25">
        <f>SUMIFS('ASIGNACIONES'!$M$4:$M$451,'ASIGNACIONES'!$E$4:$E$451,$A132,'ASIGNACIONES'!$A$4:$A$451,$B132)</f>
        <v/>
      </c>
      <c r="D132" s="25">
        <f>C132*p_factor_productividad</f>
        <v/>
      </c>
      <c r="E132" s="25">
        <f>SUMIFS('ORDENES'!$M$4:$M$1203,'ORDENES'!$AB$4:$AB$1203,$A132,'ORDENES'!$O$4:$O$1203,$B132,'ORDENES'!$U$4:$U$1203,"preventiva")</f>
        <v/>
      </c>
      <c r="F132" s="25">
        <f>SUMIFS('ORDENES'!$M$4:$M$1203,'ORDENES'!$AB$4:$AB$1203,$A132,'ORDENES'!$O$4:$O$1203,$B132,'ORDENES'!$U$4:$U$1203,"correctiva")</f>
        <v/>
      </c>
      <c r="G132" s="25">
        <f>E132+F132</f>
        <v/>
      </c>
      <c r="H132" s="25">
        <f>D132-G132</f>
        <v/>
      </c>
      <c r="I132" s="27">
        <f>IF(D132=0,"",G132/D132)</f>
        <v/>
      </c>
    </row>
    <row r="133" hidden="1">
      <c r="A133" s="24" t="inlineStr">
        <is>
          <t>ELE</t>
        </is>
      </c>
      <c r="B133" s="24">
        <f>$O$36</f>
        <v/>
      </c>
      <c r="C133" s="25">
        <f>SUMIFS('ASIGNACIONES'!$M$4:$M$451,'ASIGNACIONES'!$E$4:$E$451,$A133,'ASIGNACIONES'!$A$4:$A$451,$B133)</f>
        <v/>
      </c>
      <c r="D133" s="25">
        <f>C133*p_factor_productividad</f>
        <v/>
      </c>
      <c r="E133" s="25">
        <f>SUMIFS('ORDENES'!$M$4:$M$1203,'ORDENES'!$AB$4:$AB$1203,$A133,'ORDENES'!$O$4:$O$1203,$B133,'ORDENES'!$U$4:$U$1203,"preventiva")</f>
        <v/>
      </c>
      <c r="F133" s="25">
        <f>SUMIFS('ORDENES'!$M$4:$M$1203,'ORDENES'!$AB$4:$AB$1203,$A133,'ORDENES'!$O$4:$O$1203,$B133,'ORDENES'!$U$4:$U$1203,"correctiva")</f>
        <v/>
      </c>
      <c r="G133" s="25">
        <f>E133+F133</f>
        <v/>
      </c>
      <c r="H133" s="25">
        <f>D133-G133</f>
        <v/>
      </c>
      <c r="I133" s="27">
        <f>IF(D133=0,"",G133/D133)</f>
        <v/>
      </c>
    </row>
    <row r="134" hidden="1">
      <c r="A134" s="24" t="inlineStr">
        <is>
          <t>AUT</t>
        </is>
      </c>
      <c r="B134" s="24">
        <f>$O$36</f>
        <v/>
      </c>
      <c r="C134" s="25">
        <f>SUMIFS('ASIGNACIONES'!$M$4:$M$451,'ASIGNACIONES'!$E$4:$E$451,$A134,'ASIGNACIONES'!$A$4:$A$451,$B134)</f>
        <v/>
      </c>
      <c r="D134" s="25">
        <f>C134*p_factor_productividad</f>
        <v/>
      </c>
      <c r="E134" s="25">
        <f>SUMIFS('ORDENES'!$M$4:$M$1203,'ORDENES'!$AB$4:$AB$1203,$A134,'ORDENES'!$O$4:$O$1203,$B134,'ORDENES'!$U$4:$U$1203,"preventiva")</f>
        <v/>
      </c>
      <c r="F134" s="25">
        <f>SUMIFS('ORDENES'!$M$4:$M$1203,'ORDENES'!$AB$4:$AB$1203,$A134,'ORDENES'!$O$4:$O$1203,$B134,'ORDENES'!$U$4:$U$1203,"correctiva")</f>
        <v/>
      </c>
      <c r="G134" s="25">
        <f>E134+F134</f>
        <v/>
      </c>
      <c r="H134" s="25">
        <f>D134-G134</f>
        <v/>
      </c>
      <c r="I134" s="27">
        <f>IF(D134=0,"",G134/D134)</f>
        <v/>
      </c>
    </row>
    <row r="135" hidden="1">
      <c r="A135" s="24" t="inlineStr">
        <is>
          <t>TERCERO</t>
        </is>
      </c>
      <c r="B135" s="24">
        <f>$O$36</f>
        <v/>
      </c>
      <c r="C135" s="25">
        <f>SUMIFS('ASIGNACIONES'!$M$4:$M$451,'ASIGNACIONES'!$E$4:$E$451,$A135,'ASIGNACIONES'!$A$4:$A$451,$B135)</f>
        <v/>
      </c>
      <c r="D135" s="25">
        <f>C135*p_factor_productividad</f>
        <v/>
      </c>
      <c r="E135" s="25">
        <f>SUMIFS('ORDENES'!$M$4:$M$1203,'ORDENES'!$AB$4:$AB$1203,$A135,'ORDENES'!$O$4:$O$1203,$B135,'ORDENES'!$U$4:$U$1203,"preventiva")</f>
        <v/>
      </c>
      <c r="F135" s="25">
        <f>SUMIFS('ORDENES'!$M$4:$M$1203,'ORDENES'!$AB$4:$AB$1203,$A135,'ORDENES'!$O$4:$O$1203,$B135,'ORDENES'!$U$4:$U$1203,"correctiva")</f>
        <v/>
      </c>
      <c r="G135" s="25">
        <f>E135+F135</f>
        <v/>
      </c>
      <c r="H135" s="25">
        <f>D135-G135</f>
        <v/>
      </c>
      <c r="I135" s="27">
        <f>IF(D135=0,"",G135/D135)</f>
        <v/>
      </c>
    </row>
    <row r="136" hidden="1">
      <c r="A136" s="24" t="inlineStr">
        <is>
          <t>MEC</t>
        </is>
      </c>
      <c r="B136" s="24">
        <f>$O$37</f>
        <v/>
      </c>
      <c r="C136" s="25">
        <f>SUMIFS('ASIGNACIONES'!$M$4:$M$451,'ASIGNACIONES'!$E$4:$E$451,$A136,'ASIGNACIONES'!$A$4:$A$451,$B136)</f>
        <v/>
      </c>
      <c r="D136" s="25">
        <f>C136*p_factor_productividad</f>
        <v/>
      </c>
      <c r="E136" s="25">
        <f>SUMIFS('ORDENES'!$M$4:$M$1203,'ORDENES'!$AB$4:$AB$1203,$A136,'ORDENES'!$O$4:$O$1203,$B136,'ORDENES'!$U$4:$U$1203,"preventiva")</f>
        <v/>
      </c>
      <c r="F136" s="25">
        <f>SUMIFS('ORDENES'!$M$4:$M$1203,'ORDENES'!$AB$4:$AB$1203,$A136,'ORDENES'!$O$4:$O$1203,$B136,'ORDENES'!$U$4:$U$1203,"correctiva")</f>
        <v/>
      </c>
      <c r="G136" s="25">
        <f>E136+F136</f>
        <v/>
      </c>
      <c r="H136" s="25">
        <f>D136-G136</f>
        <v/>
      </c>
      <c r="I136" s="27">
        <f>IF(D136=0,"",G136/D136)</f>
        <v/>
      </c>
    </row>
    <row r="137" hidden="1">
      <c r="A137" s="24" t="inlineStr">
        <is>
          <t>ELE</t>
        </is>
      </c>
      <c r="B137" s="24">
        <f>$O$37</f>
        <v/>
      </c>
      <c r="C137" s="25">
        <f>SUMIFS('ASIGNACIONES'!$M$4:$M$451,'ASIGNACIONES'!$E$4:$E$451,$A137,'ASIGNACIONES'!$A$4:$A$451,$B137)</f>
        <v/>
      </c>
      <c r="D137" s="25">
        <f>C137*p_factor_productividad</f>
        <v/>
      </c>
      <c r="E137" s="25">
        <f>SUMIFS('ORDENES'!$M$4:$M$1203,'ORDENES'!$AB$4:$AB$1203,$A137,'ORDENES'!$O$4:$O$1203,$B137,'ORDENES'!$U$4:$U$1203,"preventiva")</f>
        <v/>
      </c>
      <c r="F137" s="25">
        <f>SUMIFS('ORDENES'!$M$4:$M$1203,'ORDENES'!$AB$4:$AB$1203,$A137,'ORDENES'!$O$4:$O$1203,$B137,'ORDENES'!$U$4:$U$1203,"correctiva")</f>
        <v/>
      </c>
      <c r="G137" s="25">
        <f>E137+F137</f>
        <v/>
      </c>
      <c r="H137" s="25">
        <f>D137-G137</f>
        <v/>
      </c>
      <c r="I137" s="27">
        <f>IF(D137=0,"",G137/D137)</f>
        <v/>
      </c>
    </row>
    <row r="138" hidden="1">
      <c r="A138" s="24" t="inlineStr">
        <is>
          <t>AUT</t>
        </is>
      </c>
      <c r="B138" s="24">
        <f>$O$37</f>
        <v/>
      </c>
      <c r="C138" s="25">
        <f>SUMIFS('ASIGNACIONES'!$M$4:$M$451,'ASIGNACIONES'!$E$4:$E$451,$A138,'ASIGNACIONES'!$A$4:$A$451,$B138)</f>
        <v/>
      </c>
      <c r="D138" s="25">
        <f>C138*p_factor_productividad</f>
        <v/>
      </c>
      <c r="E138" s="25">
        <f>SUMIFS('ORDENES'!$M$4:$M$1203,'ORDENES'!$AB$4:$AB$1203,$A138,'ORDENES'!$O$4:$O$1203,$B138,'ORDENES'!$U$4:$U$1203,"preventiva")</f>
        <v/>
      </c>
      <c r="F138" s="25">
        <f>SUMIFS('ORDENES'!$M$4:$M$1203,'ORDENES'!$AB$4:$AB$1203,$A138,'ORDENES'!$O$4:$O$1203,$B138,'ORDENES'!$U$4:$U$1203,"correctiva")</f>
        <v/>
      </c>
      <c r="G138" s="25">
        <f>E138+F138</f>
        <v/>
      </c>
      <c r="H138" s="25">
        <f>D138-G138</f>
        <v/>
      </c>
      <c r="I138" s="27">
        <f>IF(D138=0,"",G138/D138)</f>
        <v/>
      </c>
    </row>
    <row r="139" hidden="1">
      <c r="A139" s="24" t="inlineStr">
        <is>
          <t>TERCERO</t>
        </is>
      </c>
      <c r="B139" s="24">
        <f>$O$37</f>
        <v/>
      </c>
      <c r="C139" s="25">
        <f>SUMIFS('ASIGNACIONES'!$M$4:$M$451,'ASIGNACIONES'!$E$4:$E$451,$A139,'ASIGNACIONES'!$A$4:$A$451,$B139)</f>
        <v/>
      </c>
      <c r="D139" s="25">
        <f>C139*p_factor_productividad</f>
        <v/>
      </c>
      <c r="E139" s="25">
        <f>SUMIFS('ORDENES'!$M$4:$M$1203,'ORDENES'!$AB$4:$AB$1203,$A139,'ORDENES'!$O$4:$O$1203,$B139,'ORDENES'!$U$4:$U$1203,"preventiva")</f>
        <v/>
      </c>
      <c r="F139" s="25">
        <f>SUMIFS('ORDENES'!$M$4:$M$1203,'ORDENES'!$AB$4:$AB$1203,$A139,'ORDENES'!$O$4:$O$1203,$B139,'ORDENES'!$U$4:$U$1203,"correctiva")</f>
        <v/>
      </c>
      <c r="G139" s="25">
        <f>E139+F139</f>
        <v/>
      </c>
      <c r="H139" s="25">
        <f>D139-G139</f>
        <v/>
      </c>
      <c r="I139" s="27">
        <f>IF(D139=0,"",G139/D139)</f>
        <v/>
      </c>
    </row>
    <row r="140" hidden="1">
      <c r="A140" s="24" t="inlineStr">
        <is>
          <t>MEC</t>
        </is>
      </c>
      <c r="B140" s="24">
        <f>$O$38</f>
        <v/>
      </c>
      <c r="C140" s="25">
        <f>SUMIFS('ASIGNACIONES'!$M$4:$M$451,'ASIGNACIONES'!$E$4:$E$451,$A140,'ASIGNACIONES'!$A$4:$A$451,$B140)</f>
        <v/>
      </c>
      <c r="D140" s="25">
        <f>C140*p_factor_productividad</f>
        <v/>
      </c>
      <c r="E140" s="25">
        <f>SUMIFS('ORDENES'!$M$4:$M$1203,'ORDENES'!$AB$4:$AB$1203,$A140,'ORDENES'!$O$4:$O$1203,$B140,'ORDENES'!$U$4:$U$1203,"preventiva")</f>
        <v/>
      </c>
      <c r="F140" s="25">
        <f>SUMIFS('ORDENES'!$M$4:$M$1203,'ORDENES'!$AB$4:$AB$1203,$A140,'ORDENES'!$O$4:$O$1203,$B140,'ORDENES'!$U$4:$U$1203,"correctiva")</f>
        <v/>
      </c>
      <c r="G140" s="25">
        <f>E140+F140</f>
        <v/>
      </c>
      <c r="H140" s="25">
        <f>D140-G140</f>
        <v/>
      </c>
      <c r="I140" s="27">
        <f>IF(D140=0,"",G140/D140)</f>
        <v/>
      </c>
    </row>
    <row r="141" hidden="1">
      <c r="A141" s="24" t="inlineStr">
        <is>
          <t>ELE</t>
        </is>
      </c>
      <c r="B141" s="24">
        <f>$O$38</f>
        <v/>
      </c>
      <c r="C141" s="25">
        <f>SUMIFS('ASIGNACIONES'!$M$4:$M$451,'ASIGNACIONES'!$E$4:$E$451,$A141,'ASIGNACIONES'!$A$4:$A$451,$B141)</f>
        <v/>
      </c>
      <c r="D141" s="25">
        <f>C141*p_factor_productividad</f>
        <v/>
      </c>
      <c r="E141" s="25">
        <f>SUMIFS('ORDENES'!$M$4:$M$1203,'ORDENES'!$AB$4:$AB$1203,$A141,'ORDENES'!$O$4:$O$1203,$B141,'ORDENES'!$U$4:$U$1203,"preventiva")</f>
        <v/>
      </c>
      <c r="F141" s="25">
        <f>SUMIFS('ORDENES'!$M$4:$M$1203,'ORDENES'!$AB$4:$AB$1203,$A141,'ORDENES'!$O$4:$O$1203,$B141,'ORDENES'!$U$4:$U$1203,"correctiva")</f>
        <v/>
      </c>
      <c r="G141" s="25">
        <f>E141+F141</f>
        <v/>
      </c>
      <c r="H141" s="25">
        <f>D141-G141</f>
        <v/>
      </c>
      <c r="I141" s="27">
        <f>IF(D141=0,"",G141/D141)</f>
        <v/>
      </c>
    </row>
    <row r="142" hidden="1">
      <c r="A142" s="24" t="inlineStr">
        <is>
          <t>AUT</t>
        </is>
      </c>
      <c r="B142" s="24">
        <f>$O$38</f>
        <v/>
      </c>
      <c r="C142" s="25">
        <f>SUMIFS('ASIGNACIONES'!$M$4:$M$451,'ASIGNACIONES'!$E$4:$E$451,$A142,'ASIGNACIONES'!$A$4:$A$451,$B142)</f>
        <v/>
      </c>
      <c r="D142" s="25">
        <f>C142*p_factor_productividad</f>
        <v/>
      </c>
      <c r="E142" s="25">
        <f>SUMIFS('ORDENES'!$M$4:$M$1203,'ORDENES'!$AB$4:$AB$1203,$A142,'ORDENES'!$O$4:$O$1203,$B142,'ORDENES'!$U$4:$U$1203,"preventiva")</f>
        <v/>
      </c>
      <c r="F142" s="25">
        <f>SUMIFS('ORDENES'!$M$4:$M$1203,'ORDENES'!$AB$4:$AB$1203,$A142,'ORDENES'!$O$4:$O$1203,$B142,'ORDENES'!$U$4:$U$1203,"correctiva")</f>
        <v/>
      </c>
      <c r="G142" s="25">
        <f>E142+F142</f>
        <v/>
      </c>
      <c r="H142" s="25">
        <f>D142-G142</f>
        <v/>
      </c>
      <c r="I142" s="27">
        <f>IF(D142=0,"",G142/D142)</f>
        <v/>
      </c>
    </row>
    <row r="143" hidden="1">
      <c r="A143" s="24" t="inlineStr">
        <is>
          <t>TERCERO</t>
        </is>
      </c>
      <c r="B143" s="24">
        <f>$O$38</f>
        <v/>
      </c>
      <c r="C143" s="25">
        <f>SUMIFS('ASIGNACIONES'!$M$4:$M$451,'ASIGNACIONES'!$E$4:$E$451,$A143,'ASIGNACIONES'!$A$4:$A$451,$B143)</f>
        <v/>
      </c>
      <c r="D143" s="25">
        <f>C143*p_factor_productividad</f>
        <v/>
      </c>
      <c r="E143" s="25">
        <f>SUMIFS('ORDENES'!$M$4:$M$1203,'ORDENES'!$AB$4:$AB$1203,$A143,'ORDENES'!$O$4:$O$1203,$B143,'ORDENES'!$U$4:$U$1203,"preventiva")</f>
        <v/>
      </c>
      <c r="F143" s="25">
        <f>SUMIFS('ORDENES'!$M$4:$M$1203,'ORDENES'!$AB$4:$AB$1203,$A143,'ORDENES'!$O$4:$O$1203,$B143,'ORDENES'!$U$4:$U$1203,"correctiva")</f>
        <v/>
      </c>
      <c r="G143" s="25">
        <f>E143+F143</f>
        <v/>
      </c>
      <c r="H143" s="25">
        <f>D143-G143</f>
        <v/>
      </c>
      <c r="I143" s="27">
        <f>IF(D143=0,"",G143/D143)</f>
        <v/>
      </c>
    </row>
    <row r="144" hidden="1">
      <c r="A144" s="24" t="inlineStr">
        <is>
          <t>MEC</t>
        </is>
      </c>
      <c r="B144" s="24">
        <f>$O$39</f>
        <v/>
      </c>
      <c r="C144" s="25">
        <f>SUMIFS('ASIGNACIONES'!$M$4:$M$451,'ASIGNACIONES'!$E$4:$E$451,$A144,'ASIGNACIONES'!$A$4:$A$451,$B144)</f>
        <v/>
      </c>
      <c r="D144" s="25">
        <f>C144*p_factor_productividad</f>
        <v/>
      </c>
      <c r="E144" s="25">
        <f>SUMIFS('ORDENES'!$M$4:$M$1203,'ORDENES'!$AB$4:$AB$1203,$A144,'ORDENES'!$O$4:$O$1203,$B144,'ORDENES'!$U$4:$U$1203,"preventiva")</f>
        <v/>
      </c>
      <c r="F144" s="25">
        <f>SUMIFS('ORDENES'!$M$4:$M$1203,'ORDENES'!$AB$4:$AB$1203,$A144,'ORDENES'!$O$4:$O$1203,$B144,'ORDENES'!$U$4:$U$1203,"correctiva")</f>
        <v/>
      </c>
      <c r="G144" s="25">
        <f>E144+F144</f>
        <v/>
      </c>
      <c r="H144" s="25">
        <f>D144-G144</f>
        <v/>
      </c>
      <c r="I144" s="27">
        <f>IF(D144=0,"",G144/D144)</f>
        <v/>
      </c>
    </row>
    <row r="145" hidden="1">
      <c r="A145" s="24" t="inlineStr">
        <is>
          <t>ELE</t>
        </is>
      </c>
      <c r="B145" s="24">
        <f>$O$39</f>
        <v/>
      </c>
      <c r="C145" s="25">
        <f>SUMIFS('ASIGNACIONES'!$M$4:$M$451,'ASIGNACIONES'!$E$4:$E$451,$A145,'ASIGNACIONES'!$A$4:$A$451,$B145)</f>
        <v/>
      </c>
      <c r="D145" s="25">
        <f>C145*p_factor_productividad</f>
        <v/>
      </c>
      <c r="E145" s="25">
        <f>SUMIFS('ORDENES'!$M$4:$M$1203,'ORDENES'!$AB$4:$AB$1203,$A145,'ORDENES'!$O$4:$O$1203,$B145,'ORDENES'!$U$4:$U$1203,"preventiva")</f>
        <v/>
      </c>
      <c r="F145" s="25">
        <f>SUMIFS('ORDENES'!$M$4:$M$1203,'ORDENES'!$AB$4:$AB$1203,$A145,'ORDENES'!$O$4:$O$1203,$B145,'ORDENES'!$U$4:$U$1203,"correctiva")</f>
        <v/>
      </c>
      <c r="G145" s="25">
        <f>E145+F145</f>
        <v/>
      </c>
      <c r="H145" s="25">
        <f>D145-G145</f>
        <v/>
      </c>
      <c r="I145" s="27">
        <f>IF(D145=0,"",G145/D145)</f>
        <v/>
      </c>
    </row>
    <row r="146" hidden="1">
      <c r="A146" s="24" t="inlineStr">
        <is>
          <t>AUT</t>
        </is>
      </c>
      <c r="B146" s="24">
        <f>$O$39</f>
        <v/>
      </c>
      <c r="C146" s="25">
        <f>SUMIFS('ASIGNACIONES'!$M$4:$M$451,'ASIGNACIONES'!$E$4:$E$451,$A146,'ASIGNACIONES'!$A$4:$A$451,$B146)</f>
        <v/>
      </c>
      <c r="D146" s="25">
        <f>C146*p_factor_productividad</f>
        <v/>
      </c>
      <c r="E146" s="25">
        <f>SUMIFS('ORDENES'!$M$4:$M$1203,'ORDENES'!$AB$4:$AB$1203,$A146,'ORDENES'!$O$4:$O$1203,$B146,'ORDENES'!$U$4:$U$1203,"preventiva")</f>
        <v/>
      </c>
      <c r="F146" s="25">
        <f>SUMIFS('ORDENES'!$M$4:$M$1203,'ORDENES'!$AB$4:$AB$1203,$A146,'ORDENES'!$O$4:$O$1203,$B146,'ORDENES'!$U$4:$U$1203,"correctiva")</f>
        <v/>
      </c>
      <c r="G146" s="25">
        <f>E146+F146</f>
        <v/>
      </c>
      <c r="H146" s="25">
        <f>D146-G146</f>
        <v/>
      </c>
      <c r="I146" s="27">
        <f>IF(D146=0,"",G146/D146)</f>
        <v/>
      </c>
    </row>
    <row r="147" hidden="1">
      <c r="A147" s="24" t="inlineStr">
        <is>
          <t>TERCERO</t>
        </is>
      </c>
      <c r="B147" s="24">
        <f>$O$39</f>
        <v/>
      </c>
      <c r="C147" s="25">
        <f>SUMIFS('ASIGNACIONES'!$M$4:$M$451,'ASIGNACIONES'!$E$4:$E$451,$A147,'ASIGNACIONES'!$A$4:$A$451,$B147)</f>
        <v/>
      </c>
      <c r="D147" s="25">
        <f>C147*p_factor_productividad</f>
        <v/>
      </c>
      <c r="E147" s="25">
        <f>SUMIFS('ORDENES'!$M$4:$M$1203,'ORDENES'!$AB$4:$AB$1203,$A147,'ORDENES'!$O$4:$O$1203,$B147,'ORDENES'!$U$4:$U$1203,"preventiva")</f>
        <v/>
      </c>
      <c r="F147" s="25">
        <f>SUMIFS('ORDENES'!$M$4:$M$1203,'ORDENES'!$AB$4:$AB$1203,$A147,'ORDENES'!$O$4:$O$1203,$B147,'ORDENES'!$U$4:$U$1203,"correctiva")</f>
        <v/>
      </c>
      <c r="G147" s="25">
        <f>E147+F147</f>
        <v/>
      </c>
      <c r="H147" s="25">
        <f>D147-G147</f>
        <v/>
      </c>
      <c r="I147" s="27">
        <f>IF(D147=0,"",G147/D147)</f>
        <v/>
      </c>
    </row>
    <row r="148" hidden="1">
      <c r="A148" s="24" t="inlineStr">
        <is>
          <t>MEC</t>
        </is>
      </c>
      <c r="B148" s="24">
        <f>$O$40</f>
        <v/>
      </c>
      <c r="C148" s="25">
        <f>SUMIFS('ASIGNACIONES'!$M$4:$M$451,'ASIGNACIONES'!$E$4:$E$451,$A148,'ASIGNACIONES'!$A$4:$A$451,$B148)</f>
        <v/>
      </c>
      <c r="D148" s="25">
        <f>C148*p_factor_productividad</f>
        <v/>
      </c>
      <c r="E148" s="25">
        <f>SUMIFS('ORDENES'!$M$4:$M$1203,'ORDENES'!$AB$4:$AB$1203,$A148,'ORDENES'!$O$4:$O$1203,$B148,'ORDENES'!$U$4:$U$1203,"preventiva")</f>
        <v/>
      </c>
      <c r="F148" s="25">
        <f>SUMIFS('ORDENES'!$M$4:$M$1203,'ORDENES'!$AB$4:$AB$1203,$A148,'ORDENES'!$O$4:$O$1203,$B148,'ORDENES'!$U$4:$U$1203,"correctiva")</f>
        <v/>
      </c>
      <c r="G148" s="25">
        <f>E148+F148</f>
        <v/>
      </c>
      <c r="H148" s="25">
        <f>D148-G148</f>
        <v/>
      </c>
      <c r="I148" s="27">
        <f>IF(D148=0,"",G148/D148)</f>
        <v/>
      </c>
    </row>
    <row r="149" hidden="1">
      <c r="A149" s="24" t="inlineStr">
        <is>
          <t>ELE</t>
        </is>
      </c>
      <c r="B149" s="24">
        <f>$O$40</f>
        <v/>
      </c>
      <c r="C149" s="25">
        <f>SUMIFS('ASIGNACIONES'!$M$4:$M$451,'ASIGNACIONES'!$E$4:$E$451,$A149,'ASIGNACIONES'!$A$4:$A$451,$B149)</f>
        <v/>
      </c>
      <c r="D149" s="25">
        <f>C149*p_factor_productividad</f>
        <v/>
      </c>
      <c r="E149" s="25">
        <f>SUMIFS('ORDENES'!$M$4:$M$1203,'ORDENES'!$AB$4:$AB$1203,$A149,'ORDENES'!$O$4:$O$1203,$B149,'ORDENES'!$U$4:$U$1203,"preventiva")</f>
        <v/>
      </c>
      <c r="F149" s="25">
        <f>SUMIFS('ORDENES'!$M$4:$M$1203,'ORDENES'!$AB$4:$AB$1203,$A149,'ORDENES'!$O$4:$O$1203,$B149,'ORDENES'!$U$4:$U$1203,"correctiva")</f>
        <v/>
      </c>
      <c r="G149" s="25">
        <f>E149+F149</f>
        <v/>
      </c>
      <c r="H149" s="25">
        <f>D149-G149</f>
        <v/>
      </c>
      <c r="I149" s="27">
        <f>IF(D149=0,"",G149/D149)</f>
        <v/>
      </c>
    </row>
    <row r="150" hidden="1">
      <c r="A150" s="24" t="inlineStr">
        <is>
          <t>AUT</t>
        </is>
      </c>
      <c r="B150" s="24">
        <f>$O$40</f>
        <v/>
      </c>
      <c r="C150" s="25">
        <f>SUMIFS('ASIGNACIONES'!$M$4:$M$451,'ASIGNACIONES'!$E$4:$E$451,$A150,'ASIGNACIONES'!$A$4:$A$451,$B150)</f>
        <v/>
      </c>
      <c r="D150" s="25">
        <f>C150*p_factor_productividad</f>
        <v/>
      </c>
      <c r="E150" s="25">
        <f>SUMIFS('ORDENES'!$M$4:$M$1203,'ORDENES'!$AB$4:$AB$1203,$A150,'ORDENES'!$O$4:$O$1203,$B150,'ORDENES'!$U$4:$U$1203,"preventiva")</f>
        <v/>
      </c>
      <c r="F150" s="25">
        <f>SUMIFS('ORDENES'!$M$4:$M$1203,'ORDENES'!$AB$4:$AB$1203,$A150,'ORDENES'!$O$4:$O$1203,$B150,'ORDENES'!$U$4:$U$1203,"correctiva")</f>
        <v/>
      </c>
      <c r="G150" s="25">
        <f>E150+F150</f>
        <v/>
      </c>
      <c r="H150" s="25">
        <f>D150-G150</f>
        <v/>
      </c>
      <c r="I150" s="27">
        <f>IF(D150=0,"",G150/D150)</f>
        <v/>
      </c>
    </row>
    <row r="151" hidden="1">
      <c r="A151" s="24" t="inlineStr">
        <is>
          <t>TERCERO</t>
        </is>
      </c>
      <c r="B151" s="24">
        <f>$O$40</f>
        <v/>
      </c>
      <c r="C151" s="25">
        <f>SUMIFS('ASIGNACIONES'!$M$4:$M$451,'ASIGNACIONES'!$E$4:$E$451,$A151,'ASIGNACIONES'!$A$4:$A$451,$B151)</f>
        <v/>
      </c>
      <c r="D151" s="25">
        <f>C151*p_factor_productividad</f>
        <v/>
      </c>
      <c r="E151" s="25">
        <f>SUMIFS('ORDENES'!$M$4:$M$1203,'ORDENES'!$AB$4:$AB$1203,$A151,'ORDENES'!$O$4:$O$1203,$B151,'ORDENES'!$U$4:$U$1203,"preventiva")</f>
        <v/>
      </c>
      <c r="F151" s="25">
        <f>SUMIFS('ORDENES'!$M$4:$M$1203,'ORDENES'!$AB$4:$AB$1203,$A151,'ORDENES'!$O$4:$O$1203,$B151,'ORDENES'!$U$4:$U$1203,"correctiva")</f>
        <v/>
      </c>
      <c r="G151" s="25">
        <f>E151+F151</f>
        <v/>
      </c>
      <c r="H151" s="25">
        <f>D151-G151</f>
        <v/>
      </c>
      <c r="I151" s="27">
        <f>IF(D151=0,"",G151/D151)</f>
        <v/>
      </c>
    </row>
    <row r="152" hidden="1">
      <c r="A152" s="24" t="inlineStr">
        <is>
          <t>MEC</t>
        </is>
      </c>
      <c r="B152" s="24">
        <f>$O$41</f>
        <v/>
      </c>
      <c r="C152" s="25">
        <f>SUMIFS('ASIGNACIONES'!$M$4:$M$451,'ASIGNACIONES'!$E$4:$E$451,$A152,'ASIGNACIONES'!$A$4:$A$451,$B152)</f>
        <v/>
      </c>
      <c r="D152" s="25">
        <f>C152*p_factor_productividad</f>
        <v/>
      </c>
      <c r="E152" s="25">
        <f>SUMIFS('ORDENES'!$M$4:$M$1203,'ORDENES'!$AB$4:$AB$1203,$A152,'ORDENES'!$O$4:$O$1203,$B152,'ORDENES'!$U$4:$U$1203,"preventiva")</f>
        <v/>
      </c>
      <c r="F152" s="25">
        <f>SUMIFS('ORDENES'!$M$4:$M$1203,'ORDENES'!$AB$4:$AB$1203,$A152,'ORDENES'!$O$4:$O$1203,$B152,'ORDENES'!$U$4:$U$1203,"correctiva")</f>
        <v/>
      </c>
      <c r="G152" s="25">
        <f>E152+F152</f>
        <v/>
      </c>
      <c r="H152" s="25">
        <f>D152-G152</f>
        <v/>
      </c>
      <c r="I152" s="27">
        <f>IF(D152=0,"",G152/D152)</f>
        <v/>
      </c>
    </row>
    <row r="153" hidden="1">
      <c r="A153" s="24" t="inlineStr">
        <is>
          <t>ELE</t>
        </is>
      </c>
      <c r="B153" s="24">
        <f>$O$41</f>
        <v/>
      </c>
      <c r="C153" s="25">
        <f>SUMIFS('ASIGNACIONES'!$M$4:$M$451,'ASIGNACIONES'!$E$4:$E$451,$A153,'ASIGNACIONES'!$A$4:$A$451,$B153)</f>
        <v/>
      </c>
      <c r="D153" s="25">
        <f>C153*p_factor_productividad</f>
        <v/>
      </c>
      <c r="E153" s="25">
        <f>SUMIFS('ORDENES'!$M$4:$M$1203,'ORDENES'!$AB$4:$AB$1203,$A153,'ORDENES'!$O$4:$O$1203,$B153,'ORDENES'!$U$4:$U$1203,"preventiva")</f>
        <v/>
      </c>
      <c r="F153" s="25">
        <f>SUMIFS('ORDENES'!$M$4:$M$1203,'ORDENES'!$AB$4:$AB$1203,$A153,'ORDENES'!$O$4:$O$1203,$B153,'ORDENES'!$U$4:$U$1203,"correctiva")</f>
        <v/>
      </c>
      <c r="G153" s="25">
        <f>E153+F153</f>
        <v/>
      </c>
      <c r="H153" s="25">
        <f>D153-G153</f>
        <v/>
      </c>
      <c r="I153" s="27">
        <f>IF(D153=0,"",G153/D153)</f>
        <v/>
      </c>
    </row>
    <row r="154" hidden="1">
      <c r="A154" s="24" t="inlineStr">
        <is>
          <t>AUT</t>
        </is>
      </c>
      <c r="B154" s="24">
        <f>$O$41</f>
        <v/>
      </c>
      <c r="C154" s="25">
        <f>SUMIFS('ASIGNACIONES'!$M$4:$M$451,'ASIGNACIONES'!$E$4:$E$451,$A154,'ASIGNACIONES'!$A$4:$A$451,$B154)</f>
        <v/>
      </c>
      <c r="D154" s="25">
        <f>C154*p_factor_productividad</f>
        <v/>
      </c>
      <c r="E154" s="25">
        <f>SUMIFS('ORDENES'!$M$4:$M$1203,'ORDENES'!$AB$4:$AB$1203,$A154,'ORDENES'!$O$4:$O$1203,$B154,'ORDENES'!$U$4:$U$1203,"preventiva")</f>
        <v/>
      </c>
      <c r="F154" s="25">
        <f>SUMIFS('ORDENES'!$M$4:$M$1203,'ORDENES'!$AB$4:$AB$1203,$A154,'ORDENES'!$O$4:$O$1203,$B154,'ORDENES'!$U$4:$U$1203,"correctiva")</f>
        <v/>
      </c>
      <c r="G154" s="25">
        <f>E154+F154</f>
        <v/>
      </c>
      <c r="H154" s="25">
        <f>D154-G154</f>
        <v/>
      </c>
      <c r="I154" s="27">
        <f>IF(D154=0,"",G154/D154)</f>
        <v/>
      </c>
    </row>
    <row r="155" hidden="1">
      <c r="A155" s="24" t="inlineStr">
        <is>
          <t>TERCERO</t>
        </is>
      </c>
      <c r="B155" s="24">
        <f>$O$41</f>
        <v/>
      </c>
      <c r="C155" s="25">
        <f>SUMIFS('ASIGNACIONES'!$M$4:$M$451,'ASIGNACIONES'!$E$4:$E$451,$A155,'ASIGNACIONES'!$A$4:$A$451,$B155)</f>
        <v/>
      </c>
      <c r="D155" s="25">
        <f>C155*p_factor_productividad</f>
        <v/>
      </c>
      <c r="E155" s="25">
        <f>SUMIFS('ORDENES'!$M$4:$M$1203,'ORDENES'!$AB$4:$AB$1203,$A155,'ORDENES'!$O$4:$O$1203,$B155,'ORDENES'!$U$4:$U$1203,"preventiva")</f>
        <v/>
      </c>
      <c r="F155" s="25">
        <f>SUMIFS('ORDENES'!$M$4:$M$1203,'ORDENES'!$AB$4:$AB$1203,$A155,'ORDENES'!$O$4:$O$1203,$B155,'ORDENES'!$U$4:$U$1203,"correctiva")</f>
        <v/>
      </c>
      <c r="G155" s="25">
        <f>E155+F155</f>
        <v/>
      </c>
      <c r="H155" s="25">
        <f>D155-G155</f>
        <v/>
      </c>
      <c r="I155" s="27">
        <f>IF(D155=0,"",G155/D155)</f>
        <v/>
      </c>
    </row>
    <row r="156" hidden="1">
      <c r="A156" s="24" t="inlineStr">
        <is>
          <t>MEC</t>
        </is>
      </c>
      <c r="B156" s="24">
        <f>$O$42</f>
        <v/>
      </c>
      <c r="C156" s="25">
        <f>SUMIFS('ASIGNACIONES'!$M$4:$M$451,'ASIGNACIONES'!$E$4:$E$451,$A156,'ASIGNACIONES'!$A$4:$A$451,$B156)</f>
        <v/>
      </c>
      <c r="D156" s="25">
        <f>C156*p_factor_productividad</f>
        <v/>
      </c>
      <c r="E156" s="25">
        <f>SUMIFS('ORDENES'!$M$4:$M$1203,'ORDENES'!$AB$4:$AB$1203,$A156,'ORDENES'!$O$4:$O$1203,$B156,'ORDENES'!$U$4:$U$1203,"preventiva")</f>
        <v/>
      </c>
      <c r="F156" s="25">
        <f>SUMIFS('ORDENES'!$M$4:$M$1203,'ORDENES'!$AB$4:$AB$1203,$A156,'ORDENES'!$O$4:$O$1203,$B156,'ORDENES'!$U$4:$U$1203,"correctiva")</f>
        <v/>
      </c>
      <c r="G156" s="25">
        <f>E156+F156</f>
        <v/>
      </c>
      <c r="H156" s="25">
        <f>D156-G156</f>
        <v/>
      </c>
      <c r="I156" s="27">
        <f>IF(D156=0,"",G156/D156)</f>
        <v/>
      </c>
    </row>
    <row r="157" hidden="1">
      <c r="A157" s="24" t="inlineStr">
        <is>
          <t>ELE</t>
        </is>
      </c>
      <c r="B157" s="24">
        <f>$O$42</f>
        <v/>
      </c>
      <c r="C157" s="25">
        <f>SUMIFS('ASIGNACIONES'!$M$4:$M$451,'ASIGNACIONES'!$E$4:$E$451,$A157,'ASIGNACIONES'!$A$4:$A$451,$B157)</f>
        <v/>
      </c>
      <c r="D157" s="25">
        <f>C157*p_factor_productividad</f>
        <v/>
      </c>
      <c r="E157" s="25">
        <f>SUMIFS('ORDENES'!$M$4:$M$1203,'ORDENES'!$AB$4:$AB$1203,$A157,'ORDENES'!$O$4:$O$1203,$B157,'ORDENES'!$U$4:$U$1203,"preventiva")</f>
        <v/>
      </c>
      <c r="F157" s="25">
        <f>SUMIFS('ORDENES'!$M$4:$M$1203,'ORDENES'!$AB$4:$AB$1203,$A157,'ORDENES'!$O$4:$O$1203,$B157,'ORDENES'!$U$4:$U$1203,"correctiva")</f>
        <v/>
      </c>
      <c r="G157" s="25">
        <f>E157+F157</f>
        <v/>
      </c>
      <c r="H157" s="25">
        <f>D157-G157</f>
        <v/>
      </c>
      <c r="I157" s="27">
        <f>IF(D157=0,"",G157/D157)</f>
        <v/>
      </c>
    </row>
    <row r="158" hidden="1">
      <c r="A158" s="24" t="inlineStr">
        <is>
          <t>AUT</t>
        </is>
      </c>
      <c r="B158" s="24">
        <f>$O$42</f>
        <v/>
      </c>
      <c r="C158" s="25">
        <f>SUMIFS('ASIGNACIONES'!$M$4:$M$451,'ASIGNACIONES'!$E$4:$E$451,$A158,'ASIGNACIONES'!$A$4:$A$451,$B158)</f>
        <v/>
      </c>
      <c r="D158" s="25">
        <f>C158*p_factor_productividad</f>
        <v/>
      </c>
      <c r="E158" s="25">
        <f>SUMIFS('ORDENES'!$M$4:$M$1203,'ORDENES'!$AB$4:$AB$1203,$A158,'ORDENES'!$O$4:$O$1203,$B158,'ORDENES'!$U$4:$U$1203,"preventiva")</f>
        <v/>
      </c>
      <c r="F158" s="25">
        <f>SUMIFS('ORDENES'!$M$4:$M$1203,'ORDENES'!$AB$4:$AB$1203,$A158,'ORDENES'!$O$4:$O$1203,$B158,'ORDENES'!$U$4:$U$1203,"correctiva")</f>
        <v/>
      </c>
      <c r="G158" s="25">
        <f>E158+F158</f>
        <v/>
      </c>
      <c r="H158" s="25">
        <f>D158-G158</f>
        <v/>
      </c>
      <c r="I158" s="27">
        <f>IF(D158=0,"",G158/D158)</f>
        <v/>
      </c>
    </row>
    <row r="159" hidden="1">
      <c r="A159" s="24" t="inlineStr">
        <is>
          <t>TERCERO</t>
        </is>
      </c>
      <c r="B159" s="24">
        <f>$O$42</f>
        <v/>
      </c>
      <c r="C159" s="25">
        <f>SUMIFS('ASIGNACIONES'!$M$4:$M$451,'ASIGNACIONES'!$E$4:$E$451,$A159,'ASIGNACIONES'!$A$4:$A$451,$B159)</f>
        <v/>
      </c>
      <c r="D159" s="25">
        <f>C159*p_factor_productividad</f>
        <v/>
      </c>
      <c r="E159" s="25">
        <f>SUMIFS('ORDENES'!$M$4:$M$1203,'ORDENES'!$AB$4:$AB$1203,$A159,'ORDENES'!$O$4:$O$1203,$B159,'ORDENES'!$U$4:$U$1203,"preventiva")</f>
        <v/>
      </c>
      <c r="F159" s="25">
        <f>SUMIFS('ORDENES'!$M$4:$M$1203,'ORDENES'!$AB$4:$AB$1203,$A159,'ORDENES'!$O$4:$O$1203,$B159,'ORDENES'!$U$4:$U$1203,"correctiva")</f>
        <v/>
      </c>
      <c r="G159" s="25">
        <f>E159+F159</f>
        <v/>
      </c>
      <c r="H159" s="25">
        <f>D159-G159</f>
        <v/>
      </c>
      <c r="I159" s="27">
        <f>IF(D159=0,"",G159/D159)</f>
        <v/>
      </c>
    </row>
    <row r="160" hidden="1">
      <c r="A160" s="24" t="inlineStr">
        <is>
          <t>MEC</t>
        </is>
      </c>
      <c r="B160" s="24">
        <f>$O$43</f>
        <v/>
      </c>
      <c r="C160" s="25">
        <f>SUMIFS('ASIGNACIONES'!$M$4:$M$451,'ASIGNACIONES'!$E$4:$E$451,$A160,'ASIGNACIONES'!$A$4:$A$451,$B160)</f>
        <v/>
      </c>
      <c r="D160" s="25">
        <f>C160*p_factor_productividad</f>
        <v/>
      </c>
      <c r="E160" s="25">
        <f>SUMIFS('ORDENES'!$M$4:$M$1203,'ORDENES'!$AB$4:$AB$1203,$A160,'ORDENES'!$O$4:$O$1203,$B160,'ORDENES'!$U$4:$U$1203,"preventiva")</f>
        <v/>
      </c>
      <c r="F160" s="25">
        <f>SUMIFS('ORDENES'!$M$4:$M$1203,'ORDENES'!$AB$4:$AB$1203,$A160,'ORDENES'!$O$4:$O$1203,$B160,'ORDENES'!$U$4:$U$1203,"correctiva")</f>
        <v/>
      </c>
      <c r="G160" s="25">
        <f>E160+F160</f>
        <v/>
      </c>
      <c r="H160" s="25">
        <f>D160-G160</f>
        <v/>
      </c>
      <c r="I160" s="27">
        <f>IF(D160=0,"",G160/D160)</f>
        <v/>
      </c>
    </row>
    <row r="161" hidden="1">
      <c r="A161" s="24" t="inlineStr">
        <is>
          <t>ELE</t>
        </is>
      </c>
      <c r="B161" s="24">
        <f>$O$43</f>
        <v/>
      </c>
      <c r="C161" s="25">
        <f>SUMIFS('ASIGNACIONES'!$M$4:$M$451,'ASIGNACIONES'!$E$4:$E$451,$A161,'ASIGNACIONES'!$A$4:$A$451,$B161)</f>
        <v/>
      </c>
      <c r="D161" s="25">
        <f>C161*p_factor_productividad</f>
        <v/>
      </c>
      <c r="E161" s="25">
        <f>SUMIFS('ORDENES'!$M$4:$M$1203,'ORDENES'!$AB$4:$AB$1203,$A161,'ORDENES'!$O$4:$O$1203,$B161,'ORDENES'!$U$4:$U$1203,"preventiva")</f>
        <v/>
      </c>
      <c r="F161" s="25">
        <f>SUMIFS('ORDENES'!$M$4:$M$1203,'ORDENES'!$AB$4:$AB$1203,$A161,'ORDENES'!$O$4:$O$1203,$B161,'ORDENES'!$U$4:$U$1203,"correctiva")</f>
        <v/>
      </c>
      <c r="G161" s="25">
        <f>E161+F161</f>
        <v/>
      </c>
      <c r="H161" s="25">
        <f>D161-G161</f>
        <v/>
      </c>
      <c r="I161" s="27">
        <f>IF(D161=0,"",G161/D161)</f>
        <v/>
      </c>
    </row>
    <row r="162" hidden="1">
      <c r="A162" s="24" t="inlineStr">
        <is>
          <t>AUT</t>
        </is>
      </c>
      <c r="B162" s="24">
        <f>$O$43</f>
        <v/>
      </c>
      <c r="C162" s="25">
        <f>SUMIFS('ASIGNACIONES'!$M$4:$M$451,'ASIGNACIONES'!$E$4:$E$451,$A162,'ASIGNACIONES'!$A$4:$A$451,$B162)</f>
        <v/>
      </c>
      <c r="D162" s="25">
        <f>C162*p_factor_productividad</f>
        <v/>
      </c>
      <c r="E162" s="25">
        <f>SUMIFS('ORDENES'!$M$4:$M$1203,'ORDENES'!$AB$4:$AB$1203,$A162,'ORDENES'!$O$4:$O$1203,$B162,'ORDENES'!$U$4:$U$1203,"preventiva")</f>
        <v/>
      </c>
      <c r="F162" s="25">
        <f>SUMIFS('ORDENES'!$M$4:$M$1203,'ORDENES'!$AB$4:$AB$1203,$A162,'ORDENES'!$O$4:$O$1203,$B162,'ORDENES'!$U$4:$U$1203,"correctiva")</f>
        <v/>
      </c>
      <c r="G162" s="25">
        <f>E162+F162</f>
        <v/>
      </c>
      <c r="H162" s="25">
        <f>D162-G162</f>
        <v/>
      </c>
      <c r="I162" s="27">
        <f>IF(D162=0,"",G162/D162)</f>
        <v/>
      </c>
    </row>
    <row r="163" hidden="1">
      <c r="A163" s="24" t="inlineStr">
        <is>
          <t>TERCERO</t>
        </is>
      </c>
      <c r="B163" s="24">
        <f>$O$43</f>
        <v/>
      </c>
      <c r="C163" s="25">
        <f>SUMIFS('ASIGNACIONES'!$M$4:$M$451,'ASIGNACIONES'!$E$4:$E$451,$A163,'ASIGNACIONES'!$A$4:$A$451,$B163)</f>
        <v/>
      </c>
      <c r="D163" s="25">
        <f>C163*p_factor_productividad</f>
        <v/>
      </c>
      <c r="E163" s="25">
        <f>SUMIFS('ORDENES'!$M$4:$M$1203,'ORDENES'!$AB$4:$AB$1203,$A163,'ORDENES'!$O$4:$O$1203,$B163,'ORDENES'!$U$4:$U$1203,"preventiva")</f>
        <v/>
      </c>
      <c r="F163" s="25">
        <f>SUMIFS('ORDENES'!$M$4:$M$1203,'ORDENES'!$AB$4:$AB$1203,$A163,'ORDENES'!$O$4:$O$1203,$B163,'ORDENES'!$U$4:$U$1203,"correctiva")</f>
        <v/>
      </c>
      <c r="G163" s="25">
        <f>E163+F163</f>
        <v/>
      </c>
      <c r="H163" s="25">
        <f>D163-G163</f>
        <v/>
      </c>
      <c r="I163" s="27">
        <f>IF(D163=0,"",G163/D163)</f>
        <v/>
      </c>
    </row>
    <row r="164" hidden="1">
      <c r="A164" s="24" t="inlineStr">
        <is>
          <t>MEC</t>
        </is>
      </c>
      <c r="B164" s="24">
        <f>$O$44</f>
        <v/>
      </c>
      <c r="C164" s="25">
        <f>SUMIFS('ASIGNACIONES'!$M$4:$M$451,'ASIGNACIONES'!$E$4:$E$451,$A164,'ASIGNACIONES'!$A$4:$A$451,$B164)</f>
        <v/>
      </c>
      <c r="D164" s="25">
        <f>C164*p_factor_productividad</f>
        <v/>
      </c>
      <c r="E164" s="25">
        <f>SUMIFS('ORDENES'!$M$4:$M$1203,'ORDENES'!$AB$4:$AB$1203,$A164,'ORDENES'!$O$4:$O$1203,$B164,'ORDENES'!$U$4:$U$1203,"preventiva")</f>
        <v/>
      </c>
      <c r="F164" s="25">
        <f>SUMIFS('ORDENES'!$M$4:$M$1203,'ORDENES'!$AB$4:$AB$1203,$A164,'ORDENES'!$O$4:$O$1203,$B164,'ORDENES'!$U$4:$U$1203,"correctiva")</f>
        <v/>
      </c>
      <c r="G164" s="25">
        <f>E164+F164</f>
        <v/>
      </c>
      <c r="H164" s="25">
        <f>D164-G164</f>
        <v/>
      </c>
      <c r="I164" s="27">
        <f>IF(D164=0,"",G164/D164)</f>
        <v/>
      </c>
    </row>
    <row r="165" hidden="1">
      <c r="A165" s="24" t="inlineStr">
        <is>
          <t>ELE</t>
        </is>
      </c>
      <c r="B165" s="24">
        <f>$O$44</f>
        <v/>
      </c>
      <c r="C165" s="25">
        <f>SUMIFS('ASIGNACIONES'!$M$4:$M$451,'ASIGNACIONES'!$E$4:$E$451,$A165,'ASIGNACIONES'!$A$4:$A$451,$B165)</f>
        <v/>
      </c>
      <c r="D165" s="25">
        <f>C165*p_factor_productividad</f>
        <v/>
      </c>
      <c r="E165" s="25">
        <f>SUMIFS('ORDENES'!$M$4:$M$1203,'ORDENES'!$AB$4:$AB$1203,$A165,'ORDENES'!$O$4:$O$1203,$B165,'ORDENES'!$U$4:$U$1203,"preventiva")</f>
        <v/>
      </c>
      <c r="F165" s="25">
        <f>SUMIFS('ORDENES'!$M$4:$M$1203,'ORDENES'!$AB$4:$AB$1203,$A165,'ORDENES'!$O$4:$O$1203,$B165,'ORDENES'!$U$4:$U$1203,"correctiva")</f>
        <v/>
      </c>
      <c r="G165" s="25">
        <f>E165+F165</f>
        <v/>
      </c>
      <c r="H165" s="25">
        <f>D165-G165</f>
        <v/>
      </c>
      <c r="I165" s="27">
        <f>IF(D165=0,"",G165/D165)</f>
        <v/>
      </c>
    </row>
    <row r="166" hidden="1">
      <c r="A166" s="24" t="inlineStr">
        <is>
          <t>AUT</t>
        </is>
      </c>
      <c r="B166" s="24">
        <f>$O$44</f>
        <v/>
      </c>
      <c r="C166" s="25">
        <f>SUMIFS('ASIGNACIONES'!$M$4:$M$451,'ASIGNACIONES'!$E$4:$E$451,$A166,'ASIGNACIONES'!$A$4:$A$451,$B166)</f>
        <v/>
      </c>
      <c r="D166" s="25">
        <f>C166*p_factor_productividad</f>
        <v/>
      </c>
      <c r="E166" s="25">
        <f>SUMIFS('ORDENES'!$M$4:$M$1203,'ORDENES'!$AB$4:$AB$1203,$A166,'ORDENES'!$O$4:$O$1203,$B166,'ORDENES'!$U$4:$U$1203,"preventiva")</f>
        <v/>
      </c>
      <c r="F166" s="25">
        <f>SUMIFS('ORDENES'!$M$4:$M$1203,'ORDENES'!$AB$4:$AB$1203,$A166,'ORDENES'!$O$4:$O$1203,$B166,'ORDENES'!$U$4:$U$1203,"correctiva")</f>
        <v/>
      </c>
      <c r="G166" s="25">
        <f>E166+F166</f>
        <v/>
      </c>
      <c r="H166" s="25">
        <f>D166-G166</f>
        <v/>
      </c>
      <c r="I166" s="27">
        <f>IF(D166=0,"",G166/D166)</f>
        <v/>
      </c>
    </row>
    <row r="167" hidden="1">
      <c r="A167" s="24" t="inlineStr">
        <is>
          <t>TERCERO</t>
        </is>
      </c>
      <c r="B167" s="24">
        <f>$O$44</f>
        <v/>
      </c>
      <c r="C167" s="25">
        <f>SUMIFS('ASIGNACIONES'!$M$4:$M$451,'ASIGNACIONES'!$E$4:$E$451,$A167,'ASIGNACIONES'!$A$4:$A$451,$B167)</f>
        <v/>
      </c>
      <c r="D167" s="25">
        <f>C167*p_factor_productividad</f>
        <v/>
      </c>
      <c r="E167" s="25">
        <f>SUMIFS('ORDENES'!$M$4:$M$1203,'ORDENES'!$AB$4:$AB$1203,$A167,'ORDENES'!$O$4:$O$1203,$B167,'ORDENES'!$U$4:$U$1203,"preventiva")</f>
        <v/>
      </c>
      <c r="F167" s="25">
        <f>SUMIFS('ORDENES'!$M$4:$M$1203,'ORDENES'!$AB$4:$AB$1203,$A167,'ORDENES'!$O$4:$O$1203,$B167,'ORDENES'!$U$4:$U$1203,"correctiva")</f>
        <v/>
      </c>
      <c r="G167" s="25">
        <f>E167+F167</f>
        <v/>
      </c>
      <c r="H167" s="25">
        <f>D167-G167</f>
        <v/>
      </c>
      <c r="I167" s="27">
        <f>IF(D167=0,"",G167/D167)</f>
        <v/>
      </c>
    </row>
    <row r="168" hidden="1">
      <c r="A168" s="24" t="inlineStr">
        <is>
          <t>MEC</t>
        </is>
      </c>
      <c r="B168" s="24">
        <f>$O$45</f>
        <v/>
      </c>
      <c r="C168" s="25">
        <f>SUMIFS('ASIGNACIONES'!$M$4:$M$451,'ASIGNACIONES'!$E$4:$E$451,$A168,'ASIGNACIONES'!$A$4:$A$451,$B168)</f>
        <v/>
      </c>
      <c r="D168" s="25">
        <f>C168*p_factor_productividad</f>
        <v/>
      </c>
      <c r="E168" s="25">
        <f>SUMIFS('ORDENES'!$M$4:$M$1203,'ORDENES'!$AB$4:$AB$1203,$A168,'ORDENES'!$O$4:$O$1203,$B168,'ORDENES'!$U$4:$U$1203,"preventiva")</f>
        <v/>
      </c>
      <c r="F168" s="25">
        <f>SUMIFS('ORDENES'!$M$4:$M$1203,'ORDENES'!$AB$4:$AB$1203,$A168,'ORDENES'!$O$4:$O$1203,$B168,'ORDENES'!$U$4:$U$1203,"correctiva")</f>
        <v/>
      </c>
      <c r="G168" s="25">
        <f>E168+F168</f>
        <v/>
      </c>
      <c r="H168" s="25">
        <f>D168-G168</f>
        <v/>
      </c>
      <c r="I168" s="27">
        <f>IF(D168=0,"",G168/D168)</f>
        <v/>
      </c>
    </row>
    <row r="169" hidden="1">
      <c r="A169" s="24" t="inlineStr">
        <is>
          <t>ELE</t>
        </is>
      </c>
      <c r="B169" s="24">
        <f>$O$45</f>
        <v/>
      </c>
      <c r="C169" s="25">
        <f>SUMIFS('ASIGNACIONES'!$M$4:$M$451,'ASIGNACIONES'!$E$4:$E$451,$A169,'ASIGNACIONES'!$A$4:$A$451,$B169)</f>
        <v/>
      </c>
      <c r="D169" s="25">
        <f>C169*p_factor_productividad</f>
        <v/>
      </c>
      <c r="E169" s="25">
        <f>SUMIFS('ORDENES'!$M$4:$M$1203,'ORDENES'!$AB$4:$AB$1203,$A169,'ORDENES'!$O$4:$O$1203,$B169,'ORDENES'!$U$4:$U$1203,"preventiva")</f>
        <v/>
      </c>
      <c r="F169" s="25">
        <f>SUMIFS('ORDENES'!$M$4:$M$1203,'ORDENES'!$AB$4:$AB$1203,$A169,'ORDENES'!$O$4:$O$1203,$B169,'ORDENES'!$U$4:$U$1203,"correctiva")</f>
        <v/>
      </c>
      <c r="G169" s="25">
        <f>E169+F169</f>
        <v/>
      </c>
      <c r="H169" s="25">
        <f>D169-G169</f>
        <v/>
      </c>
      <c r="I169" s="27">
        <f>IF(D169=0,"",G169/D169)</f>
        <v/>
      </c>
    </row>
    <row r="170" hidden="1">
      <c r="A170" s="24" t="inlineStr">
        <is>
          <t>AUT</t>
        </is>
      </c>
      <c r="B170" s="24">
        <f>$O$45</f>
        <v/>
      </c>
      <c r="C170" s="25">
        <f>SUMIFS('ASIGNACIONES'!$M$4:$M$451,'ASIGNACIONES'!$E$4:$E$451,$A170,'ASIGNACIONES'!$A$4:$A$451,$B170)</f>
        <v/>
      </c>
      <c r="D170" s="25">
        <f>C170*p_factor_productividad</f>
        <v/>
      </c>
      <c r="E170" s="25">
        <f>SUMIFS('ORDENES'!$M$4:$M$1203,'ORDENES'!$AB$4:$AB$1203,$A170,'ORDENES'!$O$4:$O$1203,$B170,'ORDENES'!$U$4:$U$1203,"preventiva")</f>
        <v/>
      </c>
      <c r="F170" s="25">
        <f>SUMIFS('ORDENES'!$M$4:$M$1203,'ORDENES'!$AB$4:$AB$1203,$A170,'ORDENES'!$O$4:$O$1203,$B170,'ORDENES'!$U$4:$U$1203,"correctiva")</f>
        <v/>
      </c>
      <c r="G170" s="25">
        <f>E170+F170</f>
        <v/>
      </c>
      <c r="H170" s="25">
        <f>D170-G170</f>
        <v/>
      </c>
      <c r="I170" s="27">
        <f>IF(D170=0,"",G170/D170)</f>
        <v/>
      </c>
    </row>
    <row r="171" hidden="1">
      <c r="A171" s="24" t="inlineStr">
        <is>
          <t>TERCERO</t>
        </is>
      </c>
      <c r="B171" s="24">
        <f>$O$45</f>
        <v/>
      </c>
      <c r="C171" s="25">
        <f>SUMIFS('ASIGNACIONES'!$M$4:$M$451,'ASIGNACIONES'!$E$4:$E$451,$A171,'ASIGNACIONES'!$A$4:$A$451,$B171)</f>
        <v/>
      </c>
      <c r="D171" s="25">
        <f>C171*p_factor_productividad</f>
        <v/>
      </c>
      <c r="E171" s="25">
        <f>SUMIFS('ORDENES'!$M$4:$M$1203,'ORDENES'!$AB$4:$AB$1203,$A171,'ORDENES'!$O$4:$O$1203,$B171,'ORDENES'!$U$4:$U$1203,"preventiva")</f>
        <v/>
      </c>
      <c r="F171" s="25">
        <f>SUMIFS('ORDENES'!$M$4:$M$1203,'ORDENES'!$AB$4:$AB$1203,$A171,'ORDENES'!$O$4:$O$1203,$B171,'ORDENES'!$U$4:$U$1203,"correctiva")</f>
        <v/>
      </c>
      <c r="G171" s="25">
        <f>E171+F171</f>
        <v/>
      </c>
      <c r="H171" s="25">
        <f>D171-G171</f>
        <v/>
      </c>
      <c r="I171" s="27">
        <f>IF(D171=0,"",G171/D171)</f>
        <v/>
      </c>
    </row>
    <row r="172" hidden="1">
      <c r="A172" s="24" t="inlineStr">
        <is>
          <t>MEC</t>
        </is>
      </c>
      <c r="B172" s="24">
        <f>$O$46</f>
        <v/>
      </c>
      <c r="C172" s="25">
        <f>SUMIFS('ASIGNACIONES'!$M$4:$M$451,'ASIGNACIONES'!$E$4:$E$451,$A172,'ASIGNACIONES'!$A$4:$A$451,$B172)</f>
        <v/>
      </c>
      <c r="D172" s="25">
        <f>C172*p_factor_productividad</f>
        <v/>
      </c>
      <c r="E172" s="25">
        <f>SUMIFS('ORDENES'!$M$4:$M$1203,'ORDENES'!$AB$4:$AB$1203,$A172,'ORDENES'!$O$4:$O$1203,$B172,'ORDENES'!$U$4:$U$1203,"preventiva")</f>
        <v/>
      </c>
      <c r="F172" s="25">
        <f>SUMIFS('ORDENES'!$M$4:$M$1203,'ORDENES'!$AB$4:$AB$1203,$A172,'ORDENES'!$O$4:$O$1203,$B172,'ORDENES'!$U$4:$U$1203,"correctiva")</f>
        <v/>
      </c>
      <c r="G172" s="25">
        <f>E172+F172</f>
        <v/>
      </c>
      <c r="H172" s="25">
        <f>D172-G172</f>
        <v/>
      </c>
      <c r="I172" s="27">
        <f>IF(D172=0,"",G172/D172)</f>
        <v/>
      </c>
    </row>
    <row r="173" hidden="1">
      <c r="A173" s="24" t="inlineStr">
        <is>
          <t>ELE</t>
        </is>
      </c>
      <c r="B173" s="24">
        <f>$O$46</f>
        <v/>
      </c>
      <c r="C173" s="25">
        <f>SUMIFS('ASIGNACIONES'!$M$4:$M$451,'ASIGNACIONES'!$E$4:$E$451,$A173,'ASIGNACIONES'!$A$4:$A$451,$B173)</f>
        <v/>
      </c>
      <c r="D173" s="25">
        <f>C173*p_factor_productividad</f>
        <v/>
      </c>
      <c r="E173" s="25">
        <f>SUMIFS('ORDENES'!$M$4:$M$1203,'ORDENES'!$AB$4:$AB$1203,$A173,'ORDENES'!$O$4:$O$1203,$B173,'ORDENES'!$U$4:$U$1203,"preventiva")</f>
        <v/>
      </c>
      <c r="F173" s="25">
        <f>SUMIFS('ORDENES'!$M$4:$M$1203,'ORDENES'!$AB$4:$AB$1203,$A173,'ORDENES'!$O$4:$O$1203,$B173,'ORDENES'!$U$4:$U$1203,"correctiva")</f>
        <v/>
      </c>
      <c r="G173" s="25">
        <f>E173+F173</f>
        <v/>
      </c>
      <c r="H173" s="25">
        <f>D173-G173</f>
        <v/>
      </c>
      <c r="I173" s="27">
        <f>IF(D173=0,"",G173/D173)</f>
        <v/>
      </c>
    </row>
    <row r="174" hidden="1">
      <c r="A174" s="24" t="inlineStr">
        <is>
          <t>AUT</t>
        </is>
      </c>
      <c r="B174" s="24">
        <f>$O$46</f>
        <v/>
      </c>
      <c r="C174" s="25">
        <f>SUMIFS('ASIGNACIONES'!$M$4:$M$451,'ASIGNACIONES'!$E$4:$E$451,$A174,'ASIGNACIONES'!$A$4:$A$451,$B174)</f>
        <v/>
      </c>
      <c r="D174" s="25">
        <f>C174*p_factor_productividad</f>
        <v/>
      </c>
      <c r="E174" s="25">
        <f>SUMIFS('ORDENES'!$M$4:$M$1203,'ORDENES'!$AB$4:$AB$1203,$A174,'ORDENES'!$O$4:$O$1203,$B174,'ORDENES'!$U$4:$U$1203,"preventiva")</f>
        <v/>
      </c>
      <c r="F174" s="25">
        <f>SUMIFS('ORDENES'!$M$4:$M$1203,'ORDENES'!$AB$4:$AB$1203,$A174,'ORDENES'!$O$4:$O$1203,$B174,'ORDENES'!$U$4:$U$1203,"correctiva")</f>
        <v/>
      </c>
      <c r="G174" s="25">
        <f>E174+F174</f>
        <v/>
      </c>
      <c r="H174" s="25">
        <f>D174-G174</f>
        <v/>
      </c>
      <c r="I174" s="27">
        <f>IF(D174=0,"",G174/D174)</f>
        <v/>
      </c>
    </row>
    <row r="175" hidden="1">
      <c r="A175" s="24" t="inlineStr">
        <is>
          <t>TERCERO</t>
        </is>
      </c>
      <c r="B175" s="24">
        <f>$O$46</f>
        <v/>
      </c>
      <c r="C175" s="25">
        <f>SUMIFS('ASIGNACIONES'!$M$4:$M$451,'ASIGNACIONES'!$E$4:$E$451,$A175,'ASIGNACIONES'!$A$4:$A$451,$B175)</f>
        <v/>
      </c>
      <c r="D175" s="25">
        <f>C175*p_factor_productividad</f>
        <v/>
      </c>
      <c r="E175" s="25">
        <f>SUMIFS('ORDENES'!$M$4:$M$1203,'ORDENES'!$AB$4:$AB$1203,$A175,'ORDENES'!$O$4:$O$1203,$B175,'ORDENES'!$U$4:$U$1203,"preventiva")</f>
        <v/>
      </c>
      <c r="F175" s="25">
        <f>SUMIFS('ORDENES'!$M$4:$M$1203,'ORDENES'!$AB$4:$AB$1203,$A175,'ORDENES'!$O$4:$O$1203,$B175,'ORDENES'!$U$4:$U$1203,"correctiva")</f>
        <v/>
      </c>
      <c r="G175" s="25">
        <f>E175+F175</f>
        <v/>
      </c>
      <c r="H175" s="25">
        <f>D175-G175</f>
        <v/>
      </c>
      <c r="I175" s="27">
        <f>IF(D175=0,"",G175/D175)</f>
        <v/>
      </c>
    </row>
    <row r="176" hidden="1">
      <c r="A176" s="24" t="inlineStr">
        <is>
          <t>MEC</t>
        </is>
      </c>
      <c r="B176" s="24">
        <f>$O$47</f>
        <v/>
      </c>
      <c r="C176" s="25">
        <f>SUMIFS('ASIGNACIONES'!$M$4:$M$451,'ASIGNACIONES'!$E$4:$E$451,$A176,'ASIGNACIONES'!$A$4:$A$451,$B176)</f>
        <v/>
      </c>
      <c r="D176" s="25">
        <f>C176*p_factor_productividad</f>
        <v/>
      </c>
      <c r="E176" s="25">
        <f>SUMIFS('ORDENES'!$M$4:$M$1203,'ORDENES'!$AB$4:$AB$1203,$A176,'ORDENES'!$O$4:$O$1203,$B176,'ORDENES'!$U$4:$U$1203,"preventiva")</f>
        <v/>
      </c>
      <c r="F176" s="25">
        <f>SUMIFS('ORDENES'!$M$4:$M$1203,'ORDENES'!$AB$4:$AB$1203,$A176,'ORDENES'!$O$4:$O$1203,$B176,'ORDENES'!$U$4:$U$1203,"correctiva")</f>
        <v/>
      </c>
      <c r="G176" s="25">
        <f>E176+F176</f>
        <v/>
      </c>
      <c r="H176" s="25">
        <f>D176-G176</f>
        <v/>
      </c>
      <c r="I176" s="27">
        <f>IF(D176=0,"",G176/D176)</f>
        <v/>
      </c>
    </row>
    <row r="177" hidden="1">
      <c r="A177" s="24" t="inlineStr">
        <is>
          <t>ELE</t>
        </is>
      </c>
      <c r="B177" s="24">
        <f>$O$47</f>
        <v/>
      </c>
      <c r="C177" s="25">
        <f>SUMIFS('ASIGNACIONES'!$M$4:$M$451,'ASIGNACIONES'!$E$4:$E$451,$A177,'ASIGNACIONES'!$A$4:$A$451,$B177)</f>
        <v/>
      </c>
      <c r="D177" s="25">
        <f>C177*p_factor_productividad</f>
        <v/>
      </c>
      <c r="E177" s="25">
        <f>SUMIFS('ORDENES'!$M$4:$M$1203,'ORDENES'!$AB$4:$AB$1203,$A177,'ORDENES'!$O$4:$O$1203,$B177,'ORDENES'!$U$4:$U$1203,"preventiva")</f>
        <v/>
      </c>
      <c r="F177" s="25">
        <f>SUMIFS('ORDENES'!$M$4:$M$1203,'ORDENES'!$AB$4:$AB$1203,$A177,'ORDENES'!$O$4:$O$1203,$B177,'ORDENES'!$U$4:$U$1203,"correctiva")</f>
        <v/>
      </c>
      <c r="G177" s="25">
        <f>E177+F177</f>
        <v/>
      </c>
      <c r="H177" s="25">
        <f>D177-G177</f>
        <v/>
      </c>
      <c r="I177" s="27">
        <f>IF(D177=0,"",G177/D177)</f>
        <v/>
      </c>
    </row>
    <row r="178" hidden="1">
      <c r="A178" s="24" t="inlineStr">
        <is>
          <t>AUT</t>
        </is>
      </c>
      <c r="B178" s="24">
        <f>$O$47</f>
        <v/>
      </c>
      <c r="C178" s="25">
        <f>SUMIFS('ASIGNACIONES'!$M$4:$M$451,'ASIGNACIONES'!$E$4:$E$451,$A178,'ASIGNACIONES'!$A$4:$A$451,$B178)</f>
        <v/>
      </c>
      <c r="D178" s="25">
        <f>C178*p_factor_productividad</f>
        <v/>
      </c>
      <c r="E178" s="25">
        <f>SUMIFS('ORDENES'!$M$4:$M$1203,'ORDENES'!$AB$4:$AB$1203,$A178,'ORDENES'!$O$4:$O$1203,$B178,'ORDENES'!$U$4:$U$1203,"preventiva")</f>
        <v/>
      </c>
      <c r="F178" s="25">
        <f>SUMIFS('ORDENES'!$M$4:$M$1203,'ORDENES'!$AB$4:$AB$1203,$A178,'ORDENES'!$O$4:$O$1203,$B178,'ORDENES'!$U$4:$U$1203,"correctiva")</f>
        <v/>
      </c>
      <c r="G178" s="25">
        <f>E178+F178</f>
        <v/>
      </c>
      <c r="H178" s="25">
        <f>D178-G178</f>
        <v/>
      </c>
      <c r="I178" s="27">
        <f>IF(D178=0,"",G178/D178)</f>
        <v/>
      </c>
    </row>
    <row r="179" hidden="1">
      <c r="A179" s="24" t="inlineStr">
        <is>
          <t>TERCERO</t>
        </is>
      </c>
      <c r="B179" s="24">
        <f>$O$47</f>
        <v/>
      </c>
      <c r="C179" s="25">
        <f>SUMIFS('ASIGNACIONES'!$M$4:$M$451,'ASIGNACIONES'!$E$4:$E$451,$A179,'ASIGNACIONES'!$A$4:$A$451,$B179)</f>
        <v/>
      </c>
      <c r="D179" s="25">
        <f>C179*p_factor_productividad</f>
        <v/>
      </c>
      <c r="E179" s="25">
        <f>SUMIFS('ORDENES'!$M$4:$M$1203,'ORDENES'!$AB$4:$AB$1203,$A179,'ORDENES'!$O$4:$O$1203,$B179,'ORDENES'!$U$4:$U$1203,"preventiva")</f>
        <v/>
      </c>
      <c r="F179" s="25">
        <f>SUMIFS('ORDENES'!$M$4:$M$1203,'ORDENES'!$AB$4:$AB$1203,$A179,'ORDENES'!$O$4:$O$1203,$B179,'ORDENES'!$U$4:$U$1203,"correctiva")</f>
        <v/>
      </c>
      <c r="G179" s="25">
        <f>E179+F179</f>
        <v/>
      </c>
      <c r="H179" s="25">
        <f>D179-G179</f>
        <v/>
      </c>
      <c r="I179" s="27">
        <f>IF(D179=0,"",G179/D179)</f>
        <v/>
      </c>
    </row>
    <row r="180" hidden="1">
      <c r="A180" s="24" t="inlineStr">
        <is>
          <t>MEC</t>
        </is>
      </c>
      <c r="B180" s="24">
        <f>$O$48</f>
        <v/>
      </c>
      <c r="C180" s="25">
        <f>SUMIFS('ASIGNACIONES'!$M$4:$M$451,'ASIGNACIONES'!$E$4:$E$451,$A180,'ASIGNACIONES'!$A$4:$A$451,$B180)</f>
        <v/>
      </c>
      <c r="D180" s="25">
        <f>C180*p_factor_productividad</f>
        <v/>
      </c>
      <c r="E180" s="25">
        <f>SUMIFS('ORDENES'!$M$4:$M$1203,'ORDENES'!$AB$4:$AB$1203,$A180,'ORDENES'!$O$4:$O$1203,$B180,'ORDENES'!$U$4:$U$1203,"preventiva")</f>
        <v/>
      </c>
      <c r="F180" s="25">
        <f>SUMIFS('ORDENES'!$M$4:$M$1203,'ORDENES'!$AB$4:$AB$1203,$A180,'ORDENES'!$O$4:$O$1203,$B180,'ORDENES'!$U$4:$U$1203,"correctiva")</f>
        <v/>
      </c>
      <c r="G180" s="25">
        <f>E180+F180</f>
        <v/>
      </c>
      <c r="H180" s="25">
        <f>D180-G180</f>
        <v/>
      </c>
      <c r="I180" s="27">
        <f>IF(D180=0,"",G180/D180)</f>
        <v/>
      </c>
    </row>
    <row r="181" hidden="1">
      <c r="A181" s="24" t="inlineStr">
        <is>
          <t>ELE</t>
        </is>
      </c>
      <c r="B181" s="24">
        <f>$O$48</f>
        <v/>
      </c>
      <c r="C181" s="25">
        <f>SUMIFS('ASIGNACIONES'!$M$4:$M$451,'ASIGNACIONES'!$E$4:$E$451,$A181,'ASIGNACIONES'!$A$4:$A$451,$B181)</f>
        <v/>
      </c>
      <c r="D181" s="25">
        <f>C181*p_factor_productividad</f>
        <v/>
      </c>
      <c r="E181" s="25">
        <f>SUMIFS('ORDENES'!$M$4:$M$1203,'ORDENES'!$AB$4:$AB$1203,$A181,'ORDENES'!$O$4:$O$1203,$B181,'ORDENES'!$U$4:$U$1203,"preventiva")</f>
        <v/>
      </c>
      <c r="F181" s="25">
        <f>SUMIFS('ORDENES'!$M$4:$M$1203,'ORDENES'!$AB$4:$AB$1203,$A181,'ORDENES'!$O$4:$O$1203,$B181,'ORDENES'!$U$4:$U$1203,"correctiva")</f>
        <v/>
      </c>
      <c r="G181" s="25">
        <f>E181+F181</f>
        <v/>
      </c>
      <c r="H181" s="25">
        <f>D181-G181</f>
        <v/>
      </c>
      <c r="I181" s="27">
        <f>IF(D181=0,"",G181/D181)</f>
        <v/>
      </c>
    </row>
    <row r="182" hidden="1">
      <c r="A182" s="24" t="inlineStr">
        <is>
          <t>AUT</t>
        </is>
      </c>
      <c r="B182" s="24">
        <f>$O$48</f>
        <v/>
      </c>
      <c r="C182" s="25">
        <f>SUMIFS('ASIGNACIONES'!$M$4:$M$451,'ASIGNACIONES'!$E$4:$E$451,$A182,'ASIGNACIONES'!$A$4:$A$451,$B182)</f>
        <v/>
      </c>
      <c r="D182" s="25">
        <f>C182*p_factor_productividad</f>
        <v/>
      </c>
      <c r="E182" s="25">
        <f>SUMIFS('ORDENES'!$M$4:$M$1203,'ORDENES'!$AB$4:$AB$1203,$A182,'ORDENES'!$O$4:$O$1203,$B182,'ORDENES'!$U$4:$U$1203,"preventiva")</f>
        <v/>
      </c>
      <c r="F182" s="25">
        <f>SUMIFS('ORDENES'!$M$4:$M$1203,'ORDENES'!$AB$4:$AB$1203,$A182,'ORDENES'!$O$4:$O$1203,$B182,'ORDENES'!$U$4:$U$1203,"correctiva")</f>
        <v/>
      </c>
      <c r="G182" s="25">
        <f>E182+F182</f>
        <v/>
      </c>
      <c r="H182" s="25">
        <f>D182-G182</f>
        <v/>
      </c>
      <c r="I182" s="27">
        <f>IF(D182=0,"",G182/D182)</f>
        <v/>
      </c>
    </row>
    <row r="183" hidden="1">
      <c r="A183" s="24" t="inlineStr">
        <is>
          <t>TERCERO</t>
        </is>
      </c>
      <c r="B183" s="24">
        <f>$O$48</f>
        <v/>
      </c>
      <c r="C183" s="25">
        <f>SUMIFS('ASIGNACIONES'!$M$4:$M$451,'ASIGNACIONES'!$E$4:$E$451,$A183,'ASIGNACIONES'!$A$4:$A$451,$B183)</f>
        <v/>
      </c>
      <c r="D183" s="25">
        <f>C183*p_factor_productividad</f>
        <v/>
      </c>
      <c r="E183" s="25">
        <f>SUMIFS('ORDENES'!$M$4:$M$1203,'ORDENES'!$AB$4:$AB$1203,$A183,'ORDENES'!$O$4:$O$1203,$B183,'ORDENES'!$U$4:$U$1203,"preventiva")</f>
        <v/>
      </c>
      <c r="F183" s="25">
        <f>SUMIFS('ORDENES'!$M$4:$M$1203,'ORDENES'!$AB$4:$AB$1203,$A183,'ORDENES'!$O$4:$O$1203,$B183,'ORDENES'!$U$4:$U$1203,"correctiva")</f>
        <v/>
      </c>
      <c r="G183" s="25">
        <f>E183+F183</f>
        <v/>
      </c>
      <c r="H183" s="25">
        <f>D183-G183</f>
        <v/>
      </c>
      <c r="I183" s="27">
        <f>IF(D183=0,"",G183/D183)</f>
        <v/>
      </c>
    </row>
    <row r="184" hidden="1">
      <c r="A184" s="24" t="inlineStr">
        <is>
          <t>MEC</t>
        </is>
      </c>
      <c r="B184" s="24">
        <f>$O$49</f>
        <v/>
      </c>
      <c r="C184" s="25">
        <f>SUMIFS('ASIGNACIONES'!$M$4:$M$451,'ASIGNACIONES'!$E$4:$E$451,$A184,'ASIGNACIONES'!$A$4:$A$451,$B184)</f>
        <v/>
      </c>
      <c r="D184" s="25">
        <f>C184*p_factor_productividad</f>
        <v/>
      </c>
      <c r="E184" s="25">
        <f>SUMIFS('ORDENES'!$M$4:$M$1203,'ORDENES'!$AB$4:$AB$1203,$A184,'ORDENES'!$O$4:$O$1203,$B184,'ORDENES'!$U$4:$U$1203,"preventiva")</f>
        <v/>
      </c>
      <c r="F184" s="25">
        <f>SUMIFS('ORDENES'!$M$4:$M$1203,'ORDENES'!$AB$4:$AB$1203,$A184,'ORDENES'!$O$4:$O$1203,$B184,'ORDENES'!$U$4:$U$1203,"correctiva")</f>
        <v/>
      </c>
      <c r="G184" s="25">
        <f>E184+F184</f>
        <v/>
      </c>
      <c r="H184" s="25">
        <f>D184-G184</f>
        <v/>
      </c>
      <c r="I184" s="27">
        <f>IF(D184=0,"",G184/D184)</f>
        <v/>
      </c>
    </row>
    <row r="185" hidden="1">
      <c r="A185" s="24" t="inlineStr">
        <is>
          <t>ELE</t>
        </is>
      </c>
      <c r="B185" s="24">
        <f>$O$49</f>
        <v/>
      </c>
      <c r="C185" s="25">
        <f>SUMIFS('ASIGNACIONES'!$M$4:$M$451,'ASIGNACIONES'!$E$4:$E$451,$A185,'ASIGNACIONES'!$A$4:$A$451,$B185)</f>
        <v/>
      </c>
      <c r="D185" s="25">
        <f>C185*p_factor_productividad</f>
        <v/>
      </c>
      <c r="E185" s="25">
        <f>SUMIFS('ORDENES'!$M$4:$M$1203,'ORDENES'!$AB$4:$AB$1203,$A185,'ORDENES'!$O$4:$O$1203,$B185,'ORDENES'!$U$4:$U$1203,"preventiva")</f>
        <v/>
      </c>
      <c r="F185" s="25">
        <f>SUMIFS('ORDENES'!$M$4:$M$1203,'ORDENES'!$AB$4:$AB$1203,$A185,'ORDENES'!$O$4:$O$1203,$B185,'ORDENES'!$U$4:$U$1203,"correctiva")</f>
        <v/>
      </c>
      <c r="G185" s="25">
        <f>E185+F185</f>
        <v/>
      </c>
      <c r="H185" s="25">
        <f>D185-G185</f>
        <v/>
      </c>
      <c r="I185" s="27">
        <f>IF(D185=0,"",G185/D185)</f>
        <v/>
      </c>
    </row>
    <row r="186" hidden="1">
      <c r="A186" s="24" t="inlineStr">
        <is>
          <t>AUT</t>
        </is>
      </c>
      <c r="B186" s="24">
        <f>$O$49</f>
        <v/>
      </c>
      <c r="C186" s="25">
        <f>SUMIFS('ASIGNACIONES'!$M$4:$M$451,'ASIGNACIONES'!$E$4:$E$451,$A186,'ASIGNACIONES'!$A$4:$A$451,$B186)</f>
        <v/>
      </c>
      <c r="D186" s="25">
        <f>C186*p_factor_productividad</f>
        <v/>
      </c>
      <c r="E186" s="25">
        <f>SUMIFS('ORDENES'!$M$4:$M$1203,'ORDENES'!$AB$4:$AB$1203,$A186,'ORDENES'!$O$4:$O$1203,$B186,'ORDENES'!$U$4:$U$1203,"preventiva")</f>
        <v/>
      </c>
      <c r="F186" s="25">
        <f>SUMIFS('ORDENES'!$M$4:$M$1203,'ORDENES'!$AB$4:$AB$1203,$A186,'ORDENES'!$O$4:$O$1203,$B186,'ORDENES'!$U$4:$U$1203,"correctiva")</f>
        <v/>
      </c>
      <c r="G186" s="25">
        <f>E186+F186</f>
        <v/>
      </c>
      <c r="H186" s="25">
        <f>D186-G186</f>
        <v/>
      </c>
      <c r="I186" s="27">
        <f>IF(D186=0,"",G186/D186)</f>
        <v/>
      </c>
    </row>
    <row r="187" hidden="1">
      <c r="A187" s="24" t="inlineStr">
        <is>
          <t>TERCERO</t>
        </is>
      </c>
      <c r="B187" s="24">
        <f>$O$49</f>
        <v/>
      </c>
      <c r="C187" s="25">
        <f>SUMIFS('ASIGNACIONES'!$M$4:$M$451,'ASIGNACIONES'!$E$4:$E$451,$A187,'ASIGNACIONES'!$A$4:$A$451,$B187)</f>
        <v/>
      </c>
      <c r="D187" s="25">
        <f>C187*p_factor_productividad</f>
        <v/>
      </c>
      <c r="E187" s="25">
        <f>SUMIFS('ORDENES'!$M$4:$M$1203,'ORDENES'!$AB$4:$AB$1203,$A187,'ORDENES'!$O$4:$O$1203,$B187,'ORDENES'!$U$4:$U$1203,"preventiva")</f>
        <v/>
      </c>
      <c r="F187" s="25">
        <f>SUMIFS('ORDENES'!$M$4:$M$1203,'ORDENES'!$AB$4:$AB$1203,$A187,'ORDENES'!$O$4:$O$1203,$B187,'ORDENES'!$U$4:$U$1203,"correctiva")</f>
        <v/>
      </c>
      <c r="G187" s="25">
        <f>E187+F187</f>
        <v/>
      </c>
      <c r="H187" s="25">
        <f>D187-G187</f>
        <v/>
      </c>
      <c r="I187" s="27">
        <f>IF(D187=0,"",G187/D187)</f>
        <v/>
      </c>
    </row>
    <row r="188" hidden="1">
      <c r="A188" s="24" t="inlineStr">
        <is>
          <t>MEC</t>
        </is>
      </c>
      <c r="B188" s="24">
        <f>$O$50</f>
        <v/>
      </c>
      <c r="C188" s="25">
        <f>SUMIFS('ASIGNACIONES'!$M$4:$M$451,'ASIGNACIONES'!$E$4:$E$451,$A188,'ASIGNACIONES'!$A$4:$A$451,$B188)</f>
        <v/>
      </c>
      <c r="D188" s="25">
        <f>C188*p_factor_productividad</f>
        <v/>
      </c>
      <c r="E188" s="25">
        <f>SUMIFS('ORDENES'!$M$4:$M$1203,'ORDENES'!$AB$4:$AB$1203,$A188,'ORDENES'!$O$4:$O$1203,$B188,'ORDENES'!$U$4:$U$1203,"preventiva")</f>
        <v/>
      </c>
      <c r="F188" s="25">
        <f>SUMIFS('ORDENES'!$M$4:$M$1203,'ORDENES'!$AB$4:$AB$1203,$A188,'ORDENES'!$O$4:$O$1203,$B188,'ORDENES'!$U$4:$U$1203,"correctiva")</f>
        <v/>
      </c>
      <c r="G188" s="25">
        <f>E188+F188</f>
        <v/>
      </c>
      <c r="H188" s="25">
        <f>D188-G188</f>
        <v/>
      </c>
      <c r="I188" s="27">
        <f>IF(D188=0,"",G188/D188)</f>
        <v/>
      </c>
    </row>
    <row r="189" hidden="1">
      <c r="A189" s="24" t="inlineStr">
        <is>
          <t>ELE</t>
        </is>
      </c>
      <c r="B189" s="24">
        <f>$O$50</f>
        <v/>
      </c>
      <c r="C189" s="25">
        <f>SUMIFS('ASIGNACIONES'!$M$4:$M$451,'ASIGNACIONES'!$E$4:$E$451,$A189,'ASIGNACIONES'!$A$4:$A$451,$B189)</f>
        <v/>
      </c>
      <c r="D189" s="25">
        <f>C189*p_factor_productividad</f>
        <v/>
      </c>
      <c r="E189" s="25">
        <f>SUMIFS('ORDENES'!$M$4:$M$1203,'ORDENES'!$AB$4:$AB$1203,$A189,'ORDENES'!$O$4:$O$1203,$B189,'ORDENES'!$U$4:$U$1203,"preventiva")</f>
        <v/>
      </c>
      <c r="F189" s="25">
        <f>SUMIFS('ORDENES'!$M$4:$M$1203,'ORDENES'!$AB$4:$AB$1203,$A189,'ORDENES'!$O$4:$O$1203,$B189,'ORDENES'!$U$4:$U$1203,"correctiva")</f>
        <v/>
      </c>
      <c r="G189" s="25">
        <f>E189+F189</f>
        <v/>
      </c>
      <c r="H189" s="25">
        <f>D189-G189</f>
        <v/>
      </c>
      <c r="I189" s="27">
        <f>IF(D189=0,"",G189/D189)</f>
        <v/>
      </c>
    </row>
    <row r="190" hidden="1">
      <c r="A190" s="24" t="inlineStr">
        <is>
          <t>AUT</t>
        </is>
      </c>
      <c r="B190" s="24">
        <f>$O$50</f>
        <v/>
      </c>
      <c r="C190" s="25">
        <f>SUMIFS('ASIGNACIONES'!$M$4:$M$451,'ASIGNACIONES'!$E$4:$E$451,$A190,'ASIGNACIONES'!$A$4:$A$451,$B190)</f>
        <v/>
      </c>
      <c r="D190" s="25">
        <f>C190*p_factor_productividad</f>
        <v/>
      </c>
      <c r="E190" s="25">
        <f>SUMIFS('ORDENES'!$M$4:$M$1203,'ORDENES'!$AB$4:$AB$1203,$A190,'ORDENES'!$O$4:$O$1203,$B190,'ORDENES'!$U$4:$U$1203,"preventiva")</f>
        <v/>
      </c>
      <c r="F190" s="25">
        <f>SUMIFS('ORDENES'!$M$4:$M$1203,'ORDENES'!$AB$4:$AB$1203,$A190,'ORDENES'!$O$4:$O$1203,$B190,'ORDENES'!$U$4:$U$1203,"correctiva")</f>
        <v/>
      </c>
      <c r="G190" s="25">
        <f>E190+F190</f>
        <v/>
      </c>
      <c r="H190" s="25">
        <f>D190-G190</f>
        <v/>
      </c>
      <c r="I190" s="27">
        <f>IF(D190=0,"",G190/D190)</f>
        <v/>
      </c>
    </row>
    <row r="191" hidden="1">
      <c r="A191" s="24" t="inlineStr">
        <is>
          <t>TERCERO</t>
        </is>
      </c>
      <c r="B191" s="24">
        <f>$O$50</f>
        <v/>
      </c>
      <c r="C191" s="25">
        <f>SUMIFS('ASIGNACIONES'!$M$4:$M$451,'ASIGNACIONES'!$E$4:$E$451,$A191,'ASIGNACIONES'!$A$4:$A$451,$B191)</f>
        <v/>
      </c>
      <c r="D191" s="25">
        <f>C191*p_factor_productividad</f>
        <v/>
      </c>
      <c r="E191" s="25">
        <f>SUMIFS('ORDENES'!$M$4:$M$1203,'ORDENES'!$AB$4:$AB$1203,$A191,'ORDENES'!$O$4:$O$1203,$B191,'ORDENES'!$U$4:$U$1203,"preventiva")</f>
        <v/>
      </c>
      <c r="F191" s="25">
        <f>SUMIFS('ORDENES'!$M$4:$M$1203,'ORDENES'!$AB$4:$AB$1203,$A191,'ORDENES'!$O$4:$O$1203,$B191,'ORDENES'!$U$4:$U$1203,"correctiva")</f>
        <v/>
      </c>
      <c r="G191" s="25">
        <f>E191+F191</f>
        <v/>
      </c>
      <c r="H191" s="25">
        <f>D191-G191</f>
        <v/>
      </c>
      <c r="I191" s="27">
        <f>IF(D191=0,"",G191/D191)</f>
        <v/>
      </c>
    </row>
    <row r="192" hidden="1">
      <c r="A192" s="24" t="inlineStr">
        <is>
          <t>MEC</t>
        </is>
      </c>
      <c r="B192" s="24">
        <f>$O$51</f>
        <v/>
      </c>
      <c r="C192" s="25">
        <f>SUMIFS('ASIGNACIONES'!$M$4:$M$451,'ASIGNACIONES'!$E$4:$E$451,$A192,'ASIGNACIONES'!$A$4:$A$451,$B192)</f>
        <v/>
      </c>
      <c r="D192" s="25">
        <f>C192*p_factor_productividad</f>
        <v/>
      </c>
      <c r="E192" s="25">
        <f>SUMIFS('ORDENES'!$M$4:$M$1203,'ORDENES'!$AB$4:$AB$1203,$A192,'ORDENES'!$O$4:$O$1203,$B192,'ORDENES'!$U$4:$U$1203,"preventiva")</f>
        <v/>
      </c>
      <c r="F192" s="25">
        <f>SUMIFS('ORDENES'!$M$4:$M$1203,'ORDENES'!$AB$4:$AB$1203,$A192,'ORDENES'!$O$4:$O$1203,$B192,'ORDENES'!$U$4:$U$1203,"correctiva")</f>
        <v/>
      </c>
      <c r="G192" s="25">
        <f>E192+F192</f>
        <v/>
      </c>
      <c r="H192" s="25">
        <f>D192-G192</f>
        <v/>
      </c>
      <c r="I192" s="27">
        <f>IF(D192=0,"",G192/D192)</f>
        <v/>
      </c>
    </row>
    <row r="193" hidden="1">
      <c r="A193" s="24" t="inlineStr">
        <is>
          <t>ELE</t>
        </is>
      </c>
      <c r="B193" s="24">
        <f>$O$51</f>
        <v/>
      </c>
      <c r="C193" s="25">
        <f>SUMIFS('ASIGNACIONES'!$M$4:$M$451,'ASIGNACIONES'!$E$4:$E$451,$A193,'ASIGNACIONES'!$A$4:$A$451,$B193)</f>
        <v/>
      </c>
      <c r="D193" s="25">
        <f>C193*p_factor_productividad</f>
        <v/>
      </c>
      <c r="E193" s="25">
        <f>SUMIFS('ORDENES'!$M$4:$M$1203,'ORDENES'!$AB$4:$AB$1203,$A193,'ORDENES'!$O$4:$O$1203,$B193,'ORDENES'!$U$4:$U$1203,"preventiva")</f>
        <v/>
      </c>
      <c r="F193" s="25">
        <f>SUMIFS('ORDENES'!$M$4:$M$1203,'ORDENES'!$AB$4:$AB$1203,$A193,'ORDENES'!$O$4:$O$1203,$B193,'ORDENES'!$U$4:$U$1203,"correctiva")</f>
        <v/>
      </c>
      <c r="G193" s="25">
        <f>E193+F193</f>
        <v/>
      </c>
      <c r="H193" s="25">
        <f>D193-G193</f>
        <v/>
      </c>
      <c r="I193" s="27">
        <f>IF(D193=0,"",G193/D193)</f>
        <v/>
      </c>
    </row>
    <row r="194" hidden="1">
      <c r="A194" s="24" t="inlineStr">
        <is>
          <t>AUT</t>
        </is>
      </c>
      <c r="B194" s="24">
        <f>$O$51</f>
        <v/>
      </c>
      <c r="C194" s="25">
        <f>SUMIFS('ASIGNACIONES'!$M$4:$M$451,'ASIGNACIONES'!$E$4:$E$451,$A194,'ASIGNACIONES'!$A$4:$A$451,$B194)</f>
        <v/>
      </c>
      <c r="D194" s="25">
        <f>C194*p_factor_productividad</f>
        <v/>
      </c>
      <c r="E194" s="25">
        <f>SUMIFS('ORDENES'!$M$4:$M$1203,'ORDENES'!$AB$4:$AB$1203,$A194,'ORDENES'!$O$4:$O$1203,$B194,'ORDENES'!$U$4:$U$1203,"preventiva")</f>
        <v/>
      </c>
      <c r="F194" s="25">
        <f>SUMIFS('ORDENES'!$M$4:$M$1203,'ORDENES'!$AB$4:$AB$1203,$A194,'ORDENES'!$O$4:$O$1203,$B194,'ORDENES'!$U$4:$U$1203,"correctiva")</f>
        <v/>
      </c>
      <c r="G194" s="25">
        <f>E194+F194</f>
        <v/>
      </c>
      <c r="H194" s="25">
        <f>D194-G194</f>
        <v/>
      </c>
      <c r="I194" s="27">
        <f>IF(D194=0,"",G194/D194)</f>
        <v/>
      </c>
    </row>
    <row r="195" hidden="1">
      <c r="A195" s="24" t="inlineStr">
        <is>
          <t>TERCERO</t>
        </is>
      </c>
      <c r="B195" s="24">
        <f>$O$51</f>
        <v/>
      </c>
      <c r="C195" s="25">
        <f>SUMIFS('ASIGNACIONES'!$M$4:$M$451,'ASIGNACIONES'!$E$4:$E$451,$A195,'ASIGNACIONES'!$A$4:$A$451,$B195)</f>
        <v/>
      </c>
      <c r="D195" s="25">
        <f>C195*p_factor_productividad</f>
        <v/>
      </c>
      <c r="E195" s="25">
        <f>SUMIFS('ORDENES'!$M$4:$M$1203,'ORDENES'!$AB$4:$AB$1203,$A195,'ORDENES'!$O$4:$O$1203,$B195,'ORDENES'!$U$4:$U$1203,"preventiva")</f>
        <v/>
      </c>
      <c r="F195" s="25">
        <f>SUMIFS('ORDENES'!$M$4:$M$1203,'ORDENES'!$AB$4:$AB$1203,$A195,'ORDENES'!$O$4:$O$1203,$B195,'ORDENES'!$U$4:$U$1203,"correctiva")</f>
        <v/>
      </c>
      <c r="G195" s="25">
        <f>E195+F195</f>
        <v/>
      </c>
      <c r="H195" s="25">
        <f>D195-G195</f>
        <v/>
      </c>
      <c r="I195" s="27">
        <f>IF(D195=0,"",G195/D195)</f>
        <v/>
      </c>
    </row>
    <row r="196" hidden="1">
      <c r="A196" s="24" t="inlineStr">
        <is>
          <t>MEC</t>
        </is>
      </c>
      <c r="B196" s="24">
        <f>$O$52</f>
        <v/>
      </c>
      <c r="C196" s="25">
        <f>SUMIFS('ASIGNACIONES'!$M$4:$M$451,'ASIGNACIONES'!$E$4:$E$451,$A196,'ASIGNACIONES'!$A$4:$A$451,$B196)</f>
        <v/>
      </c>
      <c r="D196" s="25">
        <f>C196*p_factor_productividad</f>
        <v/>
      </c>
      <c r="E196" s="25">
        <f>SUMIFS('ORDENES'!$M$4:$M$1203,'ORDENES'!$AB$4:$AB$1203,$A196,'ORDENES'!$O$4:$O$1203,$B196,'ORDENES'!$U$4:$U$1203,"preventiva")</f>
        <v/>
      </c>
      <c r="F196" s="25">
        <f>SUMIFS('ORDENES'!$M$4:$M$1203,'ORDENES'!$AB$4:$AB$1203,$A196,'ORDENES'!$O$4:$O$1203,$B196,'ORDENES'!$U$4:$U$1203,"correctiva")</f>
        <v/>
      </c>
      <c r="G196" s="25">
        <f>E196+F196</f>
        <v/>
      </c>
      <c r="H196" s="25">
        <f>D196-G196</f>
        <v/>
      </c>
      <c r="I196" s="27">
        <f>IF(D196=0,"",G196/D196)</f>
        <v/>
      </c>
    </row>
    <row r="197" hidden="1">
      <c r="A197" s="24" t="inlineStr">
        <is>
          <t>ELE</t>
        </is>
      </c>
      <c r="B197" s="24">
        <f>$O$52</f>
        <v/>
      </c>
      <c r="C197" s="25">
        <f>SUMIFS('ASIGNACIONES'!$M$4:$M$451,'ASIGNACIONES'!$E$4:$E$451,$A197,'ASIGNACIONES'!$A$4:$A$451,$B197)</f>
        <v/>
      </c>
      <c r="D197" s="25">
        <f>C197*p_factor_productividad</f>
        <v/>
      </c>
      <c r="E197" s="25">
        <f>SUMIFS('ORDENES'!$M$4:$M$1203,'ORDENES'!$AB$4:$AB$1203,$A197,'ORDENES'!$O$4:$O$1203,$B197,'ORDENES'!$U$4:$U$1203,"preventiva")</f>
        <v/>
      </c>
      <c r="F197" s="25">
        <f>SUMIFS('ORDENES'!$M$4:$M$1203,'ORDENES'!$AB$4:$AB$1203,$A197,'ORDENES'!$O$4:$O$1203,$B197,'ORDENES'!$U$4:$U$1203,"correctiva")</f>
        <v/>
      </c>
      <c r="G197" s="25">
        <f>E197+F197</f>
        <v/>
      </c>
      <c r="H197" s="25">
        <f>D197-G197</f>
        <v/>
      </c>
      <c r="I197" s="27">
        <f>IF(D197=0,"",G197/D197)</f>
        <v/>
      </c>
    </row>
    <row r="198" hidden="1">
      <c r="A198" s="24" t="inlineStr">
        <is>
          <t>AUT</t>
        </is>
      </c>
      <c r="B198" s="24">
        <f>$O$52</f>
        <v/>
      </c>
      <c r="C198" s="25">
        <f>SUMIFS('ASIGNACIONES'!$M$4:$M$451,'ASIGNACIONES'!$E$4:$E$451,$A198,'ASIGNACIONES'!$A$4:$A$451,$B198)</f>
        <v/>
      </c>
      <c r="D198" s="25">
        <f>C198*p_factor_productividad</f>
        <v/>
      </c>
      <c r="E198" s="25">
        <f>SUMIFS('ORDENES'!$M$4:$M$1203,'ORDENES'!$AB$4:$AB$1203,$A198,'ORDENES'!$O$4:$O$1203,$B198,'ORDENES'!$U$4:$U$1203,"preventiva")</f>
        <v/>
      </c>
      <c r="F198" s="25">
        <f>SUMIFS('ORDENES'!$M$4:$M$1203,'ORDENES'!$AB$4:$AB$1203,$A198,'ORDENES'!$O$4:$O$1203,$B198,'ORDENES'!$U$4:$U$1203,"correctiva")</f>
        <v/>
      </c>
      <c r="G198" s="25">
        <f>E198+F198</f>
        <v/>
      </c>
      <c r="H198" s="25">
        <f>D198-G198</f>
        <v/>
      </c>
      <c r="I198" s="27">
        <f>IF(D198=0,"",G198/D198)</f>
        <v/>
      </c>
    </row>
    <row r="199" hidden="1">
      <c r="A199" s="24" t="inlineStr">
        <is>
          <t>TERCERO</t>
        </is>
      </c>
      <c r="B199" s="24">
        <f>$O$52</f>
        <v/>
      </c>
      <c r="C199" s="25">
        <f>SUMIFS('ASIGNACIONES'!$M$4:$M$451,'ASIGNACIONES'!$E$4:$E$451,$A199,'ASIGNACIONES'!$A$4:$A$451,$B199)</f>
        <v/>
      </c>
      <c r="D199" s="25">
        <f>C199*p_factor_productividad</f>
        <v/>
      </c>
      <c r="E199" s="25">
        <f>SUMIFS('ORDENES'!$M$4:$M$1203,'ORDENES'!$AB$4:$AB$1203,$A199,'ORDENES'!$O$4:$O$1203,$B199,'ORDENES'!$U$4:$U$1203,"preventiva")</f>
        <v/>
      </c>
      <c r="F199" s="25">
        <f>SUMIFS('ORDENES'!$M$4:$M$1203,'ORDENES'!$AB$4:$AB$1203,$A199,'ORDENES'!$O$4:$O$1203,$B199,'ORDENES'!$U$4:$U$1203,"correctiva")</f>
        <v/>
      </c>
      <c r="G199" s="25">
        <f>E199+F199</f>
        <v/>
      </c>
      <c r="H199" s="25">
        <f>D199-G199</f>
        <v/>
      </c>
      <c r="I199" s="27">
        <f>IF(D199=0,"",G199/D199)</f>
        <v/>
      </c>
    </row>
    <row r="200" hidden="1">
      <c r="A200" s="24" t="inlineStr">
        <is>
          <t>MEC</t>
        </is>
      </c>
      <c r="B200" s="24">
        <f>$O$53</f>
        <v/>
      </c>
      <c r="C200" s="25">
        <f>SUMIFS('ASIGNACIONES'!$M$4:$M$451,'ASIGNACIONES'!$E$4:$E$451,$A200,'ASIGNACIONES'!$A$4:$A$451,$B200)</f>
        <v/>
      </c>
      <c r="D200" s="25">
        <f>C200*p_factor_productividad</f>
        <v/>
      </c>
      <c r="E200" s="25">
        <f>SUMIFS('ORDENES'!$M$4:$M$1203,'ORDENES'!$AB$4:$AB$1203,$A200,'ORDENES'!$O$4:$O$1203,$B200,'ORDENES'!$U$4:$U$1203,"preventiva")</f>
        <v/>
      </c>
      <c r="F200" s="25">
        <f>SUMIFS('ORDENES'!$M$4:$M$1203,'ORDENES'!$AB$4:$AB$1203,$A200,'ORDENES'!$O$4:$O$1203,$B200,'ORDENES'!$U$4:$U$1203,"correctiva")</f>
        <v/>
      </c>
      <c r="G200" s="25">
        <f>E200+F200</f>
        <v/>
      </c>
      <c r="H200" s="25">
        <f>D200-G200</f>
        <v/>
      </c>
      <c r="I200" s="27">
        <f>IF(D200=0,"",G200/D200)</f>
        <v/>
      </c>
    </row>
    <row r="201" hidden="1">
      <c r="A201" s="24" t="inlineStr">
        <is>
          <t>ELE</t>
        </is>
      </c>
      <c r="B201" s="24">
        <f>$O$53</f>
        <v/>
      </c>
      <c r="C201" s="25">
        <f>SUMIFS('ASIGNACIONES'!$M$4:$M$451,'ASIGNACIONES'!$E$4:$E$451,$A201,'ASIGNACIONES'!$A$4:$A$451,$B201)</f>
        <v/>
      </c>
      <c r="D201" s="25">
        <f>C201*p_factor_productividad</f>
        <v/>
      </c>
      <c r="E201" s="25">
        <f>SUMIFS('ORDENES'!$M$4:$M$1203,'ORDENES'!$AB$4:$AB$1203,$A201,'ORDENES'!$O$4:$O$1203,$B201,'ORDENES'!$U$4:$U$1203,"preventiva")</f>
        <v/>
      </c>
      <c r="F201" s="25">
        <f>SUMIFS('ORDENES'!$M$4:$M$1203,'ORDENES'!$AB$4:$AB$1203,$A201,'ORDENES'!$O$4:$O$1203,$B201,'ORDENES'!$U$4:$U$1203,"correctiva")</f>
        <v/>
      </c>
      <c r="G201" s="25">
        <f>E201+F201</f>
        <v/>
      </c>
      <c r="H201" s="25">
        <f>D201-G201</f>
        <v/>
      </c>
      <c r="I201" s="27">
        <f>IF(D201=0,"",G201/D201)</f>
        <v/>
      </c>
    </row>
    <row r="202" hidden="1">
      <c r="A202" s="24" t="inlineStr">
        <is>
          <t>AUT</t>
        </is>
      </c>
      <c r="B202" s="24">
        <f>$O$53</f>
        <v/>
      </c>
      <c r="C202" s="25">
        <f>SUMIFS('ASIGNACIONES'!$M$4:$M$451,'ASIGNACIONES'!$E$4:$E$451,$A202,'ASIGNACIONES'!$A$4:$A$451,$B202)</f>
        <v/>
      </c>
      <c r="D202" s="25">
        <f>C202*p_factor_productividad</f>
        <v/>
      </c>
      <c r="E202" s="25">
        <f>SUMIFS('ORDENES'!$M$4:$M$1203,'ORDENES'!$AB$4:$AB$1203,$A202,'ORDENES'!$O$4:$O$1203,$B202,'ORDENES'!$U$4:$U$1203,"preventiva")</f>
        <v/>
      </c>
      <c r="F202" s="25">
        <f>SUMIFS('ORDENES'!$M$4:$M$1203,'ORDENES'!$AB$4:$AB$1203,$A202,'ORDENES'!$O$4:$O$1203,$B202,'ORDENES'!$U$4:$U$1203,"correctiva")</f>
        <v/>
      </c>
      <c r="G202" s="25">
        <f>E202+F202</f>
        <v/>
      </c>
      <c r="H202" s="25">
        <f>D202-G202</f>
        <v/>
      </c>
      <c r="I202" s="27">
        <f>IF(D202=0,"",G202/D202)</f>
        <v/>
      </c>
    </row>
    <row r="203" hidden="1">
      <c r="A203" s="24" t="inlineStr">
        <is>
          <t>TERCERO</t>
        </is>
      </c>
      <c r="B203" s="24">
        <f>$O$53</f>
        <v/>
      </c>
      <c r="C203" s="25">
        <f>SUMIFS('ASIGNACIONES'!$M$4:$M$451,'ASIGNACIONES'!$E$4:$E$451,$A203,'ASIGNACIONES'!$A$4:$A$451,$B203)</f>
        <v/>
      </c>
      <c r="D203" s="25">
        <f>C203*p_factor_productividad</f>
        <v/>
      </c>
      <c r="E203" s="25">
        <f>SUMIFS('ORDENES'!$M$4:$M$1203,'ORDENES'!$AB$4:$AB$1203,$A203,'ORDENES'!$O$4:$O$1203,$B203,'ORDENES'!$U$4:$U$1203,"preventiva")</f>
        <v/>
      </c>
      <c r="F203" s="25">
        <f>SUMIFS('ORDENES'!$M$4:$M$1203,'ORDENES'!$AB$4:$AB$1203,$A203,'ORDENES'!$O$4:$O$1203,$B203,'ORDENES'!$U$4:$U$1203,"correctiva")</f>
        <v/>
      </c>
      <c r="G203" s="25">
        <f>E203+F203</f>
        <v/>
      </c>
      <c r="H203" s="25">
        <f>D203-G203</f>
        <v/>
      </c>
      <c r="I203" s="27">
        <f>IF(D203=0,"",G203/D203)</f>
        <v/>
      </c>
    </row>
    <row r="204" hidden="1">
      <c r="A204" s="24" t="inlineStr">
        <is>
          <t>MEC</t>
        </is>
      </c>
      <c r="B204" s="24">
        <f>$O$54</f>
        <v/>
      </c>
      <c r="C204" s="25">
        <f>SUMIFS('ASIGNACIONES'!$M$4:$M$451,'ASIGNACIONES'!$E$4:$E$451,$A204,'ASIGNACIONES'!$A$4:$A$451,$B204)</f>
        <v/>
      </c>
      <c r="D204" s="25">
        <f>C204*p_factor_productividad</f>
        <v/>
      </c>
      <c r="E204" s="25">
        <f>SUMIFS('ORDENES'!$M$4:$M$1203,'ORDENES'!$AB$4:$AB$1203,$A204,'ORDENES'!$O$4:$O$1203,$B204,'ORDENES'!$U$4:$U$1203,"preventiva")</f>
        <v/>
      </c>
      <c r="F204" s="25">
        <f>SUMIFS('ORDENES'!$M$4:$M$1203,'ORDENES'!$AB$4:$AB$1203,$A204,'ORDENES'!$O$4:$O$1203,$B204,'ORDENES'!$U$4:$U$1203,"correctiva")</f>
        <v/>
      </c>
      <c r="G204" s="25">
        <f>E204+F204</f>
        <v/>
      </c>
      <c r="H204" s="25">
        <f>D204-G204</f>
        <v/>
      </c>
      <c r="I204" s="27">
        <f>IF(D204=0,"",G204/D204)</f>
        <v/>
      </c>
    </row>
    <row r="205" hidden="1">
      <c r="A205" s="24" t="inlineStr">
        <is>
          <t>ELE</t>
        </is>
      </c>
      <c r="B205" s="24">
        <f>$O$54</f>
        <v/>
      </c>
      <c r="C205" s="25">
        <f>SUMIFS('ASIGNACIONES'!$M$4:$M$451,'ASIGNACIONES'!$E$4:$E$451,$A205,'ASIGNACIONES'!$A$4:$A$451,$B205)</f>
        <v/>
      </c>
      <c r="D205" s="25">
        <f>C205*p_factor_productividad</f>
        <v/>
      </c>
      <c r="E205" s="25">
        <f>SUMIFS('ORDENES'!$M$4:$M$1203,'ORDENES'!$AB$4:$AB$1203,$A205,'ORDENES'!$O$4:$O$1203,$B205,'ORDENES'!$U$4:$U$1203,"preventiva")</f>
        <v/>
      </c>
      <c r="F205" s="25">
        <f>SUMIFS('ORDENES'!$M$4:$M$1203,'ORDENES'!$AB$4:$AB$1203,$A205,'ORDENES'!$O$4:$O$1203,$B205,'ORDENES'!$U$4:$U$1203,"correctiva")</f>
        <v/>
      </c>
      <c r="G205" s="25">
        <f>E205+F205</f>
        <v/>
      </c>
      <c r="H205" s="25">
        <f>D205-G205</f>
        <v/>
      </c>
      <c r="I205" s="27">
        <f>IF(D205=0,"",G205/D205)</f>
        <v/>
      </c>
    </row>
    <row r="206" hidden="1">
      <c r="A206" s="24" t="inlineStr">
        <is>
          <t>AUT</t>
        </is>
      </c>
      <c r="B206" s="24">
        <f>$O$54</f>
        <v/>
      </c>
      <c r="C206" s="25">
        <f>SUMIFS('ASIGNACIONES'!$M$4:$M$451,'ASIGNACIONES'!$E$4:$E$451,$A206,'ASIGNACIONES'!$A$4:$A$451,$B206)</f>
        <v/>
      </c>
      <c r="D206" s="25">
        <f>C206*p_factor_productividad</f>
        <v/>
      </c>
      <c r="E206" s="25">
        <f>SUMIFS('ORDENES'!$M$4:$M$1203,'ORDENES'!$AB$4:$AB$1203,$A206,'ORDENES'!$O$4:$O$1203,$B206,'ORDENES'!$U$4:$U$1203,"preventiva")</f>
        <v/>
      </c>
      <c r="F206" s="25">
        <f>SUMIFS('ORDENES'!$M$4:$M$1203,'ORDENES'!$AB$4:$AB$1203,$A206,'ORDENES'!$O$4:$O$1203,$B206,'ORDENES'!$U$4:$U$1203,"correctiva")</f>
        <v/>
      </c>
      <c r="G206" s="25">
        <f>E206+F206</f>
        <v/>
      </c>
      <c r="H206" s="25">
        <f>D206-G206</f>
        <v/>
      </c>
      <c r="I206" s="27">
        <f>IF(D206=0,"",G206/D206)</f>
        <v/>
      </c>
    </row>
    <row r="207" hidden="1">
      <c r="A207" s="24" t="inlineStr">
        <is>
          <t>TERCERO</t>
        </is>
      </c>
      <c r="B207" s="24">
        <f>$O$54</f>
        <v/>
      </c>
      <c r="C207" s="25">
        <f>SUMIFS('ASIGNACIONES'!$M$4:$M$451,'ASIGNACIONES'!$E$4:$E$451,$A207,'ASIGNACIONES'!$A$4:$A$451,$B207)</f>
        <v/>
      </c>
      <c r="D207" s="25">
        <f>C207*p_factor_productividad</f>
        <v/>
      </c>
      <c r="E207" s="25">
        <f>SUMIFS('ORDENES'!$M$4:$M$1203,'ORDENES'!$AB$4:$AB$1203,$A207,'ORDENES'!$O$4:$O$1203,$B207,'ORDENES'!$U$4:$U$1203,"preventiva")</f>
        <v/>
      </c>
      <c r="F207" s="25">
        <f>SUMIFS('ORDENES'!$M$4:$M$1203,'ORDENES'!$AB$4:$AB$1203,$A207,'ORDENES'!$O$4:$O$1203,$B207,'ORDENES'!$U$4:$U$1203,"correctiva")</f>
        <v/>
      </c>
      <c r="G207" s="25">
        <f>E207+F207</f>
        <v/>
      </c>
      <c r="H207" s="25">
        <f>D207-G207</f>
        <v/>
      </c>
      <c r="I207" s="27">
        <f>IF(D207=0,"",G207/D207)</f>
        <v/>
      </c>
    </row>
    <row r="208" hidden="1">
      <c r="A208" s="24" t="inlineStr">
        <is>
          <t>MEC</t>
        </is>
      </c>
      <c r="B208" s="24">
        <f>$O$55</f>
        <v/>
      </c>
      <c r="C208" s="25">
        <f>SUMIFS('ASIGNACIONES'!$M$4:$M$451,'ASIGNACIONES'!$E$4:$E$451,$A208,'ASIGNACIONES'!$A$4:$A$451,$B208)</f>
        <v/>
      </c>
      <c r="D208" s="25">
        <f>C208*p_factor_productividad</f>
        <v/>
      </c>
      <c r="E208" s="25">
        <f>SUMIFS('ORDENES'!$M$4:$M$1203,'ORDENES'!$AB$4:$AB$1203,$A208,'ORDENES'!$O$4:$O$1203,$B208,'ORDENES'!$U$4:$U$1203,"preventiva")</f>
        <v/>
      </c>
      <c r="F208" s="25">
        <f>SUMIFS('ORDENES'!$M$4:$M$1203,'ORDENES'!$AB$4:$AB$1203,$A208,'ORDENES'!$O$4:$O$1203,$B208,'ORDENES'!$U$4:$U$1203,"correctiva")</f>
        <v/>
      </c>
      <c r="G208" s="25">
        <f>E208+F208</f>
        <v/>
      </c>
      <c r="H208" s="25">
        <f>D208-G208</f>
        <v/>
      </c>
      <c r="I208" s="27">
        <f>IF(D208=0,"",G208/D208)</f>
        <v/>
      </c>
    </row>
    <row r="209" hidden="1">
      <c r="A209" s="24" t="inlineStr">
        <is>
          <t>ELE</t>
        </is>
      </c>
      <c r="B209" s="24">
        <f>$O$55</f>
        <v/>
      </c>
      <c r="C209" s="25">
        <f>SUMIFS('ASIGNACIONES'!$M$4:$M$451,'ASIGNACIONES'!$E$4:$E$451,$A209,'ASIGNACIONES'!$A$4:$A$451,$B209)</f>
        <v/>
      </c>
      <c r="D209" s="25">
        <f>C209*p_factor_productividad</f>
        <v/>
      </c>
      <c r="E209" s="25">
        <f>SUMIFS('ORDENES'!$M$4:$M$1203,'ORDENES'!$AB$4:$AB$1203,$A209,'ORDENES'!$O$4:$O$1203,$B209,'ORDENES'!$U$4:$U$1203,"preventiva")</f>
        <v/>
      </c>
      <c r="F209" s="25">
        <f>SUMIFS('ORDENES'!$M$4:$M$1203,'ORDENES'!$AB$4:$AB$1203,$A209,'ORDENES'!$O$4:$O$1203,$B209,'ORDENES'!$U$4:$U$1203,"correctiva")</f>
        <v/>
      </c>
      <c r="G209" s="25">
        <f>E209+F209</f>
        <v/>
      </c>
      <c r="H209" s="25">
        <f>D209-G209</f>
        <v/>
      </c>
      <c r="I209" s="27">
        <f>IF(D209=0,"",G209/D209)</f>
        <v/>
      </c>
    </row>
    <row r="210" hidden="1">
      <c r="A210" s="24" t="inlineStr">
        <is>
          <t>AUT</t>
        </is>
      </c>
      <c r="B210" s="24">
        <f>$O$55</f>
        <v/>
      </c>
      <c r="C210" s="25">
        <f>SUMIFS('ASIGNACIONES'!$M$4:$M$451,'ASIGNACIONES'!$E$4:$E$451,$A210,'ASIGNACIONES'!$A$4:$A$451,$B210)</f>
        <v/>
      </c>
      <c r="D210" s="25">
        <f>C210*p_factor_productividad</f>
        <v/>
      </c>
      <c r="E210" s="25">
        <f>SUMIFS('ORDENES'!$M$4:$M$1203,'ORDENES'!$AB$4:$AB$1203,$A210,'ORDENES'!$O$4:$O$1203,$B210,'ORDENES'!$U$4:$U$1203,"preventiva")</f>
        <v/>
      </c>
      <c r="F210" s="25">
        <f>SUMIFS('ORDENES'!$M$4:$M$1203,'ORDENES'!$AB$4:$AB$1203,$A210,'ORDENES'!$O$4:$O$1203,$B210,'ORDENES'!$U$4:$U$1203,"correctiva")</f>
        <v/>
      </c>
      <c r="G210" s="25">
        <f>E210+F210</f>
        <v/>
      </c>
      <c r="H210" s="25">
        <f>D210-G210</f>
        <v/>
      </c>
      <c r="I210" s="27">
        <f>IF(D210=0,"",G210/D210)</f>
        <v/>
      </c>
    </row>
    <row r="211" hidden="1">
      <c r="A211" s="24" t="inlineStr">
        <is>
          <t>TERCERO</t>
        </is>
      </c>
      <c r="B211" s="24">
        <f>$O$55</f>
        <v/>
      </c>
      <c r="C211" s="25">
        <f>SUMIFS('ASIGNACIONES'!$M$4:$M$451,'ASIGNACIONES'!$E$4:$E$451,$A211,'ASIGNACIONES'!$A$4:$A$451,$B211)</f>
        <v/>
      </c>
      <c r="D211" s="25">
        <f>C211*p_factor_productividad</f>
        <v/>
      </c>
      <c r="E211" s="25">
        <f>SUMIFS('ORDENES'!$M$4:$M$1203,'ORDENES'!$AB$4:$AB$1203,$A211,'ORDENES'!$O$4:$O$1203,$B211,'ORDENES'!$U$4:$U$1203,"preventiva")</f>
        <v/>
      </c>
      <c r="F211" s="25">
        <f>SUMIFS('ORDENES'!$M$4:$M$1203,'ORDENES'!$AB$4:$AB$1203,$A211,'ORDENES'!$O$4:$O$1203,$B211,'ORDENES'!$U$4:$U$1203,"correctiva")</f>
        <v/>
      </c>
      <c r="G211" s="25">
        <f>E211+F211</f>
        <v/>
      </c>
      <c r="H211" s="25">
        <f>D211-G211</f>
        <v/>
      </c>
      <c r="I211" s="27">
        <f>IF(D211=0,"",G211/D211)</f>
        <v/>
      </c>
    </row>
    <row r="212" hidden="1">
      <c r="A212" s="24" t="inlineStr">
        <is>
          <t>MEC</t>
        </is>
      </c>
      <c r="B212" s="24">
        <f>$O$56</f>
        <v/>
      </c>
      <c r="C212" s="25">
        <f>SUMIFS('ASIGNACIONES'!$M$4:$M$451,'ASIGNACIONES'!$E$4:$E$451,$A212,'ASIGNACIONES'!$A$4:$A$451,$B212)</f>
        <v/>
      </c>
      <c r="D212" s="25">
        <f>C212*p_factor_productividad</f>
        <v/>
      </c>
      <c r="E212" s="25">
        <f>SUMIFS('ORDENES'!$M$4:$M$1203,'ORDENES'!$AB$4:$AB$1203,$A212,'ORDENES'!$O$4:$O$1203,$B212,'ORDENES'!$U$4:$U$1203,"preventiva")</f>
        <v/>
      </c>
      <c r="F212" s="25">
        <f>SUMIFS('ORDENES'!$M$4:$M$1203,'ORDENES'!$AB$4:$AB$1203,$A212,'ORDENES'!$O$4:$O$1203,$B212,'ORDENES'!$U$4:$U$1203,"correctiva")</f>
        <v/>
      </c>
      <c r="G212" s="25">
        <f>E212+F212</f>
        <v/>
      </c>
      <c r="H212" s="25">
        <f>D212-G212</f>
        <v/>
      </c>
      <c r="I212" s="27">
        <f>IF(D212=0,"",G212/D212)</f>
        <v/>
      </c>
    </row>
    <row r="213" hidden="1">
      <c r="A213" s="24" t="inlineStr">
        <is>
          <t>ELE</t>
        </is>
      </c>
      <c r="B213" s="24">
        <f>$O$56</f>
        <v/>
      </c>
      <c r="C213" s="25">
        <f>SUMIFS('ASIGNACIONES'!$M$4:$M$451,'ASIGNACIONES'!$E$4:$E$451,$A213,'ASIGNACIONES'!$A$4:$A$451,$B213)</f>
        <v/>
      </c>
      <c r="D213" s="25">
        <f>C213*p_factor_productividad</f>
        <v/>
      </c>
      <c r="E213" s="25">
        <f>SUMIFS('ORDENES'!$M$4:$M$1203,'ORDENES'!$AB$4:$AB$1203,$A213,'ORDENES'!$O$4:$O$1203,$B213,'ORDENES'!$U$4:$U$1203,"preventiva")</f>
        <v/>
      </c>
      <c r="F213" s="25">
        <f>SUMIFS('ORDENES'!$M$4:$M$1203,'ORDENES'!$AB$4:$AB$1203,$A213,'ORDENES'!$O$4:$O$1203,$B213,'ORDENES'!$U$4:$U$1203,"correctiva")</f>
        <v/>
      </c>
      <c r="G213" s="25">
        <f>E213+F213</f>
        <v/>
      </c>
      <c r="H213" s="25">
        <f>D213-G213</f>
        <v/>
      </c>
      <c r="I213" s="27">
        <f>IF(D213=0,"",G213/D213)</f>
        <v/>
      </c>
    </row>
    <row r="214" hidden="1">
      <c r="A214" s="24" t="inlineStr">
        <is>
          <t>AUT</t>
        </is>
      </c>
      <c r="B214" s="24">
        <f>$O$56</f>
        <v/>
      </c>
      <c r="C214" s="25">
        <f>SUMIFS('ASIGNACIONES'!$M$4:$M$451,'ASIGNACIONES'!$E$4:$E$451,$A214,'ASIGNACIONES'!$A$4:$A$451,$B214)</f>
        <v/>
      </c>
      <c r="D214" s="25">
        <f>C214*p_factor_productividad</f>
        <v/>
      </c>
      <c r="E214" s="25">
        <f>SUMIFS('ORDENES'!$M$4:$M$1203,'ORDENES'!$AB$4:$AB$1203,$A214,'ORDENES'!$O$4:$O$1203,$B214,'ORDENES'!$U$4:$U$1203,"preventiva")</f>
        <v/>
      </c>
      <c r="F214" s="25">
        <f>SUMIFS('ORDENES'!$M$4:$M$1203,'ORDENES'!$AB$4:$AB$1203,$A214,'ORDENES'!$O$4:$O$1203,$B214,'ORDENES'!$U$4:$U$1203,"correctiva")</f>
        <v/>
      </c>
      <c r="G214" s="25">
        <f>E214+F214</f>
        <v/>
      </c>
      <c r="H214" s="25">
        <f>D214-G214</f>
        <v/>
      </c>
      <c r="I214" s="27">
        <f>IF(D214=0,"",G214/D214)</f>
        <v/>
      </c>
    </row>
    <row r="215" hidden="1">
      <c r="A215" s="24" t="inlineStr">
        <is>
          <t>TERCERO</t>
        </is>
      </c>
      <c r="B215" s="24">
        <f>$O$56</f>
        <v/>
      </c>
      <c r="C215" s="25">
        <f>SUMIFS('ASIGNACIONES'!$M$4:$M$451,'ASIGNACIONES'!$E$4:$E$451,$A215,'ASIGNACIONES'!$A$4:$A$451,$B215)</f>
        <v/>
      </c>
      <c r="D215" s="25">
        <f>C215*p_factor_productividad</f>
        <v/>
      </c>
      <c r="E215" s="25">
        <f>SUMIFS('ORDENES'!$M$4:$M$1203,'ORDENES'!$AB$4:$AB$1203,$A215,'ORDENES'!$O$4:$O$1203,$B215,'ORDENES'!$U$4:$U$1203,"preventiva")</f>
        <v/>
      </c>
      <c r="F215" s="25">
        <f>SUMIFS('ORDENES'!$M$4:$M$1203,'ORDENES'!$AB$4:$AB$1203,$A215,'ORDENES'!$O$4:$O$1203,$B215,'ORDENES'!$U$4:$U$1203,"correctiva")</f>
        <v/>
      </c>
      <c r="G215" s="25">
        <f>E215+F215</f>
        <v/>
      </c>
      <c r="H215" s="25">
        <f>D215-G215</f>
        <v/>
      </c>
      <c r="I215" s="27">
        <f>IF(D215=0,"",G215/D215)</f>
        <v/>
      </c>
    </row>
    <row r="216" hidden="1">
      <c r="A216" s="24" t="inlineStr">
        <is>
          <t>MEC</t>
        </is>
      </c>
      <c r="B216" s="24">
        <f>$O$57</f>
        <v/>
      </c>
      <c r="C216" s="25">
        <f>SUMIFS('ASIGNACIONES'!$M$4:$M$451,'ASIGNACIONES'!$E$4:$E$451,$A216,'ASIGNACIONES'!$A$4:$A$451,$B216)</f>
        <v/>
      </c>
      <c r="D216" s="25">
        <f>C216*p_factor_productividad</f>
        <v/>
      </c>
      <c r="E216" s="25">
        <f>SUMIFS('ORDENES'!$M$4:$M$1203,'ORDENES'!$AB$4:$AB$1203,$A216,'ORDENES'!$O$4:$O$1203,$B216,'ORDENES'!$U$4:$U$1203,"preventiva")</f>
        <v/>
      </c>
      <c r="F216" s="25">
        <f>SUMIFS('ORDENES'!$M$4:$M$1203,'ORDENES'!$AB$4:$AB$1203,$A216,'ORDENES'!$O$4:$O$1203,$B216,'ORDENES'!$U$4:$U$1203,"correctiva")</f>
        <v/>
      </c>
      <c r="G216" s="25">
        <f>E216+F216</f>
        <v/>
      </c>
      <c r="H216" s="25">
        <f>D216-G216</f>
        <v/>
      </c>
      <c r="I216" s="27">
        <f>IF(D216=0,"",G216/D216)</f>
        <v/>
      </c>
    </row>
    <row r="217" hidden="1">
      <c r="A217" s="24" t="inlineStr">
        <is>
          <t>ELE</t>
        </is>
      </c>
      <c r="B217" s="24">
        <f>$O$57</f>
        <v/>
      </c>
      <c r="C217" s="25">
        <f>SUMIFS('ASIGNACIONES'!$M$4:$M$451,'ASIGNACIONES'!$E$4:$E$451,$A217,'ASIGNACIONES'!$A$4:$A$451,$B217)</f>
        <v/>
      </c>
      <c r="D217" s="25">
        <f>C217*p_factor_productividad</f>
        <v/>
      </c>
      <c r="E217" s="25">
        <f>SUMIFS('ORDENES'!$M$4:$M$1203,'ORDENES'!$AB$4:$AB$1203,$A217,'ORDENES'!$O$4:$O$1203,$B217,'ORDENES'!$U$4:$U$1203,"preventiva")</f>
        <v/>
      </c>
      <c r="F217" s="25">
        <f>SUMIFS('ORDENES'!$M$4:$M$1203,'ORDENES'!$AB$4:$AB$1203,$A217,'ORDENES'!$O$4:$O$1203,$B217,'ORDENES'!$U$4:$U$1203,"correctiva")</f>
        <v/>
      </c>
      <c r="G217" s="25">
        <f>E217+F217</f>
        <v/>
      </c>
      <c r="H217" s="25">
        <f>D217-G217</f>
        <v/>
      </c>
      <c r="I217" s="27">
        <f>IF(D217=0,"",G217/D217)</f>
        <v/>
      </c>
    </row>
    <row r="218" hidden="1">
      <c r="A218" s="24" t="inlineStr">
        <is>
          <t>AUT</t>
        </is>
      </c>
      <c r="B218" s="24">
        <f>$O$57</f>
        <v/>
      </c>
      <c r="C218" s="25">
        <f>SUMIFS('ASIGNACIONES'!$M$4:$M$451,'ASIGNACIONES'!$E$4:$E$451,$A218,'ASIGNACIONES'!$A$4:$A$451,$B218)</f>
        <v/>
      </c>
      <c r="D218" s="25">
        <f>C218*p_factor_productividad</f>
        <v/>
      </c>
      <c r="E218" s="25">
        <f>SUMIFS('ORDENES'!$M$4:$M$1203,'ORDENES'!$AB$4:$AB$1203,$A218,'ORDENES'!$O$4:$O$1203,$B218,'ORDENES'!$U$4:$U$1203,"preventiva")</f>
        <v/>
      </c>
      <c r="F218" s="25">
        <f>SUMIFS('ORDENES'!$M$4:$M$1203,'ORDENES'!$AB$4:$AB$1203,$A218,'ORDENES'!$O$4:$O$1203,$B218,'ORDENES'!$U$4:$U$1203,"correctiva")</f>
        <v/>
      </c>
      <c r="G218" s="25">
        <f>E218+F218</f>
        <v/>
      </c>
      <c r="H218" s="25">
        <f>D218-G218</f>
        <v/>
      </c>
      <c r="I218" s="27">
        <f>IF(D218=0,"",G218/D218)</f>
        <v/>
      </c>
    </row>
    <row r="219" hidden="1">
      <c r="A219" s="24" t="inlineStr">
        <is>
          <t>TERCERO</t>
        </is>
      </c>
      <c r="B219" s="24">
        <f>$O$57</f>
        <v/>
      </c>
      <c r="C219" s="25">
        <f>SUMIFS('ASIGNACIONES'!$M$4:$M$451,'ASIGNACIONES'!$E$4:$E$451,$A219,'ASIGNACIONES'!$A$4:$A$451,$B219)</f>
        <v/>
      </c>
      <c r="D219" s="25">
        <f>C219*p_factor_productividad</f>
        <v/>
      </c>
      <c r="E219" s="25">
        <f>SUMIFS('ORDENES'!$M$4:$M$1203,'ORDENES'!$AB$4:$AB$1203,$A219,'ORDENES'!$O$4:$O$1203,$B219,'ORDENES'!$U$4:$U$1203,"preventiva")</f>
        <v/>
      </c>
      <c r="F219" s="25">
        <f>SUMIFS('ORDENES'!$M$4:$M$1203,'ORDENES'!$AB$4:$AB$1203,$A219,'ORDENES'!$O$4:$O$1203,$B219,'ORDENES'!$U$4:$U$1203,"correctiva")</f>
        <v/>
      </c>
      <c r="G219" s="25">
        <f>E219+F219</f>
        <v/>
      </c>
      <c r="H219" s="25">
        <f>D219-G219</f>
        <v/>
      </c>
      <c r="I219" s="27">
        <f>IF(D219=0,"",G219/D219)</f>
        <v/>
      </c>
    </row>
    <row r="220" hidden="1">
      <c r="A220" s="24" t="inlineStr">
        <is>
          <t>MEC</t>
        </is>
      </c>
      <c r="B220" s="24">
        <f>$O$58</f>
        <v/>
      </c>
      <c r="C220" s="25">
        <f>SUMIFS('ASIGNACIONES'!$M$4:$M$451,'ASIGNACIONES'!$E$4:$E$451,$A220,'ASIGNACIONES'!$A$4:$A$451,$B220)</f>
        <v/>
      </c>
      <c r="D220" s="25">
        <f>C220*p_factor_productividad</f>
        <v/>
      </c>
      <c r="E220" s="25">
        <f>SUMIFS('ORDENES'!$M$4:$M$1203,'ORDENES'!$AB$4:$AB$1203,$A220,'ORDENES'!$O$4:$O$1203,$B220,'ORDENES'!$U$4:$U$1203,"preventiva")</f>
        <v/>
      </c>
      <c r="F220" s="25">
        <f>SUMIFS('ORDENES'!$M$4:$M$1203,'ORDENES'!$AB$4:$AB$1203,$A220,'ORDENES'!$O$4:$O$1203,$B220,'ORDENES'!$U$4:$U$1203,"correctiva")</f>
        <v/>
      </c>
      <c r="G220" s="25">
        <f>E220+F220</f>
        <v/>
      </c>
      <c r="H220" s="25">
        <f>D220-G220</f>
        <v/>
      </c>
      <c r="I220" s="27">
        <f>IF(D220=0,"",G220/D220)</f>
        <v/>
      </c>
    </row>
    <row r="221" hidden="1">
      <c r="A221" s="24" t="inlineStr">
        <is>
          <t>ELE</t>
        </is>
      </c>
      <c r="B221" s="24">
        <f>$O$58</f>
        <v/>
      </c>
      <c r="C221" s="25">
        <f>SUMIFS('ASIGNACIONES'!$M$4:$M$451,'ASIGNACIONES'!$E$4:$E$451,$A221,'ASIGNACIONES'!$A$4:$A$451,$B221)</f>
        <v/>
      </c>
      <c r="D221" s="25">
        <f>C221*p_factor_productividad</f>
        <v/>
      </c>
      <c r="E221" s="25">
        <f>SUMIFS('ORDENES'!$M$4:$M$1203,'ORDENES'!$AB$4:$AB$1203,$A221,'ORDENES'!$O$4:$O$1203,$B221,'ORDENES'!$U$4:$U$1203,"preventiva")</f>
        <v/>
      </c>
      <c r="F221" s="25">
        <f>SUMIFS('ORDENES'!$M$4:$M$1203,'ORDENES'!$AB$4:$AB$1203,$A221,'ORDENES'!$O$4:$O$1203,$B221,'ORDENES'!$U$4:$U$1203,"correctiva")</f>
        <v/>
      </c>
      <c r="G221" s="25">
        <f>E221+F221</f>
        <v/>
      </c>
      <c r="H221" s="25">
        <f>D221-G221</f>
        <v/>
      </c>
      <c r="I221" s="27">
        <f>IF(D221=0,"",G221/D221)</f>
        <v/>
      </c>
    </row>
    <row r="222" hidden="1">
      <c r="A222" s="24" t="inlineStr">
        <is>
          <t>AUT</t>
        </is>
      </c>
      <c r="B222" s="24">
        <f>$O$58</f>
        <v/>
      </c>
      <c r="C222" s="25">
        <f>SUMIFS('ASIGNACIONES'!$M$4:$M$451,'ASIGNACIONES'!$E$4:$E$451,$A222,'ASIGNACIONES'!$A$4:$A$451,$B222)</f>
        <v/>
      </c>
      <c r="D222" s="25">
        <f>C222*p_factor_productividad</f>
        <v/>
      </c>
      <c r="E222" s="25">
        <f>SUMIFS('ORDENES'!$M$4:$M$1203,'ORDENES'!$AB$4:$AB$1203,$A222,'ORDENES'!$O$4:$O$1203,$B222,'ORDENES'!$U$4:$U$1203,"preventiva")</f>
        <v/>
      </c>
      <c r="F222" s="25">
        <f>SUMIFS('ORDENES'!$M$4:$M$1203,'ORDENES'!$AB$4:$AB$1203,$A222,'ORDENES'!$O$4:$O$1203,$B222,'ORDENES'!$U$4:$U$1203,"correctiva")</f>
        <v/>
      </c>
      <c r="G222" s="25">
        <f>E222+F222</f>
        <v/>
      </c>
      <c r="H222" s="25">
        <f>D222-G222</f>
        <v/>
      </c>
      <c r="I222" s="27">
        <f>IF(D222=0,"",G222/D222)</f>
        <v/>
      </c>
    </row>
    <row r="223" hidden="1">
      <c r="A223" s="24" t="inlineStr">
        <is>
          <t>TERCERO</t>
        </is>
      </c>
      <c r="B223" s="24">
        <f>$O$58</f>
        <v/>
      </c>
      <c r="C223" s="25">
        <f>SUMIFS('ASIGNACIONES'!$M$4:$M$451,'ASIGNACIONES'!$E$4:$E$451,$A223,'ASIGNACIONES'!$A$4:$A$451,$B223)</f>
        <v/>
      </c>
      <c r="D223" s="25">
        <f>C223*p_factor_productividad</f>
        <v/>
      </c>
      <c r="E223" s="25">
        <f>SUMIFS('ORDENES'!$M$4:$M$1203,'ORDENES'!$AB$4:$AB$1203,$A223,'ORDENES'!$O$4:$O$1203,$B223,'ORDENES'!$U$4:$U$1203,"preventiva")</f>
        <v/>
      </c>
      <c r="F223" s="25">
        <f>SUMIFS('ORDENES'!$M$4:$M$1203,'ORDENES'!$AB$4:$AB$1203,$A223,'ORDENES'!$O$4:$O$1203,$B223,'ORDENES'!$U$4:$U$1203,"correctiva")</f>
        <v/>
      </c>
      <c r="G223" s="25">
        <f>E223+F223</f>
        <v/>
      </c>
      <c r="H223" s="25">
        <f>D223-G223</f>
        <v/>
      </c>
      <c r="I223" s="27">
        <f>IF(D223=0,"",G223/D223)</f>
        <v/>
      </c>
    </row>
    <row r="224" hidden="1">
      <c r="A224" s="24" t="inlineStr">
        <is>
          <t>MEC</t>
        </is>
      </c>
      <c r="B224" s="24">
        <f>$O$59</f>
        <v/>
      </c>
      <c r="C224" s="25">
        <f>SUMIFS('ASIGNACIONES'!$M$4:$M$451,'ASIGNACIONES'!$E$4:$E$451,$A224,'ASIGNACIONES'!$A$4:$A$451,$B224)</f>
        <v/>
      </c>
      <c r="D224" s="25">
        <f>C224*p_factor_productividad</f>
        <v/>
      </c>
      <c r="E224" s="25">
        <f>SUMIFS('ORDENES'!$M$4:$M$1203,'ORDENES'!$AB$4:$AB$1203,$A224,'ORDENES'!$O$4:$O$1203,$B224,'ORDENES'!$U$4:$U$1203,"preventiva")</f>
        <v/>
      </c>
      <c r="F224" s="25">
        <f>SUMIFS('ORDENES'!$M$4:$M$1203,'ORDENES'!$AB$4:$AB$1203,$A224,'ORDENES'!$O$4:$O$1203,$B224,'ORDENES'!$U$4:$U$1203,"correctiva")</f>
        <v/>
      </c>
      <c r="G224" s="25">
        <f>E224+F224</f>
        <v/>
      </c>
      <c r="H224" s="25">
        <f>D224-G224</f>
        <v/>
      </c>
      <c r="I224" s="27">
        <f>IF(D224=0,"",G224/D224)</f>
        <v/>
      </c>
    </row>
    <row r="225" hidden="1">
      <c r="A225" s="24" t="inlineStr">
        <is>
          <t>ELE</t>
        </is>
      </c>
      <c r="B225" s="24">
        <f>$O$59</f>
        <v/>
      </c>
      <c r="C225" s="25">
        <f>SUMIFS('ASIGNACIONES'!$M$4:$M$451,'ASIGNACIONES'!$E$4:$E$451,$A225,'ASIGNACIONES'!$A$4:$A$451,$B225)</f>
        <v/>
      </c>
      <c r="D225" s="25">
        <f>C225*p_factor_productividad</f>
        <v/>
      </c>
      <c r="E225" s="25">
        <f>SUMIFS('ORDENES'!$M$4:$M$1203,'ORDENES'!$AB$4:$AB$1203,$A225,'ORDENES'!$O$4:$O$1203,$B225,'ORDENES'!$U$4:$U$1203,"preventiva")</f>
        <v/>
      </c>
      <c r="F225" s="25">
        <f>SUMIFS('ORDENES'!$M$4:$M$1203,'ORDENES'!$AB$4:$AB$1203,$A225,'ORDENES'!$O$4:$O$1203,$B225,'ORDENES'!$U$4:$U$1203,"correctiva")</f>
        <v/>
      </c>
      <c r="G225" s="25">
        <f>E225+F225</f>
        <v/>
      </c>
      <c r="H225" s="25">
        <f>D225-G225</f>
        <v/>
      </c>
      <c r="I225" s="27">
        <f>IF(D225=0,"",G225/D225)</f>
        <v/>
      </c>
    </row>
    <row r="226" hidden="1">
      <c r="A226" s="24" t="inlineStr">
        <is>
          <t>AUT</t>
        </is>
      </c>
      <c r="B226" s="24">
        <f>$O$59</f>
        <v/>
      </c>
      <c r="C226" s="25">
        <f>SUMIFS('ASIGNACIONES'!$M$4:$M$451,'ASIGNACIONES'!$E$4:$E$451,$A226,'ASIGNACIONES'!$A$4:$A$451,$B226)</f>
        <v/>
      </c>
      <c r="D226" s="25">
        <f>C226*p_factor_productividad</f>
        <v/>
      </c>
      <c r="E226" s="25">
        <f>SUMIFS('ORDENES'!$M$4:$M$1203,'ORDENES'!$AB$4:$AB$1203,$A226,'ORDENES'!$O$4:$O$1203,$B226,'ORDENES'!$U$4:$U$1203,"preventiva")</f>
        <v/>
      </c>
      <c r="F226" s="25">
        <f>SUMIFS('ORDENES'!$M$4:$M$1203,'ORDENES'!$AB$4:$AB$1203,$A226,'ORDENES'!$O$4:$O$1203,$B226,'ORDENES'!$U$4:$U$1203,"correctiva")</f>
        <v/>
      </c>
      <c r="G226" s="25">
        <f>E226+F226</f>
        <v/>
      </c>
      <c r="H226" s="25">
        <f>D226-G226</f>
        <v/>
      </c>
      <c r="I226" s="27">
        <f>IF(D226=0,"",G226/D226)</f>
        <v/>
      </c>
    </row>
    <row r="227" hidden="1">
      <c r="A227" s="24" t="inlineStr">
        <is>
          <t>TERCERO</t>
        </is>
      </c>
      <c r="B227" s="24">
        <f>$O$59</f>
        <v/>
      </c>
      <c r="C227" s="25">
        <f>SUMIFS('ASIGNACIONES'!$M$4:$M$451,'ASIGNACIONES'!$E$4:$E$451,$A227,'ASIGNACIONES'!$A$4:$A$451,$B227)</f>
        <v/>
      </c>
      <c r="D227" s="25">
        <f>C227*p_factor_productividad</f>
        <v/>
      </c>
      <c r="E227" s="25">
        <f>SUMIFS('ORDENES'!$M$4:$M$1203,'ORDENES'!$AB$4:$AB$1203,$A227,'ORDENES'!$O$4:$O$1203,$B227,'ORDENES'!$U$4:$U$1203,"preventiva")</f>
        <v/>
      </c>
      <c r="F227" s="25">
        <f>SUMIFS('ORDENES'!$M$4:$M$1203,'ORDENES'!$AB$4:$AB$1203,$A227,'ORDENES'!$O$4:$O$1203,$B227,'ORDENES'!$U$4:$U$1203,"correctiva")</f>
        <v/>
      </c>
      <c r="G227" s="25">
        <f>E227+F227</f>
        <v/>
      </c>
      <c r="H227" s="25">
        <f>D227-G227</f>
        <v/>
      </c>
      <c r="I227" s="27">
        <f>IF(D227=0,"",G227/D227)</f>
        <v/>
      </c>
    </row>
    <row r="228" hidden="1">
      <c r="A228" s="24" t="inlineStr">
        <is>
          <t>MEC</t>
        </is>
      </c>
      <c r="B228" s="24">
        <f>$O$60</f>
        <v/>
      </c>
      <c r="C228" s="25">
        <f>SUMIFS('ASIGNACIONES'!$M$4:$M$451,'ASIGNACIONES'!$E$4:$E$451,$A228,'ASIGNACIONES'!$A$4:$A$451,$B228)</f>
        <v/>
      </c>
      <c r="D228" s="25">
        <f>C228*p_factor_productividad</f>
        <v/>
      </c>
      <c r="E228" s="25">
        <f>SUMIFS('ORDENES'!$M$4:$M$1203,'ORDENES'!$AB$4:$AB$1203,$A228,'ORDENES'!$O$4:$O$1203,$B228,'ORDENES'!$U$4:$U$1203,"preventiva")</f>
        <v/>
      </c>
      <c r="F228" s="25">
        <f>SUMIFS('ORDENES'!$M$4:$M$1203,'ORDENES'!$AB$4:$AB$1203,$A228,'ORDENES'!$O$4:$O$1203,$B228,'ORDENES'!$U$4:$U$1203,"correctiva")</f>
        <v/>
      </c>
      <c r="G228" s="25">
        <f>E228+F228</f>
        <v/>
      </c>
      <c r="H228" s="25">
        <f>D228-G228</f>
        <v/>
      </c>
      <c r="I228" s="27">
        <f>IF(D228=0,"",G228/D228)</f>
        <v/>
      </c>
    </row>
    <row r="229" hidden="1">
      <c r="A229" s="24" t="inlineStr">
        <is>
          <t>ELE</t>
        </is>
      </c>
      <c r="B229" s="24">
        <f>$O$60</f>
        <v/>
      </c>
      <c r="C229" s="25">
        <f>SUMIFS('ASIGNACIONES'!$M$4:$M$451,'ASIGNACIONES'!$E$4:$E$451,$A229,'ASIGNACIONES'!$A$4:$A$451,$B229)</f>
        <v/>
      </c>
      <c r="D229" s="25">
        <f>C229*p_factor_productividad</f>
        <v/>
      </c>
      <c r="E229" s="25">
        <f>SUMIFS('ORDENES'!$M$4:$M$1203,'ORDENES'!$AB$4:$AB$1203,$A229,'ORDENES'!$O$4:$O$1203,$B229,'ORDENES'!$U$4:$U$1203,"preventiva")</f>
        <v/>
      </c>
      <c r="F229" s="25">
        <f>SUMIFS('ORDENES'!$M$4:$M$1203,'ORDENES'!$AB$4:$AB$1203,$A229,'ORDENES'!$O$4:$O$1203,$B229,'ORDENES'!$U$4:$U$1203,"correctiva")</f>
        <v/>
      </c>
      <c r="G229" s="25">
        <f>E229+F229</f>
        <v/>
      </c>
      <c r="H229" s="25">
        <f>D229-G229</f>
        <v/>
      </c>
      <c r="I229" s="27">
        <f>IF(D229=0,"",G229/D229)</f>
        <v/>
      </c>
    </row>
    <row r="230" hidden="1">
      <c r="A230" s="24" t="inlineStr">
        <is>
          <t>AUT</t>
        </is>
      </c>
      <c r="B230" s="24">
        <f>$O$60</f>
        <v/>
      </c>
      <c r="C230" s="25">
        <f>SUMIFS('ASIGNACIONES'!$M$4:$M$451,'ASIGNACIONES'!$E$4:$E$451,$A230,'ASIGNACIONES'!$A$4:$A$451,$B230)</f>
        <v/>
      </c>
      <c r="D230" s="25">
        <f>C230*p_factor_productividad</f>
        <v/>
      </c>
      <c r="E230" s="25">
        <f>SUMIFS('ORDENES'!$M$4:$M$1203,'ORDENES'!$AB$4:$AB$1203,$A230,'ORDENES'!$O$4:$O$1203,$B230,'ORDENES'!$U$4:$U$1203,"preventiva")</f>
        <v/>
      </c>
      <c r="F230" s="25">
        <f>SUMIFS('ORDENES'!$M$4:$M$1203,'ORDENES'!$AB$4:$AB$1203,$A230,'ORDENES'!$O$4:$O$1203,$B230,'ORDENES'!$U$4:$U$1203,"correctiva")</f>
        <v/>
      </c>
      <c r="G230" s="25">
        <f>E230+F230</f>
        <v/>
      </c>
      <c r="H230" s="25">
        <f>D230-G230</f>
        <v/>
      </c>
      <c r="I230" s="27">
        <f>IF(D230=0,"",G230/D230)</f>
        <v/>
      </c>
    </row>
    <row r="231" hidden="1">
      <c r="A231" s="24" t="inlineStr">
        <is>
          <t>TERCERO</t>
        </is>
      </c>
      <c r="B231" s="24">
        <f>$O$60</f>
        <v/>
      </c>
      <c r="C231" s="25">
        <f>SUMIFS('ASIGNACIONES'!$M$4:$M$451,'ASIGNACIONES'!$E$4:$E$451,$A231,'ASIGNACIONES'!$A$4:$A$451,$B231)</f>
        <v/>
      </c>
      <c r="D231" s="25">
        <f>C231*p_factor_productividad</f>
        <v/>
      </c>
      <c r="E231" s="25">
        <f>SUMIFS('ORDENES'!$M$4:$M$1203,'ORDENES'!$AB$4:$AB$1203,$A231,'ORDENES'!$O$4:$O$1203,$B231,'ORDENES'!$U$4:$U$1203,"preventiva")</f>
        <v/>
      </c>
      <c r="F231" s="25">
        <f>SUMIFS('ORDENES'!$M$4:$M$1203,'ORDENES'!$AB$4:$AB$1203,$A231,'ORDENES'!$O$4:$O$1203,$B231,'ORDENES'!$U$4:$U$1203,"correctiva")</f>
        <v/>
      </c>
      <c r="G231" s="25">
        <f>E231+F231</f>
        <v/>
      </c>
      <c r="H231" s="25">
        <f>D231-G231</f>
        <v/>
      </c>
      <c r="I231" s="27">
        <f>IF(D231=0,"",G231/D231)</f>
        <v/>
      </c>
    </row>
    <row r="232" hidden="1">
      <c r="A232" s="24" t="inlineStr">
        <is>
          <t>MEC</t>
        </is>
      </c>
      <c r="B232" s="24">
        <f>$O$61</f>
        <v/>
      </c>
      <c r="C232" s="25">
        <f>SUMIFS('ASIGNACIONES'!$M$4:$M$451,'ASIGNACIONES'!$E$4:$E$451,$A232,'ASIGNACIONES'!$A$4:$A$451,$B232)</f>
        <v/>
      </c>
      <c r="D232" s="25">
        <f>C232*p_factor_productividad</f>
        <v/>
      </c>
      <c r="E232" s="25">
        <f>SUMIFS('ORDENES'!$M$4:$M$1203,'ORDENES'!$AB$4:$AB$1203,$A232,'ORDENES'!$O$4:$O$1203,$B232,'ORDENES'!$U$4:$U$1203,"preventiva")</f>
        <v/>
      </c>
      <c r="F232" s="25">
        <f>SUMIFS('ORDENES'!$M$4:$M$1203,'ORDENES'!$AB$4:$AB$1203,$A232,'ORDENES'!$O$4:$O$1203,$B232,'ORDENES'!$U$4:$U$1203,"correctiva")</f>
        <v/>
      </c>
      <c r="G232" s="25">
        <f>E232+F232</f>
        <v/>
      </c>
      <c r="H232" s="25">
        <f>D232-G232</f>
        <v/>
      </c>
      <c r="I232" s="27">
        <f>IF(D232=0,"",G232/D232)</f>
        <v/>
      </c>
    </row>
    <row r="233" hidden="1">
      <c r="A233" s="24" t="inlineStr">
        <is>
          <t>ELE</t>
        </is>
      </c>
      <c r="B233" s="24">
        <f>$O$61</f>
        <v/>
      </c>
      <c r="C233" s="25">
        <f>SUMIFS('ASIGNACIONES'!$M$4:$M$451,'ASIGNACIONES'!$E$4:$E$451,$A233,'ASIGNACIONES'!$A$4:$A$451,$B233)</f>
        <v/>
      </c>
      <c r="D233" s="25">
        <f>C233*p_factor_productividad</f>
        <v/>
      </c>
      <c r="E233" s="25">
        <f>SUMIFS('ORDENES'!$M$4:$M$1203,'ORDENES'!$AB$4:$AB$1203,$A233,'ORDENES'!$O$4:$O$1203,$B233,'ORDENES'!$U$4:$U$1203,"preventiva")</f>
        <v/>
      </c>
      <c r="F233" s="25">
        <f>SUMIFS('ORDENES'!$M$4:$M$1203,'ORDENES'!$AB$4:$AB$1203,$A233,'ORDENES'!$O$4:$O$1203,$B233,'ORDENES'!$U$4:$U$1203,"correctiva")</f>
        <v/>
      </c>
      <c r="G233" s="25">
        <f>E233+F233</f>
        <v/>
      </c>
      <c r="H233" s="25">
        <f>D233-G233</f>
        <v/>
      </c>
      <c r="I233" s="27">
        <f>IF(D233=0,"",G233/D233)</f>
        <v/>
      </c>
    </row>
    <row r="234" hidden="1">
      <c r="A234" s="24" t="inlineStr">
        <is>
          <t>AUT</t>
        </is>
      </c>
      <c r="B234" s="24">
        <f>$O$61</f>
        <v/>
      </c>
      <c r="C234" s="25">
        <f>SUMIFS('ASIGNACIONES'!$M$4:$M$451,'ASIGNACIONES'!$E$4:$E$451,$A234,'ASIGNACIONES'!$A$4:$A$451,$B234)</f>
        <v/>
      </c>
      <c r="D234" s="25">
        <f>C234*p_factor_productividad</f>
        <v/>
      </c>
      <c r="E234" s="25">
        <f>SUMIFS('ORDENES'!$M$4:$M$1203,'ORDENES'!$AB$4:$AB$1203,$A234,'ORDENES'!$O$4:$O$1203,$B234,'ORDENES'!$U$4:$U$1203,"preventiva")</f>
        <v/>
      </c>
      <c r="F234" s="25">
        <f>SUMIFS('ORDENES'!$M$4:$M$1203,'ORDENES'!$AB$4:$AB$1203,$A234,'ORDENES'!$O$4:$O$1203,$B234,'ORDENES'!$U$4:$U$1203,"correctiva")</f>
        <v/>
      </c>
      <c r="G234" s="25">
        <f>E234+F234</f>
        <v/>
      </c>
      <c r="H234" s="25">
        <f>D234-G234</f>
        <v/>
      </c>
      <c r="I234" s="27">
        <f>IF(D234=0,"",G234/D234)</f>
        <v/>
      </c>
    </row>
    <row r="235" hidden="1">
      <c r="A235" s="24" t="inlineStr">
        <is>
          <t>TERCERO</t>
        </is>
      </c>
      <c r="B235" s="24">
        <f>$O$61</f>
        <v/>
      </c>
      <c r="C235" s="25">
        <f>SUMIFS('ASIGNACIONES'!$M$4:$M$451,'ASIGNACIONES'!$E$4:$E$451,$A235,'ASIGNACIONES'!$A$4:$A$451,$B235)</f>
        <v/>
      </c>
      <c r="D235" s="25">
        <f>C235*p_factor_productividad</f>
        <v/>
      </c>
      <c r="E235" s="25">
        <f>SUMIFS('ORDENES'!$M$4:$M$1203,'ORDENES'!$AB$4:$AB$1203,$A235,'ORDENES'!$O$4:$O$1203,$B235,'ORDENES'!$U$4:$U$1203,"preventiva")</f>
        <v/>
      </c>
      <c r="F235" s="25">
        <f>SUMIFS('ORDENES'!$M$4:$M$1203,'ORDENES'!$AB$4:$AB$1203,$A235,'ORDENES'!$O$4:$O$1203,$B235,'ORDENES'!$U$4:$U$1203,"correctiva")</f>
        <v/>
      </c>
      <c r="G235" s="25">
        <f>E235+F235</f>
        <v/>
      </c>
      <c r="H235" s="25">
        <f>D235-G235</f>
        <v/>
      </c>
      <c r="I235" s="27">
        <f>IF(D235=0,"",G235/D235)</f>
        <v/>
      </c>
    </row>
    <row r="236" hidden="1">
      <c r="A236" s="24" t="inlineStr">
        <is>
          <t>MEC</t>
        </is>
      </c>
      <c r="B236" s="24">
        <f>$O$62</f>
        <v/>
      </c>
      <c r="C236" s="25">
        <f>SUMIFS('ASIGNACIONES'!$M$4:$M$451,'ASIGNACIONES'!$E$4:$E$451,$A236,'ASIGNACIONES'!$A$4:$A$451,$B236)</f>
        <v/>
      </c>
      <c r="D236" s="25">
        <f>C236*p_factor_productividad</f>
        <v/>
      </c>
      <c r="E236" s="25">
        <f>SUMIFS('ORDENES'!$M$4:$M$1203,'ORDENES'!$AB$4:$AB$1203,$A236,'ORDENES'!$O$4:$O$1203,$B236,'ORDENES'!$U$4:$U$1203,"preventiva")</f>
        <v/>
      </c>
      <c r="F236" s="25">
        <f>SUMIFS('ORDENES'!$M$4:$M$1203,'ORDENES'!$AB$4:$AB$1203,$A236,'ORDENES'!$O$4:$O$1203,$B236,'ORDENES'!$U$4:$U$1203,"correctiva")</f>
        <v/>
      </c>
      <c r="G236" s="25">
        <f>E236+F236</f>
        <v/>
      </c>
      <c r="H236" s="25">
        <f>D236-G236</f>
        <v/>
      </c>
      <c r="I236" s="27">
        <f>IF(D236=0,"",G236/D236)</f>
        <v/>
      </c>
    </row>
    <row r="237" hidden="1">
      <c r="A237" s="24" t="inlineStr">
        <is>
          <t>ELE</t>
        </is>
      </c>
      <c r="B237" s="24">
        <f>$O$62</f>
        <v/>
      </c>
      <c r="C237" s="25">
        <f>SUMIFS('ASIGNACIONES'!$M$4:$M$451,'ASIGNACIONES'!$E$4:$E$451,$A237,'ASIGNACIONES'!$A$4:$A$451,$B237)</f>
        <v/>
      </c>
      <c r="D237" s="25">
        <f>C237*p_factor_productividad</f>
        <v/>
      </c>
      <c r="E237" s="25">
        <f>SUMIFS('ORDENES'!$M$4:$M$1203,'ORDENES'!$AB$4:$AB$1203,$A237,'ORDENES'!$O$4:$O$1203,$B237,'ORDENES'!$U$4:$U$1203,"preventiva")</f>
        <v/>
      </c>
      <c r="F237" s="25">
        <f>SUMIFS('ORDENES'!$M$4:$M$1203,'ORDENES'!$AB$4:$AB$1203,$A237,'ORDENES'!$O$4:$O$1203,$B237,'ORDENES'!$U$4:$U$1203,"correctiva")</f>
        <v/>
      </c>
      <c r="G237" s="25">
        <f>E237+F237</f>
        <v/>
      </c>
      <c r="H237" s="25">
        <f>D237-G237</f>
        <v/>
      </c>
      <c r="I237" s="27">
        <f>IF(D237=0,"",G237/D237)</f>
        <v/>
      </c>
    </row>
    <row r="238" hidden="1">
      <c r="A238" s="24" t="inlineStr">
        <is>
          <t>AUT</t>
        </is>
      </c>
      <c r="B238" s="24">
        <f>$O$62</f>
        <v/>
      </c>
      <c r="C238" s="25">
        <f>SUMIFS('ASIGNACIONES'!$M$4:$M$451,'ASIGNACIONES'!$E$4:$E$451,$A238,'ASIGNACIONES'!$A$4:$A$451,$B238)</f>
        <v/>
      </c>
      <c r="D238" s="25">
        <f>C238*p_factor_productividad</f>
        <v/>
      </c>
      <c r="E238" s="25">
        <f>SUMIFS('ORDENES'!$M$4:$M$1203,'ORDENES'!$AB$4:$AB$1203,$A238,'ORDENES'!$O$4:$O$1203,$B238,'ORDENES'!$U$4:$U$1203,"preventiva")</f>
        <v/>
      </c>
      <c r="F238" s="25">
        <f>SUMIFS('ORDENES'!$M$4:$M$1203,'ORDENES'!$AB$4:$AB$1203,$A238,'ORDENES'!$O$4:$O$1203,$B238,'ORDENES'!$U$4:$U$1203,"correctiva")</f>
        <v/>
      </c>
      <c r="G238" s="25">
        <f>E238+F238</f>
        <v/>
      </c>
      <c r="H238" s="25">
        <f>D238-G238</f>
        <v/>
      </c>
      <c r="I238" s="27">
        <f>IF(D238=0,"",G238/D238)</f>
        <v/>
      </c>
    </row>
    <row r="239" hidden="1">
      <c r="A239" s="24" t="inlineStr">
        <is>
          <t>TERCERO</t>
        </is>
      </c>
      <c r="B239" s="24">
        <f>$O$62</f>
        <v/>
      </c>
      <c r="C239" s="25">
        <f>SUMIFS('ASIGNACIONES'!$M$4:$M$451,'ASIGNACIONES'!$E$4:$E$451,$A239,'ASIGNACIONES'!$A$4:$A$451,$B239)</f>
        <v/>
      </c>
      <c r="D239" s="25">
        <f>C239*p_factor_productividad</f>
        <v/>
      </c>
      <c r="E239" s="25">
        <f>SUMIFS('ORDENES'!$M$4:$M$1203,'ORDENES'!$AB$4:$AB$1203,$A239,'ORDENES'!$O$4:$O$1203,$B239,'ORDENES'!$U$4:$U$1203,"preventiva")</f>
        <v/>
      </c>
      <c r="F239" s="25">
        <f>SUMIFS('ORDENES'!$M$4:$M$1203,'ORDENES'!$AB$4:$AB$1203,$A239,'ORDENES'!$O$4:$O$1203,$B239,'ORDENES'!$U$4:$U$1203,"correctiva")</f>
        <v/>
      </c>
      <c r="G239" s="25">
        <f>E239+F239</f>
        <v/>
      </c>
      <c r="H239" s="25">
        <f>D239-G239</f>
        <v/>
      </c>
      <c r="I239" s="27">
        <f>IF(D239=0,"",G239/D239)</f>
        <v/>
      </c>
    </row>
    <row r="240" hidden="1">
      <c r="A240" s="24" t="inlineStr">
        <is>
          <t>MEC</t>
        </is>
      </c>
      <c r="B240" s="24">
        <f>$O$63</f>
        <v/>
      </c>
      <c r="C240" s="25">
        <f>SUMIFS('ASIGNACIONES'!$M$4:$M$451,'ASIGNACIONES'!$E$4:$E$451,$A240,'ASIGNACIONES'!$A$4:$A$451,$B240)</f>
        <v/>
      </c>
      <c r="D240" s="25">
        <f>C240*p_factor_productividad</f>
        <v/>
      </c>
      <c r="E240" s="25">
        <f>SUMIFS('ORDENES'!$M$4:$M$1203,'ORDENES'!$AB$4:$AB$1203,$A240,'ORDENES'!$O$4:$O$1203,$B240,'ORDENES'!$U$4:$U$1203,"preventiva")</f>
        <v/>
      </c>
      <c r="F240" s="25">
        <f>SUMIFS('ORDENES'!$M$4:$M$1203,'ORDENES'!$AB$4:$AB$1203,$A240,'ORDENES'!$O$4:$O$1203,$B240,'ORDENES'!$U$4:$U$1203,"correctiva")</f>
        <v/>
      </c>
      <c r="G240" s="25">
        <f>E240+F240</f>
        <v/>
      </c>
      <c r="H240" s="25">
        <f>D240-G240</f>
        <v/>
      </c>
      <c r="I240" s="27">
        <f>IF(D240=0,"",G240/D240)</f>
        <v/>
      </c>
    </row>
    <row r="241" hidden="1">
      <c r="A241" s="24" t="inlineStr">
        <is>
          <t>ELE</t>
        </is>
      </c>
      <c r="B241" s="24">
        <f>$O$63</f>
        <v/>
      </c>
      <c r="C241" s="25">
        <f>SUMIFS('ASIGNACIONES'!$M$4:$M$451,'ASIGNACIONES'!$E$4:$E$451,$A241,'ASIGNACIONES'!$A$4:$A$451,$B241)</f>
        <v/>
      </c>
      <c r="D241" s="25">
        <f>C241*p_factor_productividad</f>
        <v/>
      </c>
      <c r="E241" s="25">
        <f>SUMIFS('ORDENES'!$M$4:$M$1203,'ORDENES'!$AB$4:$AB$1203,$A241,'ORDENES'!$O$4:$O$1203,$B241,'ORDENES'!$U$4:$U$1203,"preventiva")</f>
        <v/>
      </c>
      <c r="F241" s="25">
        <f>SUMIFS('ORDENES'!$M$4:$M$1203,'ORDENES'!$AB$4:$AB$1203,$A241,'ORDENES'!$O$4:$O$1203,$B241,'ORDENES'!$U$4:$U$1203,"correctiva")</f>
        <v/>
      </c>
      <c r="G241" s="25">
        <f>E241+F241</f>
        <v/>
      </c>
      <c r="H241" s="25">
        <f>D241-G241</f>
        <v/>
      </c>
      <c r="I241" s="27">
        <f>IF(D241=0,"",G241/D241)</f>
        <v/>
      </c>
    </row>
    <row r="242" hidden="1">
      <c r="A242" s="24" t="inlineStr">
        <is>
          <t>AUT</t>
        </is>
      </c>
      <c r="B242" s="24">
        <f>$O$63</f>
        <v/>
      </c>
      <c r="C242" s="25">
        <f>SUMIFS('ASIGNACIONES'!$M$4:$M$451,'ASIGNACIONES'!$E$4:$E$451,$A242,'ASIGNACIONES'!$A$4:$A$451,$B242)</f>
        <v/>
      </c>
      <c r="D242" s="25">
        <f>C242*p_factor_productividad</f>
        <v/>
      </c>
      <c r="E242" s="25">
        <f>SUMIFS('ORDENES'!$M$4:$M$1203,'ORDENES'!$AB$4:$AB$1203,$A242,'ORDENES'!$O$4:$O$1203,$B242,'ORDENES'!$U$4:$U$1203,"preventiva")</f>
        <v/>
      </c>
      <c r="F242" s="25">
        <f>SUMIFS('ORDENES'!$M$4:$M$1203,'ORDENES'!$AB$4:$AB$1203,$A242,'ORDENES'!$O$4:$O$1203,$B242,'ORDENES'!$U$4:$U$1203,"correctiva")</f>
        <v/>
      </c>
      <c r="G242" s="25">
        <f>E242+F242</f>
        <v/>
      </c>
      <c r="H242" s="25">
        <f>D242-G242</f>
        <v/>
      </c>
      <c r="I242" s="27">
        <f>IF(D242=0,"",G242/D242)</f>
        <v/>
      </c>
    </row>
    <row r="243" hidden="1">
      <c r="A243" s="24" t="inlineStr">
        <is>
          <t>TERCERO</t>
        </is>
      </c>
      <c r="B243" s="24">
        <f>$O$63</f>
        <v/>
      </c>
      <c r="C243" s="25">
        <f>SUMIFS('ASIGNACIONES'!$M$4:$M$451,'ASIGNACIONES'!$E$4:$E$451,$A243,'ASIGNACIONES'!$A$4:$A$451,$B243)</f>
        <v/>
      </c>
      <c r="D243" s="25">
        <f>C243*p_factor_productividad</f>
        <v/>
      </c>
      <c r="E243" s="25">
        <f>SUMIFS('ORDENES'!$M$4:$M$1203,'ORDENES'!$AB$4:$AB$1203,$A243,'ORDENES'!$O$4:$O$1203,$B243,'ORDENES'!$U$4:$U$1203,"preventiva")</f>
        <v/>
      </c>
      <c r="F243" s="25">
        <f>SUMIFS('ORDENES'!$M$4:$M$1203,'ORDENES'!$AB$4:$AB$1203,$A243,'ORDENES'!$O$4:$O$1203,$B243,'ORDENES'!$U$4:$U$1203,"correctiva")</f>
        <v/>
      </c>
      <c r="G243" s="25">
        <f>E243+F243</f>
        <v/>
      </c>
      <c r="H243" s="25">
        <f>D243-G243</f>
        <v/>
      </c>
      <c r="I243" s="27">
        <f>IF(D243=0,"",G243/D243)</f>
        <v/>
      </c>
    </row>
    <row r="244"/>
    <row r="245">
      <c r="A245" s="3" t="inlineStr">
        <is>
          <t>MATRIZ % CARGA — semana × especialidad. Semáforo: verde &lt; 85 %, amarillo 85–100 %, rojo &gt; 100 %. Semanas sin datos ocultas.</t>
        </is>
      </c>
    </row>
    <row r="246">
      <c r="A246" s="23" t="inlineStr">
        <is>
          <t>semana</t>
        </is>
      </c>
      <c r="B246" s="23" t="inlineStr">
        <is>
          <t>MEC</t>
        </is>
      </c>
      <c r="C246" s="23" t="inlineStr">
        <is>
          <t>ELE</t>
        </is>
      </c>
      <c r="D246" s="23" t="inlineStr">
        <is>
          <t>AUT</t>
        </is>
      </c>
      <c r="E246" s="23" t="inlineStr">
        <is>
          <t>TERCERO</t>
        </is>
      </c>
    </row>
    <row r="247">
      <c r="A247" s="24">
        <f>$O$4</f>
        <v/>
      </c>
      <c r="B247" s="27">
        <f>$I$4</f>
        <v/>
      </c>
      <c r="C247" s="27">
        <f>$I$5</f>
        <v/>
      </c>
      <c r="D247" s="27">
        <f>$I$6</f>
        <v/>
      </c>
      <c r="E247" s="27">
        <f>$I$7</f>
        <v/>
      </c>
    </row>
    <row r="248">
      <c r="A248" s="24">
        <f>$O$5</f>
        <v/>
      </c>
      <c r="B248" s="27">
        <f>$I$8</f>
        <v/>
      </c>
      <c r="C248" s="27">
        <f>$I$9</f>
        <v/>
      </c>
      <c r="D248" s="27">
        <f>$I$10</f>
        <v/>
      </c>
      <c r="E248" s="27">
        <f>$I$11</f>
        <v/>
      </c>
    </row>
    <row r="249" hidden="1">
      <c r="A249" s="24">
        <f>$O$6</f>
        <v/>
      </c>
      <c r="B249" s="27">
        <f>$I$12</f>
        <v/>
      </c>
      <c r="C249" s="27">
        <f>$I$13</f>
        <v/>
      </c>
      <c r="D249" s="27">
        <f>$I$14</f>
        <v/>
      </c>
      <c r="E249" s="27">
        <f>$I$15</f>
        <v/>
      </c>
    </row>
    <row r="250" hidden="1">
      <c r="A250" s="24">
        <f>$O$7</f>
        <v/>
      </c>
      <c r="B250" s="27">
        <f>$I$16</f>
        <v/>
      </c>
      <c r="C250" s="27">
        <f>$I$17</f>
        <v/>
      </c>
      <c r="D250" s="27">
        <f>$I$18</f>
        <v/>
      </c>
      <c r="E250" s="27">
        <f>$I$19</f>
        <v/>
      </c>
    </row>
    <row r="251" hidden="1">
      <c r="A251" s="24">
        <f>$O$8</f>
        <v/>
      </c>
      <c r="B251" s="27">
        <f>$I$20</f>
        <v/>
      </c>
      <c r="C251" s="27">
        <f>$I$21</f>
        <v/>
      </c>
      <c r="D251" s="27">
        <f>$I$22</f>
        <v/>
      </c>
      <c r="E251" s="27">
        <f>$I$23</f>
        <v/>
      </c>
    </row>
    <row r="252" hidden="1">
      <c r="A252" s="24">
        <f>$O$9</f>
        <v/>
      </c>
      <c r="B252" s="27">
        <f>$I$24</f>
        <v/>
      </c>
      <c r="C252" s="27">
        <f>$I$25</f>
        <v/>
      </c>
      <c r="D252" s="27">
        <f>$I$26</f>
        <v/>
      </c>
      <c r="E252" s="27">
        <f>$I$27</f>
        <v/>
      </c>
    </row>
    <row r="253" hidden="1">
      <c r="A253" s="24">
        <f>$O$10</f>
        <v/>
      </c>
      <c r="B253" s="27">
        <f>$I$28</f>
        <v/>
      </c>
      <c r="C253" s="27">
        <f>$I$29</f>
        <v/>
      </c>
      <c r="D253" s="27">
        <f>$I$30</f>
        <v/>
      </c>
      <c r="E253" s="27">
        <f>$I$31</f>
        <v/>
      </c>
    </row>
    <row r="254" hidden="1">
      <c r="A254" s="24">
        <f>$O$11</f>
        <v/>
      </c>
      <c r="B254" s="27">
        <f>$I$32</f>
        <v/>
      </c>
      <c r="C254" s="27">
        <f>$I$33</f>
        <v/>
      </c>
      <c r="D254" s="27">
        <f>$I$34</f>
        <v/>
      </c>
      <c r="E254" s="27">
        <f>$I$35</f>
        <v/>
      </c>
    </row>
    <row r="255" hidden="1">
      <c r="A255" s="24">
        <f>$O$12</f>
        <v/>
      </c>
      <c r="B255" s="27">
        <f>$I$36</f>
        <v/>
      </c>
      <c r="C255" s="27">
        <f>$I$37</f>
        <v/>
      </c>
      <c r="D255" s="27">
        <f>$I$38</f>
        <v/>
      </c>
      <c r="E255" s="27">
        <f>$I$39</f>
        <v/>
      </c>
    </row>
    <row r="256" hidden="1">
      <c r="A256" s="24">
        <f>$O$13</f>
        <v/>
      </c>
      <c r="B256" s="27">
        <f>$I$40</f>
        <v/>
      </c>
      <c r="C256" s="27">
        <f>$I$41</f>
        <v/>
      </c>
      <c r="D256" s="27">
        <f>$I$42</f>
        <v/>
      </c>
      <c r="E256" s="27">
        <f>$I$43</f>
        <v/>
      </c>
    </row>
    <row r="257" hidden="1">
      <c r="A257" s="24">
        <f>$O$14</f>
        <v/>
      </c>
      <c r="B257" s="27">
        <f>$I$44</f>
        <v/>
      </c>
      <c r="C257" s="27">
        <f>$I$45</f>
        <v/>
      </c>
      <c r="D257" s="27">
        <f>$I$46</f>
        <v/>
      </c>
      <c r="E257" s="27">
        <f>$I$47</f>
        <v/>
      </c>
    </row>
    <row r="258" hidden="1">
      <c r="A258" s="24">
        <f>$O$15</f>
        <v/>
      </c>
      <c r="B258" s="27">
        <f>$I$48</f>
        <v/>
      </c>
      <c r="C258" s="27">
        <f>$I$49</f>
        <v/>
      </c>
      <c r="D258" s="27">
        <f>$I$50</f>
        <v/>
      </c>
      <c r="E258" s="27">
        <f>$I$51</f>
        <v/>
      </c>
    </row>
    <row r="259" hidden="1">
      <c r="A259" s="24">
        <f>$O$16</f>
        <v/>
      </c>
      <c r="B259" s="27">
        <f>$I$52</f>
        <v/>
      </c>
      <c r="C259" s="27">
        <f>$I$53</f>
        <v/>
      </c>
      <c r="D259" s="27">
        <f>$I$54</f>
        <v/>
      </c>
      <c r="E259" s="27">
        <f>$I$55</f>
        <v/>
      </c>
    </row>
    <row r="260" hidden="1">
      <c r="A260" s="24">
        <f>$O$17</f>
        <v/>
      </c>
      <c r="B260" s="27">
        <f>$I$56</f>
        <v/>
      </c>
      <c r="C260" s="27">
        <f>$I$57</f>
        <v/>
      </c>
      <c r="D260" s="27">
        <f>$I$58</f>
        <v/>
      </c>
      <c r="E260" s="27">
        <f>$I$59</f>
        <v/>
      </c>
    </row>
    <row r="261" hidden="1">
      <c r="A261" s="24">
        <f>$O$18</f>
        <v/>
      </c>
      <c r="B261" s="27">
        <f>$I$60</f>
        <v/>
      </c>
      <c r="C261" s="27">
        <f>$I$61</f>
        <v/>
      </c>
      <c r="D261" s="27">
        <f>$I$62</f>
        <v/>
      </c>
      <c r="E261" s="27">
        <f>$I$63</f>
        <v/>
      </c>
    </row>
    <row r="262" hidden="1">
      <c r="A262" s="24">
        <f>$O$19</f>
        <v/>
      </c>
      <c r="B262" s="27">
        <f>$I$64</f>
        <v/>
      </c>
      <c r="C262" s="27">
        <f>$I$65</f>
        <v/>
      </c>
      <c r="D262" s="27">
        <f>$I$66</f>
        <v/>
      </c>
      <c r="E262" s="27">
        <f>$I$67</f>
        <v/>
      </c>
    </row>
    <row r="263" hidden="1">
      <c r="A263" s="24">
        <f>$O$20</f>
        <v/>
      </c>
      <c r="B263" s="27">
        <f>$I$68</f>
        <v/>
      </c>
      <c r="C263" s="27">
        <f>$I$69</f>
        <v/>
      </c>
      <c r="D263" s="27">
        <f>$I$70</f>
        <v/>
      </c>
      <c r="E263" s="27">
        <f>$I$71</f>
        <v/>
      </c>
    </row>
    <row r="264" hidden="1">
      <c r="A264" s="24">
        <f>$O$21</f>
        <v/>
      </c>
      <c r="B264" s="27">
        <f>$I$72</f>
        <v/>
      </c>
      <c r="C264" s="27">
        <f>$I$73</f>
        <v/>
      </c>
      <c r="D264" s="27">
        <f>$I$74</f>
        <v/>
      </c>
      <c r="E264" s="27">
        <f>$I$75</f>
        <v/>
      </c>
    </row>
    <row r="265" hidden="1">
      <c r="A265" s="24">
        <f>$O$22</f>
        <v/>
      </c>
      <c r="B265" s="27">
        <f>$I$76</f>
        <v/>
      </c>
      <c r="C265" s="27">
        <f>$I$77</f>
        <v/>
      </c>
      <c r="D265" s="27">
        <f>$I$78</f>
        <v/>
      </c>
      <c r="E265" s="27">
        <f>$I$79</f>
        <v/>
      </c>
    </row>
    <row r="266" hidden="1">
      <c r="A266" s="24">
        <f>$O$23</f>
        <v/>
      </c>
      <c r="B266" s="27">
        <f>$I$80</f>
        <v/>
      </c>
      <c r="C266" s="27">
        <f>$I$81</f>
        <v/>
      </c>
      <c r="D266" s="27">
        <f>$I$82</f>
        <v/>
      </c>
      <c r="E266" s="27">
        <f>$I$83</f>
        <v/>
      </c>
    </row>
    <row r="267" hidden="1">
      <c r="A267" s="24">
        <f>$O$24</f>
        <v/>
      </c>
      <c r="B267" s="27">
        <f>$I$84</f>
        <v/>
      </c>
      <c r="C267" s="27">
        <f>$I$85</f>
        <v/>
      </c>
      <c r="D267" s="27">
        <f>$I$86</f>
        <v/>
      </c>
      <c r="E267" s="27">
        <f>$I$87</f>
        <v/>
      </c>
    </row>
    <row r="268" hidden="1">
      <c r="A268" s="24">
        <f>$O$25</f>
        <v/>
      </c>
      <c r="B268" s="27">
        <f>$I$88</f>
        <v/>
      </c>
      <c r="C268" s="27">
        <f>$I$89</f>
        <v/>
      </c>
      <c r="D268" s="27">
        <f>$I$90</f>
        <v/>
      </c>
      <c r="E268" s="27">
        <f>$I$91</f>
        <v/>
      </c>
    </row>
    <row r="269" hidden="1">
      <c r="A269" s="24">
        <f>$O$26</f>
        <v/>
      </c>
      <c r="B269" s="27">
        <f>$I$92</f>
        <v/>
      </c>
      <c r="C269" s="27">
        <f>$I$93</f>
        <v/>
      </c>
      <c r="D269" s="27">
        <f>$I$94</f>
        <v/>
      </c>
      <c r="E269" s="27">
        <f>$I$95</f>
        <v/>
      </c>
    </row>
    <row r="270" hidden="1">
      <c r="A270" s="24">
        <f>$O$27</f>
        <v/>
      </c>
      <c r="B270" s="27">
        <f>$I$96</f>
        <v/>
      </c>
      <c r="C270" s="27">
        <f>$I$97</f>
        <v/>
      </c>
      <c r="D270" s="27">
        <f>$I$98</f>
        <v/>
      </c>
      <c r="E270" s="27">
        <f>$I$99</f>
        <v/>
      </c>
    </row>
    <row r="271" hidden="1">
      <c r="A271" s="24">
        <f>$O$28</f>
        <v/>
      </c>
      <c r="B271" s="27">
        <f>$I$100</f>
        <v/>
      </c>
      <c r="C271" s="27">
        <f>$I$101</f>
        <v/>
      </c>
      <c r="D271" s="27">
        <f>$I$102</f>
        <v/>
      </c>
      <c r="E271" s="27">
        <f>$I$103</f>
        <v/>
      </c>
    </row>
    <row r="272" hidden="1">
      <c r="A272" s="24">
        <f>$O$29</f>
        <v/>
      </c>
      <c r="B272" s="27">
        <f>$I$104</f>
        <v/>
      </c>
      <c r="C272" s="27">
        <f>$I$105</f>
        <v/>
      </c>
      <c r="D272" s="27">
        <f>$I$106</f>
        <v/>
      </c>
      <c r="E272" s="27">
        <f>$I$107</f>
        <v/>
      </c>
    </row>
    <row r="273" hidden="1">
      <c r="A273" s="24">
        <f>$O$30</f>
        <v/>
      </c>
      <c r="B273" s="27">
        <f>$I$108</f>
        <v/>
      </c>
      <c r="C273" s="27">
        <f>$I$109</f>
        <v/>
      </c>
      <c r="D273" s="27">
        <f>$I$110</f>
        <v/>
      </c>
      <c r="E273" s="27">
        <f>$I$111</f>
        <v/>
      </c>
    </row>
    <row r="274" hidden="1">
      <c r="A274" s="24">
        <f>$O$31</f>
        <v/>
      </c>
      <c r="B274" s="27">
        <f>$I$112</f>
        <v/>
      </c>
      <c r="C274" s="27">
        <f>$I$113</f>
        <v/>
      </c>
      <c r="D274" s="27">
        <f>$I$114</f>
        <v/>
      </c>
      <c r="E274" s="27">
        <f>$I$115</f>
        <v/>
      </c>
    </row>
    <row r="275" hidden="1">
      <c r="A275" s="24">
        <f>$O$32</f>
        <v/>
      </c>
      <c r="B275" s="27">
        <f>$I$116</f>
        <v/>
      </c>
      <c r="C275" s="27">
        <f>$I$117</f>
        <v/>
      </c>
      <c r="D275" s="27">
        <f>$I$118</f>
        <v/>
      </c>
      <c r="E275" s="27">
        <f>$I$119</f>
        <v/>
      </c>
    </row>
    <row r="276" hidden="1">
      <c r="A276" s="24">
        <f>$O$33</f>
        <v/>
      </c>
      <c r="B276" s="27">
        <f>$I$120</f>
        <v/>
      </c>
      <c r="C276" s="27">
        <f>$I$121</f>
        <v/>
      </c>
      <c r="D276" s="27">
        <f>$I$122</f>
        <v/>
      </c>
      <c r="E276" s="27">
        <f>$I$123</f>
        <v/>
      </c>
    </row>
    <row r="277" hidden="1">
      <c r="A277" s="24">
        <f>$O$34</f>
        <v/>
      </c>
      <c r="B277" s="27">
        <f>$I$124</f>
        <v/>
      </c>
      <c r="C277" s="27">
        <f>$I$125</f>
        <v/>
      </c>
      <c r="D277" s="27">
        <f>$I$126</f>
        <v/>
      </c>
      <c r="E277" s="27">
        <f>$I$127</f>
        <v/>
      </c>
    </row>
    <row r="278" hidden="1">
      <c r="A278" s="24">
        <f>$O$35</f>
        <v/>
      </c>
      <c r="B278" s="27">
        <f>$I$128</f>
        <v/>
      </c>
      <c r="C278" s="27">
        <f>$I$129</f>
        <v/>
      </c>
      <c r="D278" s="27">
        <f>$I$130</f>
        <v/>
      </c>
      <c r="E278" s="27">
        <f>$I$131</f>
        <v/>
      </c>
    </row>
    <row r="279" hidden="1">
      <c r="A279" s="24">
        <f>$O$36</f>
        <v/>
      </c>
      <c r="B279" s="27">
        <f>$I$132</f>
        <v/>
      </c>
      <c r="C279" s="27">
        <f>$I$133</f>
        <v/>
      </c>
      <c r="D279" s="27">
        <f>$I$134</f>
        <v/>
      </c>
      <c r="E279" s="27">
        <f>$I$135</f>
        <v/>
      </c>
    </row>
    <row r="280" hidden="1">
      <c r="A280" s="24">
        <f>$O$37</f>
        <v/>
      </c>
      <c r="B280" s="27">
        <f>$I$136</f>
        <v/>
      </c>
      <c r="C280" s="27">
        <f>$I$137</f>
        <v/>
      </c>
      <c r="D280" s="27">
        <f>$I$138</f>
        <v/>
      </c>
      <c r="E280" s="27">
        <f>$I$139</f>
        <v/>
      </c>
    </row>
    <row r="281" hidden="1">
      <c r="A281" s="24">
        <f>$O$38</f>
        <v/>
      </c>
      <c r="B281" s="27">
        <f>$I$140</f>
        <v/>
      </c>
      <c r="C281" s="27">
        <f>$I$141</f>
        <v/>
      </c>
      <c r="D281" s="27">
        <f>$I$142</f>
        <v/>
      </c>
      <c r="E281" s="27">
        <f>$I$143</f>
        <v/>
      </c>
    </row>
    <row r="282" hidden="1">
      <c r="A282" s="24">
        <f>$O$39</f>
        <v/>
      </c>
      <c r="B282" s="27">
        <f>$I$144</f>
        <v/>
      </c>
      <c r="C282" s="27">
        <f>$I$145</f>
        <v/>
      </c>
      <c r="D282" s="27">
        <f>$I$146</f>
        <v/>
      </c>
      <c r="E282" s="27">
        <f>$I$147</f>
        <v/>
      </c>
    </row>
    <row r="283" hidden="1">
      <c r="A283" s="24">
        <f>$O$40</f>
        <v/>
      </c>
      <c r="B283" s="27">
        <f>$I$148</f>
        <v/>
      </c>
      <c r="C283" s="27">
        <f>$I$149</f>
        <v/>
      </c>
      <c r="D283" s="27">
        <f>$I$150</f>
        <v/>
      </c>
      <c r="E283" s="27">
        <f>$I$151</f>
        <v/>
      </c>
    </row>
    <row r="284" hidden="1">
      <c r="A284" s="24">
        <f>$O$41</f>
        <v/>
      </c>
      <c r="B284" s="27">
        <f>$I$152</f>
        <v/>
      </c>
      <c r="C284" s="27">
        <f>$I$153</f>
        <v/>
      </c>
      <c r="D284" s="27">
        <f>$I$154</f>
        <v/>
      </c>
      <c r="E284" s="27">
        <f>$I$155</f>
        <v/>
      </c>
    </row>
    <row r="285" hidden="1">
      <c r="A285" s="24">
        <f>$O$42</f>
        <v/>
      </c>
      <c r="B285" s="27">
        <f>$I$156</f>
        <v/>
      </c>
      <c r="C285" s="27">
        <f>$I$157</f>
        <v/>
      </c>
      <c r="D285" s="27">
        <f>$I$158</f>
        <v/>
      </c>
      <c r="E285" s="27">
        <f>$I$159</f>
        <v/>
      </c>
    </row>
    <row r="286" hidden="1">
      <c r="A286" s="24">
        <f>$O$43</f>
        <v/>
      </c>
      <c r="B286" s="27">
        <f>$I$160</f>
        <v/>
      </c>
      <c r="C286" s="27">
        <f>$I$161</f>
        <v/>
      </c>
      <c r="D286" s="27">
        <f>$I$162</f>
        <v/>
      </c>
      <c r="E286" s="27">
        <f>$I$163</f>
        <v/>
      </c>
    </row>
    <row r="287" hidden="1">
      <c r="A287" s="24">
        <f>$O$44</f>
        <v/>
      </c>
      <c r="B287" s="27">
        <f>$I$164</f>
        <v/>
      </c>
      <c r="C287" s="27">
        <f>$I$165</f>
        <v/>
      </c>
      <c r="D287" s="27">
        <f>$I$166</f>
        <v/>
      </c>
      <c r="E287" s="27">
        <f>$I$167</f>
        <v/>
      </c>
    </row>
    <row r="288" hidden="1">
      <c r="A288" s="24">
        <f>$O$45</f>
        <v/>
      </c>
      <c r="B288" s="27">
        <f>$I$168</f>
        <v/>
      </c>
      <c r="C288" s="27">
        <f>$I$169</f>
        <v/>
      </c>
      <c r="D288" s="27">
        <f>$I$170</f>
        <v/>
      </c>
      <c r="E288" s="27">
        <f>$I$171</f>
        <v/>
      </c>
    </row>
    <row r="289" hidden="1">
      <c r="A289" s="24">
        <f>$O$46</f>
        <v/>
      </c>
      <c r="B289" s="27">
        <f>$I$172</f>
        <v/>
      </c>
      <c r="C289" s="27">
        <f>$I$173</f>
        <v/>
      </c>
      <c r="D289" s="27">
        <f>$I$174</f>
        <v/>
      </c>
      <c r="E289" s="27">
        <f>$I$175</f>
        <v/>
      </c>
    </row>
    <row r="290" hidden="1">
      <c r="A290" s="24">
        <f>$O$47</f>
        <v/>
      </c>
      <c r="B290" s="27">
        <f>$I$176</f>
        <v/>
      </c>
      <c r="C290" s="27">
        <f>$I$177</f>
        <v/>
      </c>
      <c r="D290" s="27">
        <f>$I$178</f>
        <v/>
      </c>
      <c r="E290" s="27">
        <f>$I$179</f>
        <v/>
      </c>
    </row>
    <row r="291" hidden="1">
      <c r="A291" s="24">
        <f>$O$48</f>
        <v/>
      </c>
      <c r="B291" s="27">
        <f>$I$180</f>
        <v/>
      </c>
      <c r="C291" s="27">
        <f>$I$181</f>
        <v/>
      </c>
      <c r="D291" s="27">
        <f>$I$182</f>
        <v/>
      </c>
      <c r="E291" s="27">
        <f>$I$183</f>
        <v/>
      </c>
    </row>
    <row r="292" hidden="1">
      <c r="A292" s="24">
        <f>$O$49</f>
        <v/>
      </c>
      <c r="B292" s="27">
        <f>$I$184</f>
        <v/>
      </c>
      <c r="C292" s="27">
        <f>$I$185</f>
        <v/>
      </c>
      <c r="D292" s="27">
        <f>$I$186</f>
        <v/>
      </c>
      <c r="E292" s="27">
        <f>$I$187</f>
        <v/>
      </c>
    </row>
    <row r="293" hidden="1">
      <c r="A293" s="24">
        <f>$O$50</f>
        <v/>
      </c>
      <c r="B293" s="27">
        <f>$I$188</f>
        <v/>
      </c>
      <c r="C293" s="27">
        <f>$I$189</f>
        <v/>
      </c>
      <c r="D293" s="27">
        <f>$I$190</f>
        <v/>
      </c>
      <c r="E293" s="27">
        <f>$I$191</f>
        <v/>
      </c>
    </row>
    <row r="294" hidden="1">
      <c r="A294" s="24">
        <f>$O$51</f>
        <v/>
      </c>
      <c r="B294" s="27">
        <f>$I$192</f>
        <v/>
      </c>
      <c r="C294" s="27">
        <f>$I$193</f>
        <v/>
      </c>
      <c r="D294" s="27">
        <f>$I$194</f>
        <v/>
      </c>
      <c r="E294" s="27">
        <f>$I$195</f>
        <v/>
      </c>
    </row>
    <row r="295" hidden="1">
      <c r="A295" s="24">
        <f>$O$52</f>
        <v/>
      </c>
      <c r="B295" s="27">
        <f>$I$196</f>
        <v/>
      </c>
      <c r="C295" s="27">
        <f>$I$197</f>
        <v/>
      </c>
      <c r="D295" s="27">
        <f>$I$198</f>
        <v/>
      </c>
      <c r="E295" s="27">
        <f>$I$199</f>
        <v/>
      </c>
    </row>
    <row r="296" hidden="1">
      <c r="A296" s="24">
        <f>$O$53</f>
        <v/>
      </c>
      <c r="B296" s="27">
        <f>$I$200</f>
        <v/>
      </c>
      <c r="C296" s="27">
        <f>$I$201</f>
        <v/>
      </c>
      <c r="D296" s="27">
        <f>$I$202</f>
        <v/>
      </c>
      <c r="E296" s="27">
        <f>$I$203</f>
        <v/>
      </c>
    </row>
    <row r="297" hidden="1">
      <c r="A297" s="24">
        <f>$O$54</f>
        <v/>
      </c>
      <c r="B297" s="27">
        <f>$I$204</f>
        <v/>
      </c>
      <c r="C297" s="27">
        <f>$I$205</f>
        <v/>
      </c>
      <c r="D297" s="27">
        <f>$I$206</f>
        <v/>
      </c>
      <c r="E297" s="27">
        <f>$I$207</f>
        <v/>
      </c>
    </row>
    <row r="298" hidden="1">
      <c r="A298" s="24">
        <f>$O$55</f>
        <v/>
      </c>
      <c r="B298" s="27">
        <f>$I$208</f>
        <v/>
      </c>
      <c r="C298" s="27">
        <f>$I$209</f>
        <v/>
      </c>
      <c r="D298" s="27">
        <f>$I$210</f>
        <v/>
      </c>
      <c r="E298" s="27">
        <f>$I$211</f>
        <v/>
      </c>
    </row>
    <row r="299" hidden="1">
      <c r="A299" s="24">
        <f>$O$56</f>
        <v/>
      </c>
      <c r="B299" s="27">
        <f>$I$212</f>
        <v/>
      </c>
      <c r="C299" s="27">
        <f>$I$213</f>
        <v/>
      </c>
      <c r="D299" s="27">
        <f>$I$214</f>
        <v/>
      </c>
      <c r="E299" s="27">
        <f>$I$215</f>
        <v/>
      </c>
    </row>
    <row r="300" hidden="1">
      <c r="A300" s="24">
        <f>$O$57</f>
        <v/>
      </c>
      <c r="B300" s="27">
        <f>$I$216</f>
        <v/>
      </c>
      <c r="C300" s="27">
        <f>$I$217</f>
        <v/>
      </c>
      <c r="D300" s="27">
        <f>$I$218</f>
        <v/>
      </c>
      <c r="E300" s="27">
        <f>$I$219</f>
        <v/>
      </c>
    </row>
    <row r="301" hidden="1">
      <c r="A301" s="24">
        <f>$O$58</f>
        <v/>
      </c>
      <c r="B301" s="27">
        <f>$I$220</f>
        <v/>
      </c>
      <c r="C301" s="27">
        <f>$I$221</f>
        <v/>
      </c>
      <c r="D301" s="27">
        <f>$I$222</f>
        <v/>
      </c>
      <c r="E301" s="27">
        <f>$I$223</f>
        <v/>
      </c>
    </row>
    <row r="302" hidden="1">
      <c r="A302" s="24">
        <f>$O$59</f>
        <v/>
      </c>
      <c r="B302" s="27">
        <f>$I$224</f>
        <v/>
      </c>
      <c r="C302" s="27">
        <f>$I$225</f>
        <v/>
      </c>
      <c r="D302" s="27">
        <f>$I$226</f>
        <v/>
      </c>
      <c r="E302" s="27">
        <f>$I$227</f>
        <v/>
      </c>
    </row>
    <row r="303" hidden="1">
      <c r="A303" s="24">
        <f>$O$60</f>
        <v/>
      </c>
      <c r="B303" s="27">
        <f>$I$228</f>
        <v/>
      </c>
      <c r="C303" s="27">
        <f>$I$229</f>
        <v/>
      </c>
      <c r="D303" s="27">
        <f>$I$230</f>
        <v/>
      </c>
      <c r="E303" s="27">
        <f>$I$231</f>
        <v/>
      </c>
    </row>
    <row r="304" hidden="1">
      <c r="A304" s="24">
        <f>$O$61</f>
        <v/>
      </c>
      <c r="B304" s="27">
        <f>$I$232</f>
        <v/>
      </c>
      <c r="C304" s="27">
        <f>$I$233</f>
        <v/>
      </c>
      <c r="D304" s="27">
        <f>$I$234</f>
        <v/>
      </c>
      <c r="E304" s="27">
        <f>$I$235</f>
        <v/>
      </c>
    </row>
    <row r="305" hidden="1">
      <c r="A305" s="24">
        <f>$O$62</f>
        <v/>
      </c>
      <c r="B305" s="27">
        <f>$I$236</f>
        <v/>
      </c>
      <c r="C305" s="27">
        <f>$I$237</f>
        <v/>
      </c>
      <c r="D305" s="27">
        <f>$I$238</f>
        <v/>
      </c>
      <c r="E305" s="27">
        <f>$I$239</f>
        <v/>
      </c>
    </row>
    <row r="306" hidden="1">
      <c r="A306" s="24">
        <f>$O$63</f>
        <v/>
      </c>
      <c r="B306" s="27">
        <f>$I$240</f>
        <v/>
      </c>
      <c r="C306" s="27">
        <f>$I$241</f>
        <v/>
      </c>
      <c r="D306" s="27">
        <f>$I$242</f>
        <v/>
      </c>
      <c r="E306" s="27">
        <f>$I$243</f>
        <v/>
      </c>
    </row>
    <row r="307"/>
    <row r="308">
      <c r="A308" s="3" t="inlineStr">
        <is>
          <t>RATIO CORRECTIVO/PREVENTIVO POR SEMANA (REGLA-9) — meta: correctivo ≤ 20 % de las HH</t>
        </is>
      </c>
    </row>
    <row r="309">
      <c r="A309" s="23" t="inlineStr">
        <is>
          <t>semana</t>
        </is>
      </c>
      <c r="B309" s="23" t="inlineStr">
        <is>
          <t>hh_preventiva</t>
        </is>
      </c>
      <c r="C309" s="23" t="inlineStr">
        <is>
          <t>hh_correctiva</t>
        </is>
      </c>
      <c r="D309" s="23" t="inlineStr">
        <is>
          <t>ratio_corr_prev</t>
        </is>
      </c>
      <c r="E309" s="23" t="inlineStr">
        <is>
          <t>pct_correctivo</t>
        </is>
      </c>
      <c r="F309" s="23" t="inlineStr">
        <is>
          <t>cumple_meta</t>
        </is>
      </c>
    </row>
    <row r="310">
      <c r="A310" s="24">
        <f>$O$4</f>
        <v/>
      </c>
      <c r="B310" s="25">
        <f>SUMIFS('ORDENES'!$M$4:$M$1203,'ORDENES'!$O$4:$O$1203,$A310,'ORDENES'!$U$4:$U$1203,"preventiva")</f>
        <v/>
      </c>
      <c r="C310" s="25">
        <f>SUMIFS('ORDENES'!$M$4:$M$1203,'ORDENES'!$O$4:$O$1203,$A310,'ORDENES'!$U$4:$U$1203,"correctiva")</f>
        <v/>
      </c>
      <c r="D310" s="27">
        <f>IF(B310=0,"",C310/B310)</f>
        <v/>
      </c>
      <c r="E310" s="27">
        <f>IF(B310+C310=0,"",C310/(B310+C310))</f>
        <v/>
      </c>
      <c r="F310" s="24">
        <f>IF(E310="","",IF(E310&lt;=1-p_meta_ratio_prev_corr,"SI","NO"))</f>
        <v/>
      </c>
    </row>
    <row r="311">
      <c r="A311" s="24">
        <f>$O$5</f>
        <v/>
      </c>
      <c r="B311" s="25">
        <f>SUMIFS('ORDENES'!$M$4:$M$1203,'ORDENES'!$O$4:$O$1203,$A311,'ORDENES'!$U$4:$U$1203,"preventiva")</f>
        <v/>
      </c>
      <c r="C311" s="25">
        <f>SUMIFS('ORDENES'!$M$4:$M$1203,'ORDENES'!$O$4:$O$1203,$A311,'ORDENES'!$U$4:$U$1203,"correctiva")</f>
        <v/>
      </c>
      <c r="D311" s="27">
        <f>IF(B311=0,"",C311/B311)</f>
        <v/>
      </c>
      <c r="E311" s="27">
        <f>IF(B311+C311=0,"",C311/(B311+C311))</f>
        <v/>
      </c>
      <c r="F311" s="24">
        <f>IF(E311="","",IF(E311&lt;=1-p_meta_ratio_prev_corr,"SI","NO"))</f>
        <v/>
      </c>
    </row>
    <row r="312" hidden="1">
      <c r="A312" s="24">
        <f>$O$6</f>
        <v/>
      </c>
      <c r="B312" s="25">
        <f>SUMIFS('ORDENES'!$M$4:$M$1203,'ORDENES'!$O$4:$O$1203,$A312,'ORDENES'!$U$4:$U$1203,"preventiva")</f>
        <v/>
      </c>
      <c r="C312" s="25">
        <f>SUMIFS('ORDENES'!$M$4:$M$1203,'ORDENES'!$O$4:$O$1203,$A312,'ORDENES'!$U$4:$U$1203,"correctiva")</f>
        <v/>
      </c>
      <c r="D312" s="27">
        <f>IF(B312=0,"",C312/B312)</f>
        <v/>
      </c>
      <c r="E312" s="27">
        <f>IF(B312+C312=0,"",C312/(B312+C312))</f>
        <v/>
      </c>
      <c r="F312" s="24">
        <f>IF(E312="","",IF(E312&lt;=1-p_meta_ratio_prev_corr,"SI","NO"))</f>
        <v/>
      </c>
    </row>
    <row r="313" hidden="1">
      <c r="A313" s="24">
        <f>$O$7</f>
        <v/>
      </c>
      <c r="B313" s="25">
        <f>SUMIFS('ORDENES'!$M$4:$M$1203,'ORDENES'!$O$4:$O$1203,$A313,'ORDENES'!$U$4:$U$1203,"preventiva")</f>
        <v/>
      </c>
      <c r="C313" s="25">
        <f>SUMIFS('ORDENES'!$M$4:$M$1203,'ORDENES'!$O$4:$O$1203,$A313,'ORDENES'!$U$4:$U$1203,"correctiva")</f>
        <v/>
      </c>
      <c r="D313" s="27">
        <f>IF(B313=0,"",C313/B313)</f>
        <v/>
      </c>
      <c r="E313" s="27">
        <f>IF(B313+C313=0,"",C313/(B313+C313))</f>
        <v/>
      </c>
      <c r="F313" s="24">
        <f>IF(E313="","",IF(E313&lt;=1-p_meta_ratio_prev_corr,"SI","NO"))</f>
        <v/>
      </c>
    </row>
    <row r="314" hidden="1">
      <c r="A314" s="24">
        <f>$O$8</f>
        <v/>
      </c>
      <c r="B314" s="25">
        <f>SUMIFS('ORDENES'!$M$4:$M$1203,'ORDENES'!$O$4:$O$1203,$A314,'ORDENES'!$U$4:$U$1203,"preventiva")</f>
        <v/>
      </c>
      <c r="C314" s="25">
        <f>SUMIFS('ORDENES'!$M$4:$M$1203,'ORDENES'!$O$4:$O$1203,$A314,'ORDENES'!$U$4:$U$1203,"correctiva")</f>
        <v/>
      </c>
      <c r="D314" s="27">
        <f>IF(B314=0,"",C314/B314)</f>
        <v/>
      </c>
      <c r="E314" s="27">
        <f>IF(B314+C314=0,"",C314/(B314+C314))</f>
        <v/>
      </c>
      <c r="F314" s="24">
        <f>IF(E314="","",IF(E314&lt;=1-p_meta_ratio_prev_corr,"SI","NO"))</f>
        <v/>
      </c>
    </row>
    <row r="315" hidden="1">
      <c r="A315" s="24">
        <f>$O$9</f>
        <v/>
      </c>
      <c r="B315" s="25">
        <f>SUMIFS('ORDENES'!$M$4:$M$1203,'ORDENES'!$O$4:$O$1203,$A315,'ORDENES'!$U$4:$U$1203,"preventiva")</f>
        <v/>
      </c>
      <c r="C315" s="25">
        <f>SUMIFS('ORDENES'!$M$4:$M$1203,'ORDENES'!$O$4:$O$1203,$A315,'ORDENES'!$U$4:$U$1203,"correctiva")</f>
        <v/>
      </c>
      <c r="D315" s="27">
        <f>IF(B315=0,"",C315/B315)</f>
        <v/>
      </c>
      <c r="E315" s="27">
        <f>IF(B315+C315=0,"",C315/(B315+C315))</f>
        <v/>
      </c>
      <c r="F315" s="24">
        <f>IF(E315="","",IF(E315&lt;=1-p_meta_ratio_prev_corr,"SI","NO"))</f>
        <v/>
      </c>
    </row>
    <row r="316" hidden="1">
      <c r="A316" s="24">
        <f>$O$10</f>
        <v/>
      </c>
      <c r="B316" s="25">
        <f>SUMIFS('ORDENES'!$M$4:$M$1203,'ORDENES'!$O$4:$O$1203,$A316,'ORDENES'!$U$4:$U$1203,"preventiva")</f>
        <v/>
      </c>
      <c r="C316" s="25">
        <f>SUMIFS('ORDENES'!$M$4:$M$1203,'ORDENES'!$O$4:$O$1203,$A316,'ORDENES'!$U$4:$U$1203,"correctiva")</f>
        <v/>
      </c>
      <c r="D316" s="27">
        <f>IF(B316=0,"",C316/B316)</f>
        <v/>
      </c>
      <c r="E316" s="27">
        <f>IF(B316+C316=0,"",C316/(B316+C316))</f>
        <v/>
      </c>
      <c r="F316" s="24">
        <f>IF(E316="","",IF(E316&lt;=1-p_meta_ratio_prev_corr,"SI","NO"))</f>
        <v/>
      </c>
    </row>
    <row r="317" hidden="1">
      <c r="A317" s="24">
        <f>$O$11</f>
        <v/>
      </c>
      <c r="B317" s="25">
        <f>SUMIFS('ORDENES'!$M$4:$M$1203,'ORDENES'!$O$4:$O$1203,$A317,'ORDENES'!$U$4:$U$1203,"preventiva")</f>
        <v/>
      </c>
      <c r="C317" s="25">
        <f>SUMIFS('ORDENES'!$M$4:$M$1203,'ORDENES'!$O$4:$O$1203,$A317,'ORDENES'!$U$4:$U$1203,"correctiva")</f>
        <v/>
      </c>
      <c r="D317" s="27">
        <f>IF(B317=0,"",C317/B317)</f>
        <v/>
      </c>
      <c r="E317" s="27">
        <f>IF(B317+C317=0,"",C317/(B317+C317))</f>
        <v/>
      </c>
      <c r="F317" s="24">
        <f>IF(E317="","",IF(E317&lt;=1-p_meta_ratio_prev_corr,"SI","NO"))</f>
        <v/>
      </c>
    </row>
    <row r="318" hidden="1">
      <c r="A318" s="24">
        <f>$O$12</f>
        <v/>
      </c>
      <c r="B318" s="25">
        <f>SUMIFS('ORDENES'!$M$4:$M$1203,'ORDENES'!$O$4:$O$1203,$A318,'ORDENES'!$U$4:$U$1203,"preventiva")</f>
        <v/>
      </c>
      <c r="C318" s="25">
        <f>SUMIFS('ORDENES'!$M$4:$M$1203,'ORDENES'!$O$4:$O$1203,$A318,'ORDENES'!$U$4:$U$1203,"correctiva")</f>
        <v/>
      </c>
      <c r="D318" s="27">
        <f>IF(B318=0,"",C318/B318)</f>
        <v/>
      </c>
      <c r="E318" s="27">
        <f>IF(B318+C318=0,"",C318/(B318+C318))</f>
        <v/>
      </c>
      <c r="F318" s="24">
        <f>IF(E318="","",IF(E318&lt;=1-p_meta_ratio_prev_corr,"SI","NO"))</f>
        <v/>
      </c>
    </row>
    <row r="319" hidden="1">
      <c r="A319" s="24">
        <f>$O$13</f>
        <v/>
      </c>
      <c r="B319" s="25">
        <f>SUMIFS('ORDENES'!$M$4:$M$1203,'ORDENES'!$O$4:$O$1203,$A319,'ORDENES'!$U$4:$U$1203,"preventiva")</f>
        <v/>
      </c>
      <c r="C319" s="25">
        <f>SUMIFS('ORDENES'!$M$4:$M$1203,'ORDENES'!$O$4:$O$1203,$A319,'ORDENES'!$U$4:$U$1203,"correctiva")</f>
        <v/>
      </c>
      <c r="D319" s="27">
        <f>IF(B319=0,"",C319/B319)</f>
        <v/>
      </c>
      <c r="E319" s="27">
        <f>IF(B319+C319=0,"",C319/(B319+C319))</f>
        <v/>
      </c>
      <c r="F319" s="24">
        <f>IF(E319="","",IF(E319&lt;=1-p_meta_ratio_prev_corr,"SI","NO"))</f>
        <v/>
      </c>
    </row>
    <row r="320" hidden="1">
      <c r="A320" s="24">
        <f>$O$14</f>
        <v/>
      </c>
      <c r="B320" s="25">
        <f>SUMIFS('ORDENES'!$M$4:$M$1203,'ORDENES'!$O$4:$O$1203,$A320,'ORDENES'!$U$4:$U$1203,"preventiva")</f>
        <v/>
      </c>
      <c r="C320" s="25">
        <f>SUMIFS('ORDENES'!$M$4:$M$1203,'ORDENES'!$O$4:$O$1203,$A320,'ORDENES'!$U$4:$U$1203,"correctiva")</f>
        <v/>
      </c>
      <c r="D320" s="27">
        <f>IF(B320=0,"",C320/B320)</f>
        <v/>
      </c>
      <c r="E320" s="27">
        <f>IF(B320+C320=0,"",C320/(B320+C320))</f>
        <v/>
      </c>
      <c r="F320" s="24">
        <f>IF(E320="","",IF(E320&lt;=1-p_meta_ratio_prev_corr,"SI","NO"))</f>
        <v/>
      </c>
    </row>
    <row r="321" hidden="1">
      <c r="A321" s="24">
        <f>$O$15</f>
        <v/>
      </c>
      <c r="B321" s="25">
        <f>SUMIFS('ORDENES'!$M$4:$M$1203,'ORDENES'!$O$4:$O$1203,$A321,'ORDENES'!$U$4:$U$1203,"preventiva")</f>
        <v/>
      </c>
      <c r="C321" s="25">
        <f>SUMIFS('ORDENES'!$M$4:$M$1203,'ORDENES'!$O$4:$O$1203,$A321,'ORDENES'!$U$4:$U$1203,"correctiva")</f>
        <v/>
      </c>
      <c r="D321" s="27">
        <f>IF(B321=0,"",C321/B321)</f>
        <v/>
      </c>
      <c r="E321" s="27">
        <f>IF(B321+C321=0,"",C321/(B321+C321))</f>
        <v/>
      </c>
      <c r="F321" s="24">
        <f>IF(E321="","",IF(E321&lt;=1-p_meta_ratio_prev_corr,"SI","NO"))</f>
        <v/>
      </c>
    </row>
    <row r="322" hidden="1">
      <c r="A322" s="24">
        <f>$O$16</f>
        <v/>
      </c>
      <c r="B322" s="25">
        <f>SUMIFS('ORDENES'!$M$4:$M$1203,'ORDENES'!$O$4:$O$1203,$A322,'ORDENES'!$U$4:$U$1203,"preventiva")</f>
        <v/>
      </c>
      <c r="C322" s="25">
        <f>SUMIFS('ORDENES'!$M$4:$M$1203,'ORDENES'!$O$4:$O$1203,$A322,'ORDENES'!$U$4:$U$1203,"correctiva")</f>
        <v/>
      </c>
      <c r="D322" s="27">
        <f>IF(B322=0,"",C322/B322)</f>
        <v/>
      </c>
      <c r="E322" s="27">
        <f>IF(B322+C322=0,"",C322/(B322+C322))</f>
        <v/>
      </c>
      <c r="F322" s="24">
        <f>IF(E322="","",IF(E322&lt;=1-p_meta_ratio_prev_corr,"SI","NO"))</f>
        <v/>
      </c>
    </row>
    <row r="323" hidden="1">
      <c r="A323" s="24">
        <f>$O$17</f>
        <v/>
      </c>
      <c r="B323" s="25">
        <f>SUMIFS('ORDENES'!$M$4:$M$1203,'ORDENES'!$O$4:$O$1203,$A323,'ORDENES'!$U$4:$U$1203,"preventiva")</f>
        <v/>
      </c>
      <c r="C323" s="25">
        <f>SUMIFS('ORDENES'!$M$4:$M$1203,'ORDENES'!$O$4:$O$1203,$A323,'ORDENES'!$U$4:$U$1203,"correctiva")</f>
        <v/>
      </c>
      <c r="D323" s="27">
        <f>IF(B323=0,"",C323/B323)</f>
        <v/>
      </c>
      <c r="E323" s="27">
        <f>IF(B323+C323=0,"",C323/(B323+C323))</f>
        <v/>
      </c>
      <c r="F323" s="24">
        <f>IF(E323="","",IF(E323&lt;=1-p_meta_ratio_prev_corr,"SI","NO"))</f>
        <v/>
      </c>
    </row>
    <row r="324" hidden="1">
      <c r="A324" s="24">
        <f>$O$18</f>
        <v/>
      </c>
      <c r="B324" s="25">
        <f>SUMIFS('ORDENES'!$M$4:$M$1203,'ORDENES'!$O$4:$O$1203,$A324,'ORDENES'!$U$4:$U$1203,"preventiva")</f>
        <v/>
      </c>
      <c r="C324" s="25">
        <f>SUMIFS('ORDENES'!$M$4:$M$1203,'ORDENES'!$O$4:$O$1203,$A324,'ORDENES'!$U$4:$U$1203,"correctiva")</f>
        <v/>
      </c>
      <c r="D324" s="27">
        <f>IF(B324=0,"",C324/B324)</f>
        <v/>
      </c>
      <c r="E324" s="27">
        <f>IF(B324+C324=0,"",C324/(B324+C324))</f>
        <v/>
      </c>
      <c r="F324" s="24">
        <f>IF(E324="","",IF(E324&lt;=1-p_meta_ratio_prev_corr,"SI","NO"))</f>
        <v/>
      </c>
    </row>
    <row r="325" hidden="1">
      <c r="A325" s="24">
        <f>$O$19</f>
        <v/>
      </c>
      <c r="B325" s="25">
        <f>SUMIFS('ORDENES'!$M$4:$M$1203,'ORDENES'!$O$4:$O$1203,$A325,'ORDENES'!$U$4:$U$1203,"preventiva")</f>
        <v/>
      </c>
      <c r="C325" s="25">
        <f>SUMIFS('ORDENES'!$M$4:$M$1203,'ORDENES'!$O$4:$O$1203,$A325,'ORDENES'!$U$4:$U$1203,"correctiva")</f>
        <v/>
      </c>
      <c r="D325" s="27">
        <f>IF(B325=0,"",C325/B325)</f>
        <v/>
      </c>
      <c r="E325" s="27">
        <f>IF(B325+C325=0,"",C325/(B325+C325))</f>
        <v/>
      </c>
      <c r="F325" s="24">
        <f>IF(E325="","",IF(E325&lt;=1-p_meta_ratio_prev_corr,"SI","NO"))</f>
        <v/>
      </c>
    </row>
    <row r="326" hidden="1">
      <c r="A326" s="24">
        <f>$O$20</f>
        <v/>
      </c>
      <c r="B326" s="25">
        <f>SUMIFS('ORDENES'!$M$4:$M$1203,'ORDENES'!$O$4:$O$1203,$A326,'ORDENES'!$U$4:$U$1203,"preventiva")</f>
        <v/>
      </c>
      <c r="C326" s="25">
        <f>SUMIFS('ORDENES'!$M$4:$M$1203,'ORDENES'!$O$4:$O$1203,$A326,'ORDENES'!$U$4:$U$1203,"correctiva")</f>
        <v/>
      </c>
      <c r="D326" s="27">
        <f>IF(B326=0,"",C326/B326)</f>
        <v/>
      </c>
      <c r="E326" s="27">
        <f>IF(B326+C326=0,"",C326/(B326+C326))</f>
        <v/>
      </c>
      <c r="F326" s="24">
        <f>IF(E326="","",IF(E326&lt;=1-p_meta_ratio_prev_corr,"SI","NO"))</f>
        <v/>
      </c>
    </row>
    <row r="327" hidden="1">
      <c r="A327" s="24">
        <f>$O$21</f>
        <v/>
      </c>
      <c r="B327" s="25">
        <f>SUMIFS('ORDENES'!$M$4:$M$1203,'ORDENES'!$O$4:$O$1203,$A327,'ORDENES'!$U$4:$U$1203,"preventiva")</f>
        <v/>
      </c>
      <c r="C327" s="25">
        <f>SUMIFS('ORDENES'!$M$4:$M$1203,'ORDENES'!$O$4:$O$1203,$A327,'ORDENES'!$U$4:$U$1203,"correctiva")</f>
        <v/>
      </c>
      <c r="D327" s="27">
        <f>IF(B327=0,"",C327/B327)</f>
        <v/>
      </c>
      <c r="E327" s="27">
        <f>IF(B327+C327=0,"",C327/(B327+C327))</f>
        <v/>
      </c>
      <c r="F327" s="24">
        <f>IF(E327="","",IF(E327&lt;=1-p_meta_ratio_prev_corr,"SI","NO"))</f>
        <v/>
      </c>
    </row>
    <row r="328" hidden="1">
      <c r="A328" s="24">
        <f>$O$22</f>
        <v/>
      </c>
      <c r="B328" s="25">
        <f>SUMIFS('ORDENES'!$M$4:$M$1203,'ORDENES'!$O$4:$O$1203,$A328,'ORDENES'!$U$4:$U$1203,"preventiva")</f>
        <v/>
      </c>
      <c r="C328" s="25">
        <f>SUMIFS('ORDENES'!$M$4:$M$1203,'ORDENES'!$O$4:$O$1203,$A328,'ORDENES'!$U$4:$U$1203,"correctiva")</f>
        <v/>
      </c>
      <c r="D328" s="27">
        <f>IF(B328=0,"",C328/B328)</f>
        <v/>
      </c>
      <c r="E328" s="27">
        <f>IF(B328+C328=0,"",C328/(B328+C328))</f>
        <v/>
      </c>
      <c r="F328" s="24">
        <f>IF(E328="","",IF(E328&lt;=1-p_meta_ratio_prev_corr,"SI","NO"))</f>
        <v/>
      </c>
    </row>
    <row r="329" hidden="1">
      <c r="A329" s="24">
        <f>$O$23</f>
        <v/>
      </c>
      <c r="B329" s="25">
        <f>SUMIFS('ORDENES'!$M$4:$M$1203,'ORDENES'!$O$4:$O$1203,$A329,'ORDENES'!$U$4:$U$1203,"preventiva")</f>
        <v/>
      </c>
      <c r="C329" s="25">
        <f>SUMIFS('ORDENES'!$M$4:$M$1203,'ORDENES'!$O$4:$O$1203,$A329,'ORDENES'!$U$4:$U$1203,"correctiva")</f>
        <v/>
      </c>
      <c r="D329" s="27">
        <f>IF(B329=0,"",C329/B329)</f>
        <v/>
      </c>
      <c r="E329" s="27">
        <f>IF(B329+C329=0,"",C329/(B329+C329))</f>
        <v/>
      </c>
      <c r="F329" s="24">
        <f>IF(E329="","",IF(E329&lt;=1-p_meta_ratio_prev_corr,"SI","NO"))</f>
        <v/>
      </c>
    </row>
    <row r="330" hidden="1">
      <c r="A330" s="24">
        <f>$O$24</f>
        <v/>
      </c>
      <c r="B330" s="25">
        <f>SUMIFS('ORDENES'!$M$4:$M$1203,'ORDENES'!$O$4:$O$1203,$A330,'ORDENES'!$U$4:$U$1203,"preventiva")</f>
        <v/>
      </c>
      <c r="C330" s="25">
        <f>SUMIFS('ORDENES'!$M$4:$M$1203,'ORDENES'!$O$4:$O$1203,$A330,'ORDENES'!$U$4:$U$1203,"correctiva")</f>
        <v/>
      </c>
      <c r="D330" s="27">
        <f>IF(B330=0,"",C330/B330)</f>
        <v/>
      </c>
      <c r="E330" s="27">
        <f>IF(B330+C330=0,"",C330/(B330+C330))</f>
        <v/>
      </c>
      <c r="F330" s="24">
        <f>IF(E330="","",IF(E330&lt;=1-p_meta_ratio_prev_corr,"SI","NO"))</f>
        <v/>
      </c>
    </row>
    <row r="331" hidden="1">
      <c r="A331" s="24">
        <f>$O$25</f>
        <v/>
      </c>
      <c r="B331" s="25">
        <f>SUMIFS('ORDENES'!$M$4:$M$1203,'ORDENES'!$O$4:$O$1203,$A331,'ORDENES'!$U$4:$U$1203,"preventiva")</f>
        <v/>
      </c>
      <c r="C331" s="25">
        <f>SUMIFS('ORDENES'!$M$4:$M$1203,'ORDENES'!$O$4:$O$1203,$A331,'ORDENES'!$U$4:$U$1203,"correctiva")</f>
        <v/>
      </c>
      <c r="D331" s="27">
        <f>IF(B331=0,"",C331/B331)</f>
        <v/>
      </c>
      <c r="E331" s="27">
        <f>IF(B331+C331=0,"",C331/(B331+C331))</f>
        <v/>
      </c>
      <c r="F331" s="24">
        <f>IF(E331="","",IF(E331&lt;=1-p_meta_ratio_prev_corr,"SI","NO"))</f>
        <v/>
      </c>
    </row>
    <row r="332" hidden="1">
      <c r="A332" s="24">
        <f>$O$26</f>
        <v/>
      </c>
      <c r="B332" s="25">
        <f>SUMIFS('ORDENES'!$M$4:$M$1203,'ORDENES'!$O$4:$O$1203,$A332,'ORDENES'!$U$4:$U$1203,"preventiva")</f>
        <v/>
      </c>
      <c r="C332" s="25">
        <f>SUMIFS('ORDENES'!$M$4:$M$1203,'ORDENES'!$O$4:$O$1203,$A332,'ORDENES'!$U$4:$U$1203,"correctiva")</f>
        <v/>
      </c>
      <c r="D332" s="27">
        <f>IF(B332=0,"",C332/B332)</f>
        <v/>
      </c>
      <c r="E332" s="27">
        <f>IF(B332+C332=0,"",C332/(B332+C332))</f>
        <v/>
      </c>
      <c r="F332" s="24">
        <f>IF(E332="","",IF(E332&lt;=1-p_meta_ratio_prev_corr,"SI","NO"))</f>
        <v/>
      </c>
    </row>
    <row r="333" hidden="1">
      <c r="A333" s="24">
        <f>$O$27</f>
        <v/>
      </c>
      <c r="B333" s="25">
        <f>SUMIFS('ORDENES'!$M$4:$M$1203,'ORDENES'!$O$4:$O$1203,$A333,'ORDENES'!$U$4:$U$1203,"preventiva")</f>
        <v/>
      </c>
      <c r="C333" s="25">
        <f>SUMIFS('ORDENES'!$M$4:$M$1203,'ORDENES'!$O$4:$O$1203,$A333,'ORDENES'!$U$4:$U$1203,"correctiva")</f>
        <v/>
      </c>
      <c r="D333" s="27">
        <f>IF(B333=0,"",C333/B333)</f>
        <v/>
      </c>
      <c r="E333" s="27">
        <f>IF(B333+C333=0,"",C333/(B333+C333))</f>
        <v/>
      </c>
      <c r="F333" s="24">
        <f>IF(E333="","",IF(E333&lt;=1-p_meta_ratio_prev_corr,"SI","NO"))</f>
        <v/>
      </c>
    </row>
    <row r="334" hidden="1">
      <c r="A334" s="24">
        <f>$O$28</f>
        <v/>
      </c>
      <c r="B334" s="25">
        <f>SUMIFS('ORDENES'!$M$4:$M$1203,'ORDENES'!$O$4:$O$1203,$A334,'ORDENES'!$U$4:$U$1203,"preventiva")</f>
        <v/>
      </c>
      <c r="C334" s="25">
        <f>SUMIFS('ORDENES'!$M$4:$M$1203,'ORDENES'!$O$4:$O$1203,$A334,'ORDENES'!$U$4:$U$1203,"correctiva")</f>
        <v/>
      </c>
      <c r="D334" s="27">
        <f>IF(B334=0,"",C334/B334)</f>
        <v/>
      </c>
      <c r="E334" s="27">
        <f>IF(B334+C334=0,"",C334/(B334+C334))</f>
        <v/>
      </c>
      <c r="F334" s="24">
        <f>IF(E334="","",IF(E334&lt;=1-p_meta_ratio_prev_corr,"SI","NO"))</f>
        <v/>
      </c>
    </row>
    <row r="335" hidden="1">
      <c r="A335" s="24">
        <f>$O$29</f>
        <v/>
      </c>
      <c r="B335" s="25">
        <f>SUMIFS('ORDENES'!$M$4:$M$1203,'ORDENES'!$O$4:$O$1203,$A335,'ORDENES'!$U$4:$U$1203,"preventiva")</f>
        <v/>
      </c>
      <c r="C335" s="25">
        <f>SUMIFS('ORDENES'!$M$4:$M$1203,'ORDENES'!$O$4:$O$1203,$A335,'ORDENES'!$U$4:$U$1203,"correctiva")</f>
        <v/>
      </c>
      <c r="D335" s="27">
        <f>IF(B335=0,"",C335/B335)</f>
        <v/>
      </c>
      <c r="E335" s="27">
        <f>IF(B335+C335=0,"",C335/(B335+C335))</f>
        <v/>
      </c>
      <c r="F335" s="24">
        <f>IF(E335="","",IF(E335&lt;=1-p_meta_ratio_prev_corr,"SI","NO"))</f>
        <v/>
      </c>
    </row>
    <row r="336" hidden="1">
      <c r="A336" s="24">
        <f>$O$30</f>
        <v/>
      </c>
      <c r="B336" s="25">
        <f>SUMIFS('ORDENES'!$M$4:$M$1203,'ORDENES'!$O$4:$O$1203,$A336,'ORDENES'!$U$4:$U$1203,"preventiva")</f>
        <v/>
      </c>
      <c r="C336" s="25">
        <f>SUMIFS('ORDENES'!$M$4:$M$1203,'ORDENES'!$O$4:$O$1203,$A336,'ORDENES'!$U$4:$U$1203,"correctiva")</f>
        <v/>
      </c>
      <c r="D336" s="27">
        <f>IF(B336=0,"",C336/B336)</f>
        <v/>
      </c>
      <c r="E336" s="27">
        <f>IF(B336+C336=0,"",C336/(B336+C336))</f>
        <v/>
      </c>
      <c r="F336" s="24">
        <f>IF(E336="","",IF(E336&lt;=1-p_meta_ratio_prev_corr,"SI","NO"))</f>
        <v/>
      </c>
    </row>
    <row r="337" hidden="1">
      <c r="A337" s="24">
        <f>$O$31</f>
        <v/>
      </c>
      <c r="B337" s="25">
        <f>SUMIFS('ORDENES'!$M$4:$M$1203,'ORDENES'!$O$4:$O$1203,$A337,'ORDENES'!$U$4:$U$1203,"preventiva")</f>
        <v/>
      </c>
      <c r="C337" s="25">
        <f>SUMIFS('ORDENES'!$M$4:$M$1203,'ORDENES'!$O$4:$O$1203,$A337,'ORDENES'!$U$4:$U$1203,"correctiva")</f>
        <v/>
      </c>
      <c r="D337" s="27">
        <f>IF(B337=0,"",C337/B337)</f>
        <v/>
      </c>
      <c r="E337" s="27">
        <f>IF(B337+C337=0,"",C337/(B337+C337))</f>
        <v/>
      </c>
      <c r="F337" s="24">
        <f>IF(E337="","",IF(E337&lt;=1-p_meta_ratio_prev_corr,"SI","NO"))</f>
        <v/>
      </c>
    </row>
    <row r="338" hidden="1">
      <c r="A338" s="24">
        <f>$O$32</f>
        <v/>
      </c>
      <c r="B338" s="25">
        <f>SUMIFS('ORDENES'!$M$4:$M$1203,'ORDENES'!$O$4:$O$1203,$A338,'ORDENES'!$U$4:$U$1203,"preventiva")</f>
        <v/>
      </c>
      <c r="C338" s="25">
        <f>SUMIFS('ORDENES'!$M$4:$M$1203,'ORDENES'!$O$4:$O$1203,$A338,'ORDENES'!$U$4:$U$1203,"correctiva")</f>
        <v/>
      </c>
      <c r="D338" s="27">
        <f>IF(B338=0,"",C338/B338)</f>
        <v/>
      </c>
      <c r="E338" s="27">
        <f>IF(B338+C338=0,"",C338/(B338+C338))</f>
        <v/>
      </c>
      <c r="F338" s="24">
        <f>IF(E338="","",IF(E338&lt;=1-p_meta_ratio_prev_corr,"SI","NO"))</f>
        <v/>
      </c>
    </row>
    <row r="339" hidden="1">
      <c r="A339" s="24">
        <f>$O$33</f>
        <v/>
      </c>
      <c r="B339" s="25">
        <f>SUMIFS('ORDENES'!$M$4:$M$1203,'ORDENES'!$O$4:$O$1203,$A339,'ORDENES'!$U$4:$U$1203,"preventiva")</f>
        <v/>
      </c>
      <c r="C339" s="25">
        <f>SUMIFS('ORDENES'!$M$4:$M$1203,'ORDENES'!$O$4:$O$1203,$A339,'ORDENES'!$U$4:$U$1203,"correctiva")</f>
        <v/>
      </c>
      <c r="D339" s="27">
        <f>IF(B339=0,"",C339/B339)</f>
        <v/>
      </c>
      <c r="E339" s="27">
        <f>IF(B339+C339=0,"",C339/(B339+C339))</f>
        <v/>
      </c>
      <c r="F339" s="24">
        <f>IF(E339="","",IF(E339&lt;=1-p_meta_ratio_prev_corr,"SI","NO"))</f>
        <v/>
      </c>
    </row>
    <row r="340" hidden="1">
      <c r="A340" s="24">
        <f>$O$34</f>
        <v/>
      </c>
      <c r="B340" s="25">
        <f>SUMIFS('ORDENES'!$M$4:$M$1203,'ORDENES'!$O$4:$O$1203,$A340,'ORDENES'!$U$4:$U$1203,"preventiva")</f>
        <v/>
      </c>
      <c r="C340" s="25">
        <f>SUMIFS('ORDENES'!$M$4:$M$1203,'ORDENES'!$O$4:$O$1203,$A340,'ORDENES'!$U$4:$U$1203,"correctiva")</f>
        <v/>
      </c>
      <c r="D340" s="27">
        <f>IF(B340=0,"",C340/B340)</f>
        <v/>
      </c>
      <c r="E340" s="27">
        <f>IF(B340+C340=0,"",C340/(B340+C340))</f>
        <v/>
      </c>
      <c r="F340" s="24">
        <f>IF(E340="","",IF(E340&lt;=1-p_meta_ratio_prev_corr,"SI","NO"))</f>
        <v/>
      </c>
    </row>
    <row r="341" hidden="1">
      <c r="A341" s="24">
        <f>$O$35</f>
        <v/>
      </c>
      <c r="B341" s="25">
        <f>SUMIFS('ORDENES'!$M$4:$M$1203,'ORDENES'!$O$4:$O$1203,$A341,'ORDENES'!$U$4:$U$1203,"preventiva")</f>
        <v/>
      </c>
      <c r="C341" s="25">
        <f>SUMIFS('ORDENES'!$M$4:$M$1203,'ORDENES'!$O$4:$O$1203,$A341,'ORDENES'!$U$4:$U$1203,"correctiva")</f>
        <v/>
      </c>
      <c r="D341" s="27">
        <f>IF(B341=0,"",C341/B341)</f>
        <v/>
      </c>
      <c r="E341" s="27">
        <f>IF(B341+C341=0,"",C341/(B341+C341))</f>
        <v/>
      </c>
      <c r="F341" s="24">
        <f>IF(E341="","",IF(E341&lt;=1-p_meta_ratio_prev_corr,"SI","NO"))</f>
        <v/>
      </c>
    </row>
    <row r="342" hidden="1">
      <c r="A342" s="24">
        <f>$O$36</f>
        <v/>
      </c>
      <c r="B342" s="25">
        <f>SUMIFS('ORDENES'!$M$4:$M$1203,'ORDENES'!$O$4:$O$1203,$A342,'ORDENES'!$U$4:$U$1203,"preventiva")</f>
        <v/>
      </c>
      <c r="C342" s="25">
        <f>SUMIFS('ORDENES'!$M$4:$M$1203,'ORDENES'!$O$4:$O$1203,$A342,'ORDENES'!$U$4:$U$1203,"correctiva")</f>
        <v/>
      </c>
      <c r="D342" s="27">
        <f>IF(B342=0,"",C342/B342)</f>
        <v/>
      </c>
      <c r="E342" s="27">
        <f>IF(B342+C342=0,"",C342/(B342+C342))</f>
        <v/>
      </c>
      <c r="F342" s="24">
        <f>IF(E342="","",IF(E342&lt;=1-p_meta_ratio_prev_corr,"SI","NO"))</f>
        <v/>
      </c>
    </row>
    <row r="343" hidden="1">
      <c r="A343" s="24">
        <f>$O$37</f>
        <v/>
      </c>
      <c r="B343" s="25">
        <f>SUMIFS('ORDENES'!$M$4:$M$1203,'ORDENES'!$O$4:$O$1203,$A343,'ORDENES'!$U$4:$U$1203,"preventiva")</f>
        <v/>
      </c>
      <c r="C343" s="25">
        <f>SUMIFS('ORDENES'!$M$4:$M$1203,'ORDENES'!$O$4:$O$1203,$A343,'ORDENES'!$U$4:$U$1203,"correctiva")</f>
        <v/>
      </c>
      <c r="D343" s="27">
        <f>IF(B343=0,"",C343/B343)</f>
        <v/>
      </c>
      <c r="E343" s="27">
        <f>IF(B343+C343=0,"",C343/(B343+C343))</f>
        <v/>
      </c>
      <c r="F343" s="24">
        <f>IF(E343="","",IF(E343&lt;=1-p_meta_ratio_prev_corr,"SI","NO"))</f>
        <v/>
      </c>
    </row>
    <row r="344" hidden="1">
      <c r="A344" s="24">
        <f>$O$38</f>
        <v/>
      </c>
      <c r="B344" s="25">
        <f>SUMIFS('ORDENES'!$M$4:$M$1203,'ORDENES'!$O$4:$O$1203,$A344,'ORDENES'!$U$4:$U$1203,"preventiva")</f>
        <v/>
      </c>
      <c r="C344" s="25">
        <f>SUMIFS('ORDENES'!$M$4:$M$1203,'ORDENES'!$O$4:$O$1203,$A344,'ORDENES'!$U$4:$U$1203,"correctiva")</f>
        <v/>
      </c>
      <c r="D344" s="27">
        <f>IF(B344=0,"",C344/B344)</f>
        <v/>
      </c>
      <c r="E344" s="27">
        <f>IF(B344+C344=0,"",C344/(B344+C344))</f>
        <v/>
      </c>
      <c r="F344" s="24">
        <f>IF(E344="","",IF(E344&lt;=1-p_meta_ratio_prev_corr,"SI","NO"))</f>
        <v/>
      </c>
    </row>
    <row r="345" hidden="1">
      <c r="A345" s="24">
        <f>$O$39</f>
        <v/>
      </c>
      <c r="B345" s="25">
        <f>SUMIFS('ORDENES'!$M$4:$M$1203,'ORDENES'!$O$4:$O$1203,$A345,'ORDENES'!$U$4:$U$1203,"preventiva")</f>
        <v/>
      </c>
      <c r="C345" s="25">
        <f>SUMIFS('ORDENES'!$M$4:$M$1203,'ORDENES'!$O$4:$O$1203,$A345,'ORDENES'!$U$4:$U$1203,"correctiva")</f>
        <v/>
      </c>
      <c r="D345" s="27">
        <f>IF(B345=0,"",C345/B345)</f>
        <v/>
      </c>
      <c r="E345" s="27">
        <f>IF(B345+C345=0,"",C345/(B345+C345))</f>
        <v/>
      </c>
      <c r="F345" s="24">
        <f>IF(E345="","",IF(E345&lt;=1-p_meta_ratio_prev_corr,"SI","NO"))</f>
        <v/>
      </c>
    </row>
    <row r="346" hidden="1">
      <c r="A346" s="24">
        <f>$O$40</f>
        <v/>
      </c>
      <c r="B346" s="25">
        <f>SUMIFS('ORDENES'!$M$4:$M$1203,'ORDENES'!$O$4:$O$1203,$A346,'ORDENES'!$U$4:$U$1203,"preventiva")</f>
        <v/>
      </c>
      <c r="C346" s="25">
        <f>SUMIFS('ORDENES'!$M$4:$M$1203,'ORDENES'!$O$4:$O$1203,$A346,'ORDENES'!$U$4:$U$1203,"correctiva")</f>
        <v/>
      </c>
      <c r="D346" s="27">
        <f>IF(B346=0,"",C346/B346)</f>
        <v/>
      </c>
      <c r="E346" s="27">
        <f>IF(B346+C346=0,"",C346/(B346+C346))</f>
        <v/>
      </c>
      <c r="F346" s="24">
        <f>IF(E346="","",IF(E346&lt;=1-p_meta_ratio_prev_corr,"SI","NO"))</f>
        <v/>
      </c>
    </row>
    <row r="347" hidden="1">
      <c r="A347" s="24">
        <f>$O$41</f>
        <v/>
      </c>
      <c r="B347" s="25">
        <f>SUMIFS('ORDENES'!$M$4:$M$1203,'ORDENES'!$O$4:$O$1203,$A347,'ORDENES'!$U$4:$U$1203,"preventiva")</f>
        <v/>
      </c>
      <c r="C347" s="25">
        <f>SUMIFS('ORDENES'!$M$4:$M$1203,'ORDENES'!$O$4:$O$1203,$A347,'ORDENES'!$U$4:$U$1203,"correctiva")</f>
        <v/>
      </c>
      <c r="D347" s="27">
        <f>IF(B347=0,"",C347/B347)</f>
        <v/>
      </c>
      <c r="E347" s="27">
        <f>IF(B347+C347=0,"",C347/(B347+C347))</f>
        <v/>
      </c>
      <c r="F347" s="24">
        <f>IF(E347="","",IF(E347&lt;=1-p_meta_ratio_prev_corr,"SI","NO"))</f>
        <v/>
      </c>
    </row>
    <row r="348" hidden="1">
      <c r="A348" s="24">
        <f>$O$42</f>
        <v/>
      </c>
      <c r="B348" s="25">
        <f>SUMIFS('ORDENES'!$M$4:$M$1203,'ORDENES'!$O$4:$O$1203,$A348,'ORDENES'!$U$4:$U$1203,"preventiva")</f>
        <v/>
      </c>
      <c r="C348" s="25">
        <f>SUMIFS('ORDENES'!$M$4:$M$1203,'ORDENES'!$O$4:$O$1203,$A348,'ORDENES'!$U$4:$U$1203,"correctiva")</f>
        <v/>
      </c>
      <c r="D348" s="27">
        <f>IF(B348=0,"",C348/B348)</f>
        <v/>
      </c>
      <c r="E348" s="27">
        <f>IF(B348+C348=0,"",C348/(B348+C348))</f>
        <v/>
      </c>
      <c r="F348" s="24">
        <f>IF(E348="","",IF(E348&lt;=1-p_meta_ratio_prev_corr,"SI","NO"))</f>
        <v/>
      </c>
    </row>
    <row r="349" hidden="1">
      <c r="A349" s="24">
        <f>$O$43</f>
        <v/>
      </c>
      <c r="B349" s="25">
        <f>SUMIFS('ORDENES'!$M$4:$M$1203,'ORDENES'!$O$4:$O$1203,$A349,'ORDENES'!$U$4:$U$1203,"preventiva")</f>
        <v/>
      </c>
      <c r="C349" s="25">
        <f>SUMIFS('ORDENES'!$M$4:$M$1203,'ORDENES'!$O$4:$O$1203,$A349,'ORDENES'!$U$4:$U$1203,"correctiva")</f>
        <v/>
      </c>
      <c r="D349" s="27">
        <f>IF(B349=0,"",C349/B349)</f>
        <v/>
      </c>
      <c r="E349" s="27">
        <f>IF(B349+C349=0,"",C349/(B349+C349))</f>
        <v/>
      </c>
      <c r="F349" s="24">
        <f>IF(E349="","",IF(E349&lt;=1-p_meta_ratio_prev_corr,"SI","NO"))</f>
        <v/>
      </c>
    </row>
    <row r="350" hidden="1">
      <c r="A350" s="24">
        <f>$O$44</f>
        <v/>
      </c>
      <c r="B350" s="25">
        <f>SUMIFS('ORDENES'!$M$4:$M$1203,'ORDENES'!$O$4:$O$1203,$A350,'ORDENES'!$U$4:$U$1203,"preventiva")</f>
        <v/>
      </c>
      <c r="C350" s="25">
        <f>SUMIFS('ORDENES'!$M$4:$M$1203,'ORDENES'!$O$4:$O$1203,$A350,'ORDENES'!$U$4:$U$1203,"correctiva")</f>
        <v/>
      </c>
      <c r="D350" s="27">
        <f>IF(B350=0,"",C350/B350)</f>
        <v/>
      </c>
      <c r="E350" s="27">
        <f>IF(B350+C350=0,"",C350/(B350+C350))</f>
        <v/>
      </c>
      <c r="F350" s="24">
        <f>IF(E350="","",IF(E350&lt;=1-p_meta_ratio_prev_corr,"SI","NO"))</f>
        <v/>
      </c>
    </row>
    <row r="351" hidden="1">
      <c r="A351" s="24">
        <f>$O$45</f>
        <v/>
      </c>
      <c r="B351" s="25">
        <f>SUMIFS('ORDENES'!$M$4:$M$1203,'ORDENES'!$O$4:$O$1203,$A351,'ORDENES'!$U$4:$U$1203,"preventiva")</f>
        <v/>
      </c>
      <c r="C351" s="25">
        <f>SUMIFS('ORDENES'!$M$4:$M$1203,'ORDENES'!$O$4:$O$1203,$A351,'ORDENES'!$U$4:$U$1203,"correctiva")</f>
        <v/>
      </c>
      <c r="D351" s="27">
        <f>IF(B351=0,"",C351/B351)</f>
        <v/>
      </c>
      <c r="E351" s="27">
        <f>IF(B351+C351=0,"",C351/(B351+C351))</f>
        <v/>
      </c>
      <c r="F351" s="24">
        <f>IF(E351="","",IF(E351&lt;=1-p_meta_ratio_prev_corr,"SI","NO"))</f>
        <v/>
      </c>
    </row>
    <row r="352" hidden="1">
      <c r="A352" s="24">
        <f>$O$46</f>
        <v/>
      </c>
      <c r="B352" s="25">
        <f>SUMIFS('ORDENES'!$M$4:$M$1203,'ORDENES'!$O$4:$O$1203,$A352,'ORDENES'!$U$4:$U$1203,"preventiva")</f>
        <v/>
      </c>
      <c r="C352" s="25">
        <f>SUMIFS('ORDENES'!$M$4:$M$1203,'ORDENES'!$O$4:$O$1203,$A352,'ORDENES'!$U$4:$U$1203,"correctiva")</f>
        <v/>
      </c>
      <c r="D352" s="27">
        <f>IF(B352=0,"",C352/B352)</f>
        <v/>
      </c>
      <c r="E352" s="27">
        <f>IF(B352+C352=0,"",C352/(B352+C352))</f>
        <v/>
      </c>
      <c r="F352" s="24">
        <f>IF(E352="","",IF(E352&lt;=1-p_meta_ratio_prev_corr,"SI","NO"))</f>
        <v/>
      </c>
    </row>
    <row r="353" hidden="1">
      <c r="A353" s="24">
        <f>$O$47</f>
        <v/>
      </c>
      <c r="B353" s="25">
        <f>SUMIFS('ORDENES'!$M$4:$M$1203,'ORDENES'!$O$4:$O$1203,$A353,'ORDENES'!$U$4:$U$1203,"preventiva")</f>
        <v/>
      </c>
      <c r="C353" s="25">
        <f>SUMIFS('ORDENES'!$M$4:$M$1203,'ORDENES'!$O$4:$O$1203,$A353,'ORDENES'!$U$4:$U$1203,"correctiva")</f>
        <v/>
      </c>
      <c r="D353" s="27">
        <f>IF(B353=0,"",C353/B353)</f>
        <v/>
      </c>
      <c r="E353" s="27">
        <f>IF(B353+C353=0,"",C353/(B353+C353))</f>
        <v/>
      </c>
      <c r="F353" s="24">
        <f>IF(E353="","",IF(E353&lt;=1-p_meta_ratio_prev_corr,"SI","NO"))</f>
        <v/>
      </c>
    </row>
    <row r="354" hidden="1">
      <c r="A354" s="24">
        <f>$O$48</f>
        <v/>
      </c>
      <c r="B354" s="25">
        <f>SUMIFS('ORDENES'!$M$4:$M$1203,'ORDENES'!$O$4:$O$1203,$A354,'ORDENES'!$U$4:$U$1203,"preventiva")</f>
        <v/>
      </c>
      <c r="C354" s="25">
        <f>SUMIFS('ORDENES'!$M$4:$M$1203,'ORDENES'!$O$4:$O$1203,$A354,'ORDENES'!$U$4:$U$1203,"correctiva")</f>
        <v/>
      </c>
      <c r="D354" s="27">
        <f>IF(B354=0,"",C354/B354)</f>
        <v/>
      </c>
      <c r="E354" s="27">
        <f>IF(B354+C354=0,"",C354/(B354+C354))</f>
        <v/>
      </c>
      <c r="F354" s="24">
        <f>IF(E354="","",IF(E354&lt;=1-p_meta_ratio_prev_corr,"SI","NO"))</f>
        <v/>
      </c>
    </row>
    <row r="355" hidden="1">
      <c r="A355" s="24">
        <f>$O$49</f>
        <v/>
      </c>
      <c r="B355" s="25">
        <f>SUMIFS('ORDENES'!$M$4:$M$1203,'ORDENES'!$O$4:$O$1203,$A355,'ORDENES'!$U$4:$U$1203,"preventiva")</f>
        <v/>
      </c>
      <c r="C355" s="25">
        <f>SUMIFS('ORDENES'!$M$4:$M$1203,'ORDENES'!$O$4:$O$1203,$A355,'ORDENES'!$U$4:$U$1203,"correctiva")</f>
        <v/>
      </c>
      <c r="D355" s="27">
        <f>IF(B355=0,"",C355/B355)</f>
        <v/>
      </c>
      <c r="E355" s="27">
        <f>IF(B355+C355=0,"",C355/(B355+C355))</f>
        <v/>
      </c>
      <c r="F355" s="24">
        <f>IF(E355="","",IF(E355&lt;=1-p_meta_ratio_prev_corr,"SI","NO"))</f>
        <v/>
      </c>
    </row>
    <row r="356" hidden="1">
      <c r="A356" s="24">
        <f>$O$50</f>
        <v/>
      </c>
      <c r="B356" s="25">
        <f>SUMIFS('ORDENES'!$M$4:$M$1203,'ORDENES'!$O$4:$O$1203,$A356,'ORDENES'!$U$4:$U$1203,"preventiva")</f>
        <v/>
      </c>
      <c r="C356" s="25">
        <f>SUMIFS('ORDENES'!$M$4:$M$1203,'ORDENES'!$O$4:$O$1203,$A356,'ORDENES'!$U$4:$U$1203,"correctiva")</f>
        <v/>
      </c>
      <c r="D356" s="27">
        <f>IF(B356=0,"",C356/B356)</f>
        <v/>
      </c>
      <c r="E356" s="27">
        <f>IF(B356+C356=0,"",C356/(B356+C356))</f>
        <v/>
      </c>
      <c r="F356" s="24">
        <f>IF(E356="","",IF(E356&lt;=1-p_meta_ratio_prev_corr,"SI","NO"))</f>
        <v/>
      </c>
    </row>
    <row r="357" hidden="1">
      <c r="A357" s="24">
        <f>$O$51</f>
        <v/>
      </c>
      <c r="B357" s="25">
        <f>SUMIFS('ORDENES'!$M$4:$M$1203,'ORDENES'!$O$4:$O$1203,$A357,'ORDENES'!$U$4:$U$1203,"preventiva")</f>
        <v/>
      </c>
      <c r="C357" s="25">
        <f>SUMIFS('ORDENES'!$M$4:$M$1203,'ORDENES'!$O$4:$O$1203,$A357,'ORDENES'!$U$4:$U$1203,"correctiva")</f>
        <v/>
      </c>
      <c r="D357" s="27">
        <f>IF(B357=0,"",C357/B357)</f>
        <v/>
      </c>
      <c r="E357" s="27">
        <f>IF(B357+C357=0,"",C357/(B357+C357))</f>
        <v/>
      </c>
      <c r="F357" s="24">
        <f>IF(E357="","",IF(E357&lt;=1-p_meta_ratio_prev_corr,"SI","NO"))</f>
        <v/>
      </c>
    </row>
    <row r="358" hidden="1">
      <c r="A358" s="24">
        <f>$O$52</f>
        <v/>
      </c>
      <c r="B358" s="25">
        <f>SUMIFS('ORDENES'!$M$4:$M$1203,'ORDENES'!$O$4:$O$1203,$A358,'ORDENES'!$U$4:$U$1203,"preventiva")</f>
        <v/>
      </c>
      <c r="C358" s="25">
        <f>SUMIFS('ORDENES'!$M$4:$M$1203,'ORDENES'!$O$4:$O$1203,$A358,'ORDENES'!$U$4:$U$1203,"correctiva")</f>
        <v/>
      </c>
      <c r="D358" s="27">
        <f>IF(B358=0,"",C358/B358)</f>
        <v/>
      </c>
      <c r="E358" s="27">
        <f>IF(B358+C358=0,"",C358/(B358+C358))</f>
        <v/>
      </c>
      <c r="F358" s="24">
        <f>IF(E358="","",IF(E358&lt;=1-p_meta_ratio_prev_corr,"SI","NO"))</f>
        <v/>
      </c>
    </row>
    <row r="359" hidden="1">
      <c r="A359" s="24">
        <f>$O$53</f>
        <v/>
      </c>
      <c r="B359" s="25">
        <f>SUMIFS('ORDENES'!$M$4:$M$1203,'ORDENES'!$O$4:$O$1203,$A359,'ORDENES'!$U$4:$U$1203,"preventiva")</f>
        <v/>
      </c>
      <c r="C359" s="25">
        <f>SUMIFS('ORDENES'!$M$4:$M$1203,'ORDENES'!$O$4:$O$1203,$A359,'ORDENES'!$U$4:$U$1203,"correctiva")</f>
        <v/>
      </c>
      <c r="D359" s="27">
        <f>IF(B359=0,"",C359/B359)</f>
        <v/>
      </c>
      <c r="E359" s="27">
        <f>IF(B359+C359=0,"",C359/(B359+C359))</f>
        <v/>
      </c>
      <c r="F359" s="24">
        <f>IF(E359="","",IF(E359&lt;=1-p_meta_ratio_prev_corr,"SI","NO"))</f>
        <v/>
      </c>
    </row>
    <row r="360" hidden="1">
      <c r="A360" s="24">
        <f>$O$54</f>
        <v/>
      </c>
      <c r="B360" s="25">
        <f>SUMIFS('ORDENES'!$M$4:$M$1203,'ORDENES'!$O$4:$O$1203,$A360,'ORDENES'!$U$4:$U$1203,"preventiva")</f>
        <v/>
      </c>
      <c r="C360" s="25">
        <f>SUMIFS('ORDENES'!$M$4:$M$1203,'ORDENES'!$O$4:$O$1203,$A360,'ORDENES'!$U$4:$U$1203,"correctiva")</f>
        <v/>
      </c>
      <c r="D360" s="27">
        <f>IF(B360=0,"",C360/B360)</f>
        <v/>
      </c>
      <c r="E360" s="27">
        <f>IF(B360+C360=0,"",C360/(B360+C360))</f>
        <v/>
      </c>
      <c r="F360" s="24">
        <f>IF(E360="","",IF(E360&lt;=1-p_meta_ratio_prev_corr,"SI","NO"))</f>
        <v/>
      </c>
    </row>
    <row r="361" hidden="1">
      <c r="A361" s="24">
        <f>$O$55</f>
        <v/>
      </c>
      <c r="B361" s="25">
        <f>SUMIFS('ORDENES'!$M$4:$M$1203,'ORDENES'!$O$4:$O$1203,$A361,'ORDENES'!$U$4:$U$1203,"preventiva")</f>
        <v/>
      </c>
      <c r="C361" s="25">
        <f>SUMIFS('ORDENES'!$M$4:$M$1203,'ORDENES'!$O$4:$O$1203,$A361,'ORDENES'!$U$4:$U$1203,"correctiva")</f>
        <v/>
      </c>
      <c r="D361" s="27">
        <f>IF(B361=0,"",C361/B361)</f>
        <v/>
      </c>
      <c r="E361" s="27">
        <f>IF(B361+C361=0,"",C361/(B361+C361))</f>
        <v/>
      </c>
      <c r="F361" s="24">
        <f>IF(E361="","",IF(E361&lt;=1-p_meta_ratio_prev_corr,"SI","NO"))</f>
        <v/>
      </c>
    </row>
    <row r="362" hidden="1">
      <c r="A362" s="24">
        <f>$O$56</f>
        <v/>
      </c>
      <c r="B362" s="25">
        <f>SUMIFS('ORDENES'!$M$4:$M$1203,'ORDENES'!$O$4:$O$1203,$A362,'ORDENES'!$U$4:$U$1203,"preventiva")</f>
        <v/>
      </c>
      <c r="C362" s="25">
        <f>SUMIFS('ORDENES'!$M$4:$M$1203,'ORDENES'!$O$4:$O$1203,$A362,'ORDENES'!$U$4:$U$1203,"correctiva")</f>
        <v/>
      </c>
      <c r="D362" s="27">
        <f>IF(B362=0,"",C362/B362)</f>
        <v/>
      </c>
      <c r="E362" s="27">
        <f>IF(B362+C362=0,"",C362/(B362+C362))</f>
        <v/>
      </c>
      <c r="F362" s="24">
        <f>IF(E362="","",IF(E362&lt;=1-p_meta_ratio_prev_corr,"SI","NO"))</f>
        <v/>
      </c>
    </row>
    <row r="363" hidden="1">
      <c r="A363" s="24">
        <f>$O$57</f>
        <v/>
      </c>
      <c r="B363" s="25">
        <f>SUMIFS('ORDENES'!$M$4:$M$1203,'ORDENES'!$O$4:$O$1203,$A363,'ORDENES'!$U$4:$U$1203,"preventiva")</f>
        <v/>
      </c>
      <c r="C363" s="25">
        <f>SUMIFS('ORDENES'!$M$4:$M$1203,'ORDENES'!$O$4:$O$1203,$A363,'ORDENES'!$U$4:$U$1203,"correctiva")</f>
        <v/>
      </c>
      <c r="D363" s="27">
        <f>IF(B363=0,"",C363/B363)</f>
        <v/>
      </c>
      <c r="E363" s="27">
        <f>IF(B363+C363=0,"",C363/(B363+C363))</f>
        <v/>
      </c>
      <c r="F363" s="24">
        <f>IF(E363="","",IF(E363&lt;=1-p_meta_ratio_prev_corr,"SI","NO"))</f>
        <v/>
      </c>
    </row>
    <row r="364" hidden="1">
      <c r="A364" s="24">
        <f>$O$58</f>
        <v/>
      </c>
      <c r="B364" s="25">
        <f>SUMIFS('ORDENES'!$M$4:$M$1203,'ORDENES'!$O$4:$O$1203,$A364,'ORDENES'!$U$4:$U$1203,"preventiva")</f>
        <v/>
      </c>
      <c r="C364" s="25">
        <f>SUMIFS('ORDENES'!$M$4:$M$1203,'ORDENES'!$O$4:$O$1203,$A364,'ORDENES'!$U$4:$U$1203,"correctiva")</f>
        <v/>
      </c>
      <c r="D364" s="27">
        <f>IF(B364=0,"",C364/B364)</f>
        <v/>
      </c>
      <c r="E364" s="27">
        <f>IF(B364+C364=0,"",C364/(B364+C364))</f>
        <v/>
      </c>
      <c r="F364" s="24">
        <f>IF(E364="","",IF(E364&lt;=1-p_meta_ratio_prev_corr,"SI","NO"))</f>
        <v/>
      </c>
    </row>
    <row r="365" hidden="1">
      <c r="A365" s="24">
        <f>$O$59</f>
        <v/>
      </c>
      <c r="B365" s="25">
        <f>SUMIFS('ORDENES'!$M$4:$M$1203,'ORDENES'!$O$4:$O$1203,$A365,'ORDENES'!$U$4:$U$1203,"preventiva")</f>
        <v/>
      </c>
      <c r="C365" s="25">
        <f>SUMIFS('ORDENES'!$M$4:$M$1203,'ORDENES'!$O$4:$O$1203,$A365,'ORDENES'!$U$4:$U$1203,"correctiva")</f>
        <v/>
      </c>
      <c r="D365" s="27">
        <f>IF(B365=0,"",C365/B365)</f>
        <v/>
      </c>
      <c r="E365" s="27">
        <f>IF(B365+C365=0,"",C365/(B365+C365))</f>
        <v/>
      </c>
      <c r="F365" s="24">
        <f>IF(E365="","",IF(E365&lt;=1-p_meta_ratio_prev_corr,"SI","NO"))</f>
        <v/>
      </c>
    </row>
    <row r="366" hidden="1">
      <c r="A366" s="24">
        <f>$O$60</f>
        <v/>
      </c>
      <c r="B366" s="25">
        <f>SUMIFS('ORDENES'!$M$4:$M$1203,'ORDENES'!$O$4:$O$1203,$A366,'ORDENES'!$U$4:$U$1203,"preventiva")</f>
        <v/>
      </c>
      <c r="C366" s="25">
        <f>SUMIFS('ORDENES'!$M$4:$M$1203,'ORDENES'!$O$4:$O$1203,$A366,'ORDENES'!$U$4:$U$1203,"correctiva")</f>
        <v/>
      </c>
      <c r="D366" s="27">
        <f>IF(B366=0,"",C366/B366)</f>
        <v/>
      </c>
      <c r="E366" s="27">
        <f>IF(B366+C366=0,"",C366/(B366+C366))</f>
        <v/>
      </c>
      <c r="F366" s="24">
        <f>IF(E366="","",IF(E366&lt;=1-p_meta_ratio_prev_corr,"SI","NO"))</f>
        <v/>
      </c>
    </row>
    <row r="367" hidden="1">
      <c r="A367" s="24">
        <f>$O$61</f>
        <v/>
      </c>
      <c r="B367" s="25">
        <f>SUMIFS('ORDENES'!$M$4:$M$1203,'ORDENES'!$O$4:$O$1203,$A367,'ORDENES'!$U$4:$U$1203,"preventiva")</f>
        <v/>
      </c>
      <c r="C367" s="25">
        <f>SUMIFS('ORDENES'!$M$4:$M$1203,'ORDENES'!$O$4:$O$1203,$A367,'ORDENES'!$U$4:$U$1203,"correctiva")</f>
        <v/>
      </c>
      <c r="D367" s="27">
        <f>IF(B367=0,"",C367/B367)</f>
        <v/>
      </c>
      <c r="E367" s="27">
        <f>IF(B367+C367=0,"",C367/(B367+C367))</f>
        <v/>
      </c>
      <c r="F367" s="24">
        <f>IF(E367="","",IF(E367&lt;=1-p_meta_ratio_prev_corr,"SI","NO"))</f>
        <v/>
      </c>
    </row>
    <row r="368" hidden="1">
      <c r="A368" s="24">
        <f>$O$62</f>
        <v/>
      </c>
      <c r="B368" s="25">
        <f>SUMIFS('ORDENES'!$M$4:$M$1203,'ORDENES'!$O$4:$O$1203,$A368,'ORDENES'!$U$4:$U$1203,"preventiva")</f>
        <v/>
      </c>
      <c r="C368" s="25">
        <f>SUMIFS('ORDENES'!$M$4:$M$1203,'ORDENES'!$O$4:$O$1203,$A368,'ORDENES'!$U$4:$U$1203,"correctiva")</f>
        <v/>
      </c>
      <c r="D368" s="27">
        <f>IF(B368=0,"",C368/B368)</f>
        <v/>
      </c>
      <c r="E368" s="27">
        <f>IF(B368+C368=0,"",C368/(B368+C368))</f>
        <v/>
      </c>
      <c r="F368" s="24">
        <f>IF(E368="","",IF(E368&lt;=1-p_meta_ratio_prev_corr,"SI","NO"))</f>
        <v/>
      </c>
    </row>
    <row r="369" hidden="1">
      <c r="A369" s="24">
        <f>$O$63</f>
        <v/>
      </c>
      <c r="B369" s="25">
        <f>SUMIFS('ORDENES'!$M$4:$M$1203,'ORDENES'!$O$4:$O$1203,$A369,'ORDENES'!$U$4:$U$1203,"preventiva")</f>
        <v/>
      </c>
      <c r="C369" s="25">
        <f>SUMIFS('ORDENES'!$M$4:$M$1203,'ORDENES'!$O$4:$O$1203,$A369,'ORDENES'!$U$4:$U$1203,"correctiva")</f>
        <v/>
      </c>
      <c r="D369" s="27">
        <f>IF(B369=0,"",C369/B369)</f>
        <v/>
      </c>
      <c r="E369" s="27">
        <f>IF(B369+C369=0,"",C369/(B369+C369))</f>
        <v/>
      </c>
      <c r="F369" s="24">
        <f>IF(E369="","",IF(E369&lt;=1-p_meta_ratio_prev_corr,"SI","NO"))</f>
        <v/>
      </c>
    </row>
    <row r="370"/>
    <row r="371">
      <c r="A371" s="3" t="inlineStr">
        <is>
          <t>MES A MES — carga vs capacidad PRODUCTIVA por especialidad (fuente del DASHBOARD; no editar). Capacidad productiva = horas disponibles (REGLA-5) × p_factor_productividad. Nunca se exige el 100 % del tiempo de presencia.</t>
        </is>
      </c>
    </row>
    <row r="372">
      <c r="A372" s="23" t="inlineStr">
        <is>
          <t>mes</t>
        </is>
      </c>
      <c r="B372" s="23" t="inlineStr">
        <is>
          <t>corte</t>
        </is>
      </c>
      <c r="C372" s="23" t="inlineStr">
        <is>
          <t>inicio_mes</t>
        </is>
      </c>
      <c r="D372" s="23" t="inlineStr">
        <is>
          <t>planificada_MEC</t>
        </is>
      </c>
      <c r="E372" s="23" t="inlineStr">
        <is>
          <t>productiva_MEC</t>
        </is>
      </c>
      <c r="F372" s="23" t="inlineStr">
        <is>
          <t>planificada_ELE</t>
        </is>
      </c>
      <c r="G372" s="23" t="inlineStr">
        <is>
          <t>productiva_ELE</t>
        </is>
      </c>
      <c r="H372" s="23" t="inlineStr">
        <is>
          <t>planificada_AUT</t>
        </is>
      </c>
      <c r="I372" s="23" t="inlineStr">
        <is>
          <t>productiva_AUT</t>
        </is>
      </c>
      <c r="J372" s="23" t="inlineStr">
        <is>
          <t>planificada_TOTAL</t>
        </is>
      </c>
      <c r="K372" s="23" t="inlineStr">
        <is>
          <t>productiva_TOTAL</t>
        </is>
      </c>
      <c r="L372" s="23" t="inlineStr">
        <is>
          <t>pct_carga</t>
        </is>
      </c>
    </row>
    <row r="373">
      <c r="A373" s="24" t="inlineStr">
        <is>
          <t>2025-10</t>
        </is>
      </c>
      <c r="B373" s="30">
        <f>IF($A373="","",IF($A373=YEAR(p_fecha_datos)&amp;"-"&amp;TEXT(MONTH(p_fecha_datos),"00"),p_fecha_datos-1,DATE(VALUE(LEFT($A373,4)),VALUE(RIGHT($A373,2))+1,0)))</f>
        <v/>
      </c>
      <c r="C373" s="30">
        <f>DATE(VALUE(LEFT($A373,4)),VALUE(RIGHT($A373,2)),1)</f>
        <v/>
      </c>
      <c r="D373" s="25">
        <f>SUMIFS('ORDENES'!$M$4:$M$1203,'ORDENES'!$AB$4:$AB$1203,"MEC",'ORDENES'!$R$4:$R$1203,$A373,'ORDENES'!$J$4:$J$1203,"&lt;="&amp;$B373)</f>
        <v/>
      </c>
      <c r="E373" s="25">
        <f>SUMIFS('ASIGNACIONES'!$M$4:$M$451,'ASIGNACIONES'!$E$4:$E$451,"MEC",'ASIGNACIONES'!$L$4:$L$451,"&gt;="&amp;$C373,'ASIGNACIONES'!$L$4:$L$451,"&lt;="&amp;$B373)*p_factor_productividad</f>
        <v/>
      </c>
      <c r="F373" s="25">
        <f>SUMIFS('ORDENES'!$M$4:$M$1203,'ORDENES'!$AB$4:$AB$1203,"ELE",'ORDENES'!$R$4:$R$1203,$A373,'ORDENES'!$J$4:$J$1203,"&lt;="&amp;$B373)</f>
        <v/>
      </c>
      <c r="G373" s="25">
        <f>SUMIFS('ASIGNACIONES'!$M$4:$M$451,'ASIGNACIONES'!$E$4:$E$451,"ELE",'ASIGNACIONES'!$L$4:$L$451,"&gt;="&amp;$C373,'ASIGNACIONES'!$L$4:$L$451,"&lt;="&amp;$B373)*p_factor_productividad</f>
        <v/>
      </c>
      <c r="H373" s="25">
        <f>SUMIFS('ORDENES'!$M$4:$M$1203,'ORDENES'!$AB$4:$AB$1203,"AUT",'ORDENES'!$R$4:$R$1203,$A373,'ORDENES'!$J$4:$J$1203,"&lt;="&amp;$B373)</f>
        <v/>
      </c>
      <c r="I373" s="25">
        <f>SUMIFS('ASIGNACIONES'!$M$4:$M$451,'ASIGNACIONES'!$E$4:$E$451,"AUT",'ASIGNACIONES'!$L$4:$L$451,"&gt;="&amp;$C373,'ASIGNACIONES'!$L$4:$L$451,"&lt;="&amp;$B373)*p_factor_productividad</f>
        <v/>
      </c>
      <c r="J373" s="25">
        <f>D373+F373+H373</f>
        <v/>
      </c>
      <c r="K373" s="25">
        <f>E373+G373+I373</f>
        <v/>
      </c>
      <c r="L373" s="27">
        <f>IF(K373=0,"",J373/K373)</f>
        <v/>
      </c>
    </row>
    <row r="374">
      <c r="A374" s="24" t="inlineStr">
        <is>
          <t>2025-11</t>
        </is>
      </c>
      <c r="B374" s="30">
        <f>IF($A374="","",IF($A374=YEAR(p_fecha_datos)&amp;"-"&amp;TEXT(MONTH(p_fecha_datos),"00"),p_fecha_datos-1,DATE(VALUE(LEFT($A374,4)),VALUE(RIGHT($A374,2))+1,0)))</f>
        <v/>
      </c>
      <c r="C374" s="30">
        <f>DATE(VALUE(LEFT($A374,4)),VALUE(RIGHT($A374,2)),1)</f>
        <v/>
      </c>
      <c r="D374" s="25">
        <f>SUMIFS('ORDENES'!$M$4:$M$1203,'ORDENES'!$AB$4:$AB$1203,"MEC",'ORDENES'!$R$4:$R$1203,$A374,'ORDENES'!$J$4:$J$1203,"&lt;="&amp;$B374)</f>
        <v/>
      </c>
      <c r="E374" s="25">
        <f>SUMIFS('ASIGNACIONES'!$M$4:$M$451,'ASIGNACIONES'!$E$4:$E$451,"MEC",'ASIGNACIONES'!$L$4:$L$451,"&gt;="&amp;$C374,'ASIGNACIONES'!$L$4:$L$451,"&lt;="&amp;$B374)*p_factor_productividad</f>
        <v/>
      </c>
      <c r="F374" s="25">
        <f>SUMIFS('ORDENES'!$M$4:$M$1203,'ORDENES'!$AB$4:$AB$1203,"ELE",'ORDENES'!$R$4:$R$1203,$A374,'ORDENES'!$J$4:$J$1203,"&lt;="&amp;$B374)</f>
        <v/>
      </c>
      <c r="G374" s="25">
        <f>SUMIFS('ASIGNACIONES'!$M$4:$M$451,'ASIGNACIONES'!$E$4:$E$451,"ELE",'ASIGNACIONES'!$L$4:$L$451,"&gt;="&amp;$C374,'ASIGNACIONES'!$L$4:$L$451,"&lt;="&amp;$B374)*p_factor_productividad</f>
        <v/>
      </c>
      <c r="H374" s="25">
        <f>SUMIFS('ORDENES'!$M$4:$M$1203,'ORDENES'!$AB$4:$AB$1203,"AUT",'ORDENES'!$R$4:$R$1203,$A374,'ORDENES'!$J$4:$J$1203,"&lt;="&amp;$B374)</f>
        <v/>
      </c>
      <c r="I374" s="25">
        <f>SUMIFS('ASIGNACIONES'!$M$4:$M$451,'ASIGNACIONES'!$E$4:$E$451,"AUT",'ASIGNACIONES'!$L$4:$L$451,"&gt;="&amp;$C374,'ASIGNACIONES'!$L$4:$L$451,"&lt;="&amp;$B374)*p_factor_productividad</f>
        <v/>
      </c>
      <c r="J374" s="25">
        <f>D374+F374+H374</f>
        <v/>
      </c>
      <c r="K374" s="25">
        <f>E374+G374+I374</f>
        <v/>
      </c>
      <c r="L374" s="27">
        <f>IF(K374=0,"",J374/K374)</f>
        <v/>
      </c>
    </row>
    <row r="375">
      <c r="A375" s="24" t="inlineStr">
        <is>
          <t>2025-12</t>
        </is>
      </c>
      <c r="B375" s="30">
        <f>IF($A375="","",IF($A375=YEAR(p_fecha_datos)&amp;"-"&amp;TEXT(MONTH(p_fecha_datos),"00"),p_fecha_datos-1,DATE(VALUE(LEFT($A375,4)),VALUE(RIGHT($A375,2))+1,0)))</f>
        <v/>
      </c>
      <c r="C375" s="30">
        <f>DATE(VALUE(LEFT($A375,4)),VALUE(RIGHT($A375,2)),1)</f>
        <v/>
      </c>
      <c r="D375" s="25">
        <f>SUMIFS('ORDENES'!$M$4:$M$1203,'ORDENES'!$AB$4:$AB$1203,"MEC",'ORDENES'!$R$4:$R$1203,$A375,'ORDENES'!$J$4:$J$1203,"&lt;="&amp;$B375)</f>
        <v/>
      </c>
      <c r="E375" s="25">
        <f>SUMIFS('ASIGNACIONES'!$M$4:$M$451,'ASIGNACIONES'!$E$4:$E$451,"MEC",'ASIGNACIONES'!$L$4:$L$451,"&gt;="&amp;$C375,'ASIGNACIONES'!$L$4:$L$451,"&lt;="&amp;$B375)*p_factor_productividad</f>
        <v/>
      </c>
      <c r="F375" s="25">
        <f>SUMIFS('ORDENES'!$M$4:$M$1203,'ORDENES'!$AB$4:$AB$1203,"ELE",'ORDENES'!$R$4:$R$1203,$A375,'ORDENES'!$J$4:$J$1203,"&lt;="&amp;$B375)</f>
        <v/>
      </c>
      <c r="G375" s="25">
        <f>SUMIFS('ASIGNACIONES'!$M$4:$M$451,'ASIGNACIONES'!$E$4:$E$451,"ELE",'ASIGNACIONES'!$L$4:$L$451,"&gt;="&amp;$C375,'ASIGNACIONES'!$L$4:$L$451,"&lt;="&amp;$B375)*p_factor_productividad</f>
        <v/>
      </c>
      <c r="H375" s="25">
        <f>SUMIFS('ORDENES'!$M$4:$M$1203,'ORDENES'!$AB$4:$AB$1203,"AUT",'ORDENES'!$R$4:$R$1203,$A375,'ORDENES'!$J$4:$J$1203,"&lt;="&amp;$B375)</f>
        <v/>
      </c>
      <c r="I375" s="25">
        <f>SUMIFS('ASIGNACIONES'!$M$4:$M$451,'ASIGNACIONES'!$E$4:$E$451,"AUT",'ASIGNACIONES'!$L$4:$L$451,"&gt;="&amp;$C375,'ASIGNACIONES'!$L$4:$L$451,"&lt;="&amp;$B375)*p_factor_productividad</f>
        <v/>
      </c>
      <c r="J375" s="25">
        <f>D375+F375+H375</f>
        <v/>
      </c>
      <c r="K375" s="25">
        <f>E375+G375+I375</f>
        <v/>
      </c>
      <c r="L375" s="27">
        <f>IF(K375=0,"",J375/K375)</f>
        <v/>
      </c>
    </row>
    <row r="376">
      <c r="A376" s="24" t="inlineStr">
        <is>
          <t>2026-01</t>
        </is>
      </c>
      <c r="B376" s="30">
        <f>IF($A376="","",IF($A376=YEAR(p_fecha_datos)&amp;"-"&amp;TEXT(MONTH(p_fecha_datos),"00"),p_fecha_datos-1,DATE(VALUE(LEFT($A376,4)),VALUE(RIGHT($A376,2))+1,0)))</f>
        <v/>
      </c>
      <c r="C376" s="30">
        <f>DATE(VALUE(LEFT($A376,4)),VALUE(RIGHT($A376,2)),1)</f>
        <v/>
      </c>
      <c r="D376" s="25">
        <f>SUMIFS('ORDENES'!$M$4:$M$1203,'ORDENES'!$AB$4:$AB$1203,"MEC",'ORDENES'!$R$4:$R$1203,$A376,'ORDENES'!$J$4:$J$1203,"&lt;="&amp;$B376)</f>
        <v/>
      </c>
      <c r="E376" s="25">
        <f>SUMIFS('ASIGNACIONES'!$M$4:$M$451,'ASIGNACIONES'!$E$4:$E$451,"MEC",'ASIGNACIONES'!$L$4:$L$451,"&gt;="&amp;$C376,'ASIGNACIONES'!$L$4:$L$451,"&lt;="&amp;$B376)*p_factor_productividad</f>
        <v/>
      </c>
      <c r="F376" s="25">
        <f>SUMIFS('ORDENES'!$M$4:$M$1203,'ORDENES'!$AB$4:$AB$1203,"ELE",'ORDENES'!$R$4:$R$1203,$A376,'ORDENES'!$J$4:$J$1203,"&lt;="&amp;$B376)</f>
        <v/>
      </c>
      <c r="G376" s="25">
        <f>SUMIFS('ASIGNACIONES'!$M$4:$M$451,'ASIGNACIONES'!$E$4:$E$451,"ELE",'ASIGNACIONES'!$L$4:$L$451,"&gt;="&amp;$C376,'ASIGNACIONES'!$L$4:$L$451,"&lt;="&amp;$B376)*p_factor_productividad</f>
        <v/>
      </c>
      <c r="H376" s="25">
        <f>SUMIFS('ORDENES'!$M$4:$M$1203,'ORDENES'!$AB$4:$AB$1203,"AUT",'ORDENES'!$R$4:$R$1203,$A376,'ORDENES'!$J$4:$J$1203,"&lt;="&amp;$B376)</f>
        <v/>
      </c>
      <c r="I376" s="25">
        <f>SUMIFS('ASIGNACIONES'!$M$4:$M$451,'ASIGNACIONES'!$E$4:$E$451,"AUT",'ASIGNACIONES'!$L$4:$L$451,"&gt;="&amp;$C376,'ASIGNACIONES'!$L$4:$L$451,"&lt;="&amp;$B376)*p_factor_productividad</f>
        <v/>
      </c>
      <c r="J376" s="25">
        <f>D376+F376+H376</f>
        <v/>
      </c>
      <c r="K376" s="25">
        <f>E376+G376+I376</f>
        <v/>
      </c>
      <c r="L376" s="27">
        <f>IF(K376=0,"",J376/K376)</f>
        <v/>
      </c>
    </row>
    <row r="377">
      <c r="A377" s="24" t="inlineStr">
        <is>
          <t>2026-02</t>
        </is>
      </c>
      <c r="B377" s="30">
        <f>IF($A377="","",IF($A377=YEAR(p_fecha_datos)&amp;"-"&amp;TEXT(MONTH(p_fecha_datos),"00"),p_fecha_datos-1,DATE(VALUE(LEFT($A377,4)),VALUE(RIGHT($A377,2))+1,0)))</f>
        <v/>
      </c>
      <c r="C377" s="30">
        <f>DATE(VALUE(LEFT($A377,4)),VALUE(RIGHT($A377,2)),1)</f>
        <v/>
      </c>
      <c r="D377" s="25">
        <f>SUMIFS('ORDENES'!$M$4:$M$1203,'ORDENES'!$AB$4:$AB$1203,"MEC",'ORDENES'!$R$4:$R$1203,$A377,'ORDENES'!$J$4:$J$1203,"&lt;="&amp;$B377)</f>
        <v/>
      </c>
      <c r="E377" s="25">
        <f>SUMIFS('ASIGNACIONES'!$M$4:$M$451,'ASIGNACIONES'!$E$4:$E$451,"MEC",'ASIGNACIONES'!$L$4:$L$451,"&gt;="&amp;$C377,'ASIGNACIONES'!$L$4:$L$451,"&lt;="&amp;$B377)*p_factor_productividad</f>
        <v/>
      </c>
      <c r="F377" s="25">
        <f>SUMIFS('ORDENES'!$M$4:$M$1203,'ORDENES'!$AB$4:$AB$1203,"ELE",'ORDENES'!$R$4:$R$1203,$A377,'ORDENES'!$J$4:$J$1203,"&lt;="&amp;$B377)</f>
        <v/>
      </c>
      <c r="G377" s="25">
        <f>SUMIFS('ASIGNACIONES'!$M$4:$M$451,'ASIGNACIONES'!$E$4:$E$451,"ELE",'ASIGNACIONES'!$L$4:$L$451,"&gt;="&amp;$C377,'ASIGNACIONES'!$L$4:$L$451,"&lt;="&amp;$B377)*p_factor_productividad</f>
        <v/>
      </c>
      <c r="H377" s="25">
        <f>SUMIFS('ORDENES'!$M$4:$M$1203,'ORDENES'!$AB$4:$AB$1203,"AUT",'ORDENES'!$R$4:$R$1203,$A377,'ORDENES'!$J$4:$J$1203,"&lt;="&amp;$B377)</f>
        <v/>
      </c>
      <c r="I377" s="25">
        <f>SUMIFS('ASIGNACIONES'!$M$4:$M$451,'ASIGNACIONES'!$E$4:$E$451,"AUT",'ASIGNACIONES'!$L$4:$L$451,"&gt;="&amp;$C377,'ASIGNACIONES'!$L$4:$L$451,"&lt;="&amp;$B377)*p_factor_productividad</f>
        <v/>
      </c>
      <c r="J377" s="25">
        <f>D377+F377+H377</f>
        <v/>
      </c>
      <c r="K377" s="25">
        <f>E377+G377+I377</f>
        <v/>
      </c>
      <c r="L377" s="27">
        <f>IF(K377=0,"",J377/K377)</f>
        <v/>
      </c>
    </row>
    <row r="378">
      <c r="A378" s="24" t="inlineStr">
        <is>
          <t>2026-03</t>
        </is>
      </c>
      <c r="B378" s="30">
        <f>IF($A378="","",IF($A378=YEAR(p_fecha_datos)&amp;"-"&amp;TEXT(MONTH(p_fecha_datos),"00"),p_fecha_datos-1,DATE(VALUE(LEFT($A378,4)),VALUE(RIGHT($A378,2))+1,0)))</f>
        <v/>
      </c>
      <c r="C378" s="30">
        <f>DATE(VALUE(LEFT($A378,4)),VALUE(RIGHT($A378,2)),1)</f>
        <v/>
      </c>
      <c r="D378" s="25">
        <f>SUMIFS('ORDENES'!$M$4:$M$1203,'ORDENES'!$AB$4:$AB$1203,"MEC",'ORDENES'!$R$4:$R$1203,$A378,'ORDENES'!$J$4:$J$1203,"&lt;="&amp;$B378)</f>
        <v/>
      </c>
      <c r="E378" s="25">
        <f>SUMIFS('ASIGNACIONES'!$M$4:$M$451,'ASIGNACIONES'!$E$4:$E$451,"MEC",'ASIGNACIONES'!$L$4:$L$451,"&gt;="&amp;$C378,'ASIGNACIONES'!$L$4:$L$451,"&lt;="&amp;$B378)*p_factor_productividad</f>
        <v/>
      </c>
      <c r="F378" s="25">
        <f>SUMIFS('ORDENES'!$M$4:$M$1203,'ORDENES'!$AB$4:$AB$1203,"ELE",'ORDENES'!$R$4:$R$1203,$A378,'ORDENES'!$J$4:$J$1203,"&lt;="&amp;$B378)</f>
        <v/>
      </c>
      <c r="G378" s="25">
        <f>SUMIFS('ASIGNACIONES'!$M$4:$M$451,'ASIGNACIONES'!$E$4:$E$451,"ELE",'ASIGNACIONES'!$L$4:$L$451,"&gt;="&amp;$C378,'ASIGNACIONES'!$L$4:$L$451,"&lt;="&amp;$B378)*p_factor_productividad</f>
        <v/>
      </c>
      <c r="H378" s="25">
        <f>SUMIFS('ORDENES'!$M$4:$M$1203,'ORDENES'!$AB$4:$AB$1203,"AUT",'ORDENES'!$R$4:$R$1203,$A378,'ORDENES'!$J$4:$J$1203,"&lt;="&amp;$B378)</f>
        <v/>
      </c>
      <c r="I378" s="25">
        <f>SUMIFS('ASIGNACIONES'!$M$4:$M$451,'ASIGNACIONES'!$E$4:$E$451,"AUT",'ASIGNACIONES'!$L$4:$L$451,"&gt;="&amp;$C378,'ASIGNACIONES'!$L$4:$L$451,"&lt;="&amp;$B378)*p_factor_productividad</f>
        <v/>
      </c>
      <c r="J378" s="25">
        <f>D378+F378+H378</f>
        <v/>
      </c>
      <c r="K378" s="25">
        <f>E378+G378+I378</f>
        <v/>
      </c>
      <c r="L378" s="27">
        <f>IF(K378=0,"",J378/K378)</f>
        <v/>
      </c>
    </row>
    <row r="379">
      <c r="A379" s="24" t="inlineStr">
        <is>
          <t>2026-04</t>
        </is>
      </c>
      <c r="B379" s="30">
        <f>IF($A379="","",IF($A379=YEAR(p_fecha_datos)&amp;"-"&amp;TEXT(MONTH(p_fecha_datos),"00"),p_fecha_datos-1,DATE(VALUE(LEFT($A379,4)),VALUE(RIGHT($A379,2))+1,0)))</f>
        <v/>
      </c>
      <c r="C379" s="30">
        <f>DATE(VALUE(LEFT($A379,4)),VALUE(RIGHT($A379,2)),1)</f>
        <v/>
      </c>
      <c r="D379" s="25">
        <f>SUMIFS('ORDENES'!$M$4:$M$1203,'ORDENES'!$AB$4:$AB$1203,"MEC",'ORDENES'!$R$4:$R$1203,$A379,'ORDENES'!$J$4:$J$1203,"&lt;="&amp;$B379)</f>
        <v/>
      </c>
      <c r="E379" s="25">
        <f>SUMIFS('ASIGNACIONES'!$M$4:$M$451,'ASIGNACIONES'!$E$4:$E$451,"MEC",'ASIGNACIONES'!$L$4:$L$451,"&gt;="&amp;$C379,'ASIGNACIONES'!$L$4:$L$451,"&lt;="&amp;$B379)*p_factor_productividad</f>
        <v/>
      </c>
      <c r="F379" s="25">
        <f>SUMIFS('ORDENES'!$M$4:$M$1203,'ORDENES'!$AB$4:$AB$1203,"ELE",'ORDENES'!$R$4:$R$1203,$A379,'ORDENES'!$J$4:$J$1203,"&lt;="&amp;$B379)</f>
        <v/>
      </c>
      <c r="G379" s="25">
        <f>SUMIFS('ASIGNACIONES'!$M$4:$M$451,'ASIGNACIONES'!$E$4:$E$451,"ELE",'ASIGNACIONES'!$L$4:$L$451,"&gt;="&amp;$C379,'ASIGNACIONES'!$L$4:$L$451,"&lt;="&amp;$B379)*p_factor_productividad</f>
        <v/>
      </c>
      <c r="H379" s="25">
        <f>SUMIFS('ORDENES'!$M$4:$M$1203,'ORDENES'!$AB$4:$AB$1203,"AUT",'ORDENES'!$R$4:$R$1203,$A379,'ORDENES'!$J$4:$J$1203,"&lt;="&amp;$B379)</f>
        <v/>
      </c>
      <c r="I379" s="25">
        <f>SUMIFS('ASIGNACIONES'!$M$4:$M$451,'ASIGNACIONES'!$E$4:$E$451,"AUT",'ASIGNACIONES'!$L$4:$L$451,"&gt;="&amp;$C379,'ASIGNACIONES'!$L$4:$L$451,"&lt;="&amp;$B379)*p_factor_productividad</f>
        <v/>
      </c>
      <c r="J379" s="25">
        <f>D379+F379+H379</f>
        <v/>
      </c>
      <c r="K379" s="25">
        <f>E379+G379+I379</f>
        <v/>
      </c>
      <c r="L379" s="27">
        <f>IF(K379=0,"",J379/K379)</f>
        <v/>
      </c>
    </row>
    <row r="380">
      <c r="A380" s="24" t="inlineStr">
        <is>
          <t>2026-05</t>
        </is>
      </c>
      <c r="B380" s="30">
        <f>IF($A380="","",IF($A380=YEAR(p_fecha_datos)&amp;"-"&amp;TEXT(MONTH(p_fecha_datos),"00"),p_fecha_datos-1,DATE(VALUE(LEFT($A380,4)),VALUE(RIGHT($A380,2))+1,0)))</f>
        <v/>
      </c>
      <c r="C380" s="30">
        <f>DATE(VALUE(LEFT($A380,4)),VALUE(RIGHT($A380,2)),1)</f>
        <v/>
      </c>
      <c r="D380" s="25">
        <f>SUMIFS('ORDENES'!$M$4:$M$1203,'ORDENES'!$AB$4:$AB$1203,"MEC",'ORDENES'!$R$4:$R$1203,$A380,'ORDENES'!$J$4:$J$1203,"&lt;="&amp;$B380)</f>
        <v/>
      </c>
      <c r="E380" s="25">
        <f>SUMIFS('ASIGNACIONES'!$M$4:$M$451,'ASIGNACIONES'!$E$4:$E$451,"MEC",'ASIGNACIONES'!$L$4:$L$451,"&gt;="&amp;$C380,'ASIGNACIONES'!$L$4:$L$451,"&lt;="&amp;$B380)*p_factor_productividad</f>
        <v/>
      </c>
      <c r="F380" s="25">
        <f>SUMIFS('ORDENES'!$M$4:$M$1203,'ORDENES'!$AB$4:$AB$1203,"ELE",'ORDENES'!$R$4:$R$1203,$A380,'ORDENES'!$J$4:$J$1203,"&lt;="&amp;$B380)</f>
        <v/>
      </c>
      <c r="G380" s="25">
        <f>SUMIFS('ASIGNACIONES'!$M$4:$M$451,'ASIGNACIONES'!$E$4:$E$451,"ELE",'ASIGNACIONES'!$L$4:$L$451,"&gt;="&amp;$C380,'ASIGNACIONES'!$L$4:$L$451,"&lt;="&amp;$B380)*p_factor_productividad</f>
        <v/>
      </c>
      <c r="H380" s="25">
        <f>SUMIFS('ORDENES'!$M$4:$M$1203,'ORDENES'!$AB$4:$AB$1203,"AUT",'ORDENES'!$R$4:$R$1203,$A380,'ORDENES'!$J$4:$J$1203,"&lt;="&amp;$B380)</f>
        <v/>
      </c>
      <c r="I380" s="25">
        <f>SUMIFS('ASIGNACIONES'!$M$4:$M$451,'ASIGNACIONES'!$E$4:$E$451,"AUT",'ASIGNACIONES'!$L$4:$L$451,"&gt;="&amp;$C380,'ASIGNACIONES'!$L$4:$L$451,"&lt;="&amp;$B380)*p_factor_productividad</f>
        <v/>
      </c>
      <c r="J380" s="25">
        <f>D380+F380+H380</f>
        <v/>
      </c>
      <c r="K380" s="25">
        <f>E380+G380+I380</f>
        <v/>
      </c>
      <c r="L380" s="27">
        <f>IF(K380=0,"",J380/K380)</f>
        <v/>
      </c>
    </row>
    <row r="381">
      <c r="A381" s="24" t="inlineStr">
        <is>
          <t>2026-06</t>
        </is>
      </c>
      <c r="B381" s="30">
        <f>IF($A381="","",IF($A381=YEAR(p_fecha_datos)&amp;"-"&amp;TEXT(MONTH(p_fecha_datos),"00"),p_fecha_datos-1,DATE(VALUE(LEFT($A381,4)),VALUE(RIGHT($A381,2))+1,0)))</f>
        <v/>
      </c>
      <c r="C381" s="30">
        <f>DATE(VALUE(LEFT($A381,4)),VALUE(RIGHT($A381,2)),1)</f>
        <v/>
      </c>
      <c r="D381" s="25">
        <f>SUMIFS('ORDENES'!$M$4:$M$1203,'ORDENES'!$AB$4:$AB$1203,"MEC",'ORDENES'!$R$4:$R$1203,$A381,'ORDENES'!$J$4:$J$1203,"&lt;="&amp;$B381)</f>
        <v/>
      </c>
      <c r="E381" s="25">
        <f>SUMIFS('ASIGNACIONES'!$M$4:$M$451,'ASIGNACIONES'!$E$4:$E$451,"MEC",'ASIGNACIONES'!$L$4:$L$451,"&gt;="&amp;$C381,'ASIGNACIONES'!$L$4:$L$451,"&lt;="&amp;$B381)*p_factor_productividad</f>
        <v/>
      </c>
      <c r="F381" s="25">
        <f>SUMIFS('ORDENES'!$M$4:$M$1203,'ORDENES'!$AB$4:$AB$1203,"ELE",'ORDENES'!$R$4:$R$1203,$A381,'ORDENES'!$J$4:$J$1203,"&lt;="&amp;$B381)</f>
        <v/>
      </c>
      <c r="G381" s="25">
        <f>SUMIFS('ASIGNACIONES'!$M$4:$M$451,'ASIGNACIONES'!$E$4:$E$451,"ELE",'ASIGNACIONES'!$L$4:$L$451,"&gt;="&amp;$C381,'ASIGNACIONES'!$L$4:$L$451,"&lt;="&amp;$B381)*p_factor_productividad</f>
        <v/>
      </c>
      <c r="H381" s="25">
        <f>SUMIFS('ORDENES'!$M$4:$M$1203,'ORDENES'!$AB$4:$AB$1203,"AUT",'ORDENES'!$R$4:$R$1203,$A381,'ORDENES'!$J$4:$J$1203,"&lt;="&amp;$B381)</f>
        <v/>
      </c>
      <c r="I381" s="25">
        <f>SUMIFS('ASIGNACIONES'!$M$4:$M$451,'ASIGNACIONES'!$E$4:$E$451,"AUT",'ASIGNACIONES'!$L$4:$L$451,"&gt;="&amp;$C381,'ASIGNACIONES'!$L$4:$L$451,"&lt;="&amp;$B381)*p_factor_productividad</f>
        <v/>
      </c>
      <c r="J381" s="25">
        <f>D381+F381+H381</f>
        <v/>
      </c>
      <c r="K381" s="25">
        <f>E381+G381+I381</f>
        <v/>
      </c>
      <c r="L381" s="27">
        <f>IF(K381=0,"",J381/K381)</f>
        <v/>
      </c>
    </row>
    <row r="382">
      <c r="A382" s="24" t="inlineStr">
        <is>
          <t>2026-07</t>
        </is>
      </c>
      <c r="B382" s="30">
        <f>IF($A382="","",IF($A382=YEAR(p_fecha_datos)&amp;"-"&amp;TEXT(MONTH(p_fecha_datos),"00"),p_fecha_datos-1,DATE(VALUE(LEFT($A382,4)),VALUE(RIGHT($A382,2))+1,0)))</f>
        <v/>
      </c>
      <c r="C382" s="30">
        <f>DATE(VALUE(LEFT($A382,4)),VALUE(RIGHT($A382,2)),1)</f>
        <v/>
      </c>
      <c r="D382" s="25">
        <f>SUMIFS('ORDENES'!$M$4:$M$1203,'ORDENES'!$AB$4:$AB$1203,"MEC",'ORDENES'!$R$4:$R$1203,$A382,'ORDENES'!$J$4:$J$1203,"&lt;="&amp;$B382)</f>
        <v/>
      </c>
      <c r="E382" s="25">
        <f>SUMIFS('ASIGNACIONES'!$M$4:$M$451,'ASIGNACIONES'!$E$4:$E$451,"MEC",'ASIGNACIONES'!$L$4:$L$451,"&gt;="&amp;$C382,'ASIGNACIONES'!$L$4:$L$451,"&lt;="&amp;$B382)*p_factor_productividad</f>
        <v/>
      </c>
      <c r="F382" s="25">
        <f>SUMIFS('ORDENES'!$M$4:$M$1203,'ORDENES'!$AB$4:$AB$1203,"ELE",'ORDENES'!$R$4:$R$1203,$A382,'ORDENES'!$J$4:$J$1203,"&lt;="&amp;$B382)</f>
        <v/>
      </c>
      <c r="G382" s="25">
        <f>SUMIFS('ASIGNACIONES'!$M$4:$M$451,'ASIGNACIONES'!$E$4:$E$451,"ELE",'ASIGNACIONES'!$L$4:$L$451,"&gt;="&amp;$C382,'ASIGNACIONES'!$L$4:$L$451,"&lt;="&amp;$B382)*p_factor_productividad</f>
        <v/>
      </c>
      <c r="H382" s="25">
        <f>SUMIFS('ORDENES'!$M$4:$M$1203,'ORDENES'!$AB$4:$AB$1203,"AUT",'ORDENES'!$R$4:$R$1203,$A382,'ORDENES'!$J$4:$J$1203,"&lt;="&amp;$B382)</f>
        <v/>
      </c>
      <c r="I382" s="25">
        <f>SUMIFS('ASIGNACIONES'!$M$4:$M$451,'ASIGNACIONES'!$E$4:$E$451,"AUT",'ASIGNACIONES'!$L$4:$L$451,"&gt;="&amp;$C382,'ASIGNACIONES'!$L$4:$L$451,"&lt;="&amp;$B382)*p_factor_productividad</f>
        <v/>
      </c>
      <c r="J382" s="25">
        <f>D382+F382+H382</f>
        <v/>
      </c>
      <c r="K382" s="25">
        <f>E382+G382+I382</f>
        <v/>
      </c>
      <c r="L382" s="27">
        <f>IF(K382=0,"",J382/K382)</f>
        <v/>
      </c>
    </row>
    <row r="383">
      <c r="A383" s="24" t="inlineStr">
        <is>
          <t>2026-08</t>
        </is>
      </c>
      <c r="B383" s="30">
        <f>IF($A383="","",IF($A383=YEAR(p_fecha_datos)&amp;"-"&amp;TEXT(MONTH(p_fecha_datos),"00"),p_fecha_datos-1,DATE(VALUE(LEFT($A383,4)),VALUE(RIGHT($A383,2))+1,0)))</f>
        <v/>
      </c>
      <c r="C383" s="30">
        <f>DATE(VALUE(LEFT($A383,4)),VALUE(RIGHT($A383,2)),1)</f>
        <v/>
      </c>
      <c r="D383" s="25">
        <f>SUMIFS('ORDENES'!$M$4:$M$1203,'ORDENES'!$AB$4:$AB$1203,"MEC",'ORDENES'!$R$4:$R$1203,$A383,'ORDENES'!$J$4:$J$1203,"&lt;="&amp;$B383)</f>
        <v/>
      </c>
      <c r="E383" s="25">
        <f>SUMIFS('ASIGNACIONES'!$M$4:$M$451,'ASIGNACIONES'!$E$4:$E$451,"MEC",'ASIGNACIONES'!$L$4:$L$451,"&gt;="&amp;$C383,'ASIGNACIONES'!$L$4:$L$451,"&lt;="&amp;$B383)*p_factor_productividad</f>
        <v/>
      </c>
      <c r="F383" s="25">
        <f>SUMIFS('ORDENES'!$M$4:$M$1203,'ORDENES'!$AB$4:$AB$1203,"ELE",'ORDENES'!$R$4:$R$1203,$A383,'ORDENES'!$J$4:$J$1203,"&lt;="&amp;$B383)</f>
        <v/>
      </c>
      <c r="G383" s="25">
        <f>SUMIFS('ASIGNACIONES'!$M$4:$M$451,'ASIGNACIONES'!$E$4:$E$451,"ELE",'ASIGNACIONES'!$L$4:$L$451,"&gt;="&amp;$C383,'ASIGNACIONES'!$L$4:$L$451,"&lt;="&amp;$B383)*p_factor_productividad</f>
        <v/>
      </c>
      <c r="H383" s="25">
        <f>SUMIFS('ORDENES'!$M$4:$M$1203,'ORDENES'!$AB$4:$AB$1203,"AUT",'ORDENES'!$R$4:$R$1203,$A383,'ORDENES'!$J$4:$J$1203,"&lt;="&amp;$B383)</f>
        <v/>
      </c>
      <c r="I383" s="25">
        <f>SUMIFS('ASIGNACIONES'!$M$4:$M$451,'ASIGNACIONES'!$E$4:$E$451,"AUT",'ASIGNACIONES'!$L$4:$L$451,"&gt;="&amp;$C383,'ASIGNACIONES'!$L$4:$L$451,"&lt;="&amp;$B383)*p_factor_productividad</f>
        <v/>
      </c>
      <c r="J383" s="25">
        <f>D383+F383+H383</f>
        <v/>
      </c>
      <c r="K383" s="25">
        <f>E383+G383+I383</f>
        <v/>
      </c>
      <c r="L383" s="27">
        <f>IF(K383=0,"",J383/K383)</f>
        <v/>
      </c>
    </row>
    <row r="384">
      <c r="A384" s="24" t="inlineStr">
        <is>
          <t>2026-09</t>
        </is>
      </c>
      <c r="B384" s="30">
        <f>IF($A384="","",IF($A384=YEAR(p_fecha_datos)&amp;"-"&amp;TEXT(MONTH(p_fecha_datos),"00"),p_fecha_datos-1,DATE(VALUE(LEFT($A384,4)),VALUE(RIGHT($A384,2))+1,0)))</f>
        <v/>
      </c>
      <c r="C384" s="30">
        <f>DATE(VALUE(LEFT($A384,4)),VALUE(RIGHT($A384,2)),1)</f>
        <v/>
      </c>
      <c r="D384" s="25">
        <f>SUMIFS('ORDENES'!$M$4:$M$1203,'ORDENES'!$AB$4:$AB$1203,"MEC",'ORDENES'!$R$4:$R$1203,$A384,'ORDENES'!$J$4:$J$1203,"&lt;="&amp;$B384)</f>
        <v/>
      </c>
      <c r="E384" s="25">
        <f>SUMIFS('ASIGNACIONES'!$M$4:$M$451,'ASIGNACIONES'!$E$4:$E$451,"MEC",'ASIGNACIONES'!$L$4:$L$451,"&gt;="&amp;$C384,'ASIGNACIONES'!$L$4:$L$451,"&lt;="&amp;$B384)*p_factor_productividad</f>
        <v/>
      </c>
      <c r="F384" s="25">
        <f>SUMIFS('ORDENES'!$M$4:$M$1203,'ORDENES'!$AB$4:$AB$1203,"ELE",'ORDENES'!$R$4:$R$1203,$A384,'ORDENES'!$J$4:$J$1203,"&lt;="&amp;$B384)</f>
        <v/>
      </c>
      <c r="G384" s="25">
        <f>SUMIFS('ASIGNACIONES'!$M$4:$M$451,'ASIGNACIONES'!$E$4:$E$451,"ELE",'ASIGNACIONES'!$L$4:$L$451,"&gt;="&amp;$C384,'ASIGNACIONES'!$L$4:$L$451,"&lt;="&amp;$B384)*p_factor_productividad</f>
        <v/>
      </c>
      <c r="H384" s="25">
        <f>SUMIFS('ORDENES'!$M$4:$M$1203,'ORDENES'!$AB$4:$AB$1203,"AUT",'ORDENES'!$R$4:$R$1203,$A384,'ORDENES'!$J$4:$J$1203,"&lt;="&amp;$B384)</f>
        <v/>
      </c>
      <c r="I384" s="25">
        <f>SUMIFS('ASIGNACIONES'!$M$4:$M$451,'ASIGNACIONES'!$E$4:$E$451,"AUT",'ASIGNACIONES'!$L$4:$L$451,"&gt;="&amp;$C384,'ASIGNACIONES'!$L$4:$L$451,"&lt;="&amp;$B384)*p_factor_productividad</f>
        <v/>
      </c>
      <c r="J384" s="25">
        <f>D384+F384+H384</f>
        <v/>
      </c>
      <c r="K384" s="25">
        <f>E384+G384+I384</f>
        <v/>
      </c>
      <c r="L384" s="27">
        <f>IF(K384=0,"",J384/K384)</f>
        <v/>
      </c>
    </row>
    <row r="385">
      <c r="A385" s="24" t="inlineStr">
        <is>
          <t>2026-10</t>
        </is>
      </c>
      <c r="B385" s="30">
        <f>IF($A385="","",IF($A385=YEAR(p_fecha_datos)&amp;"-"&amp;TEXT(MONTH(p_fecha_datos),"00"),p_fecha_datos-1,DATE(VALUE(LEFT($A385,4)),VALUE(RIGHT($A385,2))+1,0)))</f>
        <v/>
      </c>
      <c r="C385" s="30">
        <f>DATE(VALUE(LEFT($A385,4)),VALUE(RIGHT($A385,2)),1)</f>
        <v/>
      </c>
      <c r="D385" s="25">
        <f>SUMIFS('ORDENES'!$M$4:$M$1203,'ORDENES'!$AB$4:$AB$1203,"MEC",'ORDENES'!$R$4:$R$1203,$A385,'ORDENES'!$J$4:$J$1203,"&lt;="&amp;$B385)</f>
        <v/>
      </c>
      <c r="E385" s="25">
        <f>SUMIFS('ASIGNACIONES'!$M$4:$M$451,'ASIGNACIONES'!$E$4:$E$451,"MEC",'ASIGNACIONES'!$L$4:$L$451,"&gt;="&amp;$C385,'ASIGNACIONES'!$L$4:$L$451,"&lt;="&amp;$B385)*p_factor_productividad</f>
        <v/>
      </c>
      <c r="F385" s="25">
        <f>SUMIFS('ORDENES'!$M$4:$M$1203,'ORDENES'!$AB$4:$AB$1203,"ELE",'ORDENES'!$R$4:$R$1203,$A385,'ORDENES'!$J$4:$J$1203,"&lt;="&amp;$B385)</f>
        <v/>
      </c>
      <c r="G385" s="25">
        <f>SUMIFS('ASIGNACIONES'!$M$4:$M$451,'ASIGNACIONES'!$E$4:$E$451,"ELE",'ASIGNACIONES'!$L$4:$L$451,"&gt;="&amp;$C385,'ASIGNACIONES'!$L$4:$L$451,"&lt;="&amp;$B385)*p_factor_productividad</f>
        <v/>
      </c>
      <c r="H385" s="25">
        <f>SUMIFS('ORDENES'!$M$4:$M$1203,'ORDENES'!$AB$4:$AB$1203,"AUT",'ORDENES'!$R$4:$R$1203,$A385,'ORDENES'!$J$4:$J$1203,"&lt;="&amp;$B385)</f>
        <v/>
      </c>
      <c r="I385" s="25">
        <f>SUMIFS('ASIGNACIONES'!$M$4:$M$451,'ASIGNACIONES'!$E$4:$E$451,"AUT",'ASIGNACIONES'!$L$4:$L$451,"&gt;="&amp;$C385,'ASIGNACIONES'!$L$4:$L$451,"&lt;="&amp;$B385)*p_factor_productividad</f>
        <v/>
      </c>
      <c r="J385" s="25">
        <f>D385+F385+H385</f>
        <v/>
      </c>
      <c r="K385" s="25">
        <f>E385+G385+I385</f>
        <v/>
      </c>
      <c r="L385" s="27">
        <f>IF(K385=0,"",J385/K385)</f>
        <v/>
      </c>
    </row>
    <row r="386">
      <c r="A386" s="24" t="inlineStr">
        <is>
          <t>2026-11</t>
        </is>
      </c>
      <c r="B386" s="30">
        <f>IF($A386="","",IF($A386=YEAR(p_fecha_datos)&amp;"-"&amp;TEXT(MONTH(p_fecha_datos),"00"),p_fecha_datos-1,DATE(VALUE(LEFT($A386,4)),VALUE(RIGHT($A386,2))+1,0)))</f>
        <v/>
      </c>
      <c r="C386" s="30">
        <f>DATE(VALUE(LEFT($A386,4)),VALUE(RIGHT($A386,2)),1)</f>
        <v/>
      </c>
      <c r="D386" s="25">
        <f>SUMIFS('ORDENES'!$M$4:$M$1203,'ORDENES'!$AB$4:$AB$1203,"MEC",'ORDENES'!$R$4:$R$1203,$A386,'ORDENES'!$J$4:$J$1203,"&lt;="&amp;$B386)</f>
        <v/>
      </c>
      <c r="E386" s="25">
        <f>SUMIFS('ASIGNACIONES'!$M$4:$M$451,'ASIGNACIONES'!$E$4:$E$451,"MEC",'ASIGNACIONES'!$L$4:$L$451,"&gt;="&amp;$C386,'ASIGNACIONES'!$L$4:$L$451,"&lt;="&amp;$B386)*p_factor_productividad</f>
        <v/>
      </c>
      <c r="F386" s="25">
        <f>SUMIFS('ORDENES'!$M$4:$M$1203,'ORDENES'!$AB$4:$AB$1203,"ELE",'ORDENES'!$R$4:$R$1203,$A386,'ORDENES'!$J$4:$J$1203,"&lt;="&amp;$B386)</f>
        <v/>
      </c>
      <c r="G386" s="25">
        <f>SUMIFS('ASIGNACIONES'!$M$4:$M$451,'ASIGNACIONES'!$E$4:$E$451,"ELE",'ASIGNACIONES'!$L$4:$L$451,"&gt;="&amp;$C386,'ASIGNACIONES'!$L$4:$L$451,"&lt;="&amp;$B386)*p_factor_productividad</f>
        <v/>
      </c>
      <c r="H386" s="25">
        <f>SUMIFS('ORDENES'!$M$4:$M$1203,'ORDENES'!$AB$4:$AB$1203,"AUT",'ORDENES'!$R$4:$R$1203,$A386,'ORDENES'!$J$4:$J$1203,"&lt;="&amp;$B386)</f>
        <v/>
      </c>
      <c r="I386" s="25">
        <f>SUMIFS('ASIGNACIONES'!$M$4:$M$451,'ASIGNACIONES'!$E$4:$E$451,"AUT",'ASIGNACIONES'!$L$4:$L$451,"&gt;="&amp;$C386,'ASIGNACIONES'!$L$4:$L$451,"&lt;="&amp;$B386)*p_factor_productividad</f>
        <v/>
      </c>
      <c r="J386" s="25">
        <f>D386+F386+H386</f>
        <v/>
      </c>
      <c r="K386" s="25">
        <f>E386+G386+I386</f>
        <v/>
      </c>
      <c r="L386" s="27">
        <f>IF(K386=0,"",J386/K386)</f>
        <v/>
      </c>
    </row>
    <row r="387">
      <c r="A387" s="24" t="inlineStr">
        <is>
          <t>2026-12</t>
        </is>
      </c>
      <c r="B387" s="30">
        <f>IF($A387="","",IF($A387=YEAR(p_fecha_datos)&amp;"-"&amp;TEXT(MONTH(p_fecha_datos),"00"),p_fecha_datos-1,DATE(VALUE(LEFT($A387,4)),VALUE(RIGHT($A387,2))+1,0)))</f>
        <v/>
      </c>
      <c r="C387" s="30">
        <f>DATE(VALUE(LEFT($A387,4)),VALUE(RIGHT($A387,2)),1)</f>
        <v/>
      </c>
      <c r="D387" s="25">
        <f>SUMIFS('ORDENES'!$M$4:$M$1203,'ORDENES'!$AB$4:$AB$1203,"MEC",'ORDENES'!$R$4:$R$1203,$A387,'ORDENES'!$J$4:$J$1203,"&lt;="&amp;$B387)</f>
        <v/>
      </c>
      <c r="E387" s="25">
        <f>SUMIFS('ASIGNACIONES'!$M$4:$M$451,'ASIGNACIONES'!$E$4:$E$451,"MEC",'ASIGNACIONES'!$L$4:$L$451,"&gt;="&amp;$C387,'ASIGNACIONES'!$L$4:$L$451,"&lt;="&amp;$B387)*p_factor_productividad</f>
        <v/>
      </c>
      <c r="F387" s="25">
        <f>SUMIFS('ORDENES'!$M$4:$M$1203,'ORDENES'!$AB$4:$AB$1203,"ELE",'ORDENES'!$R$4:$R$1203,$A387,'ORDENES'!$J$4:$J$1203,"&lt;="&amp;$B387)</f>
        <v/>
      </c>
      <c r="G387" s="25">
        <f>SUMIFS('ASIGNACIONES'!$M$4:$M$451,'ASIGNACIONES'!$E$4:$E$451,"ELE",'ASIGNACIONES'!$L$4:$L$451,"&gt;="&amp;$C387,'ASIGNACIONES'!$L$4:$L$451,"&lt;="&amp;$B387)*p_factor_productividad</f>
        <v/>
      </c>
      <c r="H387" s="25">
        <f>SUMIFS('ORDENES'!$M$4:$M$1203,'ORDENES'!$AB$4:$AB$1203,"AUT",'ORDENES'!$R$4:$R$1203,$A387,'ORDENES'!$J$4:$J$1203,"&lt;="&amp;$B387)</f>
        <v/>
      </c>
      <c r="I387" s="25">
        <f>SUMIFS('ASIGNACIONES'!$M$4:$M$451,'ASIGNACIONES'!$E$4:$E$451,"AUT",'ASIGNACIONES'!$L$4:$L$451,"&gt;="&amp;$C387,'ASIGNACIONES'!$L$4:$L$451,"&lt;="&amp;$B387)*p_factor_productividad</f>
        <v/>
      </c>
      <c r="J387" s="25">
        <f>D387+F387+H387</f>
        <v/>
      </c>
      <c r="K387" s="25">
        <f>E387+G387+I387</f>
        <v/>
      </c>
      <c r="L387" s="27">
        <f>IF(K387=0,"",J387/K387)</f>
        <v/>
      </c>
    </row>
    <row r="388">
      <c r="A388" s="24" t="inlineStr">
        <is>
          <t>2027-01</t>
        </is>
      </c>
      <c r="B388" s="30">
        <f>IF($A388="","",IF($A388=YEAR(p_fecha_datos)&amp;"-"&amp;TEXT(MONTH(p_fecha_datos),"00"),p_fecha_datos-1,DATE(VALUE(LEFT($A388,4)),VALUE(RIGHT($A388,2))+1,0)))</f>
        <v/>
      </c>
      <c r="C388" s="30">
        <f>DATE(VALUE(LEFT($A388,4)),VALUE(RIGHT($A388,2)),1)</f>
        <v/>
      </c>
      <c r="D388" s="25">
        <f>SUMIFS('ORDENES'!$M$4:$M$1203,'ORDENES'!$AB$4:$AB$1203,"MEC",'ORDENES'!$R$4:$R$1203,$A388,'ORDENES'!$J$4:$J$1203,"&lt;="&amp;$B388)</f>
        <v/>
      </c>
      <c r="E388" s="25">
        <f>SUMIFS('ASIGNACIONES'!$M$4:$M$451,'ASIGNACIONES'!$E$4:$E$451,"MEC",'ASIGNACIONES'!$L$4:$L$451,"&gt;="&amp;$C388,'ASIGNACIONES'!$L$4:$L$451,"&lt;="&amp;$B388)*p_factor_productividad</f>
        <v/>
      </c>
      <c r="F388" s="25">
        <f>SUMIFS('ORDENES'!$M$4:$M$1203,'ORDENES'!$AB$4:$AB$1203,"ELE",'ORDENES'!$R$4:$R$1203,$A388,'ORDENES'!$J$4:$J$1203,"&lt;="&amp;$B388)</f>
        <v/>
      </c>
      <c r="G388" s="25">
        <f>SUMIFS('ASIGNACIONES'!$M$4:$M$451,'ASIGNACIONES'!$E$4:$E$451,"ELE",'ASIGNACIONES'!$L$4:$L$451,"&gt;="&amp;$C388,'ASIGNACIONES'!$L$4:$L$451,"&lt;="&amp;$B388)*p_factor_productividad</f>
        <v/>
      </c>
      <c r="H388" s="25">
        <f>SUMIFS('ORDENES'!$M$4:$M$1203,'ORDENES'!$AB$4:$AB$1203,"AUT",'ORDENES'!$R$4:$R$1203,$A388,'ORDENES'!$J$4:$J$1203,"&lt;="&amp;$B388)</f>
        <v/>
      </c>
      <c r="I388" s="25">
        <f>SUMIFS('ASIGNACIONES'!$M$4:$M$451,'ASIGNACIONES'!$E$4:$E$451,"AUT",'ASIGNACIONES'!$L$4:$L$451,"&gt;="&amp;$C388,'ASIGNACIONES'!$L$4:$L$451,"&lt;="&amp;$B388)*p_factor_productividad</f>
        <v/>
      </c>
      <c r="J388" s="25">
        <f>D388+F388+H388</f>
        <v/>
      </c>
      <c r="K388" s="25">
        <f>E388+G388+I388</f>
        <v/>
      </c>
      <c r="L388" s="27">
        <f>IF(K388=0,"",J388/K388)</f>
        <v/>
      </c>
    </row>
    <row r="389">
      <c r="A389" s="24" t="inlineStr">
        <is>
          <t>2027-02</t>
        </is>
      </c>
      <c r="B389" s="30">
        <f>IF($A389="","",IF($A389=YEAR(p_fecha_datos)&amp;"-"&amp;TEXT(MONTH(p_fecha_datos),"00"),p_fecha_datos-1,DATE(VALUE(LEFT($A389,4)),VALUE(RIGHT($A389,2))+1,0)))</f>
        <v/>
      </c>
      <c r="C389" s="30">
        <f>DATE(VALUE(LEFT($A389,4)),VALUE(RIGHT($A389,2)),1)</f>
        <v/>
      </c>
      <c r="D389" s="25">
        <f>SUMIFS('ORDENES'!$M$4:$M$1203,'ORDENES'!$AB$4:$AB$1203,"MEC",'ORDENES'!$R$4:$R$1203,$A389,'ORDENES'!$J$4:$J$1203,"&lt;="&amp;$B389)</f>
        <v/>
      </c>
      <c r="E389" s="25">
        <f>SUMIFS('ASIGNACIONES'!$M$4:$M$451,'ASIGNACIONES'!$E$4:$E$451,"MEC",'ASIGNACIONES'!$L$4:$L$451,"&gt;="&amp;$C389,'ASIGNACIONES'!$L$4:$L$451,"&lt;="&amp;$B389)*p_factor_productividad</f>
        <v/>
      </c>
      <c r="F389" s="25">
        <f>SUMIFS('ORDENES'!$M$4:$M$1203,'ORDENES'!$AB$4:$AB$1203,"ELE",'ORDENES'!$R$4:$R$1203,$A389,'ORDENES'!$J$4:$J$1203,"&lt;="&amp;$B389)</f>
        <v/>
      </c>
      <c r="G389" s="25">
        <f>SUMIFS('ASIGNACIONES'!$M$4:$M$451,'ASIGNACIONES'!$E$4:$E$451,"ELE",'ASIGNACIONES'!$L$4:$L$451,"&gt;="&amp;$C389,'ASIGNACIONES'!$L$4:$L$451,"&lt;="&amp;$B389)*p_factor_productividad</f>
        <v/>
      </c>
      <c r="H389" s="25">
        <f>SUMIFS('ORDENES'!$M$4:$M$1203,'ORDENES'!$AB$4:$AB$1203,"AUT",'ORDENES'!$R$4:$R$1203,$A389,'ORDENES'!$J$4:$J$1203,"&lt;="&amp;$B389)</f>
        <v/>
      </c>
      <c r="I389" s="25">
        <f>SUMIFS('ASIGNACIONES'!$M$4:$M$451,'ASIGNACIONES'!$E$4:$E$451,"AUT",'ASIGNACIONES'!$L$4:$L$451,"&gt;="&amp;$C389,'ASIGNACIONES'!$L$4:$L$451,"&lt;="&amp;$B389)*p_factor_productividad</f>
        <v/>
      </c>
      <c r="J389" s="25">
        <f>D389+F389+H389</f>
        <v/>
      </c>
      <c r="K389" s="25">
        <f>E389+G389+I389</f>
        <v/>
      </c>
      <c r="L389" s="27">
        <f>IF(K389=0,"",J389/K389)</f>
        <v/>
      </c>
    </row>
    <row r="390">
      <c r="A390" s="24" t="inlineStr">
        <is>
          <t>2027-03</t>
        </is>
      </c>
      <c r="B390" s="30">
        <f>IF($A390="","",IF($A390=YEAR(p_fecha_datos)&amp;"-"&amp;TEXT(MONTH(p_fecha_datos),"00"),p_fecha_datos-1,DATE(VALUE(LEFT($A390,4)),VALUE(RIGHT($A390,2))+1,0)))</f>
        <v/>
      </c>
      <c r="C390" s="30">
        <f>DATE(VALUE(LEFT($A390,4)),VALUE(RIGHT($A390,2)),1)</f>
        <v/>
      </c>
      <c r="D390" s="25">
        <f>SUMIFS('ORDENES'!$M$4:$M$1203,'ORDENES'!$AB$4:$AB$1203,"MEC",'ORDENES'!$R$4:$R$1203,$A390,'ORDENES'!$J$4:$J$1203,"&lt;="&amp;$B390)</f>
        <v/>
      </c>
      <c r="E390" s="25">
        <f>SUMIFS('ASIGNACIONES'!$M$4:$M$451,'ASIGNACIONES'!$E$4:$E$451,"MEC",'ASIGNACIONES'!$L$4:$L$451,"&gt;="&amp;$C390,'ASIGNACIONES'!$L$4:$L$451,"&lt;="&amp;$B390)*p_factor_productividad</f>
        <v/>
      </c>
      <c r="F390" s="25">
        <f>SUMIFS('ORDENES'!$M$4:$M$1203,'ORDENES'!$AB$4:$AB$1203,"ELE",'ORDENES'!$R$4:$R$1203,$A390,'ORDENES'!$J$4:$J$1203,"&lt;="&amp;$B390)</f>
        <v/>
      </c>
      <c r="G390" s="25">
        <f>SUMIFS('ASIGNACIONES'!$M$4:$M$451,'ASIGNACIONES'!$E$4:$E$451,"ELE",'ASIGNACIONES'!$L$4:$L$451,"&gt;="&amp;$C390,'ASIGNACIONES'!$L$4:$L$451,"&lt;="&amp;$B390)*p_factor_productividad</f>
        <v/>
      </c>
      <c r="H390" s="25">
        <f>SUMIFS('ORDENES'!$M$4:$M$1203,'ORDENES'!$AB$4:$AB$1203,"AUT",'ORDENES'!$R$4:$R$1203,$A390,'ORDENES'!$J$4:$J$1203,"&lt;="&amp;$B390)</f>
        <v/>
      </c>
      <c r="I390" s="25">
        <f>SUMIFS('ASIGNACIONES'!$M$4:$M$451,'ASIGNACIONES'!$E$4:$E$451,"AUT",'ASIGNACIONES'!$L$4:$L$451,"&gt;="&amp;$C390,'ASIGNACIONES'!$L$4:$L$451,"&lt;="&amp;$B390)*p_factor_productividad</f>
        <v/>
      </c>
      <c r="J390" s="25">
        <f>D390+F390+H390</f>
        <v/>
      </c>
      <c r="K390" s="25">
        <f>E390+G390+I390</f>
        <v/>
      </c>
      <c r="L390" s="27">
        <f>IF(K390=0,"",J390/K390)</f>
        <v/>
      </c>
    </row>
  </sheetData>
  <conditionalFormatting sqref="I4:I243">
    <cfRule type="cellIs" priority="1" operator="lessThan" dxfId="2">
      <formula>0.85</formula>
    </cfRule>
    <cfRule type="cellIs" priority="2" operator="between" dxfId="1">
      <formula>0.85</formula>
      <formula>1</formula>
    </cfRule>
    <cfRule type="cellIs" priority="3" operator="greaterThan" dxfId="0">
      <formula>1</formula>
    </cfRule>
  </conditionalFormatting>
  <conditionalFormatting sqref="B247:E306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L373:L390">
    <cfRule type="cellIs" priority="7" operator="lessThan" dxfId="2">
      <formula>0.85</formula>
    </cfRule>
    <cfRule type="cellIs" priority="8" operator="between" dxfId="1">
      <formula>0.85</formula>
      <formula>1</formula>
    </cfRule>
    <cfRule type="cellIs" priority="9" operator="greaterThan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BACKLOG (REGLA-3) — envejecimiento de órdenes pendientes</t>
        </is>
      </c>
    </row>
    <row r="2">
      <c r="A2" s="19">
        <f>HYPERLINK("#DASHBOARD!A1","◂ VOLVER AL TABLERO")</f>
        <v/>
      </c>
    </row>
    <row r="3">
      <c r="A3" s="23" t="inlineStr">
        <is>
          <t>tramo (días)</t>
        </is>
      </c>
      <c r="B3" s="23" t="inlineStr">
        <is>
          <t>ordenes</t>
        </is>
      </c>
      <c r="C3" s="23" t="inlineStr">
        <is>
          <t>hh_estimadas</t>
        </is>
      </c>
    </row>
    <row r="4">
      <c r="A4" s="24" t="inlineStr">
        <is>
          <t>0-30</t>
        </is>
      </c>
      <c r="B4" s="24">
        <f>COUNTIFS('ORDENES'!$N$4:$N$1203,"Pendiente",'ORDENES'!$AD$4:$AD$1203,"&gt;=0",'ORDENES'!$AD$4:$AD$1203,"&lt;=30")</f>
        <v/>
      </c>
      <c r="C4" s="25">
        <f>SUMIFS('ORDENES'!$M$4:$M$1203,'ORDENES'!$N$4:$N$1203,"Pendiente",'ORDENES'!$AD$4:$AD$1203,"&gt;=0",'ORDENES'!$AD$4:$AD$1203,"&lt;=30")</f>
        <v/>
      </c>
    </row>
    <row r="5">
      <c r="A5" s="24" t="inlineStr">
        <is>
          <t>31-60</t>
        </is>
      </c>
      <c r="B5" s="24">
        <f>COUNTIFS('ORDENES'!$N$4:$N$1203,"Pendiente",'ORDENES'!$AD$4:$AD$1203,"&gt;=31",'ORDENES'!$AD$4:$AD$1203,"&lt;=60")</f>
        <v/>
      </c>
      <c r="C5" s="25">
        <f>SUMIFS('ORDENES'!$M$4:$M$1203,'ORDENES'!$N$4:$N$1203,"Pendiente",'ORDENES'!$AD$4:$AD$1203,"&gt;=31",'ORDENES'!$AD$4:$AD$1203,"&lt;=60")</f>
        <v/>
      </c>
    </row>
    <row r="6">
      <c r="A6" s="24" t="inlineStr">
        <is>
          <t>61-90</t>
        </is>
      </c>
      <c r="B6" s="24">
        <f>COUNTIFS('ORDENES'!$N$4:$N$1203,"Pendiente",'ORDENES'!$AD$4:$AD$1203,"&gt;=61",'ORDENES'!$AD$4:$AD$1203,"&lt;=90")</f>
        <v/>
      </c>
      <c r="C6" s="25">
        <f>SUMIFS('ORDENES'!$M$4:$M$1203,'ORDENES'!$N$4:$N$1203,"Pendiente",'ORDENES'!$AD$4:$AD$1203,"&gt;=61",'ORDENES'!$AD$4:$AD$1203,"&lt;=90")</f>
        <v/>
      </c>
    </row>
    <row r="7">
      <c r="A7" s="24" t="inlineStr">
        <is>
          <t>&gt;90</t>
        </is>
      </c>
      <c r="B7" s="24">
        <f>COUNTIFS('ORDENES'!$N$4:$N$1203,"Pendiente",'ORDENES'!$AD$4:$AD$1203,"&gt;90")</f>
        <v/>
      </c>
      <c r="C7" s="25">
        <f>SUMIFS('ORDENES'!$M$4:$M$1203,'ORDENES'!$N$4:$N$1203,"Pendiente",'ORDENES'!$AD$4:$AD$1203,"&gt;90")</f>
        <v/>
      </c>
    </row>
    <row r="8"/>
    <row r="9"/>
    <row r="10">
      <c r="A10" s="3" t="inlineStr">
        <is>
          <t>POR ESPECIALIDAD</t>
        </is>
      </c>
    </row>
    <row r="11">
      <c r="A11" s="23" t="inlineStr">
        <is>
          <t>especialidad</t>
        </is>
      </c>
      <c r="B11" s="23" t="inlineStr">
        <is>
          <t>0-30</t>
        </is>
      </c>
      <c r="C11" s="23" t="inlineStr">
        <is>
          <t>31-60</t>
        </is>
      </c>
      <c r="D11" s="23" t="inlineStr">
        <is>
          <t>61-90</t>
        </is>
      </c>
      <c r="E11" s="23" t="inlineStr">
        <is>
          <t>&gt;90</t>
        </is>
      </c>
    </row>
    <row r="12">
      <c r="A12" s="24" t="inlineStr">
        <is>
          <t>MEC</t>
        </is>
      </c>
      <c r="B12" s="24">
        <f>COUNTIFS('ORDENES'!$N$4:$N$1203,"Pendiente",'ORDENES'!$AD$4:$AD$1203,"&gt;=0",'ORDENES'!$AD$4:$AD$1203,"&lt;=30",'ORDENES'!$AB$4:$AB$1203,$A12)</f>
        <v/>
      </c>
      <c r="C12" s="24">
        <f>COUNTIFS('ORDENES'!$N$4:$N$1203,"Pendiente",'ORDENES'!$AD$4:$AD$1203,"&gt;=31",'ORDENES'!$AD$4:$AD$1203,"&lt;=60",'ORDENES'!$AB$4:$AB$1203,$A12)</f>
        <v/>
      </c>
      <c r="D12" s="24">
        <f>COUNTIFS('ORDENES'!$N$4:$N$1203,"Pendiente",'ORDENES'!$AD$4:$AD$1203,"&gt;=61",'ORDENES'!$AD$4:$AD$1203,"&lt;=90",'ORDENES'!$AB$4:$AB$1203,$A12)</f>
        <v/>
      </c>
      <c r="E12" s="24">
        <f>COUNTIFS('ORDENES'!$N$4:$N$1203,"Pendiente",'ORDENES'!$AD$4:$AD$1203,"&gt;90",'ORDENES'!$AB$4:$AB$1203,$A12)</f>
        <v/>
      </c>
    </row>
    <row r="13">
      <c r="A13" s="24" t="inlineStr">
        <is>
          <t>ELE</t>
        </is>
      </c>
      <c r="B13" s="24">
        <f>COUNTIFS('ORDENES'!$N$4:$N$1203,"Pendiente",'ORDENES'!$AD$4:$AD$1203,"&gt;=0",'ORDENES'!$AD$4:$AD$1203,"&lt;=30",'ORDENES'!$AB$4:$AB$1203,$A13)</f>
        <v/>
      </c>
      <c r="C13" s="24">
        <f>COUNTIFS('ORDENES'!$N$4:$N$1203,"Pendiente",'ORDENES'!$AD$4:$AD$1203,"&gt;=31",'ORDENES'!$AD$4:$AD$1203,"&lt;=60",'ORDENES'!$AB$4:$AB$1203,$A13)</f>
        <v/>
      </c>
      <c r="D13" s="24">
        <f>COUNTIFS('ORDENES'!$N$4:$N$1203,"Pendiente",'ORDENES'!$AD$4:$AD$1203,"&gt;=61",'ORDENES'!$AD$4:$AD$1203,"&lt;=90",'ORDENES'!$AB$4:$AB$1203,$A13)</f>
        <v/>
      </c>
      <c r="E13" s="24">
        <f>COUNTIFS('ORDENES'!$N$4:$N$1203,"Pendiente",'ORDENES'!$AD$4:$AD$1203,"&gt;90",'ORDENES'!$AB$4:$AB$1203,$A13)</f>
        <v/>
      </c>
    </row>
    <row r="14">
      <c r="A14" s="24" t="inlineStr">
        <is>
          <t>AUT</t>
        </is>
      </c>
      <c r="B14" s="24">
        <f>COUNTIFS('ORDENES'!$N$4:$N$1203,"Pendiente",'ORDENES'!$AD$4:$AD$1203,"&gt;=0",'ORDENES'!$AD$4:$AD$1203,"&lt;=30",'ORDENES'!$AB$4:$AB$1203,$A14)</f>
        <v/>
      </c>
      <c r="C14" s="24">
        <f>COUNTIFS('ORDENES'!$N$4:$N$1203,"Pendiente",'ORDENES'!$AD$4:$AD$1203,"&gt;=31",'ORDENES'!$AD$4:$AD$1203,"&lt;=60",'ORDENES'!$AB$4:$AB$1203,$A14)</f>
        <v/>
      </c>
      <c r="D14" s="24">
        <f>COUNTIFS('ORDENES'!$N$4:$N$1203,"Pendiente",'ORDENES'!$AD$4:$AD$1203,"&gt;=61",'ORDENES'!$AD$4:$AD$1203,"&lt;=90",'ORDENES'!$AB$4:$AB$1203,$A14)</f>
        <v/>
      </c>
      <c r="E14" s="24">
        <f>COUNTIFS('ORDENES'!$N$4:$N$1203,"Pendiente",'ORDENES'!$AD$4:$AD$1203,"&gt;90",'ORDENES'!$AB$4:$AB$1203,$A14)</f>
        <v/>
      </c>
    </row>
    <row r="15">
      <c r="A15" s="24" t="inlineStr">
        <is>
          <t>TERCERO</t>
        </is>
      </c>
      <c r="B15" s="24">
        <f>COUNTIFS('ORDENES'!$N$4:$N$1203,"Pendiente",'ORDENES'!$AD$4:$AD$1203,"&gt;=0",'ORDENES'!$AD$4:$AD$1203,"&lt;=30",'ORDENES'!$AB$4:$AB$1203,$A15)</f>
        <v/>
      </c>
      <c r="C15" s="24">
        <f>COUNTIFS('ORDENES'!$N$4:$N$1203,"Pendiente",'ORDENES'!$AD$4:$AD$1203,"&gt;=31",'ORDENES'!$AD$4:$AD$1203,"&lt;=60",'ORDENES'!$AB$4:$AB$1203,$A15)</f>
        <v/>
      </c>
      <c r="D15" s="24">
        <f>COUNTIFS('ORDENES'!$N$4:$N$1203,"Pendiente",'ORDENES'!$AD$4:$AD$1203,"&gt;=61",'ORDENES'!$AD$4:$AD$1203,"&lt;=90",'ORDENES'!$AB$4:$AB$1203,$A15)</f>
        <v/>
      </c>
      <c r="E15" s="24">
        <f>COUNTIFS('ORDENES'!$N$4:$N$1203,"Pendiente",'ORDENES'!$AD$4:$AD$1203,"&gt;90",'ORDENES'!$AB$4:$AB$1203,$A15)</f>
        <v/>
      </c>
    </row>
    <row r="16"/>
    <row r="17">
      <c r="A17" s="3" t="inlineStr">
        <is>
          <t>POR ÁREA</t>
        </is>
      </c>
    </row>
    <row r="18">
      <c r="A18" s="23" t="inlineStr">
        <is>
          <t>area</t>
        </is>
      </c>
      <c r="B18" s="23" t="inlineStr">
        <is>
          <t>0-30</t>
        </is>
      </c>
      <c r="C18" s="23" t="inlineStr">
        <is>
          <t>31-60</t>
        </is>
      </c>
      <c r="D18" s="23" t="inlineStr">
        <is>
          <t>61-90</t>
        </is>
      </c>
      <c r="E18" s="23" t="inlineStr">
        <is>
          <t>&gt;90</t>
        </is>
      </c>
    </row>
    <row r="19">
      <c r="A19" s="24" t="inlineStr">
        <is>
          <t>PRODUCCION</t>
        </is>
      </c>
      <c r="B19" s="24">
        <f>COUNTIFS('ORDENES'!$N$4:$N$1203,"Pendiente",'ORDENES'!$AD$4:$AD$1203,"&gt;=0",'ORDENES'!$AD$4:$AD$1203,"&lt;=30",'ORDENES'!$Y$4:$Y$1203,$A19)</f>
        <v/>
      </c>
      <c r="C19" s="24">
        <f>COUNTIFS('ORDENES'!$N$4:$N$1203,"Pendiente",'ORDENES'!$AD$4:$AD$1203,"&gt;=31",'ORDENES'!$AD$4:$AD$1203,"&lt;=60",'ORDENES'!$Y$4:$Y$1203,$A19)</f>
        <v/>
      </c>
      <c r="D19" s="24">
        <f>COUNTIFS('ORDENES'!$N$4:$N$1203,"Pendiente",'ORDENES'!$AD$4:$AD$1203,"&gt;=61",'ORDENES'!$AD$4:$AD$1203,"&lt;=90",'ORDENES'!$Y$4:$Y$1203,$A19)</f>
        <v/>
      </c>
      <c r="E19" s="24">
        <f>COUNTIFS('ORDENES'!$N$4:$N$1203,"Pendiente",'ORDENES'!$AD$4:$AD$1203,"&gt;90",'ORDENES'!$Y$4:$Y$1203,$A19)</f>
        <v/>
      </c>
    </row>
    <row r="20">
      <c r="A20" s="24" t="inlineStr">
        <is>
          <t>EMPAQUE</t>
        </is>
      </c>
      <c r="B20" s="24">
        <f>COUNTIFS('ORDENES'!$N$4:$N$1203,"Pendiente",'ORDENES'!$AD$4:$AD$1203,"&gt;=0",'ORDENES'!$AD$4:$AD$1203,"&lt;=30",'ORDENES'!$Y$4:$Y$1203,$A20)</f>
        <v/>
      </c>
      <c r="C20" s="24">
        <f>COUNTIFS('ORDENES'!$N$4:$N$1203,"Pendiente",'ORDENES'!$AD$4:$AD$1203,"&gt;=31",'ORDENES'!$AD$4:$AD$1203,"&lt;=60",'ORDENES'!$Y$4:$Y$1203,$A20)</f>
        <v/>
      </c>
      <c r="D20" s="24">
        <f>COUNTIFS('ORDENES'!$N$4:$N$1203,"Pendiente",'ORDENES'!$AD$4:$AD$1203,"&gt;=61",'ORDENES'!$AD$4:$AD$1203,"&lt;=90",'ORDENES'!$Y$4:$Y$1203,$A20)</f>
        <v/>
      </c>
      <c r="E20" s="24">
        <f>COUNTIFS('ORDENES'!$N$4:$N$1203,"Pendiente",'ORDENES'!$AD$4:$AD$1203,"&gt;90",'ORDENES'!$Y$4:$Y$1203,$A20)</f>
        <v/>
      </c>
    </row>
    <row r="21">
      <c r="A21" s="24" t="inlineStr">
        <is>
          <t>SERVICIOS</t>
        </is>
      </c>
      <c r="B21" s="24">
        <f>COUNTIFS('ORDENES'!$N$4:$N$1203,"Pendiente",'ORDENES'!$AD$4:$AD$1203,"&gt;=0",'ORDENES'!$AD$4:$AD$1203,"&lt;=30",'ORDENES'!$Y$4:$Y$1203,$A21)</f>
        <v/>
      </c>
      <c r="C21" s="24">
        <f>COUNTIFS('ORDENES'!$N$4:$N$1203,"Pendiente",'ORDENES'!$AD$4:$AD$1203,"&gt;=31",'ORDENES'!$AD$4:$AD$1203,"&lt;=60",'ORDENES'!$Y$4:$Y$1203,$A21)</f>
        <v/>
      </c>
      <c r="D21" s="24">
        <f>COUNTIFS('ORDENES'!$N$4:$N$1203,"Pendiente",'ORDENES'!$AD$4:$AD$1203,"&gt;=61",'ORDENES'!$AD$4:$AD$1203,"&lt;=90",'ORDENES'!$Y$4:$Y$1203,$A21)</f>
        <v/>
      </c>
      <c r="E21" s="24">
        <f>COUNTIFS('ORDENES'!$N$4:$N$1203,"Pendiente",'ORDENES'!$AD$4:$AD$1203,"&gt;90",'ORDENES'!$Y$4:$Y$1203,$A21)</f>
        <v/>
      </c>
    </row>
    <row r="22"/>
    <row r="23">
      <c r="A23" s="3" t="inlineStr">
        <is>
          <t>POR SUB-ÁREA (herencia: área sin subdividir con su propio nombre)</t>
        </is>
      </c>
    </row>
    <row r="24">
      <c r="A24" s="23" t="inlineStr">
        <is>
          <t>sub_area</t>
        </is>
      </c>
      <c r="B24" s="23" t="inlineStr">
        <is>
          <t>0-30</t>
        </is>
      </c>
      <c r="C24" s="23" t="inlineStr">
        <is>
          <t>31-60</t>
        </is>
      </c>
      <c r="D24" s="23" t="inlineStr">
        <is>
          <t>61-90</t>
        </is>
      </c>
      <c r="E24" s="23" t="inlineStr">
        <is>
          <t>&gt;90</t>
        </is>
      </c>
    </row>
    <row r="25">
      <c r="A25" s="24" t="inlineStr">
        <is>
          <t>PRODUCCION</t>
        </is>
      </c>
      <c r="B25" s="24">
        <f>COUNTIFS('ORDENES'!$N$4:$N$1203,"Pendiente",'ORDENES'!$AD$4:$AD$1203,"&gt;=0",'ORDENES'!$AD$4:$AD$1203,"&lt;=30",'ORDENES'!$Z$4:$Z$1203,$A25)</f>
        <v/>
      </c>
      <c r="C25" s="24">
        <f>COUNTIFS('ORDENES'!$N$4:$N$1203,"Pendiente",'ORDENES'!$AD$4:$AD$1203,"&gt;=31",'ORDENES'!$AD$4:$AD$1203,"&lt;=60",'ORDENES'!$Z$4:$Z$1203,$A25)</f>
        <v/>
      </c>
      <c r="D25" s="24">
        <f>COUNTIFS('ORDENES'!$N$4:$N$1203,"Pendiente",'ORDENES'!$AD$4:$AD$1203,"&gt;=61",'ORDENES'!$AD$4:$AD$1203,"&lt;=90",'ORDENES'!$Z$4:$Z$1203,$A25)</f>
        <v/>
      </c>
      <c r="E25" s="24">
        <f>COUNTIFS('ORDENES'!$N$4:$N$1203,"Pendiente",'ORDENES'!$AD$4:$AD$1203,"&gt;90",'ORDENES'!$Z$4:$Z$1203,$A25)</f>
        <v/>
      </c>
    </row>
    <row r="26">
      <c r="A26" s="24" t="inlineStr">
        <is>
          <t>EMPAQUE</t>
        </is>
      </c>
      <c r="B26" s="24">
        <f>COUNTIFS('ORDENES'!$N$4:$N$1203,"Pendiente",'ORDENES'!$AD$4:$AD$1203,"&gt;=0",'ORDENES'!$AD$4:$AD$1203,"&lt;=30",'ORDENES'!$Z$4:$Z$1203,$A26)</f>
        <v/>
      </c>
      <c r="C26" s="24">
        <f>COUNTIFS('ORDENES'!$N$4:$N$1203,"Pendiente",'ORDENES'!$AD$4:$AD$1203,"&gt;=31",'ORDENES'!$AD$4:$AD$1203,"&lt;=60",'ORDENES'!$Z$4:$Z$1203,$A26)</f>
        <v/>
      </c>
      <c r="D26" s="24">
        <f>COUNTIFS('ORDENES'!$N$4:$N$1203,"Pendiente",'ORDENES'!$AD$4:$AD$1203,"&gt;=61",'ORDENES'!$AD$4:$AD$1203,"&lt;=90",'ORDENES'!$Z$4:$Z$1203,$A26)</f>
        <v/>
      </c>
      <c r="E26" s="24">
        <f>COUNTIFS('ORDENES'!$N$4:$N$1203,"Pendiente",'ORDENES'!$AD$4:$AD$1203,"&gt;90",'ORDENES'!$Z$4:$Z$1203,$A26)</f>
        <v/>
      </c>
    </row>
    <row r="27">
      <c r="A27" s="24" t="inlineStr">
        <is>
          <t>Vapor</t>
        </is>
      </c>
      <c r="B27" s="24">
        <f>COUNTIFS('ORDENES'!$N$4:$N$1203,"Pendiente",'ORDENES'!$AD$4:$AD$1203,"&gt;=0",'ORDENES'!$AD$4:$AD$1203,"&lt;=30",'ORDENES'!$Z$4:$Z$1203,$A27)</f>
        <v/>
      </c>
      <c r="C27" s="24">
        <f>COUNTIFS('ORDENES'!$N$4:$N$1203,"Pendiente",'ORDENES'!$AD$4:$AD$1203,"&gt;=31",'ORDENES'!$AD$4:$AD$1203,"&lt;=60",'ORDENES'!$Z$4:$Z$1203,$A27)</f>
        <v/>
      </c>
      <c r="D27" s="24">
        <f>COUNTIFS('ORDENES'!$N$4:$N$1203,"Pendiente",'ORDENES'!$AD$4:$AD$1203,"&gt;=61",'ORDENES'!$AD$4:$AD$1203,"&lt;=90",'ORDENES'!$Z$4:$Z$1203,$A27)</f>
        <v/>
      </c>
      <c r="E27" s="24">
        <f>COUNTIFS('ORDENES'!$N$4:$N$1203,"Pendiente",'ORDENES'!$AD$4:$AD$1203,"&gt;90",'ORDENES'!$Z$4:$Z$1203,$A27)</f>
        <v/>
      </c>
    </row>
    <row r="28">
      <c r="A28" s="24" t="inlineStr">
        <is>
          <t>Refrigeración</t>
        </is>
      </c>
      <c r="B28" s="24">
        <f>COUNTIFS('ORDENES'!$N$4:$N$1203,"Pendiente",'ORDENES'!$AD$4:$AD$1203,"&gt;=0",'ORDENES'!$AD$4:$AD$1203,"&lt;=30",'ORDENES'!$Z$4:$Z$1203,$A28)</f>
        <v/>
      </c>
      <c r="C28" s="24">
        <f>COUNTIFS('ORDENES'!$N$4:$N$1203,"Pendiente",'ORDENES'!$AD$4:$AD$1203,"&gt;=31",'ORDENES'!$AD$4:$AD$1203,"&lt;=60",'ORDENES'!$Z$4:$Z$1203,$A28)</f>
        <v/>
      </c>
      <c r="D28" s="24">
        <f>COUNTIFS('ORDENES'!$N$4:$N$1203,"Pendiente",'ORDENES'!$AD$4:$AD$1203,"&gt;=61",'ORDENES'!$AD$4:$AD$1203,"&lt;=90",'ORDENES'!$Z$4:$Z$1203,$A28)</f>
        <v/>
      </c>
      <c r="E28" s="24">
        <f>COUNTIFS('ORDENES'!$N$4:$N$1203,"Pendiente",'ORDENES'!$AD$4:$AD$1203,"&gt;90",'ORDENES'!$Z$4:$Z$1203,$A28)</f>
        <v/>
      </c>
    </row>
    <row r="29">
      <c r="A29" s="24" t="inlineStr">
        <is>
          <t>CO2</t>
        </is>
      </c>
      <c r="B29" s="24">
        <f>COUNTIFS('ORDENES'!$N$4:$N$1203,"Pendiente",'ORDENES'!$AD$4:$AD$1203,"&gt;=0",'ORDENES'!$AD$4:$AD$1203,"&lt;=30",'ORDENES'!$Z$4:$Z$1203,$A29)</f>
        <v/>
      </c>
      <c r="C29" s="24">
        <f>COUNTIFS('ORDENES'!$N$4:$N$1203,"Pendiente",'ORDENES'!$AD$4:$AD$1203,"&gt;=31",'ORDENES'!$AD$4:$AD$1203,"&lt;=60",'ORDENES'!$Z$4:$Z$1203,$A29)</f>
        <v/>
      </c>
      <c r="D29" s="24">
        <f>COUNTIFS('ORDENES'!$N$4:$N$1203,"Pendiente",'ORDENES'!$AD$4:$AD$1203,"&gt;=61",'ORDENES'!$AD$4:$AD$1203,"&lt;=90",'ORDENES'!$Z$4:$Z$1203,$A29)</f>
        <v/>
      </c>
      <c r="E29" s="24">
        <f>COUNTIFS('ORDENES'!$N$4:$N$1203,"Pendiente",'ORDENES'!$AD$4:$AD$1203,"&gt;90",'ORDENES'!$Z$4:$Z$1203,$A29)</f>
        <v/>
      </c>
    </row>
    <row r="30">
      <c r="A30" s="24" t="inlineStr">
        <is>
          <t>Aire comprimido</t>
        </is>
      </c>
      <c r="B30" s="24">
        <f>COUNTIFS('ORDENES'!$N$4:$N$1203,"Pendiente",'ORDENES'!$AD$4:$AD$1203,"&gt;=0",'ORDENES'!$AD$4:$AD$1203,"&lt;=30",'ORDENES'!$Z$4:$Z$1203,$A30)</f>
        <v/>
      </c>
      <c r="C30" s="24">
        <f>COUNTIFS('ORDENES'!$N$4:$N$1203,"Pendiente",'ORDENES'!$AD$4:$AD$1203,"&gt;=31",'ORDENES'!$AD$4:$AD$1203,"&lt;=60",'ORDENES'!$Z$4:$Z$1203,$A30)</f>
        <v/>
      </c>
      <c r="D30" s="24">
        <f>COUNTIFS('ORDENES'!$N$4:$N$1203,"Pendiente",'ORDENES'!$AD$4:$AD$1203,"&gt;=61",'ORDENES'!$AD$4:$AD$1203,"&lt;=90",'ORDENES'!$Z$4:$Z$1203,$A30)</f>
        <v/>
      </c>
      <c r="E30" s="24">
        <f>COUNTIFS('ORDENES'!$N$4:$N$1203,"Pendiente",'ORDENES'!$AD$4:$AD$1203,"&gt;90",'ORDENES'!$Z$4:$Z$1203,$A30)</f>
        <v/>
      </c>
    </row>
    <row r="31"/>
    <row r="32">
      <c r="A32" s="3" t="inlineStr">
        <is>
          <t>AL CORTE DEL TABLERO (fuente del DASHBOARD; no editar) — el backlog es ACUMULADO: cuenta todo lo pendiente con fecha hasta el corte del mes, no solo lo del mes.</t>
        </is>
      </c>
    </row>
    <row r="33">
      <c r="A33" s="23" t="inlineStr">
        <is>
          <t>mes</t>
        </is>
      </c>
      <c r="B33" s="23" t="inlineStr">
        <is>
          <t>corte</t>
        </is>
      </c>
      <c r="C33" s="23" t="inlineStr">
        <is>
          <t>ordenes_pendientes</t>
        </is>
      </c>
      <c r="D33" s="23" t="inlineStr">
        <is>
          <t>hh_pendientes</t>
        </is>
      </c>
      <c r="E33" s="23" t="inlineStr">
        <is>
          <t>capacidad_productiva_semanal</t>
        </is>
      </c>
      <c r="F33" s="23" t="inlineStr">
        <is>
          <t>semanas_de_backlog</t>
        </is>
      </c>
    </row>
    <row r="34">
      <c r="A34" s="24" t="inlineStr">
        <is>
          <t>2025-10</t>
        </is>
      </c>
      <c r="B34" s="30">
        <f>IF($A34="","",IF($A34=YEAR(p_fecha_datos)&amp;"-"&amp;TEXT(MONTH(p_fecha_datos),"00"),p_fecha_datos-1,DATE(VALUE(LEFT($A34,4)),VALUE(RIGHT($A34,2))+1,0)))</f>
        <v/>
      </c>
      <c r="C34" s="24">
        <f>COUNTIFS('ORDENES'!$N$4:$N$1203,"Pendiente",'ORDENES'!$J$4:$J$1203,"&lt;="&amp;$B34)</f>
        <v/>
      </c>
      <c r="D34" s="25">
        <f>SUMIFS('ORDENES'!$M$4:$M$1203,'ORDENES'!$N$4:$N$1203,"Pendiente",'ORDENES'!$J$4:$J$1203,"&lt;="&amp;$B34)</f>
        <v/>
      </c>
      <c r="E34" s="25">
        <f>p_base_semanal_horas*p_factor_productividad*COUNTIFS('TECNICOS'!$H$4:$H$19,"sí")</f>
        <v/>
      </c>
      <c r="F34" s="25">
        <f>IF($E34=0,"",$D34/$E34)</f>
        <v/>
      </c>
    </row>
    <row r="35">
      <c r="A35" s="24" t="inlineStr">
        <is>
          <t>2025-11</t>
        </is>
      </c>
      <c r="B35" s="30">
        <f>IF($A35="","",IF($A35=YEAR(p_fecha_datos)&amp;"-"&amp;TEXT(MONTH(p_fecha_datos),"00"),p_fecha_datos-1,DATE(VALUE(LEFT($A35,4)),VALUE(RIGHT($A35,2))+1,0)))</f>
        <v/>
      </c>
      <c r="C35" s="24">
        <f>COUNTIFS('ORDENES'!$N$4:$N$1203,"Pendiente",'ORDENES'!$J$4:$J$1203,"&lt;="&amp;$B35)</f>
        <v/>
      </c>
      <c r="D35" s="25">
        <f>SUMIFS('ORDENES'!$M$4:$M$1203,'ORDENES'!$N$4:$N$1203,"Pendiente",'ORDENES'!$J$4:$J$1203,"&lt;="&amp;$B35)</f>
        <v/>
      </c>
      <c r="E35" s="25">
        <f>p_base_semanal_horas*p_factor_productividad*COUNTIFS('TECNICOS'!$H$4:$H$19,"sí")</f>
        <v/>
      </c>
      <c r="F35" s="25">
        <f>IF($E35=0,"",$D35/$E35)</f>
        <v/>
      </c>
    </row>
    <row r="36">
      <c r="A36" s="24" t="inlineStr">
        <is>
          <t>2025-12</t>
        </is>
      </c>
      <c r="B36" s="30">
        <f>IF($A36="","",IF($A36=YEAR(p_fecha_datos)&amp;"-"&amp;TEXT(MONTH(p_fecha_datos),"00"),p_fecha_datos-1,DATE(VALUE(LEFT($A36,4)),VALUE(RIGHT($A36,2))+1,0)))</f>
        <v/>
      </c>
      <c r="C36" s="24">
        <f>COUNTIFS('ORDENES'!$N$4:$N$1203,"Pendiente",'ORDENES'!$J$4:$J$1203,"&lt;="&amp;$B36)</f>
        <v/>
      </c>
      <c r="D36" s="25">
        <f>SUMIFS('ORDENES'!$M$4:$M$1203,'ORDENES'!$N$4:$N$1203,"Pendiente",'ORDENES'!$J$4:$J$1203,"&lt;="&amp;$B36)</f>
        <v/>
      </c>
      <c r="E36" s="25">
        <f>p_base_semanal_horas*p_factor_productividad*COUNTIFS('TECNICOS'!$H$4:$H$19,"sí")</f>
        <v/>
      </c>
      <c r="F36" s="25">
        <f>IF($E36=0,"",$D36/$E36)</f>
        <v/>
      </c>
    </row>
    <row r="37">
      <c r="A37" s="24" t="inlineStr">
        <is>
          <t>2026-01</t>
        </is>
      </c>
      <c r="B37" s="30">
        <f>IF($A37="","",IF($A37=YEAR(p_fecha_datos)&amp;"-"&amp;TEXT(MONTH(p_fecha_datos),"00"),p_fecha_datos-1,DATE(VALUE(LEFT($A37,4)),VALUE(RIGHT($A37,2))+1,0)))</f>
        <v/>
      </c>
      <c r="C37" s="24">
        <f>COUNTIFS('ORDENES'!$N$4:$N$1203,"Pendiente",'ORDENES'!$J$4:$J$1203,"&lt;="&amp;$B37)</f>
        <v/>
      </c>
      <c r="D37" s="25">
        <f>SUMIFS('ORDENES'!$M$4:$M$1203,'ORDENES'!$N$4:$N$1203,"Pendiente",'ORDENES'!$J$4:$J$1203,"&lt;="&amp;$B37)</f>
        <v/>
      </c>
      <c r="E37" s="25">
        <f>p_base_semanal_horas*p_factor_productividad*COUNTIFS('TECNICOS'!$H$4:$H$19,"sí")</f>
        <v/>
      </c>
      <c r="F37" s="25">
        <f>IF($E37=0,"",$D37/$E37)</f>
        <v/>
      </c>
    </row>
    <row r="38">
      <c r="A38" s="24" t="inlineStr">
        <is>
          <t>2026-02</t>
        </is>
      </c>
      <c r="B38" s="30">
        <f>IF($A38="","",IF($A38=YEAR(p_fecha_datos)&amp;"-"&amp;TEXT(MONTH(p_fecha_datos),"00"),p_fecha_datos-1,DATE(VALUE(LEFT($A38,4)),VALUE(RIGHT($A38,2))+1,0)))</f>
        <v/>
      </c>
      <c r="C38" s="24">
        <f>COUNTIFS('ORDENES'!$N$4:$N$1203,"Pendiente",'ORDENES'!$J$4:$J$1203,"&lt;="&amp;$B38)</f>
        <v/>
      </c>
      <c r="D38" s="25">
        <f>SUMIFS('ORDENES'!$M$4:$M$1203,'ORDENES'!$N$4:$N$1203,"Pendiente",'ORDENES'!$J$4:$J$1203,"&lt;="&amp;$B38)</f>
        <v/>
      </c>
      <c r="E38" s="25">
        <f>p_base_semanal_horas*p_factor_productividad*COUNTIFS('TECNICOS'!$H$4:$H$19,"sí")</f>
        <v/>
      </c>
      <c r="F38" s="25">
        <f>IF($E38=0,"",$D38/$E38)</f>
        <v/>
      </c>
    </row>
    <row r="39">
      <c r="A39" s="24" t="inlineStr">
        <is>
          <t>2026-03</t>
        </is>
      </c>
      <c r="B39" s="30">
        <f>IF($A39="","",IF($A39=YEAR(p_fecha_datos)&amp;"-"&amp;TEXT(MONTH(p_fecha_datos),"00"),p_fecha_datos-1,DATE(VALUE(LEFT($A39,4)),VALUE(RIGHT($A39,2))+1,0)))</f>
        <v/>
      </c>
      <c r="C39" s="24">
        <f>COUNTIFS('ORDENES'!$N$4:$N$1203,"Pendiente",'ORDENES'!$J$4:$J$1203,"&lt;="&amp;$B39)</f>
        <v/>
      </c>
      <c r="D39" s="25">
        <f>SUMIFS('ORDENES'!$M$4:$M$1203,'ORDENES'!$N$4:$N$1203,"Pendiente",'ORDENES'!$J$4:$J$1203,"&lt;="&amp;$B39)</f>
        <v/>
      </c>
      <c r="E39" s="25">
        <f>p_base_semanal_horas*p_factor_productividad*COUNTIFS('TECNICOS'!$H$4:$H$19,"sí")</f>
        <v/>
      </c>
      <c r="F39" s="25">
        <f>IF($E39=0,"",$D39/$E39)</f>
        <v/>
      </c>
    </row>
    <row r="40">
      <c r="A40" s="24" t="inlineStr">
        <is>
          <t>2026-04</t>
        </is>
      </c>
      <c r="B40" s="30">
        <f>IF($A40="","",IF($A40=YEAR(p_fecha_datos)&amp;"-"&amp;TEXT(MONTH(p_fecha_datos),"00"),p_fecha_datos-1,DATE(VALUE(LEFT($A40,4)),VALUE(RIGHT($A40,2))+1,0)))</f>
        <v/>
      </c>
      <c r="C40" s="24">
        <f>COUNTIFS('ORDENES'!$N$4:$N$1203,"Pendiente",'ORDENES'!$J$4:$J$1203,"&lt;="&amp;$B40)</f>
        <v/>
      </c>
      <c r="D40" s="25">
        <f>SUMIFS('ORDENES'!$M$4:$M$1203,'ORDENES'!$N$4:$N$1203,"Pendiente",'ORDENES'!$J$4:$J$1203,"&lt;="&amp;$B40)</f>
        <v/>
      </c>
      <c r="E40" s="25">
        <f>p_base_semanal_horas*p_factor_productividad*COUNTIFS('TECNICOS'!$H$4:$H$19,"sí")</f>
        <v/>
      </c>
      <c r="F40" s="25">
        <f>IF($E40=0,"",$D40/$E40)</f>
        <v/>
      </c>
    </row>
    <row r="41">
      <c r="A41" s="24" t="inlineStr">
        <is>
          <t>2026-05</t>
        </is>
      </c>
      <c r="B41" s="30">
        <f>IF($A41="","",IF($A41=YEAR(p_fecha_datos)&amp;"-"&amp;TEXT(MONTH(p_fecha_datos),"00"),p_fecha_datos-1,DATE(VALUE(LEFT($A41,4)),VALUE(RIGHT($A41,2))+1,0)))</f>
        <v/>
      </c>
      <c r="C41" s="24">
        <f>COUNTIFS('ORDENES'!$N$4:$N$1203,"Pendiente",'ORDENES'!$J$4:$J$1203,"&lt;="&amp;$B41)</f>
        <v/>
      </c>
      <c r="D41" s="25">
        <f>SUMIFS('ORDENES'!$M$4:$M$1203,'ORDENES'!$N$4:$N$1203,"Pendiente",'ORDENES'!$J$4:$J$1203,"&lt;="&amp;$B41)</f>
        <v/>
      </c>
      <c r="E41" s="25">
        <f>p_base_semanal_horas*p_factor_productividad*COUNTIFS('TECNICOS'!$H$4:$H$19,"sí")</f>
        <v/>
      </c>
      <c r="F41" s="25">
        <f>IF($E41=0,"",$D41/$E41)</f>
        <v/>
      </c>
    </row>
    <row r="42">
      <c r="A42" s="24" t="inlineStr">
        <is>
          <t>2026-06</t>
        </is>
      </c>
      <c r="B42" s="30">
        <f>IF($A42="","",IF($A42=YEAR(p_fecha_datos)&amp;"-"&amp;TEXT(MONTH(p_fecha_datos),"00"),p_fecha_datos-1,DATE(VALUE(LEFT($A42,4)),VALUE(RIGHT($A42,2))+1,0)))</f>
        <v/>
      </c>
      <c r="C42" s="24">
        <f>COUNTIFS('ORDENES'!$N$4:$N$1203,"Pendiente",'ORDENES'!$J$4:$J$1203,"&lt;="&amp;$B42)</f>
        <v/>
      </c>
      <c r="D42" s="25">
        <f>SUMIFS('ORDENES'!$M$4:$M$1203,'ORDENES'!$N$4:$N$1203,"Pendiente",'ORDENES'!$J$4:$J$1203,"&lt;="&amp;$B42)</f>
        <v/>
      </c>
      <c r="E42" s="25">
        <f>p_base_semanal_horas*p_factor_productividad*COUNTIFS('TECNICOS'!$H$4:$H$19,"sí")</f>
        <v/>
      </c>
      <c r="F42" s="25">
        <f>IF($E42=0,"",$D42/$E42)</f>
        <v/>
      </c>
    </row>
    <row r="43">
      <c r="A43" s="24" t="inlineStr">
        <is>
          <t>2026-07</t>
        </is>
      </c>
      <c r="B43" s="30">
        <f>IF($A43="","",IF($A43=YEAR(p_fecha_datos)&amp;"-"&amp;TEXT(MONTH(p_fecha_datos),"00"),p_fecha_datos-1,DATE(VALUE(LEFT($A43,4)),VALUE(RIGHT($A43,2))+1,0)))</f>
        <v/>
      </c>
      <c r="C43" s="24">
        <f>COUNTIFS('ORDENES'!$N$4:$N$1203,"Pendiente",'ORDENES'!$J$4:$J$1203,"&lt;="&amp;$B43)</f>
        <v/>
      </c>
      <c r="D43" s="25">
        <f>SUMIFS('ORDENES'!$M$4:$M$1203,'ORDENES'!$N$4:$N$1203,"Pendiente",'ORDENES'!$J$4:$J$1203,"&lt;="&amp;$B43)</f>
        <v/>
      </c>
      <c r="E43" s="25">
        <f>p_base_semanal_horas*p_factor_productividad*COUNTIFS('TECNICOS'!$H$4:$H$19,"sí")</f>
        <v/>
      </c>
      <c r="F43" s="25">
        <f>IF($E43=0,"",$D43/$E43)</f>
        <v/>
      </c>
    </row>
    <row r="44">
      <c r="A44" s="24" t="inlineStr">
        <is>
          <t>2026-08</t>
        </is>
      </c>
      <c r="B44" s="30">
        <f>IF($A44="","",IF($A44=YEAR(p_fecha_datos)&amp;"-"&amp;TEXT(MONTH(p_fecha_datos),"00"),p_fecha_datos-1,DATE(VALUE(LEFT($A44,4)),VALUE(RIGHT($A44,2))+1,0)))</f>
        <v/>
      </c>
      <c r="C44" s="24">
        <f>COUNTIFS('ORDENES'!$N$4:$N$1203,"Pendiente",'ORDENES'!$J$4:$J$1203,"&lt;="&amp;$B44)</f>
        <v/>
      </c>
      <c r="D44" s="25">
        <f>SUMIFS('ORDENES'!$M$4:$M$1203,'ORDENES'!$N$4:$N$1203,"Pendiente",'ORDENES'!$J$4:$J$1203,"&lt;="&amp;$B44)</f>
        <v/>
      </c>
      <c r="E44" s="25">
        <f>p_base_semanal_horas*p_factor_productividad*COUNTIFS('TECNICOS'!$H$4:$H$19,"sí")</f>
        <v/>
      </c>
      <c r="F44" s="25">
        <f>IF($E44=0,"",$D44/$E44)</f>
        <v/>
      </c>
    </row>
    <row r="45">
      <c r="A45" s="24" t="inlineStr">
        <is>
          <t>2026-09</t>
        </is>
      </c>
      <c r="B45" s="30">
        <f>IF($A45="","",IF($A45=YEAR(p_fecha_datos)&amp;"-"&amp;TEXT(MONTH(p_fecha_datos),"00"),p_fecha_datos-1,DATE(VALUE(LEFT($A45,4)),VALUE(RIGHT($A45,2))+1,0)))</f>
        <v/>
      </c>
      <c r="C45" s="24">
        <f>COUNTIFS('ORDENES'!$N$4:$N$1203,"Pendiente",'ORDENES'!$J$4:$J$1203,"&lt;="&amp;$B45)</f>
        <v/>
      </c>
      <c r="D45" s="25">
        <f>SUMIFS('ORDENES'!$M$4:$M$1203,'ORDENES'!$N$4:$N$1203,"Pendiente",'ORDENES'!$J$4:$J$1203,"&lt;="&amp;$B45)</f>
        <v/>
      </c>
      <c r="E45" s="25">
        <f>p_base_semanal_horas*p_factor_productividad*COUNTIFS('TECNICOS'!$H$4:$H$19,"sí")</f>
        <v/>
      </c>
      <c r="F45" s="25">
        <f>IF($E45=0,"",$D45/$E45)</f>
        <v/>
      </c>
    </row>
    <row r="46">
      <c r="A46" s="24" t="inlineStr">
        <is>
          <t>2026-10</t>
        </is>
      </c>
      <c r="B46" s="30">
        <f>IF($A46="","",IF($A46=YEAR(p_fecha_datos)&amp;"-"&amp;TEXT(MONTH(p_fecha_datos),"00"),p_fecha_datos-1,DATE(VALUE(LEFT($A46,4)),VALUE(RIGHT($A46,2))+1,0)))</f>
        <v/>
      </c>
      <c r="C46" s="24">
        <f>COUNTIFS('ORDENES'!$N$4:$N$1203,"Pendiente",'ORDENES'!$J$4:$J$1203,"&lt;="&amp;$B46)</f>
        <v/>
      </c>
      <c r="D46" s="25">
        <f>SUMIFS('ORDENES'!$M$4:$M$1203,'ORDENES'!$N$4:$N$1203,"Pendiente",'ORDENES'!$J$4:$J$1203,"&lt;="&amp;$B46)</f>
        <v/>
      </c>
      <c r="E46" s="25">
        <f>p_base_semanal_horas*p_factor_productividad*COUNTIFS('TECNICOS'!$H$4:$H$19,"sí")</f>
        <v/>
      </c>
      <c r="F46" s="25">
        <f>IF($E46=0,"",$D46/$E46)</f>
        <v/>
      </c>
    </row>
    <row r="47">
      <c r="A47" s="24" t="inlineStr">
        <is>
          <t>2026-11</t>
        </is>
      </c>
      <c r="B47" s="30">
        <f>IF($A47="","",IF($A47=YEAR(p_fecha_datos)&amp;"-"&amp;TEXT(MONTH(p_fecha_datos),"00"),p_fecha_datos-1,DATE(VALUE(LEFT($A47,4)),VALUE(RIGHT($A47,2))+1,0)))</f>
        <v/>
      </c>
      <c r="C47" s="24">
        <f>COUNTIFS('ORDENES'!$N$4:$N$1203,"Pendiente",'ORDENES'!$J$4:$J$1203,"&lt;="&amp;$B47)</f>
        <v/>
      </c>
      <c r="D47" s="25">
        <f>SUMIFS('ORDENES'!$M$4:$M$1203,'ORDENES'!$N$4:$N$1203,"Pendiente",'ORDENES'!$J$4:$J$1203,"&lt;="&amp;$B47)</f>
        <v/>
      </c>
      <c r="E47" s="25">
        <f>p_base_semanal_horas*p_factor_productividad*COUNTIFS('TECNICOS'!$H$4:$H$19,"sí")</f>
        <v/>
      </c>
      <c r="F47" s="25">
        <f>IF($E47=0,"",$D47/$E47)</f>
        <v/>
      </c>
    </row>
    <row r="48">
      <c r="A48" s="24" t="inlineStr">
        <is>
          <t>2026-12</t>
        </is>
      </c>
      <c r="B48" s="30">
        <f>IF($A48="","",IF($A48=YEAR(p_fecha_datos)&amp;"-"&amp;TEXT(MONTH(p_fecha_datos),"00"),p_fecha_datos-1,DATE(VALUE(LEFT($A48,4)),VALUE(RIGHT($A48,2))+1,0)))</f>
        <v/>
      </c>
      <c r="C48" s="24">
        <f>COUNTIFS('ORDENES'!$N$4:$N$1203,"Pendiente",'ORDENES'!$J$4:$J$1203,"&lt;="&amp;$B48)</f>
        <v/>
      </c>
      <c r="D48" s="25">
        <f>SUMIFS('ORDENES'!$M$4:$M$1203,'ORDENES'!$N$4:$N$1203,"Pendiente",'ORDENES'!$J$4:$J$1203,"&lt;="&amp;$B48)</f>
        <v/>
      </c>
      <c r="E48" s="25">
        <f>p_base_semanal_horas*p_factor_productividad*COUNTIFS('TECNICOS'!$H$4:$H$19,"sí")</f>
        <v/>
      </c>
      <c r="F48" s="25">
        <f>IF($E48=0,"",$D48/$E48)</f>
        <v/>
      </c>
    </row>
    <row r="49">
      <c r="A49" s="24" t="inlineStr">
        <is>
          <t>2027-01</t>
        </is>
      </c>
      <c r="B49" s="30">
        <f>IF($A49="","",IF($A49=YEAR(p_fecha_datos)&amp;"-"&amp;TEXT(MONTH(p_fecha_datos),"00"),p_fecha_datos-1,DATE(VALUE(LEFT($A49,4)),VALUE(RIGHT($A49,2))+1,0)))</f>
        <v/>
      </c>
      <c r="C49" s="24">
        <f>COUNTIFS('ORDENES'!$N$4:$N$1203,"Pendiente",'ORDENES'!$J$4:$J$1203,"&lt;="&amp;$B49)</f>
        <v/>
      </c>
      <c r="D49" s="25">
        <f>SUMIFS('ORDENES'!$M$4:$M$1203,'ORDENES'!$N$4:$N$1203,"Pendiente",'ORDENES'!$J$4:$J$1203,"&lt;="&amp;$B49)</f>
        <v/>
      </c>
      <c r="E49" s="25">
        <f>p_base_semanal_horas*p_factor_productividad*COUNTIFS('TECNICOS'!$H$4:$H$19,"sí")</f>
        <v/>
      </c>
      <c r="F49" s="25">
        <f>IF($E49=0,"",$D49/$E49)</f>
        <v/>
      </c>
    </row>
    <row r="50">
      <c r="A50" s="24" t="inlineStr">
        <is>
          <t>2027-02</t>
        </is>
      </c>
      <c r="B50" s="30">
        <f>IF($A50="","",IF($A50=YEAR(p_fecha_datos)&amp;"-"&amp;TEXT(MONTH(p_fecha_datos),"00"),p_fecha_datos-1,DATE(VALUE(LEFT($A50,4)),VALUE(RIGHT($A50,2))+1,0)))</f>
        <v/>
      </c>
      <c r="C50" s="24">
        <f>COUNTIFS('ORDENES'!$N$4:$N$1203,"Pendiente",'ORDENES'!$J$4:$J$1203,"&lt;="&amp;$B50)</f>
        <v/>
      </c>
      <c r="D50" s="25">
        <f>SUMIFS('ORDENES'!$M$4:$M$1203,'ORDENES'!$N$4:$N$1203,"Pendiente",'ORDENES'!$J$4:$J$1203,"&lt;="&amp;$B50)</f>
        <v/>
      </c>
      <c r="E50" s="25">
        <f>p_base_semanal_horas*p_factor_productividad*COUNTIFS('TECNICOS'!$H$4:$H$19,"sí")</f>
        <v/>
      </c>
      <c r="F50" s="25">
        <f>IF($E50=0,"",$D50/$E50)</f>
        <v/>
      </c>
    </row>
    <row r="51">
      <c r="A51" s="24" t="inlineStr">
        <is>
          <t>2027-03</t>
        </is>
      </c>
      <c r="B51" s="30">
        <f>IF($A51="","",IF($A51=YEAR(p_fecha_datos)&amp;"-"&amp;TEXT(MONTH(p_fecha_datos),"00"),p_fecha_datos-1,DATE(VALUE(LEFT($A51,4)),VALUE(RIGHT($A51,2))+1,0)))</f>
        <v/>
      </c>
      <c r="C51" s="24">
        <f>COUNTIFS('ORDENES'!$N$4:$N$1203,"Pendiente",'ORDENES'!$J$4:$J$1203,"&lt;="&amp;$B51)</f>
        <v/>
      </c>
      <c r="D51" s="25">
        <f>SUMIFS('ORDENES'!$M$4:$M$1203,'ORDENES'!$N$4:$N$1203,"Pendiente",'ORDENES'!$J$4:$J$1203,"&lt;="&amp;$B51)</f>
        <v/>
      </c>
      <c r="E51" s="25">
        <f>p_base_semanal_horas*p_factor_productividad*COUNTIFS('TECNICOS'!$H$4:$H$19,"sí")</f>
        <v/>
      </c>
      <c r="F51" s="25">
        <f>IF($E51=0,"",$D51/$E51)</f>
        <v/>
      </c>
    </row>
  </sheetData>
  <conditionalFormatting sqref="B7:C7">
    <cfRule type="cellIs" priority="1" operator="greaterThan" dxfId="0">
      <formula>0</formula>
    </cfRule>
  </conditionalFormatting>
  <conditionalFormatting sqref="E12:E15">
    <cfRule type="cellIs" priority="2" operator="greaterThan" dxfId="0">
      <formula>0</formula>
    </cfRule>
  </conditionalFormatting>
  <conditionalFormatting sqref="E19:E21">
    <cfRule type="cellIs" priority="3" operator="greaterThan" dxfId="0">
      <formula>0</formula>
    </cfRule>
  </conditionalFormatting>
  <conditionalFormatting sqref="E25:E3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1">
        <f>"COSTOS ("&amp;p_moneda&amp;") — REGLA-8: real (servicio + materiales) contra plan"</f>
        <v/>
      </c>
    </row>
    <row r="2">
      <c r="A2" s="19">
        <f>HYPERLINK("#DASHBOARD!A1","◂ VOLVER AL TABLERO")</f>
        <v/>
      </c>
    </row>
    <row r="3">
      <c r="A3" s="3" t="inlineStr">
        <is>
          <t>PLAN por área (costo_plan)</t>
        </is>
      </c>
    </row>
    <row r="4">
      <c r="A4" s="2" t="inlineStr">
        <is>
          <t>anio</t>
        </is>
      </c>
      <c r="B4" s="2" t="n">
        <v>2026</v>
      </c>
      <c r="C4" s="2" t="n">
        <v>2026</v>
      </c>
    </row>
    <row r="5">
      <c r="A5" s="2" t="inlineStr">
        <is>
          <t>mes</t>
        </is>
      </c>
      <c r="B5" s="23" t="n">
        <v>7</v>
      </c>
      <c r="C5" s="23" t="n">
        <v>8</v>
      </c>
      <c r="D5" s="23" t="inlineStr">
        <is>
          <t>TOTAL</t>
        </is>
      </c>
    </row>
    <row r="6">
      <c r="A6" s="5" t="inlineStr">
        <is>
          <t>PRODUCCION</t>
        </is>
      </c>
      <c r="B6" s="32">
        <f>SUMIFS('ORDENES'!$L$4:$L$1203,'ORDENES'!$Y$4:$Y$1203,$A6,'ORDENES'!$P$4:$P$1203,B$4,'ORDENES'!$Q$4:$Q$1203,B$5)</f>
        <v/>
      </c>
      <c r="C6" s="32">
        <f>SUMIFS('ORDENES'!$L$4:$L$1203,'ORDENES'!$Y$4:$Y$1203,$A6,'ORDENES'!$P$4:$P$1203,C$4,'ORDENES'!$Q$4:$Q$1203,C$5)</f>
        <v/>
      </c>
      <c r="D6" s="32">
        <f>SUM(B6:C6)</f>
        <v/>
      </c>
    </row>
    <row r="7">
      <c r="A7" s="5" t="inlineStr">
        <is>
          <t>EMPAQUE</t>
        </is>
      </c>
      <c r="B7" s="32">
        <f>SUMIFS('ORDENES'!$L$4:$L$1203,'ORDENES'!$Y$4:$Y$1203,$A7,'ORDENES'!$P$4:$P$1203,B$4,'ORDENES'!$Q$4:$Q$1203,B$5)</f>
        <v/>
      </c>
      <c r="C7" s="32">
        <f>SUMIFS('ORDENES'!$L$4:$L$1203,'ORDENES'!$Y$4:$Y$1203,$A7,'ORDENES'!$P$4:$P$1203,C$4,'ORDENES'!$Q$4:$Q$1203,C$5)</f>
        <v/>
      </c>
      <c r="D7" s="32">
        <f>SUM(B7:C7)</f>
        <v/>
      </c>
    </row>
    <row r="8">
      <c r="A8" s="5" t="inlineStr">
        <is>
          <t>SERVICIOS</t>
        </is>
      </c>
      <c r="B8" s="32">
        <f>SUMIFS('ORDENES'!$L$4:$L$1203,'ORDENES'!$Y$4:$Y$1203,$A8,'ORDENES'!$P$4:$P$1203,B$4,'ORDENES'!$Q$4:$Q$1203,B$5)</f>
        <v/>
      </c>
      <c r="C8" s="32">
        <f>SUMIFS('ORDENES'!$L$4:$L$1203,'ORDENES'!$Y$4:$Y$1203,$A8,'ORDENES'!$P$4:$P$1203,C$4,'ORDENES'!$Q$4:$Q$1203,C$5)</f>
        <v/>
      </c>
      <c r="D8" s="32">
        <f>SUM(B8:C8)</f>
        <v/>
      </c>
    </row>
    <row r="9">
      <c r="A9" s="3" t="inlineStr">
        <is>
          <t>TOTAL</t>
        </is>
      </c>
      <c r="B9" s="32">
        <f>SUM(B6:B8)</f>
        <v/>
      </c>
      <c r="C9" s="32">
        <f>SUM(C6:C8)</f>
        <v/>
      </c>
      <c r="D9" s="32">
        <f>SUM(D6:D8)</f>
        <v/>
      </c>
    </row>
    <row r="10"/>
    <row r="11">
      <c r="A11" s="3" t="inlineStr">
        <is>
          <t>REAL por área (costo_total = servicio + materiales)</t>
        </is>
      </c>
    </row>
    <row r="12">
      <c r="A12" s="2" t="inlineStr">
        <is>
          <t>anio</t>
        </is>
      </c>
      <c r="B12" s="2" t="n">
        <v>2026</v>
      </c>
      <c r="C12" s="2" t="n">
        <v>2026</v>
      </c>
    </row>
    <row r="13">
      <c r="A13" s="2" t="inlineStr">
        <is>
          <t>mes</t>
        </is>
      </c>
      <c r="B13" s="23" t="n">
        <v>7</v>
      </c>
      <c r="C13" s="23" t="n">
        <v>8</v>
      </c>
      <c r="D13" s="23" t="inlineStr">
        <is>
          <t>TOTAL</t>
        </is>
      </c>
    </row>
    <row r="14">
      <c r="A14" s="5" t="inlineStr">
        <is>
          <t>PRODUCCION</t>
        </is>
      </c>
      <c r="B14" s="32">
        <f>SUMIFS('ORDENES'!$AN$4:$AN$1203,'ORDENES'!$Y$4:$Y$1203,$A14,'ORDENES'!$P$4:$P$1203,B$12,'ORDENES'!$Q$4:$Q$1203,B$13)</f>
        <v/>
      </c>
      <c r="C14" s="32">
        <f>SUMIFS('ORDENES'!$AN$4:$AN$1203,'ORDENES'!$Y$4:$Y$1203,$A14,'ORDENES'!$P$4:$P$1203,C$12,'ORDENES'!$Q$4:$Q$1203,C$13)</f>
        <v/>
      </c>
      <c r="D14" s="32">
        <f>SUM(B14:C14)</f>
        <v/>
      </c>
    </row>
    <row r="15">
      <c r="A15" s="5" t="inlineStr">
        <is>
          <t>EMPAQUE</t>
        </is>
      </c>
      <c r="B15" s="32">
        <f>SUMIFS('ORDENES'!$AN$4:$AN$1203,'ORDENES'!$Y$4:$Y$1203,$A15,'ORDENES'!$P$4:$P$1203,B$12,'ORDENES'!$Q$4:$Q$1203,B$13)</f>
        <v/>
      </c>
      <c r="C15" s="32">
        <f>SUMIFS('ORDENES'!$AN$4:$AN$1203,'ORDENES'!$Y$4:$Y$1203,$A15,'ORDENES'!$P$4:$P$1203,C$12,'ORDENES'!$Q$4:$Q$1203,C$13)</f>
        <v/>
      </c>
      <c r="D15" s="32">
        <f>SUM(B15:C15)</f>
        <v/>
      </c>
    </row>
    <row r="16">
      <c r="A16" s="5" t="inlineStr">
        <is>
          <t>SERVICIOS</t>
        </is>
      </c>
      <c r="B16" s="32">
        <f>SUMIFS('ORDENES'!$AN$4:$AN$1203,'ORDENES'!$Y$4:$Y$1203,$A16,'ORDENES'!$P$4:$P$1203,B$12,'ORDENES'!$Q$4:$Q$1203,B$13)</f>
        <v/>
      </c>
      <c r="C16" s="32">
        <f>SUMIFS('ORDENES'!$AN$4:$AN$1203,'ORDENES'!$Y$4:$Y$1203,$A16,'ORDENES'!$P$4:$P$1203,C$12,'ORDENES'!$Q$4:$Q$1203,C$13)</f>
        <v/>
      </c>
      <c r="D16" s="32">
        <f>SUM(B16:C16)</f>
        <v/>
      </c>
    </row>
    <row r="17">
      <c r="A17" s="3" t="inlineStr">
        <is>
          <t>TOTAL</t>
        </is>
      </c>
      <c r="B17" s="32">
        <f>SUM(B14:B16)</f>
        <v/>
      </c>
      <c r="C17" s="32">
        <f>SUM(C14:C16)</f>
        <v/>
      </c>
      <c r="D17" s="32">
        <f>SUM(D14:D16)</f>
        <v/>
      </c>
    </row>
    <row r="18"/>
    <row r="19">
      <c r="A19" s="3" t="inlineStr">
        <is>
          <t>DESVÍO por área (real − plan)</t>
        </is>
      </c>
    </row>
    <row r="20">
      <c r="A20" s="5" t="inlineStr">
        <is>
          <t>PRODUCCION</t>
        </is>
      </c>
      <c r="B20" s="32">
        <f>B14-B6</f>
        <v/>
      </c>
      <c r="C20" s="32">
        <f>C14-C6</f>
        <v/>
      </c>
      <c r="D20" s="32">
        <f>D14-D6</f>
        <v/>
      </c>
    </row>
    <row r="21">
      <c r="A21" s="5" t="inlineStr">
        <is>
          <t>EMPAQUE</t>
        </is>
      </c>
      <c r="B21" s="32">
        <f>B15-B7</f>
        <v/>
      </c>
      <c r="C21" s="32">
        <f>C15-C7</f>
        <v/>
      </c>
      <c r="D21" s="32">
        <f>D15-D7</f>
        <v/>
      </c>
    </row>
    <row r="22">
      <c r="A22" s="5" t="inlineStr">
        <is>
          <t>SERVICIOS</t>
        </is>
      </c>
      <c r="B22" s="32">
        <f>B16-B8</f>
        <v/>
      </c>
      <c r="C22" s="32">
        <f>C16-C8</f>
        <v/>
      </c>
      <c r="D22" s="32">
        <f>D16-D8</f>
        <v/>
      </c>
    </row>
    <row r="23">
      <c r="A23" s="3" t="inlineStr">
        <is>
          <t>TOTAL</t>
        </is>
      </c>
      <c r="B23" s="32">
        <f>B17-B9</f>
        <v/>
      </c>
      <c r="C23" s="32">
        <f>C17-C9</f>
        <v/>
      </c>
      <c r="D23" s="32">
        <f>D17-D9</f>
        <v/>
      </c>
    </row>
    <row r="24"/>
    <row r="25">
      <c r="A25" s="3" t="inlineStr">
        <is>
          <t>REAL por sub-área (herencia: un área sin subdividir aparece con su propio nombre; el TOTAL coincide con el de por área)</t>
        </is>
      </c>
    </row>
    <row r="26">
      <c r="A26" s="2" t="inlineStr">
        <is>
          <t>anio</t>
        </is>
      </c>
      <c r="B26" s="2" t="n">
        <v>2026</v>
      </c>
      <c r="C26" s="2" t="n">
        <v>2026</v>
      </c>
    </row>
    <row r="27">
      <c r="A27" s="2" t="inlineStr">
        <is>
          <t>mes</t>
        </is>
      </c>
      <c r="B27" s="23" t="n">
        <v>7</v>
      </c>
      <c r="C27" s="23" t="n">
        <v>8</v>
      </c>
      <c r="D27" s="23" t="inlineStr">
        <is>
          <t>TOTAL</t>
        </is>
      </c>
    </row>
    <row r="28">
      <c r="A28" s="5" t="inlineStr">
        <is>
          <t>PRODUCCION</t>
        </is>
      </c>
      <c r="B28" s="32">
        <f>SUMIFS('ORDENES'!$AN$4:$AN$1203,'ORDENES'!$Z$4:$Z$1203,$A28,'ORDENES'!$P$4:$P$1203,B$26,'ORDENES'!$Q$4:$Q$1203,B$27)</f>
        <v/>
      </c>
      <c r="C28" s="32">
        <f>SUMIFS('ORDENES'!$AN$4:$AN$1203,'ORDENES'!$Z$4:$Z$1203,$A28,'ORDENES'!$P$4:$P$1203,C$26,'ORDENES'!$Q$4:$Q$1203,C$27)</f>
        <v/>
      </c>
      <c r="D28" s="32">
        <f>SUM(B28:C28)</f>
        <v/>
      </c>
    </row>
    <row r="29">
      <c r="A29" s="5" t="inlineStr">
        <is>
          <t>EMPAQUE</t>
        </is>
      </c>
      <c r="B29" s="32">
        <f>SUMIFS('ORDENES'!$AN$4:$AN$1203,'ORDENES'!$Z$4:$Z$1203,$A29,'ORDENES'!$P$4:$P$1203,B$26,'ORDENES'!$Q$4:$Q$1203,B$27)</f>
        <v/>
      </c>
      <c r="C29" s="32">
        <f>SUMIFS('ORDENES'!$AN$4:$AN$1203,'ORDENES'!$Z$4:$Z$1203,$A29,'ORDENES'!$P$4:$P$1203,C$26,'ORDENES'!$Q$4:$Q$1203,C$27)</f>
        <v/>
      </c>
      <c r="D29" s="32">
        <f>SUM(B29:C29)</f>
        <v/>
      </c>
    </row>
    <row r="30">
      <c r="A30" s="5" t="inlineStr">
        <is>
          <t>Vapor</t>
        </is>
      </c>
      <c r="B30" s="32">
        <f>SUMIFS('ORDENES'!$AN$4:$AN$1203,'ORDENES'!$Z$4:$Z$1203,$A30,'ORDENES'!$P$4:$P$1203,B$26,'ORDENES'!$Q$4:$Q$1203,B$27)</f>
        <v/>
      </c>
      <c r="C30" s="32">
        <f>SUMIFS('ORDENES'!$AN$4:$AN$1203,'ORDENES'!$Z$4:$Z$1203,$A30,'ORDENES'!$P$4:$P$1203,C$26,'ORDENES'!$Q$4:$Q$1203,C$27)</f>
        <v/>
      </c>
      <c r="D30" s="32">
        <f>SUM(B30:C30)</f>
        <v/>
      </c>
    </row>
    <row r="31">
      <c r="A31" s="5" t="inlineStr">
        <is>
          <t>Refrigeración</t>
        </is>
      </c>
      <c r="B31" s="32">
        <f>SUMIFS('ORDENES'!$AN$4:$AN$1203,'ORDENES'!$Z$4:$Z$1203,$A31,'ORDENES'!$P$4:$P$1203,B$26,'ORDENES'!$Q$4:$Q$1203,B$27)</f>
        <v/>
      </c>
      <c r="C31" s="32">
        <f>SUMIFS('ORDENES'!$AN$4:$AN$1203,'ORDENES'!$Z$4:$Z$1203,$A31,'ORDENES'!$P$4:$P$1203,C$26,'ORDENES'!$Q$4:$Q$1203,C$27)</f>
        <v/>
      </c>
      <c r="D31" s="32">
        <f>SUM(B31:C31)</f>
        <v/>
      </c>
    </row>
    <row r="32">
      <c r="A32" s="5" t="inlineStr">
        <is>
          <t>CO2</t>
        </is>
      </c>
      <c r="B32" s="32">
        <f>SUMIFS('ORDENES'!$AN$4:$AN$1203,'ORDENES'!$Z$4:$Z$1203,$A32,'ORDENES'!$P$4:$P$1203,B$26,'ORDENES'!$Q$4:$Q$1203,B$27)</f>
        <v/>
      </c>
      <c r="C32" s="32">
        <f>SUMIFS('ORDENES'!$AN$4:$AN$1203,'ORDENES'!$Z$4:$Z$1203,$A32,'ORDENES'!$P$4:$P$1203,C$26,'ORDENES'!$Q$4:$Q$1203,C$27)</f>
        <v/>
      </c>
      <c r="D32" s="32">
        <f>SUM(B32:C32)</f>
        <v/>
      </c>
    </row>
    <row r="33">
      <c r="A33" s="5" t="inlineStr">
        <is>
          <t>Aire comprimido</t>
        </is>
      </c>
      <c r="B33" s="32">
        <f>SUMIFS('ORDENES'!$AN$4:$AN$1203,'ORDENES'!$Z$4:$Z$1203,$A33,'ORDENES'!$P$4:$P$1203,B$26,'ORDENES'!$Q$4:$Q$1203,B$27)</f>
        <v/>
      </c>
      <c r="C33" s="32">
        <f>SUMIFS('ORDENES'!$AN$4:$AN$1203,'ORDENES'!$Z$4:$Z$1203,$A33,'ORDENES'!$P$4:$P$1203,C$26,'ORDENES'!$Q$4:$Q$1203,C$27)</f>
        <v/>
      </c>
      <c r="D33" s="32">
        <f>SUM(B33:C33)</f>
        <v/>
      </c>
    </row>
    <row r="34">
      <c r="A34" s="3" t="inlineStr">
        <is>
          <t>TOTAL</t>
        </is>
      </c>
      <c r="B34" s="32">
        <f>SUM(B28:B33)</f>
        <v/>
      </c>
      <c r="C34" s="32">
        <f>SUM(C28:C33)</f>
        <v/>
      </c>
      <c r="D34" s="32">
        <f>SUM(D28:D33)</f>
        <v/>
      </c>
    </row>
    <row r="35"/>
    <row r="36">
      <c r="A36" s="3" t="inlineStr">
        <is>
          <t>REAL por línea</t>
        </is>
      </c>
    </row>
    <row r="37">
      <c r="A37" s="2" t="inlineStr">
        <is>
          <t>anio</t>
        </is>
      </c>
      <c r="B37" s="2" t="n">
        <v>2026</v>
      </c>
      <c r="C37" s="2" t="n">
        <v>2026</v>
      </c>
    </row>
    <row r="38">
      <c r="A38" s="2" t="inlineStr">
        <is>
          <t>mes</t>
        </is>
      </c>
      <c r="B38" s="23" t="n">
        <v>7</v>
      </c>
      <c r="C38" s="23" t="n">
        <v>8</v>
      </c>
      <c r="D38" s="23" t="inlineStr">
        <is>
          <t>TOTAL</t>
        </is>
      </c>
    </row>
    <row r="39">
      <c r="A39" s="5" t="inlineStr">
        <is>
          <t>L1</t>
        </is>
      </c>
      <c r="B39" s="32">
        <f>SUMIFS('ORDENES'!$AN$4:$AN$1203,'ORDENES'!$X$4:$X$1203,$A39,'ORDENES'!$P$4:$P$1203,B$37,'ORDENES'!$Q$4:$Q$1203,B$38)</f>
        <v/>
      </c>
      <c r="C39" s="32">
        <f>SUMIFS('ORDENES'!$AN$4:$AN$1203,'ORDENES'!$X$4:$X$1203,$A39,'ORDENES'!$P$4:$P$1203,C$37,'ORDENES'!$Q$4:$Q$1203,C$38)</f>
        <v/>
      </c>
      <c r="D39" s="32">
        <f>SUM(B39:C39)</f>
        <v/>
      </c>
    </row>
    <row r="40">
      <c r="A40" s="5" t="inlineStr">
        <is>
          <t>L2</t>
        </is>
      </c>
      <c r="B40" s="32">
        <f>SUMIFS('ORDENES'!$AN$4:$AN$1203,'ORDENES'!$X$4:$X$1203,$A40,'ORDENES'!$P$4:$P$1203,B$37,'ORDENES'!$Q$4:$Q$1203,B$38)</f>
        <v/>
      </c>
      <c r="C40" s="32">
        <f>SUMIFS('ORDENES'!$AN$4:$AN$1203,'ORDENES'!$X$4:$X$1203,$A40,'ORDENES'!$P$4:$P$1203,C$37,'ORDENES'!$Q$4:$Q$1203,C$38)</f>
        <v/>
      </c>
      <c r="D40" s="32">
        <f>SUM(B40:C40)</f>
        <v/>
      </c>
    </row>
    <row r="41">
      <c r="A41" s="5" t="inlineStr">
        <is>
          <t>L3</t>
        </is>
      </c>
      <c r="B41" s="32">
        <f>SUMIFS('ORDENES'!$AN$4:$AN$1203,'ORDENES'!$X$4:$X$1203,$A41,'ORDENES'!$P$4:$P$1203,B$37,'ORDENES'!$Q$4:$Q$1203,B$38)</f>
        <v/>
      </c>
      <c r="C41" s="32">
        <f>SUMIFS('ORDENES'!$AN$4:$AN$1203,'ORDENES'!$X$4:$X$1203,$A41,'ORDENES'!$P$4:$P$1203,C$37,'ORDENES'!$Q$4:$Q$1203,C$38)</f>
        <v/>
      </c>
      <c r="D41" s="32">
        <f>SUM(B41:C41)</f>
        <v/>
      </c>
    </row>
    <row r="42">
      <c r="A42" s="5" t="inlineStr">
        <is>
          <t>L4</t>
        </is>
      </c>
      <c r="B42" s="32">
        <f>SUMIFS('ORDENES'!$AN$4:$AN$1203,'ORDENES'!$X$4:$X$1203,$A42,'ORDENES'!$P$4:$P$1203,B$37,'ORDENES'!$Q$4:$Q$1203,B$38)</f>
        <v/>
      </c>
      <c r="C42" s="32">
        <f>SUMIFS('ORDENES'!$AN$4:$AN$1203,'ORDENES'!$X$4:$X$1203,$A42,'ORDENES'!$P$4:$P$1203,C$37,'ORDENES'!$Q$4:$Q$1203,C$38)</f>
        <v/>
      </c>
      <c r="D42" s="32">
        <f>SUM(B42:C42)</f>
        <v/>
      </c>
    </row>
    <row r="43">
      <c r="A43" s="5" t="inlineStr">
        <is>
          <t>SG</t>
        </is>
      </c>
      <c r="B43" s="32">
        <f>SUMIFS('ORDENES'!$AN$4:$AN$1203,'ORDENES'!$X$4:$X$1203,$A43,'ORDENES'!$P$4:$P$1203,B$37,'ORDENES'!$Q$4:$Q$1203,B$38)</f>
        <v/>
      </c>
      <c r="C43" s="32">
        <f>SUMIFS('ORDENES'!$AN$4:$AN$1203,'ORDENES'!$X$4:$X$1203,$A43,'ORDENES'!$P$4:$P$1203,C$37,'ORDENES'!$Q$4:$Q$1203,C$38)</f>
        <v/>
      </c>
      <c r="D43" s="32">
        <f>SUM(B43:C43)</f>
        <v/>
      </c>
    </row>
    <row r="44">
      <c r="A44" s="5" t="inlineStr">
        <is>
          <t>SG</t>
        </is>
      </c>
      <c r="B44" s="32">
        <f>SUMIFS('ORDENES'!$AN$4:$AN$1203,'ORDENES'!$X$4:$X$1203,$A44,'ORDENES'!$P$4:$P$1203,B$37,'ORDENES'!$Q$4:$Q$1203,B$38)</f>
        <v/>
      </c>
      <c r="C44" s="32">
        <f>SUMIFS('ORDENES'!$AN$4:$AN$1203,'ORDENES'!$X$4:$X$1203,$A44,'ORDENES'!$P$4:$P$1203,C$37,'ORDENES'!$Q$4:$Q$1203,C$38)</f>
        <v/>
      </c>
      <c r="D44" s="32">
        <f>SUM(B44:C44)</f>
        <v/>
      </c>
    </row>
    <row r="45">
      <c r="A45" s="5" t="inlineStr">
        <is>
          <t>TC</t>
        </is>
      </c>
      <c r="B45" s="32">
        <f>SUMIFS('ORDENES'!$AN$4:$AN$1203,'ORDENES'!$X$4:$X$1203,$A45,'ORDENES'!$P$4:$P$1203,B$37,'ORDENES'!$Q$4:$Q$1203,B$38)</f>
        <v/>
      </c>
      <c r="C45" s="32">
        <f>SUMIFS('ORDENES'!$AN$4:$AN$1203,'ORDENES'!$X$4:$X$1203,$A45,'ORDENES'!$P$4:$P$1203,C$37,'ORDENES'!$Q$4:$Q$1203,C$38)</f>
        <v/>
      </c>
      <c r="D45" s="32">
        <f>SUM(B45:C45)</f>
        <v/>
      </c>
    </row>
    <row r="46">
      <c r="A46" s="5" t="inlineStr">
        <is>
          <t>TC</t>
        </is>
      </c>
      <c r="B46" s="32">
        <f>SUMIFS('ORDENES'!$AN$4:$AN$1203,'ORDENES'!$X$4:$X$1203,$A46,'ORDENES'!$P$4:$P$1203,B$37,'ORDENES'!$Q$4:$Q$1203,B$38)</f>
        <v/>
      </c>
      <c r="C46" s="32">
        <f>SUMIFS('ORDENES'!$AN$4:$AN$1203,'ORDENES'!$X$4:$X$1203,$A46,'ORDENES'!$P$4:$P$1203,C$37,'ORDENES'!$Q$4:$Q$1203,C$38)</f>
        <v/>
      </c>
      <c r="D46" s="32">
        <f>SUM(B46:C46)</f>
        <v/>
      </c>
    </row>
    <row r="47">
      <c r="A47" s="5" t="inlineStr">
        <is>
          <t>CO</t>
        </is>
      </c>
      <c r="B47" s="32">
        <f>SUMIFS('ORDENES'!$AN$4:$AN$1203,'ORDENES'!$X$4:$X$1203,$A47,'ORDENES'!$P$4:$P$1203,B$37,'ORDENES'!$Q$4:$Q$1203,B$38)</f>
        <v/>
      </c>
      <c r="C47" s="32">
        <f>SUMIFS('ORDENES'!$AN$4:$AN$1203,'ORDENES'!$X$4:$X$1203,$A47,'ORDENES'!$P$4:$P$1203,C$37,'ORDENES'!$Q$4:$Q$1203,C$38)</f>
        <v/>
      </c>
      <c r="D47" s="32">
        <f>SUM(B47:C47)</f>
        <v/>
      </c>
    </row>
    <row r="48">
      <c r="A48" s="5" t="inlineStr">
        <is>
          <t>AC</t>
        </is>
      </c>
      <c r="B48" s="32">
        <f>SUMIFS('ORDENES'!$AN$4:$AN$1203,'ORDENES'!$X$4:$X$1203,$A48,'ORDENES'!$P$4:$P$1203,B$37,'ORDENES'!$Q$4:$Q$1203,B$38)</f>
        <v/>
      </c>
      <c r="C48" s="32">
        <f>SUMIFS('ORDENES'!$AN$4:$AN$1203,'ORDENES'!$X$4:$X$1203,$A48,'ORDENES'!$P$4:$P$1203,C$37,'ORDENES'!$Q$4:$Q$1203,C$38)</f>
        <v/>
      </c>
      <c r="D48" s="32">
        <f>SUM(B48:C48)</f>
        <v/>
      </c>
    </row>
    <row r="49">
      <c r="A49" s="3" t="inlineStr">
        <is>
          <t>TOTAL</t>
        </is>
      </c>
      <c r="B49" s="32">
        <f>SUM(B39:B48)</f>
        <v/>
      </c>
      <c r="C49" s="32">
        <f>SUM(C39:C48)</f>
        <v/>
      </c>
      <c r="D49" s="32">
        <f>SUM(D39:D48)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Q12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30" customWidth="1" min="17" max="17"/>
  </cols>
  <sheetData>
    <row r="1">
      <c r="A1" s="31">
        <f>"PRESUPUESTO OPEX "&amp;p_anio_presupuesto&amp;" — plan mensual vs gasto real ("&amp;p_moneda&amp;")"</f>
        <v/>
      </c>
    </row>
    <row r="2">
      <c r="A2" s="2" t="inlineStr">
        <is>
          <t>Alcance OPEX: materiales, servicios y terceros. La mano de obra propia NO es costo y no entra ni en el plan ni en el real. Nada de CAPEX ni de costo de ciclo de vida.</t>
        </is>
      </c>
    </row>
    <row r="3">
      <c r="A3" s="2" t="inlineStr">
        <is>
          <t>La categoría de cada orden se hereda del CATÁLOGO de actividades (CAT_ACTIVIDADES: categoria_presupuesto + clasificacion). Onboardear otra empresa = editar el catálogo.</t>
        </is>
      </c>
    </row>
    <row r="4">
      <c r="A4" s="2" t="inlineStr">
        <is>
          <t>El gasto real sale del mismo campo que COSTOS (costo_total, REGLA-8). Lo que no tenga categoría en catálogo cae en la fila SIN CLASIFICAR: el gasto nunca desaparece.</t>
        </is>
      </c>
    </row>
    <row r="5">
      <c r="A5" s="19">
        <f>HYPERLINK("#DASHBOARD!A1","◂ VOLVER AL TABLERO")</f>
        <v/>
      </c>
    </row>
    <row r="6">
      <c r="A6" s="3" t="inlineStr">
        <is>
          <t>BLOQUE DE ENTRADA — plan manual del año (azul = editable). Las filas de categoría salen de CAT_ACTIVIDADES; hay holgura para 12.</t>
        </is>
      </c>
    </row>
    <row r="7">
      <c r="A7" s="23" t="inlineStr">
        <is>
          <t>categoria</t>
        </is>
      </c>
      <c r="B7" s="23" t="inlineStr">
        <is>
          <t>clasificacion</t>
        </is>
      </c>
      <c r="C7" s="23" t="inlineStr">
        <is>
          <t>ene</t>
        </is>
      </c>
      <c r="D7" s="23" t="inlineStr">
        <is>
          <t>feb</t>
        </is>
      </c>
      <c r="E7" s="23" t="inlineStr">
        <is>
          <t>mar</t>
        </is>
      </c>
      <c r="F7" s="23" t="inlineStr">
        <is>
          <t>abr</t>
        </is>
      </c>
      <c r="G7" s="23" t="inlineStr">
        <is>
          <t>may</t>
        </is>
      </c>
      <c r="H7" s="23" t="inlineStr">
        <is>
          <t>jun</t>
        </is>
      </c>
      <c r="I7" s="23" t="inlineStr">
        <is>
          <t>jul</t>
        </is>
      </c>
      <c r="J7" s="23" t="inlineStr">
        <is>
          <t>ago</t>
        </is>
      </c>
      <c r="K7" s="23" t="inlineStr">
        <is>
          <t>sep</t>
        </is>
      </c>
      <c r="L7" s="23" t="inlineStr">
        <is>
          <t>oct</t>
        </is>
      </c>
      <c r="M7" s="23" t="inlineStr">
        <is>
          <t>nov</t>
        </is>
      </c>
      <c r="N7" s="23" t="inlineStr">
        <is>
          <t>dic</t>
        </is>
      </c>
      <c r="O7" s="23" t="inlineStr">
        <is>
          <t>presupuesto_anual</t>
        </is>
      </c>
      <c r="P7" s="23" t="inlineStr">
        <is>
          <t>suma_12_meses</t>
        </is>
      </c>
      <c r="Q7" s="23" t="inlineStr">
        <is>
          <t>cuadre</t>
        </is>
      </c>
    </row>
    <row r="8">
      <c r="A8" s="24">
        <f>IFERROR(INDEX(CAT_ACTIVIDADES!$D$4:$D$26,MATCH(1,CAT_ACTIVIDADES!$H$4:$H$26,0)),"")</f>
        <v/>
      </c>
      <c r="B8" s="24">
        <f>IF($A8="","",IFERROR(INDEX(CAT_ACTIVIDADES!$E$4:$E$26,MATCH($A8,CAT_ACTIVIDADES!$D$4:$D$26,0)),""))</f>
        <v/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290</v>
      </c>
      <c r="J8" s="33" t="n">
        <v>90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380</v>
      </c>
      <c r="P8" s="32">
        <f>IF($A8="","",SUM($C8:$N8))</f>
        <v/>
      </c>
      <c r="Q8" s="24">
        <f>IF($A8="","",IF(ROUND($P8-$O8,2)=0,"cuadra","DESCUADRE: "&amp;TEXT($P8-$O8,"+#,##0;-#,##0")&amp;" vs anual"))</f>
        <v/>
      </c>
    </row>
    <row r="9">
      <c r="A9" s="24">
        <f>IFERROR(INDEX(CAT_ACTIVIDADES!$D$4:$D$26,MATCH(2,CAT_ACTIVIDADES!$H$4:$H$26,0)),"")</f>
        <v/>
      </c>
      <c r="B9" s="24">
        <f>IF($A9="","",IFERROR(INDEX(CAT_ACTIVIDADES!$E$4:$E$26,MATCH($A9,CAT_ACTIVIDADES!$D$4:$D$26,0)),""))</f>
        <v/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400</v>
      </c>
      <c r="J9" s="33" t="n">
        <v>180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580</v>
      </c>
      <c r="P9" s="32">
        <f>IF($A9="","",SUM($C9:$N9))</f>
        <v/>
      </c>
      <c r="Q9" s="24">
        <f>IF($A9="","",IF(ROUND($P9-$O9,2)=0,"cuadra","DESCUADRE: "&amp;TEXT($P9-$O9,"+#,##0;-#,##0")&amp;" vs anual"))</f>
        <v/>
      </c>
    </row>
    <row r="10">
      <c r="A10" s="24">
        <f>IFERROR(INDEX(CAT_ACTIVIDADES!$D$4:$D$26,MATCH(3,CAT_ACTIVIDADES!$H$4:$H$26,0)),"")</f>
        <v/>
      </c>
      <c r="B10" s="24">
        <f>IF($A10="","",IFERROR(INDEX(CAT_ACTIVIDADES!$E$4:$E$26,MATCH($A10,CAT_ACTIVIDADES!$D$4:$D$26,0)),""))</f>
        <v/>
      </c>
      <c r="C10" s="33" t="n">
        <v>400</v>
      </c>
      <c r="D10" s="33" t="n">
        <v>400</v>
      </c>
      <c r="E10" s="33" t="n">
        <v>400</v>
      </c>
      <c r="F10" s="33" t="n">
        <v>400</v>
      </c>
      <c r="G10" s="33" t="n">
        <v>400</v>
      </c>
      <c r="H10" s="33" t="n">
        <v>400</v>
      </c>
      <c r="I10" s="33" t="n">
        <v>400</v>
      </c>
      <c r="J10" s="33" t="n">
        <v>400</v>
      </c>
      <c r="K10" s="33" t="n">
        <v>400</v>
      </c>
      <c r="L10" s="33" t="n">
        <v>400</v>
      </c>
      <c r="M10" s="33" t="n">
        <v>400</v>
      </c>
      <c r="N10" s="33" t="n">
        <v>400</v>
      </c>
      <c r="O10" s="33" t="n">
        <v>4800</v>
      </c>
      <c r="P10" s="32">
        <f>IF($A10="","",SUM($C10:$N10))</f>
        <v/>
      </c>
      <c r="Q10" s="24">
        <f>IF($A10="","",IF(ROUND($P10-$O10,2)=0,"cuadra","DESCUADRE: "&amp;TEXT($P10-$O10,"+#,##0;-#,##0")&amp;" vs anual"))</f>
        <v/>
      </c>
    </row>
    <row r="11">
      <c r="A11" s="24">
        <f>IFERROR(INDEX(CAT_ACTIVIDADES!$D$4:$D$26,MATCH(4,CAT_ACTIVIDADES!$H$4:$H$26,0)),"")</f>
        <v/>
      </c>
      <c r="B11" s="24">
        <f>IF($A11="","",IFERROR(INDEX(CAT_ACTIVIDADES!$E$4:$E$26,MATCH($A11,CAT_ACTIVIDADES!$D$4:$D$26,0)),""))</f>
        <v/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33" t="n">
        <v>0</v>
      </c>
      <c r="I11" s="33" t="n">
        <v>370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370</v>
      </c>
      <c r="P11" s="32">
        <f>IF($A11="","",SUM($C11:$N11))</f>
        <v/>
      </c>
      <c r="Q11" s="24">
        <f>IF($A11="","",IF(ROUND($P11-$O11,2)=0,"cuadra","DESCUADRE: "&amp;TEXT($P11-$O11,"+#,##0;-#,##0")&amp;" vs anual"))</f>
        <v/>
      </c>
    </row>
    <row r="12">
      <c r="A12" s="24">
        <f>IFERROR(INDEX(CAT_ACTIVIDADES!$D$4:$D$26,MATCH(5,CAT_ACTIVIDADES!$H$4:$H$26,0)),"")</f>
        <v/>
      </c>
      <c r="B12" s="24">
        <f>IF($A12="","",IFERROR(INDEX(CAT_ACTIVIDADES!$E$4:$E$26,MATCH($A12,CAT_ACTIVIDADES!$D$4:$D$26,0)),""))</f>
        <v/>
      </c>
      <c r="C12" s="33" t="n">
        <v>400</v>
      </c>
      <c r="D12" s="33" t="n">
        <v>400</v>
      </c>
      <c r="E12" s="33" t="n">
        <v>400</v>
      </c>
      <c r="F12" s="33" t="n">
        <v>400</v>
      </c>
      <c r="G12" s="33" t="n">
        <v>400</v>
      </c>
      <c r="H12" s="33" t="n">
        <v>400</v>
      </c>
      <c r="I12" s="33" t="n">
        <v>400</v>
      </c>
      <c r="J12" s="33" t="n">
        <v>400</v>
      </c>
      <c r="K12" s="33" t="n">
        <v>400</v>
      </c>
      <c r="L12" s="33" t="n">
        <v>400</v>
      </c>
      <c r="M12" s="33" t="n">
        <v>400</v>
      </c>
      <c r="N12" s="33" t="n">
        <v>400</v>
      </c>
      <c r="O12" s="33" t="n">
        <v>4800</v>
      </c>
      <c r="P12" s="32">
        <f>IF($A12="","",SUM($C12:$N12))</f>
        <v/>
      </c>
      <c r="Q12" s="24">
        <f>IF($A12="","",IF(ROUND($P12-$O12,2)=0,"cuadra","DESCUADRE: "&amp;TEXT($P12-$O12,"+#,##0;-#,##0")&amp;" vs anual"))</f>
        <v/>
      </c>
    </row>
    <row r="13">
      <c r="A13" s="24">
        <f>IFERROR(INDEX(CAT_ACTIVIDADES!$D$4:$D$26,MATCH(6,CAT_ACTIVIDADES!$H$4:$H$26,0)),"")</f>
        <v/>
      </c>
      <c r="B13" s="24">
        <f>IF($A13="","",IFERROR(INDEX(CAT_ACTIVIDADES!$E$4:$E$26,MATCH($A13,CAT_ACTIVIDADES!$D$4:$D$26,0)),""))</f>
        <v/>
      </c>
      <c r="C13" s="33" t="n">
        <v>400</v>
      </c>
      <c r="D13" s="33" t="n">
        <v>400</v>
      </c>
      <c r="E13" s="33" t="n">
        <v>400</v>
      </c>
      <c r="F13" s="33" t="n">
        <v>400</v>
      </c>
      <c r="G13" s="33" t="n">
        <v>400</v>
      </c>
      <c r="H13" s="33" t="n">
        <v>400</v>
      </c>
      <c r="I13" s="33" t="n">
        <v>400</v>
      </c>
      <c r="J13" s="33" t="n">
        <v>400</v>
      </c>
      <c r="K13" s="33" t="n">
        <v>400</v>
      </c>
      <c r="L13" s="33" t="n">
        <v>400</v>
      </c>
      <c r="M13" s="33" t="n">
        <v>400</v>
      </c>
      <c r="N13" s="33" t="n">
        <v>400</v>
      </c>
      <c r="O13" s="33" t="n">
        <v>4800</v>
      </c>
      <c r="P13" s="32">
        <f>IF($A13="","",SUM($C13:$N13))</f>
        <v/>
      </c>
      <c r="Q13" s="24">
        <f>IF($A13="","",IF(ROUND($P13-$O13,2)=0,"cuadra","DESCUADRE: "&amp;TEXT($P13-$O13,"+#,##0;-#,##0")&amp;" vs anual"))</f>
        <v/>
      </c>
    </row>
    <row r="14">
      <c r="A14" s="24">
        <f>IFERROR(INDEX(CAT_ACTIVIDADES!$D$4:$D$26,MATCH(7,CAT_ACTIVIDADES!$H$4:$H$26,0)),"")</f>
        <v/>
      </c>
      <c r="B14" s="24">
        <f>IF($A14="","",IFERROR(INDEX(CAT_ACTIVIDADES!$E$4:$E$26,MATCH($A14,CAT_ACTIVIDADES!$D$4:$D$26,0)),""))</f>
        <v/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2">
        <f>IF($A14="","",SUM($C14:$N14))</f>
        <v/>
      </c>
      <c r="Q14" s="24">
        <f>IF($A14="","",IF(ROUND($P14-$O14,2)=0,"cuadra","DESCUADRE: "&amp;TEXT($P14-$O14,"+#,##0;-#,##0")&amp;" vs anual"))</f>
        <v/>
      </c>
    </row>
    <row r="15">
      <c r="A15" s="24">
        <f>IFERROR(INDEX(CAT_ACTIVIDADES!$D$4:$D$26,MATCH(8,CAT_ACTIVIDADES!$H$4:$H$26,0)),"")</f>
        <v/>
      </c>
      <c r="B15" s="24">
        <f>IF($A15="","",IFERROR(INDEX(CAT_ACTIVIDADES!$E$4:$E$26,MATCH($A15,CAT_ACTIVIDADES!$D$4:$D$26,0)),""))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2">
        <f>IF($A15="","",SUM($C15:$N15))</f>
        <v/>
      </c>
      <c r="Q15" s="24">
        <f>IF($A15="","",IF(ROUND($P15-$O15,2)=0,"cuadra","DESCUADRE: "&amp;TEXT($P15-$O15,"+#,##0;-#,##0")&amp;" vs anual"))</f>
        <v/>
      </c>
    </row>
    <row r="16">
      <c r="A16" s="24">
        <f>IFERROR(INDEX(CAT_ACTIVIDADES!$D$4:$D$26,MATCH(9,CAT_ACTIVIDADES!$H$4:$H$26,0)),"")</f>
        <v/>
      </c>
      <c r="B16" s="24">
        <f>IF($A16="","",IFERROR(INDEX(CAT_ACTIVIDADES!$E$4:$E$26,MATCH($A16,CAT_ACTIVIDADES!$D$4:$D$26,0)),""))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2">
        <f>IF($A16="","",SUM($C16:$N16))</f>
        <v/>
      </c>
      <c r="Q16" s="24">
        <f>IF($A16="","",IF(ROUND($P16-$O16,2)=0,"cuadra","DESCUADRE: "&amp;TEXT($P16-$O16,"+#,##0;-#,##0")&amp;" vs anual"))</f>
        <v/>
      </c>
    </row>
    <row r="17">
      <c r="A17" s="24">
        <f>IFERROR(INDEX(CAT_ACTIVIDADES!$D$4:$D$26,MATCH(10,CAT_ACTIVIDADES!$H$4:$H$26,0)),"")</f>
        <v/>
      </c>
      <c r="B17" s="24">
        <f>IF($A17="","",IFERROR(INDEX(CAT_ACTIVIDADES!$E$4:$E$26,MATCH($A17,CAT_ACTIVIDADES!$D$4:$D$26,0)),""))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2">
        <f>IF($A17="","",SUM($C17:$N17))</f>
        <v/>
      </c>
      <c r="Q17" s="24">
        <f>IF($A17="","",IF(ROUND($P17-$O17,2)=0,"cuadra","DESCUADRE: "&amp;TEXT($P17-$O17,"+#,##0;-#,##0")&amp;" vs anual"))</f>
        <v/>
      </c>
    </row>
    <row r="18">
      <c r="A18" s="24">
        <f>IFERROR(INDEX(CAT_ACTIVIDADES!$D$4:$D$26,MATCH(11,CAT_ACTIVIDADES!$H$4:$H$26,0)),"")</f>
        <v/>
      </c>
      <c r="B18" s="24">
        <f>IF($A18="","",IFERROR(INDEX(CAT_ACTIVIDADES!$E$4:$E$26,MATCH($A18,CAT_ACTIVIDADES!$D$4:$D$26,0)),""))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2">
        <f>IF($A18="","",SUM($C18:$N18))</f>
        <v/>
      </c>
      <c r="Q18" s="24">
        <f>IF($A18="","",IF(ROUND($P18-$O18,2)=0,"cuadra","DESCUADRE: "&amp;TEXT($P18-$O18,"+#,##0;-#,##0")&amp;" vs anual"))</f>
        <v/>
      </c>
    </row>
    <row r="19">
      <c r="A19" s="24">
        <f>IFERROR(INDEX(CAT_ACTIVIDADES!$D$4:$D$26,MATCH(12,CAT_ACTIVIDADES!$H$4:$H$26,0)),"")</f>
        <v/>
      </c>
      <c r="B19" s="24">
        <f>IF($A19="","",IFERROR(INDEX(CAT_ACTIVIDADES!$E$4:$E$26,MATCH($A19,CAT_ACTIVIDADES!$D$4:$D$26,0)),""))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2">
        <f>IF($A19="","",SUM($C19:$N19))</f>
        <v/>
      </c>
      <c r="Q19" s="24">
        <f>IF($A19="","",IF(ROUND($P19-$O19,2)=0,"cuadra","DESCUADRE: "&amp;TEXT($P19-$O19,"+#,##0;-#,##0")&amp;" vs anual"))</f>
        <v/>
      </c>
    </row>
    <row r="20">
      <c r="A20" s="3" t="inlineStr">
        <is>
          <t>TOTAL</t>
        </is>
      </c>
      <c r="C20" s="32">
        <f>SUM(C8:C19)</f>
        <v/>
      </c>
      <c r="D20" s="32">
        <f>SUM(D8:D19)</f>
        <v/>
      </c>
      <c r="E20" s="32">
        <f>SUM(E8:E19)</f>
        <v/>
      </c>
      <c r="F20" s="32">
        <f>SUM(F8:F19)</f>
        <v/>
      </c>
      <c r="G20" s="32">
        <f>SUM(G8:G19)</f>
        <v/>
      </c>
      <c r="H20" s="32">
        <f>SUM(H8:H19)</f>
        <v/>
      </c>
      <c r="I20" s="32">
        <f>SUM(I8:I19)</f>
        <v/>
      </c>
      <c r="J20" s="32">
        <f>SUM(J8:J19)</f>
        <v/>
      </c>
      <c r="K20" s="32">
        <f>SUM(K8:K19)</f>
        <v/>
      </c>
      <c r="L20" s="32">
        <f>SUM(L8:L19)</f>
        <v/>
      </c>
      <c r="M20" s="32">
        <f>SUM(M8:M19)</f>
        <v/>
      </c>
      <c r="N20" s="32">
        <f>SUM(N8:N19)</f>
        <v/>
      </c>
      <c r="O20" s="32">
        <f>SUM(O8:O19)</f>
        <v/>
      </c>
      <c r="P20" s="32">
        <f>SUM(P8:P19)</f>
        <v/>
      </c>
    </row>
    <row r="21">
      <c r="A21" s="29">
        <f>"categorías activas en el catálogo: "&amp;MAX(CAT_ACTIVIDADES!$H$4:$H$26)&amp;" de 12 filas disponibles"&amp;IF(MAX(CAT_ACTIVIDADES!$H$4:$H$26)&gt;12," — ¡SE AGOTÓ LA HOLGURA! amplíe CAP_CAT_PPTO y regenere: el gasto de las categorías sin fila no entra en la comparación","")</f>
        <v/>
      </c>
    </row>
    <row r="22"/>
    <row r="23">
      <c r="A23" s="3" t="inlineStr">
        <is>
          <t>BLOQUE DE COMPARACIÓN — presupuesto vs real por categoría y mes</t>
        </is>
      </c>
    </row>
    <row r="24">
      <c r="A24" s="2" t="inlineStr">
        <is>
          <t>mes de corte del YTD:</t>
        </is>
      </c>
      <c r="B24" s="24">
        <f>IF(YEAR(TODAY())&gt;p_anio_presupuesto,12,IF(YEAR(TODAY())&lt;p_anio_presupuesto,0,MONTH(TODAY())))</f>
        <v/>
      </c>
    </row>
    <row r="25"/>
    <row r="26">
      <c r="A26" s="3" t="inlineStr">
        <is>
          <t>PRESUPUESTO (del bloque de entrada)</t>
        </is>
      </c>
    </row>
    <row r="27">
      <c r="A27" s="14" t="inlineStr">
        <is>
          <t>categoria</t>
        </is>
      </c>
      <c r="B27" s="14" t="inlineStr">
        <is>
          <t>clasificacion</t>
        </is>
      </c>
      <c r="C27" s="14" t="inlineStr">
        <is>
          <t>ene</t>
        </is>
      </c>
      <c r="D27" s="14" t="inlineStr">
        <is>
          <t>feb</t>
        </is>
      </c>
      <c r="E27" s="14" t="inlineStr">
        <is>
          <t>mar</t>
        </is>
      </c>
      <c r="F27" s="14" t="inlineStr">
        <is>
          <t>abr</t>
        </is>
      </c>
      <c r="G27" s="14" t="inlineStr">
        <is>
          <t>may</t>
        </is>
      </c>
      <c r="H27" s="14" t="inlineStr">
        <is>
          <t>jun</t>
        </is>
      </c>
      <c r="I27" s="14" t="inlineStr">
        <is>
          <t>jul</t>
        </is>
      </c>
      <c r="J27" s="14" t="inlineStr">
        <is>
          <t>ago</t>
        </is>
      </c>
      <c r="K27" s="14" t="inlineStr">
        <is>
          <t>sep</t>
        </is>
      </c>
      <c r="L27" s="14" t="inlineStr">
        <is>
          <t>oct</t>
        </is>
      </c>
      <c r="M27" s="14" t="inlineStr">
        <is>
          <t>nov</t>
        </is>
      </c>
      <c r="N27" s="14" t="inlineStr">
        <is>
          <t>dic</t>
        </is>
      </c>
      <c r="O27" s="14" t="inlineStr">
        <is>
          <t>YTD</t>
        </is>
      </c>
    </row>
    <row r="28">
      <c r="A28" s="24">
        <f>$A$8</f>
        <v/>
      </c>
      <c r="B28" s="24">
        <f>$B$8</f>
        <v/>
      </c>
      <c r="C28" s="32">
        <f>IF($A28="","",C8)</f>
        <v/>
      </c>
      <c r="D28" s="32">
        <f>IF($A28="","",D8)</f>
        <v/>
      </c>
      <c r="E28" s="32">
        <f>IF($A28="","",E8)</f>
        <v/>
      </c>
      <c r="F28" s="32">
        <f>IF($A28="","",F8)</f>
        <v/>
      </c>
      <c r="G28" s="32">
        <f>IF($A28="","",G8)</f>
        <v/>
      </c>
      <c r="H28" s="32">
        <f>IF($A28="","",H8)</f>
        <v/>
      </c>
      <c r="I28" s="32">
        <f>IF($A28="","",I8)</f>
        <v/>
      </c>
      <c r="J28" s="32">
        <f>IF($A28="","",J8)</f>
        <v/>
      </c>
      <c r="K28" s="32">
        <f>IF($A28="","",K8)</f>
        <v/>
      </c>
      <c r="L28" s="32">
        <f>IF($A28="","",L8)</f>
        <v/>
      </c>
      <c r="M28" s="32">
        <f>IF($A28="","",M8)</f>
        <v/>
      </c>
      <c r="N28" s="32">
        <f>IF($A28="","",N8)</f>
        <v/>
      </c>
      <c r="O28" s="32">
        <f>IF($A28="","",SUMPRODUCT(({1,2,3,4,5,6,7,8,9,10,11,12}&lt;=$B$24)*($C28:$N28)))</f>
        <v/>
      </c>
    </row>
    <row r="29">
      <c r="A29" s="24">
        <f>$A$9</f>
        <v/>
      </c>
      <c r="B29" s="24">
        <f>$B$9</f>
        <v/>
      </c>
      <c r="C29" s="32">
        <f>IF($A29="","",C9)</f>
        <v/>
      </c>
      <c r="D29" s="32">
        <f>IF($A29="","",D9)</f>
        <v/>
      </c>
      <c r="E29" s="32">
        <f>IF($A29="","",E9)</f>
        <v/>
      </c>
      <c r="F29" s="32">
        <f>IF($A29="","",F9)</f>
        <v/>
      </c>
      <c r="G29" s="32">
        <f>IF($A29="","",G9)</f>
        <v/>
      </c>
      <c r="H29" s="32">
        <f>IF($A29="","",H9)</f>
        <v/>
      </c>
      <c r="I29" s="32">
        <f>IF($A29="","",I9)</f>
        <v/>
      </c>
      <c r="J29" s="32">
        <f>IF($A29="","",J9)</f>
        <v/>
      </c>
      <c r="K29" s="32">
        <f>IF($A29="","",K9)</f>
        <v/>
      </c>
      <c r="L29" s="32">
        <f>IF($A29="","",L9)</f>
        <v/>
      </c>
      <c r="M29" s="32">
        <f>IF($A29="","",M9)</f>
        <v/>
      </c>
      <c r="N29" s="32">
        <f>IF($A29="","",N9)</f>
        <v/>
      </c>
      <c r="O29" s="32">
        <f>IF($A29="","",SUMPRODUCT(({1,2,3,4,5,6,7,8,9,10,11,12}&lt;=$B$24)*($C29:$N29)))</f>
        <v/>
      </c>
    </row>
    <row r="30">
      <c r="A30" s="24">
        <f>$A$10</f>
        <v/>
      </c>
      <c r="B30" s="24">
        <f>$B$10</f>
        <v/>
      </c>
      <c r="C30" s="32">
        <f>IF($A30="","",C10)</f>
        <v/>
      </c>
      <c r="D30" s="32">
        <f>IF($A30="","",D10)</f>
        <v/>
      </c>
      <c r="E30" s="32">
        <f>IF($A30="","",E10)</f>
        <v/>
      </c>
      <c r="F30" s="32">
        <f>IF($A30="","",F10)</f>
        <v/>
      </c>
      <c r="G30" s="32">
        <f>IF($A30="","",G10)</f>
        <v/>
      </c>
      <c r="H30" s="32">
        <f>IF($A30="","",H10)</f>
        <v/>
      </c>
      <c r="I30" s="32">
        <f>IF($A30="","",I10)</f>
        <v/>
      </c>
      <c r="J30" s="32">
        <f>IF($A30="","",J10)</f>
        <v/>
      </c>
      <c r="K30" s="32">
        <f>IF($A30="","",K10)</f>
        <v/>
      </c>
      <c r="L30" s="32">
        <f>IF($A30="","",L10)</f>
        <v/>
      </c>
      <c r="M30" s="32">
        <f>IF($A30="","",M10)</f>
        <v/>
      </c>
      <c r="N30" s="32">
        <f>IF($A30="","",N10)</f>
        <v/>
      </c>
      <c r="O30" s="32">
        <f>IF($A30="","",SUMPRODUCT(({1,2,3,4,5,6,7,8,9,10,11,12}&lt;=$B$24)*($C30:$N30)))</f>
        <v/>
      </c>
    </row>
    <row r="31">
      <c r="A31" s="24">
        <f>$A$11</f>
        <v/>
      </c>
      <c r="B31" s="24">
        <f>$B$11</f>
        <v/>
      </c>
      <c r="C31" s="32">
        <f>IF($A31="","",C11)</f>
        <v/>
      </c>
      <c r="D31" s="32">
        <f>IF($A31="","",D11)</f>
        <v/>
      </c>
      <c r="E31" s="32">
        <f>IF($A31="","",E11)</f>
        <v/>
      </c>
      <c r="F31" s="32">
        <f>IF($A31="","",F11)</f>
        <v/>
      </c>
      <c r="G31" s="32">
        <f>IF($A31="","",G11)</f>
        <v/>
      </c>
      <c r="H31" s="32">
        <f>IF($A31="","",H11)</f>
        <v/>
      </c>
      <c r="I31" s="32">
        <f>IF($A31="","",I11)</f>
        <v/>
      </c>
      <c r="J31" s="32">
        <f>IF($A31="","",J11)</f>
        <v/>
      </c>
      <c r="K31" s="32">
        <f>IF($A31="","",K11)</f>
        <v/>
      </c>
      <c r="L31" s="32">
        <f>IF($A31="","",L11)</f>
        <v/>
      </c>
      <c r="M31" s="32">
        <f>IF($A31="","",M11)</f>
        <v/>
      </c>
      <c r="N31" s="32">
        <f>IF($A31="","",N11)</f>
        <v/>
      </c>
      <c r="O31" s="32">
        <f>IF($A31="","",SUMPRODUCT(({1,2,3,4,5,6,7,8,9,10,11,12}&lt;=$B$24)*($C31:$N31)))</f>
        <v/>
      </c>
    </row>
    <row r="32">
      <c r="A32" s="24">
        <f>$A$12</f>
        <v/>
      </c>
      <c r="B32" s="24">
        <f>$B$12</f>
        <v/>
      </c>
      <c r="C32" s="32">
        <f>IF($A32="","",C12)</f>
        <v/>
      </c>
      <c r="D32" s="32">
        <f>IF($A32="","",D12)</f>
        <v/>
      </c>
      <c r="E32" s="32">
        <f>IF($A32="","",E12)</f>
        <v/>
      </c>
      <c r="F32" s="32">
        <f>IF($A32="","",F12)</f>
        <v/>
      </c>
      <c r="G32" s="32">
        <f>IF($A32="","",G12)</f>
        <v/>
      </c>
      <c r="H32" s="32">
        <f>IF($A32="","",H12)</f>
        <v/>
      </c>
      <c r="I32" s="32">
        <f>IF($A32="","",I12)</f>
        <v/>
      </c>
      <c r="J32" s="32">
        <f>IF($A32="","",J12)</f>
        <v/>
      </c>
      <c r="K32" s="32">
        <f>IF($A32="","",K12)</f>
        <v/>
      </c>
      <c r="L32" s="32">
        <f>IF($A32="","",L12)</f>
        <v/>
      </c>
      <c r="M32" s="32">
        <f>IF($A32="","",M12)</f>
        <v/>
      </c>
      <c r="N32" s="32">
        <f>IF($A32="","",N12)</f>
        <v/>
      </c>
      <c r="O32" s="32">
        <f>IF($A32="","",SUMPRODUCT(({1,2,3,4,5,6,7,8,9,10,11,12}&lt;=$B$24)*($C32:$N32)))</f>
        <v/>
      </c>
    </row>
    <row r="33">
      <c r="A33" s="24">
        <f>$A$13</f>
        <v/>
      </c>
      <c r="B33" s="24">
        <f>$B$13</f>
        <v/>
      </c>
      <c r="C33" s="32">
        <f>IF($A33="","",C13)</f>
        <v/>
      </c>
      <c r="D33" s="32">
        <f>IF($A33="","",D13)</f>
        <v/>
      </c>
      <c r="E33" s="32">
        <f>IF($A33="","",E13)</f>
        <v/>
      </c>
      <c r="F33" s="32">
        <f>IF($A33="","",F13)</f>
        <v/>
      </c>
      <c r="G33" s="32">
        <f>IF($A33="","",G13)</f>
        <v/>
      </c>
      <c r="H33" s="32">
        <f>IF($A33="","",H13)</f>
        <v/>
      </c>
      <c r="I33" s="32">
        <f>IF($A33="","",I13)</f>
        <v/>
      </c>
      <c r="J33" s="32">
        <f>IF($A33="","",J13)</f>
        <v/>
      </c>
      <c r="K33" s="32">
        <f>IF($A33="","",K13)</f>
        <v/>
      </c>
      <c r="L33" s="32">
        <f>IF($A33="","",L13)</f>
        <v/>
      </c>
      <c r="M33" s="32">
        <f>IF($A33="","",M13)</f>
        <v/>
      </c>
      <c r="N33" s="32">
        <f>IF($A33="","",N13)</f>
        <v/>
      </c>
      <c r="O33" s="32">
        <f>IF($A33="","",SUMPRODUCT(({1,2,3,4,5,6,7,8,9,10,11,12}&lt;=$B$24)*($C33:$N33)))</f>
        <v/>
      </c>
    </row>
    <row r="34">
      <c r="A34" s="24">
        <f>$A$14</f>
        <v/>
      </c>
      <c r="B34" s="24">
        <f>$B$14</f>
        <v/>
      </c>
      <c r="C34" s="32">
        <f>IF($A34="","",C14)</f>
        <v/>
      </c>
      <c r="D34" s="32">
        <f>IF($A34="","",D14)</f>
        <v/>
      </c>
      <c r="E34" s="32">
        <f>IF($A34="","",E14)</f>
        <v/>
      </c>
      <c r="F34" s="32">
        <f>IF($A34="","",F14)</f>
        <v/>
      </c>
      <c r="G34" s="32">
        <f>IF($A34="","",G14)</f>
        <v/>
      </c>
      <c r="H34" s="32">
        <f>IF($A34="","",H14)</f>
        <v/>
      </c>
      <c r="I34" s="32">
        <f>IF($A34="","",I14)</f>
        <v/>
      </c>
      <c r="J34" s="32">
        <f>IF($A34="","",J14)</f>
        <v/>
      </c>
      <c r="K34" s="32">
        <f>IF($A34="","",K14)</f>
        <v/>
      </c>
      <c r="L34" s="32">
        <f>IF($A34="","",L14)</f>
        <v/>
      </c>
      <c r="M34" s="32">
        <f>IF($A34="","",M14)</f>
        <v/>
      </c>
      <c r="N34" s="32">
        <f>IF($A34="","",N14)</f>
        <v/>
      </c>
      <c r="O34" s="32">
        <f>IF($A34="","",SUMPRODUCT(({1,2,3,4,5,6,7,8,9,10,11,12}&lt;=$B$24)*($C34:$N34)))</f>
        <v/>
      </c>
    </row>
    <row r="35">
      <c r="A35" s="24">
        <f>$A$15</f>
        <v/>
      </c>
      <c r="B35" s="24">
        <f>$B$15</f>
        <v/>
      </c>
      <c r="C35" s="32">
        <f>IF($A35="","",C15)</f>
        <v/>
      </c>
      <c r="D35" s="32">
        <f>IF($A35="","",D15)</f>
        <v/>
      </c>
      <c r="E35" s="32">
        <f>IF($A35="","",E15)</f>
        <v/>
      </c>
      <c r="F35" s="32">
        <f>IF($A35="","",F15)</f>
        <v/>
      </c>
      <c r="G35" s="32">
        <f>IF($A35="","",G15)</f>
        <v/>
      </c>
      <c r="H35" s="32">
        <f>IF($A35="","",H15)</f>
        <v/>
      </c>
      <c r="I35" s="32">
        <f>IF($A35="","",I15)</f>
        <v/>
      </c>
      <c r="J35" s="32">
        <f>IF($A35="","",J15)</f>
        <v/>
      </c>
      <c r="K35" s="32">
        <f>IF($A35="","",K15)</f>
        <v/>
      </c>
      <c r="L35" s="32">
        <f>IF($A35="","",L15)</f>
        <v/>
      </c>
      <c r="M35" s="32">
        <f>IF($A35="","",M15)</f>
        <v/>
      </c>
      <c r="N35" s="32">
        <f>IF($A35="","",N15)</f>
        <v/>
      </c>
      <c r="O35" s="32">
        <f>IF($A35="","",SUMPRODUCT(({1,2,3,4,5,6,7,8,9,10,11,12}&lt;=$B$24)*($C35:$N35)))</f>
        <v/>
      </c>
    </row>
    <row r="36">
      <c r="A36" s="24">
        <f>$A$16</f>
        <v/>
      </c>
      <c r="B36" s="24">
        <f>$B$16</f>
        <v/>
      </c>
      <c r="C36" s="32">
        <f>IF($A36="","",C16)</f>
        <v/>
      </c>
      <c r="D36" s="32">
        <f>IF($A36="","",D16)</f>
        <v/>
      </c>
      <c r="E36" s="32">
        <f>IF($A36="","",E16)</f>
        <v/>
      </c>
      <c r="F36" s="32">
        <f>IF($A36="","",F16)</f>
        <v/>
      </c>
      <c r="G36" s="32">
        <f>IF($A36="","",G16)</f>
        <v/>
      </c>
      <c r="H36" s="32">
        <f>IF($A36="","",H16)</f>
        <v/>
      </c>
      <c r="I36" s="32">
        <f>IF($A36="","",I16)</f>
        <v/>
      </c>
      <c r="J36" s="32">
        <f>IF($A36="","",J16)</f>
        <v/>
      </c>
      <c r="K36" s="32">
        <f>IF($A36="","",K16)</f>
        <v/>
      </c>
      <c r="L36" s="32">
        <f>IF($A36="","",L16)</f>
        <v/>
      </c>
      <c r="M36" s="32">
        <f>IF($A36="","",M16)</f>
        <v/>
      </c>
      <c r="N36" s="32">
        <f>IF($A36="","",N16)</f>
        <v/>
      </c>
      <c r="O36" s="32">
        <f>IF($A36="","",SUMPRODUCT(({1,2,3,4,5,6,7,8,9,10,11,12}&lt;=$B$24)*($C36:$N36)))</f>
        <v/>
      </c>
    </row>
    <row r="37">
      <c r="A37" s="24">
        <f>$A$17</f>
        <v/>
      </c>
      <c r="B37" s="24">
        <f>$B$17</f>
        <v/>
      </c>
      <c r="C37" s="32">
        <f>IF($A37="","",C17)</f>
        <v/>
      </c>
      <c r="D37" s="32">
        <f>IF($A37="","",D17)</f>
        <v/>
      </c>
      <c r="E37" s="32">
        <f>IF($A37="","",E17)</f>
        <v/>
      </c>
      <c r="F37" s="32">
        <f>IF($A37="","",F17)</f>
        <v/>
      </c>
      <c r="G37" s="32">
        <f>IF($A37="","",G17)</f>
        <v/>
      </c>
      <c r="H37" s="32">
        <f>IF($A37="","",H17)</f>
        <v/>
      </c>
      <c r="I37" s="32">
        <f>IF($A37="","",I17)</f>
        <v/>
      </c>
      <c r="J37" s="32">
        <f>IF($A37="","",J17)</f>
        <v/>
      </c>
      <c r="K37" s="32">
        <f>IF($A37="","",K17)</f>
        <v/>
      </c>
      <c r="L37" s="32">
        <f>IF($A37="","",L17)</f>
        <v/>
      </c>
      <c r="M37" s="32">
        <f>IF($A37="","",M17)</f>
        <v/>
      </c>
      <c r="N37" s="32">
        <f>IF($A37="","",N17)</f>
        <v/>
      </c>
      <c r="O37" s="32">
        <f>IF($A37="","",SUMPRODUCT(({1,2,3,4,5,6,7,8,9,10,11,12}&lt;=$B$24)*($C37:$N37)))</f>
        <v/>
      </c>
    </row>
    <row r="38">
      <c r="A38" s="24">
        <f>$A$18</f>
        <v/>
      </c>
      <c r="B38" s="24">
        <f>$B$18</f>
        <v/>
      </c>
      <c r="C38" s="32">
        <f>IF($A38="","",C18)</f>
        <v/>
      </c>
      <c r="D38" s="32">
        <f>IF($A38="","",D18)</f>
        <v/>
      </c>
      <c r="E38" s="32">
        <f>IF($A38="","",E18)</f>
        <v/>
      </c>
      <c r="F38" s="32">
        <f>IF($A38="","",F18)</f>
        <v/>
      </c>
      <c r="G38" s="32">
        <f>IF($A38="","",G18)</f>
        <v/>
      </c>
      <c r="H38" s="32">
        <f>IF($A38="","",H18)</f>
        <v/>
      </c>
      <c r="I38" s="32">
        <f>IF($A38="","",I18)</f>
        <v/>
      </c>
      <c r="J38" s="32">
        <f>IF($A38="","",J18)</f>
        <v/>
      </c>
      <c r="K38" s="32">
        <f>IF($A38="","",K18)</f>
        <v/>
      </c>
      <c r="L38" s="32">
        <f>IF($A38="","",L18)</f>
        <v/>
      </c>
      <c r="M38" s="32">
        <f>IF($A38="","",M18)</f>
        <v/>
      </c>
      <c r="N38" s="32">
        <f>IF($A38="","",N18)</f>
        <v/>
      </c>
      <c r="O38" s="32">
        <f>IF($A38="","",SUMPRODUCT(({1,2,3,4,5,6,7,8,9,10,11,12}&lt;=$B$24)*($C38:$N38)))</f>
        <v/>
      </c>
    </row>
    <row r="39">
      <c r="A39" s="24">
        <f>$A$19</f>
        <v/>
      </c>
      <c r="B39" s="24">
        <f>$B$19</f>
        <v/>
      </c>
      <c r="C39" s="32">
        <f>IF($A39="","",C19)</f>
        <v/>
      </c>
      <c r="D39" s="32">
        <f>IF($A39="","",D19)</f>
        <v/>
      </c>
      <c r="E39" s="32">
        <f>IF($A39="","",E19)</f>
        <v/>
      </c>
      <c r="F39" s="32">
        <f>IF($A39="","",F19)</f>
        <v/>
      </c>
      <c r="G39" s="32">
        <f>IF($A39="","",G19)</f>
        <v/>
      </c>
      <c r="H39" s="32">
        <f>IF($A39="","",H19)</f>
        <v/>
      </c>
      <c r="I39" s="32">
        <f>IF($A39="","",I19)</f>
        <v/>
      </c>
      <c r="J39" s="32">
        <f>IF($A39="","",J19)</f>
        <v/>
      </c>
      <c r="K39" s="32">
        <f>IF($A39="","",K19)</f>
        <v/>
      </c>
      <c r="L39" s="32">
        <f>IF($A39="","",L19)</f>
        <v/>
      </c>
      <c r="M39" s="32">
        <f>IF($A39="","",M19)</f>
        <v/>
      </c>
      <c r="N39" s="32">
        <f>IF($A39="","",N19)</f>
        <v/>
      </c>
      <c r="O39" s="32">
        <f>IF($A39="","",SUMPRODUCT(({1,2,3,4,5,6,7,8,9,10,11,12}&lt;=$B$24)*($C39:$N39)))</f>
        <v/>
      </c>
    </row>
    <row r="40">
      <c r="A40" s="5" t="inlineStr">
        <is>
          <t>SIN CLASIFICAR</t>
        </is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32">
        <f>SUMPRODUCT(({1,2,3,4,5,6,7,8,9,10,11,12}&lt;=$B$24)*($C40:$N40))</f>
        <v/>
      </c>
    </row>
    <row r="41">
      <c r="A41" s="3" t="inlineStr">
        <is>
          <t>Subtotal FIJO</t>
        </is>
      </c>
      <c r="C41" s="32">
        <f>SUMIF($B28:$B39,"fijo",C28:C39)</f>
        <v/>
      </c>
      <c r="D41" s="32">
        <f>SUMIF($B28:$B39,"fijo",D28:D39)</f>
        <v/>
      </c>
      <c r="E41" s="32">
        <f>SUMIF($B28:$B39,"fijo",E28:E39)</f>
        <v/>
      </c>
      <c r="F41" s="32">
        <f>SUMIF($B28:$B39,"fijo",F28:F39)</f>
        <v/>
      </c>
      <c r="G41" s="32">
        <f>SUMIF($B28:$B39,"fijo",G28:G39)</f>
        <v/>
      </c>
      <c r="H41" s="32">
        <f>SUMIF($B28:$B39,"fijo",H28:H39)</f>
        <v/>
      </c>
      <c r="I41" s="32">
        <f>SUMIF($B28:$B39,"fijo",I28:I39)</f>
        <v/>
      </c>
      <c r="J41" s="32">
        <f>SUMIF($B28:$B39,"fijo",J28:J39)</f>
        <v/>
      </c>
      <c r="K41" s="32">
        <f>SUMIF($B28:$B39,"fijo",K28:K39)</f>
        <v/>
      </c>
      <c r="L41" s="32">
        <f>SUMIF($B28:$B39,"fijo",L28:L39)</f>
        <v/>
      </c>
      <c r="M41" s="32">
        <f>SUMIF($B28:$B39,"fijo",M28:M39)</f>
        <v/>
      </c>
      <c r="N41" s="32">
        <f>SUMIF($B28:$B39,"fijo",N28:N39)</f>
        <v/>
      </c>
      <c r="O41" s="32">
        <f>SUMPRODUCT(({1,2,3,4,5,6,7,8,9,10,11,12}&lt;=$B$24)*($C41:$N41))</f>
        <v/>
      </c>
    </row>
    <row r="42">
      <c r="A42" s="3" t="inlineStr">
        <is>
          <t>Subtotal VARIABLE</t>
        </is>
      </c>
      <c r="C42" s="32">
        <f>SUMIF($B28:$B39,"variable",C28:C39)</f>
        <v/>
      </c>
      <c r="D42" s="32">
        <f>SUMIF($B28:$B39,"variable",D28:D39)</f>
        <v/>
      </c>
      <c r="E42" s="32">
        <f>SUMIF($B28:$B39,"variable",E28:E39)</f>
        <v/>
      </c>
      <c r="F42" s="32">
        <f>SUMIF($B28:$B39,"variable",F28:F39)</f>
        <v/>
      </c>
      <c r="G42" s="32">
        <f>SUMIF($B28:$B39,"variable",G28:G39)</f>
        <v/>
      </c>
      <c r="H42" s="32">
        <f>SUMIF($B28:$B39,"variable",H28:H39)</f>
        <v/>
      </c>
      <c r="I42" s="32">
        <f>SUMIF($B28:$B39,"variable",I28:I39)</f>
        <v/>
      </c>
      <c r="J42" s="32">
        <f>SUMIF($B28:$B39,"variable",J28:J39)</f>
        <v/>
      </c>
      <c r="K42" s="32">
        <f>SUMIF($B28:$B39,"variable",K28:K39)</f>
        <v/>
      </c>
      <c r="L42" s="32">
        <f>SUMIF($B28:$B39,"variable",L28:L39)</f>
        <v/>
      </c>
      <c r="M42" s="32">
        <f>SUMIF($B28:$B39,"variable",M28:M39)</f>
        <v/>
      </c>
      <c r="N42" s="32">
        <f>SUMIF($B28:$B39,"variable",N28:N39)</f>
        <v/>
      </c>
      <c r="O42" s="32">
        <f>SUMPRODUCT(({1,2,3,4,5,6,7,8,9,10,11,12}&lt;=$B$24)*($C42:$N42))</f>
        <v/>
      </c>
    </row>
    <row r="43">
      <c r="A43" s="3" t="inlineStr">
        <is>
          <t>TOTAL GENERAL</t>
        </is>
      </c>
      <c r="C43" s="32">
        <f>SUM(C28:C39)+C40</f>
        <v/>
      </c>
      <c r="D43" s="32">
        <f>SUM(D28:D39)+D40</f>
        <v/>
      </c>
      <c r="E43" s="32">
        <f>SUM(E28:E39)+E40</f>
        <v/>
      </c>
      <c r="F43" s="32">
        <f>SUM(F28:F39)+F40</f>
        <v/>
      </c>
      <c r="G43" s="32">
        <f>SUM(G28:G39)+G40</f>
        <v/>
      </c>
      <c r="H43" s="32">
        <f>SUM(H28:H39)+H40</f>
        <v/>
      </c>
      <c r="I43" s="32">
        <f>SUM(I28:I39)+I40</f>
        <v/>
      </c>
      <c r="J43" s="32">
        <f>SUM(J28:J39)+J40</f>
        <v/>
      </c>
      <c r="K43" s="32">
        <f>SUM(K28:K39)+K40</f>
        <v/>
      </c>
      <c r="L43" s="32">
        <f>SUM(L28:L39)+L40</f>
        <v/>
      </c>
      <c r="M43" s="32">
        <f>SUM(M28:M39)+M40</f>
        <v/>
      </c>
      <c r="N43" s="32">
        <f>SUM(N28:N39)+N40</f>
        <v/>
      </c>
      <c r="O43" s="32">
        <f>SUMPRODUCT(({1,2,3,4,5,6,7,8,9,10,11,12}&lt;=$B$24)*($C43:$N43))</f>
        <v/>
      </c>
    </row>
    <row r="44"/>
    <row r="45">
      <c r="A45" s="3" t="inlineStr">
        <is>
          <t>REAL (gasto del mes; mismo campo y misma convención de mes que COSTOS)</t>
        </is>
      </c>
    </row>
    <row r="46">
      <c r="A46" s="14" t="inlineStr">
        <is>
          <t>categoria</t>
        </is>
      </c>
      <c r="B46" s="14" t="inlineStr">
        <is>
          <t>clasificacion</t>
        </is>
      </c>
      <c r="C46" s="14" t="inlineStr">
        <is>
          <t>ene</t>
        </is>
      </c>
      <c r="D46" s="14" t="inlineStr">
        <is>
          <t>feb</t>
        </is>
      </c>
      <c r="E46" s="14" t="inlineStr">
        <is>
          <t>mar</t>
        </is>
      </c>
      <c r="F46" s="14" t="inlineStr">
        <is>
          <t>abr</t>
        </is>
      </c>
      <c r="G46" s="14" t="inlineStr">
        <is>
          <t>may</t>
        </is>
      </c>
      <c r="H46" s="14" t="inlineStr">
        <is>
          <t>jun</t>
        </is>
      </c>
      <c r="I46" s="14" t="inlineStr">
        <is>
          <t>jul</t>
        </is>
      </c>
      <c r="J46" s="14" t="inlineStr">
        <is>
          <t>ago</t>
        </is>
      </c>
      <c r="K46" s="14" t="inlineStr">
        <is>
          <t>sep</t>
        </is>
      </c>
      <c r="L46" s="14" t="inlineStr">
        <is>
          <t>oct</t>
        </is>
      </c>
      <c r="M46" s="14" t="inlineStr">
        <is>
          <t>nov</t>
        </is>
      </c>
      <c r="N46" s="14" t="inlineStr">
        <is>
          <t>dic</t>
        </is>
      </c>
      <c r="O46" s="14" t="inlineStr">
        <is>
          <t>YTD</t>
        </is>
      </c>
    </row>
    <row r="47">
      <c r="A47" s="24">
        <f>$A$8</f>
        <v/>
      </c>
      <c r="B47" s="24">
        <f>$B$8</f>
        <v/>
      </c>
      <c r="C47" s="32">
        <f>IF($A47="","",SUMIFS('ORDENES'!$AN$4:$AN$1203,'ORDENES'!$P$4:$P$1203,p_anio_presupuesto,'ORDENES'!$Q$4:$Q$1203,1,'ORDENES'!$AO$4:$AO$1203,$A47))</f>
        <v/>
      </c>
      <c r="D47" s="32">
        <f>IF($A47="","",SUMIFS('ORDENES'!$AN$4:$AN$1203,'ORDENES'!$P$4:$P$1203,p_anio_presupuesto,'ORDENES'!$Q$4:$Q$1203,2,'ORDENES'!$AO$4:$AO$1203,$A47))</f>
        <v/>
      </c>
      <c r="E47" s="32">
        <f>IF($A47="","",SUMIFS('ORDENES'!$AN$4:$AN$1203,'ORDENES'!$P$4:$P$1203,p_anio_presupuesto,'ORDENES'!$Q$4:$Q$1203,3,'ORDENES'!$AO$4:$AO$1203,$A47))</f>
        <v/>
      </c>
      <c r="F47" s="32">
        <f>IF($A47="","",SUMIFS('ORDENES'!$AN$4:$AN$1203,'ORDENES'!$P$4:$P$1203,p_anio_presupuesto,'ORDENES'!$Q$4:$Q$1203,4,'ORDENES'!$AO$4:$AO$1203,$A47))</f>
        <v/>
      </c>
      <c r="G47" s="32">
        <f>IF($A47="","",SUMIFS('ORDENES'!$AN$4:$AN$1203,'ORDENES'!$P$4:$P$1203,p_anio_presupuesto,'ORDENES'!$Q$4:$Q$1203,5,'ORDENES'!$AO$4:$AO$1203,$A47))</f>
        <v/>
      </c>
      <c r="H47" s="32">
        <f>IF($A47="","",SUMIFS('ORDENES'!$AN$4:$AN$1203,'ORDENES'!$P$4:$P$1203,p_anio_presupuesto,'ORDENES'!$Q$4:$Q$1203,6,'ORDENES'!$AO$4:$AO$1203,$A47))</f>
        <v/>
      </c>
      <c r="I47" s="32">
        <f>IF($A47="","",SUMIFS('ORDENES'!$AN$4:$AN$1203,'ORDENES'!$P$4:$P$1203,p_anio_presupuesto,'ORDENES'!$Q$4:$Q$1203,7,'ORDENES'!$AO$4:$AO$1203,$A47))</f>
        <v/>
      </c>
      <c r="J47" s="32">
        <f>IF($A47="","",SUMIFS('ORDENES'!$AN$4:$AN$1203,'ORDENES'!$P$4:$P$1203,p_anio_presupuesto,'ORDENES'!$Q$4:$Q$1203,8,'ORDENES'!$AO$4:$AO$1203,$A47))</f>
        <v/>
      </c>
      <c r="K47" s="32">
        <f>IF($A47="","",SUMIFS('ORDENES'!$AN$4:$AN$1203,'ORDENES'!$P$4:$P$1203,p_anio_presupuesto,'ORDENES'!$Q$4:$Q$1203,9,'ORDENES'!$AO$4:$AO$1203,$A47))</f>
        <v/>
      </c>
      <c r="L47" s="32">
        <f>IF($A47="","",SUMIFS('ORDENES'!$AN$4:$AN$1203,'ORDENES'!$P$4:$P$1203,p_anio_presupuesto,'ORDENES'!$Q$4:$Q$1203,10,'ORDENES'!$AO$4:$AO$1203,$A47))</f>
        <v/>
      </c>
      <c r="M47" s="32">
        <f>IF($A47="","",SUMIFS('ORDENES'!$AN$4:$AN$1203,'ORDENES'!$P$4:$P$1203,p_anio_presupuesto,'ORDENES'!$Q$4:$Q$1203,11,'ORDENES'!$AO$4:$AO$1203,$A47))</f>
        <v/>
      </c>
      <c r="N47" s="32">
        <f>IF($A47="","",SUMIFS('ORDENES'!$AN$4:$AN$1203,'ORDENES'!$P$4:$P$1203,p_anio_presupuesto,'ORDENES'!$Q$4:$Q$1203,12,'ORDENES'!$AO$4:$AO$1203,$A47))</f>
        <v/>
      </c>
      <c r="O47" s="32">
        <f>IF($A47="","",SUMPRODUCT(({1,2,3,4,5,6,7,8,9,10,11,12}&lt;=$B$24)*($C47:$N47)))</f>
        <v/>
      </c>
    </row>
    <row r="48">
      <c r="A48" s="24">
        <f>$A$9</f>
        <v/>
      </c>
      <c r="B48" s="24">
        <f>$B$9</f>
        <v/>
      </c>
      <c r="C48" s="32">
        <f>IF($A48="","",SUMIFS('ORDENES'!$AN$4:$AN$1203,'ORDENES'!$P$4:$P$1203,p_anio_presupuesto,'ORDENES'!$Q$4:$Q$1203,1,'ORDENES'!$AO$4:$AO$1203,$A48))</f>
        <v/>
      </c>
      <c r="D48" s="32">
        <f>IF($A48="","",SUMIFS('ORDENES'!$AN$4:$AN$1203,'ORDENES'!$P$4:$P$1203,p_anio_presupuesto,'ORDENES'!$Q$4:$Q$1203,2,'ORDENES'!$AO$4:$AO$1203,$A48))</f>
        <v/>
      </c>
      <c r="E48" s="32">
        <f>IF($A48="","",SUMIFS('ORDENES'!$AN$4:$AN$1203,'ORDENES'!$P$4:$P$1203,p_anio_presupuesto,'ORDENES'!$Q$4:$Q$1203,3,'ORDENES'!$AO$4:$AO$1203,$A48))</f>
        <v/>
      </c>
      <c r="F48" s="32">
        <f>IF($A48="","",SUMIFS('ORDENES'!$AN$4:$AN$1203,'ORDENES'!$P$4:$P$1203,p_anio_presupuesto,'ORDENES'!$Q$4:$Q$1203,4,'ORDENES'!$AO$4:$AO$1203,$A48))</f>
        <v/>
      </c>
      <c r="G48" s="32">
        <f>IF($A48="","",SUMIFS('ORDENES'!$AN$4:$AN$1203,'ORDENES'!$P$4:$P$1203,p_anio_presupuesto,'ORDENES'!$Q$4:$Q$1203,5,'ORDENES'!$AO$4:$AO$1203,$A48))</f>
        <v/>
      </c>
      <c r="H48" s="32">
        <f>IF($A48="","",SUMIFS('ORDENES'!$AN$4:$AN$1203,'ORDENES'!$P$4:$P$1203,p_anio_presupuesto,'ORDENES'!$Q$4:$Q$1203,6,'ORDENES'!$AO$4:$AO$1203,$A48))</f>
        <v/>
      </c>
      <c r="I48" s="32">
        <f>IF($A48="","",SUMIFS('ORDENES'!$AN$4:$AN$1203,'ORDENES'!$P$4:$P$1203,p_anio_presupuesto,'ORDENES'!$Q$4:$Q$1203,7,'ORDENES'!$AO$4:$AO$1203,$A48))</f>
        <v/>
      </c>
      <c r="J48" s="32">
        <f>IF($A48="","",SUMIFS('ORDENES'!$AN$4:$AN$1203,'ORDENES'!$P$4:$P$1203,p_anio_presupuesto,'ORDENES'!$Q$4:$Q$1203,8,'ORDENES'!$AO$4:$AO$1203,$A48))</f>
        <v/>
      </c>
      <c r="K48" s="32">
        <f>IF($A48="","",SUMIFS('ORDENES'!$AN$4:$AN$1203,'ORDENES'!$P$4:$P$1203,p_anio_presupuesto,'ORDENES'!$Q$4:$Q$1203,9,'ORDENES'!$AO$4:$AO$1203,$A48))</f>
        <v/>
      </c>
      <c r="L48" s="32">
        <f>IF($A48="","",SUMIFS('ORDENES'!$AN$4:$AN$1203,'ORDENES'!$P$4:$P$1203,p_anio_presupuesto,'ORDENES'!$Q$4:$Q$1203,10,'ORDENES'!$AO$4:$AO$1203,$A48))</f>
        <v/>
      </c>
      <c r="M48" s="32">
        <f>IF($A48="","",SUMIFS('ORDENES'!$AN$4:$AN$1203,'ORDENES'!$P$4:$P$1203,p_anio_presupuesto,'ORDENES'!$Q$4:$Q$1203,11,'ORDENES'!$AO$4:$AO$1203,$A48))</f>
        <v/>
      </c>
      <c r="N48" s="32">
        <f>IF($A48="","",SUMIFS('ORDENES'!$AN$4:$AN$1203,'ORDENES'!$P$4:$P$1203,p_anio_presupuesto,'ORDENES'!$Q$4:$Q$1203,12,'ORDENES'!$AO$4:$AO$1203,$A48))</f>
        <v/>
      </c>
      <c r="O48" s="32">
        <f>IF($A48="","",SUMPRODUCT(({1,2,3,4,5,6,7,8,9,10,11,12}&lt;=$B$24)*($C48:$N48)))</f>
        <v/>
      </c>
    </row>
    <row r="49">
      <c r="A49" s="24">
        <f>$A$10</f>
        <v/>
      </c>
      <c r="B49" s="24">
        <f>$B$10</f>
        <v/>
      </c>
      <c r="C49" s="32">
        <f>IF($A49="","",SUMIFS('ORDENES'!$AN$4:$AN$1203,'ORDENES'!$P$4:$P$1203,p_anio_presupuesto,'ORDENES'!$Q$4:$Q$1203,1,'ORDENES'!$AO$4:$AO$1203,$A49))</f>
        <v/>
      </c>
      <c r="D49" s="32">
        <f>IF($A49="","",SUMIFS('ORDENES'!$AN$4:$AN$1203,'ORDENES'!$P$4:$P$1203,p_anio_presupuesto,'ORDENES'!$Q$4:$Q$1203,2,'ORDENES'!$AO$4:$AO$1203,$A49))</f>
        <v/>
      </c>
      <c r="E49" s="32">
        <f>IF($A49="","",SUMIFS('ORDENES'!$AN$4:$AN$1203,'ORDENES'!$P$4:$P$1203,p_anio_presupuesto,'ORDENES'!$Q$4:$Q$1203,3,'ORDENES'!$AO$4:$AO$1203,$A49))</f>
        <v/>
      </c>
      <c r="F49" s="32">
        <f>IF($A49="","",SUMIFS('ORDENES'!$AN$4:$AN$1203,'ORDENES'!$P$4:$P$1203,p_anio_presupuesto,'ORDENES'!$Q$4:$Q$1203,4,'ORDENES'!$AO$4:$AO$1203,$A49))</f>
        <v/>
      </c>
      <c r="G49" s="32">
        <f>IF($A49="","",SUMIFS('ORDENES'!$AN$4:$AN$1203,'ORDENES'!$P$4:$P$1203,p_anio_presupuesto,'ORDENES'!$Q$4:$Q$1203,5,'ORDENES'!$AO$4:$AO$1203,$A49))</f>
        <v/>
      </c>
      <c r="H49" s="32">
        <f>IF($A49="","",SUMIFS('ORDENES'!$AN$4:$AN$1203,'ORDENES'!$P$4:$P$1203,p_anio_presupuesto,'ORDENES'!$Q$4:$Q$1203,6,'ORDENES'!$AO$4:$AO$1203,$A49))</f>
        <v/>
      </c>
      <c r="I49" s="32">
        <f>IF($A49="","",SUMIFS('ORDENES'!$AN$4:$AN$1203,'ORDENES'!$P$4:$P$1203,p_anio_presupuesto,'ORDENES'!$Q$4:$Q$1203,7,'ORDENES'!$AO$4:$AO$1203,$A49))</f>
        <v/>
      </c>
      <c r="J49" s="32">
        <f>IF($A49="","",SUMIFS('ORDENES'!$AN$4:$AN$1203,'ORDENES'!$P$4:$P$1203,p_anio_presupuesto,'ORDENES'!$Q$4:$Q$1203,8,'ORDENES'!$AO$4:$AO$1203,$A49))</f>
        <v/>
      </c>
      <c r="K49" s="32">
        <f>IF($A49="","",SUMIFS('ORDENES'!$AN$4:$AN$1203,'ORDENES'!$P$4:$P$1203,p_anio_presupuesto,'ORDENES'!$Q$4:$Q$1203,9,'ORDENES'!$AO$4:$AO$1203,$A49))</f>
        <v/>
      </c>
      <c r="L49" s="32">
        <f>IF($A49="","",SUMIFS('ORDENES'!$AN$4:$AN$1203,'ORDENES'!$P$4:$P$1203,p_anio_presupuesto,'ORDENES'!$Q$4:$Q$1203,10,'ORDENES'!$AO$4:$AO$1203,$A49))</f>
        <v/>
      </c>
      <c r="M49" s="32">
        <f>IF($A49="","",SUMIFS('ORDENES'!$AN$4:$AN$1203,'ORDENES'!$P$4:$P$1203,p_anio_presupuesto,'ORDENES'!$Q$4:$Q$1203,11,'ORDENES'!$AO$4:$AO$1203,$A49))</f>
        <v/>
      </c>
      <c r="N49" s="32">
        <f>IF($A49="","",SUMIFS('ORDENES'!$AN$4:$AN$1203,'ORDENES'!$P$4:$P$1203,p_anio_presupuesto,'ORDENES'!$Q$4:$Q$1203,12,'ORDENES'!$AO$4:$AO$1203,$A49))</f>
        <v/>
      </c>
      <c r="O49" s="32">
        <f>IF($A49="","",SUMPRODUCT(({1,2,3,4,5,6,7,8,9,10,11,12}&lt;=$B$24)*($C49:$N49)))</f>
        <v/>
      </c>
    </row>
    <row r="50">
      <c r="A50" s="24">
        <f>$A$11</f>
        <v/>
      </c>
      <c r="B50" s="24">
        <f>$B$11</f>
        <v/>
      </c>
      <c r="C50" s="32">
        <f>IF($A50="","",SUMIFS('ORDENES'!$AN$4:$AN$1203,'ORDENES'!$P$4:$P$1203,p_anio_presupuesto,'ORDENES'!$Q$4:$Q$1203,1,'ORDENES'!$AO$4:$AO$1203,$A50))</f>
        <v/>
      </c>
      <c r="D50" s="32">
        <f>IF($A50="","",SUMIFS('ORDENES'!$AN$4:$AN$1203,'ORDENES'!$P$4:$P$1203,p_anio_presupuesto,'ORDENES'!$Q$4:$Q$1203,2,'ORDENES'!$AO$4:$AO$1203,$A50))</f>
        <v/>
      </c>
      <c r="E50" s="32">
        <f>IF($A50="","",SUMIFS('ORDENES'!$AN$4:$AN$1203,'ORDENES'!$P$4:$P$1203,p_anio_presupuesto,'ORDENES'!$Q$4:$Q$1203,3,'ORDENES'!$AO$4:$AO$1203,$A50))</f>
        <v/>
      </c>
      <c r="F50" s="32">
        <f>IF($A50="","",SUMIFS('ORDENES'!$AN$4:$AN$1203,'ORDENES'!$P$4:$P$1203,p_anio_presupuesto,'ORDENES'!$Q$4:$Q$1203,4,'ORDENES'!$AO$4:$AO$1203,$A50))</f>
        <v/>
      </c>
      <c r="G50" s="32">
        <f>IF($A50="","",SUMIFS('ORDENES'!$AN$4:$AN$1203,'ORDENES'!$P$4:$P$1203,p_anio_presupuesto,'ORDENES'!$Q$4:$Q$1203,5,'ORDENES'!$AO$4:$AO$1203,$A50))</f>
        <v/>
      </c>
      <c r="H50" s="32">
        <f>IF($A50="","",SUMIFS('ORDENES'!$AN$4:$AN$1203,'ORDENES'!$P$4:$P$1203,p_anio_presupuesto,'ORDENES'!$Q$4:$Q$1203,6,'ORDENES'!$AO$4:$AO$1203,$A50))</f>
        <v/>
      </c>
      <c r="I50" s="32">
        <f>IF($A50="","",SUMIFS('ORDENES'!$AN$4:$AN$1203,'ORDENES'!$P$4:$P$1203,p_anio_presupuesto,'ORDENES'!$Q$4:$Q$1203,7,'ORDENES'!$AO$4:$AO$1203,$A50))</f>
        <v/>
      </c>
      <c r="J50" s="32">
        <f>IF($A50="","",SUMIFS('ORDENES'!$AN$4:$AN$1203,'ORDENES'!$P$4:$P$1203,p_anio_presupuesto,'ORDENES'!$Q$4:$Q$1203,8,'ORDENES'!$AO$4:$AO$1203,$A50))</f>
        <v/>
      </c>
      <c r="K50" s="32">
        <f>IF($A50="","",SUMIFS('ORDENES'!$AN$4:$AN$1203,'ORDENES'!$P$4:$P$1203,p_anio_presupuesto,'ORDENES'!$Q$4:$Q$1203,9,'ORDENES'!$AO$4:$AO$1203,$A50))</f>
        <v/>
      </c>
      <c r="L50" s="32">
        <f>IF($A50="","",SUMIFS('ORDENES'!$AN$4:$AN$1203,'ORDENES'!$P$4:$P$1203,p_anio_presupuesto,'ORDENES'!$Q$4:$Q$1203,10,'ORDENES'!$AO$4:$AO$1203,$A50))</f>
        <v/>
      </c>
      <c r="M50" s="32">
        <f>IF($A50="","",SUMIFS('ORDENES'!$AN$4:$AN$1203,'ORDENES'!$P$4:$P$1203,p_anio_presupuesto,'ORDENES'!$Q$4:$Q$1203,11,'ORDENES'!$AO$4:$AO$1203,$A50))</f>
        <v/>
      </c>
      <c r="N50" s="32">
        <f>IF($A50="","",SUMIFS('ORDENES'!$AN$4:$AN$1203,'ORDENES'!$P$4:$P$1203,p_anio_presupuesto,'ORDENES'!$Q$4:$Q$1203,12,'ORDENES'!$AO$4:$AO$1203,$A50))</f>
        <v/>
      </c>
      <c r="O50" s="32">
        <f>IF($A50="","",SUMPRODUCT(({1,2,3,4,5,6,7,8,9,10,11,12}&lt;=$B$24)*($C50:$N50)))</f>
        <v/>
      </c>
    </row>
    <row r="51">
      <c r="A51" s="24">
        <f>$A$12</f>
        <v/>
      </c>
      <c r="B51" s="24">
        <f>$B$12</f>
        <v/>
      </c>
      <c r="C51" s="32">
        <f>IF($A51="","",SUMIFS('ORDENES'!$AN$4:$AN$1203,'ORDENES'!$P$4:$P$1203,p_anio_presupuesto,'ORDENES'!$Q$4:$Q$1203,1,'ORDENES'!$AO$4:$AO$1203,$A51))</f>
        <v/>
      </c>
      <c r="D51" s="32">
        <f>IF($A51="","",SUMIFS('ORDENES'!$AN$4:$AN$1203,'ORDENES'!$P$4:$P$1203,p_anio_presupuesto,'ORDENES'!$Q$4:$Q$1203,2,'ORDENES'!$AO$4:$AO$1203,$A51))</f>
        <v/>
      </c>
      <c r="E51" s="32">
        <f>IF($A51="","",SUMIFS('ORDENES'!$AN$4:$AN$1203,'ORDENES'!$P$4:$P$1203,p_anio_presupuesto,'ORDENES'!$Q$4:$Q$1203,3,'ORDENES'!$AO$4:$AO$1203,$A51))</f>
        <v/>
      </c>
      <c r="F51" s="32">
        <f>IF($A51="","",SUMIFS('ORDENES'!$AN$4:$AN$1203,'ORDENES'!$P$4:$P$1203,p_anio_presupuesto,'ORDENES'!$Q$4:$Q$1203,4,'ORDENES'!$AO$4:$AO$1203,$A51))</f>
        <v/>
      </c>
      <c r="G51" s="32">
        <f>IF($A51="","",SUMIFS('ORDENES'!$AN$4:$AN$1203,'ORDENES'!$P$4:$P$1203,p_anio_presupuesto,'ORDENES'!$Q$4:$Q$1203,5,'ORDENES'!$AO$4:$AO$1203,$A51))</f>
        <v/>
      </c>
      <c r="H51" s="32">
        <f>IF($A51="","",SUMIFS('ORDENES'!$AN$4:$AN$1203,'ORDENES'!$P$4:$P$1203,p_anio_presupuesto,'ORDENES'!$Q$4:$Q$1203,6,'ORDENES'!$AO$4:$AO$1203,$A51))</f>
        <v/>
      </c>
      <c r="I51" s="32">
        <f>IF($A51="","",SUMIFS('ORDENES'!$AN$4:$AN$1203,'ORDENES'!$P$4:$P$1203,p_anio_presupuesto,'ORDENES'!$Q$4:$Q$1203,7,'ORDENES'!$AO$4:$AO$1203,$A51))</f>
        <v/>
      </c>
      <c r="J51" s="32">
        <f>IF($A51="","",SUMIFS('ORDENES'!$AN$4:$AN$1203,'ORDENES'!$P$4:$P$1203,p_anio_presupuesto,'ORDENES'!$Q$4:$Q$1203,8,'ORDENES'!$AO$4:$AO$1203,$A51))</f>
        <v/>
      </c>
      <c r="K51" s="32">
        <f>IF($A51="","",SUMIFS('ORDENES'!$AN$4:$AN$1203,'ORDENES'!$P$4:$P$1203,p_anio_presupuesto,'ORDENES'!$Q$4:$Q$1203,9,'ORDENES'!$AO$4:$AO$1203,$A51))</f>
        <v/>
      </c>
      <c r="L51" s="32">
        <f>IF($A51="","",SUMIFS('ORDENES'!$AN$4:$AN$1203,'ORDENES'!$P$4:$P$1203,p_anio_presupuesto,'ORDENES'!$Q$4:$Q$1203,10,'ORDENES'!$AO$4:$AO$1203,$A51))</f>
        <v/>
      </c>
      <c r="M51" s="32">
        <f>IF($A51="","",SUMIFS('ORDENES'!$AN$4:$AN$1203,'ORDENES'!$P$4:$P$1203,p_anio_presupuesto,'ORDENES'!$Q$4:$Q$1203,11,'ORDENES'!$AO$4:$AO$1203,$A51))</f>
        <v/>
      </c>
      <c r="N51" s="32">
        <f>IF($A51="","",SUMIFS('ORDENES'!$AN$4:$AN$1203,'ORDENES'!$P$4:$P$1203,p_anio_presupuesto,'ORDENES'!$Q$4:$Q$1203,12,'ORDENES'!$AO$4:$AO$1203,$A51))</f>
        <v/>
      </c>
      <c r="O51" s="32">
        <f>IF($A51="","",SUMPRODUCT(({1,2,3,4,5,6,7,8,9,10,11,12}&lt;=$B$24)*($C51:$N51)))</f>
        <v/>
      </c>
    </row>
    <row r="52">
      <c r="A52" s="24">
        <f>$A$13</f>
        <v/>
      </c>
      <c r="B52" s="24">
        <f>$B$13</f>
        <v/>
      </c>
      <c r="C52" s="32">
        <f>IF($A52="","",SUMIFS('ORDENES'!$AN$4:$AN$1203,'ORDENES'!$P$4:$P$1203,p_anio_presupuesto,'ORDENES'!$Q$4:$Q$1203,1,'ORDENES'!$AO$4:$AO$1203,$A52))</f>
        <v/>
      </c>
      <c r="D52" s="32">
        <f>IF($A52="","",SUMIFS('ORDENES'!$AN$4:$AN$1203,'ORDENES'!$P$4:$P$1203,p_anio_presupuesto,'ORDENES'!$Q$4:$Q$1203,2,'ORDENES'!$AO$4:$AO$1203,$A52))</f>
        <v/>
      </c>
      <c r="E52" s="32">
        <f>IF($A52="","",SUMIFS('ORDENES'!$AN$4:$AN$1203,'ORDENES'!$P$4:$P$1203,p_anio_presupuesto,'ORDENES'!$Q$4:$Q$1203,3,'ORDENES'!$AO$4:$AO$1203,$A52))</f>
        <v/>
      </c>
      <c r="F52" s="32">
        <f>IF($A52="","",SUMIFS('ORDENES'!$AN$4:$AN$1203,'ORDENES'!$P$4:$P$1203,p_anio_presupuesto,'ORDENES'!$Q$4:$Q$1203,4,'ORDENES'!$AO$4:$AO$1203,$A52))</f>
        <v/>
      </c>
      <c r="G52" s="32">
        <f>IF($A52="","",SUMIFS('ORDENES'!$AN$4:$AN$1203,'ORDENES'!$P$4:$P$1203,p_anio_presupuesto,'ORDENES'!$Q$4:$Q$1203,5,'ORDENES'!$AO$4:$AO$1203,$A52))</f>
        <v/>
      </c>
      <c r="H52" s="32">
        <f>IF($A52="","",SUMIFS('ORDENES'!$AN$4:$AN$1203,'ORDENES'!$P$4:$P$1203,p_anio_presupuesto,'ORDENES'!$Q$4:$Q$1203,6,'ORDENES'!$AO$4:$AO$1203,$A52))</f>
        <v/>
      </c>
      <c r="I52" s="32">
        <f>IF($A52="","",SUMIFS('ORDENES'!$AN$4:$AN$1203,'ORDENES'!$P$4:$P$1203,p_anio_presupuesto,'ORDENES'!$Q$4:$Q$1203,7,'ORDENES'!$AO$4:$AO$1203,$A52))</f>
        <v/>
      </c>
      <c r="J52" s="32">
        <f>IF($A52="","",SUMIFS('ORDENES'!$AN$4:$AN$1203,'ORDENES'!$P$4:$P$1203,p_anio_presupuesto,'ORDENES'!$Q$4:$Q$1203,8,'ORDENES'!$AO$4:$AO$1203,$A52))</f>
        <v/>
      </c>
      <c r="K52" s="32">
        <f>IF($A52="","",SUMIFS('ORDENES'!$AN$4:$AN$1203,'ORDENES'!$P$4:$P$1203,p_anio_presupuesto,'ORDENES'!$Q$4:$Q$1203,9,'ORDENES'!$AO$4:$AO$1203,$A52))</f>
        <v/>
      </c>
      <c r="L52" s="32">
        <f>IF($A52="","",SUMIFS('ORDENES'!$AN$4:$AN$1203,'ORDENES'!$P$4:$P$1203,p_anio_presupuesto,'ORDENES'!$Q$4:$Q$1203,10,'ORDENES'!$AO$4:$AO$1203,$A52))</f>
        <v/>
      </c>
      <c r="M52" s="32">
        <f>IF($A52="","",SUMIFS('ORDENES'!$AN$4:$AN$1203,'ORDENES'!$P$4:$P$1203,p_anio_presupuesto,'ORDENES'!$Q$4:$Q$1203,11,'ORDENES'!$AO$4:$AO$1203,$A52))</f>
        <v/>
      </c>
      <c r="N52" s="32">
        <f>IF($A52="","",SUMIFS('ORDENES'!$AN$4:$AN$1203,'ORDENES'!$P$4:$P$1203,p_anio_presupuesto,'ORDENES'!$Q$4:$Q$1203,12,'ORDENES'!$AO$4:$AO$1203,$A52))</f>
        <v/>
      </c>
      <c r="O52" s="32">
        <f>IF($A52="","",SUMPRODUCT(({1,2,3,4,5,6,7,8,9,10,11,12}&lt;=$B$24)*($C52:$N52)))</f>
        <v/>
      </c>
    </row>
    <row r="53">
      <c r="A53" s="24">
        <f>$A$14</f>
        <v/>
      </c>
      <c r="B53" s="24">
        <f>$B$14</f>
        <v/>
      </c>
      <c r="C53" s="32">
        <f>IF($A53="","",SUMIFS('ORDENES'!$AN$4:$AN$1203,'ORDENES'!$P$4:$P$1203,p_anio_presupuesto,'ORDENES'!$Q$4:$Q$1203,1,'ORDENES'!$AO$4:$AO$1203,$A53))</f>
        <v/>
      </c>
      <c r="D53" s="32">
        <f>IF($A53="","",SUMIFS('ORDENES'!$AN$4:$AN$1203,'ORDENES'!$P$4:$P$1203,p_anio_presupuesto,'ORDENES'!$Q$4:$Q$1203,2,'ORDENES'!$AO$4:$AO$1203,$A53))</f>
        <v/>
      </c>
      <c r="E53" s="32">
        <f>IF($A53="","",SUMIFS('ORDENES'!$AN$4:$AN$1203,'ORDENES'!$P$4:$P$1203,p_anio_presupuesto,'ORDENES'!$Q$4:$Q$1203,3,'ORDENES'!$AO$4:$AO$1203,$A53))</f>
        <v/>
      </c>
      <c r="F53" s="32">
        <f>IF($A53="","",SUMIFS('ORDENES'!$AN$4:$AN$1203,'ORDENES'!$P$4:$P$1203,p_anio_presupuesto,'ORDENES'!$Q$4:$Q$1203,4,'ORDENES'!$AO$4:$AO$1203,$A53))</f>
        <v/>
      </c>
      <c r="G53" s="32">
        <f>IF($A53="","",SUMIFS('ORDENES'!$AN$4:$AN$1203,'ORDENES'!$P$4:$P$1203,p_anio_presupuesto,'ORDENES'!$Q$4:$Q$1203,5,'ORDENES'!$AO$4:$AO$1203,$A53))</f>
        <v/>
      </c>
      <c r="H53" s="32">
        <f>IF($A53="","",SUMIFS('ORDENES'!$AN$4:$AN$1203,'ORDENES'!$P$4:$P$1203,p_anio_presupuesto,'ORDENES'!$Q$4:$Q$1203,6,'ORDENES'!$AO$4:$AO$1203,$A53))</f>
        <v/>
      </c>
      <c r="I53" s="32">
        <f>IF($A53="","",SUMIFS('ORDENES'!$AN$4:$AN$1203,'ORDENES'!$P$4:$P$1203,p_anio_presupuesto,'ORDENES'!$Q$4:$Q$1203,7,'ORDENES'!$AO$4:$AO$1203,$A53))</f>
        <v/>
      </c>
      <c r="J53" s="32">
        <f>IF($A53="","",SUMIFS('ORDENES'!$AN$4:$AN$1203,'ORDENES'!$P$4:$P$1203,p_anio_presupuesto,'ORDENES'!$Q$4:$Q$1203,8,'ORDENES'!$AO$4:$AO$1203,$A53))</f>
        <v/>
      </c>
      <c r="K53" s="32">
        <f>IF($A53="","",SUMIFS('ORDENES'!$AN$4:$AN$1203,'ORDENES'!$P$4:$P$1203,p_anio_presupuesto,'ORDENES'!$Q$4:$Q$1203,9,'ORDENES'!$AO$4:$AO$1203,$A53))</f>
        <v/>
      </c>
      <c r="L53" s="32">
        <f>IF($A53="","",SUMIFS('ORDENES'!$AN$4:$AN$1203,'ORDENES'!$P$4:$P$1203,p_anio_presupuesto,'ORDENES'!$Q$4:$Q$1203,10,'ORDENES'!$AO$4:$AO$1203,$A53))</f>
        <v/>
      </c>
      <c r="M53" s="32">
        <f>IF($A53="","",SUMIFS('ORDENES'!$AN$4:$AN$1203,'ORDENES'!$P$4:$P$1203,p_anio_presupuesto,'ORDENES'!$Q$4:$Q$1203,11,'ORDENES'!$AO$4:$AO$1203,$A53))</f>
        <v/>
      </c>
      <c r="N53" s="32">
        <f>IF($A53="","",SUMIFS('ORDENES'!$AN$4:$AN$1203,'ORDENES'!$P$4:$P$1203,p_anio_presupuesto,'ORDENES'!$Q$4:$Q$1203,12,'ORDENES'!$AO$4:$AO$1203,$A53))</f>
        <v/>
      </c>
      <c r="O53" s="32">
        <f>IF($A53="","",SUMPRODUCT(({1,2,3,4,5,6,7,8,9,10,11,12}&lt;=$B$24)*($C53:$N53)))</f>
        <v/>
      </c>
    </row>
    <row r="54">
      <c r="A54" s="24">
        <f>$A$15</f>
        <v/>
      </c>
      <c r="B54" s="24">
        <f>$B$15</f>
        <v/>
      </c>
      <c r="C54" s="32">
        <f>IF($A54="","",SUMIFS('ORDENES'!$AN$4:$AN$1203,'ORDENES'!$P$4:$P$1203,p_anio_presupuesto,'ORDENES'!$Q$4:$Q$1203,1,'ORDENES'!$AO$4:$AO$1203,$A54))</f>
        <v/>
      </c>
      <c r="D54" s="32">
        <f>IF($A54="","",SUMIFS('ORDENES'!$AN$4:$AN$1203,'ORDENES'!$P$4:$P$1203,p_anio_presupuesto,'ORDENES'!$Q$4:$Q$1203,2,'ORDENES'!$AO$4:$AO$1203,$A54))</f>
        <v/>
      </c>
      <c r="E54" s="32">
        <f>IF($A54="","",SUMIFS('ORDENES'!$AN$4:$AN$1203,'ORDENES'!$P$4:$P$1203,p_anio_presupuesto,'ORDENES'!$Q$4:$Q$1203,3,'ORDENES'!$AO$4:$AO$1203,$A54))</f>
        <v/>
      </c>
      <c r="F54" s="32">
        <f>IF($A54="","",SUMIFS('ORDENES'!$AN$4:$AN$1203,'ORDENES'!$P$4:$P$1203,p_anio_presupuesto,'ORDENES'!$Q$4:$Q$1203,4,'ORDENES'!$AO$4:$AO$1203,$A54))</f>
        <v/>
      </c>
      <c r="G54" s="32">
        <f>IF($A54="","",SUMIFS('ORDENES'!$AN$4:$AN$1203,'ORDENES'!$P$4:$P$1203,p_anio_presupuesto,'ORDENES'!$Q$4:$Q$1203,5,'ORDENES'!$AO$4:$AO$1203,$A54))</f>
        <v/>
      </c>
      <c r="H54" s="32">
        <f>IF($A54="","",SUMIFS('ORDENES'!$AN$4:$AN$1203,'ORDENES'!$P$4:$P$1203,p_anio_presupuesto,'ORDENES'!$Q$4:$Q$1203,6,'ORDENES'!$AO$4:$AO$1203,$A54))</f>
        <v/>
      </c>
      <c r="I54" s="32">
        <f>IF($A54="","",SUMIFS('ORDENES'!$AN$4:$AN$1203,'ORDENES'!$P$4:$P$1203,p_anio_presupuesto,'ORDENES'!$Q$4:$Q$1203,7,'ORDENES'!$AO$4:$AO$1203,$A54))</f>
        <v/>
      </c>
      <c r="J54" s="32">
        <f>IF($A54="","",SUMIFS('ORDENES'!$AN$4:$AN$1203,'ORDENES'!$P$4:$P$1203,p_anio_presupuesto,'ORDENES'!$Q$4:$Q$1203,8,'ORDENES'!$AO$4:$AO$1203,$A54))</f>
        <v/>
      </c>
      <c r="K54" s="32">
        <f>IF($A54="","",SUMIFS('ORDENES'!$AN$4:$AN$1203,'ORDENES'!$P$4:$P$1203,p_anio_presupuesto,'ORDENES'!$Q$4:$Q$1203,9,'ORDENES'!$AO$4:$AO$1203,$A54))</f>
        <v/>
      </c>
      <c r="L54" s="32">
        <f>IF($A54="","",SUMIFS('ORDENES'!$AN$4:$AN$1203,'ORDENES'!$P$4:$P$1203,p_anio_presupuesto,'ORDENES'!$Q$4:$Q$1203,10,'ORDENES'!$AO$4:$AO$1203,$A54))</f>
        <v/>
      </c>
      <c r="M54" s="32">
        <f>IF($A54="","",SUMIFS('ORDENES'!$AN$4:$AN$1203,'ORDENES'!$P$4:$P$1203,p_anio_presupuesto,'ORDENES'!$Q$4:$Q$1203,11,'ORDENES'!$AO$4:$AO$1203,$A54))</f>
        <v/>
      </c>
      <c r="N54" s="32">
        <f>IF($A54="","",SUMIFS('ORDENES'!$AN$4:$AN$1203,'ORDENES'!$P$4:$P$1203,p_anio_presupuesto,'ORDENES'!$Q$4:$Q$1203,12,'ORDENES'!$AO$4:$AO$1203,$A54))</f>
        <v/>
      </c>
      <c r="O54" s="32">
        <f>IF($A54="","",SUMPRODUCT(({1,2,3,4,5,6,7,8,9,10,11,12}&lt;=$B$24)*($C54:$N54)))</f>
        <v/>
      </c>
    </row>
    <row r="55">
      <c r="A55" s="24">
        <f>$A$16</f>
        <v/>
      </c>
      <c r="B55" s="24">
        <f>$B$16</f>
        <v/>
      </c>
      <c r="C55" s="32">
        <f>IF($A55="","",SUMIFS('ORDENES'!$AN$4:$AN$1203,'ORDENES'!$P$4:$P$1203,p_anio_presupuesto,'ORDENES'!$Q$4:$Q$1203,1,'ORDENES'!$AO$4:$AO$1203,$A55))</f>
        <v/>
      </c>
      <c r="D55" s="32">
        <f>IF($A55="","",SUMIFS('ORDENES'!$AN$4:$AN$1203,'ORDENES'!$P$4:$P$1203,p_anio_presupuesto,'ORDENES'!$Q$4:$Q$1203,2,'ORDENES'!$AO$4:$AO$1203,$A55))</f>
        <v/>
      </c>
      <c r="E55" s="32">
        <f>IF($A55="","",SUMIFS('ORDENES'!$AN$4:$AN$1203,'ORDENES'!$P$4:$P$1203,p_anio_presupuesto,'ORDENES'!$Q$4:$Q$1203,3,'ORDENES'!$AO$4:$AO$1203,$A55))</f>
        <v/>
      </c>
      <c r="F55" s="32">
        <f>IF($A55="","",SUMIFS('ORDENES'!$AN$4:$AN$1203,'ORDENES'!$P$4:$P$1203,p_anio_presupuesto,'ORDENES'!$Q$4:$Q$1203,4,'ORDENES'!$AO$4:$AO$1203,$A55))</f>
        <v/>
      </c>
      <c r="G55" s="32">
        <f>IF($A55="","",SUMIFS('ORDENES'!$AN$4:$AN$1203,'ORDENES'!$P$4:$P$1203,p_anio_presupuesto,'ORDENES'!$Q$4:$Q$1203,5,'ORDENES'!$AO$4:$AO$1203,$A55))</f>
        <v/>
      </c>
      <c r="H55" s="32">
        <f>IF($A55="","",SUMIFS('ORDENES'!$AN$4:$AN$1203,'ORDENES'!$P$4:$P$1203,p_anio_presupuesto,'ORDENES'!$Q$4:$Q$1203,6,'ORDENES'!$AO$4:$AO$1203,$A55))</f>
        <v/>
      </c>
      <c r="I55" s="32">
        <f>IF($A55="","",SUMIFS('ORDENES'!$AN$4:$AN$1203,'ORDENES'!$P$4:$P$1203,p_anio_presupuesto,'ORDENES'!$Q$4:$Q$1203,7,'ORDENES'!$AO$4:$AO$1203,$A55))</f>
        <v/>
      </c>
      <c r="J55" s="32">
        <f>IF($A55="","",SUMIFS('ORDENES'!$AN$4:$AN$1203,'ORDENES'!$P$4:$P$1203,p_anio_presupuesto,'ORDENES'!$Q$4:$Q$1203,8,'ORDENES'!$AO$4:$AO$1203,$A55))</f>
        <v/>
      </c>
      <c r="K55" s="32">
        <f>IF($A55="","",SUMIFS('ORDENES'!$AN$4:$AN$1203,'ORDENES'!$P$4:$P$1203,p_anio_presupuesto,'ORDENES'!$Q$4:$Q$1203,9,'ORDENES'!$AO$4:$AO$1203,$A55))</f>
        <v/>
      </c>
      <c r="L55" s="32">
        <f>IF($A55="","",SUMIFS('ORDENES'!$AN$4:$AN$1203,'ORDENES'!$P$4:$P$1203,p_anio_presupuesto,'ORDENES'!$Q$4:$Q$1203,10,'ORDENES'!$AO$4:$AO$1203,$A55))</f>
        <v/>
      </c>
      <c r="M55" s="32">
        <f>IF($A55="","",SUMIFS('ORDENES'!$AN$4:$AN$1203,'ORDENES'!$P$4:$P$1203,p_anio_presupuesto,'ORDENES'!$Q$4:$Q$1203,11,'ORDENES'!$AO$4:$AO$1203,$A55))</f>
        <v/>
      </c>
      <c r="N55" s="32">
        <f>IF($A55="","",SUMIFS('ORDENES'!$AN$4:$AN$1203,'ORDENES'!$P$4:$P$1203,p_anio_presupuesto,'ORDENES'!$Q$4:$Q$1203,12,'ORDENES'!$AO$4:$AO$1203,$A55))</f>
        <v/>
      </c>
      <c r="O55" s="32">
        <f>IF($A55="","",SUMPRODUCT(({1,2,3,4,5,6,7,8,9,10,11,12}&lt;=$B$24)*($C55:$N55)))</f>
        <v/>
      </c>
    </row>
    <row r="56">
      <c r="A56" s="24">
        <f>$A$17</f>
        <v/>
      </c>
      <c r="B56" s="24">
        <f>$B$17</f>
        <v/>
      </c>
      <c r="C56" s="32">
        <f>IF($A56="","",SUMIFS('ORDENES'!$AN$4:$AN$1203,'ORDENES'!$P$4:$P$1203,p_anio_presupuesto,'ORDENES'!$Q$4:$Q$1203,1,'ORDENES'!$AO$4:$AO$1203,$A56))</f>
        <v/>
      </c>
      <c r="D56" s="32">
        <f>IF($A56="","",SUMIFS('ORDENES'!$AN$4:$AN$1203,'ORDENES'!$P$4:$P$1203,p_anio_presupuesto,'ORDENES'!$Q$4:$Q$1203,2,'ORDENES'!$AO$4:$AO$1203,$A56))</f>
        <v/>
      </c>
      <c r="E56" s="32">
        <f>IF($A56="","",SUMIFS('ORDENES'!$AN$4:$AN$1203,'ORDENES'!$P$4:$P$1203,p_anio_presupuesto,'ORDENES'!$Q$4:$Q$1203,3,'ORDENES'!$AO$4:$AO$1203,$A56))</f>
        <v/>
      </c>
      <c r="F56" s="32">
        <f>IF($A56="","",SUMIFS('ORDENES'!$AN$4:$AN$1203,'ORDENES'!$P$4:$P$1203,p_anio_presupuesto,'ORDENES'!$Q$4:$Q$1203,4,'ORDENES'!$AO$4:$AO$1203,$A56))</f>
        <v/>
      </c>
      <c r="G56" s="32">
        <f>IF($A56="","",SUMIFS('ORDENES'!$AN$4:$AN$1203,'ORDENES'!$P$4:$P$1203,p_anio_presupuesto,'ORDENES'!$Q$4:$Q$1203,5,'ORDENES'!$AO$4:$AO$1203,$A56))</f>
        <v/>
      </c>
      <c r="H56" s="32">
        <f>IF($A56="","",SUMIFS('ORDENES'!$AN$4:$AN$1203,'ORDENES'!$P$4:$P$1203,p_anio_presupuesto,'ORDENES'!$Q$4:$Q$1203,6,'ORDENES'!$AO$4:$AO$1203,$A56))</f>
        <v/>
      </c>
      <c r="I56" s="32">
        <f>IF($A56="","",SUMIFS('ORDENES'!$AN$4:$AN$1203,'ORDENES'!$P$4:$P$1203,p_anio_presupuesto,'ORDENES'!$Q$4:$Q$1203,7,'ORDENES'!$AO$4:$AO$1203,$A56))</f>
        <v/>
      </c>
      <c r="J56" s="32">
        <f>IF($A56="","",SUMIFS('ORDENES'!$AN$4:$AN$1203,'ORDENES'!$P$4:$P$1203,p_anio_presupuesto,'ORDENES'!$Q$4:$Q$1203,8,'ORDENES'!$AO$4:$AO$1203,$A56))</f>
        <v/>
      </c>
      <c r="K56" s="32">
        <f>IF($A56="","",SUMIFS('ORDENES'!$AN$4:$AN$1203,'ORDENES'!$P$4:$P$1203,p_anio_presupuesto,'ORDENES'!$Q$4:$Q$1203,9,'ORDENES'!$AO$4:$AO$1203,$A56))</f>
        <v/>
      </c>
      <c r="L56" s="32">
        <f>IF($A56="","",SUMIFS('ORDENES'!$AN$4:$AN$1203,'ORDENES'!$P$4:$P$1203,p_anio_presupuesto,'ORDENES'!$Q$4:$Q$1203,10,'ORDENES'!$AO$4:$AO$1203,$A56))</f>
        <v/>
      </c>
      <c r="M56" s="32">
        <f>IF($A56="","",SUMIFS('ORDENES'!$AN$4:$AN$1203,'ORDENES'!$P$4:$P$1203,p_anio_presupuesto,'ORDENES'!$Q$4:$Q$1203,11,'ORDENES'!$AO$4:$AO$1203,$A56))</f>
        <v/>
      </c>
      <c r="N56" s="32">
        <f>IF($A56="","",SUMIFS('ORDENES'!$AN$4:$AN$1203,'ORDENES'!$P$4:$P$1203,p_anio_presupuesto,'ORDENES'!$Q$4:$Q$1203,12,'ORDENES'!$AO$4:$AO$1203,$A56))</f>
        <v/>
      </c>
      <c r="O56" s="32">
        <f>IF($A56="","",SUMPRODUCT(({1,2,3,4,5,6,7,8,9,10,11,12}&lt;=$B$24)*($C56:$N56)))</f>
        <v/>
      </c>
    </row>
    <row r="57">
      <c r="A57" s="24">
        <f>$A$18</f>
        <v/>
      </c>
      <c r="B57" s="24">
        <f>$B$18</f>
        <v/>
      </c>
      <c r="C57" s="32">
        <f>IF($A57="","",SUMIFS('ORDENES'!$AN$4:$AN$1203,'ORDENES'!$P$4:$P$1203,p_anio_presupuesto,'ORDENES'!$Q$4:$Q$1203,1,'ORDENES'!$AO$4:$AO$1203,$A57))</f>
        <v/>
      </c>
      <c r="D57" s="32">
        <f>IF($A57="","",SUMIFS('ORDENES'!$AN$4:$AN$1203,'ORDENES'!$P$4:$P$1203,p_anio_presupuesto,'ORDENES'!$Q$4:$Q$1203,2,'ORDENES'!$AO$4:$AO$1203,$A57))</f>
        <v/>
      </c>
      <c r="E57" s="32">
        <f>IF($A57="","",SUMIFS('ORDENES'!$AN$4:$AN$1203,'ORDENES'!$P$4:$P$1203,p_anio_presupuesto,'ORDENES'!$Q$4:$Q$1203,3,'ORDENES'!$AO$4:$AO$1203,$A57))</f>
        <v/>
      </c>
      <c r="F57" s="32">
        <f>IF($A57="","",SUMIFS('ORDENES'!$AN$4:$AN$1203,'ORDENES'!$P$4:$P$1203,p_anio_presupuesto,'ORDENES'!$Q$4:$Q$1203,4,'ORDENES'!$AO$4:$AO$1203,$A57))</f>
        <v/>
      </c>
      <c r="G57" s="32">
        <f>IF($A57="","",SUMIFS('ORDENES'!$AN$4:$AN$1203,'ORDENES'!$P$4:$P$1203,p_anio_presupuesto,'ORDENES'!$Q$4:$Q$1203,5,'ORDENES'!$AO$4:$AO$1203,$A57))</f>
        <v/>
      </c>
      <c r="H57" s="32">
        <f>IF($A57="","",SUMIFS('ORDENES'!$AN$4:$AN$1203,'ORDENES'!$P$4:$P$1203,p_anio_presupuesto,'ORDENES'!$Q$4:$Q$1203,6,'ORDENES'!$AO$4:$AO$1203,$A57))</f>
        <v/>
      </c>
      <c r="I57" s="32">
        <f>IF($A57="","",SUMIFS('ORDENES'!$AN$4:$AN$1203,'ORDENES'!$P$4:$P$1203,p_anio_presupuesto,'ORDENES'!$Q$4:$Q$1203,7,'ORDENES'!$AO$4:$AO$1203,$A57))</f>
        <v/>
      </c>
      <c r="J57" s="32">
        <f>IF($A57="","",SUMIFS('ORDENES'!$AN$4:$AN$1203,'ORDENES'!$P$4:$P$1203,p_anio_presupuesto,'ORDENES'!$Q$4:$Q$1203,8,'ORDENES'!$AO$4:$AO$1203,$A57))</f>
        <v/>
      </c>
      <c r="K57" s="32">
        <f>IF($A57="","",SUMIFS('ORDENES'!$AN$4:$AN$1203,'ORDENES'!$P$4:$P$1203,p_anio_presupuesto,'ORDENES'!$Q$4:$Q$1203,9,'ORDENES'!$AO$4:$AO$1203,$A57))</f>
        <v/>
      </c>
      <c r="L57" s="32">
        <f>IF($A57="","",SUMIFS('ORDENES'!$AN$4:$AN$1203,'ORDENES'!$P$4:$P$1203,p_anio_presupuesto,'ORDENES'!$Q$4:$Q$1203,10,'ORDENES'!$AO$4:$AO$1203,$A57))</f>
        <v/>
      </c>
      <c r="M57" s="32">
        <f>IF($A57="","",SUMIFS('ORDENES'!$AN$4:$AN$1203,'ORDENES'!$P$4:$P$1203,p_anio_presupuesto,'ORDENES'!$Q$4:$Q$1203,11,'ORDENES'!$AO$4:$AO$1203,$A57))</f>
        <v/>
      </c>
      <c r="N57" s="32">
        <f>IF($A57="","",SUMIFS('ORDENES'!$AN$4:$AN$1203,'ORDENES'!$P$4:$P$1203,p_anio_presupuesto,'ORDENES'!$Q$4:$Q$1203,12,'ORDENES'!$AO$4:$AO$1203,$A57))</f>
        <v/>
      </c>
      <c r="O57" s="32">
        <f>IF($A57="","",SUMPRODUCT(({1,2,3,4,5,6,7,8,9,10,11,12}&lt;=$B$24)*($C57:$N57)))</f>
        <v/>
      </c>
    </row>
    <row r="58">
      <c r="A58" s="24">
        <f>$A$19</f>
        <v/>
      </c>
      <c r="B58" s="24">
        <f>$B$19</f>
        <v/>
      </c>
      <c r="C58" s="32">
        <f>IF($A58="","",SUMIFS('ORDENES'!$AN$4:$AN$1203,'ORDENES'!$P$4:$P$1203,p_anio_presupuesto,'ORDENES'!$Q$4:$Q$1203,1,'ORDENES'!$AO$4:$AO$1203,$A58))</f>
        <v/>
      </c>
      <c r="D58" s="32">
        <f>IF($A58="","",SUMIFS('ORDENES'!$AN$4:$AN$1203,'ORDENES'!$P$4:$P$1203,p_anio_presupuesto,'ORDENES'!$Q$4:$Q$1203,2,'ORDENES'!$AO$4:$AO$1203,$A58))</f>
        <v/>
      </c>
      <c r="E58" s="32">
        <f>IF($A58="","",SUMIFS('ORDENES'!$AN$4:$AN$1203,'ORDENES'!$P$4:$P$1203,p_anio_presupuesto,'ORDENES'!$Q$4:$Q$1203,3,'ORDENES'!$AO$4:$AO$1203,$A58))</f>
        <v/>
      </c>
      <c r="F58" s="32">
        <f>IF($A58="","",SUMIFS('ORDENES'!$AN$4:$AN$1203,'ORDENES'!$P$4:$P$1203,p_anio_presupuesto,'ORDENES'!$Q$4:$Q$1203,4,'ORDENES'!$AO$4:$AO$1203,$A58))</f>
        <v/>
      </c>
      <c r="G58" s="32">
        <f>IF($A58="","",SUMIFS('ORDENES'!$AN$4:$AN$1203,'ORDENES'!$P$4:$P$1203,p_anio_presupuesto,'ORDENES'!$Q$4:$Q$1203,5,'ORDENES'!$AO$4:$AO$1203,$A58))</f>
        <v/>
      </c>
      <c r="H58" s="32">
        <f>IF($A58="","",SUMIFS('ORDENES'!$AN$4:$AN$1203,'ORDENES'!$P$4:$P$1203,p_anio_presupuesto,'ORDENES'!$Q$4:$Q$1203,6,'ORDENES'!$AO$4:$AO$1203,$A58))</f>
        <v/>
      </c>
      <c r="I58" s="32">
        <f>IF($A58="","",SUMIFS('ORDENES'!$AN$4:$AN$1203,'ORDENES'!$P$4:$P$1203,p_anio_presupuesto,'ORDENES'!$Q$4:$Q$1203,7,'ORDENES'!$AO$4:$AO$1203,$A58))</f>
        <v/>
      </c>
      <c r="J58" s="32">
        <f>IF($A58="","",SUMIFS('ORDENES'!$AN$4:$AN$1203,'ORDENES'!$P$4:$P$1203,p_anio_presupuesto,'ORDENES'!$Q$4:$Q$1203,8,'ORDENES'!$AO$4:$AO$1203,$A58))</f>
        <v/>
      </c>
      <c r="K58" s="32">
        <f>IF($A58="","",SUMIFS('ORDENES'!$AN$4:$AN$1203,'ORDENES'!$P$4:$P$1203,p_anio_presupuesto,'ORDENES'!$Q$4:$Q$1203,9,'ORDENES'!$AO$4:$AO$1203,$A58))</f>
        <v/>
      </c>
      <c r="L58" s="32">
        <f>IF($A58="","",SUMIFS('ORDENES'!$AN$4:$AN$1203,'ORDENES'!$P$4:$P$1203,p_anio_presupuesto,'ORDENES'!$Q$4:$Q$1203,10,'ORDENES'!$AO$4:$AO$1203,$A58))</f>
        <v/>
      </c>
      <c r="M58" s="32">
        <f>IF($A58="","",SUMIFS('ORDENES'!$AN$4:$AN$1203,'ORDENES'!$P$4:$P$1203,p_anio_presupuesto,'ORDENES'!$Q$4:$Q$1203,11,'ORDENES'!$AO$4:$AO$1203,$A58))</f>
        <v/>
      </c>
      <c r="N58" s="32">
        <f>IF($A58="","",SUMIFS('ORDENES'!$AN$4:$AN$1203,'ORDENES'!$P$4:$P$1203,p_anio_presupuesto,'ORDENES'!$Q$4:$Q$1203,12,'ORDENES'!$AO$4:$AO$1203,$A58))</f>
        <v/>
      </c>
      <c r="O58" s="32">
        <f>IF($A58="","",SUMPRODUCT(({1,2,3,4,5,6,7,8,9,10,11,12}&lt;=$B$24)*($C58:$N58)))</f>
        <v/>
      </c>
    </row>
    <row r="59">
      <c r="A59" s="5" t="inlineStr">
        <is>
          <t>SIN CLASIFICAR</t>
        </is>
      </c>
      <c r="C59" s="32">
        <f>SUMIFS('ORDENES'!$AN$4:$AN$1203,'ORDENES'!$P$4:$P$1203,p_anio_presupuesto,'ORDENES'!$Q$4:$Q$1203,1,'ORDENES'!$AO$4:$AO$1203,$A59)</f>
        <v/>
      </c>
      <c r="D59" s="32">
        <f>SUMIFS('ORDENES'!$AN$4:$AN$1203,'ORDENES'!$P$4:$P$1203,p_anio_presupuesto,'ORDENES'!$Q$4:$Q$1203,2,'ORDENES'!$AO$4:$AO$1203,$A59)</f>
        <v/>
      </c>
      <c r="E59" s="32">
        <f>SUMIFS('ORDENES'!$AN$4:$AN$1203,'ORDENES'!$P$4:$P$1203,p_anio_presupuesto,'ORDENES'!$Q$4:$Q$1203,3,'ORDENES'!$AO$4:$AO$1203,$A59)</f>
        <v/>
      </c>
      <c r="F59" s="32">
        <f>SUMIFS('ORDENES'!$AN$4:$AN$1203,'ORDENES'!$P$4:$P$1203,p_anio_presupuesto,'ORDENES'!$Q$4:$Q$1203,4,'ORDENES'!$AO$4:$AO$1203,$A59)</f>
        <v/>
      </c>
      <c r="G59" s="32">
        <f>SUMIFS('ORDENES'!$AN$4:$AN$1203,'ORDENES'!$P$4:$P$1203,p_anio_presupuesto,'ORDENES'!$Q$4:$Q$1203,5,'ORDENES'!$AO$4:$AO$1203,$A59)</f>
        <v/>
      </c>
      <c r="H59" s="32">
        <f>SUMIFS('ORDENES'!$AN$4:$AN$1203,'ORDENES'!$P$4:$P$1203,p_anio_presupuesto,'ORDENES'!$Q$4:$Q$1203,6,'ORDENES'!$AO$4:$AO$1203,$A59)</f>
        <v/>
      </c>
      <c r="I59" s="32">
        <f>SUMIFS('ORDENES'!$AN$4:$AN$1203,'ORDENES'!$P$4:$P$1203,p_anio_presupuesto,'ORDENES'!$Q$4:$Q$1203,7,'ORDENES'!$AO$4:$AO$1203,$A59)</f>
        <v/>
      </c>
      <c r="J59" s="32">
        <f>SUMIFS('ORDENES'!$AN$4:$AN$1203,'ORDENES'!$P$4:$P$1203,p_anio_presupuesto,'ORDENES'!$Q$4:$Q$1203,8,'ORDENES'!$AO$4:$AO$1203,$A59)</f>
        <v/>
      </c>
      <c r="K59" s="32">
        <f>SUMIFS('ORDENES'!$AN$4:$AN$1203,'ORDENES'!$P$4:$P$1203,p_anio_presupuesto,'ORDENES'!$Q$4:$Q$1203,9,'ORDENES'!$AO$4:$AO$1203,$A59)</f>
        <v/>
      </c>
      <c r="L59" s="32">
        <f>SUMIFS('ORDENES'!$AN$4:$AN$1203,'ORDENES'!$P$4:$P$1203,p_anio_presupuesto,'ORDENES'!$Q$4:$Q$1203,10,'ORDENES'!$AO$4:$AO$1203,$A59)</f>
        <v/>
      </c>
      <c r="M59" s="32">
        <f>SUMIFS('ORDENES'!$AN$4:$AN$1203,'ORDENES'!$P$4:$P$1203,p_anio_presupuesto,'ORDENES'!$Q$4:$Q$1203,11,'ORDENES'!$AO$4:$AO$1203,$A59)</f>
        <v/>
      </c>
      <c r="N59" s="32">
        <f>SUMIFS('ORDENES'!$AN$4:$AN$1203,'ORDENES'!$P$4:$P$1203,p_anio_presupuesto,'ORDENES'!$Q$4:$Q$1203,12,'ORDENES'!$AO$4:$AO$1203,$A59)</f>
        <v/>
      </c>
      <c r="O59" s="32">
        <f>SUMPRODUCT(({1,2,3,4,5,6,7,8,9,10,11,12}&lt;=$B$24)*($C59:$N59))</f>
        <v/>
      </c>
    </row>
    <row r="60">
      <c r="A60" s="3" t="inlineStr">
        <is>
          <t>Subtotal FIJO</t>
        </is>
      </c>
      <c r="C60" s="32">
        <f>SUMIF($B47:$B58,"fijo",C47:C58)</f>
        <v/>
      </c>
      <c r="D60" s="32">
        <f>SUMIF($B47:$B58,"fijo",D47:D58)</f>
        <v/>
      </c>
      <c r="E60" s="32">
        <f>SUMIF($B47:$B58,"fijo",E47:E58)</f>
        <v/>
      </c>
      <c r="F60" s="32">
        <f>SUMIF($B47:$B58,"fijo",F47:F58)</f>
        <v/>
      </c>
      <c r="G60" s="32">
        <f>SUMIF($B47:$B58,"fijo",G47:G58)</f>
        <v/>
      </c>
      <c r="H60" s="32">
        <f>SUMIF($B47:$B58,"fijo",H47:H58)</f>
        <v/>
      </c>
      <c r="I60" s="32">
        <f>SUMIF($B47:$B58,"fijo",I47:I58)</f>
        <v/>
      </c>
      <c r="J60" s="32">
        <f>SUMIF($B47:$B58,"fijo",J47:J58)</f>
        <v/>
      </c>
      <c r="K60" s="32">
        <f>SUMIF($B47:$B58,"fijo",K47:K58)</f>
        <v/>
      </c>
      <c r="L60" s="32">
        <f>SUMIF($B47:$B58,"fijo",L47:L58)</f>
        <v/>
      </c>
      <c r="M60" s="32">
        <f>SUMIF($B47:$B58,"fijo",M47:M58)</f>
        <v/>
      </c>
      <c r="N60" s="32">
        <f>SUMIF($B47:$B58,"fijo",N47:N58)</f>
        <v/>
      </c>
      <c r="O60" s="32">
        <f>SUMPRODUCT(({1,2,3,4,5,6,7,8,9,10,11,12}&lt;=$B$24)*($C60:$N60))</f>
        <v/>
      </c>
    </row>
    <row r="61">
      <c r="A61" s="3" t="inlineStr">
        <is>
          <t>Subtotal VARIABLE</t>
        </is>
      </c>
      <c r="C61" s="32">
        <f>SUMIF($B47:$B58,"variable",C47:C58)</f>
        <v/>
      </c>
      <c r="D61" s="32">
        <f>SUMIF($B47:$B58,"variable",D47:D58)</f>
        <v/>
      </c>
      <c r="E61" s="32">
        <f>SUMIF($B47:$B58,"variable",E47:E58)</f>
        <v/>
      </c>
      <c r="F61" s="32">
        <f>SUMIF($B47:$B58,"variable",F47:F58)</f>
        <v/>
      </c>
      <c r="G61" s="32">
        <f>SUMIF($B47:$B58,"variable",G47:G58)</f>
        <v/>
      </c>
      <c r="H61" s="32">
        <f>SUMIF($B47:$B58,"variable",H47:H58)</f>
        <v/>
      </c>
      <c r="I61" s="32">
        <f>SUMIF($B47:$B58,"variable",I47:I58)</f>
        <v/>
      </c>
      <c r="J61" s="32">
        <f>SUMIF($B47:$B58,"variable",J47:J58)</f>
        <v/>
      </c>
      <c r="K61" s="32">
        <f>SUMIF($B47:$B58,"variable",K47:K58)</f>
        <v/>
      </c>
      <c r="L61" s="32">
        <f>SUMIF($B47:$B58,"variable",L47:L58)</f>
        <v/>
      </c>
      <c r="M61" s="32">
        <f>SUMIF($B47:$B58,"variable",M47:M58)</f>
        <v/>
      </c>
      <c r="N61" s="32">
        <f>SUMIF($B47:$B58,"variable",N47:N58)</f>
        <v/>
      </c>
      <c r="O61" s="32">
        <f>SUMPRODUCT(({1,2,3,4,5,6,7,8,9,10,11,12}&lt;=$B$24)*($C61:$N61))</f>
        <v/>
      </c>
    </row>
    <row r="62">
      <c r="A62" s="3" t="inlineStr">
        <is>
          <t>TOTAL GENERAL</t>
        </is>
      </c>
      <c r="C62" s="32">
        <f>SUM(C47:C58)+C59</f>
        <v/>
      </c>
      <c r="D62" s="32">
        <f>SUM(D47:D58)+D59</f>
        <v/>
      </c>
      <c r="E62" s="32">
        <f>SUM(E47:E58)+E59</f>
        <v/>
      </c>
      <c r="F62" s="32">
        <f>SUM(F47:F58)+F59</f>
        <v/>
      </c>
      <c r="G62" s="32">
        <f>SUM(G47:G58)+G59</f>
        <v/>
      </c>
      <c r="H62" s="32">
        <f>SUM(H47:H58)+H59</f>
        <v/>
      </c>
      <c r="I62" s="32">
        <f>SUM(I47:I58)+I59</f>
        <v/>
      </c>
      <c r="J62" s="32">
        <f>SUM(J47:J58)+J59</f>
        <v/>
      </c>
      <c r="K62" s="32">
        <f>SUM(K47:K58)+K59</f>
        <v/>
      </c>
      <c r="L62" s="32">
        <f>SUM(L47:L58)+L59</f>
        <v/>
      </c>
      <c r="M62" s="32">
        <f>SUM(M47:M58)+M59</f>
        <v/>
      </c>
      <c r="N62" s="32">
        <f>SUM(N47:N58)+N59</f>
        <v/>
      </c>
      <c r="O62" s="32">
        <f>SUMPRODUCT(({1,2,3,4,5,6,7,8,9,10,11,12}&lt;=$B$24)*($C62:$N62))</f>
        <v/>
      </c>
    </row>
    <row r="63">
      <c r="A63" s="2" t="inlineStr">
        <is>
          <t>CONTROL — total de COSTOS del mes</t>
        </is>
      </c>
      <c r="C63" s="32">
        <f>SUMIFS('ORDENES'!$AN$4:$AN$1203,'ORDENES'!$P$4:$P$1203,p_anio_presupuesto,'ORDENES'!$Q$4:$Q$1203,1)</f>
        <v/>
      </c>
      <c r="D63" s="32">
        <f>SUMIFS('ORDENES'!$AN$4:$AN$1203,'ORDENES'!$P$4:$P$1203,p_anio_presupuesto,'ORDENES'!$Q$4:$Q$1203,2)</f>
        <v/>
      </c>
      <c r="E63" s="32">
        <f>SUMIFS('ORDENES'!$AN$4:$AN$1203,'ORDENES'!$P$4:$P$1203,p_anio_presupuesto,'ORDENES'!$Q$4:$Q$1203,3)</f>
        <v/>
      </c>
      <c r="F63" s="32">
        <f>SUMIFS('ORDENES'!$AN$4:$AN$1203,'ORDENES'!$P$4:$P$1203,p_anio_presupuesto,'ORDENES'!$Q$4:$Q$1203,4)</f>
        <v/>
      </c>
      <c r="G63" s="32">
        <f>SUMIFS('ORDENES'!$AN$4:$AN$1203,'ORDENES'!$P$4:$P$1203,p_anio_presupuesto,'ORDENES'!$Q$4:$Q$1203,5)</f>
        <v/>
      </c>
      <c r="H63" s="32">
        <f>SUMIFS('ORDENES'!$AN$4:$AN$1203,'ORDENES'!$P$4:$P$1203,p_anio_presupuesto,'ORDENES'!$Q$4:$Q$1203,6)</f>
        <v/>
      </c>
      <c r="I63" s="32">
        <f>SUMIFS('ORDENES'!$AN$4:$AN$1203,'ORDENES'!$P$4:$P$1203,p_anio_presupuesto,'ORDENES'!$Q$4:$Q$1203,7)</f>
        <v/>
      </c>
      <c r="J63" s="32">
        <f>SUMIFS('ORDENES'!$AN$4:$AN$1203,'ORDENES'!$P$4:$P$1203,p_anio_presupuesto,'ORDENES'!$Q$4:$Q$1203,8)</f>
        <v/>
      </c>
      <c r="K63" s="32">
        <f>SUMIFS('ORDENES'!$AN$4:$AN$1203,'ORDENES'!$P$4:$P$1203,p_anio_presupuesto,'ORDENES'!$Q$4:$Q$1203,9)</f>
        <v/>
      </c>
      <c r="L63" s="32">
        <f>SUMIFS('ORDENES'!$AN$4:$AN$1203,'ORDENES'!$P$4:$P$1203,p_anio_presupuesto,'ORDENES'!$Q$4:$Q$1203,10)</f>
        <v/>
      </c>
      <c r="M63" s="32">
        <f>SUMIFS('ORDENES'!$AN$4:$AN$1203,'ORDENES'!$P$4:$P$1203,p_anio_presupuesto,'ORDENES'!$Q$4:$Q$1203,11)</f>
        <v/>
      </c>
      <c r="N63" s="32">
        <f>SUMIFS('ORDENES'!$AN$4:$AN$1203,'ORDENES'!$P$4:$P$1203,p_anio_presupuesto,'ORDENES'!$Q$4:$Q$1203,12)</f>
        <v/>
      </c>
      <c r="O63" s="32">
        <f>SUMPRODUCT(({1,2,3,4,5,6,7,8,9,10,11,12}&lt;=$B$24)*($C63:$N63))</f>
        <v/>
      </c>
    </row>
    <row r="64">
      <c r="A64" s="2" t="inlineStr">
        <is>
          <t>DIFERENCIA (debe ser 0)</t>
        </is>
      </c>
      <c r="C64" s="32">
        <f>ROUND(C62-C63,2)</f>
        <v/>
      </c>
      <c r="D64" s="32">
        <f>ROUND(D62-D63,2)</f>
        <v/>
      </c>
      <c r="E64" s="32">
        <f>ROUND(E62-E63,2)</f>
        <v/>
      </c>
      <c r="F64" s="32">
        <f>ROUND(F62-F63,2)</f>
        <v/>
      </c>
      <c r="G64" s="32">
        <f>ROUND(G62-G63,2)</f>
        <v/>
      </c>
      <c r="H64" s="32">
        <f>ROUND(H62-H63,2)</f>
        <v/>
      </c>
      <c r="I64" s="32">
        <f>ROUND(I62-I63,2)</f>
        <v/>
      </c>
      <c r="J64" s="32">
        <f>ROUND(J62-J63,2)</f>
        <v/>
      </c>
      <c r="K64" s="32">
        <f>ROUND(K62-K63,2)</f>
        <v/>
      </c>
      <c r="L64" s="32">
        <f>ROUND(L62-L63,2)</f>
        <v/>
      </c>
      <c r="M64" s="32">
        <f>ROUND(M62-M63,2)</f>
        <v/>
      </c>
      <c r="N64" s="32">
        <f>ROUND(N62-N63,2)</f>
        <v/>
      </c>
      <c r="O64" s="32">
        <f>SUMPRODUCT(({1,2,3,4,5,6,7,8,9,10,11,12}&lt;=$B$24)*($C64:$N64))</f>
        <v/>
      </c>
    </row>
    <row r="65"/>
    <row r="66">
      <c r="A66" s="3" t="inlineStr">
        <is>
          <t>DESVIACIÓN (real − presupuesto)</t>
        </is>
      </c>
    </row>
    <row r="67">
      <c r="A67" s="14" t="inlineStr">
        <is>
          <t>categoria</t>
        </is>
      </c>
      <c r="B67" s="14" t="inlineStr">
        <is>
          <t>clasificacion</t>
        </is>
      </c>
      <c r="C67" s="14" t="inlineStr">
        <is>
          <t>ene</t>
        </is>
      </c>
      <c r="D67" s="14" t="inlineStr">
        <is>
          <t>feb</t>
        </is>
      </c>
      <c r="E67" s="14" t="inlineStr">
        <is>
          <t>mar</t>
        </is>
      </c>
      <c r="F67" s="14" t="inlineStr">
        <is>
          <t>abr</t>
        </is>
      </c>
      <c r="G67" s="14" t="inlineStr">
        <is>
          <t>may</t>
        </is>
      </c>
      <c r="H67" s="14" t="inlineStr">
        <is>
          <t>jun</t>
        </is>
      </c>
      <c r="I67" s="14" t="inlineStr">
        <is>
          <t>jul</t>
        </is>
      </c>
      <c r="J67" s="14" t="inlineStr">
        <is>
          <t>ago</t>
        </is>
      </c>
      <c r="K67" s="14" t="inlineStr">
        <is>
          <t>sep</t>
        </is>
      </c>
      <c r="L67" s="14" t="inlineStr">
        <is>
          <t>oct</t>
        </is>
      </c>
      <c r="M67" s="14" t="inlineStr">
        <is>
          <t>nov</t>
        </is>
      </c>
      <c r="N67" s="14" t="inlineStr">
        <is>
          <t>dic</t>
        </is>
      </c>
      <c r="O67" s="14" t="inlineStr">
        <is>
          <t>YTD</t>
        </is>
      </c>
    </row>
    <row r="68">
      <c r="A68" s="24">
        <f>$A$8</f>
        <v/>
      </c>
      <c r="B68" s="24">
        <f>$B$8</f>
        <v/>
      </c>
      <c r="C68" s="32">
        <f>IF($A68="","",C47-C28)</f>
        <v/>
      </c>
      <c r="D68" s="32">
        <f>IF($A68="","",D47-D28)</f>
        <v/>
      </c>
      <c r="E68" s="32">
        <f>IF($A68="","",E47-E28)</f>
        <v/>
      </c>
      <c r="F68" s="32">
        <f>IF($A68="","",F47-F28)</f>
        <v/>
      </c>
      <c r="G68" s="32">
        <f>IF($A68="","",G47-G28)</f>
        <v/>
      </c>
      <c r="H68" s="32">
        <f>IF($A68="","",H47-H28)</f>
        <v/>
      </c>
      <c r="I68" s="32">
        <f>IF($A68="","",I47-I28)</f>
        <v/>
      </c>
      <c r="J68" s="32">
        <f>IF($A68="","",J47-J28)</f>
        <v/>
      </c>
      <c r="K68" s="32">
        <f>IF($A68="","",K47-K28)</f>
        <v/>
      </c>
      <c r="L68" s="32">
        <f>IF($A68="","",L47-L28)</f>
        <v/>
      </c>
      <c r="M68" s="32">
        <f>IF($A68="","",M47-M28)</f>
        <v/>
      </c>
      <c r="N68" s="32">
        <f>IF($A68="","",N47-N28)</f>
        <v/>
      </c>
      <c r="O68" s="32">
        <f>IF($A68="","",SUMPRODUCT(({1,2,3,4,5,6,7,8,9,10,11,12}&lt;=$B$24)*($C68:$N68)))</f>
        <v/>
      </c>
    </row>
    <row r="69">
      <c r="A69" s="24">
        <f>$A$9</f>
        <v/>
      </c>
      <c r="B69" s="24">
        <f>$B$9</f>
        <v/>
      </c>
      <c r="C69" s="32">
        <f>IF($A69="","",C48-C29)</f>
        <v/>
      </c>
      <c r="D69" s="32">
        <f>IF($A69="","",D48-D29)</f>
        <v/>
      </c>
      <c r="E69" s="32">
        <f>IF($A69="","",E48-E29)</f>
        <v/>
      </c>
      <c r="F69" s="32">
        <f>IF($A69="","",F48-F29)</f>
        <v/>
      </c>
      <c r="G69" s="32">
        <f>IF($A69="","",G48-G29)</f>
        <v/>
      </c>
      <c r="H69" s="32">
        <f>IF($A69="","",H48-H29)</f>
        <v/>
      </c>
      <c r="I69" s="32">
        <f>IF($A69="","",I48-I29)</f>
        <v/>
      </c>
      <c r="J69" s="32">
        <f>IF($A69="","",J48-J29)</f>
        <v/>
      </c>
      <c r="K69" s="32">
        <f>IF($A69="","",K48-K29)</f>
        <v/>
      </c>
      <c r="L69" s="32">
        <f>IF($A69="","",L48-L29)</f>
        <v/>
      </c>
      <c r="M69" s="32">
        <f>IF($A69="","",M48-M29)</f>
        <v/>
      </c>
      <c r="N69" s="32">
        <f>IF($A69="","",N48-N29)</f>
        <v/>
      </c>
      <c r="O69" s="32">
        <f>IF($A69="","",SUMPRODUCT(({1,2,3,4,5,6,7,8,9,10,11,12}&lt;=$B$24)*($C69:$N69)))</f>
        <v/>
      </c>
    </row>
    <row r="70">
      <c r="A70" s="24">
        <f>$A$10</f>
        <v/>
      </c>
      <c r="B70" s="24">
        <f>$B$10</f>
        <v/>
      </c>
      <c r="C70" s="32">
        <f>IF($A70="","",C49-C30)</f>
        <v/>
      </c>
      <c r="D70" s="32">
        <f>IF($A70="","",D49-D30)</f>
        <v/>
      </c>
      <c r="E70" s="32">
        <f>IF($A70="","",E49-E30)</f>
        <v/>
      </c>
      <c r="F70" s="32">
        <f>IF($A70="","",F49-F30)</f>
        <v/>
      </c>
      <c r="G70" s="32">
        <f>IF($A70="","",G49-G30)</f>
        <v/>
      </c>
      <c r="H70" s="32">
        <f>IF($A70="","",H49-H30)</f>
        <v/>
      </c>
      <c r="I70" s="32">
        <f>IF($A70="","",I49-I30)</f>
        <v/>
      </c>
      <c r="J70" s="32">
        <f>IF($A70="","",J49-J30)</f>
        <v/>
      </c>
      <c r="K70" s="32">
        <f>IF($A70="","",K49-K30)</f>
        <v/>
      </c>
      <c r="L70" s="32">
        <f>IF($A70="","",L49-L30)</f>
        <v/>
      </c>
      <c r="M70" s="32">
        <f>IF($A70="","",M49-M30)</f>
        <v/>
      </c>
      <c r="N70" s="32">
        <f>IF($A70="","",N49-N30)</f>
        <v/>
      </c>
      <c r="O70" s="32">
        <f>IF($A70="","",SUMPRODUCT(({1,2,3,4,5,6,7,8,9,10,11,12}&lt;=$B$24)*($C70:$N70)))</f>
        <v/>
      </c>
    </row>
    <row r="71">
      <c r="A71" s="24">
        <f>$A$11</f>
        <v/>
      </c>
      <c r="B71" s="24">
        <f>$B$11</f>
        <v/>
      </c>
      <c r="C71" s="32">
        <f>IF($A71="","",C50-C31)</f>
        <v/>
      </c>
      <c r="D71" s="32">
        <f>IF($A71="","",D50-D31)</f>
        <v/>
      </c>
      <c r="E71" s="32">
        <f>IF($A71="","",E50-E31)</f>
        <v/>
      </c>
      <c r="F71" s="32">
        <f>IF($A71="","",F50-F31)</f>
        <v/>
      </c>
      <c r="G71" s="32">
        <f>IF($A71="","",G50-G31)</f>
        <v/>
      </c>
      <c r="H71" s="32">
        <f>IF($A71="","",H50-H31)</f>
        <v/>
      </c>
      <c r="I71" s="32">
        <f>IF($A71="","",I50-I31)</f>
        <v/>
      </c>
      <c r="J71" s="32">
        <f>IF($A71="","",J50-J31)</f>
        <v/>
      </c>
      <c r="K71" s="32">
        <f>IF($A71="","",K50-K31)</f>
        <v/>
      </c>
      <c r="L71" s="32">
        <f>IF($A71="","",L50-L31)</f>
        <v/>
      </c>
      <c r="M71" s="32">
        <f>IF($A71="","",M50-M31)</f>
        <v/>
      </c>
      <c r="N71" s="32">
        <f>IF($A71="","",N50-N31)</f>
        <v/>
      </c>
      <c r="O71" s="32">
        <f>IF($A71="","",SUMPRODUCT(({1,2,3,4,5,6,7,8,9,10,11,12}&lt;=$B$24)*($C71:$N71)))</f>
        <v/>
      </c>
    </row>
    <row r="72">
      <c r="A72" s="24">
        <f>$A$12</f>
        <v/>
      </c>
      <c r="B72" s="24">
        <f>$B$12</f>
        <v/>
      </c>
      <c r="C72" s="32">
        <f>IF($A72="","",C51-C32)</f>
        <v/>
      </c>
      <c r="D72" s="32">
        <f>IF($A72="","",D51-D32)</f>
        <v/>
      </c>
      <c r="E72" s="32">
        <f>IF($A72="","",E51-E32)</f>
        <v/>
      </c>
      <c r="F72" s="32">
        <f>IF($A72="","",F51-F32)</f>
        <v/>
      </c>
      <c r="G72" s="32">
        <f>IF($A72="","",G51-G32)</f>
        <v/>
      </c>
      <c r="H72" s="32">
        <f>IF($A72="","",H51-H32)</f>
        <v/>
      </c>
      <c r="I72" s="32">
        <f>IF($A72="","",I51-I32)</f>
        <v/>
      </c>
      <c r="J72" s="32">
        <f>IF($A72="","",J51-J32)</f>
        <v/>
      </c>
      <c r="K72" s="32">
        <f>IF($A72="","",K51-K32)</f>
        <v/>
      </c>
      <c r="L72" s="32">
        <f>IF($A72="","",L51-L32)</f>
        <v/>
      </c>
      <c r="M72" s="32">
        <f>IF($A72="","",M51-M32)</f>
        <v/>
      </c>
      <c r="N72" s="32">
        <f>IF($A72="","",N51-N32)</f>
        <v/>
      </c>
      <c r="O72" s="32">
        <f>IF($A72="","",SUMPRODUCT(({1,2,3,4,5,6,7,8,9,10,11,12}&lt;=$B$24)*($C72:$N72)))</f>
        <v/>
      </c>
    </row>
    <row r="73">
      <c r="A73" s="24">
        <f>$A$13</f>
        <v/>
      </c>
      <c r="B73" s="24">
        <f>$B$13</f>
        <v/>
      </c>
      <c r="C73" s="32">
        <f>IF($A73="","",C52-C33)</f>
        <v/>
      </c>
      <c r="D73" s="32">
        <f>IF($A73="","",D52-D33)</f>
        <v/>
      </c>
      <c r="E73" s="32">
        <f>IF($A73="","",E52-E33)</f>
        <v/>
      </c>
      <c r="F73" s="32">
        <f>IF($A73="","",F52-F33)</f>
        <v/>
      </c>
      <c r="G73" s="32">
        <f>IF($A73="","",G52-G33)</f>
        <v/>
      </c>
      <c r="H73" s="32">
        <f>IF($A73="","",H52-H33)</f>
        <v/>
      </c>
      <c r="I73" s="32">
        <f>IF($A73="","",I52-I33)</f>
        <v/>
      </c>
      <c r="J73" s="32">
        <f>IF($A73="","",J52-J33)</f>
        <v/>
      </c>
      <c r="K73" s="32">
        <f>IF($A73="","",K52-K33)</f>
        <v/>
      </c>
      <c r="L73" s="32">
        <f>IF($A73="","",L52-L33)</f>
        <v/>
      </c>
      <c r="M73" s="32">
        <f>IF($A73="","",M52-M33)</f>
        <v/>
      </c>
      <c r="N73" s="32">
        <f>IF($A73="","",N52-N33)</f>
        <v/>
      </c>
      <c r="O73" s="32">
        <f>IF($A73="","",SUMPRODUCT(({1,2,3,4,5,6,7,8,9,10,11,12}&lt;=$B$24)*($C73:$N73)))</f>
        <v/>
      </c>
    </row>
    <row r="74">
      <c r="A74" s="24">
        <f>$A$14</f>
        <v/>
      </c>
      <c r="B74" s="24">
        <f>$B$14</f>
        <v/>
      </c>
      <c r="C74" s="32">
        <f>IF($A74="","",C53-C34)</f>
        <v/>
      </c>
      <c r="D74" s="32">
        <f>IF($A74="","",D53-D34)</f>
        <v/>
      </c>
      <c r="E74" s="32">
        <f>IF($A74="","",E53-E34)</f>
        <v/>
      </c>
      <c r="F74" s="32">
        <f>IF($A74="","",F53-F34)</f>
        <v/>
      </c>
      <c r="G74" s="32">
        <f>IF($A74="","",G53-G34)</f>
        <v/>
      </c>
      <c r="H74" s="32">
        <f>IF($A74="","",H53-H34)</f>
        <v/>
      </c>
      <c r="I74" s="32">
        <f>IF($A74="","",I53-I34)</f>
        <v/>
      </c>
      <c r="J74" s="32">
        <f>IF($A74="","",J53-J34)</f>
        <v/>
      </c>
      <c r="K74" s="32">
        <f>IF($A74="","",K53-K34)</f>
        <v/>
      </c>
      <c r="L74" s="32">
        <f>IF($A74="","",L53-L34)</f>
        <v/>
      </c>
      <c r="M74" s="32">
        <f>IF($A74="","",M53-M34)</f>
        <v/>
      </c>
      <c r="N74" s="32">
        <f>IF($A74="","",N53-N34)</f>
        <v/>
      </c>
      <c r="O74" s="32">
        <f>IF($A74="","",SUMPRODUCT(({1,2,3,4,5,6,7,8,9,10,11,12}&lt;=$B$24)*($C74:$N74)))</f>
        <v/>
      </c>
    </row>
    <row r="75">
      <c r="A75" s="24">
        <f>$A$15</f>
        <v/>
      </c>
      <c r="B75" s="24">
        <f>$B$15</f>
        <v/>
      </c>
      <c r="C75" s="32">
        <f>IF($A75="","",C54-C35)</f>
        <v/>
      </c>
      <c r="D75" s="32">
        <f>IF($A75="","",D54-D35)</f>
        <v/>
      </c>
      <c r="E75" s="32">
        <f>IF($A75="","",E54-E35)</f>
        <v/>
      </c>
      <c r="F75" s="32">
        <f>IF($A75="","",F54-F35)</f>
        <v/>
      </c>
      <c r="G75" s="32">
        <f>IF($A75="","",G54-G35)</f>
        <v/>
      </c>
      <c r="H75" s="32">
        <f>IF($A75="","",H54-H35)</f>
        <v/>
      </c>
      <c r="I75" s="32">
        <f>IF($A75="","",I54-I35)</f>
        <v/>
      </c>
      <c r="J75" s="32">
        <f>IF($A75="","",J54-J35)</f>
        <v/>
      </c>
      <c r="K75" s="32">
        <f>IF($A75="","",K54-K35)</f>
        <v/>
      </c>
      <c r="L75" s="32">
        <f>IF($A75="","",L54-L35)</f>
        <v/>
      </c>
      <c r="M75" s="32">
        <f>IF($A75="","",M54-M35)</f>
        <v/>
      </c>
      <c r="N75" s="32">
        <f>IF($A75="","",N54-N35)</f>
        <v/>
      </c>
      <c r="O75" s="32">
        <f>IF($A75="","",SUMPRODUCT(({1,2,3,4,5,6,7,8,9,10,11,12}&lt;=$B$24)*($C75:$N75)))</f>
        <v/>
      </c>
    </row>
    <row r="76">
      <c r="A76" s="24">
        <f>$A$16</f>
        <v/>
      </c>
      <c r="B76" s="24">
        <f>$B$16</f>
        <v/>
      </c>
      <c r="C76" s="32">
        <f>IF($A76="","",C55-C36)</f>
        <v/>
      </c>
      <c r="D76" s="32">
        <f>IF($A76="","",D55-D36)</f>
        <v/>
      </c>
      <c r="E76" s="32">
        <f>IF($A76="","",E55-E36)</f>
        <v/>
      </c>
      <c r="F76" s="32">
        <f>IF($A76="","",F55-F36)</f>
        <v/>
      </c>
      <c r="G76" s="32">
        <f>IF($A76="","",G55-G36)</f>
        <v/>
      </c>
      <c r="H76" s="32">
        <f>IF($A76="","",H55-H36)</f>
        <v/>
      </c>
      <c r="I76" s="32">
        <f>IF($A76="","",I55-I36)</f>
        <v/>
      </c>
      <c r="J76" s="32">
        <f>IF($A76="","",J55-J36)</f>
        <v/>
      </c>
      <c r="K76" s="32">
        <f>IF($A76="","",K55-K36)</f>
        <v/>
      </c>
      <c r="L76" s="32">
        <f>IF($A76="","",L55-L36)</f>
        <v/>
      </c>
      <c r="M76" s="32">
        <f>IF($A76="","",M55-M36)</f>
        <v/>
      </c>
      <c r="N76" s="32">
        <f>IF($A76="","",N55-N36)</f>
        <v/>
      </c>
      <c r="O76" s="32">
        <f>IF($A76="","",SUMPRODUCT(({1,2,3,4,5,6,7,8,9,10,11,12}&lt;=$B$24)*($C76:$N76)))</f>
        <v/>
      </c>
    </row>
    <row r="77">
      <c r="A77" s="24">
        <f>$A$17</f>
        <v/>
      </c>
      <c r="B77" s="24">
        <f>$B$17</f>
        <v/>
      </c>
      <c r="C77" s="32">
        <f>IF($A77="","",C56-C37)</f>
        <v/>
      </c>
      <c r="D77" s="32">
        <f>IF($A77="","",D56-D37)</f>
        <v/>
      </c>
      <c r="E77" s="32">
        <f>IF($A77="","",E56-E37)</f>
        <v/>
      </c>
      <c r="F77" s="32">
        <f>IF($A77="","",F56-F37)</f>
        <v/>
      </c>
      <c r="G77" s="32">
        <f>IF($A77="","",G56-G37)</f>
        <v/>
      </c>
      <c r="H77" s="32">
        <f>IF($A77="","",H56-H37)</f>
        <v/>
      </c>
      <c r="I77" s="32">
        <f>IF($A77="","",I56-I37)</f>
        <v/>
      </c>
      <c r="J77" s="32">
        <f>IF($A77="","",J56-J37)</f>
        <v/>
      </c>
      <c r="K77" s="32">
        <f>IF($A77="","",K56-K37)</f>
        <v/>
      </c>
      <c r="L77" s="32">
        <f>IF($A77="","",L56-L37)</f>
        <v/>
      </c>
      <c r="M77" s="32">
        <f>IF($A77="","",M56-M37)</f>
        <v/>
      </c>
      <c r="N77" s="32">
        <f>IF($A77="","",N56-N37)</f>
        <v/>
      </c>
      <c r="O77" s="32">
        <f>IF($A77="","",SUMPRODUCT(({1,2,3,4,5,6,7,8,9,10,11,12}&lt;=$B$24)*($C77:$N77)))</f>
        <v/>
      </c>
    </row>
    <row r="78">
      <c r="A78" s="24">
        <f>$A$18</f>
        <v/>
      </c>
      <c r="B78" s="24">
        <f>$B$18</f>
        <v/>
      </c>
      <c r="C78" s="32">
        <f>IF($A78="","",C57-C38)</f>
        <v/>
      </c>
      <c r="D78" s="32">
        <f>IF($A78="","",D57-D38)</f>
        <v/>
      </c>
      <c r="E78" s="32">
        <f>IF($A78="","",E57-E38)</f>
        <v/>
      </c>
      <c r="F78" s="32">
        <f>IF($A78="","",F57-F38)</f>
        <v/>
      </c>
      <c r="G78" s="32">
        <f>IF($A78="","",G57-G38)</f>
        <v/>
      </c>
      <c r="H78" s="32">
        <f>IF($A78="","",H57-H38)</f>
        <v/>
      </c>
      <c r="I78" s="32">
        <f>IF($A78="","",I57-I38)</f>
        <v/>
      </c>
      <c r="J78" s="32">
        <f>IF($A78="","",J57-J38)</f>
        <v/>
      </c>
      <c r="K78" s="32">
        <f>IF($A78="","",K57-K38)</f>
        <v/>
      </c>
      <c r="L78" s="32">
        <f>IF($A78="","",L57-L38)</f>
        <v/>
      </c>
      <c r="M78" s="32">
        <f>IF($A78="","",M57-M38)</f>
        <v/>
      </c>
      <c r="N78" s="32">
        <f>IF($A78="","",N57-N38)</f>
        <v/>
      </c>
      <c r="O78" s="32">
        <f>IF($A78="","",SUMPRODUCT(({1,2,3,4,5,6,7,8,9,10,11,12}&lt;=$B$24)*($C78:$N78)))</f>
        <v/>
      </c>
    </row>
    <row r="79">
      <c r="A79" s="24">
        <f>$A$19</f>
        <v/>
      </c>
      <c r="B79" s="24">
        <f>$B$19</f>
        <v/>
      </c>
      <c r="C79" s="32">
        <f>IF($A79="","",C58-C39)</f>
        <v/>
      </c>
      <c r="D79" s="32">
        <f>IF($A79="","",D58-D39)</f>
        <v/>
      </c>
      <c r="E79" s="32">
        <f>IF($A79="","",E58-E39)</f>
        <v/>
      </c>
      <c r="F79" s="32">
        <f>IF($A79="","",F58-F39)</f>
        <v/>
      </c>
      <c r="G79" s="32">
        <f>IF($A79="","",G58-G39)</f>
        <v/>
      </c>
      <c r="H79" s="32">
        <f>IF($A79="","",H58-H39)</f>
        <v/>
      </c>
      <c r="I79" s="32">
        <f>IF($A79="","",I58-I39)</f>
        <v/>
      </c>
      <c r="J79" s="32">
        <f>IF($A79="","",J58-J39)</f>
        <v/>
      </c>
      <c r="K79" s="32">
        <f>IF($A79="","",K58-K39)</f>
        <v/>
      </c>
      <c r="L79" s="32">
        <f>IF($A79="","",L58-L39)</f>
        <v/>
      </c>
      <c r="M79" s="32">
        <f>IF($A79="","",M58-M39)</f>
        <v/>
      </c>
      <c r="N79" s="32">
        <f>IF($A79="","",N58-N39)</f>
        <v/>
      </c>
      <c r="O79" s="32">
        <f>IF($A79="","",SUMPRODUCT(({1,2,3,4,5,6,7,8,9,10,11,12}&lt;=$B$24)*($C79:$N79)))</f>
        <v/>
      </c>
    </row>
    <row r="80">
      <c r="A80" s="5" t="inlineStr">
        <is>
          <t>SIN CLASIFICAR</t>
        </is>
      </c>
      <c r="C80" s="32">
        <f>C59-C40</f>
        <v/>
      </c>
      <c r="D80" s="32">
        <f>D59-D40</f>
        <v/>
      </c>
      <c r="E80" s="32">
        <f>E59-E40</f>
        <v/>
      </c>
      <c r="F80" s="32">
        <f>F59-F40</f>
        <v/>
      </c>
      <c r="G80" s="32">
        <f>G59-G40</f>
        <v/>
      </c>
      <c r="H80" s="32">
        <f>H59-H40</f>
        <v/>
      </c>
      <c r="I80" s="32">
        <f>I59-I40</f>
        <v/>
      </c>
      <c r="J80" s="32">
        <f>J59-J40</f>
        <v/>
      </c>
      <c r="K80" s="32">
        <f>K59-K40</f>
        <v/>
      </c>
      <c r="L80" s="32">
        <f>L59-L40</f>
        <v/>
      </c>
      <c r="M80" s="32">
        <f>M59-M40</f>
        <v/>
      </c>
      <c r="N80" s="32">
        <f>N59-N40</f>
        <v/>
      </c>
      <c r="O80" s="32">
        <f>SUMPRODUCT(({1,2,3,4,5,6,7,8,9,10,11,12}&lt;=$B$24)*($C80:$N80))</f>
        <v/>
      </c>
    </row>
    <row r="81">
      <c r="A81" s="3" t="inlineStr">
        <is>
          <t>Subtotal FIJO</t>
        </is>
      </c>
      <c r="C81" s="32">
        <f>C60-C41</f>
        <v/>
      </c>
      <c r="D81" s="32">
        <f>D60-D41</f>
        <v/>
      </c>
      <c r="E81" s="32">
        <f>E60-E41</f>
        <v/>
      </c>
      <c r="F81" s="32">
        <f>F60-F41</f>
        <v/>
      </c>
      <c r="G81" s="32">
        <f>G60-G41</f>
        <v/>
      </c>
      <c r="H81" s="32">
        <f>H60-H41</f>
        <v/>
      </c>
      <c r="I81" s="32">
        <f>I60-I41</f>
        <v/>
      </c>
      <c r="J81" s="32">
        <f>J60-J41</f>
        <v/>
      </c>
      <c r="K81" s="32">
        <f>K60-K41</f>
        <v/>
      </c>
      <c r="L81" s="32">
        <f>L60-L41</f>
        <v/>
      </c>
      <c r="M81" s="32">
        <f>M60-M41</f>
        <v/>
      </c>
      <c r="N81" s="32">
        <f>N60-N41</f>
        <v/>
      </c>
      <c r="O81" s="32">
        <f>SUMPRODUCT(({1,2,3,4,5,6,7,8,9,10,11,12}&lt;=$B$24)*($C81:$N81))</f>
        <v/>
      </c>
    </row>
    <row r="82">
      <c r="A82" s="3" t="inlineStr">
        <is>
          <t>Subtotal VARIABLE</t>
        </is>
      </c>
      <c r="C82" s="32">
        <f>C61-C42</f>
        <v/>
      </c>
      <c r="D82" s="32">
        <f>D61-D42</f>
        <v/>
      </c>
      <c r="E82" s="32">
        <f>E61-E42</f>
        <v/>
      </c>
      <c r="F82" s="32">
        <f>F61-F42</f>
        <v/>
      </c>
      <c r="G82" s="32">
        <f>G61-G42</f>
        <v/>
      </c>
      <c r="H82" s="32">
        <f>H61-H42</f>
        <v/>
      </c>
      <c r="I82" s="32">
        <f>I61-I42</f>
        <v/>
      </c>
      <c r="J82" s="32">
        <f>J61-J42</f>
        <v/>
      </c>
      <c r="K82" s="32">
        <f>K61-K42</f>
        <v/>
      </c>
      <c r="L82" s="32">
        <f>L61-L42</f>
        <v/>
      </c>
      <c r="M82" s="32">
        <f>M61-M42</f>
        <v/>
      </c>
      <c r="N82" s="32">
        <f>N61-N42</f>
        <v/>
      </c>
      <c r="O82" s="32">
        <f>SUMPRODUCT(({1,2,3,4,5,6,7,8,9,10,11,12}&lt;=$B$24)*($C82:$N82))</f>
        <v/>
      </c>
    </row>
    <row r="83">
      <c r="A83" s="3" t="inlineStr">
        <is>
          <t>TOTAL GENERAL</t>
        </is>
      </c>
      <c r="C83" s="32">
        <f>C62-C43</f>
        <v/>
      </c>
      <c r="D83" s="32">
        <f>D62-D43</f>
        <v/>
      </c>
      <c r="E83" s="32">
        <f>E62-E43</f>
        <v/>
      </c>
      <c r="F83" s="32">
        <f>F62-F43</f>
        <v/>
      </c>
      <c r="G83" s="32">
        <f>G62-G43</f>
        <v/>
      </c>
      <c r="H83" s="32">
        <f>H62-H43</f>
        <v/>
      </c>
      <c r="I83" s="32">
        <f>I62-I43</f>
        <v/>
      </c>
      <c r="J83" s="32">
        <f>J62-J43</f>
        <v/>
      </c>
      <c r="K83" s="32">
        <f>K62-K43</f>
        <v/>
      </c>
      <c r="L83" s="32">
        <f>L62-L43</f>
        <v/>
      </c>
      <c r="M83" s="32">
        <f>M62-M43</f>
        <v/>
      </c>
      <c r="N83" s="32">
        <f>N62-N43</f>
        <v/>
      </c>
      <c r="O83" s="32">
        <f>SUMPRODUCT(({1,2,3,4,5,6,7,8,9,10,11,12}&lt;=$B$24)*($C83:$N83))</f>
        <v/>
      </c>
    </row>
    <row r="84"/>
    <row r="85">
      <c r="A85" s="3" t="inlineStr">
        <is>
          <t>DESVIACIÓN %</t>
        </is>
      </c>
    </row>
    <row r="86">
      <c r="A86" s="14" t="inlineStr">
        <is>
          <t>categoria</t>
        </is>
      </c>
      <c r="B86" s="14" t="inlineStr">
        <is>
          <t>clasificacion</t>
        </is>
      </c>
      <c r="C86" s="14" t="inlineStr">
        <is>
          <t>ene</t>
        </is>
      </c>
      <c r="D86" s="14" t="inlineStr">
        <is>
          <t>feb</t>
        </is>
      </c>
      <c r="E86" s="14" t="inlineStr">
        <is>
          <t>mar</t>
        </is>
      </c>
      <c r="F86" s="14" t="inlineStr">
        <is>
          <t>abr</t>
        </is>
      </c>
      <c r="G86" s="14" t="inlineStr">
        <is>
          <t>may</t>
        </is>
      </c>
      <c r="H86" s="14" t="inlineStr">
        <is>
          <t>jun</t>
        </is>
      </c>
      <c r="I86" s="14" t="inlineStr">
        <is>
          <t>jul</t>
        </is>
      </c>
      <c r="J86" s="14" t="inlineStr">
        <is>
          <t>ago</t>
        </is>
      </c>
      <c r="K86" s="14" t="inlineStr">
        <is>
          <t>sep</t>
        </is>
      </c>
      <c r="L86" s="14" t="inlineStr">
        <is>
          <t>oct</t>
        </is>
      </c>
      <c r="M86" s="14" t="inlineStr">
        <is>
          <t>nov</t>
        </is>
      </c>
      <c r="N86" s="14" t="inlineStr">
        <is>
          <t>dic</t>
        </is>
      </c>
      <c r="O86" s="14" t="inlineStr">
        <is>
          <t>YTD</t>
        </is>
      </c>
    </row>
    <row r="87">
      <c r="A87" s="24">
        <f>$A$8</f>
        <v/>
      </c>
      <c r="B87" s="24">
        <f>$B$8</f>
        <v/>
      </c>
      <c r="C87" s="27">
        <f>IF($A87="","",IF(C28=0,"",C68/C28))</f>
        <v/>
      </c>
      <c r="D87" s="27">
        <f>IF($A87="","",IF(D28=0,"",D68/D28))</f>
        <v/>
      </c>
      <c r="E87" s="27">
        <f>IF($A87="","",IF(E28=0,"",E68/E28))</f>
        <v/>
      </c>
      <c r="F87" s="27">
        <f>IF($A87="","",IF(F28=0,"",F68/F28))</f>
        <v/>
      </c>
      <c r="G87" s="27">
        <f>IF($A87="","",IF(G28=0,"",G68/G28))</f>
        <v/>
      </c>
      <c r="H87" s="27">
        <f>IF($A87="","",IF(H28=0,"",H68/H28))</f>
        <v/>
      </c>
      <c r="I87" s="27">
        <f>IF($A87="","",IF(I28=0,"",I68/I28))</f>
        <v/>
      </c>
      <c r="J87" s="27">
        <f>IF($A87="","",IF(J28=0,"",J68/J28))</f>
        <v/>
      </c>
      <c r="K87" s="27">
        <f>IF($A87="","",IF(K28=0,"",K68/K28))</f>
        <v/>
      </c>
      <c r="L87" s="27">
        <f>IF($A87="","",IF(L28=0,"",L68/L28))</f>
        <v/>
      </c>
      <c r="M87" s="27">
        <f>IF($A87="","",IF(M28=0,"",M68/M28))</f>
        <v/>
      </c>
      <c r="N87" s="27">
        <f>IF($A87="","",IF(N28=0,"",N68/N28))</f>
        <v/>
      </c>
      <c r="O87" s="27">
        <f>IF($A87="","",IF($O$28=0,"",$O$68/$O$28))</f>
        <v/>
      </c>
    </row>
    <row r="88">
      <c r="A88" s="24">
        <f>$A$9</f>
        <v/>
      </c>
      <c r="B88" s="24">
        <f>$B$9</f>
        <v/>
      </c>
      <c r="C88" s="27">
        <f>IF($A88="","",IF(C29=0,"",C69/C29))</f>
        <v/>
      </c>
      <c r="D88" s="27">
        <f>IF($A88="","",IF(D29=0,"",D69/D29))</f>
        <v/>
      </c>
      <c r="E88" s="27">
        <f>IF($A88="","",IF(E29=0,"",E69/E29))</f>
        <v/>
      </c>
      <c r="F88" s="27">
        <f>IF($A88="","",IF(F29=0,"",F69/F29))</f>
        <v/>
      </c>
      <c r="G88" s="27">
        <f>IF($A88="","",IF(G29=0,"",G69/G29))</f>
        <v/>
      </c>
      <c r="H88" s="27">
        <f>IF($A88="","",IF(H29=0,"",H69/H29))</f>
        <v/>
      </c>
      <c r="I88" s="27">
        <f>IF($A88="","",IF(I29=0,"",I69/I29))</f>
        <v/>
      </c>
      <c r="J88" s="27">
        <f>IF($A88="","",IF(J29=0,"",J69/J29))</f>
        <v/>
      </c>
      <c r="K88" s="27">
        <f>IF($A88="","",IF(K29=0,"",K69/K29))</f>
        <v/>
      </c>
      <c r="L88" s="27">
        <f>IF($A88="","",IF(L29=0,"",L69/L29))</f>
        <v/>
      </c>
      <c r="M88" s="27">
        <f>IF($A88="","",IF(M29=0,"",M69/M29))</f>
        <v/>
      </c>
      <c r="N88" s="27">
        <f>IF($A88="","",IF(N29=0,"",N69/N29))</f>
        <v/>
      </c>
      <c r="O88" s="27">
        <f>IF($A88="","",IF($O$29=0,"",$O$69/$O$29))</f>
        <v/>
      </c>
    </row>
    <row r="89">
      <c r="A89" s="24">
        <f>$A$10</f>
        <v/>
      </c>
      <c r="B89" s="24">
        <f>$B$10</f>
        <v/>
      </c>
      <c r="C89" s="27">
        <f>IF($A89="","",IF(C30=0,"",C70/C30))</f>
        <v/>
      </c>
      <c r="D89" s="27">
        <f>IF($A89="","",IF(D30=0,"",D70/D30))</f>
        <v/>
      </c>
      <c r="E89" s="27">
        <f>IF($A89="","",IF(E30=0,"",E70/E30))</f>
        <v/>
      </c>
      <c r="F89" s="27">
        <f>IF($A89="","",IF(F30=0,"",F70/F30))</f>
        <v/>
      </c>
      <c r="G89" s="27">
        <f>IF($A89="","",IF(G30=0,"",G70/G30))</f>
        <v/>
      </c>
      <c r="H89" s="27">
        <f>IF($A89="","",IF(H30=0,"",H70/H30))</f>
        <v/>
      </c>
      <c r="I89" s="27">
        <f>IF($A89="","",IF(I30=0,"",I70/I30))</f>
        <v/>
      </c>
      <c r="J89" s="27">
        <f>IF($A89="","",IF(J30=0,"",J70/J30))</f>
        <v/>
      </c>
      <c r="K89" s="27">
        <f>IF($A89="","",IF(K30=0,"",K70/K30))</f>
        <v/>
      </c>
      <c r="L89" s="27">
        <f>IF($A89="","",IF(L30=0,"",L70/L30))</f>
        <v/>
      </c>
      <c r="M89" s="27">
        <f>IF($A89="","",IF(M30=0,"",M70/M30))</f>
        <v/>
      </c>
      <c r="N89" s="27">
        <f>IF($A89="","",IF(N30=0,"",N70/N30))</f>
        <v/>
      </c>
      <c r="O89" s="27">
        <f>IF($A89="","",IF($O$30=0,"",$O$70/$O$30))</f>
        <v/>
      </c>
    </row>
    <row r="90">
      <c r="A90" s="24">
        <f>$A$11</f>
        <v/>
      </c>
      <c r="B90" s="24">
        <f>$B$11</f>
        <v/>
      </c>
      <c r="C90" s="27">
        <f>IF($A90="","",IF(C31=0,"",C71/C31))</f>
        <v/>
      </c>
      <c r="D90" s="27">
        <f>IF($A90="","",IF(D31=0,"",D71/D31))</f>
        <v/>
      </c>
      <c r="E90" s="27">
        <f>IF($A90="","",IF(E31=0,"",E71/E31))</f>
        <v/>
      </c>
      <c r="F90" s="27">
        <f>IF($A90="","",IF(F31=0,"",F71/F31))</f>
        <v/>
      </c>
      <c r="G90" s="27">
        <f>IF($A90="","",IF(G31=0,"",G71/G31))</f>
        <v/>
      </c>
      <c r="H90" s="27">
        <f>IF($A90="","",IF(H31=0,"",H71/H31))</f>
        <v/>
      </c>
      <c r="I90" s="27">
        <f>IF($A90="","",IF(I31=0,"",I71/I31))</f>
        <v/>
      </c>
      <c r="J90" s="27">
        <f>IF($A90="","",IF(J31=0,"",J71/J31))</f>
        <v/>
      </c>
      <c r="K90" s="27">
        <f>IF($A90="","",IF(K31=0,"",K71/K31))</f>
        <v/>
      </c>
      <c r="L90" s="27">
        <f>IF($A90="","",IF(L31=0,"",L71/L31))</f>
        <v/>
      </c>
      <c r="M90" s="27">
        <f>IF($A90="","",IF(M31=0,"",M71/M31))</f>
        <v/>
      </c>
      <c r="N90" s="27">
        <f>IF($A90="","",IF(N31=0,"",N71/N31))</f>
        <v/>
      </c>
      <c r="O90" s="27">
        <f>IF($A90="","",IF($O$31=0,"",$O$71/$O$31))</f>
        <v/>
      </c>
    </row>
    <row r="91">
      <c r="A91" s="24">
        <f>$A$12</f>
        <v/>
      </c>
      <c r="B91" s="24">
        <f>$B$12</f>
        <v/>
      </c>
      <c r="C91" s="27">
        <f>IF($A91="","",IF(C32=0,"",C72/C32))</f>
        <v/>
      </c>
      <c r="D91" s="27">
        <f>IF($A91="","",IF(D32=0,"",D72/D32))</f>
        <v/>
      </c>
      <c r="E91" s="27">
        <f>IF($A91="","",IF(E32=0,"",E72/E32))</f>
        <v/>
      </c>
      <c r="F91" s="27">
        <f>IF($A91="","",IF(F32=0,"",F72/F32))</f>
        <v/>
      </c>
      <c r="G91" s="27">
        <f>IF($A91="","",IF(G32=0,"",G72/G32))</f>
        <v/>
      </c>
      <c r="H91" s="27">
        <f>IF($A91="","",IF(H32=0,"",H72/H32))</f>
        <v/>
      </c>
      <c r="I91" s="27">
        <f>IF($A91="","",IF(I32=0,"",I72/I32))</f>
        <v/>
      </c>
      <c r="J91" s="27">
        <f>IF($A91="","",IF(J32=0,"",J72/J32))</f>
        <v/>
      </c>
      <c r="K91" s="27">
        <f>IF($A91="","",IF(K32=0,"",K72/K32))</f>
        <v/>
      </c>
      <c r="L91" s="27">
        <f>IF($A91="","",IF(L32=0,"",L72/L32))</f>
        <v/>
      </c>
      <c r="M91" s="27">
        <f>IF($A91="","",IF(M32=0,"",M72/M32))</f>
        <v/>
      </c>
      <c r="N91" s="27">
        <f>IF($A91="","",IF(N32=0,"",N72/N32))</f>
        <v/>
      </c>
      <c r="O91" s="27">
        <f>IF($A91="","",IF($O$32=0,"",$O$72/$O$32))</f>
        <v/>
      </c>
    </row>
    <row r="92">
      <c r="A92" s="24">
        <f>$A$13</f>
        <v/>
      </c>
      <c r="B92" s="24">
        <f>$B$13</f>
        <v/>
      </c>
      <c r="C92" s="27">
        <f>IF($A92="","",IF(C33=0,"",C73/C33))</f>
        <v/>
      </c>
      <c r="D92" s="27">
        <f>IF($A92="","",IF(D33=0,"",D73/D33))</f>
        <v/>
      </c>
      <c r="E92" s="27">
        <f>IF($A92="","",IF(E33=0,"",E73/E33))</f>
        <v/>
      </c>
      <c r="F92" s="27">
        <f>IF($A92="","",IF(F33=0,"",F73/F33))</f>
        <v/>
      </c>
      <c r="G92" s="27">
        <f>IF($A92="","",IF(G33=0,"",G73/G33))</f>
        <v/>
      </c>
      <c r="H92" s="27">
        <f>IF($A92="","",IF(H33=0,"",H73/H33))</f>
        <v/>
      </c>
      <c r="I92" s="27">
        <f>IF($A92="","",IF(I33=0,"",I73/I33))</f>
        <v/>
      </c>
      <c r="J92" s="27">
        <f>IF($A92="","",IF(J33=0,"",J73/J33))</f>
        <v/>
      </c>
      <c r="K92" s="27">
        <f>IF($A92="","",IF(K33=0,"",K73/K33))</f>
        <v/>
      </c>
      <c r="L92" s="27">
        <f>IF($A92="","",IF(L33=0,"",L73/L33))</f>
        <v/>
      </c>
      <c r="M92" s="27">
        <f>IF($A92="","",IF(M33=0,"",M73/M33))</f>
        <v/>
      </c>
      <c r="N92" s="27">
        <f>IF($A92="","",IF(N33=0,"",N73/N33))</f>
        <v/>
      </c>
      <c r="O92" s="27">
        <f>IF($A92="","",IF($O$33=0,"",$O$73/$O$33))</f>
        <v/>
      </c>
    </row>
    <row r="93">
      <c r="A93" s="24">
        <f>$A$14</f>
        <v/>
      </c>
      <c r="B93" s="24">
        <f>$B$14</f>
        <v/>
      </c>
      <c r="C93" s="27">
        <f>IF($A93="","",IF(C34=0,"",C74/C34))</f>
        <v/>
      </c>
      <c r="D93" s="27">
        <f>IF($A93="","",IF(D34=0,"",D74/D34))</f>
        <v/>
      </c>
      <c r="E93" s="27">
        <f>IF($A93="","",IF(E34=0,"",E74/E34))</f>
        <v/>
      </c>
      <c r="F93" s="27">
        <f>IF($A93="","",IF(F34=0,"",F74/F34))</f>
        <v/>
      </c>
      <c r="G93" s="27">
        <f>IF($A93="","",IF(G34=0,"",G74/G34))</f>
        <v/>
      </c>
      <c r="H93" s="27">
        <f>IF($A93="","",IF(H34=0,"",H74/H34))</f>
        <v/>
      </c>
      <c r="I93" s="27">
        <f>IF($A93="","",IF(I34=0,"",I74/I34))</f>
        <v/>
      </c>
      <c r="J93" s="27">
        <f>IF($A93="","",IF(J34=0,"",J74/J34))</f>
        <v/>
      </c>
      <c r="K93" s="27">
        <f>IF($A93="","",IF(K34=0,"",K74/K34))</f>
        <v/>
      </c>
      <c r="L93" s="27">
        <f>IF($A93="","",IF(L34=0,"",L74/L34))</f>
        <v/>
      </c>
      <c r="M93" s="27">
        <f>IF($A93="","",IF(M34=0,"",M74/M34))</f>
        <v/>
      </c>
      <c r="N93" s="27">
        <f>IF($A93="","",IF(N34=0,"",N74/N34))</f>
        <v/>
      </c>
      <c r="O93" s="27">
        <f>IF($A93="","",IF($O$34=0,"",$O$74/$O$34))</f>
        <v/>
      </c>
    </row>
    <row r="94">
      <c r="A94" s="24">
        <f>$A$15</f>
        <v/>
      </c>
      <c r="B94" s="24">
        <f>$B$15</f>
        <v/>
      </c>
      <c r="C94" s="27">
        <f>IF($A94="","",IF(C35=0,"",C75/C35))</f>
        <v/>
      </c>
      <c r="D94" s="27">
        <f>IF($A94="","",IF(D35=0,"",D75/D35))</f>
        <v/>
      </c>
      <c r="E94" s="27">
        <f>IF($A94="","",IF(E35=0,"",E75/E35))</f>
        <v/>
      </c>
      <c r="F94" s="27">
        <f>IF($A94="","",IF(F35=0,"",F75/F35))</f>
        <v/>
      </c>
      <c r="G94" s="27">
        <f>IF($A94="","",IF(G35=0,"",G75/G35))</f>
        <v/>
      </c>
      <c r="H94" s="27">
        <f>IF($A94="","",IF(H35=0,"",H75/H35))</f>
        <v/>
      </c>
      <c r="I94" s="27">
        <f>IF($A94="","",IF(I35=0,"",I75/I35))</f>
        <v/>
      </c>
      <c r="J94" s="27">
        <f>IF($A94="","",IF(J35=0,"",J75/J35))</f>
        <v/>
      </c>
      <c r="K94" s="27">
        <f>IF($A94="","",IF(K35=0,"",K75/K35))</f>
        <v/>
      </c>
      <c r="L94" s="27">
        <f>IF($A94="","",IF(L35=0,"",L75/L35))</f>
        <v/>
      </c>
      <c r="M94" s="27">
        <f>IF($A94="","",IF(M35=0,"",M75/M35))</f>
        <v/>
      </c>
      <c r="N94" s="27">
        <f>IF($A94="","",IF(N35=0,"",N75/N35))</f>
        <v/>
      </c>
      <c r="O94" s="27">
        <f>IF($A94="","",IF($O$35=0,"",$O$75/$O$35))</f>
        <v/>
      </c>
    </row>
    <row r="95">
      <c r="A95" s="24">
        <f>$A$16</f>
        <v/>
      </c>
      <c r="B95" s="24">
        <f>$B$16</f>
        <v/>
      </c>
      <c r="C95" s="27">
        <f>IF($A95="","",IF(C36=0,"",C76/C36))</f>
        <v/>
      </c>
      <c r="D95" s="27">
        <f>IF($A95="","",IF(D36=0,"",D76/D36))</f>
        <v/>
      </c>
      <c r="E95" s="27">
        <f>IF($A95="","",IF(E36=0,"",E76/E36))</f>
        <v/>
      </c>
      <c r="F95" s="27">
        <f>IF($A95="","",IF(F36=0,"",F76/F36))</f>
        <v/>
      </c>
      <c r="G95" s="27">
        <f>IF($A95="","",IF(G36=0,"",G76/G36))</f>
        <v/>
      </c>
      <c r="H95" s="27">
        <f>IF($A95="","",IF(H36=0,"",H76/H36))</f>
        <v/>
      </c>
      <c r="I95" s="27">
        <f>IF($A95="","",IF(I36=0,"",I76/I36))</f>
        <v/>
      </c>
      <c r="J95" s="27">
        <f>IF($A95="","",IF(J36=0,"",J76/J36))</f>
        <v/>
      </c>
      <c r="K95" s="27">
        <f>IF($A95="","",IF(K36=0,"",K76/K36))</f>
        <v/>
      </c>
      <c r="L95" s="27">
        <f>IF($A95="","",IF(L36=0,"",L76/L36))</f>
        <v/>
      </c>
      <c r="M95" s="27">
        <f>IF($A95="","",IF(M36=0,"",M76/M36))</f>
        <v/>
      </c>
      <c r="N95" s="27">
        <f>IF($A95="","",IF(N36=0,"",N76/N36))</f>
        <v/>
      </c>
      <c r="O95" s="27">
        <f>IF($A95="","",IF($O$36=0,"",$O$76/$O$36))</f>
        <v/>
      </c>
    </row>
    <row r="96">
      <c r="A96" s="24">
        <f>$A$17</f>
        <v/>
      </c>
      <c r="B96" s="24">
        <f>$B$17</f>
        <v/>
      </c>
      <c r="C96" s="27">
        <f>IF($A96="","",IF(C37=0,"",C77/C37))</f>
        <v/>
      </c>
      <c r="D96" s="27">
        <f>IF($A96="","",IF(D37=0,"",D77/D37))</f>
        <v/>
      </c>
      <c r="E96" s="27">
        <f>IF($A96="","",IF(E37=0,"",E77/E37))</f>
        <v/>
      </c>
      <c r="F96" s="27">
        <f>IF($A96="","",IF(F37=0,"",F77/F37))</f>
        <v/>
      </c>
      <c r="G96" s="27">
        <f>IF($A96="","",IF(G37=0,"",G77/G37))</f>
        <v/>
      </c>
      <c r="H96" s="27">
        <f>IF($A96="","",IF(H37=0,"",H77/H37))</f>
        <v/>
      </c>
      <c r="I96" s="27">
        <f>IF($A96="","",IF(I37=0,"",I77/I37))</f>
        <v/>
      </c>
      <c r="J96" s="27">
        <f>IF($A96="","",IF(J37=0,"",J77/J37))</f>
        <v/>
      </c>
      <c r="K96" s="27">
        <f>IF($A96="","",IF(K37=0,"",K77/K37))</f>
        <v/>
      </c>
      <c r="L96" s="27">
        <f>IF($A96="","",IF(L37=0,"",L77/L37))</f>
        <v/>
      </c>
      <c r="M96" s="27">
        <f>IF($A96="","",IF(M37=0,"",M77/M37))</f>
        <v/>
      </c>
      <c r="N96" s="27">
        <f>IF($A96="","",IF(N37=0,"",N77/N37))</f>
        <v/>
      </c>
      <c r="O96" s="27">
        <f>IF($A96="","",IF($O$37=0,"",$O$77/$O$37))</f>
        <v/>
      </c>
    </row>
    <row r="97">
      <c r="A97" s="24">
        <f>$A$18</f>
        <v/>
      </c>
      <c r="B97" s="24">
        <f>$B$18</f>
        <v/>
      </c>
      <c r="C97" s="27">
        <f>IF($A97="","",IF(C38=0,"",C78/C38))</f>
        <v/>
      </c>
      <c r="D97" s="27">
        <f>IF($A97="","",IF(D38=0,"",D78/D38))</f>
        <v/>
      </c>
      <c r="E97" s="27">
        <f>IF($A97="","",IF(E38=0,"",E78/E38))</f>
        <v/>
      </c>
      <c r="F97" s="27">
        <f>IF($A97="","",IF(F38=0,"",F78/F38))</f>
        <v/>
      </c>
      <c r="G97" s="27">
        <f>IF($A97="","",IF(G38=0,"",G78/G38))</f>
        <v/>
      </c>
      <c r="H97" s="27">
        <f>IF($A97="","",IF(H38=0,"",H78/H38))</f>
        <v/>
      </c>
      <c r="I97" s="27">
        <f>IF($A97="","",IF(I38=0,"",I78/I38))</f>
        <v/>
      </c>
      <c r="J97" s="27">
        <f>IF($A97="","",IF(J38=0,"",J78/J38))</f>
        <v/>
      </c>
      <c r="K97" s="27">
        <f>IF($A97="","",IF(K38=0,"",K78/K38))</f>
        <v/>
      </c>
      <c r="L97" s="27">
        <f>IF($A97="","",IF(L38=0,"",L78/L38))</f>
        <v/>
      </c>
      <c r="M97" s="27">
        <f>IF($A97="","",IF(M38=0,"",M78/M38))</f>
        <v/>
      </c>
      <c r="N97" s="27">
        <f>IF($A97="","",IF(N38=0,"",N78/N38))</f>
        <v/>
      </c>
      <c r="O97" s="27">
        <f>IF($A97="","",IF($O$38=0,"",$O$78/$O$38))</f>
        <v/>
      </c>
    </row>
    <row r="98">
      <c r="A98" s="24">
        <f>$A$19</f>
        <v/>
      </c>
      <c r="B98" s="24">
        <f>$B$19</f>
        <v/>
      </c>
      <c r="C98" s="27">
        <f>IF($A98="","",IF(C39=0,"",C79/C39))</f>
        <v/>
      </c>
      <c r="D98" s="27">
        <f>IF($A98="","",IF(D39=0,"",D79/D39))</f>
        <v/>
      </c>
      <c r="E98" s="27">
        <f>IF($A98="","",IF(E39=0,"",E79/E39))</f>
        <v/>
      </c>
      <c r="F98" s="27">
        <f>IF($A98="","",IF(F39=0,"",F79/F39))</f>
        <v/>
      </c>
      <c r="G98" s="27">
        <f>IF($A98="","",IF(G39=0,"",G79/G39))</f>
        <v/>
      </c>
      <c r="H98" s="27">
        <f>IF($A98="","",IF(H39=0,"",H79/H39))</f>
        <v/>
      </c>
      <c r="I98" s="27">
        <f>IF($A98="","",IF(I39=0,"",I79/I39))</f>
        <v/>
      </c>
      <c r="J98" s="27">
        <f>IF($A98="","",IF(J39=0,"",J79/J39))</f>
        <v/>
      </c>
      <c r="K98" s="27">
        <f>IF($A98="","",IF(K39=0,"",K79/K39))</f>
        <v/>
      </c>
      <c r="L98" s="27">
        <f>IF($A98="","",IF(L39=0,"",L79/L39))</f>
        <v/>
      </c>
      <c r="M98" s="27">
        <f>IF($A98="","",IF(M39=0,"",M79/M39))</f>
        <v/>
      </c>
      <c r="N98" s="27">
        <f>IF($A98="","",IF(N39=0,"",N79/N39))</f>
        <v/>
      </c>
      <c r="O98" s="27">
        <f>IF($A98="","",IF($O$39=0,"",$O$79/$O$39))</f>
        <v/>
      </c>
    </row>
    <row r="99">
      <c r="A99" s="5" t="inlineStr">
        <is>
          <t>SIN CLASIFICAR</t>
        </is>
      </c>
      <c r="C99" s="27">
        <f>IF(C40=0,"",C80/C40)</f>
        <v/>
      </c>
      <c r="D99" s="27">
        <f>IF(D40=0,"",D80/D40)</f>
        <v/>
      </c>
      <c r="E99" s="27">
        <f>IF(E40=0,"",E80/E40)</f>
        <v/>
      </c>
      <c r="F99" s="27">
        <f>IF(F40=0,"",F80/F40)</f>
        <v/>
      </c>
      <c r="G99" s="27">
        <f>IF(G40=0,"",G80/G40)</f>
        <v/>
      </c>
      <c r="H99" s="27">
        <f>IF(H40=0,"",H80/H40)</f>
        <v/>
      </c>
      <c r="I99" s="27">
        <f>IF(I40=0,"",I80/I40)</f>
        <v/>
      </c>
      <c r="J99" s="27">
        <f>IF(J40=0,"",J80/J40)</f>
        <v/>
      </c>
      <c r="K99" s="27">
        <f>IF(K40=0,"",K80/K40)</f>
        <v/>
      </c>
      <c r="L99" s="27">
        <f>IF(L40=0,"",L80/L40)</f>
        <v/>
      </c>
      <c r="M99" s="27">
        <f>IF(M40=0,"",M80/M40)</f>
        <v/>
      </c>
      <c r="N99" s="27">
        <f>IF(N40=0,"",N80/N40)</f>
        <v/>
      </c>
      <c r="O99" s="27">
        <f>IF($O$40=0,"",$O$80/$O$40)</f>
        <v/>
      </c>
    </row>
    <row r="100">
      <c r="A100" s="3" t="inlineStr">
        <is>
          <t>Subtotal FIJO</t>
        </is>
      </c>
      <c r="C100" s="27">
        <f>IF(C41=0,"",C81/C41)</f>
        <v/>
      </c>
      <c r="D100" s="27">
        <f>IF(D41=0,"",D81/D41)</f>
        <v/>
      </c>
      <c r="E100" s="27">
        <f>IF(E41=0,"",E81/E41)</f>
        <v/>
      </c>
      <c r="F100" s="27">
        <f>IF(F41=0,"",F81/F41)</f>
        <v/>
      </c>
      <c r="G100" s="27">
        <f>IF(G41=0,"",G81/G41)</f>
        <v/>
      </c>
      <c r="H100" s="27">
        <f>IF(H41=0,"",H81/H41)</f>
        <v/>
      </c>
      <c r="I100" s="27">
        <f>IF(I41=0,"",I81/I41)</f>
        <v/>
      </c>
      <c r="J100" s="27">
        <f>IF(J41=0,"",J81/J41)</f>
        <v/>
      </c>
      <c r="K100" s="27">
        <f>IF(K41=0,"",K81/K41)</f>
        <v/>
      </c>
      <c r="L100" s="27">
        <f>IF(L41=0,"",L81/L41)</f>
        <v/>
      </c>
      <c r="M100" s="27">
        <f>IF(M41=0,"",M81/M41)</f>
        <v/>
      </c>
      <c r="N100" s="27">
        <f>IF(N41=0,"",N81/N41)</f>
        <v/>
      </c>
      <c r="O100" s="27">
        <f>IF($O$41=0,"",$O$81/$O$41)</f>
        <v/>
      </c>
    </row>
    <row r="101">
      <c r="A101" s="3" t="inlineStr">
        <is>
          <t>Subtotal VARIABLE</t>
        </is>
      </c>
      <c r="C101" s="27">
        <f>IF(C42=0,"",C82/C42)</f>
        <v/>
      </c>
      <c r="D101" s="27">
        <f>IF(D42=0,"",D82/D42)</f>
        <v/>
      </c>
      <c r="E101" s="27">
        <f>IF(E42=0,"",E82/E42)</f>
        <v/>
      </c>
      <c r="F101" s="27">
        <f>IF(F42=0,"",F82/F42)</f>
        <v/>
      </c>
      <c r="G101" s="27">
        <f>IF(G42=0,"",G82/G42)</f>
        <v/>
      </c>
      <c r="H101" s="27">
        <f>IF(H42=0,"",H82/H42)</f>
        <v/>
      </c>
      <c r="I101" s="27">
        <f>IF(I42=0,"",I82/I42)</f>
        <v/>
      </c>
      <c r="J101" s="27">
        <f>IF(J42=0,"",J82/J42)</f>
        <v/>
      </c>
      <c r="K101" s="27">
        <f>IF(K42=0,"",K82/K42)</f>
        <v/>
      </c>
      <c r="L101" s="27">
        <f>IF(L42=0,"",L82/L42)</f>
        <v/>
      </c>
      <c r="M101" s="27">
        <f>IF(M42=0,"",M82/M42)</f>
        <v/>
      </c>
      <c r="N101" s="27">
        <f>IF(N42=0,"",N82/N42)</f>
        <v/>
      </c>
      <c r="O101" s="27">
        <f>IF($O$42=0,"",$O$82/$O$42)</f>
        <v/>
      </c>
    </row>
    <row r="102">
      <c r="A102" s="3" t="inlineStr">
        <is>
          <t>TOTAL GENERAL</t>
        </is>
      </c>
      <c r="C102" s="27">
        <f>IF(C43=0,"",C83/C43)</f>
        <v/>
      </c>
      <c r="D102" s="27">
        <f>IF(D43=0,"",D83/D43)</f>
        <v/>
      </c>
      <c r="E102" s="27">
        <f>IF(E43=0,"",E83/E43)</f>
        <v/>
      </c>
      <c r="F102" s="27">
        <f>IF(F43=0,"",F83/F43)</f>
        <v/>
      </c>
      <c r="G102" s="27">
        <f>IF(G43=0,"",G83/G43)</f>
        <v/>
      </c>
      <c r="H102" s="27">
        <f>IF(H43=0,"",H83/H43)</f>
        <v/>
      </c>
      <c r="I102" s="27">
        <f>IF(I43=0,"",I83/I43)</f>
        <v/>
      </c>
      <c r="J102" s="27">
        <f>IF(J43=0,"",J83/J43)</f>
        <v/>
      </c>
      <c r="K102" s="27">
        <f>IF(K43=0,"",K83/K43)</f>
        <v/>
      </c>
      <c r="L102" s="27">
        <f>IF(L43=0,"",L83/L43)</f>
        <v/>
      </c>
      <c r="M102" s="27">
        <f>IF(M43=0,"",M83/M43)</f>
        <v/>
      </c>
      <c r="N102" s="27">
        <f>IF(N43=0,"",N83/N43)</f>
        <v/>
      </c>
      <c r="O102" s="27">
        <f>IF($O$43=0,"",$O$83/$O$43)</f>
        <v/>
      </c>
    </row>
    <row r="103"/>
    <row r="104">
      <c r="A104" s="3" t="inlineStr">
        <is>
          <t>ESTADO (semáforo · tolerancia = p_tolerancia_desviacion_presupuesto)</t>
        </is>
      </c>
    </row>
    <row r="105">
      <c r="A105" s="14" t="inlineStr">
        <is>
          <t>categoria</t>
        </is>
      </c>
      <c r="B105" s="14" t="inlineStr">
        <is>
          <t>clasificacion</t>
        </is>
      </c>
      <c r="C105" s="14" t="inlineStr">
        <is>
          <t>ene</t>
        </is>
      </c>
      <c r="D105" s="14" t="inlineStr">
        <is>
          <t>feb</t>
        </is>
      </c>
      <c r="E105" s="14" t="inlineStr">
        <is>
          <t>mar</t>
        </is>
      </c>
      <c r="F105" s="14" t="inlineStr">
        <is>
          <t>abr</t>
        </is>
      </c>
      <c r="G105" s="14" t="inlineStr">
        <is>
          <t>may</t>
        </is>
      </c>
      <c r="H105" s="14" t="inlineStr">
        <is>
          <t>jun</t>
        </is>
      </c>
      <c r="I105" s="14" t="inlineStr">
        <is>
          <t>jul</t>
        </is>
      </c>
      <c r="J105" s="14" t="inlineStr">
        <is>
          <t>ago</t>
        </is>
      </c>
      <c r="K105" s="14" t="inlineStr">
        <is>
          <t>sep</t>
        </is>
      </c>
      <c r="L105" s="14" t="inlineStr">
        <is>
          <t>oct</t>
        </is>
      </c>
      <c r="M105" s="14" t="inlineStr">
        <is>
          <t>nov</t>
        </is>
      </c>
      <c r="N105" s="14" t="inlineStr">
        <is>
          <t>dic</t>
        </is>
      </c>
      <c r="O105" s="14" t="inlineStr">
        <is>
          <t>YTD</t>
        </is>
      </c>
    </row>
    <row r="106">
      <c r="A106" s="24">
        <f>$A$8</f>
        <v/>
      </c>
      <c r="B106" s="24">
        <f>$B$8</f>
        <v/>
      </c>
      <c r="C106" s="24">
        <f>IF($A106="","",IF(AND(C28=0,C47=0),"",IF(C28=0,"sobre",IF(ABS(C68/C28)&lt;=p_tolerancia_desviacion_presupuesto,"dentro",IF(C68&gt;0,"sobre","bajo")))))</f>
        <v/>
      </c>
      <c r="D106" s="24">
        <f>IF($A106="","",IF(AND(D28=0,D47=0),"",IF(D28=0,"sobre",IF(ABS(D68/D28)&lt;=p_tolerancia_desviacion_presupuesto,"dentro",IF(D68&gt;0,"sobre","bajo")))))</f>
        <v/>
      </c>
      <c r="E106" s="24">
        <f>IF($A106="","",IF(AND(E28=0,E47=0),"",IF(E28=0,"sobre",IF(ABS(E68/E28)&lt;=p_tolerancia_desviacion_presupuesto,"dentro",IF(E68&gt;0,"sobre","bajo")))))</f>
        <v/>
      </c>
      <c r="F106" s="24">
        <f>IF($A106="","",IF(AND(F28=0,F47=0),"",IF(F28=0,"sobre",IF(ABS(F68/F28)&lt;=p_tolerancia_desviacion_presupuesto,"dentro",IF(F68&gt;0,"sobre","bajo")))))</f>
        <v/>
      </c>
      <c r="G106" s="24">
        <f>IF($A106="","",IF(AND(G28=0,G47=0),"",IF(G28=0,"sobre",IF(ABS(G68/G28)&lt;=p_tolerancia_desviacion_presupuesto,"dentro",IF(G68&gt;0,"sobre","bajo")))))</f>
        <v/>
      </c>
      <c r="H106" s="24">
        <f>IF($A106="","",IF(AND(H28=0,H47=0),"",IF(H28=0,"sobre",IF(ABS(H68/H28)&lt;=p_tolerancia_desviacion_presupuesto,"dentro",IF(H68&gt;0,"sobre","bajo")))))</f>
        <v/>
      </c>
      <c r="I106" s="24">
        <f>IF($A106="","",IF(AND(I28=0,I47=0),"",IF(I28=0,"sobre",IF(ABS(I68/I28)&lt;=p_tolerancia_desviacion_presupuesto,"dentro",IF(I68&gt;0,"sobre","bajo")))))</f>
        <v/>
      </c>
      <c r="J106" s="24">
        <f>IF($A106="","",IF(AND(J28=0,J47=0),"",IF(J28=0,"sobre",IF(ABS(J68/J28)&lt;=p_tolerancia_desviacion_presupuesto,"dentro",IF(J68&gt;0,"sobre","bajo")))))</f>
        <v/>
      </c>
      <c r="K106" s="24">
        <f>IF($A106="","",IF(AND(K28=0,K47=0),"",IF(K28=0,"sobre",IF(ABS(K68/K28)&lt;=p_tolerancia_desviacion_presupuesto,"dentro",IF(K68&gt;0,"sobre","bajo")))))</f>
        <v/>
      </c>
      <c r="L106" s="24">
        <f>IF($A106="","",IF(AND(L28=0,L47=0),"",IF(L28=0,"sobre",IF(ABS(L68/L28)&lt;=p_tolerancia_desviacion_presupuesto,"dentro",IF(L68&gt;0,"sobre","bajo")))))</f>
        <v/>
      </c>
      <c r="M106" s="24">
        <f>IF($A106="","",IF(AND(M28=0,M47=0),"",IF(M28=0,"sobre",IF(ABS(M68/M28)&lt;=p_tolerancia_desviacion_presupuesto,"dentro",IF(M68&gt;0,"sobre","bajo")))))</f>
        <v/>
      </c>
      <c r="N106" s="24">
        <f>IF($A106="","",IF(AND(N28=0,N47=0),"",IF(N28=0,"sobre",IF(ABS(N68/N28)&lt;=p_tolerancia_desviacion_presupuesto,"dentro",IF(N68&gt;0,"sobre","bajo")))))</f>
        <v/>
      </c>
      <c r="O106" s="24">
        <f>IF($A106="","",IF(AND($O$28=0,$O$47=0),"",IF($O$28=0,"sobre",IF(ABS($O$68/$O$28)&lt;=p_tolerancia_desviacion_presupuesto,"dentro",IF($O$68&gt;0,"sobre","bajo")))))</f>
        <v/>
      </c>
    </row>
    <row r="107">
      <c r="A107" s="24">
        <f>$A$9</f>
        <v/>
      </c>
      <c r="B107" s="24">
        <f>$B$9</f>
        <v/>
      </c>
      <c r="C107" s="24">
        <f>IF($A107="","",IF(AND(C29=0,C48=0),"",IF(C29=0,"sobre",IF(ABS(C69/C29)&lt;=p_tolerancia_desviacion_presupuesto,"dentro",IF(C69&gt;0,"sobre","bajo")))))</f>
        <v/>
      </c>
      <c r="D107" s="24">
        <f>IF($A107="","",IF(AND(D29=0,D48=0),"",IF(D29=0,"sobre",IF(ABS(D69/D29)&lt;=p_tolerancia_desviacion_presupuesto,"dentro",IF(D69&gt;0,"sobre","bajo")))))</f>
        <v/>
      </c>
      <c r="E107" s="24">
        <f>IF($A107="","",IF(AND(E29=0,E48=0),"",IF(E29=0,"sobre",IF(ABS(E69/E29)&lt;=p_tolerancia_desviacion_presupuesto,"dentro",IF(E69&gt;0,"sobre","bajo")))))</f>
        <v/>
      </c>
      <c r="F107" s="24">
        <f>IF($A107="","",IF(AND(F29=0,F48=0),"",IF(F29=0,"sobre",IF(ABS(F69/F29)&lt;=p_tolerancia_desviacion_presupuesto,"dentro",IF(F69&gt;0,"sobre","bajo")))))</f>
        <v/>
      </c>
      <c r="G107" s="24">
        <f>IF($A107="","",IF(AND(G29=0,G48=0),"",IF(G29=0,"sobre",IF(ABS(G69/G29)&lt;=p_tolerancia_desviacion_presupuesto,"dentro",IF(G69&gt;0,"sobre","bajo")))))</f>
        <v/>
      </c>
      <c r="H107" s="24">
        <f>IF($A107="","",IF(AND(H29=0,H48=0),"",IF(H29=0,"sobre",IF(ABS(H69/H29)&lt;=p_tolerancia_desviacion_presupuesto,"dentro",IF(H69&gt;0,"sobre","bajo")))))</f>
        <v/>
      </c>
      <c r="I107" s="24">
        <f>IF($A107="","",IF(AND(I29=0,I48=0),"",IF(I29=0,"sobre",IF(ABS(I69/I29)&lt;=p_tolerancia_desviacion_presupuesto,"dentro",IF(I69&gt;0,"sobre","bajo")))))</f>
        <v/>
      </c>
      <c r="J107" s="24">
        <f>IF($A107="","",IF(AND(J29=0,J48=0),"",IF(J29=0,"sobre",IF(ABS(J69/J29)&lt;=p_tolerancia_desviacion_presupuesto,"dentro",IF(J69&gt;0,"sobre","bajo")))))</f>
        <v/>
      </c>
      <c r="K107" s="24">
        <f>IF($A107="","",IF(AND(K29=0,K48=0),"",IF(K29=0,"sobre",IF(ABS(K69/K29)&lt;=p_tolerancia_desviacion_presupuesto,"dentro",IF(K69&gt;0,"sobre","bajo")))))</f>
        <v/>
      </c>
      <c r="L107" s="24">
        <f>IF($A107="","",IF(AND(L29=0,L48=0),"",IF(L29=0,"sobre",IF(ABS(L69/L29)&lt;=p_tolerancia_desviacion_presupuesto,"dentro",IF(L69&gt;0,"sobre","bajo")))))</f>
        <v/>
      </c>
      <c r="M107" s="24">
        <f>IF($A107="","",IF(AND(M29=0,M48=0),"",IF(M29=0,"sobre",IF(ABS(M69/M29)&lt;=p_tolerancia_desviacion_presupuesto,"dentro",IF(M69&gt;0,"sobre","bajo")))))</f>
        <v/>
      </c>
      <c r="N107" s="24">
        <f>IF($A107="","",IF(AND(N29=0,N48=0),"",IF(N29=0,"sobre",IF(ABS(N69/N29)&lt;=p_tolerancia_desviacion_presupuesto,"dentro",IF(N69&gt;0,"sobre","bajo")))))</f>
        <v/>
      </c>
      <c r="O107" s="24">
        <f>IF($A107="","",IF(AND($O$29=0,$O$48=0),"",IF($O$29=0,"sobre",IF(ABS($O$69/$O$29)&lt;=p_tolerancia_desviacion_presupuesto,"dentro",IF($O$69&gt;0,"sobre","bajo")))))</f>
        <v/>
      </c>
    </row>
    <row r="108">
      <c r="A108" s="24">
        <f>$A$10</f>
        <v/>
      </c>
      <c r="B108" s="24">
        <f>$B$10</f>
        <v/>
      </c>
      <c r="C108" s="24">
        <f>IF($A108="","",IF(AND(C30=0,C49=0),"",IF(C30=0,"sobre",IF(ABS(C70/C30)&lt;=p_tolerancia_desviacion_presupuesto,"dentro",IF(C70&gt;0,"sobre","bajo")))))</f>
        <v/>
      </c>
      <c r="D108" s="24">
        <f>IF($A108="","",IF(AND(D30=0,D49=0),"",IF(D30=0,"sobre",IF(ABS(D70/D30)&lt;=p_tolerancia_desviacion_presupuesto,"dentro",IF(D70&gt;0,"sobre","bajo")))))</f>
        <v/>
      </c>
      <c r="E108" s="24">
        <f>IF($A108="","",IF(AND(E30=0,E49=0),"",IF(E30=0,"sobre",IF(ABS(E70/E30)&lt;=p_tolerancia_desviacion_presupuesto,"dentro",IF(E70&gt;0,"sobre","bajo")))))</f>
        <v/>
      </c>
      <c r="F108" s="24">
        <f>IF($A108="","",IF(AND(F30=0,F49=0),"",IF(F30=0,"sobre",IF(ABS(F70/F30)&lt;=p_tolerancia_desviacion_presupuesto,"dentro",IF(F70&gt;0,"sobre","bajo")))))</f>
        <v/>
      </c>
      <c r="G108" s="24">
        <f>IF($A108="","",IF(AND(G30=0,G49=0),"",IF(G30=0,"sobre",IF(ABS(G70/G30)&lt;=p_tolerancia_desviacion_presupuesto,"dentro",IF(G70&gt;0,"sobre","bajo")))))</f>
        <v/>
      </c>
      <c r="H108" s="24">
        <f>IF($A108="","",IF(AND(H30=0,H49=0),"",IF(H30=0,"sobre",IF(ABS(H70/H30)&lt;=p_tolerancia_desviacion_presupuesto,"dentro",IF(H70&gt;0,"sobre","bajo")))))</f>
        <v/>
      </c>
      <c r="I108" s="24">
        <f>IF($A108="","",IF(AND(I30=0,I49=0),"",IF(I30=0,"sobre",IF(ABS(I70/I30)&lt;=p_tolerancia_desviacion_presupuesto,"dentro",IF(I70&gt;0,"sobre","bajo")))))</f>
        <v/>
      </c>
      <c r="J108" s="24">
        <f>IF($A108="","",IF(AND(J30=0,J49=0),"",IF(J30=0,"sobre",IF(ABS(J70/J30)&lt;=p_tolerancia_desviacion_presupuesto,"dentro",IF(J70&gt;0,"sobre","bajo")))))</f>
        <v/>
      </c>
      <c r="K108" s="24">
        <f>IF($A108="","",IF(AND(K30=0,K49=0),"",IF(K30=0,"sobre",IF(ABS(K70/K30)&lt;=p_tolerancia_desviacion_presupuesto,"dentro",IF(K70&gt;0,"sobre","bajo")))))</f>
        <v/>
      </c>
      <c r="L108" s="24">
        <f>IF($A108="","",IF(AND(L30=0,L49=0),"",IF(L30=0,"sobre",IF(ABS(L70/L30)&lt;=p_tolerancia_desviacion_presupuesto,"dentro",IF(L70&gt;0,"sobre","bajo")))))</f>
        <v/>
      </c>
      <c r="M108" s="24">
        <f>IF($A108="","",IF(AND(M30=0,M49=0),"",IF(M30=0,"sobre",IF(ABS(M70/M30)&lt;=p_tolerancia_desviacion_presupuesto,"dentro",IF(M70&gt;0,"sobre","bajo")))))</f>
        <v/>
      </c>
      <c r="N108" s="24">
        <f>IF($A108="","",IF(AND(N30=0,N49=0),"",IF(N30=0,"sobre",IF(ABS(N70/N30)&lt;=p_tolerancia_desviacion_presupuesto,"dentro",IF(N70&gt;0,"sobre","bajo")))))</f>
        <v/>
      </c>
      <c r="O108" s="24">
        <f>IF($A108="","",IF(AND($O$30=0,$O$49=0),"",IF($O$30=0,"sobre",IF(ABS($O$70/$O$30)&lt;=p_tolerancia_desviacion_presupuesto,"dentro",IF($O$70&gt;0,"sobre","bajo")))))</f>
        <v/>
      </c>
    </row>
    <row r="109">
      <c r="A109" s="24">
        <f>$A$11</f>
        <v/>
      </c>
      <c r="B109" s="24">
        <f>$B$11</f>
        <v/>
      </c>
      <c r="C109" s="24">
        <f>IF($A109="","",IF(AND(C31=0,C50=0),"",IF(C31=0,"sobre",IF(ABS(C71/C31)&lt;=p_tolerancia_desviacion_presupuesto,"dentro",IF(C71&gt;0,"sobre","bajo")))))</f>
        <v/>
      </c>
      <c r="D109" s="24">
        <f>IF($A109="","",IF(AND(D31=0,D50=0),"",IF(D31=0,"sobre",IF(ABS(D71/D31)&lt;=p_tolerancia_desviacion_presupuesto,"dentro",IF(D71&gt;0,"sobre","bajo")))))</f>
        <v/>
      </c>
      <c r="E109" s="24">
        <f>IF($A109="","",IF(AND(E31=0,E50=0),"",IF(E31=0,"sobre",IF(ABS(E71/E31)&lt;=p_tolerancia_desviacion_presupuesto,"dentro",IF(E71&gt;0,"sobre","bajo")))))</f>
        <v/>
      </c>
      <c r="F109" s="24">
        <f>IF($A109="","",IF(AND(F31=0,F50=0),"",IF(F31=0,"sobre",IF(ABS(F71/F31)&lt;=p_tolerancia_desviacion_presupuesto,"dentro",IF(F71&gt;0,"sobre","bajo")))))</f>
        <v/>
      </c>
      <c r="G109" s="24">
        <f>IF($A109="","",IF(AND(G31=0,G50=0),"",IF(G31=0,"sobre",IF(ABS(G71/G31)&lt;=p_tolerancia_desviacion_presupuesto,"dentro",IF(G71&gt;0,"sobre","bajo")))))</f>
        <v/>
      </c>
      <c r="H109" s="24">
        <f>IF($A109="","",IF(AND(H31=0,H50=0),"",IF(H31=0,"sobre",IF(ABS(H71/H31)&lt;=p_tolerancia_desviacion_presupuesto,"dentro",IF(H71&gt;0,"sobre","bajo")))))</f>
        <v/>
      </c>
      <c r="I109" s="24">
        <f>IF($A109="","",IF(AND(I31=0,I50=0),"",IF(I31=0,"sobre",IF(ABS(I71/I31)&lt;=p_tolerancia_desviacion_presupuesto,"dentro",IF(I71&gt;0,"sobre","bajo")))))</f>
        <v/>
      </c>
      <c r="J109" s="24">
        <f>IF($A109="","",IF(AND(J31=0,J50=0),"",IF(J31=0,"sobre",IF(ABS(J71/J31)&lt;=p_tolerancia_desviacion_presupuesto,"dentro",IF(J71&gt;0,"sobre","bajo")))))</f>
        <v/>
      </c>
      <c r="K109" s="24">
        <f>IF($A109="","",IF(AND(K31=0,K50=0),"",IF(K31=0,"sobre",IF(ABS(K71/K31)&lt;=p_tolerancia_desviacion_presupuesto,"dentro",IF(K71&gt;0,"sobre","bajo")))))</f>
        <v/>
      </c>
      <c r="L109" s="24">
        <f>IF($A109="","",IF(AND(L31=0,L50=0),"",IF(L31=0,"sobre",IF(ABS(L71/L31)&lt;=p_tolerancia_desviacion_presupuesto,"dentro",IF(L71&gt;0,"sobre","bajo")))))</f>
        <v/>
      </c>
      <c r="M109" s="24">
        <f>IF($A109="","",IF(AND(M31=0,M50=0),"",IF(M31=0,"sobre",IF(ABS(M71/M31)&lt;=p_tolerancia_desviacion_presupuesto,"dentro",IF(M71&gt;0,"sobre","bajo")))))</f>
        <v/>
      </c>
      <c r="N109" s="24">
        <f>IF($A109="","",IF(AND(N31=0,N50=0),"",IF(N31=0,"sobre",IF(ABS(N71/N31)&lt;=p_tolerancia_desviacion_presupuesto,"dentro",IF(N71&gt;0,"sobre","bajo")))))</f>
        <v/>
      </c>
      <c r="O109" s="24">
        <f>IF($A109="","",IF(AND($O$31=0,$O$50=0),"",IF($O$31=0,"sobre",IF(ABS($O$71/$O$31)&lt;=p_tolerancia_desviacion_presupuesto,"dentro",IF($O$71&gt;0,"sobre","bajo")))))</f>
        <v/>
      </c>
    </row>
    <row r="110">
      <c r="A110" s="24">
        <f>$A$12</f>
        <v/>
      </c>
      <c r="B110" s="24">
        <f>$B$12</f>
        <v/>
      </c>
      <c r="C110" s="24">
        <f>IF($A110="","",IF(AND(C32=0,C51=0),"",IF(C32=0,"sobre",IF(ABS(C72/C32)&lt;=p_tolerancia_desviacion_presupuesto,"dentro",IF(C72&gt;0,"sobre","bajo")))))</f>
        <v/>
      </c>
      <c r="D110" s="24">
        <f>IF($A110="","",IF(AND(D32=0,D51=0),"",IF(D32=0,"sobre",IF(ABS(D72/D32)&lt;=p_tolerancia_desviacion_presupuesto,"dentro",IF(D72&gt;0,"sobre","bajo")))))</f>
        <v/>
      </c>
      <c r="E110" s="24">
        <f>IF($A110="","",IF(AND(E32=0,E51=0),"",IF(E32=0,"sobre",IF(ABS(E72/E32)&lt;=p_tolerancia_desviacion_presupuesto,"dentro",IF(E72&gt;0,"sobre","bajo")))))</f>
        <v/>
      </c>
      <c r="F110" s="24">
        <f>IF($A110="","",IF(AND(F32=0,F51=0),"",IF(F32=0,"sobre",IF(ABS(F72/F32)&lt;=p_tolerancia_desviacion_presupuesto,"dentro",IF(F72&gt;0,"sobre","bajo")))))</f>
        <v/>
      </c>
      <c r="G110" s="24">
        <f>IF($A110="","",IF(AND(G32=0,G51=0),"",IF(G32=0,"sobre",IF(ABS(G72/G32)&lt;=p_tolerancia_desviacion_presupuesto,"dentro",IF(G72&gt;0,"sobre","bajo")))))</f>
        <v/>
      </c>
      <c r="H110" s="24">
        <f>IF($A110="","",IF(AND(H32=0,H51=0),"",IF(H32=0,"sobre",IF(ABS(H72/H32)&lt;=p_tolerancia_desviacion_presupuesto,"dentro",IF(H72&gt;0,"sobre","bajo")))))</f>
        <v/>
      </c>
      <c r="I110" s="24">
        <f>IF($A110="","",IF(AND(I32=0,I51=0),"",IF(I32=0,"sobre",IF(ABS(I72/I32)&lt;=p_tolerancia_desviacion_presupuesto,"dentro",IF(I72&gt;0,"sobre","bajo")))))</f>
        <v/>
      </c>
      <c r="J110" s="24">
        <f>IF($A110="","",IF(AND(J32=0,J51=0),"",IF(J32=0,"sobre",IF(ABS(J72/J32)&lt;=p_tolerancia_desviacion_presupuesto,"dentro",IF(J72&gt;0,"sobre","bajo")))))</f>
        <v/>
      </c>
      <c r="K110" s="24">
        <f>IF($A110="","",IF(AND(K32=0,K51=0),"",IF(K32=0,"sobre",IF(ABS(K72/K32)&lt;=p_tolerancia_desviacion_presupuesto,"dentro",IF(K72&gt;0,"sobre","bajo")))))</f>
        <v/>
      </c>
      <c r="L110" s="24">
        <f>IF($A110="","",IF(AND(L32=0,L51=0),"",IF(L32=0,"sobre",IF(ABS(L72/L32)&lt;=p_tolerancia_desviacion_presupuesto,"dentro",IF(L72&gt;0,"sobre","bajo")))))</f>
        <v/>
      </c>
      <c r="M110" s="24">
        <f>IF($A110="","",IF(AND(M32=0,M51=0),"",IF(M32=0,"sobre",IF(ABS(M72/M32)&lt;=p_tolerancia_desviacion_presupuesto,"dentro",IF(M72&gt;0,"sobre","bajo")))))</f>
        <v/>
      </c>
      <c r="N110" s="24">
        <f>IF($A110="","",IF(AND(N32=0,N51=0),"",IF(N32=0,"sobre",IF(ABS(N72/N32)&lt;=p_tolerancia_desviacion_presupuesto,"dentro",IF(N72&gt;0,"sobre","bajo")))))</f>
        <v/>
      </c>
      <c r="O110" s="24">
        <f>IF($A110="","",IF(AND($O$32=0,$O$51=0),"",IF($O$32=0,"sobre",IF(ABS($O$72/$O$32)&lt;=p_tolerancia_desviacion_presupuesto,"dentro",IF($O$72&gt;0,"sobre","bajo")))))</f>
        <v/>
      </c>
    </row>
    <row r="111">
      <c r="A111" s="24">
        <f>$A$13</f>
        <v/>
      </c>
      <c r="B111" s="24">
        <f>$B$13</f>
        <v/>
      </c>
      <c r="C111" s="24">
        <f>IF($A111="","",IF(AND(C33=0,C52=0),"",IF(C33=0,"sobre",IF(ABS(C73/C33)&lt;=p_tolerancia_desviacion_presupuesto,"dentro",IF(C73&gt;0,"sobre","bajo")))))</f>
        <v/>
      </c>
      <c r="D111" s="24">
        <f>IF($A111="","",IF(AND(D33=0,D52=0),"",IF(D33=0,"sobre",IF(ABS(D73/D33)&lt;=p_tolerancia_desviacion_presupuesto,"dentro",IF(D73&gt;0,"sobre","bajo")))))</f>
        <v/>
      </c>
      <c r="E111" s="24">
        <f>IF($A111="","",IF(AND(E33=0,E52=0),"",IF(E33=0,"sobre",IF(ABS(E73/E33)&lt;=p_tolerancia_desviacion_presupuesto,"dentro",IF(E73&gt;0,"sobre","bajo")))))</f>
        <v/>
      </c>
      <c r="F111" s="24">
        <f>IF($A111="","",IF(AND(F33=0,F52=0),"",IF(F33=0,"sobre",IF(ABS(F73/F33)&lt;=p_tolerancia_desviacion_presupuesto,"dentro",IF(F73&gt;0,"sobre","bajo")))))</f>
        <v/>
      </c>
      <c r="G111" s="24">
        <f>IF($A111="","",IF(AND(G33=0,G52=0),"",IF(G33=0,"sobre",IF(ABS(G73/G33)&lt;=p_tolerancia_desviacion_presupuesto,"dentro",IF(G73&gt;0,"sobre","bajo")))))</f>
        <v/>
      </c>
      <c r="H111" s="24">
        <f>IF($A111="","",IF(AND(H33=0,H52=0),"",IF(H33=0,"sobre",IF(ABS(H73/H33)&lt;=p_tolerancia_desviacion_presupuesto,"dentro",IF(H73&gt;0,"sobre","bajo")))))</f>
        <v/>
      </c>
      <c r="I111" s="24">
        <f>IF($A111="","",IF(AND(I33=0,I52=0),"",IF(I33=0,"sobre",IF(ABS(I73/I33)&lt;=p_tolerancia_desviacion_presupuesto,"dentro",IF(I73&gt;0,"sobre","bajo")))))</f>
        <v/>
      </c>
      <c r="J111" s="24">
        <f>IF($A111="","",IF(AND(J33=0,J52=0),"",IF(J33=0,"sobre",IF(ABS(J73/J33)&lt;=p_tolerancia_desviacion_presupuesto,"dentro",IF(J73&gt;0,"sobre","bajo")))))</f>
        <v/>
      </c>
      <c r="K111" s="24">
        <f>IF($A111="","",IF(AND(K33=0,K52=0),"",IF(K33=0,"sobre",IF(ABS(K73/K33)&lt;=p_tolerancia_desviacion_presupuesto,"dentro",IF(K73&gt;0,"sobre","bajo")))))</f>
        <v/>
      </c>
      <c r="L111" s="24">
        <f>IF($A111="","",IF(AND(L33=0,L52=0),"",IF(L33=0,"sobre",IF(ABS(L73/L33)&lt;=p_tolerancia_desviacion_presupuesto,"dentro",IF(L73&gt;0,"sobre","bajo")))))</f>
        <v/>
      </c>
      <c r="M111" s="24">
        <f>IF($A111="","",IF(AND(M33=0,M52=0),"",IF(M33=0,"sobre",IF(ABS(M73/M33)&lt;=p_tolerancia_desviacion_presupuesto,"dentro",IF(M73&gt;0,"sobre","bajo")))))</f>
        <v/>
      </c>
      <c r="N111" s="24">
        <f>IF($A111="","",IF(AND(N33=0,N52=0),"",IF(N33=0,"sobre",IF(ABS(N73/N33)&lt;=p_tolerancia_desviacion_presupuesto,"dentro",IF(N73&gt;0,"sobre","bajo")))))</f>
        <v/>
      </c>
      <c r="O111" s="24">
        <f>IF($A111="","",IF(AND($O$33=0,$O$52=0),"",IF($O$33=0,"sobre",IF(ABS($O$73/$O$33)&lt;=p_tolerancia_desviacion_presupuesto,"dentro",IF($O$73&gt;0,"sobre","bajo")))))</f>
        <v/>
      </c>
    </row>
    <row r="112">
      <c r="A112" s="24">
        <f>$A$14</f>
        <v/>
      </c>
      <c r="B112" s="24">
        <f>$B$14</f>
        <v/>
      </c>
      <c r="C112" s="24">
        <f>IF($A112="","",IF(AND(C34=0,C53=0),"",IF(C34=0,"sobre",IF(ABS(C74/C34)&lt;=p_tolerancia_desviacion_presupuesto,"dentro",IF(C74&gt;0,"sobre","bajo")))))</f>
        <v/>
      </c>
      <c r="D112" s="24">
        <f>IF($A112="","",IF(AND(D34=0,D53=0),"",IF(D34=0,"sobre",IF(ABS(D74/D34)&lt;=p_tolerancia_desviacion_presupuesto,"dentro",IF(D74&gt;0,"sobre","bajo")))))</f>
        <v/>
      </c>
      <c r="E112" s="24">
        <f>IF($A112="","",IF(AND(E34=0,E53=0),"",IF(E34=0,"sobre",IF(ABS(E74/E34)&lt;=p_tolerancia_desviacion_presupuesto,"dentro",IF(E74&gt;0,"sobre","bajo")))))</f>
        <v/>
      </c>
      <c r="F112" s="24">
        <f>IF($A112="","",IF(AND(F34=0,F53=0),"",IF(F34=0,"sobre",IF(ABS(F74/F34)&lt;=p_tolerancia_desviacion_presupuesto,"dentro",IF(F74&gt;0,"sobre","bajo")))))</f>
        <v/>
      </c>
      <c r="G112" s="24">
        <f>IF($A112="","",IF(AND(G34=0,G53=0),"",IF(G34=0,"sobre",IF(ABS(G74/G34)&lt;=p_tolerancia_desviacion_presupuesto,"dentro",IF(G74&gt;0,"sobre","bajo")))))</f>
        <v/>
      </c>
      <c r="H112" s="24">
        <f>IF($A112="","",IF(AND(H34=0,H53=0),"",IF(H34=0,"sobre",IF(ABS(H74/H34)&lt;=p_tolerancia_desviacion_presupuesto,"dentro",IF(H74&gt;0,"sobre","bajo")))))</f>
        <v/>
      </c>
      <c r="I112" s="24">
        <f>IF($A112="","",IF(AND(I34=0,I53=0),"",IF(I34=0,"sobre",IF(ABS(I74/I34)&lt;=p_tolerancia_desviacion_presupuesto,"dentro",IF(I74&gt;0,"sobre","bajo")))))</f>
        <v/>
      </c>
      <c r="J112" s="24">
        <f>IF($A112="","",IF(AND(J34=0,J53=0),"",IF(J34=0,"sobre",IF(ABS(J74/J34)&lt;=p_tolerancia_desviacion_presupuesto,"dentro",IF(J74&gt;0,"sobre","bajo")))))</f>
        <v/>
      </c>
      <c r="K112" s="24">
        <f>IF($A112="","",IF(AND(K34=0,K53=0),"",IF(K34=0,"sobre",IF(ABS(K74/K34)&lt;=p_tolerancia_desviacion_presupuesto,"dentro",IF(K74&gt;0,"sobre","bajo")))))</f>
        <v/>
      </c>
      <c r="L112" s="24">
        <f>IF($A112="","",IF(AND(L34=0,L53=0),"",IF(L34=0,"sobre",IF(ABS(L74/L34)&lt;=p_tolerancia_desviacion_presupuesto,"dentro",IF(L74&gt;0,"sobre","bajo")))))</f>
        <v/>
      </c>
      <c r="M112" s="24">
        <f>IF($A112="","",IF(AND(M34=0,M53=0),"",IF(M34=0,"sobre",IF(ABS(M74/M34)&lt;=p_tolerancia_desviacion_presupuesto,"dentro",IF(M74&gt;0,"sobre","bajo")))))</f>
        <v/>
      </c>
      <c r="N112" s="24">
        <f>IF($A112="","",IF(AND(N34=0,N53=0),"",IF(N34=0,"sobre",IF(ABS(N74/N34)&lt;=p_tolerancia_desviacion_presupuesto,"dentro",IF(N74&gt;0,"sobre","bajo")))))</f>
        <v/>
      </c>
      <c r="O112" s="24">
        <f>IF($A112="","",IF(AND($O$34=0,$O$53=0),"",IF($O$34=0,"sobre",IF(ABS($O$74/$O$34)&lt;=p_tolerancia_desviacion_presupuesto,"dentro",IF($O$74&gt;0,"sobre","bajo")))))</f>
        <v/>
      </c>
    </row>
    <row r="113">
      <c r="A113" s="24">
        <f>$A$15</f>
        <v/>
      </c>
      <c r="B113" s="24">
        <f>$B$15</f>
        <v/>
      </c>
      <c r="C113" s="24">
        <f>IF($A113="","",IF(AND(C35=0,C54=0),"",IF(C35=0,"sobre",IF(ABS(C75/C35)&lt;=p_tolerancia_desviacion_presupuesto,"dentro",IF(C75&gt;0,"sobre","bajo")))))</f>
        <v/>
      </c>
      <c r="D113" s="24">
        <f>IF($A113="","",IF(AND(D35=0,D54=0),"",IF(D35=0,"sobre",IF(ABS(D75/D35)&lt;=p_tolerancia_desviacion_presupuesto,"dentro",IF(D75&gt;0,"sobre","bajo")))))</f>
        <v/>
      </c>
      <c r="E113" s="24">
        <f>IF($A113="","",IF(AND(E35=0,E54=0),"",IF(E35=0,"sobre",IF(ABS(E75/E35)&lt;=p_tolerancia_desviacion_presupuesto,"dentro",IF(E75&gt;0,"sobre","bajo")))))</f>
        <v/>
      </c>
      <c r="F113" s="24">
        <f>IF($A113="","",IF(AND(F35=0,F54=0),"",IF(F35=0,"sobre",IF(ABS(F75/F35)&lt;=p_tolerancia_desviacion_presupuesto,"dentro",IF(F75&gt;0,"sobre","bajo")))))</f>
        <v/>
      </c>
      <c r="G113" s="24">
        <f>IF($A113="","",IF(AND(G35=0,G54=0),"",IF(G35=0,"sobre",IF(ABS(G75/G35)&lt;=p_tolerancia_desviacion_presupuesto,"dentro",IF(G75&gt;0,"sobre","bajo")))))</f>
        <v/>
      </c>
      <c r="H113" s="24">
        <f>IF($A113="","",IF(AND(H35=0,H54=0),"",IF(H35=0,"sobre",IF(ABS(H75/H35)&lt;=p_tolerancia_desviacion_presupuesto,"dentro",IF(H75&gt;0,"sobre","bajo")))))</f>
        <v/>
      </c>
      <c r="I113" s="24">
        <f>IF($A113="","",IF(AND(I35=0,I54=0),"",IF(I35=0,"sobre",IF(ABS(I75/I35)&lt;=p_tolerancia_desviacion_presupuesto,"dentro",IF(I75&gt;0,"sobre","bajo")))))</f>
        <v/>
      </c>
      <c r="J113" s="24">
        <f>IF($A113="","",IF(AND(J35=0,J54=0),"",IF(J35=0,"sobre",IF(ABS(J75/J35)&lt;=p_tolerancia_desviacion_presupuesto,"dentro",IF(J75&gt;0,"sobre","bajo")))))</f>
        <v/>
      </c>
      <c r="K113" s="24">
        <f>IF($A113="","",IF(AND(K35=0,K54=0),"",IF(K35=0,"sobre",IF(ABS(K75/K35)&lt;=p_tolerancia_desviacion_presupuesto,"dentro",IF(K75&gt;0,"sobre","bajo")))))</f>
        <v/>
      </c>
      <c r="L113" s="24">
        <f>IF($A113="","",IF(AND(L35=0,L54=0),"",IF(L35=0,"sobre",IF(ABS(L75/L35)&lt;=p_tolerancia_desviacion_presupuesto,"dentro",IF(L75&gt;0,"sobre","bajo")))))</f>
        <v/>
      </c>
      <c r="M113" s="24">
        <f>IF($A113="","",IF(AND(M35=0,M54=0),"",IF(M35=0,"sobre",IF(ABS(M75/M35)&lt;=p_tolerancia_desviacion_presupuesto,"dentro",IF(M75&gt;0,"sobre","bajo")))))</f>
        <v/>
      </c>
      <c r="N113" s="24">
        <f>IF($A113="","",IF(AND(N35=0,N54=0),"",IF(N35=0,"sobre",IF(ABS(N75/N35)&lt;=p_tolerancia_desviacion_presupuesto,"dentro",IF(N75&gt;0,"sobre","bajo")))))</f>
        <v/>
      </c>
      <c r="O113" s="24">
        <f>IF($A113="","",IF(AND($O$35=0,$O$54=0),"",IF($O$35=0,"sobre",IF(ABS($O$75/$O$35)&lt;=p_tolerancia_desviacion_presupuesto,"dentro",IF($O$75&gt;0,"sobre","bajo")))))</f>
        <v/>
      </c>
    </row>
    <row r="114">
      <c r="A114" s="24">
        <f>$A$16</f>
        <v/>
      </c>
      <c r="B114" s="24">
        <f>$B$16</f>
        <v/>
      </c>
      <c r="C114" s="24">
        <f>IF($A114="","",IF(AND(C36=0,C55=0),"",IF(C36=0,"sobre",IF(ABS(C76/C36)&lt;=p_tolerancia_desviacion_presupuesto,"dentro",IF(C76&gt;0,"sobre","bajo")))))</f>
        <v/>
      </c>
      <c r="D114" s="24">
        <f>IF($A114="","",IF(AND(D36=0,D55=0),"",IF(D36=0,"sobre",IF(ABS(D76/D36)&lt;=p_tolerancia_desviacion_presupuesto,"dentro",IF(D76&gt;0,"sobre","bajo")))))</f>
        <v/>
      </c>
      <c r="E114" s="24">
        <f>IF($A114="","",IF(AND(E36=0,E55=0),"",IF(E36=0,"sobre",IF(ABS(E76/E36)&lt;=p_tolerancia_desviacion_presupuesto,"dentro",IF(E76&gt;0,"sobre","bajo")))))</f>
        <v/>
      </c>
      <c r="F114" s="24">
        <f>IF($A114="","",IF(AND(F36=0,F55=0),"",IF(F36=0,"sobre",IF(ABS(F76/F36)&lt;=p_tolerancia_desviacion_presupuesto,"dentro",IF(F76&gt;0,"sobre","bajo")))))</f>
        <v/>
      </c>
      <c r="G114" s="24">
        <f>IF($A114="","",IF(AND(G36=0,G55=0),"",IF(G36=0,"sobre",IF(ABS(G76/G36)&lt;=p_tolerancia_desviacion_presupuesto,"dentro",IF(G76&gt;0,"sobre","bajo")))))</f>
        <v/>
      </c>
      <c r="H114" s="24">
        <f>IF($A114="","",IF(AND(H36=0,H55=0),"",IF(H36=0,"sobre",IF(ABS(H76/H36)&lt;=p_tolerancia_desviacion_presupuesto,"dentro",IF(H76&gt;0,"sobre","bajo")))))</f>
        <v/>
      </c>
      <c r="I114" s="24">
        <f>IF($A114="","",IF(AND(I36=0,I55=0),"",IF(I36=0,"sobre",IF(ABS(I76/I36)&lt;=p_tolerancia_desviacion_presupuesto,"dentro",IF(I76&gt;0,"sobre","bajo")))))</f>
        <v/>
      </c>
      <c r="J114" s="24">
        <f>IF($A114="","",IF(AND(J36=0,J55=0),"",IF(J36=0,"sobre",IF(ABS(J76/J36)&lt;=p_tolerancia_desviacion_presupuesto,"dentro",IF(J76&gt;0,"sobre","bajo")))))</f>
        <v/>
      </c>
      <c r="K114" s="24">
        <f>IF($A114="","",IF(AND(K36=0,K55=0),"",IF(K36=0,"sobre",IF(ABS(K76/K36)&lt;=p_tolerancia_desviacion_presupuesto,"dentro",IF(K76&gt;0,"sobre","bajo")))))</f>
        <v/>
      </c>
      <c r="L114" s="24">
        <f>IF($A114="","",IF(AND(L36=0,L55=0),"",IF(L36=0,"sobre",IF(ABS(L76/L36)&lt;=p_tolerancia_desviacion_presupuesto,"dentro",IF(L76&gt;0,"sobre","bajo")))))</f>
        <v/>
      </c>
      <c r="M114" s="24">
        <f>IF($A114="","",IF(AND(M36=0,M55=0),"",IF(M36=0,"sobre",IF(ABS(M76/M36)&lt;=p_tolerancia_desviacion_presupuesto,"dentro",IF(M76&gt;0,"sobre","bajo")))))</f>
        <v/>
      </c>
      <c r="N114" s="24">
        <f>IF($A114="","",IF(AND(N36=0,N55=0),"",IF(N36=0,"sobre",IF(ABS(N76/N36)&lt;=p_tolerancia_desviacion_presupuesto,"dentro",IF(N76&gt;0,"sobre","bajo")))))</f>
        <v/>
      </c>
      <c r="O114" s="24">
        <f>IF($A114="","",IF(AND($O$36=0,$O$55=0),"",IF($O$36=0,"sobre",IF(ABS($O$76/$O$36)&lt;=p_tolerancia_desviacion_presupuesto,"dentro",IF($O$76&gt;0,"sobre","bajo")))))</f>
        <v/>
      </c>
    </row>
    <row r="115">
      <c r="A115" s="24">
        <f>$A$17</f>
        <v/>
      </c>
      <c r="B115" s="24">
        <f>$B$17</f>
        <v/>
      </c>
      <c r="C115" s="24">
        <f>IF($A115="","",IF(AND(C37=0,C56=0),"",IF(C37=0,"sobre",IF(ABS(C77/C37)&lt;=p_tolerancia_desviacion_presupuesto,"dentro",IF(C77&gt;0,"sobre","bajo")))))</f>
        <v/>
      </c>
      <c r="D115" s="24">
        <f>IF($A115="","",IF(AND(D37=0,D56=0),"",IF(D37=0,"sobre",IF(ABS(D77/D37)&lt;=p_tolerancia_desviacion_presupuesto,"dentro",IF(D77&gt;0,"sobre","bajo")))))</f>
        <v/>
      </c>
      <c r="E115" s="24">
        <f>IF($A115="","",IF(AND(E37=0,E56=0),"",IF(E37=0,"sobre",IF(ABS(E77/E37)&lt;=p_tolerancia_desviacion_presupuesto,"dentro",IF(E77&gt;0,"sobre","bajo")))))</f>
        <v/>
      </c>
      <c r="F115" s="24">
        <f>IF($A115="","",IF(AND(F37=0,F56=0),"",IF(F37=0,"sobre",IF(ABS(F77/F37)&lt;=p_tolerancia_desviacion_presupuesto,"dentro",IF(F77&gt;0,"sobre","bajo")))))</f>
        <v/>
      </c>
      <c r="G115" s="24">
        <f>IF($A115="","",IF(AND(G37=0,G56=0),"",IF(G37=0,"sobre",IF(ABS(G77/G37)&lt;=p_tolerancia_desviacion_presupuesto,"dentro",IF(G77&gt;0,"sobre","bajo")))))</f>
        <v/>
      </c>
      <c r="H115" s="24">
        <f>IF($A115="","",IF(AND(H37=0,H56=0),"",IF(H37=0,"sobre",IF(ABS(H77/H37)&lt;=p_tolerancia_desviacion_presupuesto,"dentro",IF(H77&gt;0,"sobre","bajo")))))</f>
        <v/>
      </c>
      <c r="I115" s="24">
        <f>IF($A115="","",IF(AND(I37=0,I56=0),"",IF(I37=0,"sobre",IF(ABS(I77/I37)&lt;=p_tolerancia_desviacion_presupuesto,"dentro",IF(I77&gt;0,"sobre","bajo")))))</f>
        <v/>
      </c>
      <c r="J115" s="24">
        <f>IF($A115="","",IF(AND(J37=0,J56=0),"",IF(J37=0,"sobre",IF(ABS(J77/J37)&lt;=p_tolerancia_desviacion_presupuesto,"dentro",IF(J77&gt;0,"sobre","bajo")))))</f>
        <v/>
      </c>
      <c r="K115" s="24">
        <f>IF($A115="","",IF(AND(K37=0,K56=0),"",IF(K37=0,"sobre",IF(ABS(K77/K37)&lt;=p_tolerancia_desviacion_presupuesto,"dentro",IF(K77&gt;0,"sobre","bajo")))))</f>
        <v/>
      </c>
      <c r="L115" s="24">
        <f>IF($A115="","",IF(AND(L37=0,L56=0),"",IF(L37=0,"sobre",IF(ABS(L77/L37)&lt;=p_tolerancia_desviacion_presupuesto,"dentro",IF(L77&gt;0,"sobre","bajo")))))</f>
        <v/>
      </c>
      <c r="M115" s="24">
        <f>IF($A115="","",IF(AND(M37=0,M56=0),"",IF(M37=0,"sobre",IF(ABS(M77/M37)&lt;=p_tolerancia_desviacion_presupuesto,"dentro",IF(M77&gt;0,"sobre","bajo")))))</f>
        <v/>
      </c>
      <c r="N115" s="24">
        <f>IF($A115="","",IF(AND(N37=0,N56=0),"",IF(N37=0,"sobre",IF(ABS(N77/N37)&lt;=p_tolerancia_desviacion_presupuesto,"dentro",IF(N77&gt;0,"sobre","bajo")))))</f>
        <v/>
      </c>
      <c r="O115" s="24">
        <f>IF($A115="","",IF(AND($O$37=0,$O$56=0),"",IF($O$37=0,"sobre",IF(ABS($O$77/$O$37)&lt;=p_tolerancia_desviacion_presupuesto,"dentro",IF($O$77&gt;0,"sobre","bajo")))))</f>
        <v/>
      </c>
    </row>
    <row r="116">
      <c r="A116" s="24">
        <f>$A$18</f>
        <v/>
      </c>
      <c r="B116" s="24">
        <f>$B$18</f>
        <v/>
      </c>
      <c r="C116" s="24">
        <f>IF($A116="","",IF(AND(C38=0,C57=0),"",IF(C38=0,"sobre",IF(ABS(C78/C38)&lt;=p_tolerancia_desviacion_presupuesto,"dentro",IF(C78&gt;0,"sobre","bajo")))))</f>
        <v/>
      </c>
      <c r="D116" s="24">
        <f>IF($A116="","",IF(AND(D38=0,D57=0),"",IF(D38=0,"sobre",IF(ABS(D78/D38)&lt;=p_tolerancia_desviacion_presupuesto,"dentro",IF(D78&gt;0,"sobre","bajo")))))</f>
        <v/>
      </c>
      <c r="E116" s="24">
        <f>IF($A116="","",IF(AND(E38=0,E57=0),"",IF(E38=0,"sobre",IF(ABS(E78/E38)&lt;=p_tolerancia_desviacion_presupuesto,"dentro",IF(E78&gt;0,"sobre","bajo")))))</f>
        <v/>
      </c>
      <c r="F116" s="24">
        <f>IF($A116="","",IF(AND(F38=0,F57=0),"",IF(F38=0,"sobre",IF(ABS(F78/F38)&lt;=p_tolerancia_desviacion_presupuesto,"dentro",IF(F78&gt;0,"sobre","bajo")))))</f>
        <v/>
      </c>
      <c r="G116" s="24">
        <f>IF($A116="","",IF(AND(G38=0,G57=0),"",IF(G38=0,"sobre",IF(ABS(G78/G38)&lt;=p_tolerancia_desviacion_presupuesto,"dentro",IF(G78&gt;0,"sobre","bajo")))))</f>
        <v/>
      </c>
      <c r="H116" s="24">
        <f>IF($A116="","",IF(AND(H38=0,H57=0),"",IF(H38=0,"sobre",IF(ABS(H78/H38)&lt;=p_tolerancia_desviacion_presupuesto,"dentro",IF(H78&gt;0,"sobre","bajo")))))</f>
        <v/>
      </c>
      <c r="I116" s="24">
        <f>IF($A116="","",IF(AND(I38=0,I57=0),"",IF(I38=0,"sobre",IF(ABS(I78/I38)&lt;=p_tolerancia_desviacion_presupuesto,"dentro",IF(I78&gt;0,"sobre","bajo")))))</f>
        <v/>
      </c>
      <c r="J116" s="24">
        <f>IF($A116="","",IF(AND(J38=0,J57=0),"",IF(J38=0,"sobre",IF(ABS(J78/J38)&lt;=p_tolerancia_desviacion_presupuesto,"dentro",IF(J78&gt;0,"sobre","bajo")))))</f>
        <v/>
      </c>
      <c r="K116" s="24">
        <f>IF($A116="","",IF(AND(K38=0,K57=0),"",IF(K38=0,"sobre",IF(ABS(K78/K38)&lt;=p_tolerancia_desviacion_presupuesto,"dentro",IF(K78&gt;0,"sobre","bajo")))))</f>
        <v/>
      </c>
      <c r="L116" s="24">
        <f>IF($A116="","",IF(AND(L38=0,L57=0),"",IF(L38=0,"sobre",IF(ABS(L78/L38)&lt;=p_tolerancia_desviacion_presupuesto,"dentro",IF(L78&gt;0,"sobre","bajo")))))</f>
        <v/>
      </c>
      <c r="M116" s="24">
        <f>IF($A116="","",IF(AND(M38=0,M57=0),"",IF(M38=0,"sobre",IF(ABS(M78/M38)&lt;=p_tolerancia_desviacion_presupuesto,"dentro",IF(M78&gt;0,"sobre","bajo")))))</f>
        <v/>
      </c>
      <c r="N116" s="24">
        <f>IF($A116="","",IF(AND(N38=0,N57=0),"",IF(N38=0,"sobre",IF(ABS(N78/N38)&lt;=p_tolerancia_desviacion_presupuesto,"dentro",IF(N78&gt;0,"sobre","bajo")))))</f>
        <v/>
      </c>
      <c r="O116" s="24">
        <f>IF($A116="","",IF(AND($O$38=0,$O$57=0),"",IF($O$38=0,"sobre",IF(ABS($O$78/$O$38)&lt;=p_tolerancia_desviacion_presupuesto,"dentro",IF($O$78&gt;0,"sobre","bajo")))))</f>
        <v/>
      </c>
    </row>
    <row r="117">
      <c r="A117" s="24">
        <f>$A$19</f>
        <v/>
      </c>
      <c r="B117" s="24">
        <f>$B$19</f>
        <v/>
      </c>
      <c r="C117" s="24">
        <f>IF($A117="","",IF(AND(C39=0,C58=0),"",IF(C39=0,"sobre",IF(ABS(C79/C39)&lt;=p_tolerancia_desviacion_presupuesto,"dentro",IF(C79&gt;0,"sobre","bajo")))))</f>
        <v/>
      </c>
      <c r="D117" s="24">
        <f>IF($A117="","",IF(AND(D39=0,D58=0),"",IF(D39=0,"sobre",IF(ABS(D79/D39)&lt;=p_tolerancia_desviacion_presupuesto,"dentro",IF(D79&gt;0,"sobre","bajo")))))</f>
        <v/>
      </c>
      <c r="E117" s="24">
        <f>IF($A117="","",IF(AND(E39=0,E58=0),"",IF(E39=0,"sobre",IF(ABS(E79/E39)&lt;=p_tolerancia_desviacion_presupuesto,"dentro",IF(E79&gt;0,"sobre","bajo")))))</f>
        <v/>
      </c>
      <c r="F117" s="24">
        <f>IF($A117="","",IF(AND(F39=0,F58=0),"",IF(F39=0,"sobre",IF(ABS(F79/F39)&lt;=p_tolerancia_desviacion_presupuesto,"dentro",IF(F79&gt;0,"sobre","bajo")))))</f>
        <v/>
      </c>
      <c r="G117" s="24">
        <f>IF($A117="","",IF(AND(G39=0,G58=0),"",IF(G39=0,"sobre",IF(ABS(G79/G39)&lt;=p_tolerancia_desviacion_presupuesto,"dentro",IF(G79&gt;0,"sobre","bajo")))))</f>
        <v/>
      </c>
      <c r="H117" s="24">
        <f>IF($A117="","",IF(AND(H39=0,H58=0),"",IF(H39=0,"sobre",IF(ABS(H79/H39)&lt;=p_tolerancia_desviacion_presupuesto,"dentro",IF(H79&gt;0,"sobre","bajo")))))</f>
        <v/>
      </c>
      <c r="I117" s="24">
        <f>IF($A117="","",IF(AND(I39=0,I58=0),"",IF(I39=0,"sobre",IF(ABS(I79/I39)&lt;=p_tolerancia_desviacion_presupuesto,"dentro",IF(I79&gt;0,"sobre","bajo")))))</f>
        <v/>
      </c>
      <c r="J117" s="24">
        <f>IF($A117="","",IF(AND(J39=0,J58=0),"",IF(J39=0,"sobre",IF(ABS(J79/J39)&lt;=p_tolerancia_desviacion_presupuesto,"dentro",IF(J79&gt;0,"sobre","bajo")))))</f>
        <v/>
      </c>
      <c r="K117" s="24">
        <f>IF($A117="","",IF(AND(K39=0,K58=0),"",IF(K39=0,"sobre",IF(ABS(K79/K39)&lt;=p_tolerancia_desviacion_presupuesto,"dentro",IF(K79&gt;0,"sobre","bajo")))))</f>
        <v/>
      </c>
      <c r="L117" s="24">
        <f>IF($A117="","",IF(AND(L39=0,L58=0),"",IF(L39=0,"sobre",IF(ABS(L79/L39)&lt;=p_tolerancia_desviacion_presupuesto,"dentro",IF(L79&gt;0,"sobre","bajo")))))</f>
        <v/>
      </c>
      <c r="M117" s="24">
        <f>IF($A117="","",IF(AND(M39=0,M58=0),"",IF(M39=0,"sobre",IF(ABS(M79/M39)&lt;=p_tolerancia_desviacion_presupuesto,"dentro",IF(M79&gt;0,"sobre","bajo")))))</f>
        <v/>
      </c>
      <c r="N117" s="24">
        <f>IF($A117="","",IF(AND(N39=0,N58=0),"",IF(N39=0,"sobre",IF(ABS(N79/N39)&lt;=p_tolerancia_desviacion_presupuesto,"dentro",IF(N79&gt;0,"sobre","bajo")))))</f>
        <v/>
      </c>
      <c r="O117" s="24">
        <f>IF($A117="","",IF(AND($O$39=0,$O$58=0),"",IF($O$39=0,"sobre",IF(ABS($O$79/$O$39)&lt;=p_tolerancia_desviacion_presupuesto,"dentro",IF($O$79&gt;0,"sobre","bajo")))))</f>
        <v/>
      </c>
    </row>
    <row r="118">
      <c r="A118" s="5" t="inlineStr">
        <is>
          <t>SIN CLASIFICAR</t>
        </is>
      </c>
      <c r="C118" s="24">
        <f>IF(AND(C40=0,C59=0),"",IF(C40=0,"sobre",IF(ABS(C80/C40)&lt;=p_tolerancia_desviacion_presupuesto,"dentro",IF(C80&gt;0,"sobre","bajo"))))</f>
        <v/>
      </c>
      <c r="D118" s="24">
        <f>IF(AND(D40=0,D59=0),"",IF(D40=0,"sobre",IF(ABS(D80/D40)&lt;=p_tolerancia_desviacion_presupuesto,"dentro",IF(D80&gt;0,"sobre","bajo"))))</f>
        <v/>
      </c>
      <c r="E118" s="24">
        <f>IF(AND(E40=0,E59=0),"",IF(E40=0,"sobre",IF(ABS(E80/E40)&lt;=p_tolerancia_desviacion_presupuesto,"dentro",IF(E80&gt;0,"sobre","bajo"))))</f>
        <v/>
      </c>
      <c r="F118" s="24">
        <f>IF(AND(F40=0,F59=0),"",IF(F40=0,"sobre",IF(ABS(F80/F40)&lt;=p_tolerancia_desviacion_presupuesto,"dentro",IF(F80&gt;0,"sobre","bajo"))))</f>
        <v/>
      </c>
      <c r="G118" s="24">
        <f>IF(AND(G40=0,G59=0),"",IF(G40=0,"sobre",IF(ABS(G80/G40)&lt;=p_tolerancia_desviacion_presupuesto,"dentro",IF(G80&gt;0,"sobre","bajo"))))</f>
        <v/>
      </c>
      <c r="H118" s="24">
        <f>IF(AND(H40=0,H59=0),"",IF(H40=0,"sobre",IF(ABS(H80/H40)&lt;=p_tolerancia_desviacion_presupuesto,"dentro",IF(H80&gt;0,"sobre","bajo"))))</f>
        <v/>
      </c>
      <c r="I118" s="24">
        <f>IF(AND(I40=0,I59=0),"",IF(I40=0,"sobre",IF(ABS(I80/I40)&lt;=p_tolerancia_desviacion_presupuesto,"dentro",IF(I80&gt;0,"sobre","bajo"))))</f>
        <v/>
      </c>
      <c r="J118" s="24">
        <f>IF(AND(J40=0,J59=0),"",IF(J40=0,"sobre",IF(ABS(J80/J40)&lt;=p_tolerancia_desviacion_presupuesto,"dentro",IF(J80&gt;0,"sobre","bajo"))))</f>
        <v/>
      </c>
      <c r="K118" s="24">
        <f>IF(AND(K40=0,K59=0),"",IF(K40=0,"sobre",IF(ABS(K80/K40)&lt;=p_tolerancia_desviacion_presupuesto,"dentro",IF(K80&gt;0,"sobre","bajo"))))</f>
        <v/>
      </c>
      <c r="L118" s="24">
        <f>IF(AND(L40=0,L59=0),"",IF(L40=0,"sobre",IF(ABS(L80/L40)&lt;=p_tolerancia_desviacion_presupuesto,"dentro",IF(L80&gt;0,"sobre","bajo"))))</f>
        <v/>
      </c>
      <c r="M118" s="24">
        <f>IF(AND(M40=0,M59=0),"",IF(M40=0,"sobre",IF(ABS(M80/M40)&lt;=p_tolerancia_desviacion_presupuesto,"dentro",IF(M80&gt;0,"sobre","bajo"))))</f>
        <v/>
      </c>
      <c r="N118" s="24">
        <f>IF(AND(N40=0,N59=0),"",IF(N40=0,"sobre",IF(ABS(N80/N40)&lt;=p_tolerancia_desviacion_presupuesto,"dentro",IF(N80&gt;0,"sobre","bajo"))))</f>
        <v/>
      </c>
      <c r="O118" s="24">
        <f>IF(AND($O$40=0,$O$59=0),"",IF($O$40=0,"sobre",IF(ABS($O$80/$O$40)&lt;=p_tolerancia_desviacion_presupuesto,"dentro",IF($O$80&gt;0,"sobre","bajo"))))</f>
        <v/>
      </c>
    </row>
    <row r="119">
      <c r="A119" s="3" t="inlineStr">
        <is>
          <t>Subtotal FIJO</t>
        </is>
      </c>
      <c r="C119" s="24">
        <f>IF(AND(C41=0,C60=0),"",IF(C41=0,"sobre",IF(ABS(C81/C41)&lt;=p_tolerancia_desviacion_presupuesto,"dentro",IF(C81&gt;0,"sobre","bajo"))))</f>
        <v/>
      </c>
      <c r="D119" s="24">
        <f>IF(AND(D41=0,D60=0),"",IF(D41=0,"sobre",IF(ABS(D81/D41)&lt;=p_tolerancia_desviacion_presupuesto,"dentro",IF(D81&gt;0,"sobre","bajo"))))</f>
        <v/>
      </c>
      <c r="E119" s="24">
        <f>IF(AND(E41=0,E60=0),"",IF(E41=0,"sobre",IF(ABS(E81/E41)&lt;=p_tolerancia_desviacion_presupuesto,"dentro",IF(E81&gt;0,"sobre","bajo"))))</f>
        <v/>
      </c>
      <c r="F119" s="24">
        <f>IF(AND(F41=0,F60=0),"",IF(F41=0,"sobre",IF(ABS(F81/F41)&lt;=p_tolerancia_desviacion_presupuesto,"dentro",IF(F81&gt;0,"sobre","bajo"))))</f>
        <v/>
      </c>
      <c r="G119" s="24">
        <f>IF(AND(G41=0,G60=0),"",IF(G41=0,"sobre",IF(ABS(G81/G41)&lt;=p_tolerancia_desviacion_presupuesto,"dentro",IF(G81&gt;0,"sobre","bajo"))))</f>
        <v/>
      </c>
      <c r="H119" s="24">
        <f>IF(AND(H41=0,H60=0),"",IF(H41=0,"sobre",IF(ABS(H81/H41)&lt;=p_tolerancia_desviacion_presupuesto,"dentro",IF(H81&gt;0,"sobre","bajo"))))</f>
        <v/>
      </c>
      <c r="I119" s="24">
        <f>IF(AND(I41=0,I60=0),"",IF(I41=0,"sobre",IF(ABS(I81/I41)&lt;=p_tolerancia_desviacion_presupuesto,"dentro",IF(I81&gt;0,"sobre","bajo"))))</f>
        <v/>
      </c>
      <c r="J119" s="24">
        <f>IF(AND(J41=0,J60=0),"",IF(J41=0,"sobre",IF(ABS(J81/J41)&lt;=p_tolerancia_desviacion_presupuesto,"dentro",IF(J81&gt;0,"sobre","bajo"))))</f>
        <v/>
      </c>
      <c r="K119" s="24">
        <f>IF(AND(K41=0,K60=0),"",IF(K41=0,"sobre",IF(ABS(K81/K41)&lt;=p_tolerancia_desviacion_presupuesto,"dentro",IF(K81&gt;0,"sobre","bajo"))))</f>
        <v/>
      </c>
      <c r="L119" s="24">
        <f>IF(AND(L41=0,L60=0),"",IF(L41=0,"sobre",IF(ABS(L81/L41)&lt;=p_tolerancia_desviacion_presupuesto,"dentro",IF(L81&gt;0,"sobre","bajo"))))</f>
        <v/>
      </c>
      <c r="M119" s="24">
        <f>IF(AND(M41=0,M60=0),"",IF(M41=0,"sobre",IF(ABS(M81/M41)&lt;=p_tolerancia_desviacion_presupuesto,"dentro",IF(M81&gt;0,"sobre","bajo"))))</f>
        <v/>
      </c>
      <c r="N119" s="24">
        <f>IF(AND(N41=0,N60=0),"",IF(N41=0,"sobre",IF(ABS(N81/N41)&lt;=p_tolerancia_desviacion_presupuesto,"dentro",IF(N81&gt;0,"sobre","bajo"))))</f>
        <v/>
      </c>
      <c r="O119" s="24">
        <f>IF(AND($O$41=0,$O$60=0),"",IF($O$41=0,"sobre",IF(ABS($O$81/$O$41)&lt;=p_tolerancia_desviacion_presupuesto,"dentro",IF($O$81&gt;0,"sobre","bajo"))))</f>
        <v/>
      </c>
    </row>
    <row r="120">
      <c r="A120" s="3" t="inlineStr">
        <is>
          <t>Subtotal VARIABLE</t>
        </is>
      </c>
      <c r="C120" s="24">
        <f>IF(AND(C42=0,C61=0),"",IF(C42=0,"sobre",IF(ABS(C82/C42)&lt;=p_tolerancia_desviacion_presupuesto,"dentro",IF(C82&gt;0,"sobre","bajo"))))</f>
        <v/>
      </c>
      <c r="D120" s="24">
        <f>IF(AND(D42=0,D61=0),"",IF(D42=0,"sobre",IF(ABS(D82/D42)&lt;=p_tolerancia_desviacion_presupuesto,"dentro",IF(D82&gt;0,"sobre","bajo"))))</f>
        <v/>
      </c>
      <c r="E120" s="24">
        <f>IF(AND(E42=0,E61=0),"",IF(E42=0,"sobre",IF(ABS(E82/E42)&lt;=p_tolerancia_desviacion_presupuesto,"dentro",IF(E82&gt;0,"sobre","bajo"))))</f>
        <v/>
      </c>
      <c r="F120" s="24">
        <f>IF(AND(F42=0,F61=0),"",IF(F42=0,"sobre",IF(ABS(F82/F42)&lt;=p_tolerancia_desviacion_presupuesto,"dentro",IF(F82&gt;0,"sobre","bajo"))))</f>
        <v/>
      </c>
      <c r="G120" s="24">
        <f>IF(AND(G42=0,G61=0),"",IF(G42=0,"sobre",IF(ABS(G82/G42)&lt;=p_tolerancia_desviacion_presupuesto,"dentro",IF(G82&gt;0,"sobre","bajo"))))</f>
        <v/>
      </c>
      <c r="H120" s="24">
        <f>IF(AND(H42=0,H61=0),"",IF(H42=0,"sobre",IF(ABS(H82/H42)&lt;=p_tolerancia_desviacion_presupuesto,"dentro",IF(H82&gt;0,"sobre","bajo"))))</f>
        <v/>
      </c>
      <c r="I120" s="24">
        <f>IF(AND(I42=0,I61=0),"",IF(I42=0,"sobre",IF(ABS(I82/I42)&lt;=p_tolerancia_desviacion_presupuesto,"dentro",IF(I82&gt;0,"sobre","bajo"))))</f>
        <v/>
      </c>
      <c r="J120" s="24">
        <f>IF(AND(J42=0,J61=0),"",IF(J42=0,"sobre",IF(ABS(J82/J42)&lt;=p_tolerancia_desviacion_presupuesto,"dentro",IF(J82&gt;0,"sobre","bajo"))))</f>
        <v/>
      </c>
      <c r="K120" s="24">
        <f>IF(AND(K42=0,K61=0),"",IF(K42=0,"sobre",IF(ABS(K82/K42)&lt;=p_tolerancia_desviacion_presupuesto,"dentro",IF(K82&gt;0,"sobre","bajo"))))</f>
        <v/>
      </c>
      <c r="L120" s="24">
        <f>IF(AND(L42=0,L61=0),"",IF(L42=0,"sobre",IF(ABS(L82/L42)&lt;=p_tolerancia_desviacion_presupuesto,"dentro",IF(L82&gt;0,"sobre","bajo"))))</f>
        <v/>
      </c>
      <c r="M120" s="24">
        <f>IF(AND(M42=0,M61=0),"",IF(M42=0,"sobre",IF(ABS(M82/M42)&lt;=p_tolerancia_desviacion_presupuesto,"dentro",IF(M82&gt;0,"sobre","bajo"))))</f>
        <v/>
      </c>
      <c r="N120" s="24">
        <f>IF(AND(N42=0,N61=0),"",IF(N42=0,"sobre",IF(ABS(N82/N42)&lt;=p_tolerancia_desviacion_presupuesto,"dentro",IF(N82&gt;0,"sobre","bajo"))))</f>
        <v/>
      </c>
      <c r="O120" s="24">
        <f>IF(AND($O$42=0,$O$61=0),"",IF($O$42=0,"sobre",IF(ABS($O$82/$O$42)&lt;=p_tolerancia_desviacion_presupuesto,"dentro",IF($O$82&gt;0,"sobre","bajo"))))</f>
        <v/>
      </c>
    </row>
    <row r="121">
      <c r="A121" s="3" t="inlineStr">
        <is>
          <t>TOTAL GENERAL</t>
        </is>
      </c>
      <c r="C121" s="24">
        <f>IF(AND(C43=0,C62=0),"",IF(C43=0,"sobre",IF(ABS(C83/C43)&lt;=p_tolerancia_desviacion_presupuesto,"dentro",IF(C83&gt;0,"sobre","bajo"))))</f>
        <v/>
      </c>
      <c r="D121" s="24">
        <f>IF(AND(D43=0,D62=0),"",IF(D43=0,"sobre",IF(ABS(D83/D43)&lt;=p_tolerancia_desviacion_presupuesto,"dentro",IF(D83&gt;0,"sobre","bajo"))))</f>
        <v/>
      </c>
      <c r="E121" s="24">
        <f>IF(AND(E43=0,E62=0),"",IF(E43=0,"sobre",IF(ABS(E83/E43)&lt;=p_tolerancia_desviacion_presupuesto,"dentro",IF(E83&gt;0,"sobre","bajo"))))</f>
        <v/>
      </c>
      <c r="F121" s="24">
        <f>IF(AND(F43=0,F62=0),"",IF(F43=0,"sobre",IF(ABS(F83/F43)&lt;=p_tolerancia_desviacion_presupuesto,"dentro",IF(F83&gt;0,"sobre","bajo"))))</f>
        <v/>
      </c>
      <c r="G121" s="24">
        <f>IF(AND(G43=0,G62=0),"",IF(G43=0,"sobre",IF(ABS(G83/G43)&lt;=p_tolerancia_desviacion_presupuesto,"dentro",IF(G83&gt;0,"sobre","bajo"))))</f>
        <v/>
      </c>
      <c r="H121" s="24">
        <f>IF(AND(H43=0,H62=0),"",IF(H43=0,"sobre",IF(ABS(H83/H43)&lt;=p_tolerancia_desviacion_presupuesto,"dentro",IF(H83&gt;0,"sobre","bajo"))))</f>
        <v/>
      </c>
      <c r="I121" s="24">
        <f>IF(AND(I43=0,I62=0),"",IF(I43=0,"sobre",IF(ABS(I83/I43)&lt;=p_tolerancia_desviacion_presupuesto,"dentro",IF(I83&gt;0,"sobre","bajo"))))</f>
        <v/>
      </c>
      <c r="J121" s="24">
        <f>IF(AND(J43=0,J62=0),"",IF(J43=0,"sobre",IF(ABS(J83/J43)&lt;=p_tolerancia_desviacion_presupuesto,"dentro",IF(J83&gt;0,"sobre","bajo"))))</f>
        <v/>
      </c>
      <c r="K121" s="24">
        <f>IF(AND(K43=0,K62=0),"",IF(K43=0,"sobre",IF(ABS(K83/K43)&lt;=p_tolerancia_desviacion_presupuesto,"dentro",IF(K83&gt;0,"sobre","bajo"))))</f>
        <v/>
      </c>
      <c r="L121" s="24">
        <f>IF(AND(L43=0,L62=0),"",IF(L43=0,"sobre",IF(ABS(L83/L43)&lt;=p_tolerancia_desviacion_presupuesto,"dentro",IF(L83&gt;0,"sobre","bajo"))))</f>
        <v/>
      </c>
      <c r="M121" s="24">
        <f>IF(AND(M43=0,M62=0),"",IF(M43=0,"sobre",IF(ABS(M83/M43)&lt;=p_tolerancia_desviacion_presupuesto,"dentro",IF(M83&gt;0,"sobre","bajo"))))</f>
        <v/>
      </c>
      <c r="N121" s="24">
        <f>IF(AND(N43=0,N62=0),"",IF(N43=0,"sobre",IF(ABS(N83/N43)&lt;=p_tolerancia_desviacion_presupuesto,"dentro",IF(N83&gt;0,"sobre","bajo"))))</f>
        <v/>
      </c>
      <c r="O121" s="24">
        <f>IF(AND($O$43=0,$O$62=0),"",IF($O$43=0,"sobre",IF(ABS($O$83/$O$43)&lt;=p_tolerancia_desviacion_presupuesto,"dentro",IF($O$83&gt;0,"sobre","bajo"))))</f>
        <v/>
      </c>
    </row>
  </sheetData>
  <conditionalFormatting sqref="Q8:Q19">
    <cfRule type="expression" priority="1" dxfId="0">
      <formula>LEFT($Q8,9)="DESCUADRE"</formula>
    </cfRule>
  </conditionalFormatting>
  <conditionalFormatting sqref="C64:O64">
    <cfRule type="cellIs" priority="2" operator="notEqual" dxfId="0">
      <formula>0</formula>
    </cfRule>
  </conditionalFormatting>
  <conditionalFormatting sqref="C106:O121">
    <cfRule type="cellIs" priority="3" operator="equal" dxfId="2">
      <formula>"dentro"</formula>
    </cfRule>
    <cfRule type="cellIs" priority="4" operator="equal" dxfId="0">
      <formula>"sobre"</formula>
    </cfRule>
    <cfRule type="cellIs" priority="5" operator="equal" dxfId="1">
      <formula>"bajo"</formula>
    </cfRule>
  </conditionalFormatting>
  <conditionalFormatting sqref="A21">
    <cfRule type="expression" priority="6" dxfId="0">
      <formula>MAX(CAT_ACTIVIDADES!$H$4:$H$26)&gt;12</formula>
    </cfRule>
  </conditionalFormatting>
  <dataValidations count="1">
    <dataValidation sqref="C8:O19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1">
        <f>"EQUIPOS CRÍTICOS — costo total de mantenimiento ("&amp;p_moneda&amp;") por equipo y mes"</f>
        <v/>
      </c>
    </row>
    <row r="2">
      <c r="A2" s="19">
        <f>HYPERLINK("#DASHBOARD!A1","◂ VOLVER AL TABLERO")</f>
        <v/>
      </c>
    </row>
    <row r="3">
      <c r="A3" s="2" t="inlineStr">
        <is>
          <t>anio</t>
        </is>
      </c>
      <c r="B3" s="2" t="n">
        <v>2026</v>
      </c>
      <c r="C3" s="2" t="n">
        <v>2026</v>
      </c>
    </row>
    <row r="4">
      <c r="A4" s="23" t="inlineStr">
        <is>
          <t>equipo \ mes</t>
        </is>
      </c>
      <c r="B4" s="23" t="n">
        <v>7</v>
      </c>
      <c r="C4" s="23" t="n">
        <v>8</v>
      </c>
      <c r="D4" s="23" t="inlineStr">
        <is>
          <t>TOTAL</t>
        </is>
      </c>
    </row>
    <row r="5">
      <c r="A5" s="24" t="inlineStr">
        <is>
          <t>EQ-EJEMPLO</t>
        </is>
      </c>
      <c r="B5" s="32">
        <f>SUMIFS('ORDENES'!$AN$4:$AN$1203,'ORDENES'!$E$4:$E$1203,$A5,'ORDENES'!$P$4:$P$1203,B$3,'ORDENES'!$Q$4:$Q$1203,B$4)</f>
        <v/>
      </c>
      <c r="C5" s="32">
        <f>SUMIFS('ORDENES'!$AN$4:$AN$1203,'ORDENES'!$E$4:$E$1203,$A5,'ORDENES'!$P$4:$P$1203,C$3,'ORDENES'!$Q$4:$Q$1203,C$4)</f>
        <v/>
      </c>
      <c r="D5" s="32">
        <f>SUM(B5:C5)</f>
        <v/>
      </c>
    </row>
    <row r="6"/>
    <row r="7">
      <c r="A7" s="2" t="inlineStr">
        <is>
          <t>Ordenado de mayor a menor gasto total (con los datos de ejemplo).</t>
        </is>
      </c>
    </row>
    <row r="8"/>
    <row r="9"/>
    <row r="10"/>
    <row r="11"/>
    <row r="12"/>
  </sheetData>
  <conditionalFormatting sqref="B5:C5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4" customWidth="1" min="5" max="5"/>
    <col width="13" customWidth="1" min="6" max="6"/>
    <col width="16" customWidth="1" min="7" max="7"/>
  </cols>
  <sheetData>
    <row r="1">
      <c r="A1" s="3" t="inlineStr">
        <is>
          <t>SEGUIMIENTO DE HORAS REALES (6.5) — capa de cumplimiento individual. 56 h en turno (48 + domingo), 48 en banco, 0 en VAC. El +8 del domingo es superávit y NO entra en PERFIL_HH (la capacidad de planificación sigue en 48 h).</t>
        </is>
      </c>
    </row>
    <row r="2">
      <c r="A2" s="19">
        <f>HYPERLINK("#DASHBOARD!A1","◂ VOLVER AL TABLERO")</f>
        <v/>
      </c>
    </row>
    <row r="3">
      <c r="A3" s="23" t="inlineStr">
        <is>
          <t>tecnico</t>
        </is>
      </c>
      <c r="B3" s="23" t="inlineStr">
        <is>
          <t>semana</t>
        </is>
      </c>
      <c r="C3" s="23" t="inlineStr">
        <is>
          <t>especialidad</t>
        </is>
      </c>
      <c r="D3" s="23" t="inlineStr">
        <is>
          <t>posicion</t>
        </is>
      </c>
      <c r="E3" s="23" t="inlineStr">
        <is>
          <t>horas_reales</t>
        </is>
      </c>
      <c r="F3" s="23" t="inlineStr">
        <is>
          <t>base_semanal</t>
        </is>
      </c>
      <c r="G3" s="23" t="inlineStr">
        <is>
          <t>superavit_deficit</t>
        </is>
      </c>
    </row>
    <row r="4">
      <c r="A4" s="24" t="inlineStr">
        <is>
          <t>Carlos Pérez</t>
        </is>
      </c>
      <c r="B4" s="24" t="inlineStr">
        <is>
          <t>2026-S30</t>
        </is>
      </c>
      <c r="C4" s="24">
        <f>IFERROR(INDEX('TECNICOS'!$C$4:$C$19,MATCH($A4,'TECNICOS'!$B$4:$B$19,0)),"")</f>
        <v/>
      </c>
      <c r="D4" s="24">
        <f>IFERROR(INDEX('ASIGNACIONES'!$G$4:$G$451,MATCH($B4&amp;"|lunes|"&amp;$A4,'ASIGNACIONES'!$N$4:$N$451,0)),"")</f>
        <v/>
      </c>
      <c r="E4" s="24">
        <f>SUMIFS('ASIGNACIONES'!$M$4:$M$451,'ASIGNACIONES'!$C$4:$C$451,$A4,'ASIGNACIONES'!$A$4:$A$451,$B4)+IF(COUNTIFS('ASIGNACIONES'!$C$4:$C$451,$A4,'ASIGNACIONES'!$A$4:$A$451,$B4,'ASIGNACIONES'!$Q$4:$Q$451,"sí")&gt;0,8,0)</f>
        <v/>
      </c>
      <c r="F4" s="24">
        <f>p_base_semanal_horas</f>
        <v/>
      </c>
      <c r="G4" s="24">
        <f>$E4-$F4</f>
        <v/>
      </c>
    </row>
    <row r="5">
      <c r="A5" s="24" t="inlineStr">
        <is>
          <t>Carlos Pérez</t>
        </is>
      </c>
      <c r="B5" s="24" t="inlineStr">
        <is>
          <t>2026-S31</t>
        </is>
      </c>
      <c r="C5" s="24">
        <f>IFERROR(INDEX('TECNICOS'!$C$4:$C$19,MATCH($A5,'TECNICOS'!$B$4:$B$19,0)),"")</f>
        <v/>
      </c>
      <c r="D5" s="24">
        <f>IFERROR(INDEX('ASIGNACIONES'!$G$4:$G$451,MATCH($B5&amp;"|lunes|"&amp;$A5,'ASIGNACIONES'!$N$4:$N$451,0)),"")</f>
        <v/>
      </c>
      <c r="E5" s="24">
        <f>SUMIFS('ASIGNACIONES'!$M$4:$M$451,'ASIGNACIONES'!$C$4:$C$451,$A5,'ASIGNACIONES'!$A$4:$A$451,$B5)+IF(COUNTIFS('ASIGNACIONES'!$C$4:$C$451,$A5,'ASIGNACIONES'!$A$4:$A$451,$B5,'ASIGNACIONES'!$Q$4:$Q$451,"sí")&gt;0,8,0)</f>
        <v/>
      </c>
      <c r="F5" s="24">
        <f>p_base_semanal_horas</f>
        <v/>
      </c>
      <c r="G5" s="24">
        <f>$E5-$F5</f>
        <v/>
      </c>
    </row>
    <row r="6">
      <c r="A6" s="24" t="inlineStr">
        <is>
          <t>Carlos Pérez</t>
        </is>
      </c>
      <c r="B6" s="24" t="inlineStr">
        <is>
          <t>2026-S32</t>
        </is>
      </c>
      <c r="C6" s="24">
        <f>IFERROR(INDEX('TECNICOS'!$C$4:$C$19,MATCH($A6,'TECNICOS'!$B$4:$B$19,0)),"")</f>
        <v/>
      </c>
      <c r="D6" s="24">
        <f>IFERROR(INDEX('ASIGNACIONES'!$G$4:$G$451,MATCH($B6&amp;"|lunes|"&amp;$A6,'ASIGNACIONES'!$N$4:$N$451,0)),"")</f>
        <v/>
      </c>
      <c r="E6" s="24">
        <f>SUMIFS('ASIGNACIONES'!$M$4:$M$451,'ASIGNACIONES'!$C$4:$C$451,$A6,'ASIGNACIONES'!$A$4:$A$451,$B6)+IF(COUNTIFS('ASIGNACIONES'!$C$4:$C$451,$A6,'ASIGNACIONES'!$A$4:$A$451,$B6,'ASIGNACIONES'!$Q$4:$Q$451,"sí")&gt;0,8,0)</f>
        <v/>
      </c>
      <c r="F6" s="24">
        <f>p_base_semanal_horas</f>
        <v/>
      </c>
      <c r="G6" s="24">
        <f>$E6-$F6</f>
        <v/>
      </c>
    </row>
    <row r="7">
      <c r="A7" s="24" t="inlineStr">
        <is>
          <t>Carlos Pérez</t>
        </is>
      </c>
      <c r="B7" s="24" t="inlineStr">
        <is>
          <t>2026-S33</t>
        </is>
      </c>
      <c r="C7" s="24">
        <f>IFERROR(INDEX('TECNICOS'!$C$4:$C$19,MATCH($A7,'TECNICOS'!$B$4:$B$19,0)),"")</f>
        <v/>
      </c>
      <c r="D7" s="24">
        <f>IFERROR(INDEX('ASIGNACIONES'!$G$4:$G$451,MATCH($B7&amp;"|lunes|"&amp;$A7,'ASIGNACIONES'!$N$4:$N$451,0)),"")</f>
        <v/>
      </c>
      <c r="E7" s="24">
        <f>SUMIFS('ASIGNACIONES'!$M$4:$M$451,'ASIGNACIONES'!$C$4:$C$451,$A7,'ASIGNACIONES'!$A$4:$A$451,$B7)+IF(COUNTIFS('ASIGNACIONES'!$C$4:$C$451,$A7,'ASIGNACIONES'!$A$4:$A$451,$B7,'ASIGNACIONES'!$Q$4:$Q$451,"sí")&gt;0,8,0)</f>
        <v/>
      </c>
      <c r="F7" s="24">
        <f>p_base_semanal_horas</f>
        <v/>
      </c>
      <c r="G7" s="24">
        <f>$E7-$F7</f>
        <v/>
      </c>
    </row>
    <row r="8">
      <c r="A8" s="24" t="inlineStr">
        <is>
          <t>María Gómez</t>
        </is>
      </c>
      <c r="B8" s="24" t="inlineStr">
        <is>
          <t>2026-S30</t>
        </is>
      </c>
      <c r="C8" s="24">
        <f>IFERROR(INDEX('TECNICOS'!$C$4:$C$19,MATCH($A8,'TECNICOS'!$B$4:$B$19,0)),"")</f>
        <v/>
      </c>
      <c r="D8" s="24">
        <f>IFERROR(INDEX('ASIGNACIONES'!$G$4:$G$451,MATCH($B8&amp;"|lunes|"&amp;$A8,'ASIGNACIONES'!$N$4:$N$451,0)),"")</f>
        <v/>
      </c>
      <c r="E8" s="24">
        <f>SUMIFS('ASIGNACIONES'!$M$4:$M$451,'ASIGNACIONES'!$C$4:$C$451,$A8,'ASIGNACIONES'!$A$4:$A$451,$B8)+IF(COUNTIFS('ASIGNACIONES'!$C$4:$C$451,$A8,'ASIGNACIONES'!$A$4:$A$451,$B8,'ASIGNACIONES'!$Q$4:$Q$451,"sí")&gt;0,8,0)</f>
        <v/>
      </c>
      <c r="F8" s="24">
        <f>p_base_semanal_horas</f>
        <v/>
      </c>
      <c r="G8" s="24">
        <f>$E8-$F8</f>
        <v/>
      </c>
    </row>
    <row r="9">
      <c r="A9" s="24" t="inlineStr">
        <is>
          <t>María Gómez</t>
        </is>
      </c>
      <c r="B9" s="24" t="inlineStr">
        <is>
          <t>2026-S31</t>
        </is>
      </c>
      <c r="C9" s="24">
        <f>IFERROR(INDEX('TECNICOS'!$C$4:$C$19,MATCH($A9,'TECNICOS'!$B$4:$B$19,0)),"")</f>
        <v/>
      </c>
      <c r="D9" s="24">
        <f>IFERROR(INDEX('ASIGNACIONES'!$G$4:$G$451,MATCH($B9&amp;"|lunes|"&amp;$A9,'ASIGNACIONES'!$N$4:$N$451,0)),"")</f>
        <v/>
      </c>
      <c r="E9" s="24">
        <f>SUMIFS('ASIGNACIONES'!$M$4:$M$451,'ASIGNACIONES'!$C$4:$C$451,$A9,'ASIGNACIONES'!$A$4:$A$451,$B9)+IF(COUNTIFS('ASIGNACIONES'!$C$4:$C$451,$A9,'ASIGNACIONES'!$A$4:$A$451,$B9,'ASIGNACIONES'!$Q$4:$Q$451,"sí")&gt;0,8,0)</f>
        <v/>
      </c>
      <c r="F9" s="24">
        <f>p_base_semanal_horas</f>
        <v/>
      </c>
      <c r="G9" s="24">
        <f>$E9-$F9</f>
        <v/>
      </c>
    </row>
    <row r="10">
      <c r="A10" s="24" t="inlineStr">
        <is>
          <t>María Gómez</t>
        </is>
      </c>
      <c r="B10" s="24" t="inlineStr">
        <is>
          <t>2026-S32</t>
        </is>
      </c>
      <c r="C10" s="24">
        <f>IFERROR(INDEX('TECNICOS'!$C$4:$C$19,MATCH($A10,'TECNICOS'!$B$4:$B$19,0)),"")</f>
        <v/>
      </c>
      <c r="D10" s="24">
        <f>IFERROR(INDEX('ASIGNACIONES'!$G$4:$G$451,MATCH($B10&amp;"|lunes|"&amp;$A10,'ASIGNACIONES'!$N$4:$N$451,0)),"")</f>
        <v/>
      </c>
      <c r="E10" s="24">
        <f>SUMIFS('ASIGNACIONES'!$M$4:$M$451,'ASIGNACIONES'!$C$4:$C$451,$A10,'ASIGNACIONES'!$A$4:$A$451,$B10)+IF(COUNTIFS('ASIGNACIONES'!$C$4:$C$451,$A10,'ASIGNACIONES'!$A$4:$A$451,$B10,'ASIGNACIONES'!$Q$4:$Q$451,"sí")&gt;0,8,0)</f>
        <v/>
      </c>
      <c r="F10" s="24">
        <f>p_base_semanal_horas</f>
        <v/>
      </c>
      <c r="G10" s="24">
        <f>$E10-$F10</f>
        <v/>
      </c>
    </row>
    <row r="11">
      <c r="A11" s="24" t="inlineStr">
        <is>
          <t>María Gómez</t>
        </is>
      </c>
      <c r="B11" s="24" t="inlineStr">
        <is>
          <t>2026-S33</t>
        </is>
      </c>
      <c r="C11" s="24">
        <f>IFERROR(INDEX('TECNICOS'!$C$4:$C$19,MATCH($A11,'TECNICOS'!$B$4:$B$19,0)),"")</f>
        <v/>
      </c>
      <c r="D11" s="24">
        <f>IFERROR(INDEX('ASIGNACIONES'!$G$4:$G$451,MATCH($B11&amp;"|lunes|"&amp;$A11,'ASIGNACIONES'!$N$4:$N$451,0)),"")</f>
        <v/>
      </c>
      <c r="E11" s="24">
        <f>SUMIFS('ASIGNACIONES'!$M$4:$M$451,'ASIGNACIONES'!$C$4:$C$451,$A11,'ASIGNACIONES'!$A$4:$A$451,$B11)+IF(COUNTIFS('ASIGNACIONES'!$C$4:$C$451,$A11,'ASIGNACIONES'!$A$4:$A$451,$B11,'ASIGNACIONES'!$Q$4:$Q$451,"sí")&gt;0,8,0)</f>
        <v/>
      </c>
      <c r="F11" s="24">
        <f>p_base_semanal_horas</f>
        <v/>
      </c>
      <c r="G11" s="24">
        <f>$E11-$F11</f>
        <v/>
      </c>
    </row>
    <row r="12">
      <c r="A12" s="24" t="inlineStr">
        <is>
          <t>Luis Rodríguez</t>
        </is>
      </c>
      <c r="B12" s="24" t="inlineStr">
        <is>
          <t>2026-S30</t>
        </is>
      </c>
      <c r="C12" s="24">
        <f>IFERROR(INDEX('TECNICOS'!$C$4:$C$19,MATCH($A12,'TECNICOS'!$B$4:$B$19,0)),"")</f>
        <v/>
      </c>
      <c r="D12" s="24">
        <f>IFERROR(INDEX('ASIGNACIONES'!$G$4:$G$451,MATCH($B12&amp;"|lunes|"&amp;$A12,'ASIGNACIONES'!$N$4:$N$451,0)),"")</f>
        <v/>
      </c>
      <c r="E12" s="24">
        <f>SUMIFS('ASIGNACIONES'!$M$4:$M$451,'ASIGNACIONES'!$C$4:$C$451,$A12,'ASIGNACIONES'!$A$4:$A$451,$B12)+IF(COUNTIFS('ASIGNACIONES'!$C$4:$C$451,$A12,'ASIGNACIONES'!$A$4:$A$451,$B12,'ASIGNACIONES'!$Q$4:$Q$451,"sí")&gt;0,8,0)</f>
        <v/>
      </c>
      <c r="F12" s="24">
        <f>p_base_semanal_horas</f>
        <v/>
      </c>
      <c r="G12" s="24">
        <f>$E12-$F12</f>
        <v/>
      </c>
    </row>
    <row r="13">
      <c r="A13" s="24" t="inlineStr">
        <is>
          <t>Luis Rodríguez</t>
        </is>
      </c>
      <c r="B13" s="24" t="inlineStr">
        <is>
          <t>2026-S31</t>
        </is>
      </c>
      <c r="C13" s="24">
        <f>IFERROR(INDEX('TECNICOS'!$C$4:$C$19,MATCH($A13,'TECNICOS'!$B$4:$B$19,0)),"")</f>
        <v/>
      </c>
      <c r="D13" s="24">
        <f>IFERROR(INDEX('ASIGNACIONES'!$G$4:$G$451,MATCH($B13&amp;"|lunes|"&amp;$A13,'ASIGNACIONES'!$N$4:$N$451,0)),"")</f>
        <v/>
      </c>
      <c r="E13" s="24">
        <f>SUMIFS('ASIGNACIONES'!$M$4:$M$451,'ASIGNACIONES'!$C$4:$C$451,$A13,'ASIGNACIONES'!$A$4:$A$451,$B13)+IF(COUNTIFS('ASIGNACIONES'!$C$4:$C$451,$A13,'ASIGNACIONES'!$A$4:$A$451,$B13,'ASIGNACIONES'!$Q$4:$Q$451,"sí")&gt;0,8,0)</f>
        <v/>
      </c>
      <c r="F13" s="24">
        <f>p_base_semanal_horas</f>
        <v/>
      </c>
      <c r="G13" s="24">
        <f>$E13-$F13</f>
        <v/>
      </c>
    </row>
    <row r="14">
      <c r="A14" s="24" t="inlineStr">
        <is>
          <t>Luis Rodríguez</t>
        </is>
      </c>
      <c r="B14" s="24" t="inlineStr">
        <is>
          <t>2026-S32</t>
        </is>
      </c>
      <c r="C14" s="24">
        <f>IFERROR(INDEX('TECNICOS'!$C$4:$C$19,MATCH($A14,'TECNICOS'!$B$4:$B$19,0)),"")</f>
        <v/>
      </c>
      <c r="D14" s="24">
        <f>IFERROR(INDEX('ASIGNACIONES'!$G$4:$G$451,MATCH($B14&amp;"|lunes|"&amp;$A14,'ASIGNACIONES'!$N$4:$N$451,0)),"")</f>
        <v/>
      </c>
      <c r="E14" s="24">
        <f>SUMIFS('ASIGNACIONES'!$M$4:$M$451,'ASIGNACIONES'!$C$4:$C$451,$A14,'ASIGNACIONES'!$A$4:$A$451,$B14)+IF(COUNTIFS('ASIGNACIONES'!$C$4:$C$451,$A14,'ASIGNACIONES'!$A$4:$A$451,$B14,'ASIGNACIONES'!$Q$4:$Q$451,"sí")&gt;0,8,0)</f>
        <v/>
      </c>
      <c r="F14" s="24">
        <f>p_base_semanal_horas</f>
        <v/>
      </c>
      <c r="G14" s="24">
        <f>$E14-$F14</f>
        <v/>
      </c>
    </row>
    <row r="15">
      <c r="A15" s="24" t="inlineStr">
        <is>
          <t>Luis Rodríguez</t>
        </is>
      </c>
      <c r="B15" s="24" t="inlineStr">
        <is>
          <t>2026-S33</t>
        </is>
      </c>
      <c r="C15" s="24">
        <f>IFERROR(INDEX('TECNICOS'!$C$4:$C$19,MATCH($A15,'TECNICOS'!$B$4:$B$19,0)),"")</f>
        <v/>
      </c>
      <c r="D15" s="24">
        <f>IFERROR(INDEX('ASIGNACIONES'!$G$4:$G$451,MATCH($B15&amp;"|lunes|"&amp;$A15,'ASIGNACIONES'!$N$4:$N$451,0)),"")</f>
        <v/>
      </c>
      <c r="E15" s="24">
        <f>SUMIFS('ASIGNACIONES'!$M$4:$M$451,'ASIGNACIONES'!$C$4:$C$451,$A15,'ASIGNACIONES'!$A$4:$A$451,$B15)+IF(COUNTIFS('ASIGNACIONES'!$C$4:$C$451,$A15,'ASIGNACIONES'!$A$4:$A$451,$B15,'ASIGNACIONES'!$Q$4:$Q$451,"sí")&gt;0,8,0)</f>
        <v/>
      </c>
      <c r="F15" s="24">
        <f>p_base_semanal_horas</f>
        <v/>
      </c>
      <c r="G15" s="24">
        <f>$E15-$F15</f>
        <v/>
      </c>
    </row>
    <row r="16">
      <c r="A16" s="24" t="inlineStr">
        <is>
          <t>Miguel Martínez</t>
        </is>
      </c>
      <c r="B16" s="24" t="inlineStr">
        <is>
          <t>2026-S30</t>
        </is>
      </c>
      <c r="C16" s="24">
        <f>IFERROR(INDEX('TECNICOS'!$C$4:$C$19,MATCH($A16,'TECNICOS'!$B$4:$B$19,0)),"")</f>
        <v/>
      </c>
      <c r="D16" s="24">
        <f>IFERROR(INDEX('ASIGNACIONES'!$G$4:$G$451,MATCH($B16&amp;"|lunes|"&amp;$A16,'ASIGNACIONES'!$N$4:$N$451,0)),"")</f>
        <v/>
      </c>
      <c r="E16" s="24">
        <f>SUMIFS('ASIGNACIONES'!$M$4:$M$451,'ASIGNACIONES'!$C$4:$C$451,$A16,'ASIGNACIONES'!$A$4:$A$451,$B16)+IF(COUNTIFS('ASIGNACIONES'!$C$4:$C$451,$A16,'ASIGNACIONES'!$A$4:$A$451,$B16,'ASIGNACIONES'!$Q$4:$Q$451,"sí")&gt;0,8,0)</f>
        <v/>
      </c>
      <c r="F16" s="24">
        <f>p_base_semanal_horas</f>
        <v/>
      </c>
      <c r="G16" s="24">
        <f>$E16-$F16</f>
        <v/>
      </c>
    </row>
    <row r="17">
      <c r="A17" s="24" t="inlineStr">
        <is>
          <t>Miguel Martínez</t>
        </is>
      </c>
      <c r="B17" s="24" t="inlineStr">
        <is>
          <t>2026-S31</t>
        </is>
      </c>
      <c r="C17" s="24">
        <f>IFERROR(INDEX('TECNICOS'!$C$4:$C$19,MATCH($A17,'TECNICOS'!$B$4:$B$19,0)),"")</f>
        <v/>
      </c>
      <c r="D17" s="24">
        <f>IFERROR(INDEX('ASIGNACIONES'!$G$4:$G$451,MATCH($B17&amp;"|lunes|"&amp;$A17,'ASIGNACIONES'!$N$4:$N$451,0)),"")</f>
        <v/>
      </c>
      <c r="E17" s="24">
        <f>SUMIFS('ASIGNACIONES'!$M$4:$M$451,'ASIGNACIONES'!$C$4:$C$451,$A17,'ASIGNACIONES'!$A$4:$A$451,$B17)+IF(COUNTIFS('ASIGNACIONES'!$C$4:$C$451,$A17,'ASIGNACIONES'!$A$4:$A$451,$B17,'ASIGNACIONES'!$Q$4:$Q$451,"sí")&gt;0,8,0)</f>
        <v/>
      </c>
      <c r="F17" s="24">
        <f>p_base_semanal_horas</f>
        <v/>
      </c>
      <c r="G17" s="24">
        <f>$E17-$F17</f>
        <v/>
      </c>
    </row>
    <row r="18">
      <c r="A18" s="24" t="inlineStr">
        <is>
          <t>Miguel Martínez</t>
        </is>
      </c>
      <c r="B18" s="24" t="inlineStr">
        <is>
          <t>2026-S32</t>
        </is>
      </c>
      <c r="C18" s="24">
        <f>IFERROR(INDEX('TECNICOS'!$C$4:$C$19,MATCH($A18,'TECNICOS'!$B$4:$B$19,0)),"")</f>
        <v/>
      </c>
      <c r="D18" s="24">
        <f>IFERROR(INDEX('ASIGNACIONES'!$G$4:$G$451,MATCH($B18&amp;"|lunes|"&amp;$A18,'ASIGNACIONES'!$N$4:$N$451,0)),"")</f>
        <v/>
      </c>
      <c r="E18" s="24">
        <f>SUMIFS('ASIGNACIONES'!$M$4:$M$451,'ASIGNACIONES'!$C$4:$C$451,$A18,'ASIGNACIONES'!$A$4:$A$451,$B18)+IF(COUNTIFS('ASIGNACIONES'!$C$4:$C$451,$A18,'ASIGNACIONES'!$A$4:$A$451,$B18,'ASIGNACIONES'!$Q$4:$Q$451,"sí")&gt;0,8,0)</f>
        <v/>
      </c>
      <c r="F18" s="24">
        <f>p_base_semanal_horas</f>
        <v/>
      </c>
      <c r="G18" s="24">
        <f>$E18-$F18</f>
        <v/>
      </c>
    </row>
    <row r="19">
      <c r="A19" s="24" t="inlineStr">
        <is>
          <t>Miguel Martínez</t>
        </is>
      </c>
      <c r="B19" s="24" t="inlineStr">
        <is>
          <t>2026-S33</t>
        </is>
      </c>
      <c r="C19" s="24">
        <f>IFERROR(INDEX('TECNICOS'!$C$4:$C$19,MATCH($A19,'TECNICOS'!$B$4:$B$19,0)),"")</f>
        <v/>
      </c>
      <c r="D19" s="24">
        <f>IFERROR(INDEX('ASIGNACIONES'!$G$4:$G$451,MATCH($B19&amp;"|lunes|"&amp;$A19,'ASIGNACIONES'!$N$4:$N$451,0)),"")</f>
        <v/>
      </c>
      <c r="E19" s="24">
        <f>SUMIFS('ASIGNACIONES'!$M$4:$M$451,'ASIGNACIONES'!$C$4:$C$451,$A19,'ASIGNACIONES'!$A$4:$A$451,$B19)+IF(COUNTIFS('ASIGNACIONES'!$C$4:$C$451,$A19,'ASIGNACIONES'!$A$4:$A$451,$B19,'ASIGNACIONES'!$Q$4:$Q$451,"sí")&gt;0,8,0)</f>
        <v/>
      </c>
      <c r="F19" s="24">
        <f>p_base_semanal_horas</f>
        <v/>
      </c>
      <c r="G19" s="24">
        <f>$E19-$F19</f>
        <v/>
      </c>
    </row>
    <row r="20">
      <c r="A20" s="24" t="inlineStr">
        <is>
          <t>Ana Sánchez</t>
        </is>
      </c>
      <c r="B20" s="24" t="inlineStr">
        <is>
          <t>2026-S30</t>
        </is>
      </c>
      <c r="C20" s="24">
        <f>IFERROR(INDEX('TECNICOS'!$C$4:$C$19,MATCH($A20,'TECNICOS'!$B$4:$B$19,0)),"")</f>
        <v/>
      </c>
      <c r="D20" s="24">
        <f>IFERROR(INDEX('ASIGNACIONES'!$G$4:$G$451,MATCH($B20&amp;"|lunes|"&amp;$A20,'ASIGNACIONES'!$N$4:$N$451,0)),"")</f>
        <v/>
      </c>
      <c r="E20" s="24">
        <f>SUMIFS('ASIGNACIONES'!$M$4:$M$451,'ASIGNACIONES'!$C$4:$C$451,$A20,'ASIGNACIONES'!$A$4:$A$451,$B20)+IF(COUNTIFS('ASIGNACIONES'!$C$4:$C$451,$A20,'ASIGNACIONES'!$A$4:$A$451,$B20,'ASIGNACIONES'!$Q$4:$Q$451,"sí")&gt;0,8,0)</f>
        <v/>
      </c>
      <c r="F20" s="24">
        <f>p_base_semanal_horas</f>
        <v/>
      </c>
      <c r="G20" s="24">
        <f>$E20-$F20</f>
        <v/>
      </c>
    </row>
    <row r="21">
      <c r="A21" s="24" t="inlineStr">
        <is>
          <t>Ana Sánchez</t>
        </is>
      </c>
      <c r="B21" s="24" t="inlineStr">
        <is>
          <t>2026-S31</t>
        </is>
      </c>
      <c r="C21" s="24">
        <f>IFERROR(INDEX('TECNICOS'!$C$4:$C$19,MATCH($A21,'TECNICOS'!$B$4:$B$19,0)),"")</f>
        <v/>
      </c>
      <c r="D21" s="24">
        <f>IFERROR(INDEX('ASIGNACIONES'!$G$4:$G$451,MATCH($B21&amp;"|lunes|"&amp;$A21,'ASIGNACIONES'!$N$4:$N$451,0)),"")</f>
        <v/>
      </c>
      <c r="E21" s="24">
        <f>SUMIFS('ASIGNACIONES'!$M$4:$M$451,'ASIGNACIONES'!$C$4:$C$451,$A21,'ASIGNACIONES'!$A$4:$A$451,$B21)+IF(COUNTIFS('ASIGNACIONES'!$C$4:$C$451,$A21,'ASIGNACIONES'!$A$4:$A$451,$B21,'ASIGNACIONES'!$Q$4:$Q$451,"sí")&gt;0,8,0)</f>
        <v/>
      </c>
      <c r="F21" s="24">
        <f>p_base_semanal_horas</f>
        <v/>
      </c>
      <c r="G21" s="24">
        <f>$E21-$F21</f>
        <v/>
      </c>
    </row>
    <row r="22">
      <c r="A22" s="24" t="inlineStr">
        <is>
          <t>Ana Sánchez</t>
        </is>
      </c>
      <c r="B22" s="24" t="inlineStr">
        <is>
          <t>2026-S32</t>
        </is>
      </c>
      <c r="C22" s="24">
        <f>IFERROR(INDEX('TECNICOS'!$C$4:$C$19,MATCH($A22,'TECNICOS'!$B$4:$B$19,0)),"")</f>
        <v/>
      </c>
      <c r="D22" s="24">
        <f>IFERROR(INDEX('ASIGNACIONES'!$G$4:$G$451,MATCH($B22&amp;"|lunes|"&amp;$A22,'ASIGNACIONES'!$N$4:$N$451,0)),"")</f>
        <v/>
      </c>
      <c r="E22" s="24">
        <f>SUMIFS('ASIGNACIONES'!$M$4:$M$451,'ASIGNACIONES'!$C$4:$C$451,$A22,'ASIGNACIONES'!$A$4:$A$451,$B22)+IF(COUNTIFS('ASIGNACIONES'!$C$4:$C$451,$A22,'ASIGNACIONES'!$A$4:$A$451,$B22,'ASIGNACIONES'!$Q$4:$Q$451,"sí")&gt;0,8,0)</f>
        <v/>
      </c>
      <c r="F22" s="24">
        <f>p_base_semanal_horas</f>
        <v/>
      </c>
      <c r="G22" s="24">
        <f>$E22-$F22</f>
        <v/>
      </c>
    </row>
    <row r="23">
      <c r="A23" s="24" t="inlineStr">
        <is>
          <t>Ana Sánchez</t>
        </is>
      </c>
      <c r="B23" s="24" t="inlineStr">
        <is>
          <t>2026-S33</t>
        </is>
      </c>
      <c r="C23" s="24">
        <f>IFERROR(INDEX('TECNICOS'!$C$4:$C$19,MATCH($A23,'TECNICOS'!$B$4:$B$19,0)),"")</f>
        <v/>
      </c>
      <c r="D23" s="24">
        <f>IFERROR(INDEX('ASIGNACIONES'!$G$4:$G$451,MATCH($B23&amp;"|lunes|"&amp;$A23,'ASIGNACIONES'!$N$4:$N$451,0)),"")</f>
        <v/>
      </c>
      <c r="E23" s="24">
        <f>SUMIFS('ASIGNACIONES'!$M$4:$M$451,'ASIGNACIONES'!$C$4:$C$451,$A23,'ASIGNACIONES'!$A$4:$A$451,$B23)+IF(COUNTIFS('ASIGNACIONES'!$C$4:$C$451,$A23,'ASIGNACIONES'!$A$4:$A$451,$B23,'ASIGNACIONES'!$Q$4:$Q$451,"sí")&gt;0,8,0)</f>
        <v/>
      </c>
      <c r="F23" s="24">
        <f>p_base_semanal_horas</f>
        <v/>
      </c>
      <c r="G23" s="24">
        <f>$E23-$F23</f>
        <v/>
      </c>
    </row>
    <row r="24">
      <c r="A24" s="24" t="inlineStr">
        <is>
          <t>David Torres</t>
        </is>
      </c>
      <c r="B24" s="24" t="inlineStr">
        <is>
          <t>2026-S30</t>
        </is>
      </c>
      <c r="C24" s="24">
        <f>IFERROR(INDEX('TECNICOS'!$C$4:$C$19,MATCH($A24,'TECNICOS'!$B$4:$B$19,0)),"")</f>
        <v/>
      </c>
      <c r="D24" s="24">
        <f>IFERROR(INDEX('ASIGNACIONES'!$G$4:$G$451,MATCH($B24&amp;"|lunes|"&amp;$A24,'ASIGNACIONES'!$N$4:$N$451,0)),"")</f>
        <v/>
      </c>
      <c r="E24" s="24">
        <f>SUMIFS('ASIGNACIONES'!$M$4:$M$451,'ASIGNACIONES'!$C$4:$C$451,$A24,'ASIGNACIONES'!$A$4:$A$451,$B24)+IF(COUNTIFS('ASIGNACIONES'!$C$4:$C$451,$A24,'ASIGNACIONES'!$A$4:$A$451,$B24,'ASIGNACIONES'!$Q$4:$Q$451,"sí")&gt;0,8,0)</f>
        <v/>
      </c>
      <c r="F24" s="24">
        <f>p_base_semanal_horas</f>
        <v/>
      </c>
      <c r="G24" s="24">
        <f>$E24-$F24</f>
        <v/>
      </c>
    </row>
    <row r="25">
      <c r="A25" s="24" t="inlineStr">
        <is>
          <t>David Torres</t>
        </is>
      </c>
      <c r="B25" s="24" t="inlineStr">
        <is>
          <t>2026-S31</t>
        </is>
      </c>
      <c r="C25" s="24">
        <f>IFERROR(INDEX('TECNICOS'!$C$4:$C$19,MATCH($A25,'TECNICOS'!$B$4:$B$19,0)),"")</f>
        <v/>
      </c>
      <c r="D25" s="24">
        <f>IFERROR(INDEX('ASIGNACIONES'!$G$4:$G$451,MATCH($B25&amp;"|lunes|"&amp;$A25,'ASIGNACIONES'!$N$4:$N$451,0)),"")</f>
        <v/>
      </c>
      <c r="E25" s="24">
        <f>SUMIFS('ASIGNACIONES'!$M$4:$M$451,'ASIGNACIONES'!$C$4:$C$451,$A25,'ASIGNACIONES'!$A$4:$A$451,$B25)+IF(COUNTIFS('ASIGNACIONES'!$C$4:$C$451,$A25,'ASIGNACIONES'!$A$4:$A$451,$B25,'ASIGNACIONES'!$Q$4:$Q$451,"sí")&gt;0,8,0)</f>
        <v/>
      </c>
      <c r="F25" s="24">
        <f>p_base_semanal_horas</f>
        <v/>
      </c>
      <c r="G25" s="24">
        <f>$E25-$F25</f>
        <v/>
      </c>
    </row>
    <row r="26">
      <c r="A26" s="24" t="inlineStr">
        <is>
          <t>David Torres</t>
        </is>
      </c>
      <c r="B26" s="24" t="inlineStr">
        <is>
          <t>2026-S32</t>
        </is>
      </c>
      <c r="C26" s="24">
        <f>IFERROR(INDEX('TECNICOS'!$C$4:$C$19,MATCH($A26,'TECNICOS'!$B$4:$B$19,0)),"")</f>
        <v/>
      </c>
      <c r="D26" s="24">
        <f>IFERROR(INDEX('ASIGNACIONES'!$G$4:$G$451,MATCH($B26&amp;"|lunes|"&amp;$A26,'ASIGNACIONES'!$N$4:$N$451,0)),"")</f>
        <v/>
      </c>
      <c r="E26" s="24">
        <f>SUMIFS('ASIGNACIONES'!$M$4:$M$451,'ASIGNACIONES'!$C$4:$C$451,$A26,'ASIGNACIONES'!$A$4:$A$451,$B26)+IF(COUNTIFS('ASIGNACIONES'!$C$4:$C$451,$A26,'ASIGNACIONES'!$A$4:$A$451,$B26,'ASIGNACIONES'!$Q$4:$Q$451,"sí")&gt;0,8,0)</f>
        <v/>
      </c>
      <c r="F26" s="24">
        <f>p_base_semanal_horas</f>
        <v/>
      </c>
      <c r="G26" s="24">
        <f>$E26-$F26</f>
        <v/>
      </c>
    </row>
    <row r="27">
      <c r="A27" s="24" t="inlineStr">
        <is>
          <t>David Torres</t>
        </is>
      </c>
      <c r="B27" s="24" t="inlineStr">
        <is>
          <t>2026-S33</t>
        </is>
      </c>
      <c r="C27" s="24">
        <f>IFERROR(INDEX('TECNICOS'!$C$4:$C$19,MATCH($A27,'TECNICOS'!$B$4:$B$19,0)),"")</f>
        <v/>
      </c>
      <c r="D27" s="24">
        <f>IFERROR(INDEX('ASIGNACIONES'!$G$4:$G$451,MATCH($B27&amp;"|lunes|"&amp;$A27,'ASIGNACIONES'!$N$4:$N$451,0)),"")</f>
        <v/>
      </c>
      <c r="E27" s="24">
        <f>SUMIFS('ASIGNACIONES'!$M$4:$M$451,'ASIGNACIONES'!$C$4:$C$451,$A27,'ASIGNACIONES'!$A$4:$A$451,$B27)+IF(COUNTIFS('ASIGNACIONES'!$C$4:$C$451,$A27,'ASIGNACIONES'!$A$4:$A$451,$B27,'ASIGNACIONES'!$Q$4:$Q$451,"sí")&gt;0,8,0)</f>
        <v/>
      </c>
      <c r="F27" s="24">
        <f>p_base_semanal_horas</f>
        <v/>
      </c>
      <c r="G27" s="24">
        <f>$E27-$F27</f>
        <v/>
      </c>
    </row>
    <row r="28">
      <c r="A28" s="24" t="inlineStr">
        <is>
          <t>Francisco Ramírez</t>
        </is>
      </c>
      <c r="B28" s="24" t="inlineStr">
        <is>
          <t>2026-S30</t>
        </is>
      </c>
      <c r="C28" s="24">
        <f>IFERROR(INDEX('TECNICOS'!$C$4:$C$19,MATCH($A28,'TECNICOS'!$B$4:$B$19,0)),"")</f>
        <v/>
      </c>
      <c r="D28" s="24">
        <f>IFERROR(INDEX('ASIGNACIONES'!$G$4:$G$451,MATCH($B28&amp;"|lunes|"&amp;$A28,'ASIGNACIONES'!$N$4:$N$451,0)),"")</f>
        <v/>
      </c>
      <c r="E28" s="24">
        <f>SUMIFS('ASIGNACIONES'!$M$4:$M$451,'ASIGNACIONES'!$C$4:$C$451,$A28,'ASIGNACIONES'!$A$4:$A$451,$B28)+IF(COUNTIFS('ASIGNACIONES'!$C$4:$C$451,$A28,'ASIGNACIONES'!$A$4:$A$451,$B28,'ASIGNACIONES'!$Q$4:$Q$451,"sí")&gt;0,8,0)</f>
        <v/>
      </c>
      <c r="F28" s="24">
        <f>p_base_semanal_horas</f>
        <v/>
      </c>
      <c r="G28" s="24">
        <f>$E28-$F28</f>
        <v/>
      </c>
    </row>
    <row r="29">
      <c r="A29" s="24" t="inlineStr">
        <is>
          <t>Francisco Ramírez</t>
        </is>
      </c>
      <c r="B29" s="24" t="inlineStr">
        <is>
          <t>2026-S31</t>
        </is>
      </c>
      <c r="C29" s="24">
        <f>IFERROR(INDEX('TECNICOS'!$C$4:$C$19,MATCH($A29,'TECNICOS'!$B$4:$B$19,0)),"")</f>
        <v/>
      </c>
      <c r="D29" s="24">
        <f>IFERROR(INDEX('ASIGNACIONES'!$G$4:$G$451,MATCH($B29&amp;"|lunes|"&amp;$A29,'ASIGNACIONES'!$N$4:$N$451,0)),"")</f>
        <v/>
      </c>
      <c r="E29" s="24">
        <f>SUMIFS('ASIGNACIONES'!$M$4:$M$451,'ASIGNACIONES'!$C$4:$C$451,$A29,'ASIGNACIONES'!$A$4:$A$451,$B29)+IF(COUNTIFS('ASIGNACIONES'!$C$4:$C$451,$A29,'ASIGNACIONES'!$A$4:$A$451,$B29,'ASIGNACIONES'!$Q$4:$Q$451,"sí")&gt;0,8,0)</f>
        <v/>
      </c>
      <c r="F29" s="24">
        <f>p_base_semanal_horas</f>
        <v/>
      </c>
      <c r="G29" s="24">
        <f>$E29-$F29</f>
        <v/>
      </c>
    </row>
    <row r="30">
      <c r="A30" s="24" t="inlineStr">
        <is>
          <t>Francisco Ramírez</t>
        </is>
      </c>
      <c r="B30" s="24" t="inlineStr">
        <is>
          <t>2026-S32</t>
        </is>
      </c>
      <c r="C30" s="24">
        <f>IFERROR(INDEX('TECNICOS'!$C$4:$C$19,MATCH($A30,'TECNICOS'!$B$4:$B$19,0)),"")</f>
        <v/>
      </c>
      <c r="D30" s="24">
        <f>IFERROR(INDEX('ASIGNACIONES'!$G$4:$G$451,MATCH($B30&amp;"|lunes|"&amp;$A30,'ASIGNACIONES'!$N$4:$N$451,0)),"")</f>
        <v/>
      </c>
      <c r="E30" s="24">
        <f>SUMIFS('ASIGNACIONES'!$M$4:$M$451,'ASIGNACIONES'!$C$4:$C$451,$A30,'ASIGNACIONES'!$A$4:$A$451,$B30)+IF(COUNTIFS('ASIGNACIONES'!$C$4:$C$451,$A30,'ASIGNACIONES'!$A$4:$A$451,$B30,'ASIGNACIONES'!$Q$4:$Q$451,"sí")&gt;0,8,0)</f>
        <v/>
      </c>
      <c r="F30" s="24">
        <f>p_base_semanal_horas</f>
        <v/>
      </c>
      <c r="G30" s="24">
        <f>$E30-$F30</f>
        <v/>
      </c>
    </row>
    <row r="31">
      <c r="A31" s="24" t="inlineStr">
        <is>
          <t>Francisco Ramírez</t>
        </is>
      </c>
      <c r="B31" s="24" t="inlineStr">
        <is>
          <t>2026-S33</t>
        </is>
      </c>
      <c r="C31" s="24">
        <f>IFERROR(INDEX('TECNICOS'!$C$4:$C$19,MATCH($A31,'TECNICOS'!$B$4:$B$19,0)),"")</f>
        <v/>
      </c>
      <c r="D31" s="24">
        <f>IFERROR(INDEX('ASIGNACIONES'!$G$4:$G$451,MATCH($B31&amp;"|lunes|"&amp;$A31,'ASIGNACIONES'!$N$4:$N$451,0)),"")</f>
        <v/>
      </c>
      <c r="E31" s="24">
        <f>SUMIFS('ASIGNACIONES'!$M$4:$M$451,'ASIGNACIONES'!$C$4:$C$451,$A31,'ASIGNACIONES'!$A$4:$A$451,$B31)+IF(COUNTIFS('ASIGNACIONES'!$C$4:$C$451,$A31,'ASIGNACIONES'!$A$4:$A$451,$B31,'ASIGNACIONES'!$Q$4:$Q$451,"sí")&gt;0,8,0)</f>
        <v/>
      </c>
      <c r="F31" s="24">
        <f>p_base_semanal_horas</f>
        <v/>
      </c>
      <c r="G31" s="24">
        <f>$E31-$F31</f>
        <v/>
      </c>
    </row>
    <row r="32">
      <c r="A32" s="24" t="inlineStr">
        <is>
          <t>Jorge Díaz</t>
        </is>
      </c>
      <c r="B32" s="24" t="inlineStr">
        <is>
          <t>2026-S30</t>
        </is>
      </c>
      <c r="C32" s="24">
        <f>IFERROR(INDEX('TECNICOS'!$C$4:$C$19,MATCH($A32,'TECNICOS'!$B$4:$B$19,0)),"")</f>
        <v/>
      </c>
      <c r="D32" s="24">
        <f>IFERROR(INDEX('ASIGNACIONES'!$G$4:$G$451,MATCH($B32&amp;"|lunes|"&amp;$A32,'ASIGNACIONES'!$N$4:$N$451,0)),"")</f>
        <v/>
      </c>
      <c r="E32" s="24">
        <f>SUMIFS('ASIGNACIONES'!$M$4:$M$451,'ASIGNACIONES'!$C$4:$C$451,$A32,'ASIGNACIONES'!$A$4:$A$451,$B32)+IF(COUNTIFS('ASIGNACIONES'!$C$4:$C$451,$A32,'ASIGNACIONES'!$A$4:$A$451,$B32,'ASIGNACIONES'!$Q$4:$Q$451,"sí")&gt;0,8,0)</f>
        <v/>
      </c>
      <c r="F32" s="24">
        <f>p_base_semanal_horas</f>
        <v/>
      </c>
      <c r="G32" s="24">
        <f>$E32-$F32</f>
        <v/>
      </c>
    </row>
    <row r="33">
      <c r="A33" s="24" t="inlineStr">
        <is>
          <t>Jorge Díaz</t>
        </is>
      </c>
      <c r="B33" s="24" t="inlineStr">
        <is>
          <t>2026-S31</t>
        </is>
      </c>
      <c r="C33" s="24">
        <f>IFERROR(INDEX('TECNICOS'!$C$4:$C$19,MATCH($A33,'TECNICOS'!$B$4:$B$19,0)),"")</f>
        <v/>
      </c>
      <c r="D33" s="24">
        <f>IFERROR(INDEX('ASIGNACIONES'!$G$4:$G$451,MATCH($B33&amp;"|lunes|"&amp;$A33,'ASIGNACIONES'!$N$4:$N$451,0)),"")</f>
        <v/>
      </c>
      <c r="E33" s="24">
        <f>SUMIFS('ASIGNACIONES'!$M$4:$M$451,'ASIGNACIONES'!$C$4:$C$451,$A33,'ASIGNACIONES'!$A$4:$A$451,$B33)+IF(COUNTIFS('ASIGNACIONES'!$C$4:$C$451,$A33,'ASIGNACIONES'!$A$4:$A$451,$B33,'ASIGNACIONES'!$Q$4:$Q$451,"sí")&gt;0,8,0)</f>
        <v/>
      </c>
      <c r="F33" s="24">
        <f>p_base_semanal_horas</f>
        <v/>
      </c>
      <c r="G33" s="24">
        <f>$E33-$F33</f>
        <v/>
      </c>
    </row>
    <row r="34">
      <c r="A34" s="24" t="inlineStr">
        <is>
          <t>Jorge Díaz</t>
        </is>
      </c>
      <c r="B34" s="24" t="inlineStr">
        <is>
          <t>2026-S32</t>
        </is>
      </c>
      <c r="C34" s="24">
        <f>IFERROR(INDEX('TECNICOS'!$C$4:$C$19,MATCH($A34,'TECNICOS'!$B$4:$B$19,0)),"")</f>
        <v/>
      </c>
      <c r="D34" s="24">
        <f>IFERROR(INDEX('ASIGNACIONES'!$G$4:$G$451,MATCH($B34&amp;"|lunes|"&amp;$A34,'ASIGNACIONES'!$N$4:$N$451,0)),"")</f>
        <v/>
      </c>
      <c r="E34" s="24">
        <f>SUMIFS('ASIGNACIONES'!$M$4:$M$451,'ASIGNACIONES'!$C$4:$C$451,$A34,'ASIGNACIONES'!$A$4:$A$451,$B34)+IF(COUNTIFS('ASIGNACIONES'!$C$4:$C$451,$A34,'ASIGNACIONES'!$A$4:$A$451,$B34,'ASIGNACIONES'!$Q$4:$Q$451,"sí")&gt;0,8,0)</f>
        <v/>
      </c>
      <c r="F34" s="24">
        <f>p_base_semanal_horas</f>
        <v/>
      </c>
      <c r="G34" s="24">
        <f>$E34-$F34</f>
        <v/>
      </c>
    </row>
    <row r="35">
      <c r="A35" s="24" t="inlineStr">
        <is>
          <t>Jorge Díaz</t>
        </is>
      </c>
      <c r="B35" s="24" t="inlineStr">
        <is>
          <t>2026-S33</t>
        </is>
      </c>
      <c r="C35" s="24">
        <f>IFERROR(INDEX('TECNICOS'!$C$4:$C$19,MATCH($A35,'TECNICOS'!$B$4:$B$19,0)),"")</f>
        <v/>
      </c>
      <c r="D35" s="24">
        <f>IFERROR(INDEX('ASIGNACIONES'!$G$4:$G$451,MATCH($B35&amp;"|lunes|"&amp;$A35,'ASIGNACIONES'!$N$4:$N$451,0)),"")</f>
        <v/>
      </c>
      <c r="E35" s="24">
        <f>SUMIFS('ASIGNACIONES'!$M$4:$M$451,'ASIGNACIONES'!$C$4:$C$451,$A35,'ASIGNACIONES'!$A$4:$A$451,$B35)+IF(COUNTIFS('ASIGNACIONES'!$C$4:$C$451,$A35,'ASIGNACIONES'!$A$4:$A$451,$B35,'ASIGNACIONES'!$Q$4:$Q$451,"sí")&gt;0,8,0)</f>
        <v/>
      </c>
      <c r="F35" s="24">
        <f>p_base_semanal_horas</f>
        <v/>
      </c>
      <c r="G35" s="24">
        <f>$E35-$F35</f>
        <v/>
      </c>
    </row>
    <row r="36">
      <c r="A36" s="24" t="inlineStr">
        <is>
          <t>Roberto Castro</t>
        </is>
      </c>
      <c r="B36" s="24" t="inlineStr">
        <is>
          <t>2026-S30</t>
        </is>
      </c>
      <c r="C36" s="24">
        <f>IFERROR(INDEX('TECNICOS'!$C$4:$C$19,MATCH($A36,'TECNICOS'!$B$4:$B$19,0)),"")</f>
        <v/>
      </c>
      <c r="D36" s="24">
        <f>IFERROR(INDEX('ASIGNACIONES'!$G$4:$G$451,MATCH($B36&amp;"|lunes|"&amp;$A36,'ASIGNACIONES'!$N$4:$N$451,0)),"")</f>
        <v/>
      </c>
      <c r="E36" s="24">
        <f>SUMIFS('ASIGNACIONES'!$M$4:$M$451,'ASIGNACIONES'!$C$4:$C$451,$A36,'ASIGNACIONES'!$A$4:$A$451,$B36)+IF(COUNTIFS('ASIGNACIONES'!$C$4:$C$451,$A36,'ASIGNACIONES'!$A$4:$A$451,$B36,'ASIGNACIONES'!$Q$4:$Q$451,"sí")&gt;0,8,0)</f>
        <v/>
      </c>
      <c r="F36" s="24">
        <f>p_base_semanal_horas</f>
        <v/>
      </c>
      <c r="G36" s="24">
        <f>$E36-$F36</f>
        <v/>
      </c>
    </row>
    <row r="37">
      <c r="A37" s="24" t="inlineStr">
        <is>
          <t>Roberto Castro</t>
        </is>
      </c>
      <c r="B37" s="24" t="inlineStr">
        <is>
          <t>2026-S31</t>
        </is>
      </c>
      <c r="C37" s="24">
        <f>IFERROR(INDEX('TECNICOS'!$C$4:$C$19,MATCH($A37,'TECNICOS'!$B$4:$B$19,0)),"")</f>
        <v/>
      </c>
      <c r="D37" s="24">
        <f>IFERROR(INDEX('ASIGNACIONES'!$G$4:$G$451,MATCH($B37&amp;"|lunes|"&amp;$A37,'ASIGNACIONES'!$N$4:$N$451,0)),"")</f>
        <v/>
      </c>
      <c r="E37" s="24">
        <f>SUMIFS('ASIGNACIONES'!$M$4:$M$451,'ASIGNACIONES'!$C$4:$C$451,$A37,'ASIGNACIONES'!$A$4:$A$451,$B37)+IF(COUNTIFS('ASIGNACIONES'!$C$4:$C$451,$A37,'ASIGNACIONES'!$A$4:$A$451,$B37,'ASIGNACIONES'!$Q$4:$Q$451,"sí")&gt;0,8,0)</f>
        <v/>
      </c>
      <c r="F37" s="24">
        <f>p_base_semanal_horas</f>
        <v/>
      </c>
      <c r="G37" s="24">
        <f>$E37-$F37</f>
        <v/>
      </c>
    </row>
    <row r="38">
      <c r="A38" s="24" t="inlineStr">
        <is>
          <t>Roberto Castro</t>
        </is>
      </c>
      <c r="B38" s="24" t="inlineStr">
        <is>
          <t>2026-S32</t>
        </is>
      </c>
      <c r="C38" s="24">
        <f>IFERROR(INDEX('TECNICOS'!$C$4:$C$19,MATCH($A38,'TECNICOS'!$B$4:$B$19,0)),"")</f>
        <v/>
      </c>
      <c r="D38" s="24">
        <f>IFERROR(INDEX('ASIGNACIONES'!$G$4:$G$451,MATCH($B38&amp;"|lunes|"&amp;$A38,'ASIGNACIONES'!$N$4:$N$451,0)),"")</f>
        <v/>
      </c>
      <c r="E38" s="24">
        <f>SUMIFS('ASIGNACIONES'!$M$4:$M$451,'ASIGNACIONES'!$C$4:$C$451,$A38,'ASIGNACIONES'!$A$4:$A$451,$B38)+IF(COUNTIFS('ASIGNACIONES'!$C$4:$C$451,$A38,'ASIGNACIONES'!$A$4:$A$451,$B38,'ASIGNACIONES'!$Q$4:$Q$451,"sí")&gt;0,8,0)</f>
        <v/>
      </c>
      <c r="F38" s="24">
        <f>p_base_semanal_horas</f>
        <v/>
      </c>
      <c r="G38" s="24">
        <f>$E38-$F38</f>
        <v/>
      </c>
    </row>
    <row r="39">
      <c r="A39" s="24" t="inlineStr">
        <is>
          <t>Roberto Castro</t>
        </is>
      </c>
      <c r="B39" s="24" t="inlineStr">
        <is>
          <t>2026-S33</t>
        </is>
      </c>
      <c r="C39" s="24">
        <f>IFERROR(INDEX('TECNICOS'!$C$4:$C$19,MATCH($A39,'TECNICOS'!$B$4:$B$19,0)),"")</f>
        <v/>
      </c>
      <c r="D39" s="24">
        <f>IFERROR(INDEX('ASIGNACIONES'!$G$4:$G$451,MATCH($B39&amp;"|lunes|"&amp;$A39,'ASIGNACIONES'!$N$4:$N$451,0)),"")</f>
        <v/>
      </c>
      <c r="E39" s="24">
        <f>SUMIFS('ASIGNACIONES'!$M$4:$M$451,'ASIGNACIONES'!$C$4:$C$451,$A39,'ASIGNACIONES'!$A$4:$A$451,$B39)+IF(COUNTIFS('ASIGNACIONES'!$C$4:$C$451,$A39,'ASIGNACIONES'!$A$4:$A$451,$B39,'ASIGNACIONES'!$Q$4:$Q$451,"sí")&gt;0,8,0)</f>
        <v/>
      </c>
      <c r="F39" s="24">
        <f>p_base_semanal_horas</f>
        <v/>
      </c>
      <c r="G39" s="24">
        <f>$E39-$F39</f>
        <v/>
      </c>
    </row>
    <row r="40">
      <c r="A40" s="24" t="inlineStr">
        <is>
          <t>Laura Morales</t>
        </is>
      </c>
      <c r="B40" s="24" t="inlineStr">
        <is>
          <t>2026-S30</t>
        </is>
      </c>
      <c r="C40" s="24">
        <f>IFERROR(INDEX('TECNICOS'!$C$4:$C$19,MATCH($A40,'TECNICOS'!$B$4:$B$19,0)),"")</f>
        <v/>
      </c>
      <c r="D40" s="24">
        <f>IFERROR(INDEX('ASIGNACIONES'!$G$4:$G$451,MATCH($B40&amp;"|lunes|"&amp;$A40,'ASIGNACIONES'!$N$4:$N$451,0)),"")</f>
        <v/>
      </c>
      <c r="E40" s="24">
        <f>SUMIFS('ASIGNACIONES'!$M$4:$M$451,'ASIGNACIONES'!$C$4:$C$451,$A40,'ASIGNACIONES'!$A$4:$A$451,$B40)+IF(COUNTIFS('ASIGNACIONES'!$C$4:$C$451,$A40,'ASIGNACIONES'!$A$4:$A$451,$B40,'ASIGNACIONES'!$Q$4:$Q$451,"sí")&gt;0,8,0)</f>
        <v/>
      </c>
      <c r="F40" s="24">
        <f>p_base_semanal_horas</f>
        <v/>
      </c>
      <c r="G40" s="24">
        <f>$E40-$F40</f>
        <v/>
      </c>
    </row>
    <row r="41">
      <c r="A41" s="24" t="inlineStr">
        <is>
          <t>Laura Morales</t>
        </is>
      </c>
      <c r="B41" s="24" t="inlineStr">
        <is>
          <t>2026-S31</t>
        </is>
      </c>
      <c r="C41" s="24">
        <f>IFERROR(INDEX('TECNICOS'!$C$4:$C$19,MATCH($A41,'TECNICOS'!$B$4:$B$19,0)),"")</f>
        <v/>
      </c>
      <c r="D41" s="24">
        <f>IFERROR(INDEX('ASIGNACIONES'!$G$4:$G$451,MATCH($B41&amp;"|lunes|"&amp;$A41,'ASIGNACIONES'!$N$4:$N$451,0)),"")</f>
        <v/>
      </c>
      <c r="E41" s="24">
        <f>SUMIFS('ASIGNACIONES'!$M$4:$M$451,'ASIGNACIONES'!$C$4:$C$451,$A41,'ASIGNACIONES'!$A$4:$A$451,$B41)+IF(COUNTIFS('ASIGNACIONES'!$C$4:$C$451,$A41,'ASIGNACIONES'!$A$4:$A$451,$B41,'ASIGNACIONES'!$Q$4:$Q$451,"sí")&gt;0,8,0)</f>
        <v/>
      </c>
      <c r="F41" s="24">
        <f>p_base_semanal_horas</f>
        <v/>
      </c>
      <c r="G41" s="24">
        <f>$E41-$F41</f>
        <v/>
      </c>
    </row>
    <row r="42">
      <c r="A42" s="24" t="inlineStr">
        <is>
          <t>Laura Morales</t>
        </is>
      </c>
      <c r="B42" s="24" t="inlineStr">
        <is>
          <t>2026-S32</t>
        </is>
      </c>
      <c r="C42" s="24">
        <f>IFERROR(INDEX('TECNICOS'!$C$4:$C$19,MATCH($A42,'TECNICOS'!$B$4:$B$19,0)),"")</f>
        <v/>
      </c>
      <c r="D42" s="24">
        <f>IFERROR(INDEX('ASIGNACIONES'!$G$4:$G$451,MATCH($B42&amp;"|lunes|"&amp;$A42,'ASIGNACIONES'!$N$4:$N$451,0)),"")</f>
        <v/>
      </c>
      <c r="E42" s="24">
        <f>SUMIFS('ASIGNACIONES'!$M$4:$M$451,'ASIGNACIONES'!$C$4:$C$451,$A42,'ASIGNACIONES'!$A$4:$A$451,$B42)+IF(COUNTIFS('ASIGNACIONES'!$C$4:$C$451,$A42,'ASIGNACIONES'!$A$4:$A$451,$B42,'ASIGNACIONES'!$Q$4:$Q$451,"sí")&gt;0,8,0)</f>
        <v/>
      </c>
      <c r="F42" s="24">
        <f>p_base_semanal_horas</f>
        <v/>
      </c>
      <c r="G42" s="24">
        <f>$E42-$F42</f>
        <v/>
      </c>
    </row>
    <row r="43">
      <c r="A43" s="24" t="inlineStr">
        <is>
          <t>Laura Morales</t>
        </is>
      </c>
      <c r="B43" s="24" t="inlineStr">
        <is>
          <t>2026-S33</t>
        </is>
      </c>
      <c r="C43" s="24">
        <f>IFERROR(INDEX('TECNICOS'!$C$4:$C$19,MATCH($A43,'TECNICOS'!$B$4:$B$19,0)),"")</f>
        <v/>
      </c>
      <c r="D43" s="24">
        <f>IFERROR(INDEX('ASIGNACIONES'!$G$4:$G$451,MATCH($B43&amp;"|lunes|"&amp;$A43,'ASIGNACIONES'!$N$4:$N$451,0)),"")</f>
        <v/>
      </c>
      <c r="E43" s="24">
        <f>SUMIFS('ASIGNACIONES'!$M$4:$M$451,'ASIGNACIONES'!$C$4:$C$451,$A43,'ASIGNACIONES'!$A$4:$A$451,$B43)+IF(COUNTIFS('ASIGNACIONES'!$C$4:$C$451,$A43,'ASIGNACIONES'!$A$4:$A$451,$B43,'ASIGNACIONES'!$Q$4:$Q$451,"sí")&gt;0,8,0)</f>
        <v/>
      </c>
      <c r="F43" s="24">
        <f>p_base_semanal_horas</f>
        <v/>
      </c>
      <c r="G43" s="24">
        <f>$E43-$F43</f>
        <v/>
      </c>
    </row>
    <row r="44">
      <c r="A44" s="24" t="inlineStr">
        <is>
          <t>Ricardo Ortiz</t>
        </is>
      </c>
      <c r="B44" s="24" t="inlineStr">
        <is>
          <t>2026-S30</t>
        </is>
      </c>
      <c r="C44" s="24">
        <f>IFERROR(INDEX('TECNICOS'!$C$4:$C$19,MATCH($A44,'TECNICOS'!$B$4:$B$19,0)),"")</f>
        <v/>
      </c>
      <c r="D44" s="24">
        <f>IFERROR(INDEX('ASIGNACIONES'!$G$4:$G$451,MATCH($B44&amp;"|lunes|"&amp;$A44,'ASIGNACIONES'!$N$4:$N$451,0)),"")</f>
        <v/>
      </c>
      <c r="E44" s="24">
        <f>SUMIFS('ASIGNACIONES'!$M$4:$M$451,'ASIGNACIONES'!$C$4:$C$451,$A44,'ASIGNACIONES'!$A$4:$A$451,$B44)+IF(COUNTIFS('ASIGNACIONES'!$C$4:$C$451,$A44,'ASIGNACIONES'!$A$4:$A$451,$B44,'ASIGNACIONES'!$Q$4:$Q$451,"sí")&gt;0,8,0)</f>
        <v/>
      </c>
      <c r="F44" s="24">
        <f>p_base_semanal_horas</f>
        <v/>
      </c>
      <c r="G44" s="24">
        <f>$E44-$F44</f>
        <v/>
      </c>
    </row>
    <row r="45">
      <c r="A45" s="24" t="inlineStr">
        <is>
          <t>Ricardo Ortiz</t>
        </is>
      </c>
      <c r="B45" s="24" t="inlineStr">
        <is>
          <t>2026-S31</t>
        </is>
      </c>
      <c r="C45" s="24">
        <f>IFERROR(INDEX('TECNICOS'!$C$4:$C$19,MATCH($A45,'TECNICOS'!$B$4:$B$19,0)),"")</f>
        <v/>
      </c>
      <c r="D45" s="24">
        <f>IFERROR(INDEX('ASIGNACIONES'!$G$4:$G$451,MATCH($B45&amp;"|lunes|"&amp;$A45,'ASIGNACIONES'!$N$4:$N$451,0)),"")</f>
        <v/>
      </c>
      <c r="E45" s="24">
        <f>SUMIFS('ASIGNACIONES'!$M$4:$M$451,'ASIGNACIONES'!$C$4:$C$451,$A45,'ASIGNACIONES'!$A$4:$A$451,$B45)+IF(COUNTIFS('ASIGNACIONES'!$C$4:$C$451,$A45,'ASIGNACIONES'!$A$4:$A$451,$B45,'ASIGNACIONES'!$Q$4:$Q$451,"sí")&gt;0,8,0)</f>
        <v/>
      </c>
      <c r="F45" s="24">
        <f>p_base_semanal_horas</f>
        <v/>
      </c>
      <c r="G45" s="24">
        <f>$E45-$F45</f>
        <v/>
      </c>
    </row>
    <row r="46">
      <c r="A46" s="24" t="inlineStr">
        <is>
          <t>Ricardo Ortiz</t>
        </is>
      </c>
      <c r="B46" s="24" t="inlineStr">
        <is>
          <t>2026-S32</t>
        </is>
      </c>
      <c r="C46" s="24">
        <f>IFERROR(INDEX('TECNICOS'!$C$4:$C$19,MATCH($A46,'TECNICOS'!$B$4:$B$19,0)),"")</f>
        <v/>
      </c>
      <c r="D46" s="24">
        <f>IFERROR(INDEX('ASIGNACIONES'!$G$4:$G$451,MATCH($B46&amp;"|lunes|"&amp;$A46,'ASIGNACIONES'!$N$4:$N$451,0)),"")</f>
        <v/>
      </c>
      <c r="E46" s="24">
        <f>SUMIFS('ASIGNACIONES'!$M$4:$M$451,'ASIGNACIONES'!$C$4:$C$451,$A46,'ASIGNACIONES'!$A$4:$A$451,$B46)+IF(COUNTIFS('ASIGNACIONES'!$C$4:$C$451,$A46,'ASIGNACIONES'!$A$4:$A$451,$B46,'ASIGNACIONES'!$Q$4:$Q$451,"sí")&gt;0,8,0)</f>
        <v/>
      </c>
      <c r="F46" s="24">
        <f>p_base_semanal_horas</f>
        <v/>
      </c>
      <c r="G46" s="24">
        <f>$E46-$F46</f>
        <v/>
      </c>
    </row>
    <row r="47">
      <c r="A47" s="24" t="inlineStr">
        <is>
          <t>Ricardo Ortiz</t>
        </is>
      </c>
      <c r="B47" s="24" t="inlineStr">
        <is>
          <t>2026-S33</t>
        </is>
      </c>
      <c r="C47" s="24">
        <f>IFERROR(INDEX('TECNICOS'!$C$4:$C$19,MATCH($A47,'TECNICOS'!$B$4:$B$19,0)),"")</f>
        <v/>
      </c>
      <c r="D47" s="24">
        <f>IFERROR(INDEX('ASIGNACIONES'!$G$4:$G$451,MATCH($B47&amp;"|lunes|"&amp;$A47,'ASIGNACIONES'!$N$4:$N$451,0)),"")</f>
        <v/>
      </c>
      <c r="E47" s="24">
        <f>SUMIFS('ASIGNACIONES'!$M$4:$M$451,'ASIGNACIONES'!$C$4:$C$451,$A47,'ASIGNACIONES'!$A$4:$A$451,$B47)+IF(COUNTIFS('ASIGNACIONES'!$C$4:$C$451,$A47,'ASIGNACIONES'!$A$4:$A$451,$B47,'ASIGNACIONES'!$Q$4:$Q$451,"sí")&gt;0,8,0)</f>
        <v/>
      </c>
      <c r="F47" s="24">
        <f>p_base_semanal_horas</f>
        <v/>
      </c>
      <c r="G47" s="24">
        <f>$E47-$F47</f>
        <v/>
      </c>
    </row>
    <row r="48">
      <c r="A48" s="24" t="inlineStr">
        <is>
          <t>Eduardo Silva</t>
        </is>
      </c>
      <c r="B48" s="24" t="inlineStr">
        <is>
          <t>2026-S30</t>
        </is>
      </c>
      <c r="C48" s="24">
        <f>IFERROR(INDEX('TECNICOS'!$C$4:$C$19,MATCH($A48,'TECNICOS'!$B$4:$B$19,0)),"")</f>
        <v/>
      </c>
      <c r="D48" s="24">
        <f>IFERROR(INDEX('ASIGNACIONES'!$G$4:$G$451,MATCH($B48&amp;"|lunes|"&amp;$A48,'ASIGNACIONES'!$N$4:$N$451,0)),"")</f>
        <v/>
      </c>
      <c r="E48" s="24">
        <f>SUMIFS('ASIGNACIONES'!$M$4:$M$451,'ASIGNACIONES'!$C$4:$C$451,$A48,'ASIGNACIONES'!$A$4:$A$451,$B48)+IF(COUNTIFS('ASIGNACIONES'!$C$4:$C$451,$A48,'ASIGNACIONES'!$A$4:$A$451,$B48,'ASIGNACIONES'!$Q$4:$Q$451,"sí")&gt;0,8,0)</f>
        <v/>
      </c>
      <c r="F48" s="24">
        <f>p_base_semanal_horas</f>
        <v/>
      </c>
      <c r="G48" s="24">
        <f>$E48-$F48</f>
        <v/>
      </c>
    </row>
    <row r="49">
      <c r="A49" s="24" t="inlineStr">
        <is>
          <t>Eduardo Silva</t>
        </is>
      </c>
      <c r="B49" s="24" t="inlineStr">
        <is>
          <t>2026-S31</t>
        </is>
      </c>
      <c r="C49" s="24">
        <f>IFERROR(INDEX('TECNICOS'!$C$4:$C$19,MATCH($A49,'TECNICOS'!$B$4:$B$19,0)),"")</f>
        <v/>
      </c>
      <c r="D49" s="24">
        <f>IFERROR(INDEX('ASIGNACIONES'!$G$4:$G$451,MATCH($B49&amp;"|lunes|"&amp;$A49,'ASIGNACIONES'!$N$4:$N$451,0)),"")</f>
        <v/>
      </c>
      <c r="E49" s="24">
        <f>SUMIFS('ASIGNACIONES'!$M$4:$M$451,'ASIGNACIONES'!$C$4:$C$451,$A49,'ASIGNACIONES'!$A$4:$A$451,$B49)+IF(COUNTIFS('ASIGNACIONES'!$C$4:$C$451,$A49,'ASIGNACIONES'!$A$4:$A$451,$B49,'ASIGNACIONES'!$Q$4:$Q$451,"sí")&gt;0,8,0)</f>
        <v/>
      </c>
      <c r="F49" s="24">
        <f>p_base_semanal_horas</f>
        <v/>
      </c>
      <c r="G49" s="24">
        <f>$E49-$F49</f>
        <v/>
      </c>
    </row>
    <row r="50">
      <c r="A50" s="24" t="inlineStr">
        <is>
          <t>Eduardo Silva</t>
        </is>
      </c>
      <c r="B50" s="24" t="inlineStr">
        <is>
          <t>2026-S32</t>
        </is>
      </c>
      <c r="C50" s="24">
        <f>IFERROR(INDEX('TECNICOS'!$C$4:$C$19,MATCH($A50,'TECNICOS'!$B$4:$B$19,0)),"")</f>
        <v/>
      </c>
      <c r="D50" s="24">
        <f>IFERROR(INDEX('ASIGNACIONES'!$G$4:$G$451,MATCH($B50&amp;"|lunes|"&amp;$A50,'ASIGNACIONES'!$N$4:$N$451,0)),"")</f>
        <v/>
      </c>
      <c r="E50" s="24">
        <f>SUMIFS('ASIGNACIONES'!$M$4:$M$451,'ASIGNACIONES'!$C$4:$C$451,$A50,'ASIGNACIONES'!$A$4:$A$451,$B50)+IF(COUNTIFS('ASIGNACIONES'!$C$4:$C$451,$A50,'ASIGNACIONES'!$A$4:$A$451,$B50,'ASIGNACIONES'!$Q$4:$Q$451,"sí")&gt;0,8,0)</f>
        <v/>
      </c>
      <c r="F50" s="24">
        <f>p_base_semanal_horas</f>
        <v/>
      </c>
      <c r="G50" s="24">
        <f>$E50-$F50</f>
        <v/>
      </c>
    </row>
    <row r="51">
      <c r="A51" s="24" t="inlineStr">
        <is>
          <t>Eduardo Silva</t>
        </is>
      </c>
      <c r="B51" s="24" t="inlineStr">
        <is>
          <t>2026-S33</t>
        </is>
      </c>
      <c r="C51" s="24">
        <f>IFERROR(INDEX('TECNICOS'!$C$4:$C$19,MATCH($A51,'TECNICOS'!$B$4:$B$19,0)),"")</f>
        <v/>
      </c>
      <c r="D51" s="24">
        <f>IFERROR(INDEX('ASIGNACIONES'!$G$4:$G$451,MATCH($B51&amp;"|lunes|"&amp;$A51,'ASIGNACIONES'!$N$4:$N$451,0)),"")</f>
        <v/>
      </c>
      <c r="E51" s="24">
        <f>SUMIFS('ASIGNACIONES'!$M$4:$M$451,'ASIGNACIONES'!$C$4:$C$451,$A51,'ASIGNACIONES'!$A$4:$A$451,$B51)+IF(COUNTIFS('ASIGNACIONES'!$C$4:$C$451,$A51,'ASIGNACIONES'!$A$4:$A$451,$B51,'ASIGNACIONES'!$Q$4:$Q$451,"sí")&gt;0,8,0)</f>
        <v/>
      </c>
      <c r="F51" s="24">
        <f>p_base_semanal_horas</f>
        <v/>
      </c>
      <c r="G51" s="24">
        <f>$E51-$F51</f>
        <v/>
      </c>
    </row>
    <row r="52">
      <c r="A52" s="24" t="inlineStr">
        <is>
          <t>Gabriela Rojas</t>
        </is>
      </c>
      <c r="B52" s="24" t="inlineStr">
        <is>
          <t>2026-S30</t>
        </is>
      </c>
      <c r="C52" s="24">
        <f>IFERROR(INDEX('TECNICOS'!$C$4:$C$19,MATCH($A52,'TECNICOS'!$B$4:$B$19,0)),"")</f>
        <v/>
      </c>
      <c r="D52" s="24">
        <f>IFERROR(INDEX('ASIGNACIONES'!$G$4:$G$451,MATCH($B52&amp;"|lunes|"&amp;$A52,'ASIGNACIONES'!$N$4:$N$451,0)),"")</f>
        <v/>
      </c>
      <c r="E52" s="24">
        <f>SUMIFS('ASIGNACIONES'!$M$4:$M$451,'ASIGNACIONES'!$C$4:$C$451,$A52,'ASIGNACIONES'!$A$4:$A$451,$B52)+IF(COUNTIFS('ASIGNACIONES'!$C$4:$C$451,$A52,'ASIGNACIONES'!$A$4:$A$451,$B52,'ASIGNACIONES'!$Q$4:$Q$451,"sí")&gt;0,8,0)</f>
        <v/>
      </c>
      <c r="F52" s="24">
        <f>p_base_semanal_horas</f>
        <v/>
      </c>
      <c r="G52" s="24">
        <f>$E52-$F52</f>
        <v/>
      </c>
    </row>
    <row r="53">
      <c r="A53" s="24" t="inlineStr">
        <is>
          <t>Gabriela Rojas</t>
        </is>
      </c>
      <c r="B53" s="24" t="inlineStr">
        <is>
          <t>2026-S31</t>
        </is>
      </c>
      <c r="C53" s="24">
        <f>IFERROR(INDEX('TECNICOS'!$C$4:$C$19,MATCH($A53,'TECNICOS'!$B$4:$B$19,0)),"")</f>
        <v/>
      </c>
      <c r="D53" s="24">
        <f>IFERROR(INDEX('ASIGNACIONES'!$G$4:$G$451,MATCH($B53&amp;"|lunes|"&amp;$A53,'ASIGNACIONES'!$N$4:$N$451,0)),"")</f>
        <v/>
      </c>
      <c r="E53" s="24">
        <f>SUMIFS('ASIGNACIONES'!$M$4:$M$451,'ASIGNACIONES'!$C$4:$C$451,$A53,'ASIGNACIONES'!$A$4:$A$451,$B53)+IF(COUNTIFS('ASIGNACIONES'!$C$4:$C$451,$A53,'ASIGNACIONES'!$A$4:$A$451,$B53,'ASIGNACIONES'!$Q$4:$Q$451,"sí")&gt;0,8,0)</f>
        <v/>
      </c>
      <c r="F53" s="24">
        <f>p_base_semanal_horas</f>
        <v/>
      </c>
      <c r="G53" s="24">
        <f>$E53-$F53</f>
        <v/>
      </c>
    </row>
    <row r="54">
      <c r="A54" s="24" t="inlineStr">
        <is>
          <t>Gabriela Rojas</t>
        </is>
      </c>
      <c r="B54" s="24" t="inlineStr">
        <is>
          <t>2026-S32</t>
        </is>
      </c>
      <c r="C54" s="24">
        <f>IFERROR(INDEX('TECNICOS'!$C$4:$C$19,MATCH($A54,'TECNICOS'!$B$4:$B$19,0)),"")</f>
        <v/>
      </c>
      <c r="D54" s="24">
        <f>IFERROR(INDEX('ASIGNACIONES'!$G$4:$G$451,MATCH($B54&amp;"|lunes|"&amp;$A54,'ASIGNACIONES'!$N$4:$N$451,0)),"")</f>
        <v/>
      </c>
      <c r="E54" s="24">
        <f>SUMIFS('ASIGNACIONES'!$M$4:$M$451,'ASIGNACIONES'!$C$4:$C$451,$A54,'ASIGNACIONES'!$A$4:$A$451,$B54)+IF(COUNTIFS('ASIGNACIONES'!$C$4:$C$451,$A54,'ASIGNACIONES'!$A$4:$A$451,$B54,'ASIGNACIONES'!$Q$4:$Q$451,"sí")&gt;0,8,0)</f>
        <v/>
      </c>
      <c r="F54" s="24">
        <f>p_base_semanal_horas</f>
        <v/>
      </c>
      <c r="G54" s="24">
        <f>$E54-$F54</f>
        <v/>
      </c>
    </row>
    <row r="55">
      <c r="A55" s="24" t="inlineStr">
        <is>
          <t>Gabriela Rojas</t>
        </is>
      </c>
      <c r="B55" s="24" t="inlineStr">
        <is>
          <t>2026-S33</t>
        </is>
      </c>
      <c r="C55" s="24">
        <f>IFERROR(INDEX('TECNICOS'!$C$4:$C$19,MATCH($A55,'TECNICOS'!$B$4:$B$19,0)),"")</f>
        <v/>
      </c>
      <c r="D55" s="24">
        <f>IFERROR(INDEX('ASIGNACIONES'!$G$4:$G$451,MATCH($B55&amp;"|lunes|"&amp;$A55,'ASIGNACIONES'!$N$4:$N$451,0)),"")</f>
        <v/>
      </c>
      <c r="E55" s="24">
        <f>SUMIFS('ASIGNACIONES'!$M$4:$M$451,'ASIGNACIONES'!$C$4:$C$451,$A55,'ASIGNACIONES'!$A$4:$A$451,$B55)+IF(COUNTIFS('ASIGNACIONES'!$C$4:$C$451,$A55,'ASIGNACIONES'!$A$4:$A$451,$B55,'ASIGNACIONES'!$Q$4:$Q$451,"sí")&gt;0,8,0)</f>
        <v/>
      </c>
      <c r="F55" s="24">
        <f>p_base_semanal_horas</f>
        <v/>
      </c>
      <c r="G55" s="24">
        <f>$E55-$F55</f>
        <v/>
      </c>
    </row>
    <row r="56">
      <c r="A56" s="24" t="inlineStr">
        <is>
          <t>Fernando Mendoza</t>
        </is>
      </c>
      <c r="B56" s="24" t="inlineStr">
        <is>
          <t>2026-S30</t>
        </is>
      </c>
      <c r="C56" s="24">
        <f>IFERROR(INDEX('TECNICOS'!$C$4:$C$19,MATCH($A56,'TECNICOS'!$B$4:$B$19,0)),"")</f>
        <v/>
      </c>
      <c r="D56" s="24">
        <f>IFERROR(INDEX('ASIGNACIONES'!$G$4:$G$451,MATCH($B56&amp;"|lunes|"&amp;$A56,'ASIGNACIONES'!$N$4:$N$451,0)),"")</f>
        <v/>
      </c>
      <c r="E56" s="24">
        <f>SUMIFS('ASIGNACIONES'!$M$4:$M$451,'ASIGNACIONES'!$C$4:$C$451,$A56,'ASIGNACIONES'!$A$4:$A$451,$B56)+IF(COUNTIFS('ASIGNACIONES'!$C$4:$C$451,$A56,'ASIGNACIONES'!$A$4:$A$451,$B56,'ASIGNACIONES'!$Q$4:$Q$451,"sí")&gt;0,8,0)</f>
        <v/>
      </c>
      <c r="F56" s="24">
        <f>p_base_semanal_horas</f>
        <v/>
      </c>
      <c r="G56" s="24">
        <f>$E56-$F56</f>
        <v/>
      </c>
    </row>
    <row r="57">
      <c r="A57" s="24" t="inlineStr">
        <is>
          <t>Fernando Mendoza</t>
        </is>
      </c>
      <c r="B57" s="24" t="inlineStr">
        <is>
          <t>2026-S31</t>
        </is>
      </c>
      <c r="C57" s="24">
        <f>IFERROR(INDEX('TECNICOS'!$C$4:$C$19,MATCH($A57,'TECNICOS'!$B$4:$B$19,0)),"")</f>
        <v/>
      </c>
      <c r="D57" s="24">
        <f>IFERROR(INDEX('ASIGNACIONES'!$G$4:$G$451,MATCH($B57&amp;"|lunes|"&amp;$A57,'ASIGNACIONES'!$N$4:$N$451,0)),"")</f>
        <v/>
      </c>
      <c r="E57" s="24">
        <f>SUMIFS('ASIGNACIONES'!$M$4:$M$451,'ASIGNACIONES'!$C$4:$C$451,$A57,'ASIGNACIONES'!$A$4:$A$451,$B57)+IF(COUNTIFS('ASIGNACIONES'!$C$4:$C$451,$A57,'ASIGNACIONES'!$A$4:$A$451,$B57,'ASIGNACIONES'!$Q$4:$Q$451,"sí")&gt;0,8,0)</f>
        <v/>
      </c>
      <c r="F57" s="24">
        <f>p_base_semanal_horas</f>
        <v/>
      </c>
      <c r="G57" s="24">
        <f>$E57-$F57</f>
        <v/>
      </c>
    </row>
    <row r="58">
      <c r="A58" s="24" t="inlineStr">
        <is>
          <t>Fernando Mendoza</t>
        </is>
      </c>
      <c r="B58" s="24" t="inlineStr">
        <is>
          <t>2026-S32</t>
        </is>
      </c>
      <c r="C58" s="24">
        <f>IFERROR(INDEX('TECNICOS'!$C$4:$C$19,MATCH($A58,'TECNICOS'!$B$4:$B$19,0)),"")</f>
        <v/>
      </c>
      <c r="D58" s="24">
        <f>IFERROR(INDEX('ASIGNACIONES'!$G$4:$G$451,MATCH($B58&amp;"|lunes|"&amp;$A58,'ASIGNACIONES'!$N$4:$N$451,0)),"")</f>
        <v/>
      </c>
      <c r="E58" s="24">
        <f>SUMIFS('ASIGNACIONES'!$M$4:$M$451,'ASIGNACIONES'!$C$4:$C$451,$A58,'ASIGNACIONES'!$A$4:$A$451,$B58)+IF(COUNTIFS('ASIGNACIONES'!$C$4:$C$451,$A58,'ASIGNACIONES'!$A$4:$A$451,$B58,'ASIGNACIONES'!$Q$4:$Q$451,"sí")&gt;0,8,0)</f>
        <v/>
      </c>
      <c r="F58" s="24">
        <f>p_base_semanal_horas</f>
        <v/>
      </c>
      <c r="G58" s="24">
        <f>$E58-$F58</f>
        <v/>
      </c>
    </row>
    <row r="59">
      <c r="A59" s="24" t="inlineStr">
        <is>
          <t>Fernando Mendoza</t>
        </is>
      </c>
      <c r="B59" s="24" t="inlineStr">
        <is>
          <t>2026-S33</t>
        </is>
      </c>
      <c r="C59" s="24">
        <f>IFERROR(INDEX('TECNICOS'!$C$4:$C$19,MATCH($A59,'TECNICOS'!$B$4:$B$19,0)),"")</f>
        <v/>
      </c>
      <c r="D59" s="24">
        <f>IFERROR(INDEX('ASIGNACIONES'!$G$4:$G$451,MATCH($B59&amp;"|lunes|"&amp;$A59,'ASIGNACIONES'!$N$4:$N$451,0)),"")</f>
        <v/>
      </c>
      <c r="E59" s="24">
        <f>SUMIFS('ASIGNACIONES'!$M$4:$M$451,'ASIGNACIONES'!$C$4:$C$451,$A59,'ASIGNACIONES'!$A$4:$A$451,$B59)+IF(COUNTIFS('ASIGNACIONES'!$C$4:$C$451,$A59,'ASIGNACIONES'!$A$4:$A$451,$B59,'ASIGNACIONES'!$Q$4:$Q$451,"sí")&gt;0,8,0)</f>
        <v/>
      </c>
      <c r="F59" s="24">
        <f>p_base_semanal_horas</f>
        <v/>
      </c>
      <c r="G59" s="24">
        <f>$E59-$F59</f>
        <v/>
      </c>
    </row>
    <row r="60">
      <c r="A60" s="24" t="inlineStr">
        <is>
          <t>Alberto Vargas</t>
        </is>
      </c>
      <c r="B60" s="24" t="inlineStr">
        <is>
          <t>2026-S30</t>
        </is>
      </c>
      <c r="C60" s="24">
        <f>IFERROR(INDEX('TECNICOS'!$C$4:$C$19,MATCH($A60,'TECNICOS'!$B$4:$B$19,0)),"")</f>
        <v/>
      </c>
      <c r="D60" s="24">
        <f>IFERROR(INDEX('ASIGNACIONES'!$G$4:$G$451,MATCH($B60&amp;"|lunes|"&amp;$A60,'ASIGNACIONES'!$N$4:$N$451,0)),"")</f>
        <v/>
      </c>
      <c r="E60" s="24">
        <f>SUMIFS('ASIGNACIONES'!$M$4:$M$451,'ASIGNACIONES'!$C$4:$C$451,$A60,'ASIGNACIONES'!$A$4:$A$451,$B60)+IF(COUNTIFS('ASIGNACIONES'!$C$4:$C$451,$A60,'ASIGNACIONES'!$A$4:$A$451,$B60,'ASIGNACIONES'!$Q$4:$Q$451,"sí")&gt;0,8,0)</f>
        <v/>
      </c>
      <c r="F60" s="24">
        <f>p_base_semanal_horas</f>
        <v/>
      </c>
      <c r="G60" s="24">
        <f>$E60-$F60</f>
        <v/>
      </c>
    </row>
    <row r="61">
      <c r="A61" s="24" t="inlineStr">
        <is>
          <t>Alberto Vargas</t>
        </is>
      </c>
      <c r="B61" s="24" t="inlineStr">
        <is>
          <t>2026-S31</t>
        </is>
      </c>
      <c r="C61" s="24">
        <f>IFERROR(INDEX('TECNICOS'!$C$4:$C$19,MATCH($A61,'TECNICOS'!$B$4:$B$19,0)),"")</f>
        <v/>
      </c>
      <c r="D61" s="24">
        <f>IFERROR(INDEX('ASIGNACIONES'!$G$4:$G$451,MATCH($B61&amp;"|lunes|"&amp;$A61,'ASIGNACIONES'!$N$4:$N$451,0)),"")</f>
        <v/>
      </c>
      <c r="E61" s="24">
        <f>SUMIFS('ASIGNACIONES'!$M$4:$M$451,'ASIGNACIONES'!$C$4:$C$451,$A61,'ASIGNACIONES'!$A$4:$A$451,$B61)+IF(COUNTIFS('ASIGNACIONES'!$C$4:$C$451,$A61,'ASIGNACIONES'!$A$4:$A$451,$B61,'ASIGNACIONES'!$Q$4:$Q$451,"sí")&gt;0,8,0)</f>
        <v/>
      </c>
      <c r="F61" s="24">
        <f>p_base_semanal_horas</f>
        <v/>
      </c>
      <c r="G61" s="24">
        <f>$E61-$F61</f>
        <v/>
      </c>
    </row>
    <row r="62">
      <c r="A62" s="24" t="inlineStr">
        <is>
          <t>Alberto Vargas</t>
        </is>
      </c>
      <c r="B62" s="24" t="inlineStr">
        <is>
          <t>2026-S32</t>
        </is>
      </c>
      <c r="C62" s="24">
        <f>IFERROR(INDEX('TECNICOS'!$C$4:$C$19,MATCH($A62,'TECNICOS'!$B$4:$B$19,0)),"")</f>
        <v/>
      </c>
      <c r="D62" s="24">
        <f>IFERROR(INDEX('ASIGNACIONES'!$G$4:$G$451,MATCH($B62&amp;"|lunes|"&amp;$A62,'ASIGNACIONES'!$N$4:$N$451,0)),"")</f>
        <v/>
      </c>
      <c r="E62" s="24">
        <f>SUMIFS('ASIGNACIONES'!$M$4:$M$451,'ASIGNACIONES'!$C$4:$C$451,$A62,'ASIGNACIONES'!$A$4:$A$451,$B62)+IF(COUNTIFS('ASIGNACIONES'!$C$4:$C$451,$A62,'ASIGNACIONES'!$A$4:$A$451,$B62,'ASIGNACIONES'!$Q$4:$Q$451,"sí")&gt;0,8,0)</f>
        <v/>
      </c>
      <c r="F62" s="24">
        <f>p_base_semanal_horas</f>
        <v/>
      </c>
      <c r="G62" s="24">
        <f>$E62-$F62</f>
        <v/>
      </c>
    </row>
    <row r="63">
      <c r="A63" s="24" t="inlineStr">
        <is>
          <t>Alberto Vargas</t>
        </is>
      </c>
      <c r="B63" s="24" t="inlineStr">
        <is>
          <t>2026-S33</t>
        </is>
      </c>
      <c r="C63" s="24">
        <f>IFERROR(INDEX('TECNICOS'!$C$4:$C$19,MATCH($A63,'TECNICOS'!$B$4:$B$19,0)),"")</f>
        <v/>
      </c>
      <c r="D63" s="24">
        <f>IFERROR(INDEX('ASIGNACIONES'!$G$4:$G$451,MATCH($B63&amp;"|lunes|"&amp;$A63,'ASIGNACIONES'!$N$4:$N$451,0)),"")</f>
        <v/>
      </c>
      <c r="E63" s="24">
        <f>SUMIFS('ASIGNACIONES'!$M$4:$M$451,'ASIGNACIONES'!$C$4:$C$451,$A63,'ASIGNACIONES'!$A$4:$A$451,$B63)+IF(COUNTIFS('ASIGNACIONES'!$C$4:$C$451,$A63,'ASIGNACIONES'!$A$4:$A$451,$B63,'ASIGNACIONES'!$Q$4:$Q$451,"sí")&gt;0,8,0)</f>
        <v/>
      </c>
      <c r="F63" s="24">
        <f>p_base_semanal_horas</f>
        <v/>
      </c>
      <c r="G63" s="24">
        <f>$E63-$F63</f>
        <v/>
      </c>
    </row>
    <row r="64">
      <c r="A64" s="24" t="inlineStr">
        <is>
          <t>Daniela Medina</t>
        </is>
      </c>
      <c r="B64" s="24" t="inlineStr">
        <is>
          <t>2026-S30</t>
        </is>
      </c>
      <c r="C64" s="24">
        <f>IFERROR(INDEX('TECNICOS'!$C$4:$C$19,MATCH($A64,'TECNICOS'!$B$4:$B$19,0)),"")</f>
        <v/>
      </c>
      <c r="D64" s="24">
        <f>IFERROR(INDEX('ASIGNACIONES'!$G$4:$G$451,MATCH($B64&amp;"|lunes|"&amp;$A64,'ASIGNACIONES'!$N$4:$N$451,0)),"")</f>
        <v/>
      </c>
      <c r="E64" s="24">
        <f>SUMIFS('ASIGNACIONES'!$M$4:$M$451,'ASIGNACIONES'!$C$4:$C$451,$A64,'ASIGNACIONES'!$A$4:$A$451,$B64)+IF(COUNTIFS('ASIGNACIONES'!$C$4:$C$451,$A64,'ASIGNACIONES'!$A$4:$A$451,$B64,'ASIGNACIONES'!$Q$4:$Q$451,"sí")&gt;0,8,0)</f>
        <v/>
      </c>
      <c r="F64" s="24">
        <f>p_base_semanal_horas</f>
        <v/>
      </c>
      <c r="G64" s="24">
        <f>$E64-$F64</f>
        <v/>
      </c>
    </row>
    <row r="65">
      <c r="A65" s="24" t="inlineStr">
        <is>
          <t>Daniela Medina</t>
        </is>
      </c>
      <c r="B65" s="24" t="inlineStr">
        <is>
          <t>2026-S31</t>
        </is>
      </c>
      <c r="C65" s="24">
        <f>IFERROR(INDEX('TECNICOS'!$C$4:$C$19,MATCH($A65,'TECNICOS'!$B$4:$B$19,0)),"")</f>
        <v/>
      </c>
      <c r="D65" s="24">
        <f>IFERROR(INDEX('ASIGNACIONES'!$G$4:$G$451,MATCH($B65&amp;"|lunes|"&amp;$A65,'ASIGNACIONES'!$N$4:$N$451,0)),"")</f>
        <v/>
      </c>
      <c r="E65" s="24">
        <f>SUMIFS('ASIGNACIONES'!$M$4:$M$451,'ASIGNACIONES'!$C$4:$C$451,$A65,'ASIGNACIONES'!$A$4:$A$451,$B65)+IF(COUNTIFS('ASIGNACIONES'!$C$4:$C$451,$A65,'ASIGNACIONES'!$A$4:$A$451,$B65,'ASIGNACIONES'!$Q$4:$Q$451,"sí")&gt;0,8,0)</f>
        <v/>
      </c>
      <c r="F65" s="24">
        <f>p_base_semanal_horas</f>
        <v/>
      </c>
      <c r="G65" s="24">
        <f>$E65-$F65</f>
        <v/>
      </c>
    </row>
    <row r="66">
      <c r="A66" s="24" t="inlineStr">
        <is>
          <t>Daniela Medina</t>
        </is>
      </c>
      <c r="B66" s="24" t="inlineStr">
        <is>
          <t>2026-S32</t>
        </is>
      </c>
      <c r="C66" s="24">
        <f>IFERROR(INDEX('TECNICOS'!$C$4:$C$19,MATCH($A66,'TECNICOS'!$B$4:$B$19,0)),"")</f>
        <v/>
      </c>
      <c r="D66" s="24">
        <f>IFERROR(INDEX('ASIGNACIONES'!$G$4:$G$451,MATCH($B66&amp;"|lunes|"&amp;$A66,'ASIGNACIONES'!$N$4:$N$451,0)),"")</f>
        <v/>
      </c>
      <c r="E66" s="24">
        <f>SUMIFS('ASIGNACIONES'!$M$4:$M$451,'ASIGNACIONES'!$C$4:$C$451,$A66,'ASIGNACIONES'!$A$4:$A$451,$B66)+IF(COUNTIFS('ASIGNACIONES'!$C$4:$C$451,$A66,'ASIGNACIONES'!$A$4:$A$451,$B66,'ASIGNACIONES'!$Q$4:$Q$451,"sí")&gt;0,8,0)</f>
        <v/>
      </c>
      <c r="F66" s="24">
        <f>p_base_semanal_horas</f>
        <v/>
      </c>
      <c r="G66" s="24">
        <f>$E66-$F66</f>
        <v/>
      </c>
    </row>
    <row r="67">
      <c r="A67" s="24" t="inlineStr">
        <is>
          <t>Daniela Medina</t>
        </is>
      </c>
      <c r="B67" s="24" t="inlineStr">
        <is>
          <t>2026-S33</t>
        </is>
      </c>
      <c r="C67" s="24">
        <f>IFERROR(INDEX('TECNICOS'!$C$4:$C$19,MATCH($A67,'TECNICOS'!$B$4:$B$19,0)),"")</f>
        <v/>
      </c>
      <c r="D67" s="24">
        <f>IFERROR(INDEX('ASIGNACIONES'!$G$4:$G$451,MATCH($B67&amp;"|lunes|"&amp;$A67,'ASIGNACIONES'!$N$4:$N$451,0)),"")</f>
        <v/>
      </c>
      <c r="E67" s="24">
        <f>SUMIFS('ASIGNACIONES'!$M$4:$M$451,'ASIGNACIONES'!$C$4:$C$451,$A67,'ASIGNACIONES'!$A$4:$A$451,$B67)+IF(COUNTIFS('ASIGNACIONES'!$C$4:$C$451,$A67,'ASIGNACIONES'!$A$4:$A$451,$B67,'ASIGNACIONES'!$Q$4:$Q$451,"sí")&gt;0,8,0)</f>
        <v/>
      </c>
      <c r="F67" s="24">
        <f>p_base_semanal_horas</f>
        <v/>
      </c>
      <c r="G67" s="24">
        <f>$E67-$F67</f>
        <v/>
      </c>
    </row>
    <row r="68"/>
    <row r="69"/>
    <row r="70">
      <c r="A70" s="3" t="inlineStr">
        <is>
          <t>DÉFICIT DE CAPACIDAD POR VACACIONES (esp × semana) — informativo, no cambia la capacidad base</t>
        </is>
      </c>
    </row>
    <row r="71">
      <c r="A71" s="23" t="inlineStr">
        <is>
          <t>especialidad</t>
        </is>
      </c>
      <c r="B71" s="23" t="inlineStr">
        <is>
          <t>semana</t>
        </is>
      </c>
      <c r="C71" s="23" t="inlineStr">
        <is>
          <t>tecnicos_vac</t>
        </is>
      </c>
      <c r="D71" s="23" t="inlineStr">
        <is>
          <t>deficit_horas</t>
        </is>
      </c>
    </row>
    <row r="72">
      <c r="A72" s="24" t="inlineStr">
        <is>
          <t>MEC</t>
        </is>
      </c>
      <c r="B72" s="24" t="inlineStr">
        <is>
          <t>2026-S30</t>
        </is>
      </c>
      <c r="C72" s="24">
        <f>COUNTIFS('ASIGNACIONES'!$E$4:$E$451,"MEC",'ASIGNACIONES'!$A$4:$A$451,"2026-S30",'ASIGNACIONES'!$B$4:$B$451,"lunes",'ASIGNACIONES'!$H$4:$H$451,"sí")</f>
        <v/>
      </c>
      <c r="D72" s="24">
        <f>C72*p_base_semanal_horas</f>
        <v/>
      </c>
    </row>
    <row r="73">
      <c r="A73" s="24" t="inlineStr">
        <is>
          <t>MEC</t>
        </is>
      </c>
      <c r="B73" s="24" t="inlineStr">
        <is>
          <t>2026-S31</t>
        </is>
      </c>
      <c r="C73" s="24">
        <f>COUNTIFS('ASIGNACIONES'!$E$4:$E$451,"MEC",'ASIGNACIONES'!$A$4:$A$451,"2026-S31",'ASIGNACIONES'!$B$4:$B$451,"lunes",'ASIGNACIONES'!$H$4:$H$451,"sí")</f>
        <v/>
      </c>
      <c r="D73" s="24">
        <f>C73*p_base_semanal_horas</f>
        <v/>
      </c>
    </row>
    <row r="74">
      <c r="A74" s="24" t="inlineStr">
        <is>
          <t>MEC</t>
        </is>
      </c>
      <c r="B74" s="24" t="inlineStr">
        <is>
          <t>2026-S32</t>
        </is>
      </c>
      <c r="C74" s="24">
        <f>COUNTIFS('ASIGNACIONES'!$E$4:$E$451,"MEC",'ASIGNACIONES'!$A$4:$A$451,"2026-S32",'ASIGNACIONES'!$B$4:$B$451,"lunes",'ASIGNACIONES'!$H$4:$H$451,"sí")</f>
        <v/>
      </c>
      <c r="D74" s="24">
        <f>C74*p_base_semanal_horas</f>
        <v/>
      </c>
    </row>
    <row r="75">
      <c r="A75" s="24" t="inlineStr">
        <is>
          <t>MEC</t>
        </is>
      </c>
      <c r="B75" s="24" t="inlineStr">
        <is>
          <t>2026-S33</t>
        </is>
      </c>
      <c r="C75" s="24">
        <f>COUNTIFS('ASIGNACIONES'!$E$4:$E$451,"MEC",'ASIGNACIONES'!$A$4:$A$451,"2026-S33",'ASIGNACIONES'!$B$4:$B$451,"lunes",'ASIGNACIONES'!$H$4:$H$451,"sí")</f>
        <v/>
      </c>
      <c r="D75" s="24">
        <f>C75*p_base_semanal_horas</f>
        <v/>
      </c>
    </row>
    <row r="76">
      <c r="A76" s="24" t="inlineStr">
        <is>
          <t>ELE</t>
        </is>
      </c>
      <c r="B76" s="24" t="inlineStr">
        <is>
          <t>2026-S30</t>
        </is>
      </c>
      <c r="C76" s="24">
        <f>COUNTIFS('ASIGNACIONES'!$E$4:$E$451,"ELE",'ASIGNACIONES'!$A$4:$A$451,"2026-S30",'ASIGNACIONES'!$B$4:$B$451,"lunes",'ASIGNACIONES'!$H$4:$H$451,"sí")</f>
        <v/>
      </c>
      <c r="D76" s="24">
        <f>C76*p_base_semanal_horas</f>
        <v/>
      </c>
    </row>
    <row r="77">
      <c r="A77" s="24" t="inlineStr">
        <is>
          <t>ELE</t>
        </is>
      </c>
      <c r="B77" s="24" t="inlineStr">
        <is>
          <t>2026-S31</t>
        </is>
      </c>
      <c r="C77" s="24">
        <f>COUNTIFS('ASIGNACIONES'!$E$4:$E$451,"ELE",'ASIGNACIONES'!$A$4:$A$451,"2026-S31",'ASIGNACIONES'!$B$4:$B$451,"lunes",'ASIGNACIONES'!$H$4:$H$451,"sí")</f>
        <v/>
      </c>
      <c r="D77" s="24">
        <f>C77*p_base_semanal_horas</f>
        <v/>
      </c>
    </row>
    <row r="78">
      <c r="A78" s="24" t="inlineStr">
        <is>
          <t>ELE</t>
        </is>
      </c>
      <c r="B78" s="24" t="inlineStr">
        <is>
          <t>2026-S32</t>
        </is>
      </c>
      <c r="C78" s="24">
        <f>COUNTIFS('ASIGNACIONES'!$E$4:$E$451,"ELE",'ASIGNACIONES'!$A$4:$A$451,"2026-S32",'ASIGNACIONES'!$B$4:$B$451,"lunes",'ASIGNACIONES'!$H$4:$H$451,"sí")</f>
        <v/>
      </c>
      <c r="D78" s="24">
        <f>C78*p_base_semanal_horas</f>
        <v/>
      </c>
    </row>
    <row r="79">
      <c r="A79" s="24" t="inlineStr">
        <is>
          <t>ELE</t>
        </is>
      </c>
      <c r="B79" s="24" t="inlineStr">
        <is>
          <t>2026-S33</t>
        </is>
      </c>
      <c r="C79" s="24">
        <f>COUNTIFS('ASIGNACIONES'!$E$4:$E$451,"ELE",'ASIGNACIONES'!$A$4:$A$451,"2026-S33",'ASIGNACIONES'!$B$4:$B$451,"lunes",'ASIGNACIONES'!$H$4:$H$451,"sí")</f>
        <v/>
      </c>
      <c r="D79" s="24">
        <f>C79*p_base_semanal_horas</f>
        <v/>
      </c>
    </row>
    <row r="80">
      <c r="A80" s="24" t="inlineStr">
        <is>
          <t>AUT</t>
        </is>
      </c>
      <c r="B80" s="24" t="inlineStr">
        <is>
          <t>2026-S30</t>
        </is>
      </c>
      <c r="C80" s="24">
        <f>COUNTIFS('ASIGNACIONES'!$E$4:$E$451,"AUT",'ASIGNACIONES'!$A$4:$A$451,"2026-S30",'ASIGNACIONES'!$B$4:$B$451,"lunes",'ASIGNACIONES'!$H$4:$H$451,"sí")</f>
        <v/>
      </c>
      <c r="D80" s="24">
        <f>C80*p_base_semanal_horas</f>
        <v/>
      </c>
    </row>
    <row r="81">
      <c r="A81" s="24" t="inlineStr">
        <is>
          <t>AUT</t>
        </is>
      </c>
      <c r="B81" s="24" t="inlineStr">
        <is>
          <t>2026-S31</t>
        </is>
      </c>
      <c r="C81" s="24">
        <f>COUNTIFS('ASIGNACIONES'!$E$4:$E$451,"AUT",'ASIGNACIONES'!$A$4:$A$451,"2026-S31",'ASIGNACIONES'!$B$4:$B$451,"lunes",'ASIGNACIONES'!$H$4:$H$451,"sí")</f>
        <v/>
      </c>
      <c r="D81" s="24">
        <f>C81*p_base_semanal_horas</f>
        <v/>
      </c>
    </row>
    <row r="82">
      <c r="A82" s="24" t="inlineStr">
        <is>
          <t>AUT</t>
        </is>
      </c>
      <c r="B82" s="24" t="inlineStr">
        <is>
          <t>2026-S32</t>
        </is>
      </c>
      <c r="C82" s="24">
        <f>COUNTIFS('ASIGNACIONES'!$E$4:$E$451,"AUT",'ASIGNACIONES'!$A$4:$A$451,"2026-S32",'ASIGNACIONES'!$B$4:$B$451,"lunes",'ASIGNACIONES'!$H$4:$H$451,"sí")</f>
        <v/>
      </c>
      <c r="D82" s="24">
        <f>C82*p_base_semanal_horas</f>
        <v/>
      </c>
    </row>
    <row r="83">
      <c r="A83" s="24" t="inlineStr">
        <is>
          <t>AUT</t>
        </is>
      </c>
      <c r="B83" s="24" t="inlineStr">
        <is>
          <t>2026-S33</t>
        </is>
      </c>
      <c r="C83" s="24">
        <f>COUNTIFS('ASIGNACIONES'!$E$4:$E$451,"AUT",'ASIGNACIONES'!$A$4:$A$451,"2026-S33",'ASIGNACIONES'!$B$4:$B$451,"lunes",'ASIGNACIONES'!$H$4:$H$451,"sí")</f>
        <v/>
      </c>
      <c r="D83" s="24">
        <f>C83*p_base_semanal_horas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9" customWidth="1" min="5" max="5"/>
    <col width="10" customWidth="1" min="6" max="6"/>
  </cols>
  <sheetData>
    <row r="1">
      <c r="A1" s="3" t="inlineStr">
        <is>
          <t>SEGUIMIENTO MENSUAL (6.5) — base del bono. horas_reales_mes acumula el SEGUIMIENTO_HH; requeridas = nº de semanas del mes × 48. cumple usa la tolerancia p_tolerancia_horas_bono. Un técnico con VAC en el mes queda por debajo.</t>
        </is>
      </c>
    </row>
    <row r="2">
      <c r="A2" s="19">
        <f>HYPERLINK("#DASHBOARD!A1","◂ VOLVER AL TABLERO")</f>
        <v/>
      </c>
    </row>
    <row r="3">
      <c r="A3" s="23" t="inlineStr">
        <is>
          <t>tecnico</t>
        </is>
      </c>
      <c r="B3" s="23" t="inlineStr">
        <is>
          <t>mes</t>
        </is>
      </c>
      <c r="C3" s="23" t="inlineStr">
        <is>
          <t>horas_reales_mes</t>
        </is>
      </c>
      <c r="D3" s="23" t="inlineStr">
        <is>
          <t>horas_requeridas_mes</t>
        </is>
      </c>
      <c r="E3" s="23" t="inlineStr">
        <is>
          <t>cumple</t>
        </is>
      </c>
      <c r="F3" s="23" t="inlineStr">
        <is>
          <t>brecha</t>
        </is>
      </c>
    </row>
    <row r="4">
      <c r="A4" s="24" t="inlineStr">
        <is>
          <t>Carlos Pérez</t>
        </is>
      </c>
      <c r="B4" s="24" t="inlineStr">
        <is>
          <t>2026-07</t>
        </is>
      </c>
      <c r="C4" s="24">
        <f>SUMIFS('SEGUIMIENTO_HH'!$E$4:$E$67,'SEGUIMIENTO_HH'!$A$4:$A$67,$A4,'SEGUIMIENTO_HH'!$B$4:$B$67,"2026-S30")+SUMIFS('SEGUIMIENTO_HH'!$E$4:$E$67,'SEGUIMIENTO_HH'!$A$4:$A$67,$A4,'SEGUIMIENTO_HH'!$B$4:$B$67,"2026-S31")</f>
        <v/>
      </c>
      <c r="D4" s="24">
        <f>2*p_base_semanal_horas</f>
        <v/>
      </c>
      <c r="E4" s="24">
        <f>IF($C4&gt;=$D4-p_tolerancia_horas_bono,"sí","no")</f>
        <v/>
      </c>
      <c r="F4" s="24">
        <f>$C4-$D4</f>
        <v/>
      </c>
    </row>
    <row r="5">
      <c r="A5" s="24" t="inlineStr">
        <is>
          <t>Carlos Pérez</t>
        </is>
      </c>
      <c r="B5" s="24" t="inlineStr">
        <is>
          <t>2026-08</t>
        </is>
      </c>
      <c r="C5" s="24">
        <f>SUMIFS('SEGUIMIENTO_HH'!$E$4:$E$67,'SEGUIMIENTO_HH'!$A$4:$A$67,$A5,'SEGUIMIENTO_HH'!$B$4:$B$67,"2026-S32")+SUMIFS('SEGUIMIENTO_HH'!$E$4:$E$67,'SEGUIMIENTO_HH'!$A$4:$A$67,$A5,'SEGUIMIENTO_HH'!$B$4:$B$67,"2026-S33")</f>
        <v/>
      </c>
      <c r="D5" s="24">
        <f>2*p_base_semanal_horas</f>
        <v/>
      </c>
      <c r="E5" s="24">
        <f>IF($C5&gt;=$D5-p_tolerancia_horas_bono,"sí","no")</f>
        <v/>
      </c>
      <c r="F5" s="24">
        <f>$C5-$D5</f>
        <v/>
      </c>
    </row>
    <row r="6">
      <c r="A6" s="24" t="inlineStr">
        <is>
          <t>María Gómez</t>
        </is>
      </c>
      <c r="B6" s="24" t="inlineStr">
        <is>
          <t>2026-07</t>
        </is>
      </c>
      <c r="C6" s="24">
        <f>SUMIFS('SEGUIMIENTO_HH'!$E$4:$E$67,'SEGUIMIENTO_HH'!$A$4:$A$67,$A6,'SEGUIMIENTO_HH'!$B$4:$B$67,"2026-S30")+SUMIFS('SEGUIMIENTO_HH'!$E$4:$E$67,'SEGUIMIENTO_HH'!$A$4:$A$67,$A6,'SEGUIMIENTO_HH'!$B$4:$B$67,"2026-S31")</f>
        <v/>
      </c>
      <c r="D6" s="24">
        <f>2*p_base_semanal_horas</f>
        <v/>
      </c>
      <c r="E6" s="24">
        <f>IF($C6&gt;=$D6-p_tolerancia_horas_bono,"sí","no")</f>
        <v/>
      </c>
      <c r="F6" s="24">
        <f>$C6-$D6</f>
        <v/>
      </c>
    </row>
    <row r="7">
      <c r="A7" s="24" t="inlineStr">
        <is>
          <t>María Gómez</t>
        </is>
      </c>
      <c r="B7" s="24" t="inlineStr">
        <is>
          <t>2026-08</t>
        </is>
      </c>
      <c r="C7" s="24">
        <f>SUMIFS('SEGUIMIENTO_HH'!$E$4:$E$67,'SEGUIMIENTO_HH'!$A$4:$A$67,$A7,'SEGUIMIENTO_HH'!$B$4:$B$67,"2026-S32")+SUMIFS('SEGUIMIENTO_HH'!$E$4:$E$67,'SEGUIMIENTO_HH'!$A$4:$A$67,$A7,'SEGUIMIENTO_HH'!$B$4:$B$67,"2026-S33")</f>
        <v/>
      </c>
      <c r="D7" s="24">
        <f>2*p_base_semanal_horas</f>
        <v/>
      </c>
      <c r="E7" s="24">
        <f>IF($C7&gt;=$D7-p_tolerancia_horas_bono,"sí","no")</f>
        <v/>
      </c>
      <c r="F7" s="24">
        <f>$C7-$D7</f>
        <v/>
      </c>
    </row>
    <row r="8">
      <c r="A8" s="24" t="inlineStr">
        <is>
          <t>Luis Rodríguez</t>
        </is>
      </c>
      <c r="B8" s="24" t="inlineStr">
        <is>
          <t>2026-07</t>
        </is>
      </c>
      <c r="C8" s="24">
        <f>SUMIFS('SEGUIMIENTO_HH'!$E$4:$E$67,'SEGUIMIENTO_HH'!$A$4:$A$67,$A8,'SEGUIMIENTO_HH'!$B$4:$B$67,"2026-S30")+SUMIFS('SEGUIMIENTO_HH'!$E$4:$E$67,'SEGUIMIENTO_HH'!$A$4:$A$67,$A8,'SEGUIMIENTO_HH'!$B$4:$B$67,"2026-S31")</f>
        <v/>
      </c>
      <c r="D8" s="24">
        <f>2*p_base_semanal_horas</f>
        <v/>
      </c>
      <c r="E8" s="24">
        <f>IF($C8&gt;=$D8-p_tolerancia_horas_bono,"sí","no")</f>
        <v/>
      </c>
      <c r="F8" s="24">
        <f>$C8-$D8</f>
        <v/>
      </c>
    </row>
    <row r="9">
      <c r="A9" s="24" t="inlineStr">
        <is>
          <t>Luis Rodríguez</t>
        </is>
      </c>
      <c r="B9" s="24" t="inlineStr">
        <is>
          <t>2026-08</t>
        </is>
      </c>
      <c r="C9" s="24">
        <f>SUMIFS('SEGUIMIENTO_HH'!$E$4:$E$67,'SEGUIMIENTO_HH'!$A$4:$A$67,$A9,'SEGUIMIENTO_HH'!$B$4:$B$67,"2026-S32")+SUMIFS('SEGUIMIENTO_HH'!$E$4:$E$67,'SEGUIMIENTO_HH'!$A$4:$A$67,$A9,'SEGUIMIENTO_HH'!$B$4:$B$67,"2026-S33")</f>
        <v/>
      </c>
      <c r="D9" s="24">
        <f>2*p_base_semanal_horas</f>
        <v/>
      </c>
      <c r="E9" s="24">
        <f>IF($C9&gt;=$D9-p_tolerancia_horas_bono,"sí","no")</f>
        <v/>
      </c>
      <c r="F9" s="24">
        <f>$C9-$D9</f>
        <v/>
      </c>
    </row>
    <row r="10">
      <c r="A10" s="24" t="inlineStr">
        <is>
          <t>Miguel Martínez</t>
        </is>
      </c>
      <c r="B10" s="24" t="inlineStr">
        <is>
          <t>2026-07</t>
        </is>
      </c>
      <c r="C10" s="24">
        <f>SUMIFS('SEGUIMIENTO_HH'!$E$4:$E$67,'SEGUIMIENTO_HH'!$A$4:$A$67,$A10,'SEGUIMIENTO_HH'!$B$4:$B$67,"2026-S30")+SUMIFS('SEGUIMIENTO_HH'!$E$4:$E$67,'SEGUIMIENTO_HH'!$A$4:$A$67,$A10,'SEGUIMIENTO_HH'!$B$4:$B$67,"2026-S31")</f>
        <v/>
      </c>
      <c r="D10" s="24">
        <f>2*p_base_semanal_horas</f>
        <v/>
      </c>
      <c r="E10" s="24">
        <f>IF($C10&gt;=$D10-p_tolerancia_horas_bono,"sí","no")</f>
        <v/>
      </c>
      <c r="F10" s="24">
        <f>$C10-$D10</f>
        <v/>
      </c>
    </row>
    <row r="11">
      <c r="A11" s="24" t="inlineStr">
        <is>
          <t>Miguel Martínez</t>
        </is>
      </c>
      <c r="B11" s="24" t="inlineStr">
        <is>
          <t>2026-08</t>
        </is>
      </c>
      <c r="C11" s="24">
        <f>SUMIFS('SEGUIMIENTO_HH'!$E$4:$E$67,'SEGUIMIENTO_HH'!$A$4:$A$67,$A11,'SEGUIMIENTO_HH'!$B$4:$B$67,"2026-S32")+SUMIFS('SEGUIMIENTO_HH'!$E$4:$E$67,'SEGUIMIENTO_HH'!$A$4:$A$67,$A11,'SEGUIMIENTO_HH'!$B$4:$B$67,"2026-S33")</f>
        <v/>
      </c>
      <c r="D11" s="24">
        <f>2*p_base_semanal_horas</f>
        <v/>
      </c>
      <c r="E11" s="24">
        <f>IF($C11&gt;=$D11-p_tolerancia_horas_bono,"sí","no")</f>
        <v/>
      </c>
      <c r="F11" s="24">
        <f>$C11-$D11</f>
        <v/>
      </c>
    </row>
    <row r="12">
      <c r="A12" s="24" t="inlineStr">
        <is>
          <t>Ana Sánchez</t>
        </is>
      </c>
      <c r="B12" s="24" t="inlineStr">
        <is>
          <t>2026-07</t>
        </is>
      </c>
      <c r="C12" s="24">
        <f>SUMIFS('SEGUIMIENTO_HH'!$E$4:$E$67,'SEGUIMIENTO_HH'!$A$4:$A$67,$A12,'SEGUIMIENTO_HH'!$B$4:$B$67,"2026-S30")+SUMIFS('SEGUIMIENTO_HH'!$E$4:$E$67,'SEGUIMIENTO_HH'!$A$4:$A$67,$A12,'SEGUIMIENTO_HH'!$B$4:$B$67,"2026-S31")</f>
        <v/>
      </c>
      <c r="D12" s="24">
        <f>2*p_base_semanal_horas</f>
        <v/>
      </c>
      <c r="E12" s="24">
        <f>IF($C12&gt;=$D12-p_tolerancia_horas_bono,"sí","no")</f>
        <v/>
      </c>
      <c r="F12" s="24">
        <f>$C12-$D12</f>
        <v/>
      </c>
    </row>
    <row r="13">
      <c r="A13" s="24" t="inlineStr">
        <is>
          <t>Ana Sánchez</t>
        </is>
      </c>
      <c r="B13" s="24" t="inlineStr">
        <is>
          <t>2026-08</t>
        </is>
      </c>
      <c r="C13" s="24">
        <f>SUMIFS('SEGUIMIENTO_HH'!$E$4:$E$67,'SEGUIMIENTO_HH'!$A$4:$A$67,$A13,'SEGUIMIENTO_HH'!$B$4:$B$67,"2026-S32")+SUMIFS('SEGUIMIENTO_HH'!$E$4:$E$67,'SEGUIMIENTO_HH'!$A$4:$A$67,$A13,'SEGUIMIENTO_HH'!$B$4:$B$67,"2026-S33")</f>
        <v/>
      </c>
      <c r="D13" s="24">
        <f>2*p_base_semanal_horas</f>
        <v/>
      </c>
      <c r="E13" s="24">
        <f>IF($C13&gt;=$D13-p_tolerancia_horas_bono,"sí","no")</f>
        <v/>
      </c>
      <c r="F13" s="24">
        <f>$C13-$D13</f>
        <v/>
      </c>
    </row>
    <row r="14">
      <c r="A14" s="24" t="inlineStr">
        <is>
          <t>David Torres</t>
        </is>
      </c>
      <c r="B14" s="24" t="inlineStr">
        <is>
          <t>2026-07</t>
        </is>
      </c>
      <c r="C14" s="24">
        <f>SUMIFS('SEGUIMIENTO_HH'!$E$4:$E$67,'SEGUIMIENTO_HH'!$A$4:$A$67,$A14,'SEGUIMIENTO_HH'!$B$4:$B$67,"2026-S30")+SUMIFS('SEGUIMIENTO_HH'!$E$4:$E$67,'SEGUIMIENTO_HH'!$A$4:$A$67,$A14,'SEGUIMIENTO_HH'!$B$4:$B$67,"2026-S31")</f>
        <v/>
      </c>
      <c r="D14" s="24">
        <f>2*p_base_semanal_horas</f>
        <v/>
      </c>
      <c r="E14" s="24">
        <f>IF($C14&gt;=$D14-p_tolerancia_horas_bono,"sí","no")</f>
        <v/>
      </c>
      <c r="F14" s="24">
        <f>$C14-$D14</f>
        <v/>
      </c>
    </row>
    <row r="15">
      <c r="A15" s="24" t="inlineStr">
        <is>
          <t>David Torres</t>
        </is>
      </c>
      <c r="B15" s="24" t="inlineStr">
        <is>
          <t>2026-08</t>
        </is>
      </c>
      <c r="C15" s="24">
        <f>SUMIFS('SEGUIMIENTO_HH'!$E$4:$E$67,'SEGUIMIENTO_HH'!$A$4:$A$67,$A15,'SEGUIMIENTO_HH'!$B$4:$B$67,"2026-S32")+SUMIFS('SEGUIMIENTO_HH'!$E$4:$E$67,'SEGUIMIENTO_HH'!$A$4:$A$67,$A15,'SEGUIMIENTO_HH'!$B$4:$B$67,"2026-S33")</f>
        <v/>
      </c>
      <c r="D15" s="24">
        <f>2*p_base_semanal_horas</f>
        <v/>
      </c>
      <c r="E15" s="24">
        <f>IF($C15&gt;=$D15-p_tolerancia_horas_bono,"sí","no")</f>
        <v/>
      </c>
      <c r="F15" s="24">
        <f>$C15-$D15</f>
        <v/>
      </c>
    </row>
    <row r="16">
      <c r="A16" s="24" t="inlineStr">
        <is>
          <t>Francisco Ramírez</t>
        </is>
      </c>
      <c r="B16" s="24" t="inlineStr">
        <is>
          <t>2026-07</t>
        </is>
      </c>
      <c r="C16" s="24">
        <f>SUMIFS('SEGUIMIENTO_HH'!$E$4:$E$67,'SEGUIMIENTO_HH'!$A$4:$A$67,$A16,'SEGUIMIENTO_HH'!$B$4:$B$67,"2026-S30")+SUMIFS('SEGUIMIENTO_HH'!$E$4:$E$67,'SEGUIMIENTO_HH'!$A$4:$A$67,$A16,'SEGUIMIENTO_HH'!$B$4:$B$67,"2026-S31")</f>
        <v/>
      </c>
      <c r="D16" s="24">
        <f>2*p_base_semanal_horas</f>
        <v/>
      </c>
      <c r="E16" s="24">
        <f>IF($C16&gt;=$D16-p_tolerancia_horas_bono,"sí","no")</f>
        <v/>
      </c>
      <c r="F16" s="24">
        <f>$C16-$D16</f>
        <v/>
      </c>
    </row>
    <row r="17">
      <c r="A17" s="24" t="inlineStr">
        <is>
          <t>Francisco Ramírez</t>
        </is>
      </c>
      <c r="B17" s="24" t="inlineStr">
        <is>
          <t>2026-08</t>
        </is>
      </c>
      <c r="C17" s="24">
        <f>SUMIFS('SEGUIMIENTO_HH'!$E$4:$E$67,'SEGUIMIENTO_HH'!$A$4:$A$67,$A17,'SEGUIMIENTO_HH'!$B$4:$B$67,"2026-S32")+SUMIFS('SEGUIMIENTO_HH'!$E$4:$E$67,'SEGUIMIENTO_HH'!$A$4:$A$67,$A17,'SEGUIMIENTO_HH'!$B$4:$B$67,"2026-S33")</f>
        <v/>
      </c>
      <c r="D17" s="24">
        <f>2*p_base_semanal_horas</f>
        <v/>
      </c>
      <c r="E17" s="24">
        <f>IF($C17&gt;=$D17-p_tolerancia_horas_bono,"sí","no")</f>
        <v/>
      </c>
      <c r="F17" s="24">
        <f>$C17-$D17</f>
        <v/>
      </c>
    </row>
    <row r="18">
      <c r="A18" s="24" t="inlineStr">
        <is>
          <t>Jorge Díaz</t>
        </is>
      </c>
      <c r="B18" s="24" t="inlineStr">
        <is>
          <t>2026-07</t>
        </is>
      </c>
      <c r="C18" s="24">
        <f>SUMIFS('SEGUIMIENTO_HH'!$E$4:$E$67,'SEGUIMIENTO_HH'!$A$4:$A$67,$A18,'SEGUIMIENTO_HH'!$B$4:$B$67,"2026-S30")+SUMIFS('SEGUIMIENTO_HH'!$E$4:$E$67,'SEGUIMIENTO_HH'!$A$4:$A$67,$A18,'SEGUIMIENTO_HH'!$B$4:$B$67,"2026-S31")</f>
        <v/>
      </c>
      <c r="D18" s="24">
        <f>2*p_base_semanal_horas</f>
        <v/>
      </c>
      <c r="E18" s="24">
        <f>IF($C18&gt;=$D18-p_tolerancia_horas_bono,"sí","no")</f>
        <v/>
      </c>
      <c r="F18" s="24">
        <f>$C18-$D18</f>
        <v/>
      </c>
    </row>
    <row r="19">
      <c r="A19" s="24" t="inlineStr">
        <is>
          <t>Jorge Díaz</t>
        </is>
      </c>
      <c r="B19" s="24" t="inlineStr">
        <is>
          <t>2026-08</t>
        </is>
      </c>
      <c r="C19" s="24">
        <f>SUMIFS('SEGUIMIENTO_HH'!$E$4:$E$67,'SEGUIMIENTO_HH'!$A$4:$A$67,$A19,'SEGUIMIENTO_HH'!$B$4:$B$67,"2026-S32")+SUMIFS('SEGUIMIENTO_HH'!$E$4:$E$67,'SEGUIMIENTO_HH'!$A$4:$A$67,$A19,'SEGUIMIENTO_HH'!$B$4:$B$67,"2026-S33")</f>
        <v/>
      </c>
      <c r="D19" s="24">
        <f>2*p_base_semanal_horas</f>
        <v/>
      </c>
      <c r="E19" s="24">
        <f>IF($C19&gt;=$D19-p_tolerancia_horas_bono,"sí","no")</f>
        <v/>
      </c>
      <c r="F19" s="24">
        <f>$C19-$D19</f>
        <v/>
      </c>
    </row>
    <row r="20">
      <c r="A20" s="24" t="inlineStr">
        <is>
          <t>Roberto Castro</t>
        </is>
      </c>
      <c r="B20" s="24" t="inlineStr">
        <is>
          <t>2026-07</t>
        </is>
      </c>
      <c r="C20" s="24">
        <f>SUMIFS('SEGUIMIENTO_HH'!$E$4:$E$67,'SEGUIMIENTO_HH'!$A$4:$A$67,$A20,'SEGUIMIENTO_HH'!$B$4:$B$67,"2026-S30")+SUMIFS('SEGUIMIENTO_HH'!$E$4:$E$67,'SEGUIMIENTO_HH'!$A$4:$A$67,$A20,'SEGUIMIENTO_HH'!$B$4:$B$67,"2026-S31")</f>
        <v/>
      </c>
      <c r="D20" s="24">
        <f>2*p_base_semanal_horas</f>
        <v/>
      </c>
      <c r="E20" s="24">
        <f>IF($C20&gt;=$D20-p_tolerancia_horas_bono,"sí","no")</f>
        <v/>
      </c>
      <c r="F20" s="24">
        <f>$C20-$D20</f>
        <v/>
      </c>
    </row>
    <row r="21">
      <c r="A21" s="24" t="inlineStr">
        <is>
          <t>Roberto Castro</t>
        </is>
      </c>
      <c r="B21" s="24" t="inlineStr">
        <is>
          <t>2026-08</t>
        </is>
      </c>
      <c r="C21" s="24">
        <f>SUMIFS('SEGUIMIENTO_HH'!$E$4:$E$67,'SEGUIMIENTO_HH'!$A$4:$A$67,$A21,'SEGUIMIENTO_HH'!$B$4:$B$67,"2026-S32")+SUMIFS('SEGUIMIENTO_HH'!$E$4:$E$67,'SEGUIMIENTO_HH'!$A$4:$A$67,$A21,'SEGUIMIENTO_HH'!$B$4:$B$67,"2026-S33")</f>
        <v/>
      </c>
      <c r="D21" s="24">
        <f>2*p_base_semanal_horas</f>
        <v/>
      </c>
      <c r="E21" s="24">
        <f>IF($C21&gt;=$D21-p_tolerancia_horas_bono,"sí","no")</f>
        <v/>
      </c>
      <c r="F21" s="24">
        <f>$C21-$D21</f>
        <v/>
      </c>
    </row>
    <row r="22">
      <c r="A22" s="24" t="inlineStr">
        <is>
          <t>Laura Morales</t>
        </is>
      </c>
      <c r="B22" s="24" t="inlineStr">
        <is>
          <t>2026-07</t>
        </is>
      </c>
      <c r="C22" s="24">
        <f>SUMIFS('SEGUIMIENTO_HH'!$E$4:$E$67,'SEGUIMIENTO_HH'!$A$4:$A$67,$A22,'SEGUIMIENTO_HH'!$B$4:$B$67,"2026-S30")+SUMIFS('SEGUIMIENTO_HH'!$E$4:$E$67,'SEGUIMIENTO_HH'!$A$4:$A$67,$A22,'SEGUIMIENTO_HH'!$B$4:$B$67,"2026-S31")</f>
        <v/>
      </c>
      <c r="D22" s="24">
        <f>2*p_base_semanal_horas</f>
        <v/>
      </c>
      <c r="E22" s="24">
        <f>IF($C22&gt;=$D22-p_tolerancia_horas_bono,"sí","no")</f>
        <v/>
      </c>
      <c r="F22" s="24">
        <f>$C22-$D22</f>
        <v/>
      </c>
    </row>
    <row r="23">
      <c r="A23" s="24" t="inlineStr">
        <is>
          <t>Laura Morales</t>
        </is>
      </c>
      <c r="B23" s="24" t="inlineStr">
        <is>
          <t>2026-08</t>
        </is>
      </c>
      <c r="C23" s="24">
        <f>SUMIFS('SEGUIMIENTO_HH'!$E$4:$E$67,'SEGUIMIENTO_HH'!$A$4:$A$67,$A23,'SEGUIMIENTO_HH'!$B$4:$B$67,"2026-S32")+SUMIFS('SEGUIMIENTO_HH'!$E$4:$E$67,'SEGUIMIENTO_HH'!$A$4:$A$67,$A23,'SEGUIMIENTO_HH'!$B$4:$B$67,"2026-S33")</f>
        <v/>
      </c>
      <c r="D23" s="24">
        <f>2*p_base_semanal_horas</f>
        <v/>
      </c>
      <c r="E23" s="24">
        <f>IF($C23&gt;=$D23-p_tolerancia_horas_bono,"sí","no")</f>
        <v/>
      </c>
      <c r="F23" s="24">
        <f>$C23-$D23</f>
        <v/>
      </c>
    </row>
    <row r="24">
      <c r="A24" s="24" t="inlineStr">
        <is>
          <t>Ricardo Ortiz</t>
        </is>
      </c>
      <c r="B24" s="24" t="inlineStr">
        <is>
          <t>2026-07</t>
        </is>
      </c>
      <c r="C24" s="24">
        <f>SUMIFS('SEGUIMIENTO_HH'!$E$4:$E$67,'SEGUIMIENTO_HH'!$A$4:$A$67,$A24,'SEGUIMIENTO_HH'!$B$4:$B$67,"2026-S30")+SUMIFS('SEGUIMIENTO_HH'!$E$4:$E$67,'SEGUIMIENTO_HH'!$A$4:$A$67,$A24,'SEGUIMIENTO_HH'!$B$4:$B$67,"2026-S31")</f>
        <v/>
      </c>
      <c r="D24" s="24">
        <f>2*p_base_semanal_horas</f>
        <v/>
      </c>
      <c r="E24" s="24">
        <f>IF($C24&gt;=$D24-p_tolerancia_horas_bono,"sí","no")</f>
        <v/>
      </c>
      <c r="F24" s="24">
        <f>$C24-$D24</f>
        <v/>
      </c>
    </row>
    <row r="25">
      <c r="A25" s="24" t="inlineStr">
        <is>
          <t>Ricardo Ortiz</t>
        </is>
      </c>
      <c r="B25" s="24" t="inlineStr">
        <is>
          <t>2026-08</t>
        </is>
      </c>
      <c r="C25" s="24">
        <f>SUMIFS('SEGUIMIENTO_HH'!$E$4:$E$67,'SEGUIMIENTO_HH'!$A$4:$A$67,$A25,'SEGUIMIENTO_HH'!$B$4:$B$67,"2026-S32")+SUMIFS('SEGUIMIENTO_HH'!$E$4:$E$67,'SEGUIMIENTO_HH'!$A$4:$A$67,$A25,'SEGUIMIENTO_HH'!$B$4:$B$67,"2026-S33")</f>
        <v/>
      </c>
      <c r="D25" s="24">
        <f>2*p_base_semanal_horas</f>
        <v/>
      </c>
      <c r="E25" s="24">
        <f>IF($C25&gt;=$D25-p_tolerancia_horas_bono,"sí","no")</f>
        <v/>
      </c>
      <c r="F25" s="24">
        <f>$C25-$D25</f>
        <v/>
      </c>
    </row>
    <row r="26">
      <c r="A26" s="24" t="inlineStr">
        <is>
          <t>Eduardo Silva</t>
        </is>
      </c>
      <c r="B26" s="24" t="inlineStr">
        <is>
          <t>2026-07</t>
        </is>
      </c>
      <c r="C26" s="24">
        <f>SUMIFS('SEGUIMIENTO_HH'!$E$4:$E$67,'SEGUIMIENTO_HH'!$A$4:$A$67,$A26,'SEGUIMIENTO_HH'!$B$4:$B$67,"2026-S30")+SUMIFS('SEGUIMIENTO_HH'!$E$4:$E$67,'SEGUIMIENTO_HH'!$A$4:$A$67,$A26,'SEGUIMIENTO_HH'!$B$4:$B$67,"2026-S31")</f>
        <v/>
      </c>
      <c r="D26" s="24">
        <f>2*p_base_semanal_horas</f>
        <v/>
      </c>
      <c r="E26" s="24">
        <f>IF($C26&gt;=$D26-p_tolerancia_horas_bono,"sí","no")</f>
        <v/>
      </c>
      <c r="F26" s="24">
        <f>$C26-$D26</f>
        <v/>
      </c>
    </row>
    <row r="27">
      <c r="A27" s="24" t="inlineStr">
        <is>
          <t>Eduardo Silva</t>
        </is>
      </c>
      <c r="B27" s="24" t="inlineStr">
        <is>
          <t>2026-08</t>
        </is>
      </c>
      <c r="C27" s="24">
        <f>SUMIFS('SEGUIMIENTO_HH'!$E$4:$E$67,'SEGUIMIENTO_HH'!$A$4:$A$67,$A27,'SEGUIMIENTO_HH'!$B$4:$B$67,"2026-S32")+SUMIFS('SEGUIMIENTO_HH'!$E$4:$E$67,'SEGUIMIENTO_HH'!$A$4:$A$67,$A27,'SEGUIMIENTO_HH'!$B$4:$B$67,"2026-S33")</f>
        <v/>
      </c>
      <c r="D27" s="24">
        <f>2*p_base_semanal_horas</f>
        <v/>
      </c>
      <c r="E27" s="24">
        <f>IF($C27&gt;=$D27-p_tolerancia_horas_bono,"sí","no")</f>
        <v/>
      </c>
      <c r="F27" s="24">
        <f>$C27-$D27</f>
        <v/>
      </c>
    </row>
    <row r="28">
      <c r="A28" s="24" t="inlineStr">
        <is>
          <t>Gabriela Rojas</t>
        </is>
      </c>
      <c r="B28" s="24" t="inlineStr">
        <is>
          <t>2026-07</t>
        </is>
      </c>
      <c r="C28" s="24">
        <f>SUMIFS('SEGUIMIENTO_HH'!$E$4:$E$67,'SEGUIMIENTO_HH'!$A$4:$A$67,$A28,'SEGUIMIENTO_HH'!$B$4:$B$67,"2026-S30")+SUMIFS('SEGUIMIENTO_HH'!$E$4:$E$67,'SEGUIMIENTO_HH'!$A$4:$A$67,$A28,'SEGUIMIENTO_HH'!$B$4:$B$67,"2026-S31")</f>
        <v/>
      </c>
      <c r="D28" s="24">
        <f>2*p_base_semanal_horas</f>
        <v/>
      </c>
      <c r="E28" s="24">
        <f>IF($C28&gt;=$D28-p_tolerancia_horas_bono,"sí","no")</f>
        <v/>
      </c>
      <c r="F28" s="24">
        <f>$C28-$D28</f>
        <v/>
      </c>
    </row>
    <row r="29">
      <c r="A29" s="24" t="inlineStr">
        <is>
          <t>Gabriela Rojas</t>
        </is>
      </c>
      <c r="B29" s="24" t="inlineStr">
        <is>
          <t>2026-08</t>
        </is>
      </c>
      <c r="C29" s="24">
        <f>SUMIFS('SEGUIMIENTO_HH'!$E$4:$E$67,'SEGUIMIENTO_HH'!$A$4:$A$67,$A29,'SEGUIMIENTO_HH'!$B$4:$B$67,"2026-S32")+SUMIFS('SEGUIMIENTO_HH'!$E$4:$E$67,'SEGUIMIENTO_HH'!$A$4:$A$67,$A29,'SEGUIMIENTO_HH'!$B$4:$B$67,"2026-S33")</f>
        <v/>
      </c>
      <c r="D29" s="24">
        <f>2*p_base_semanal_horas</f>
        <v/>
      </c>
      <c r="E29" s="24">
        <f>IF($C29&gt;=$D29-p_tolerancia_horas_bono,"sí","no")</f>
        <v/>
      </c>
      <c r="F29" s="24">
        <f>$C29-$D29</f>
        <v/>
      </c>
    </row>
    <row r="30">
      <c r="A30" s="24" t="inlineStr">
        <is>
          <t>Fernando Mendoza</t>
        </is>
      </c>
      <c r="B30" s="24" t="inlineStr">
        <is>
          <t>2026-07</t>
        </is>
      </c>
      <c r="C30" s="24">
        <f>SUMIFS('SEGUIMIENTO_HH'!$E$4:$E$67,'SEGUIMIENTO_HH'!$A$4:$A$67,$A30,'SEGUIMIENTO_HH'!$B$4:$B$67,"2026-S30")+SUMIFS('SEGUIMIENTO_HH'!$E$4:$E$67,'SEGUIMIENTO_HH'!$A$4:$A$67,$A30,'SEGUIMIENTO_HH'!$B$4:$B$67,"2026-S31")</f>
        <v/>
      </c>
      <c r="D30" s="24">
        <f>2*p_base_semanal_horas</f>
        <v/>
      </c>
      <c r="E30" s="24">
        <f>IF($C30&gt;=$D30-p_tolerancia_horas_bono,"sí","no")</f>
        <v/>
      </c>
      <c r="F30" s="24">
        <f>$C30-$D30</f>
        <v/>
      </c>
    </row>
    <row r="31">
      <c r="A31" s="24" t="inlineStr">
        <is>
          <t>Fernando Mendoza</t>
        </is>
      </c>
      <c r="B31" s="24" t="inlineStr">
        <is>
          <t>2026-08</t>
        </is>
      </c>
      <c r="C31" s="24">
        <f>SUMIFS('SEGUIMIENTO_HH'!$E$4:$E$67,'SEGUIMIENTO_HH'!$A$4:$A$67,$A31,'SEGUIMIENTO_HH'!$B$4:$B$67,"2026-S32")+SUMIFS('SEGUIMIENTO_HH'!$E$4:$E$67,'SEGUIMIENTO_HH'!$A$4:$A$67,$A31,'SEGUIMIENTO_HH'!$B$4:$B$67,"2026-S33")</f>
        <v/>
      </c>
      <c r="D31" s="24">
        <f>2*p_base_semanal_horas</f>
        <v/>
      </c>
      <c r="E31" s="24">
        <f>IF($C31&gt;=$D31-p_tolerancia_horas_bono,"sí","no")</f>
        <v/>
      </c>
      <c r="F31" s="24">
        <f>$C31-$D31</f>
        <v/>
      </c>
    </row>
    <row r="32">
      <c r="A32" s="24" t="inlineStr">
        <is>
          <t>Alberto Vargas</t>
        </is>
      </c>
      <c r="B32" s="24" t="inlineStr">
        <is>
          <t>2026-07</t>
        </is>
      </c>
      <c r="C32" s="24">
        <f>SUMIFS('SEGUIMIENTO_HH'!$E$4:$E$67,'SEGUIMIENTO_HH'!$A$4:$A$67,$A32,'SEGUIMIENTO_HH'!$B$4:$B$67,"2026-S30")+SUMIFS('SEGUIMIENTO_HH'!$E$4:$E$67,'SEGUIMIENTO_HH'!$A$4:$A$67,$A32,'SEGUIMIENTO_HH'!$B$4:$B$67,"2026-S31")</f>
        <v/>
      </c>
      <c r="D32" s="24">
        <f>2*p_base_semanal_horas</f>
        <v/>
      </c>
      <c r="E32" s="24">
        <f>IF($C32&gt;=$D32-p_tolerancia_horas_bono,"sí","no")</f>
        <v/>
      </c>
      <c r="F32" s="24">
        <f>$C32-$D32</f>
        <v/>
      </c>
    </row>
    <row r="33">
      <c r="A33" s="24" t="inlineStr">
        <is>
          <t>Alberto Vargas</t>
        </is>
      </c>
      <c r="B33" s="24" t="inlineStr">
        <is>
          <t>2026-08</t>
        </is>
      </c>
      <c r="C33" s="24">
        <f>SUMIFS('SEGUIMIENTO_HH'!$E$4:$E$67,'SEGUIMIENTO_HH'!$A$4:$A$67,$A33,'SEGUIMIENTO_HH'!$B$4:$B$67,"2026-S32")+SUMIFS('SEGUIMIENTO_HH'!$E$4:$E$67,'SEGUIMIENTO_HH'!$A$4:$A$67,$A33,'SEGUIMIENTO_HH'!$B$4:$B$67,"2026-S33")</f>
        <v/>
      </c>
      <c r="D33" s="24">
        <f>2*p_base_semanal_horas</f>
        <v/>
      </c>
      <c r="E33" s="24">
        <f>IF($C33&gt;=$D33-p_tolerancia_horas_bono,"sí","no")</f>
        <v/>
      </c>
      <c r="F33" s="24">
        <f>$C33-$D33</f>
        <v/>
      </c>
    </row>
    <row r="34">
      <c r="A34" s="24" t="inlineStr">
        <is>
          <t>Daniela Medina</t>
        </is>
      </c>
      <c r="B34" s="24" t="inlineStr">
        <is>
          <t>2026-07</t>
        </is>
      </c>
      <c r="C34" s="24">
        <f>SUMIFS('SEGUIMIENTO_HH'!$E$4:$E$67,'SEGUIMIENTO_HH'!$A$4:$A$67,$A34,'SEGUIMIENTO_HH'!$B$4:$B$67,"2026-S30")+SUMIFS('SEGUIMIENTO_HH'!$E$4:$E$67,'SEGUIMIENTO_HH'!$A$4:$A$67,$A34,'SEGUIMIENTO_HH'!$B$4:$B$67,"2026-S31")</f>
        <v/>
      </c>
      <c r="D34" s="24">
        <f>2*p_base_semanal_horas</f>
        <v/>
      </c>
      <c r="E34" s="24">
        <f>IF($C34&gt;=$D34-p_tolerancia_horas_bono,"sí","no")</f>
        <v/>
      </c>
      <c r="F34" s="24">
        <f>$C34-$D34</f>
        <v/>
      </c>
    </row>
    <row r="35">
      <c r="A35" s="24" t="inlineStr">
        <is>
          <t>Daniela Medina</t>
        </is>
      </c>
      <c r="B35" s="24" t="inlineStr">
        <is>
          <t>2026-08</t>
        </is>
      </c>
      <c r="C35" s="24">
        <f>SUMIFS('SEGUIMIENTO_HH'!$E$4:$E$67,'SEGUIMIENTO_HH'!$A$4:$A$67,$A35,'SEGUIMIENTO_HH'!$B$4:$B$67,"2026-S32")+SUMIFS('SEGUIMIENTO_HH'!$E$4:$E$67,'SEGUIMIENTO_HH'!$A$4:$A$67,$A35,'SEGUIMIENTO_HH'!$B$4:$B$67,"2026-S33")</f>
        <v/>
      </c>
      <c r="D35" s="24">
        <f>2*p_base_semanal_horas</f>
        <v/>
      </c>
      <c r="E35" s="24">
        <f>IF($C35&gt;=$D35-p_tolerancia_horas_bono,"sí","no")</f>
        <v/>
      </c>
      <c r="F35" s="24">
        <f>$C35-$D35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AL120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EXPORTAR — correo del programa semanal, listo para copiar y enviar. Elija los filtros y copie la celda A6.</t>
        </is>
      </c>
    </row>
    <row r="2">
      <c r="A2" s="19">
        <f>HYPERLINK("#DASHBOARD!A1","◂ VOLVER AL TABLERO")</f>
        <v/>
      </c>
    </row>
    <row r="3">
      <c r="A3" s="3" t="inlineStr">
        <is>
          <t>semana:</t>
        </is>
      </c>
      <c r="B3" s="22" t="inlineStr">
        <is>
          <t>2026-S31</t>
        </is>
      </c>
      <c r="C3" s="3" t="inlineStr">
        <is>
          <t>turno:</t>
        </is>
      </c>
      <c r="D3" s="22" t="inlineStr">
        <is>
          <t>(todos)</t>
        </is>
      </c>
      <c r="E3" s="3" t="inlineStr">
        <is>
          <t>coordinador:</t>
        </is>
      </c>
      <c r="F3" s="22" t="inlineStr">
        <is>
          <t>(todos)</t>
        </is>
      </c>
      <c r="G3" s="3" t="inlineStr">
        <is>
          <t>sub-área:</t>
        </is>
      </c>
      <c r="H3" s="22" t="inlineStr">
        <is>
          <t>(todos)</t>
        </is>
      </c>
    </row>
    <row r="4"/>
    <row r="5">
      <c r="A5" s="3" t="inlineStr">
        <is>
          <t>correo (seleccione A6, copie y pegue en el cuerpo del mensaje):</t>
        </is>
      </c>
    </row>
    <row r="6">
      <c r="A6" s="34">
        <f>_xlfn.TEXTJOIN(CHAR(10)&amp;CHAR(10),TRUE,$AL$8,$AL$9,$AL$10,$AL$11,$AL$12,$AL$13)</f>
        <v/>
      </c>
      <c r="U6" s="2" t="inlineStr">
        <is>
          <t>zona auxiliar de cálculo — no editar</t>
        </is>
      </c>
    </row>
    <row r="7"/>
    <row r="8">
      <c r="K8" s="24">
        <f>IF(AND(IF($B$3="(todos)",TRUE,'ORDENES'!$O4=$B$3),IF($D$3="(todos)",TRUE,'ORDENES'!$AI4=$D$3),IF($F$3="(todos)",TRUE,'ORDENES'!$AA4=$F$3),IF($H$3="(todos)",TRUE,'ORDENES'!$Z4=$H$3),'ORDENES'!$AG4=TRUE,'ORDENES'!$A4&lt;&gt;""),1,0)</f>
        <v/>
      </c>
      <c r="L8" s="24">
        <f>IF(K8=1,IFERROR(MATCH('ORDENES'!$S4,lista_dias,0),9)*1000000000+IFERROR(MATCH('ORDENES'!$AI4,lista_turnos,0),9)*10000000+IFERROR(MATCH('ORDENES'!$AH4,'TECNICOS'!$B$4:$B$19,0),99)*100000+1,9000000000000+1)</f>
        <v/>
      </c>
      <c r="M8" s="24">
        <f>IF(K8=1,SUMPRODUCT(--($L$8:$L$1207&lt;L8))+1,"")</f>
        <v/>
      </c>
      <c r="N8" s="25">
        <f>IF(K8=1,N('ORDENES'!$M4),0)</f>
        <v/>
      </c>
      <c r="O8" s="25">
        <f>IF('ORDENES'!$U4="preventiva",N8,0)</f>
        <v/>
      </c>
      <c r="P8" s="25">
        <f>IF('ORDENES'!$U4="correctiva",N8,0)</f>
        <v/>
      </c>
      <c r="Q8" s="24">
        <f>IF(AND(K8=1,'ORDENES'!$N4="Pendiente"),1,0)</f>
        <v/>
      </c>
      <c r="R8" s="24">
        <f>IF(Q8=1,100000-N8*1000+1*0.01,9000000000000+1)</f>
        <v/>
      </c>
      <c r="S8" s="24">
        <f>IF(Q8=1,SUMPRODUCT(--($R$8:$R$1207&lt;R8))+1,"")</f>
        <v/>
      </c>
      <c r="T8" s="30">
        <f>IF(K8=1,'ORDENES'!$J4,"")</f>
        <v/>
      </c>
      <c r="U8" s="24">
        <f>IFERROR(MATCH(1,$M$8:$M$1207,0),"")</f>
        <v/>
      </c>
      <c r="V8" s="24">
        <f>IF(U8="","",INDEX('ORDENES'!$S$4:$S$1203,U8))</f>
        <v/>
      </c>
      <c r="W8" s="24">
        <f>IF(U8="","",IF(V8&lt;&gt;V7,CHAR(10)&amp;UPPER(LEFT(V8,1))&amp;MID(V8,2,20)&amp;":"&amp;CHAR(10),"")&amp;"   "&amp;IF(INDEX('ORDENES'!$AI$4:$AI$1203,U8)="","(s/t)",INDEX('ORDENES'!$AI$4:$AI$1203,U8))&amp;" · "&amp;IF(INDEX('ORDENES'!$AH$4:$AH$1203,U8)="","(sin técnico)",INDEX('ORDENES'!$AH$4:$AH$1203,U8))&amp;" · "&amp;INDEX('ORDENES'!$AU$4:$AU$1203,U8)&amp;" — "&amp;INDEX('ORDENES'!$D$4:$D$1203,U8)&amp;" ("&amp;TEXT(INDEX('ORDENES'!$M$4:$M$1203,U8),"0.#")&amp;" h)")</f>
        <v/>
      </c>
      <c r="Y8" s="24">
        <f>IFERROR(MATCH(1,$S$8:$S$1207,0),"")</f>
        <v/>
      </c>
      <c r="Z8" s="24">
        <f>IF(OR(Y8="",1&gt;p_top_tareas),"","   • "&amp;INDEX('ORDENES'!$E$4:$E$1203,Y8)&amp;" — "&amp;INDEX('ORDENES'!$D$4:$D$1203,Y8)&amp;" · "&amp;TEXT(INDEX('ORDENES'!$M$4:$M$1203,Y8),"0.#")&amp;" h · "&amp;IF(INDEX('ORDENES'!$AH$4:$AH$1203,Y8)="","(sin técnico)",INDEX('ORDENES'!$AH$4:$AH$1203,Y8))&amp;IF(INDEX('ORDENES'!$AP$4:$AP$1203,Y8)&lt;&gt;""," · permiso de trabajo","")&amp;IF(INDEX('ORDENES'!$AQ$4:$AQ$1203,Y8)&lt;&gt;""," · bloqueo de energía (LOTO)",""))</f>
        <v/>
      </c>
      <c r="AB8" s="24">
        <f>'TECNICOS'!$B$4</f>
        <v/>
      </c>
      <c r="AC8" s="25">
        <f>SUMPRODUCT($N$8:$N$1207,--('ORDENES'!$AH$4:$AH$1203=AB8))</f>
        <v/>
      </c>
      <c r="AD8" s="25">
        <f>p_factor_productividad*SUMIFS('ASIGNACIONES'!$M$4:$M$451,'ASIGNACIONES'!$C$4:$C$451,AB8,'ASIGNACIONES'!$A$4:$A$451,IF($B$3="(todos)","*",$B$3))</f>
        <v/>
      </c>
      <c r="AE8" s="24">
        <f>IF(AC8&gt;AD8+0.0001,1,0)</f>
        <v/>
      </c>
      <c r="AF8" s="24">
        <f>IF(AE8=1,"   • "&amp;AB8&amp;": "&amp;TEXT(AC8,"0.0")&amp;" h asignadas vs "&amp;TEXT(AD8,"0.0")&amp;" h de capacidad","")</f>
        <v/>
      </c>
      <c r="AG8" s="24">
        <f>IF(SUMPRODUCT($K$8:$K$1207,--('ORDENES'!$AH$4:$AH$1203=AB8))&gt;0,1,0)</f>
        <v/>
      </c>
      <c r="AI8" s="2" t="inlineStr">
        <is>
          <t>órdenes programadas</t>
        </is>
      </c>
      <c r="AJ8" s="24">
        <f>SUM($K$8:$K$1207)</f>
        <v/>
      </c>
      <c r="AL8" s="24">
        <f>"Buenos días."&amp;CHAR(10)&amp;"A continuación el programa de mantenimiento de "&amp;p_nombre_planta&amp;" — "&amp;p_nombre_empresa&amp;IF($B$3="(todos)"," para las semanas seleccionadas."," para la semana "&amp;$B$3&amp;", del "&amp;TEXT($AJ$14,"dd/mm/yyyy")&amp;" al "&amp;TEXT($AJ$15,"dd/mm/yyyy")&amp;".")&amp;IF(AND($D$3="(todos)",$F$3="(todos)",$H$3="(todos)"),"",CHAR(10)&amp;"(Filtro aplicado — turno: "&amp;$D$3&amp;", coordinador: "&amp;$F$3&amp;", sub-área: "&amp;$H$3&amp;")")</f>
        <v/>
      </c>
    </row>
    <row r="9">
      <c r="K9" s="24">
        <f>IF(AND(IF($B$3="(todos)",TRUE,'ORDENES'!$O5=$B$3),IF($D$3="(todos)",TRUE,'ORDENES'!$AI5=$D$3),IF($F$3="(todos)",TRUE,'ORDENES'!$AA5=$F$3),IF($H$3="(todos)",TRUE,'ORDENES'!$Z5=$H$3),'ORDENES'!$AG5=TRUE,'ORDENES'!$A5&lt;&gt;""),1,0)</f>
        <v/>
      </c>
      <c r="L9" s="24">
        <f>IF(K9=1,IFERROR(MATCH('ORDENES'!$S5,lista_dias,0),9)*1000000000+IFERROR(MATCH('ORDENES'!$AI5,lista_turnos,0),9)*10000000+IFERROR(MATCH('ORDENES'!$AH5,'TECNICOS'!$B$4:$B$19,0),99)*100000+2,9000000000000+2)</f>
        <v/>
      </c>
      <c r="M9" s="24">
        <f>IF(K9=1,SUMPRODUCT(--($L$8:$L$1207&lt;L9))+1,"")</f>
        <v/>
      </c>
      <c r="N9" s="25">
        <f>IF(K9=1,N('ORDENES'!$M5),0)</f>
        <v/>
      </c>
      <c r="O9" s="25">
        <f>IF('ORDENES'!$U5="preventiva",N9,0)</f>
        <v/>
      </c>
      <c r="P9" s="25">
        <f>IF('ORDENES'!$U5="correctiva",N9,0)</f>
        <v/>
      </c>
      <c r="Q9" s="24">
        <f>IF(AND(K9=1,'ORDENES'!$N5="Pendiente"),1,0)</f>
        <v/>
      </c>
      <c r="R9" s="24">
        <f>IF(Q9=1,100000-N9*1000+2*0.01,9000000000000+2)</f>
        <v/>
      </c>
      <c r="S9" s="24">
        <f>IF(Q9=1,SUMPRODUCT(--($R$8:$R$1207&lt;R9))+1,"")</f>
        <v/>
      </c>
      <c r="T9" s="30">
        <f>IF(K9=1,'ORDENES'!$J5,"")</f>
        <v/>
      </c>
      <c r="U9" s="24">
        <f>IFERROR(MATCH(2,$M$8:$M$1207,0),"")</f>
        <v/>
      </c>
      <c r="V9" s="24">
        <f>IF(U9="","",INDEX('ORDENES'!$S$4:$S$1203,U9))</f>
        <v/>
      </c>
      <c r="W9" s="24">
        <f>IF(U9="","",IF(V9&lt;&gt;V8,CHAR(10)&amp;UPPER(LEFT(V9,1))&amp;MID(V9,2,20)&amp;":"&amp;CHAR(10),"")&amp;"   "&amp;IF(INDEX('ORDENES'!$AI$4:$AI$1203,U9)="","(s/t)",INDEX('ORDENES'!$AI$4:$AI$1203,U9))&amp;" · "&amp;IF(INDEX('ORDENES'!$AH$4:$AH$1203,U9)="","(sin técnico)",INDEX('ORDENES'!$AH$4:$AH$1203,U9))&amp;" · "&amp;INDEX('ORDENES'!$AU$4:$AU$1203,U9)&amp;" — "&amp;INDEX('ORDENES'!$D$4:$D$1203,U9)&amp;" ("&amp;TEXT(INDEX('ORDENES'!$M$4:$M$1203,U9),"0.#")&amp;" h)")</f>
        <v/>
      </c>
      <c r="Y9" s="24">
        <f>IFERROR(MATCH(2,$S$8:$S$1207,0),"")</f>
        <v/>
      </c>
      <c r="Z9" s="24">
        <f>IF(OR(Y9="",2&gt;p_top_tareas),"","   • "&amp;INDEX('ORDENES'!$E$4:$E$1203,Y9)&amp;" — "&amp;INDEX('ORDENES'!$D$4:$D$1203,Y9)&amp;" · "&amp;TEXT(INDEX('ORDENES'!$M$4:$M$1203,Y9),"0.#")&amp;" h · "&amp;IF(INDEX('ORDENES'!$AH$4:$AH$1203,Y9)="","(sin técnico)",INDEX('ORDENES'!$AH$4:$AH$1203,Y9))&amp;IF(INDEX('ORDENES'!$AP$4:$AP$1203,Y9)&lt;&gt;""," · permiso de trabajo","")&amp;IF(INDEX('ORDENES'!$AQ$4:$AQ$1203,Y9)&lt;&gt;""," · bloqueo de energía (LOTO)",""))</f>
        <v/>
      </c>
      <c r="AB9" s="24">
        <f>'TECNICOS'!$B$5</f>
        <v/>
      </c>
      <c r="AC9" s="25">
        <f>SUMPRODUCT($N$8:$N$1207,--('ORDENES'!$AH$4:$AH$1203=AB9))</f>
        <v/>
      </c>
      <c r="AD9" s="25">
        <f>p_factor_productividad*SUMIFS('ASIGNACIONES'!$M$4:$M$451,'ASIGNACIONES'!$C$4:$C$451,AB9,'ASIGNACIONES'!$A$4:$A$451,IF($B$3="(todos)","*",$B$3))</f>
        <v/>
      </c>
      <c r="AE9" s="24">
        <f>IF(AC9&gt;AD9+0.0001,1,0)</f>
        <v/>
      </c>
      <c r="AF9" s="24">
        <f>IF(AE9=1,"   • "&amp;AB9&amp;": "&amp;TEXT(AC9,"0.0")&amp;" h asignadas vs "&amp;TEXT(AD9,"0.0")&amp;" h de capacidad","")</f>
        <v/>
      </c>
      <c r="AG9" s="24">
        <f>IF(SUMPRODUCT($K$8:$K$1207,--('ORDENES'!$AH$4:$AH$1203=AB9))&gt;0,1,0)</f>
        <v/>
      </c>
      <c r="AI9" s="2" t="inlineStr">
        <is>
          <t>hh_total</t>
        </is>
      </c>
      <c r="AJ9" s="24">
        <f>SUM($N$8:$N$1207)</f>
        <v/>
      </c>
      <c r="AL9" s="24">
        <f>"Resumen de carga:"&amp;CHAR(10)&amp;"• Órdenes programadas: "&amp;$AJ$8&amp;CHAR(10)&amp;"• HH planificadas: "&amp;TEXT($AJ$9,"0.#")&amp;" h"&amp;CHAR(10)&amp;"• Preventiva: "&amp;TEXT($AJ$10,"0.#")&amp;" h ("&amp;TEXT(IF($AJ$9=0,0,$AJ$10/$AJ$9),"0%")&amp;")"&amp;CHAR(10)&amp;"• Correctiva: "&amp;TEXT($AJ$11,"0.#")&amp;" h ("&amp;TEXT(IF($AJ$9=0,0,$AJ$11/$AJ$9),"0%")&amp;")"&amp;CHAR(10)&amp;"• Técnicos involucrados: "&amp;$AJ$12</f>
        <v/>
      </c>
    </row>
    <row r="10">
      <c r="K10" s="24">
        <f>IF(AND(IF($B$3="(todos)",TRUE,'ORDENES'!$O6=$B$3),IF($D$3="(todos)",TRUE,'ORDENES'!$AI6=$D$3),IF($F$3="(todos)",TRUE,'ORDENES'!$AA6=$F$3),IF($H$3="(todos)",TRUE,'ORDENES'!$Z6=$H$3),'ORDENES'!$AG6=TRUE,'ORDENES'!$A6&lt;&gt;""),1,0)</f>
        <v/>
      </c>
      <c r="L10" s="24">
        <f>IF(K10=1,IFERROR(MATCH('ORDENES'!$S6,lista_dias,0),9)*1000000000+IFERROR(MATCH('ORDENES'!$AI6,lista_turnos,0),9)*10000000+IFERROR(MATCH('ORDENES'!$AH6,'TECNICOS'!$B$4:$B$19,0),99)*100000+3,9000000000000+3)</f>
        <v/>
      </c>
      <c r="M10" s="24">
        <f>IF(K10=1,SUMPRODUCT(--($L$8:$L$1207&lt;L10))+1,"")</f>
        <v/>
      </c>
      <c r="N10" s="25">
        <f>IF(K10=1,N('ORDENES'!$M6),0)</f>
        <v/>
      </c>
      <c r="O10" s="25">
        <f>IF('ORDENES'!$U6="preventiva",N10,0)</f>
        <v/>
      </c>
      <c r="P10" s="25">
        <f>IF('ORDENES'!$U6="correctiva",N10,0)</f>
        <v/>
      </c>
      <c r="Q10" s="24">
        <f>IF(AND(K10=1,'ORDENES'!$N6="Pendiente"),1,0)</f>
        <v/>
      </c>
      <c r="R10" s="24">
        <f>IF(Q10=1,100000-N10*1000+3*0.01,9000000000000+3)</f>
        <v/>
      </c>
      <c r="S10" s="24">
        <f>IF(Q10=1,SUMPRODUCT(--($R$8:$R$1207&lt;R10))+1,"")</f>
        <v/>
      </c>
      <c r="T10" s="30">
        <f>IF(K10=1,'ORDENES'!$J6,"")</f>
        <v/>
      </c>
      <c r="U10" s="24">
        <f>IFERROR(MATCH(3,$M$8:$M$1207,0),"")</f>
        <v/>
      </c>
      <c r="V10" s="24">
        <f>IF(U10="","",INDEX('ORDENES'!$S$4:$S$1203,U10))</f>
        <v/>
      </c>
      <c r="W10" s="24">
        <f>IF(U10="","",IF(V10&lt;&gt;V9,CHAR(10)&amp;UPPER(LEFT(V10,1))&amp;MID(V10,2,20)&amp;":"&amp;CHAR(10),"")&amp;"   "&amp;IF(INDEX('ORDENES'!$AI$4:$AI$1203,U10)="","(s/t)",INDEX('ORDENES'!$AI$4:$AI$1203,U10))&amp;" · "&amp;IF(INDEX('ORDENES'!$AH$4:$AH$1203,U10)="","(sin técnico)",INDEX('ORDENES'!$AH$4:$AH$1203,U10))&amp;" · "&amp;INDEX('ORDENES'!$AU$4:$AU$1203,U10)&amp;" — "&amp;INDEX('ORDENES'!$D$4:$D$1203,U10)&amp;" ("&amp;TEXT(INDEX('ORDENES'!$M$4:$M$1203,U10),"0.#")&amp;" h)")</f>
        <v/>
      </c>
      <c r="Y10" s="24">
        <f>IFERROR(MATCH(3,$S$8:$S$1207,0),"")</f>
        <v/>
      </c>
      <c r="Z10" s="24">
        <f>IF(OR(Y10="",3&gt;p_top_tareas),"","   • "&amp;INDEX('ORDENES'!$E$4:$E$1203,Y10)&amp;" — "&amp;INDEX('ORDENES'!$D$4:$D$1203,Y10)&amp;" · "&amp;TEXT(INDEX('ORDENES'!$M$4:$M$1203,Y10),"0.#")&amp;" h · "&amp;IF(INDEX('ORDENES'!$AH$4:$AH$1203,Y10)="","(sin técnico)",INDEX('ORDENES'!$AH$4:$AH$1203,Y10))&amp;IF(INDEX('ORDENES'!$AP$4:$AP$1203,Y10)&lt;&gt;""," · permiso de trabajo","")&amp;IF(INDEX('ORDENES'!$AQ$4:$AQ$1203,Y10)&lt;&gt;""," · bloqueo de energía (LOTO)",""))</f>
        <v/>
      </c>
      <c r="AB10" s="24">
        <f>'TECNICOS'!$B$6</f>
        <v/>
      </c>
      <c r="AC10" s="25">
        <f>SUMPRODUCT($N$8:$N$1207,--('ORDENES'!$AH$4:$AH$1203=AB10))</f>
        <v/>
      </c>
      <c r="AD10" s="25">
        <f>p_factor_productividad*SUMIFS('ASIGNACIONES'!$M$4:$M$451,'ASIGNACIONES'!$C$4:$C$451,AB10,'ASIGNACIONES'!$A$4:$A$451,IF($B$3="(todos)","*",$B$3))</f>
        <v/>
      </c>
      <c r="AE10" s="24">
        <f>IF(AC10&gt;AD10+0.0001,1,0)</f>
        <v/>
      </c>
      <c r="AF10" s="24">
        <f>IF(AE10=1,"   • "&amp;AB10&amp;": "&amp;TEXT(AC10,"0.0")&amp;" h asignadas vs "&amp;TEXT(AD10,"0.0")&amp;" h de capacidad","")</f>
        <v/>
      </c>
      <c r="AG10" s="24">
        <f>IF(SUMPRODUCT($K$8:$K$1207,--('ORDENES'!$AH$4:$AH$1203=AB10))&gt;0,1,0)</f>
        <v/>
      </c>
      <c r="AI10" s="2" t="inlineStr">
        <is>
          <t>hh_preventiva</t>
        </is>
      </c>
      <c r="AJ10" s="24">
        <f>SUM($O$8:$O$1207)</f>
        <v/>
      </c>
      <c r="AL10" s="24">
        <f>IF($AJ$13=0,"","Alerta de capacidad — técnicos sobreasignados:"&amp;CHAR(10)&amp;_xlfn.TEXTJOIN(CHAR(10),TRUE,$AF$8:$AF$23))</f>
        <v/>
      </c>
    </row>
    <row r="11">
      <c r="K11" s="24">
        <f>IF(AND(IF($B$3="(todos)",TRUE,'ORDENES'!$O7=$B$3),IF($D$3="(todos)",TRUE,'ORDENES'!$AI7=$D$3),IF($F$3="(todos)",TRUE,'ORDENES'!$AA7=$F$3),IF($H$3="(todos)",TRUE,'ORDENES'!$Z7=$H$3),'ORDENES'!$AG7=TRUE,'ORDENES'!$A7&lt;&gt;""),1,0)</f>
        <v/>
      </c>
      <c r="L11" s="24">
        <f>IF(K11=1,IFERROR(MATCH('ORDENES'!$S7,lista_dias,0),9)*1000000000+IFERROR(MATCH('ORDENES'!$AI7,lista_turnos,0),9)*10000000+IFERROR(MATCH('ORDENES'!$AH7,'TECNICOS'!$B$4:$B$19,0),99)*100000+4,9000000000000+4)</f>
        <v/>
      </c>
      <c r="M11" s="24">
        <f>IF(K11=1,SUMPRODUCT(--($L$8:$L$1207&lt;L11))+1,"")</f>
        <v/>
      </c>
      <c r="N11" s="25">
        <f>IF(K11=1,N('ORDENES'!$M7),0)</f>
        <v/>
      </c>
      <c r="O11" s="25">
        <f>IF('ORDENES'!$U7="preventiva",N11,0)</f>
        <v/>
      </c>
      <c r="P11" s="25">
        <f>IF('ORDENES'!$U7="correctiva",N11,0)</f>
        <v/>
      </c>
      <c r="Q11" s="24">
        <f>IF(AND(K11=1,'ORDENES'!$N7="Pendiente"),1,0)</f>
        <v/>
      </c>
      <c r="R11" s="24">
        <f>IF(Q11=1,100000-N11*1000+4*0.01,9000000000000+4)</f>
        <v/>
      </c>
      <c r="S11" s="24">
        <f>IF(Q11=1,SUMPRODUCT(--($R$8:$R$1207&lt;R11))+1,"")</f>
        <v/>
      </c>
      <c r="T11" s="30">
        <f>IF(K11=1,'ORDENES'!$J7,"")</f>
        <v/>
      </c>
      <c r="U11" s="24">
        <f>IFERROR(MATCH(4,$M$8:$M$1207,0),"")</f>
        <v/>
      </c>
      <c r="V11" s="24">
        <f>IF(U11="","",INDEX('ORDENES'!$S$4:$S$1203,U11))</f>
        <v/>
      </c>
      <c r="W11" s="24">
        <f>IF(U11="","",IF(V11&lt;&gt;V10,CHAR(10)&amp;UPPER(LEFT(V11,1))&amp;MID(V11,2,20)&amp;":"&amp;CHAR(10),"")&amp;"   "&amp;IF(INDEX('ORDENES'!$AI$4:$AI$1203,U11)="","(s/t)",INDEX('ORDENES'!$AI$4:$AI$1203,U11))&amp;" · "&amp;IF(INDEX('ORDENES'!$AH$4:$AH$1203,U11)="","(sin técnico)",INDEX('ORDENES'!$AH$4:$AH$1203,U11))&amp;" · "&amp;INDEX('ORDENES'!$AU$4:$AU$1203,U11)&amp;" — "&amp;INDEX('ORDENES'!$D$4:$D$1203,U11)&amp;" ("&amp;TEXT(INDEX('ORDENES'!$M$4:$M$1203,U11),"0.#")&amp;" h)")</f>
        <v/>
      </c>
      <c r="Y11" s="24">
        <f>IFERROR(MATCH(4,$S$8:$S$1207,0),"")</f>
        <v/>
      </c>
      <c r="Z11" s="24">
        <f>IF(OR(Y11="",4&gt;p_top_tareas),"","   • "&amp;INDEX('ORDENES'!$E$4:$E$1203,Y11)&amp;" — "&amp;INDEX('ORDENES'!$D$4:$D$1203,Y11)&amp;" · "&amp;TEXT(INDEX('ORDENES'!$M$4:$M$1203,Y11),"0.#")&amp;" h · "&amp;IF(INDEX('ORDENES'!$AH$4:$AH$1203,Y11)="","(sin técnico)",INDEX('ORDENES'!$AH$4:$AH$1203,Y11))&amp;IF(INDEX('ORDENES'!$AP$4:$AP$1203,Y11)&lt;&gt;""," · permiso de trabajo","")&amp;IF(INDEX('ORDENES'!$AQ$4:$AQ$1203,Y11)&lt;&gt;""," · bloqueo de energía (LOTO)",""))</f>
        <v/>
      </c>
      <c r="AB11" s="24">
        <f>'TECNICOS'!$B$7</f>
        <v/>
      </c>
      <c r="AC11" s="25">
        <f>SUMPRODUCT($N$8:$N$1207,--('ORDENES'!$AH$4:$AH$1203=AB11))</f>
        <v/>
      </c>
      <c r="AD11" s="25">
        <f>p_factor_productividad*SUMIFS('ASIGNACIONES'!$M$4:$M$451,'ASIGNACIONES'!$C$4:$C$451,AB11,'ASIGNACIONES'!$A$4:$A$451,IF($B$3="(todos)","*",$B$3))</f>
        <v/>
      </c>
      <c r="AE11" s="24">
        <f>IF(AC11&gt;AD11+0.0001,1,0)</f>
        <v/>
      </c>
      <c r="AF11" s="24">
        <f>IF(AE11=1,"   • "&amp;AB11&amp;": "&amp;TEXT(AC11,"0.0")&amp;" h asignadas vs "&amp;TEXT(AD11,"0.0")&amp;" h de capacidad","")</f>
        <v/>
      </c>
      <c r="AG11" s="24">
        <f>IF(SUMPRODUCT($K$8:$K$1207,--('ORDENES'!$AH$4:$AH$1203=AB11))&gt;0,1,0)</f>
        <v/>
      </c>
      <c r="AI11" s="2" t="inlineStr">
        <is>
          <t>hh_correctiva</t>
        </is>
      </c>
      <c r="AJ11" s="24">
        <f>SUM($P$8:$P$1207)</f>
        <v/>
      </c>
      <c r="AL11" s="24">
        <f>IF($AJ$16=0,"","Tareas relevantes (top "&amp;MIN(p_top_tareas,$AJ$16)&amp;" por horas):"&amp;CHAR(10)&amp;_xlfn.TEXTJOIN(CHAR(10),TRUE,$Z$8:$Z$27))</f>
        <v/>
      </c>
    </row>
    <row r="12">
      <c r="K12" s="24">
        <f>IF(AND(IF($B$3="(todos)",TRUE,'ORDENES'!$O8=$B$3),IF($D$3="(todos)",TRUE,'ORDENES'!$AI8=$D$3),IF($F$3="(todos)",TRUE,'ORDENES'!$AA8=$F$3),IF($H$3="(todos)",TRUE,'ORDENES'!$Z8=$H$3),'ORDENES'!$AG8=TRUE,'ORDENES'!$A8&lt;&gt;""),1,0)</f>
        <v/>
      </c>
      <c r="L12" s="24">
        <f>IF(K12=1,IFERROR(MATCH('ORDENES'!$S8,lista_dias,0),9)*1000000000+IFERROR(MATCH('ORDENES'!$AI8,lista_turnos,0),9)*10000000+IFERROR(MATCH('ORDENES'!$AH8,'TECNICOS'!$B$4:$B$19,0),99)*100000+5,9000000000000+5)</f>
        <v/>
      </c>
      <c r="M12" s="24">
        <f>IF(K12=1,SUMPRODUCT(--($L$8:$L$1207&lt;L12))+1,"")</f>
        <v/>
      </c>
      <c r="N12" s="25">
        <f>IF(K12=1,N('ORDENES'!$M8),0)</f>
        <v/>
      </c>
      <c r="O12" s="25">
        <f>IF('ORDENES'!$U8="preventiva",N12,0)</f>
        <v/>
      </c>
      <c r="P12" s="25">
        <f>IF('ORDENES'!$U8="correctiva",N12,0)</f>
        <v/>
      </c>
      <c r="Q12" s="24">
        <f>IF(AND(K12=1,'ORDENES'!$N8="Pendiente"),1,0)</f>
        <v/>
      </c>
      <c r="R12" s="24">
        <f>IF(Q12=1,100000-N12*1000+5*0.01,9000000000000+5)</f>
        <v/>
      </c>
      <c r="S12" s="24">
        <f>IF(Q12=1,SUMPRODUCT(--($R$8:$R$1207&lt;R12))+1,"")</f>
        <v/>
      </c>
      <c r="T12" s="30">
        <f>IF(K12=1,'ORDENES'!$J8,"")</f>
        <v/>
      </c>
      <c r="U12" s="24">
        <f>IFERROR(MATCH(5,$M$8:$M$1207,0),"")</f>
        <v/>
      </c>
      <c r="V12" s="24">
        <f>IF(U12="","",INDEX('ORDENES'!$S$4:$S$1203,U12))</f>
        <v/>
      </c>
      <c r="W12" s="24">
        <f>IF(U12="","",IF(V12&lt;&gt;V11,CHAR(10)&amp;UPPER(LEFT(V12,1))&amp;MID(V12,2,20)&amp;":"&amp;CHAR(10),"")&amp;"   "&amp;IF(INDEX('ORDENES'!$AI$4:$AI$1203,U12)="","(s/t)",INDEX('ORDENES'!$AI$4:$AI$1203,U12))&amp;" · "&amp;IF(INDEX('ORDENES'!$AH$4:$AH$1203,U12)="","(sin técnico)",INDEX('ORDENES'!$AH$4:$AH$1203,U12))&amp;" · "&amp;INDEX('ORDENES'!$AU$4:$AU$1203,U12)&amp;" — "&amp;INDEX('ORDENES'!$D$4:$D$1203,U12)&amp;" ("&amp;TEXT(INDEX('ORDENES'!$M$4:$M$1203,U12),"0.#")&amp;" h)")</f>
        <v/>
      </c>
      <c r="Y12" s="24">
        <f>IFERROR(MATCH(5,$S$8:$S$1207,0),"")</f>
        <v/>
      </c>
      <c r="Z12" s="24">
        <f>IF(OR(Y12="",5&gt;p_top_tareas),"","   • "&amp;INDEX('ORDENES'!$E$4:$E$1203,Y12)&amp;" — "&amp;INDEX('ORDENES'!$D$4:$D$1203,Y12)&amp;" · "&amp;TEXT(INDEX('ORDENES'!$M$4:$M$1203,Y12),"0.#")&amp;" h · "&amp;IF(INDEX('ORDENES'!$AH$4:$AH$1203,Y12)="","(sin técnico)",INDEX('ORDENES'!$AH$4:$AH$1203,Y12))&amp;IF(INDEX('ORDENES'!$AP$4:$AP$1203,Y12)&lt;&gt;""," · permiso de trabajo","")&amp;IF(INDEX('ORDENES'!$AQ$4:$AQ$1203,Y12)&lt;&gt;""," · bloqueo de energía (LOTO)",""))</f>
        <v/>
      </c>
      <c r="AB12" s="24">
        <f>'TECNICOS'!$B$8</f>
        <v/>
      </c>
      <c r="AC12" s="25">
        <f>SUMPRODUCT($N$8:$N$1207,--('ORDENES'!$AH$4:$AH$1203=AB12))</f>
        <v/>
      </c>
      <c r="AD12" s="25">
        <f>p_factor_productividad*SUMIFS('ASIGNACIONES'!$M$4:$M$451,'ASIGNACIONES'!$C$4:$C$451,AB12,'ASIGNACIONES'!$A$4:$A$451,IF($B$3="(todos)","*",$B$3))</f>
        <v/>
      </c>
      <c r="AE12" s="24">
        <f>IF(AC12&gt;AD12+0.0001,1,0)</f>
        <v/>
      </c>
      <c r="AF12" s="24">
        <f>IF(AE12=1,"   • "&amp;AB12&amp;": "&amp;TEXT(AC12,"0.0")&amp;" h asignadas vs "&amp;TEXT(AD12,"0.0")&amp;" h de capacidad","")</f>
        <v/>
      </c>
      <c r="AG12" s="24">
        <f>IF(SUMPRODUCT($K$8:$K$1207,--('ORDENES'!$AH$4:$AH$1203=AB12))&gt;0,1,0)</f>
        <v/>
      </c>
      <c r="AI12" s="2" t="inlineStr">
        <is>
          <t>técnicos involucrados</t>
        </is>
      </c>
      <c r="AJ12" s="24">
        <f>SUM($AG$8:$AG$23)</f>
        <v/>
      </c>
      <c r="AL12" s="24">
        <f>IF($AJ$8=0,"(Sin órdenes en el filtro seleccionado.)","Programa completo:"&amp;CHAR(10)&amp;_xlfn.TEXTJOIN(CHAR(10),TRUE,$W$8:$W$207))</f>
        <v/>
      </c>
    </row>
    <row r="13">
      <c r="K13" s="24">
        <f>IF(AND(IF($B$3="(todos)",TRUE,'ORDENES'!$O9=$B$3),IF($D$3="(todos)",TRUE,'ORDENES'!$AI9=$D$3),IF($F$3="(todos)",TRUE,'ORDENES'!$AA9=$F$3),IF($H$3="(todos)",TRUE,'ORDENES'!$Z9=$H$3),'ORDENES'!$AG9=TRUE,'ORDENES'!$A9&lt;&gt;""),1,0)</f>
        <v/>
      </c>
      <c r="L13" s="24">
        <f>IF(K13=1,IFERROR(MATCH('ORDENES'!$S9,lista_dias,0),9)*1000000000+IFERROR(MATCH('ORDENES'!$AI9,lista_turnos,0),9)*10000000+IFERROR(MATCH('ORDENES'!$AH9,'TECNICOS'!$B$4:$B$19,0),99)*100000+6,9000000000000+6)</f>
        <v/>
      </c>
      <c r="M13" s="24">
        <f>IF(K13=1,SUMPRODUCT(--($L$8:$L$1207&lt;L13))+1,"")</f>
        <v/>
      </c>
      <c r="N13" s="25">
        <f>IF(K13=1,N('ORDENES'!$M9),0)</f>
        <v/>
      </c>
      <c r="O13" s="25">
        <f>IF('ORDENES'!$U9="preventiva",N13,0)</f>
        <v/>
      </c>
      <c r="P13" s="25">
        <f>IF('ORDENES'!$U9="correctiva",N13,0)</f>
        <v/>
      </c>
      <c r="Q13" s="24">
        <f>IF(AND(K13=1,'ORDENES'!$N9="Pendiente"),1,0)</f>
        <v/>
      </c>
      <c r="R13" s="24">
        <f>IF(Q13=1,100000-N13*1000+6*0.01,9000000000000+6)</f>
        <v/>
      </c>
      <c r="S13" s="24">
        <f>IF(Q13=1,SUMPRODUCT(--($R$8:$R$1207&lt;R13))+1,"")</f>
        <v/>
      </c>
      <c r="T13" s="30">
        <f>IF(K13=1,'ORDENES'!$J9,"")</f>
        <v/>
      </c>
      <c r="U13" s="24">
        <f>IFERROR(MATCH(6,$M$8:$M$1207,0),"")</f>
        <v/>
      </c>
      <c r="V13" s="24">
        <f>IF(U13="","",INDEX('ORDENES'!$S$4:$S$1203,U13))</f>
        <v/>
      </c>
      <c r="W13" s="24">
        <f>IF(U13="","",IF(V13&lt;&gt;V12,CHAR(10)&amp;UPPER(LEFT(V13,1))&amp;MID(V13,2,20)&amp;":"&amp;CHAR(10),"")&amp;"   "&amp;IF(INDEX('ORDENES'!$AI$4:$AI$1203,U13)="","(s/t)",INDEX('ORDENES'!$AI$4:$AI$1203,U13))&amp;" · "&amp;IF(INDEX('ORDENES'!$AH$4:$AH$1203,U13)="","(sin técnico)",INDEX('ORDENES'!$AH$4:$AH$1203,U13))&amp;" · "&amp;INDEX('ORDENES'!$AU$4:$AU$1203,U13)&amp;" — "&amp;INDEX('ORDENES'!$D$4:$D$1203,U13)&amp;" ("&amp;TEXT(INDEX('ORDENES'!$M$4:$M$1203,U13),"0.#")&amp;" h)")</f>
        <v/>
      </c>
      <c r="Y13" s="24">
        <f>IFERROR(MATCH(6,$S$8:$S$1207,0),"")</f>
        <v/>
      </c>
      <c r="Z13" s="24">
        <f>IF(OR(Y13="",6&gt;p_top_tareas),"","   • "&amp;INDEX('ORDENES'!$E$4:$E$1203,Y13)&amp;" — "&amp;INDEX('ORDENES'!$D$4:$D$1203,Y13)&amp;" · "&amp;TEXT(INDEX('ORDENES'!$M$4:$M$1203,Y13),"0.#")&amp;" h · "&amp;IF(INDEX('ORDENES'!$AH$4:$AH$1203,Y13)="","(sin técnico)",INDEX('ORDENES'!$AH$4:$AH$1203,Y13))&amp;IF(INDEX('ORDENES'!$AP$4:$AP$1203,Y13)&lt;&gt;""," · permiso de trabajo","")&amp;IF(INDEX('ORDENES'!$AQ$4:$AQ$1203,Y13)&lt;&gt;""," · bloqueo de energía (LOTO)",""))</f>
        <v/>
      </c>
      <c r="AB13" s="24">
        <f>'TECNICOS'!$B$9</f>
        <v/>
      </c>
      <c r="AC13" s="25">
        <f>SUMPRODUCT($N$8:$N$1207,--('ORDENES'!$AH$4:$AH$1203=AB13))</f>
        <v/>
      </c>
      <c r="AD13" s="25">
        <f>p_factor_productividad*SUMIFS('ASIGNACIONES'!$M$4:$M$451,'ASIGNACIONES'!$C$4:$C$451,AB13,'ASIGNACIONES'!$A$4:$A$451,IF($B$3="(todos)","*",$B$3))</f>
        <v/>
      </c>
      <c r="AE13" s="24">
        <f>IF(AC13&gt;AD13+0.0001,1,0)</f>
        <v/>
      </c>
      <c r="AF13" s="24">
        <f>IF(AE13=1,"   • "&amp;AB13&amp;": "&amp;TEXT(AC13,"0.0")&amp;" h asignadas vs "&amp;TEXT(AD13,"0.0")&amp;" h de capacidad","")</f>
        <v/>
      </c>
      <c r="AG13" s="24">
        <f>IF(SUMPRODUCT($K$8:$K$1207,--('ORDENES'!$AH$4:$AH$1203=AB13))&gt;0,1,0)</f>
        <v/>
      </c>
      <c r="AI13" s="2" t="inlineStr">
        <is>
          <t>técnicos sobreasignados</t>
        </is>
      </c>
      <c r="AJ13" s="24">
        <f>SUM($AE$8:$AE$23)</f>
        <v/>
      </c>
      <c r="AL13" s="24">
        <f>"Cualquier ajuste, favor comunicarlo antes del inicio del turno."</f>
        <v/>
      </c>
    </row>
    <row r="14">
      <c r="K14" s="24">
        <f>IF(AND(IF($B$3="(todos)",TRUE,'ORDENES'!$O10=$B$3),IF($D$3="(todos)",TRUE,'ORDENES'!$AI10=$D$3),IF($F$3="(todos)",TRUE,'ORDENES'!$AA10=$F$3),IF($H$3="(todos)",TRUE,'ORDENES'!$Z10=$H$3),'ORDENES'!$AG10=TRUE,'ORDENES'!$A10&lt;&gt;""),1,0)</f>
        <v/>
      </c>
      <c r="L14" s="24">
        <f>IF(K14=1,IFERROR(MATCH('ORDENES'!$S10,lista_dias,0),9)*1000000000+IFERROR(MATCH('ORDENES'!$AI10,lista_turnos,0),9)*10000000+IFERROR(MATCH('ORDENES'!$AH10,'TECNICOS'!$B$4:$B$19,0),99)*100000+7,9000000000000+7)</f>
        <v/>
      </c>
      <c r="M14" s="24">
        <f>IF(K14=1,SUMPRODUCT(--($L$8:$L$1207&lt;L14))+1,"")</f>
        <v/>
      </c>
      <c r="N14" s="25">
        <f>IF(K14=1,N('ORDENES'!$M10),0)</f>
        <v/>
      </c>
      <c r="O14" s="25">
        <f>IF('ORDENES'!$U10="preventiva",N14,0)</f>
        <v/>
      </c>
      <c r="P14" s="25">
        <f>IF('ORDENES'!$U10="correctiva",N14,0)</f>
        <v/>
      </c>
      <c r="Q14" s="24">
        <f>IF(AND(K14=1,'ORDENES'!$N10="Pendiente"),1,0)</f>
        <v/>
      </c>
      <c r="R14" s="24">
        <f>IF(Q14=1,100000-N14*1000+7*0.01,9000000000000+7)</f>
        <v/>
      </c>
      <c r="S14" s="24">
        <f>IF(Q14=1,SUMPRODUCT(--($R$8:$R$1207&lt;R14))+1,"")</f>
        <v/>
      </c>
      <c r="T14" s="30">
        <f>IF(K14=1,'ORDENES'!$J10,"")</f>
        <v/>
      </c>
      <c r="U14" s="24">
        <f>IFERROR(MATCH(7,$M$8:$M$1207,0),"")</f>
        <v/>
      </c>
      <c r="V14" s="24">
        <f>IF(U14="","",INDEX('ORDENES'!$S$4:$S$1203,U14))</f>
        <v/>
      </c>
      <c r="W14" s="24">
        <f>IF(U14="","",IF(V14&lt;&gt;V13,CHAR(10)&amp;UPPER(LEFT(V14,1))&amp;MID(V14,2,20)&amp;":"&amp;CHAR(10),"")&amp;"   "&amp;IF(INDEX('ORDENES'!$AI$4:$AI$1203,U14)="","(s/t)",INDEX('ORDENES'!$AI$4:$AI$1203,U14))&amp;" · "&amp;IF(INDEX('ORDENES'!$AH$4:$AH$1203,U14)="","(sin técnico)",INDEX('ORDENES'!$AH$4:$AH$1203,U14))&amp;" · "&amp;INDEX('ORDENES'!$AU$4:$AU$1203,U14)&amp;" — "&amp;INDEX('ORDENES'!$D$4:$D$1203,U14)&amp;" ("&amp;TEXT(INDEX('ORDENES'!$M$4:$M$1203,U14),"0.#")&amp;" h)")</f>
        <v/>
      </c>
      <c r="Y14" s="24">
        <f>IFERROR(MATCH(7,$S$8:$S$1207,0),"")</f>
        <v/>
      </c>
      <c r="Z14" s="24">
        <f>IF(OR(Y14="",7&gt;p_top_tareas),"","   • "&amp;INDEX('ORDENES'!$E$4:$E$1203,Y14)&amp;" — "&amp;INDEX('ORDENES'!$D$4:$D$1203,Y14)&amp;" · "&amp;TEXT(INDEX('ORDENES'!$M$4:$M$1203,Y14),"0.#")&amp;" h · "&amp;IF(INDEX('ORDENES'!$AH$4:$AH$1203,Y14)="","(sin técnico)",INDEX('ORDENES'!$AH$4:$AH$1203,Y14))&amp;IF(INDEX('ORDENES'!$AP$4:$AP$1203,Y14)&lt;&gt;""," · permiso de trabajo","")&amp;IF(INDEX('ORDENES'!$AQ$4:$AQ$1203,Y14)&lt;&gt;""," · bloqueo de energía (LOTO)",""))</f>
        <v/>
      </c>
      <c r="AB14" s="24">
        <f>'TECNICOS'!$B$10</f>
        <v/>
      </c>
      <c r="AC14" s="25">
        <f>SUMPRODUCT($N$8:$N$1207,--('ORDENES'!$AH$4:$AH$1203=AB14))</f>
        <v/>
      </c>
      <c r="AD14" s="25">
        <f>p_factor_productividad*SUMIFS('ASIGNACIONES'!$M$4:$M$451,'ASIGNACIONES'!$C$4:$C$451,AB14,'ASIGNACIONES'!$A$4:$A$451,IF($B$3="(todos)","*",$B$3))</f>
        <v/>
      </c>
      <c r="AE14" s="24">
        <f>IF(AC14&gt;AD14+0.0001,1,0)</f>
        <v/>
      </c>
      <c r="AF14" s="24">
        <f>IF(AE14=1,"   • "&amp;AB14&amp;": "&amp;TEXT(AC14,"0.0")&amp;" h asignadas vs "&amp;TEXT(AD14,"0.0")&amp;" h de capacidad","")</f>
        <v/>
      </c>
      <c r="AG14" s="24">
        <f>IF(SUMPRODUCT($K$8:$K$1207,--('ORDENES'!$AH$4:$AH$1203=AB14))&gt;0,1,0)</f>
        <v/>
      </c>
      <c r="AI14" s="2" t="inlineStr">
        <is>
          <t>lunes_sel</t>
        </is>
      </c>
      <c r="AJ14" s="30">
        <f>IF($B$3="(todos)",IF(AJ8=0,"",MIN($T$8:$T$1207)),DATE(VALUE(LEFT($B$3,4)),1,4)-WEEKDAY(DATE(VALUE(LEFT($B$3,4)),1,4),2)+1+(VALUE(MID($B$3,7,2))-1)*7)</f>
        <v/>
      </c>
    </row>
    <row r="15">
      <c r="K15" s="24">
        <f>IF(AND(IF($B$3="(todos)",TRUE,'ORDENES'!$O11=$B$3),IF($D$3="(todos)",TRUE,'ORDENES'!$AI11=$D$3),IF($F$3="(todos)",TRUE,'ORDENES'!$AA11=$F$3),IF($H$3="(todos)",TRUE,'ORDENES'!$Z11=$H$3),'ORDENES'!$AG11=TRUE,'ORDENES'!$A11&lt;&gt;""),1,0)</f>
        <v/>
      </c>
      <c r="L15" s="24">
        <f>IF(K15=1,IFERROR(MATCH('ORDENES'!$S11,lista_dias,0),9)*1000000000+IFERROR(MATCH('ORDENES'!$AI11,lista_turnos,0),9)*10000000+IFERROR(MATCH('ORDENES'!$AH11,'TECNICOS'!$B$4:$B$19,0),99)*100000+8,9000000000000+8)</f>
        <v/>
      </c>
      <c r="M15" s="24">
        <f>IF(K15=1,SUMPRODUCT(--($L$8:$L$1207&lt;L15))+1,"")</f>
        <v/>
      </c>
      <c r="N15" s="25">
        <f>IF(K15=1,N('ORDENES'!$M11),0)</f>
        <v/>
      </c>
      <c r="O15" s="25">
        <f>IF('ORDENES'!$U11="preventiva",N15,0)</f>
        <v/>
      </c>
      <c r="P15" s="25">
        <f>IF('ORDENES'!$U11="correctiva",N15,0)</f>
        <v/>
      </c>
      <c r="Q15" s="24">
        <f>IF(AND(K15=1,'ORDENES'!$N11="Pendiente"),1,0)</f>
        <v/>
      </c>
      <c r="R15" s="24">
        <f>IF(Q15=1,100000-N15*1000+8*0.01,9000000000000+8)</f>
        <v/>
      </c>
      <c r="S15" s="24">
        <f>IF(Q15=1,SUMPRODUCT(--($R$8:$R$1207&lt;R15))+1,"")</f>
        <v/>
      </c>
      <c r="T15" s="30">
        <f>IF(K15=1,'ORDENES'!$J11,"")</f>
        <v/>
      </c>
      <c r="U15" s="24">
        <f>IFERROR(MATCH(8,$M$8:$M$1207,0),"")</f>
        <v/>
      </c>
      <c r="V15" s="24">
        <f>IF(U15="","",INDEX('ORDENES'!$S$4:$S$1203,U15))</f>
        <v/>
      </c>
      <c r="W15" s="24">
        <f>IF(U15="","",IF(V15&lt;&gt;V14,CHAR(10)&amp;UPPER(LEFT(V15,1))&amp;MID(V15,2,20)&amp;":"&amp;CHAR(10),"")&amp;"   "&amp;IF(INDEX('ORDENES'!$AI$4:$AI$1203,U15)="","(s/t)",INDEX('ORDENES'!$AI$4:$AI$1203,U15))&amp;" · "&amp;IF(INDEX('ORDENES'!$AH$4:$AH$1203,U15)="","(sin técnico)",INDEX('ORDENES'!$AH$4:$AH$1203,U15))&amp;" · "&amp;INDEX('ORDENES'!$AU$4:$AU$1203,U15)&amp;" — "&amp;INDEX('ORDENES'!$D$4:$D$1203,U15)&amp;" ("&amp;TEXT(INDEX('ORDENES'!$M$4:$M$1203,U15),"0.#")&amp;" h)")</f>
        <v/>
      </c>
      <c r="Y15" s="24">
        <f>IFERROR(MATCH(8,$S$8:$S$1207,0),"")</f>
        <v/>
      </c>
      <c r="Z15" s="24">
        <f>IF(OR(Y15="",8&gt;p_top_tareas),"","   • "&amp;INDEX('ORDENES'!$E$4:$E$1203,Y15)&amp;" — "&amp;INDEX('ORDENES'!$D$4:$D$1203,Y15)&amp;" · "&amp;TEXT(INDEX('ORDENES'!$M$4:$M$1203,Y15),"0.#")&amp;" h · "&amp;IF(INDEX('ORDENES'!$AH$4:$AH$1203,Y15)="","(sin técnico)",INDEX('ORDENES'!$AH$4:$AH$1203,Y15))&amp;IF(INDEX('ORDENES'!$AP$4:$AP$1203,Y15)&lt;&gt;""," · permiso de trabajo","")&amp;IF(INDEX('ORDENES'!$AQ$4:$AQ$1203,Y15)&lt;&gt;""," · bloqueo de energía (LOTO)",""))</f>
        <v/>
      </c>
      <c r="AB15" s="24">
        <f>'TECNICOS'!$B$11</f>
        <v/>
      </c>
      <c r="AC15" s="25">
        <f>SUMPRODUCT($N$8:$N$1207,--('ORDENES'!$AH$4:$AH$1203=AB15))</f>
        <v/>
      </c>
      <c r="AD15" s="25">
        <f>p_factor_productividad*SUMIFS('ASIGNACIONES'!$M$4:$M$451,'ASIGNACIONES'!$C$4:$C$451,AB15,'ASIGNACIONES'!$A$4:$A$451,IF($B$3="(todos)","*",$B$3))</f>
        <v/>
      </c>
      <c r="AE15" s="24">
        <f>IF(AC15&gt;AD15+0.0001,1,0)</f>
        <v/>
      </c>
      <c r="AF15" s="24">
        <f>IF(AE15=1,"   • "&amp;AB15&amp;": "&amp;TEXT(AC15,"0.0")&amp;" h asignadas vs "&amp;TEXT(AD15,"0.0")&amp;" h de capacidad","")</f>
        <v/>
      </c>
      <c r="AG15" s="24">
        <f>IF(SUMPRODUCT($K$8:$K$1207,--('ORDENES'!$AH$4:$AH$1203=AB15))&gt;0,1,0)</f>
        <v/>
      </c>
      <c r="AI15" s="2" t="inlineStr">
        <is>
          <t>domingo_sel</t>
        </is>
      </c>
      <c r="AJ15" s="30">
        <f>IF($B$3="(todos)",IF(AJ8=0,"",MAX($T$8:$T$1207)),AJ14+6)</f>
        <v/>
      </c>
    </row>
    <row r="16">
      <c r="K16" s="24">
        <f>IF(AND(IF($B$3="(todos)",TRUE,'ORDENES'!$O12=$B$3),IF($D$3="(todos)",TRUE,'ORDENES'!$AI12=$D$3),IF($F$3="(todos)",TRUE,'ORDENES'!$AA12=$F$3),IF($H$3="(todos)",TRUE,'ORDENES'!$Z12=$H$3),'ORDENES'!$AG12=TRUE,'ORDENES'!$A12&lt;&gt;""),1,0)</f>
        <v/>
      </c>
      <c r="L16" s="24">
        <f>IF(K16=1,IFERROR(MATCH('ORDENES'!$S12,lista_dias,0),9)*1000000000+IFERROR(MATCH('ORDENES'!$AI12,lista_turnos,0),9)*10000000+IFERROR(MATCH('ORDENES'!$AH12,'TECNICOS'!$B$4:$B$19,0),99)*100000+9,9000000000000+9)</f>
        <v/>
      </c>
      <c r="M16" s="24">
        <f>IF(K16=1,SUMPRODUCT(--($L$8:$L$1207&lt;L16))+1,"")</f>
        <v/>
      </c>
      <c r="N16" s="25">
        <f>IF(K16=1,N('ORDENES'!$M12),0)</f>
        <v/>
      </c>
      <c r="O16" s="25">
        <f>IF('ORDENES'!$U12="preventiva",N16,0)</f>
        <v/>
      </c>
      <c r="P16" s="25">
        <f>IF('ORDENES'!$U12="correctiva",N16,0)</f>
        <v/>
      </c>
      <c r="Q16" s="24">
        <f>IF(AND(K16=1,'ORDENES'!$N12="Pendiente"),1,0)</f>
        <v/>
      </c>
      <c r="R16" s="24">
        <f>IF(Q16=1,100000-N16*1000+9*0.01,9000000000000+9)</f>
        <v/>
      </c>
      <c r="S16" s="24">
        <f>IF(Q16=1,SUMPRODUCT(--($R$8:$R$1207&lt;R16))+1,"")</f>
        <v/>
      </c>
      <c r="T16" s="30">
        <f>IF(K16=1,'ORDENES'!$J12,"")</f>
        <v/>
      </c>
      <c r="U16" s="24">
        <f>IFERROR(MATCH(9,$M$8:$M$1207,0),"")</f>
        <v/>
      </c>
      <c r="V16" s="24">
        <f>IF(U16="","",INDEX('ORDENES'!$S$4:$S$1203,U16))</f>
        <v/>
      </c>
      <c r="W16" s="24">
        <f>IF(U16="","",IF(V16&lt;&gt;V15,CHAR(10)&amp;UPPER(LEFT(V16,1))&amp;MID(V16,2,20)&amp;":"&amp;CHAR(10),"")&amp;"   "&amp;IF(INDEX('ORDENES'!$AI$4:$AI$1203,U16)="","(s/t)",INDEX('ORDENES'!$AI$4:$AI$1203,U16))&amp;" · "&amp;IF(INDEX('ORDENES'!$AH$4:$AH$1203,U16)="","(sin técnico)",INDEX('ORDENES'!$AH$4:$AH$1203,U16))&amp;" · "&amp;INDEX('ORDENES'!$AU$4:$AU$1203,U16)&amp;" — "&amp;INDEX('ORDENES'!$D$4:$D$1203,U16)&amp;" ("&amp;TEXT(INDEX('ORDENES'!$M$4:$M$1203,U16),"0.#")&amp;" h)")</f>
        <v/>
      </c>
      <c r="Y16" s="24">
        <f>IFERROR(MATCH(9,$S$8:$S$1207,0),"")</f>
        <v/>
      </c>
      <c r="Z16" s="24">
        <f>IF(OR(Y16="",9&gt;p_top_tareas),"","   • "&amp;INDEX('ORDENES'!$E$4:$E$1203,Y16)&amp;" — "&amp;INDEX('ORDENES'!$D$4:$D$1203,Y16)&amp;" · "&amp;TEXT(INDEX('ORDENES'!$M$4:$M$1203,Y16),"0.#")&amp;" h · "&amp;IF(INDEX('ORDENES'!$AH$4:$AH$1203,Y16)="","(sin técnico)",INDEX('ORDENES'!$AH$4:$AH$1203,Y16))&amp;IF(INDEX('ORDENES'!$AP$4:$AP$1203,Y16)&lt;&gt;""," · permiso de trabajo","")&amp;IF(INDEX('ORDENES'!$AQ$4:$AQ$1203,Y16)&lt;&gt;""," · bloqueo de energía (LOTO)",""))</f>
        <v/>
      </c>
      <c r="AB16" s="24">
        <f>'TECNICOS'!$B$12</f>
        <v/>
      </c>
      <c r="AC16" s="25">
        <f>SUMPRODUCT($N$8:$N$1207,--('ORDENES'!$AH$4:$AH$1203=AB16))</f>
        <v/>
      </c>
      <c r="AD16" s="25">
        <f>p_factor_productividad*SUMIFS('ASIGNACIONES'!$M$4:$M$451,'ASIGNACIONES'!$C$4:$C$451,AB16,'ASIGNACIONES'!$A$4:$A$451,IF($B$3="(todos)","*",$B$3))</f>
        <v/>
      </c>
      <c r="AE16" s="24">
        <f>IF(AC16&gt;AD16+0.0001,1,0)</f>
        <v/>
      </c>
      <c r="AF16" s="24">
        <f>IF(AE16=1,"   • "&amp;AB16&amp;": "&amp;TEXT(AC16,"0.0")&amp;" h asignadas vs "&amp;TEXT(AD16,"0.0")&amp;" h de capacidad","")</f>
        <v/>
      </c>
      <c r="AG16" s="24">
        <f>IF(SUMPRODUCT($K$8:$K$1207,--('ORDENES'!$AH$4:$AH$1203=AB16))&gt;0,1,0)</f>
        <v/>
      </c>
      <c r="AI16" s="2" t="inlineStr">
        <is>
          <t>órdenes pendientes en plan</t>
        </is>
      </c>
      <c r="AJ16" s="24">
        <f>SUM($Q$8:$Q$1207)</f>
        <v/>
      </c>
    </row>
    <row r="17">
      <c r="K17" s="24">
        <f>IF(AND(IF($B$3="(todos)",TRUE,'ORDENES'!$O13=$B$3),IF($D$3="(todos)",TRUE,'ORDENES'!$AI13=$D$3),IF($F$3="(todos)",TRUE,'ORDENES'!$AA13=$F$3),IF($H$3="(todos)",TRUE,'ORDENES'!$Z13=$H$3),'ORDENES'!$AG13=TRUE,'ORDENES'!$A13&lt;&gt;""),1,0)</f>
        <v/>
      </c>
      <c r="L17" s="24">
        <f>IF(K17=1,IFERROR(MATCH('ORDENES'!$S13,lista_dias,0),9)*1000000000+IFERROR(MATCH('ORDENES'!$AI13,lista_turnos,0),9)*10000000+IFERROR(MATCH('ORDENES'!$AH13,'TECNICOS'!$B$4:$B$19,0),99)*100000+10,9000000000000+10)</f>
        <v/>
      </c>
      <c r="M17" s="24">
        <f>IF(K17=1,SUMPRODUCT(--($L$8:$L$1207&lt;L17))+1,"")</f>
        <v/>
      </c>
      <c r="N17" s="25">
        <f>IF(K17=1,N('ORDENES'!$M13),0)</f>
        <v/>
      </c>
      <c r="O17" s="25">
        <f>IF('ORDENES'!$U13="preventiva",N17,0)</f>
        <v/>
      </c>
      <c r="P17" s="25">
        <f>IF('ORDENES'!$U13="correctiva",N17,0)</f>
        <v/>
      </c>
      <c r="Q17" s="24">
        <f>IF(AND(K17=1,'ORDENES'!$N13="Pendiente"),1,0)</f>
        <v/>
      </c>
      <c r="R17" s="24">
        <f>IF(Q17=1,100000-N17*1000+10*0.01,9000000000000+10)</f>
        <v/>
      </c>
      <c r="S17" s="24">
        <f>IF(Q17=1,SUMPRODUCT(--($R$8:$R$1207&lt;R17))+1,"")</f>
        <v/>
      </c>
      <c r="T17" s="30">
        <f>IF(K17=1,'ORDENES'!$J13,"")</f>
        <v/>
      </c>
      <c r="U17" s="24">
        <f>IFERROR(MATCH(10,$M$8:$M$1207,0),"")</f>
        <v/>
      </c>
      <c r="V17" s="24">
        <f>IF(U17="","",INDEX('ORDENES'!$S$4:$S$1203,U17))</f>
        <v/>
      </c>
      <c r="W17" s="24">
        <f>IF(U17="","",IF(V17&lt;&gt;V16,CHAR(10)&amp;UPPER(LEFT(V17,1))&amp;MID(V17,2,20)&amp;":"&amp;CHAR(10),"")&amp;"   "&amp;IF(INDEX('ORDENES'!$AI$4:$AI$1203,U17)="","(s/t)",INDEX('ORDENES'!$AI$4:$AI$1203,U17))&amp;" · "&amp;IF(INDEX('ORDENES'!$AH$4:$AH$1203,U17)="","(sin técnico)",INDEX('ORDENES'!$AH$4:$AH$1203,U17))&amp;" · "&amp;INDEX('ORDENES'!$AU$4:$AU$1203,U17)&amp;" — "&amp;INDEX('ORDENES'!$D$4:$D$1203,U17)&amp;" ("&amp;TEXT(INDEX('ORDENES'!$M$4:$M$1203,U17),"0.#")&amp;" h)")</f>
        <v/>
      </c>
      <c r="Y17" s="24">
        <f>IFERROR(MATCH(10,$S$8:$S$1207,0),"")</f>
        <v/>
      </c>
      <c r="Z17" s="24">
        <f>IF(OR(Y17="",10&gt;p_top_tareas),"","   • "&amp;INDEX('ORDENES'!$E$4:$E$1203,Y17)&amp;" — "&amp;INDEX('ORDENES'!$D$4:$D$1203,Y17)&amp;" · "&amp;TEXT(INDEX('ORDENES'!$M$4:$M$1203,Y17),"0.#")&amp;" h · "&amp;IF(INDEX('ORDENES'!$AH$4:$AH$1203,Y17)="","(sin técnico)",INDEX('ORDENES'!$AH$4:$AH$1203,Y17))&amp;IF(INDEX('ORDENES'!$AP$4:$AP$1203,Y17)&lt;&gt;""," · permiso de trabajo","")&amp;IF(INDEX('ORDENES'!$AQ$4:$AQ$1203,Y17)&lt;&gt;""," · bloqueo de energía (LOTO)",""))</f>
        <v/>
      </c>
      <c r="AB17" s="24">
        <f>'TECNICOS'!$B$13</f>
        <v/>
      </c>
      <c r="AC17" s="25">
        <f>SUMPRODUCT($N$8:$N$1207,--('ORDENES'!$AH$4:$AH$1203=AB17))</f>
        <v/>
      </c>
      <c r="AD17" s="25">
        <f>p_factor_productividad*SUMIFS('ASIGNACIONES'!$M$4:$M$451,'ASIGNACIONES'!$C$4:$C$451,AB17,'ASIGNACIONES'!$A$4:$A$451,IF($B$3="(todos)","*",$B$3))</f>
        <v/>
      </c>
      <c r="AE17" s="24">
        <f>IF(AC17&gt;AD17+0.0001,1,0)</f>
        <v/>
      </c>
      <c r="AF17" s="24">
        <f>IF(AE17=1,"   • "&amp;AB17&amp;": "&amp;TEXT(AC17,"0.0")&amp;" h asignadas vs "&amp;TEXT(AD17,"0.0")&amp;" h de capacidad","")</f>
        <v/>
      </c>
      <c r="AG17" s="24">
        <f>IF(SUMPRODUCT($K$8:$K$1207,--('ORDENES'!$AH$4:$AH$1203=AB17))&gt;0,1,0)</f>
        <v/>
      </c>
    </row>
    <row r="18">
      <c r="K18" s="24">
        <f>IF(AND(IF($B$3="(todos)",TRUE,'ORDENES'!$O14=$B$3),IF($D$3="(todos)",TRUE,'ORDENES'!$AI14=$D$3),IF($F$3="(todos)",TRUE,'ORDENES'!$AA14=$F$3),IF($H$3="(todos)",TRUE,'ORDENES'!$Z14=$H$3),'ORDENES'!$AG14=TRUE,'ORDENES'!$A14&lt;&gt;""),1,0)</f>
        <v/>
      </c>
      <c r="L18" s="24">
        <f>IF(K18=1,IFERROR(MATCH('ORDENES'!$S14,lista_dias,0),9)*1000000000+IFERROR(MATCH('ORDENES'!$AI14,lista_turnos,0),9)*10000000+IFERROR(MATCH('ORDENES'!$AH14,'TECNICOS'!$B$4:$B$19,0),99)*100000+11,9000000000000+11)</f>
        <v/>
      </c>
      <c r="M18" s="24">
        <f>IF(K18=1,SUMPRODUCT(--($L$8:$L$1207&lt;L18))+1,"")</f>
        <v/>
      </c>
      <c r="N18" s="25">
        <f>IF(K18=1,N('ORDENES'!$M14),0)</f>
        <v/>
      </c>
      <c r="O18" s="25">
        <f>IF('ORDENES'!$U14="preventiva",N18,0)</f>
        <v/>
      </c>
      <c r="P18" s="25">
        <f>IF('ORDENES'!$U14="correctiva",N18,0)</f>
        <v/>
      </c>
      <c r="Q18" s="24">
        <f>IF(AND(K18=1,'ORDENES'!$N14="Pendiente"),1,0)</f>
        <v/>
      </c>
      <c r="R18" s="24">
        <f>IF(Q18=1,100000-N18*1000+11*0.01,9000000000000+11)</f>
        <v/>
      </c>
      <c r="S18" s="24">
        <f>IF(Q18=1,SUMPRODUCT(--($R$8:$R$1207&lt;R18))+1,"")</f>
        <v/>
      </c>
      <c r="T18" s="30">
        <f>IF(K18=1,'ORDENES'!$J14,"")</f>
        <v/>
      </c>
      <c r="U18" s="24">
        <f>IFERROR(MATCH(11,$M$8:$M$1207,0),"")</f>
        <v/>
      </c>
      <c r="V18" s="24">
        <f>IF(U18="","",INDEX('ORDENES'!$S$4:$S$1203,U18))</f>
        <v/>
      </c>
      <c r="W18" s="24">
        <f>IF(U18="","",IF(V18&lt;&gt;V17,CHAR(10)&amp;UPPER(LEFT(V18,1))&amp;MID(V18,2,20)&amp;":"&amp;CHAR(10),"")&amp;"   "&amp;IF(INDEX('ORDENES'!$AI$4:$AI$1203,U18)="","(s/t)",INDEX('ORDENES'!$AI$4:$AI$1203,U18))&amp;" · "&amp;IF(INDEX('ORDENES'!$AH$4:$AH$1203,U18)="","(sin técnico)",INDEX('ORDENES'!$AH$4:$AH$1203,U18))&amp;" · "&amp;INDEX('ORDENES'!$AU$4:$AU$1203,U18)&amp;" — "&amp;INDEX('ORDENES'!$D$4:$D$1203,U18)&amp;" ("&amp;TEXT(INDEX('ORDENES'!$M$4:$M$1203,U18),"0.#")&amp;" h)")</f>
        <v/>
      </c>
      <c r="Y18" s="24">
        <f>IFERROR(MATCH(11,$S$8:$S$1207,0),"")</f>
        <v/>
      </c>
      <c r="Z18" s="24">
        <f>IF(OR(Y18="",11&gt;p_top_tareas),"","   • "&amp;INDEX('ORDENES'!$E$4:$E$1203,Y18)&amp;" — "&amp;INDEX('ORDENES'!$D$4:$D$1203,Y18)&amp;" · "&amp;TEXT(INDEX('ORDENES'!$M$4:$M$1203,Y18),"0.#")&amp;" h · "&amp;IF(INDEX('ORDENES'!$AH$4:$AH$1203,Y18)="","(sin técnico)",INDEX('ORDENES'!$AH$4:$AH$1203,Y18))&amp;IF(INDEX('ORDENES'!$AP$4:$AP$1203,Y18)&lt;&gt;""," · permiso de trabajo","")&amp;IF(INDEX('ORDENES'!$AQ$4:$AQ$1203,Y18)&lt;&gt;""," · bloqueo de energía (LOTO)",""))</f>
        <v/>
      </c>
      <c r="AB18" s="24">
        <f>'TECNICOS'!$B$14</f>
        <v/>
      </c>
      <c r="AC18" s="25">
        <f>SUMPRODUCT($N$8:$N$1207,--('ORDENES'!$AH$4:$AH$1203=AB18))</f>
        <v/>
      </c>
      <c r="AD18" s="25">
        <f>p_factor_productividad*SUMIFS('ASIGNACIONES'!$M$4:$M$451,'ASIGNACIONES'!$C$4:$C$451,AB18,'ASIGNACIONES'!$A$4:$A$451,IF($B$3="(todos)","*",$B$3))</f>
        <v/>
      </c>
      <c r="AE18" s="24">
        <f>IF(AC18&gt;AD18+0.0001,1,0)</f>
        <v/>
      </c>
      <c r="AF18" s="24">
        <f>IF(AE18=1,"   • "&amp;AB18&amp;": "&amp;TEXT(AC18,"0.0")&amp;" h asignadas vs "&amp;TEXT(AD18,"0.0")&amp;" h de capacidad","")</f>
        <v/>
      </c>
      <c r="AG18" s="24">
        <f>IF(SUMPRODUCT($K$8:$K$1207,--('ORDENES'!$AH$4:$AH$1203=AB18))&gt;0,1,0)</f>
        <v/>
      </c>
    </row>
    <row r="19">
      <c r="K19" s="24">
        <f>IF(AND(IF($B$3="(todos)",TRUE,'ORDENES'!$O15=$B$3),IF($D$3="(todos)",TRUE,'ORDENES'!$AI15=$D$3),IF($F$3="(todos)",TRUE,'ORDENES'!$AA15=$F$3),IF($H$3="(todos)",TRUE,'ORDENES'!$Z15=$H$3),'ORDENES'!$AG15=TRUE,'ORDENES'!$A15&lt;&gt;""),1,0)</f>
        <v/>
      </c>
      <c r="L19" s="24">
        <f>IF(K19=1,IFERROR(MATCH('ORDENES'!$S15,lista_dias,0),9)*1000000000+IFERROR(MATCH('ORDENES'!$AI15,lista_turnos,0),9)*10000000+IFERROR(MATCH('ORDENES'!$AH15,'TECNICOS'!$B$4:$B$19,0),99)*100000+12,9000000000000+12)</f>
        <v/>
      </c>
      <c r="M19" s="24">
        <f>IF(K19=1,SUMPRODUCT(--($L$8:$L$1207&lt;L19))+1,"")</f>
        <v/>
      </c>
      <c r="N19" s="25">
        <f>IF(K19=1,N('ORDENES'!$M15),0)</f>
        <v/>
      </c>
      <c r="O19" s="25">
        <f>IF('ORDENES'!$U15="preventiva",N19,0)</f>
        <v/>
      </c>
      <c r="P19" s="25">
        <f>IF('ORDENES'!$U15="correctiva",N19,0)</f>
        <v/>
      </c>
      <c r="Q19" s="24">
        <f>IF(AND(K19=1,'ORDENES'!$N15="Pendiente"),1,0)</f>
        <v/>
      </c>
      <c r="R19" s="24">
        <f>IF(Q19=1,100000-N19*1000+12*0.01,9000000000000+12)</f>
        <v/>
      </c>
      <c r="S19" s="24">
        <f>IF(Q19=1,SUMPRODUCT(--($R$8:$R$1207&lt;R19))+1,"")</f>
        <v/>
      </c>
      <c r="T19" s="30">
        <f>IF(K19=1,'ORDENES'!$J15,"")</f>
        <v/>
      </c>
      <c r="U19" s="24">
        <f>IFERROR(MATCH(12,$M$8:$M$1207,0),"")</f>
        <v/>
      </c>
      <c r="V19" s="24">
        <f>IF(U19="","",INDEX('ORDENES'!$S$4:$S$1203,U19))</f>
        <v/>
      </c>
      <c r="W19" s="24">
        <f>IF(U19="","",IF(V19&lt;&gt;V18,CHAR(10)&amp;UPPER(LEFT(V19,1))&amp;MID(V19,2,20)&amp;":"&amp;CHAR(10),"")&amp;"   "&amp;IF(INDEX('ORDENES'!$AI$4:$AI$1203,U19)="","(s/t)",INDEX('ORDENES'!$AI$4:$AI$1203,U19))&amp;" · "&amp;IF(INDEX('ORDENES'!$AH$4:$AH$1203,U19)="","(sin técnico)",INDEX('ORDENES'!$AH$4:$AH$1203,U19))&amp;" · "&amp;INDEX('ORDENES'!$AU$4:$AU$1203,U19)&amp;" — "&amp;INDEX('ORDENES'!$D$4:$D$1203,U19)&amp;" ("&amp;TEXT(INDEX('ORDENES'!$M$4:$M$1203,U19),"0.#")&amp;" h)")</f>
        <v/>
      </c>
      <c r="Y19" s="24">
        <f>IFERROR(MATCH(12,$S$8:$S$1207,0),"")</f>
        <v/>
      </c>
      <c r="Z19" s="24">
        <f>IF(OR(Y19="",12&gt;p_top_tareas),"","   • "&amp;INDEX('ORDENES'!$E$4:$E$1203,Y19)&amp;" — "&amp;INDEX('ORDENES'!$D$4:$D$1203,Y19)&amp;" · "&amp;TEXT(INDEX('ORDENES'!$M$4:$M$1203,Y19),"0.#")&amp;" h · "&amp;IF(INDEX('ORDENES'!$AH$4:$AH$1203,Y19)="","(sin técnico)",INDEX('ORDENES'!$AH$4:$AH$1203,Y19))&amp;IF(INDEX('ORDENES'!$AP$4:$AP$1203,Y19)&lt;&gt;""," · permiso de trabajo","")&amp;IF(INDEX('ORDENES'!$AQ$4:$AQ$1203,Y19)&lt;&gt;""," · bloqueo de energía (LOTO)",""))</f>
        <v/>
      </c>
      <c r="AB19" s="24">
        <f>'TECNICOS'!$B$15</f>
        <v/>
      </c>
      <c r="AC19" s="25">
        <f>SUMPRODUCT($N$8:$N$1207,--('ORDENES'!$AH$4:$AH$1203=AB19))</f>
        <v/>
      </c>
      <c r="AD19" s="25">
        <f>p_factor_productividad*SUMIFS('ASIGNACIONES'!$M$4:$M$451,'ASIGNACIONES'!$C$4:$C$451,AB19,'ASIGNACIONES'!$A$4:$A$451,IF($B$3="(todos)","*",$B$3))</f>
        <v/>
      </c>
      <c r="AE19" s="24">
        <f>IF(AC19&gt;AD19+0.0001,1,0)</f>
        <v/>
      </c>
      <c r="AF19" s="24">
        <f>IF(AE19=1,"   • "&amp;AB19&amp;": "&amp;TEXT(AC19,"0.0")&amp;" h asignadas vs "&amp;TEXT(AD19,"0.0")&amp;" h de capacidad","")</f>
        <v/>
      </c>
      <c r="AG19" s="24">
        <f>IF(SUMPRODUCT($K$8:$K$1207,--('ORDENES'!$AH$4:$AH$1203=AB19))&gt;0,1,0)</f>
        <v/>
      </c>
    </row>
    <row r="20">
      <c r="K20" s="24">
        <f>IF(AND(IF($B$3="(todos)",TRUE,'ORDENES'!$O16=$B$3),IF($D$3="(todos)",TRUE,'ORDENES'!$AI16=$D$3),IF($F$3="(todos)",TRUE,'ORDENES'!$AA16=$F$3),IF($H$3="(todos)",TRUE,'ORDENES'!$Z16=$H$3),'ORDENES'!$AG16=TRUE,'ORDENES'!$A16&lt;&gt;""),1,0)</f>
        <v/>
      </c>
      <c r="L20" s="24">
        <f>IF(K20=1,IFERROR(MATCH('ORDENES'!$S16,lista_dias,0),9)*1000000000+IFERROR(MATCH('ORDENES'!$AI16,lista_turnos,0),9)*10000000+IFERROR(MATCH('ORDENES'!$AH16,'TECNICOS'!$B$4:$B$19,0),99)*100000+13,9000000000000+13)</f>
        <v/>
      </c>
      <c r="M20" s="24">
        <f>IF(K20=1,SUMPRODUCT(--($L$8:$L$1207&lt;L20))+1,"")</f>
        <v/>
      </c>
      <c r="N20" s="25">
        <f>IF(K20=1,N('ORDENES'!$M16),0)</f>
        <v/>
      </c>
      <c r="O20" s="25">
        <f>IF('ORDENES'!$U16="preventiva",N20,0)</f>
        <v/>
      </c>
      <c r="P20" s="25">
        <f>IF('ORDENES'!$U16="correctiva",N20,0)</f>
        <v/>
      </c>
      <c r="Q20" s="24">
        <f>IF(AND(K20=1,'ORDENES'!$N16="Pendiente"),1,0)</f>
        <v/>
      </c>
      <c r="R20" s="24">
        <f>IF(Q20=1,100000-N20*1000+13*0.01,9000000000000+13)</f>
        <v/>
      </c>
      <c r="S20" s="24">
        <f>IF(Q20=1,SUMPRODUCT(--($R$8:$R$1207&lt;R20))+1,"")</f>
        <v/>
      </c>
      <c r="T20" s="30">
        <f>IF(K20=1,'ORDENES'!$J16,"")</f>
        <v/>
      </c>
      <c r="U20" s="24">
        <f>IFERROR(MATCH(13,$M$8:$M$1207,0),"")</f>
        <v/>
      </c>
      <c r="V20" s="24">
        <f>IF(U20="","",INDEX('ORDENES'!$S$4:$S$1203,U20))</f>
        <v/>
      </c>
      <c r="W20" s="24">
        <f>IF(U20="","",IF(V20&lt;&gt;V19,CHAR(10)&amp;UPPER(LEFT(V20,1))&amp;MID(V20,2,20)&amp;":"&amp;CHAR(10),"")&amp;"   "&amp;IF(INDEX('ORDENES'!$AI$4:$AI$1203,U20)="","(s/t)",INDEX('ORDENES'!$AI$4:$AI$1203,U20))&amp;" · "&amp;IF(INDEX('ORDENES'!$AH$4:$AH$1203,U20)="","(sin técnico)",INDEX('ORDENES'!$AH$4:$AH$1203,U20))&amp;" · "&amp;INDEX('ORDENES'!$AU$4:$AU$1203,U20)&amp;" — "&amp;INDEX('ORDENES'!$D$4:$D$1203,U20)&amp;" ("&amp;TEXT(INDEX('ORDENES'!$M$4:$M$1203,U20),"0.#")&amp;" h)")</f>
        <v/>
      </c>
      <c r="Y20" s="24">
        <f>IFERROR(MATCH(13,$S$8:$S$1207,0),"")</f>
        <v/>
      </c>
      <c r="Z20" s="24">
        <f>IF(OR(Y20="",13&gt;p_top_tareas),"","   • "&amp;INDEX('ORDENES'!$E$4:$E$1203,Y20)&amp;" — "&amp;INDEX('ORDENES'!$D$4:$D$1203,Y20)&amp;" · "&amp;TEXT(INDEX('ORDENES'!$M$4:$M$1203,Y20),"0.#")&amp;" h · "&amp;IF(INDEX('ORDENES'!$AH$4:$AH$1203,Y20)="","(sin técnico)",INDEX('ORDENES'!$AH$4:$AH$1203,Y20))&amp;IF(INDEX('ORDENES'!$AP$4:$AP$1203,Y20)&lt;&gt;""," · permiso de trabajo","")&amp;IF(INDEX('ORDENES'!$AQ$4:$AQ$1203,Y20)&lt;&gt;""," · bloqueo de energía (LOTO)",""))</f>
        <v/>
      </c>
      <c r="AB20" s="24">
        <f>'TECNICOS'!$B$16</f>
        <v/>
      </c>
      <c r="AC20" s="25">
        <f>SUMPRODUCT($N$8:$N$1207,--('ORDENES'!$AH$4:$AH$1203=AB20))</f>
        <v/>
      </c>
      <c r="AD20" s="25">
        <f>p_factor_productividad*SUMIFS('ASIGNACIONES'!$M$4:$M$451,'ASIGNACIONES'!$C$4:$C$451,AB20,'ASIGNACIONES'!$A$4:$A$451,IF($B$3="(todos)","*",$B$3))</f>
        <v/>
      </c>
      <c r="AE20" s="24">
        <f>IF(AC20&gt;AD20+0.0001,1,0)</f>
        <v/>
      </c>
      <c r="AF20" s="24">
        <f>IF(AE20=1,"   • "&amp;AB20&amp;": "&amp;TEXT(AC20,"0.0")&amp;" h asignadas vs "&amp;TEXT(AD20,"0.0")&amp;" h de capacidad","")</f>
        <v/>
      </c>
      <c r="AG20" s="24">
        <f>IF(SUMPRODUCT($K$8:$K$1207,--('ORDENES'!$AH$4:$AH$1203=AB20))&gt;0,1,0)</f>
        <v/>
      </c>
    </row>
    <row r="21">
      <c r="K21" s="24">
        <f>IF(AND(IF($B$3="(todos)",TRUE,'ORDENES'!$O17=$B$3),IF($D$3="(todos)",TRUE,'ORDENES'!$AI17=$D$3),IF($F$3="(todos)",TRUE,'ORDENES'!$AA17=$F$3),IF($H$3="(todos)",TRUE,'ORDENES'!$Z17=$H$3),'ORDENES'!$AG17=TRUE,'ORDENES'!$A17&lt;&gt;""),1,0)</f>
        <v/>
      </c>
      <c r="L21" s="24">
        <f>IF(K21=1,IFERROR(MATCH('ORDENES'!$S17,lista_dias,0),9)*1000000000+IFERROR(MATCH('ORDENES'!$AI17,lista_turnos,0),9)*10000000+IFERROR(MATCH('ORDENES'!$AH17,'TECNICOS'!$B$4:$B$19,0),99)*100000+14,9000000000000+14)</f>
        <v/>
      </c>
      <c r="M21" s="24">
        <f>IF(K21=1,SUMPRODUCT(--($L$8:$L$1207&lt;L21))+1,"")</f>
        <v/>
      </c>
      <c r="N21" s="25">
        <f>IF(K21=1,N('ORDENES'!$M17),0)</f>
        <v/>
      </c>
      <c r="O21" s="25">
        <f>IF('ORDENES'!$U17="preventiva",N21,0)</f>
        <v/>
      </c>
      <c r="P21" s="25">
        <f>IF('ORDENES'!$U17="correctiva",N21,0)</f>
        <v/>
      </c>
      <c r="Q21" s="24">
        <f>IF(AND(K21=1,'ORDENES'!$N17="Pendiente"),1,0)</f>
        <v/>
      </c>
      <c r="R21" s="24">
        <f>IF(Q21=1,100000-N21*1000+14*0.01,9000000000000+14)</f>
        <v/>
      </c>
      <c r="S21" s="24">
        <f>IF(Q21=1,SUMPRODUCT(--($R$8:$R$1207&lt;R21))+1,"")</f>
        <v/>
      </c>
      <c r="T21" s="30">
        <f>IF(K21=1,'ORDENES'!$J17,"")</f>
        <v/>
      </c>
      <c r="U21" s="24">
        <f>IFERROR(MATCH(14,$M$8:$M$1207,0),"")</f>
        <v/>
      </c>
      <c r="V21" s="24">
        <f>IF(U21="","",INDEX('ORDENES'!$S$4:$S$1203,U21))</f>
        <v/>
      </c>
      <c r="W21" s="24">
        <f>IF(U21="","",IF(V21&lt;&gt;V20,CHAR(10)&amp;UPPER(LEFT(V21,1))&amp;MID(V21,2,20)&amp;":"&amp;CHAR(10),"")&amp;"   "&amp;IF(INDEX('ORDENES'!$AI$4:$AI$1203,U21)="","(s/t)",INDEX('ORDENES'!$AI$4:$AI$1203,U21))&amp;" · "&amp;IF(INDEX('ORDENES'!$AH$4:$AH$1203,U21)="","(sin técnico)",INDEX('ORDENES'!$AH$4:$AH$1203,U21))&amp;" · "&amp;INDEX('ORDENES'!$AU$4:$AU$1203,U21)&amp;" — "&amp;INDEX('ORDENES'!$D$4:$D$1203,U21)&amp;" ("&amp;TEXT(INDEX('ORDENES'!$M$4:$M$1203,U21),"0.#")&amp;" h)")</f>
        <v/>
      </c>
      <c r="Y21" s="24">
        <f>IFERROR(MATCH(14,$S$8:$S$1207,0),"")</f>
        <v/>
      </c>
      <c r="Z21" s="24">
        <f>IF(OR(Y21="",14&gt;p_top_tareas),"","   • "&amp;INDEX('ORDENES'!$E$4:$E$1203,Y21)&amp;" — "&amp;INDEX('ORDENES'!$D$4:$D$1203,Y21)&amp;" · "&amp;TEXT(INDEX('ORDENES'!$M$4:$M$1203,Y21),"0.#")&amp;" h · "&amp;IF(INDEX('ORDENES'!$AH$4:$AH$1203,Y21)="","(sin técnico)",INDEX('ORDENES'!$AH$4:$AH$1203,Y21))&amp;IF(INDEX('ORDENES'!$AP$4:$AP$1203,Y21)&lt;&gt;""," · permiso de trabajo","")&amp;IF(INDEX('ORDENES'!$AQ$4:$AQ$1203,Y21)&lt;&gt;""," · bloqueo de energía (LOTO)",""))</f>
        <v/>
      </c>
      <c r="AB21" s="24">
        <f>'TECNICOS'!$B$17</f>
        <v/>
      </c>
      <c r="AC21" s="25">
        <f>SUMPRODUCT($N$8:$N$1207,--('ORDENES'!$AH$4:$AH$1203=AB21))</f>
        <v/>
      </c>
      <c r="AD21" s="25">
        <f>p_factor_productividad*SUMIFS('ASIGNACIONES'!$M$4:$M$451,'ASIGNACIONES'!$C$4:$C$451,AB21,'ASIGNACIONES'!$A$4:$A$451,IF($B$3="(todos)","*",$B$3))</f>
        <v/>
      </c>
      <c r="AE21" s="24">
        <f>IF(AC21&gt;AD21+0.0001,1,0)</f>
        <v/>
      </c>
      <c r="AF21" s="24">
        <f>IF(AE21=1,"   • "&amp;AB21&amp;": "&amp;TEXT(AC21,"0.0")&amp;" h asignadas vs "&amp;TEXT(AD21,"0.0")&amp;" h de capacidad","")</f>
        <v/>
      </c>
      <c r="AG21" s="24">
        <f>IF(SUMPRODUCT($K$8:$K$1207,--('ORDENES'!$AH$4:$AH$1203=AB21))&gt;0,1,0)</f>
        <v/>
      </c>
    </row>
    <row r="22">
      <c r="K22" s="24">
        <f>IF(AND(IF($B$3="(todos)",TRUE,'ORDENES'!$O18=$B$3),IF($D$3="(todos)",TRUE,'ORDENES'!$AI18=$D$3),IF($F$3="(todos)",TRUE,'ORDENES'!$AA18=$F$3),IF($H$3="(todos)",TRUE,'ORDENES'!$Z18=$H$3),'ORDENES'!$AG18=TRUE,'ORDENES'!$A18&lt;&gt;""),1,0)</f>
        <v/>
      </c>
      <c r="L22" s="24">
        <f>IF(K22=1,IFERROR(MATCH('ORDENES'!$S18,lista_dias,0),9)*1000000000+IFERROR(MATCH('ORDENES'!$AI18,lista_turnos,0),9)*10000000+IFERROR(MATCH('ORDENES'!$AH18,'TECNICOS'!$B$4:$B$19,0),99)*100000+15,9000000000000+15)</f>
        <v/>
      </c>
      <c r="M22" s="24">
        <f>IF(K22=1,SUMPRODUCT(--($L$8:$L$1207&lt;L22))+1,"")</f>
        <v/>
      </c>
      <c r="N22" s="25">
        <f>IF(K22=1,N('ORDENES'!$M18),0)</f>
        <v/>
      </c>
      <c r="O22" s="25">
        <f>IF('ORDENES'!$U18="preventiva",N22,0)</f>
        <v/>
      </c>
      <c r="P22" s="25">
        <f>IF('ORDENES'!$U18="correctiva",N22,0)</f>
        <v/>
      </c>
      <c r="Q22" s="24">
        <f>IF(AND(K22=1,'ORDENES'!$N18="Pendiente"),1,0)</f>
        <v/>
      </c>
      <c r="R22" s="24">
        <f>IF(Q22=1,100000-N22*1000+15*0.01,9000000000000+15)</f>
        <v/>
      </c>
      <c r="S22" s="24">
        <f>IF(Q22=1,SUMPRODUCT(--($R$8:$R$1207&lt;R22))+1,"")</f>
        <v/>
      </c>
      <c r="T22" s="30">
        <f>IF(K22=1,'ORDENES'!$J18,"")</f>
        <v/>
      </c>
      <c r="U22" s="24">
        <f>IFERROR(MATCH(15,$M$8:$M$1207,0),"")</f>
        <v/>
      </c>
      <c r="V22" s="24">
        <f>IF(U22="","",INDEX('ORDENES'!$S$4:$S$1203,U22))</f>
        <v/>
      </c>
      <c r="W22" s="24">
        <f>IF(U22="","",IF(V22&lt;&gt;V21,CHAR(10)&amp;UPPER(LEFT(V22,1))&amp;MID(V22,2,20)&amp;":"&amp;CHAR(10),"")&amp;"   "&amp;IF(INDEX('ORDENES'!$AI$4:$AI$1203,U22)="","(s/t)",INDEX('ORDENES'!$AI$4:$AI$1203,U22))&amp;" · "&amp;IF(INDEX('ORDENES'!$AH$4:$AH$1203,U22)="","(sin técnico)",INDEX('ORDENES'!$AH$4:$AH$1203,U22))&amp;" · "&amp;INDEX('ORDENES'!$AU$4:$AU$1203,U22)&amp;" — "&amp;INDEX('ORDENES'!$D$4:$D$1203,U22)&amp;" ("&amp;TEXT(INDEX('ORDENES'!$M$4:$M$1203,U22),"0.#")&amp;" h)")</f>
        <v/>
      </c>
      <c r="Y22" s="24">
        <f>IFERROR(MATCH(15,$S$8:$S$1207,0),"")</f>
        <v/>
      </c>
      <c r="Z22" s="24">
        <f>IF(OR(Y22="",15&gt;p_top_tareas),"","   • "&amp;INDEX('ORDENES'!$E$4:$E$1203,Y22)&amp;" — "&amp;INDEX('ORDENES'!$D$4:$D$1203,Y22)&amp;" · "&amp;TEXT(INDEX('ORDENES'!$M$4:$M$1203,Y22),"0.#")&amp;" h · "&amp;IF(INDEX('ORDENES'!$AH$4:$AH$1203,Y22)="","(sin técnico)",INDEX('ORDENES'!$AH$4:$AH$1203,Y22))&amp;IF(INDEX('ORDENES'!$AP$4:$AP$1203,Y22)&lt;&gt;""," · permiso de trabajo","")&amp;IF(INDEX('ORDENES'!$AQ$4:$AQ$1203,Y22)&lt;&gt;""," · bloqueo de energía (LOTO)",""))</f>
        <v/>
      </c>
      <c r="AB22" s="24">
        <f>'TECNICOS'!$B$18</f>
        <v/>
      </c>
      <c r="AC22" s="25">
        <f>SUMPRODUCT($N$8:$N$1207,--('ORDENES'!$AH$4:$AH$1203=AB22))</f>
        <v/>
      </c>
      <c r="AD22" s="25">
        <f>p_factor_productividad*SUMIFS('ASIGNACIONES'!$M$4:$M$451,'ASIGNACIONES'!$C$4:$C$451,AB22,'ASIGNACIONES'!$A$4:$A$451,IF($B$3="(todos)","*",$B$3))</f>
        <v/>
      </c>
      <c r="AE22" s="24">
        <f>IF(AC22&gt;AD22+0.0001,1,0)</f>
        <v/>
      </c>
      <c r="AF22" s="24">
        <f>IF(AE22=1,"   • "&amp;AB22&amp;": "&amp;TEXT(AC22,"0.0")&amp;" h asignadas vs "&amp;TEXT(AD22,"0.0")&amp;" h de capacidad","")</f>
        <v/>
      </c>
      <c r="AG22" s="24">
        <f>IF(SUMPRODUCT($K$8:$K$1207,--('ORDENES'!$AH$4:$AH$1203=AB22))&gt;0,1,0)</f>
        <v/>
      </c>
    </row>
    <row r="23">
      <c r="K23" s="24">
        <f>IF(AND(IF($B$3="(todos)",TRUE,'ORDENES'!$O19=$B$3),IF($D$3="(todos)",TRUE,'ORDENES'!$AI19=$D$3),IF($F$3="(todos)",TRUE,'ORDENES'!$AA19=$F$3),IF($H$3="(todos)",TRUE,'ORDENES'!$Z19=$H$3),'ORDENES'!$AG19=TRUE,'ORDENES'!$A19&lt;&gt;""),1,0)</f>
        <v/>
      </c>
      <c r="L23" s="24">
        <f>IF(K23=1,IFERROR(MATCH('ORDENES'!$S19,lista_dias,0),9)*1000000000+IFERROR(MATCH('ORDENES'!$AI19,lista_turnos,0),9)*10000000+IFERROR(MATCH('ORDENES'!$AH19,'TECNICOS'!$B$4:$B$19,0),99)*100000+16,9000000000000+16)</f>
        <v/>
      </c>
      <c r="M23" s="24">
        <f>IF(K23=1,SUMPRODUCT(--($L$8:$L$1207&lt;L23))+1,"")</f>
        <v/>
      </c>
      <c r="N23" s="25">
        <f>IF(K23=1,N('ORDENES'!$M19),0)</f>
        <v/>
      </c>
      <c r="O23" s="25">
        <f>IF('ORDENES'!$U19="preventiva",N23,0)</f>
        <v/>
      </c>
      <c r="P23" s="25">
        <f>IF('ORDENES'!$U19="correctiva",N23,0)</f>
        <v/>
      </c>
      <c r="Q23" s="24">
        <f>IF(AND(K23=1,'ORDENES'!$N19="Pendiente"),1,0)</f>
        <v/>
      </c>
      <c r="R23" s="24">
        <f>IF(Q23=1,100000-N23*1000+16*0.01,9000000000000+16)</f>
        <v/>
      </c>
      <c r="S23" s="24">
        <f>IF(Q23=1,SUMPRODUCT(--($R$8:$R$1207&lt;R23))+1,"")</f>
        <v/>
      </c>
      <c r="T23" s="30">
        <f>IF(K23=1,'ORDENES'!$J19,"")</f>
        <v/>
      </c>
      <c r="U23" s="24">
        <f>IFERROR(MATCH(16,$M$8:$M$1207,0),"")</f>
        <v/>
      </c>
      <c r="V23" s="24">
        <f>IF(U23="","",INDEX('ORDENES'!$S$4:$S$1203,U23))</f>
        <v/>
      </c>
      <c r="W23" s="24">
        <f>IF(U23="","",IF(V23&lt;&gt;V22,CHAR(10)&amp;UPPER(LEFT(V23,1))&amp;MID(V23,2,20)&amp;":"&amp;CHAR(10),"")&amp;"   "&amp;IF(INDEX('ORDENES'!$AI$4:$AI$1203,U23)="","(s/t)",INDEX('ORDENES'!$AI$4:$AI$1203,U23))&amp;" · "&amp;IF(INDEX('ORDENES'!$AH$4:$AH$1203,U23)="","(sin técnico)",INDEX('ORDENES'!$AH$4:$AH$1203,U23))&amp;" · "&amp;INDEX('ORDENES'!$AU$4:$AU$1203,U23)&amp;" — "&amp;INDEX('ORDENES'!$D$4:$D$1203,U23)&amp;" ("&amp;TEXT(INDEX('ORDENES'!$M$4:$M$1203,U23),"0.#")&amp;" h)")</f>
        <v/>
      </c>
      <c r="Y23" s="24">
        <f>IFERROR(MATCH(16,$S$8:$S$1207,0),"")</f>
        <v/>
      </c>
      <c r="Z23" s="24">
        <f>IF(OR(Y23="",16&gt;p_top_tareas),"","   • "&amp;INDEX('ORDENES'!$E$4:$E$1203,Y23)&amp;" — "&amp;INDEX('ORDENES'!$D$4:$D$1203,Y23)&amp;" · "&amp;TEXT(INDEX('ORDENES'!$M$4:$M$1203,Y23),"0.#")&amp;" h · "&amp;IF(INDEX('ORDENES'!$AH$4:$AH$1203,Y23)="","(sin técnico)",INDEX('ORDENES'!$AH$4:$AH$1203,Y23))&amp;IF(INDEX('ORDENES'!$AP$4:$AP$1203,Y23)&lt;&gt;""," · permiso de trabajo","")&amp;IF(INDEX('ORDENES'!$AQ$4:$AQ$1203,Y23)&lt;&gt;""," · bloqueo de energía (LOTO)",""))</f>
        <v/>
      </c>
      <c r="AB23" s="24">
        <f>'TECNICOS'!$B$19</f>
        <v/>
      </c>
      <c r="AC23" s="25">
        <f>SUMPRODUCT($N$8:$N$1207,--('ORDENES'!$AH$4:$AH$1203=AB23))</f>
        <v/>
      </c>
      <c r="AD23" s="25">
        <f>p_factor_productividad*SUMIFS('ASIGNACIONES'!$M$4:$M$451,'ASIGNACIONES'!$C$4:$C$451,AB23,'ASIGNACIONES'!$A$4:$A$451,IF($B$3="(todos)","*",$B$3))</f>
        <v/>
      </c>
      <c r="AE23" s="24">
        <f>IF(AC23&gt;AD23+0.0001,1,0)</f>
        <v/>
      </c>
      <c r="AF23" s="24">
        <f>IF(AE23=1,"   • "&amp;AB23&amp;": "&amp;TEXT(AC23,"0.0")&amp;" h asignadas vs "&amp;TEXT(AD23,"0.0")&amp;" h de capacidad","")</f>
        <v/>
      </c>
      <c r="AG23" s="24">
        <f>IF(SUMPRODUCT($K$8:$K$1207,--('ORDENES'!$AH$4:$AH$1203=AB23))&gt;0,1,0)</f>
        <v/>
      </c>
    </row>
    <row r="24">
      <c r="K24" s="24">
        <f>IF(AND(IF($B$3="(todos)",TRUE,'ORDENES'!$O20=$B$3),IF($D$3="(todos)",TRUE,'ORDENES'!$AI20=$D$3),IF($F$3="(todos)",TRUE,'ORDENES'!$AA20=$F$3),IF($H$3="(todos)",TRUE,'ORDENES'!$Z20=$H$3),'ORDENES'!$AG20=TRUE,'ORDENES'!$A20&lt;&gt;""),1,0)</f>
        <v/>
      </c>
      <c r="L24" s="24">
        <f>IF(K24=1,IFERROR(MATCH('ORDENES'!$S20,lista_dias,0),9)*1000000000+IFERROR(MATCH('ORDENES'!$AI20,lista_turnos,0),9)*10000000+IFERROR(MATCH('ORDENES'!$AH20,'TECNICOS'!$B$4:$B$19,0),99)*100000+17,9000000000000+17)</f>
        <v/>
      </c>
      <c r="M24" s="24">
        <f>IF(K24=1,SUMPRODUCT(--($L$8:$L$1207&lt;L24))+1,"")</f>
        <v/>
      </c>
      <c r="N24" s="25">
        <f>IF(K24=1,N('ORDENES'!$M20),0)</f>
        <v/>
      </c>
      <c r="O24" s="25">
        <f>IF('ORDENES'!$U20="preventiva",N24,0)</f>
        <v/>
      </c>
      <c r="P24" s="25">
        <f>IF('ORDENES'!$U20="correctiva",N24,0)</f>
        <v/>
      </c>
      <c r="Q24" s="24">
        <f>IF(AND(K24=1,'ORDENES'!$N20="Pendiente"),1,0)</f>
        <v/>
      </c>
      <c r="R24" s="24">
        <f>IF(Q24=1,100000-N24*1000+17*0.01,9000000000000+17)</f>
        <v/>
      </c>
      <c r="S24" s="24">
        <f>IF(Q24=1,SUMPRODUCT(--($R$8:$R$1207&lt;R24))+1,"")</f>
        <v/>
      </c>
      <c r="T24" s="30">
        <f>IF(K24=1,'ORDENES'!$J20,"")</f>
        <v/>
      </c>
      <c r="U24" s="24">
        <f>IFERROR(MATCH(17,$M$8:$M$1207,0),"")</f>
        <v/>
      </c>
      <c r="V24" s="24">
        <f>IF(U24="","",INDEX('ORDENES'!$S$4:$S$1203,U24))</f>
        <v/>
      </c>
      <c r="W24" s="24">
        <f>IF(U24="","",IF(V24&lt;&gt;V23,CHAR(10)&amp;UPPER(LEFT(V24,1))&amp;MID(V24,2,20)&amp;":"&amp;CHAR(10),"")&amp;"   "&amp;IF(INDEX('ORDENES'!$AI$4:$AI$1203,U24)="","(s/t)",INDEX('ORDENES'!$AI$4:$AI$1203,U24))&amp;" · "&amp;IF(INDEX('ORDENES'!$AH$4:$AH$1203,U24)="","(sin técnico)",INDEX('ORDENES'!$AH$4:$AH$1203,U24))&amp;" · "&amp;INDEX('ORDENES'!$AU$4:$AU$1203,U24)&amp;" — "&amp;INDEX('ORDENES'!$D$4:$D$1203,U24)&amp;" ("&amp;TEXT(INDEX('ORDENES'!$M$4:$M$1203,U24),"0.#")&amp;" h)")</f>
        <v/>
      </c>
      <c r="Y24" s="24">
        <f>IFERROR(MATCH(17,$S$8:$S$1207,0),"")</f>
        <v/>
      </c>
      <c r="Z24" s="24">
        <f>IF(OR(Y24="",17&gt;p_top_tareas),"","   • "&amp;INDEX('ORDENES'!$E$4:$E$1203,Y24)&amp;" — "&amp;INDEX('ORDENES'!$D$4:$D$1203,Y24)&amp;" · "&amp;TEXT(INDEX('ORDENES'!$M$4:$M$1203,Y24),"0.#")&amp;" h · "&amp;IF(INDEX('ORDENES'!$AH$4:$AH$1203,Y24)="","(sin técnico)",INDEX('ORDENES'!$AH$4:$AH$1203,Y24))&amp;IF(INDEX('ORDENES'!$AP$4:$AP$1203,Y24)&lt;&gt;""," · permiso de trabajo","")&amp;IF(INDEX('ORDENES'!$AQ$4:$AQ$1203,Y24)&lt;&gt;""," · bloqueo de energía (LOTO)",""))</f>
        <v/>
      </c>
    </row>
    <row r="25">
      <c r="K25" s="24">
        <f>IF(AND(IF($B$3="(todos)",TRUE,'ORDENES'!$O21=$B$3),IF($D$3="(todos)",TRUE,'ORDENES'!$AI21=$D$3),IF($F$3="(todos)",TRUE,'ORDENES'!$AA21=$F$3),IF($H$3="(todos)",TRUE,'ORDENES'!$Z21=$H$3),'ORDENES'!$AG21=TRUE,'ORDENES'!$A21&lt;&gt;""),1,0)</f>
        <v/>
      </c>
      <c r="L25" s="24">
        <f>IF(K25=1,IFERROR(MATCH('ORDENES'!$S21,lista_dias,0),9)*1000000000+IFERROR(MATCH('ORDENES'!$AI21,lista_turnos,0),9)*10000000+IFERROR(MATCH('ORDENES'!$AH21,'TECNICOS'!$B$4:$B$19,0),99)*100000+18,9000000000000+18)</f>
        <v/>
      </c>
      <c r="M25" s="24">
        <f>IF(K25=1,SUMPRODUCT(--($L$8:$L$1207&lt;L25))+1,"")</f>
        <v/>
      </c>
      <c r="N25" s="25">
        <f>IF(K25=1,N('ORDENES'!$M21),0)</f>
        <v/>
      </c>
      <c r="O25" s="25">
        <f>IF('ORDENES'!$U21="preventiva",N25,0)</f>
        <v/>
      </c>
      <c r="P25" s="25">
        <f>IF('ORDENES'!$U21="correctiva",N25,0)</f>
        <v/>
      </c>
      <c r="Q25" s="24">
        <f>IF(AND(K25=1,'ORDENES'!$N21="Pendiente"),1,0)</f>
        <v/>
      </c>
      <c r="R25" s="24">
        <f>IF(Q25=1,100000-N25*1000+18*0.01,9000000000000+18)</f>
        <v/>
      </c>
      <c r="S25" s="24">
        <f>IF(Q25=1,SUMPRODUCT(--($R$8:$R$1207&lt;R25))+1,"")</f>
        <v/>
      </c>
      <c r="T25" s="30">
        <f>IF(K25=1,'ORDENES'!$J21,"")</f>
        <v/>
      </c>
      <c r="U25" s="24">
        <f>IFERROR(MATCH(18,$M$8:$M$1207,0),"")</f>
        <v/>
      </c>
      <c r="V25" s="24">
        <f>IF(U25="","",INDEX('ORDENES'!$S$4:$S$1203,U25))</f>
        <v/>
      </c>
      <c r="W25" s="24">
        <f>IF(U25="","",IF(V25&lt;&gt;V24,CHAR(10)&amp;UPPER(LEFT(V25,1))&amp;MID(V25,2,20)&amp;":"&amp;CHAR(10),"")&amp;"   "&amp;IF(INDEX('ORDENES'!$AI$4:$AI$1203,U25)="","(s/t)",INDEX('ORDENES'!$AI$4:$AI$1203,U25))&amp;" · "&amp;IF(INDEX('ORDENES'!$AH$4:$AH$1203,U25)="","(sin técnico)",INDEX('ORDENES'!$AH$4:$AH$1203,U25))&amp;" · "&amp;INDEX('ORDENES'!$AU$4:$AU$1203,U25)&amp;" — "&amp;INDEX('ORDENES'!$D$4:$D$1203,U25)&amp;" ("&amp;TEXT(INDEX('ORDENES'!$M$4:$M$1203,U25),"0.#")&amp;" h)")</f>
        <v/>
      </c>
      <c r="Y25" s="24">
        <f>IFERROR(MATCH(18,$S$8:$S$1207,0),"")</f>
        <v/>
      </c>
      <c r="Z25" s="24">
        <f>IF(OR(Y25="",18&gt;p_top_tareas),"","   • "&amp;INDEX('ORDENES'!$E$4:$E$1203,Y25)&amp;" — "&amp;INDEX('ORDENES'!$D$4:$D$1203,Y25)&amp;" · "&amp;TEXT(INDEX('ORDENES'!$M$4:$M$1203,Y25),"0.#")&amp;" h · "&amp;IF(INDEX('ORDENES'!$AH$4:$AH$1203,Y25)="","(sin técnico)",INDEX('ORDENES'!$AH$4:$AH$1203,Y25))&amp;IF(INDEX('ORDENES'!$AP$4:$AP$1203,Y25)&lt;&gt;""," · permiso de trabajo","")&amp;IF(INDEX('ORDENES'!$AQ$4:$AQ$1203,Y25)&lt;&gt;""," · bloqueo de energía (LOTO)",""))</f>
        <v/>
      </c>
    </row>
    <row r="26">
      <c r="K26" s="24">
        <f>IF(AND(IF($B$3="(todos)",TRUE,'ORDENES'!$O22=$B$3),IF($D$3="(todos)",TRUE,'ORDENES'!$AI22=$D$3),IF($F$3="(todos)",TRUE,'ORDENES'!$AA22=$F$3),IF($H$3="(todos)",TRUE,'ORDENES'!$Z22=$H$3),'ORDENES'!$AG22=TRUE,'ORDENES'!$A22&lt;&gt;""),1,0)</f>
        <v/>
      </c>
      <c r="L26" s="24">
        <f>IF(K26=1,IFERROR(MATCH('ORDENES'!$S22,lista_dias,0),9)*1000000000+IFERROR(MATCH('ORDENES'!$AI22,lista_turnos,0),9)*10000000+IFERROR(MATCH('ORDENES'!$AH22,'TECNICOS'!$B$4:$B$19,0),99)*100000+19,9000000000000+19)</f>
        <v/>
      </c>
      <c r="M26" s="24">
        <f>IF(K26=1,SUMPRODUCT(--($L$8:$L$1207&lt;L26))+1,"")</f>
        <v/>
      </c>
      <c r="N26" s="25">
        <f>IF(K26=1,N('ORDENES'!$M22),0)</f>
        <v/>
      </c>
      <c r="O26" s="25">
        <f>IF('ORDENES'!$U22="preventiva",N26,0)</f>
        <v/>
      </c>
      <c r="P26" s="25">
        <f>IF('ORDENES'!$U22="correctiva",N26,0)</f>
        <v/>
      </c>
      <c r="Q26" s="24">
        <f>IF(AND(K26=1,'ORDENES'!$N22="Pendiente"),1,0)</f>
        <v/>
      </c>
      <c r="R26" s="24">
        <f>IF(Q26=1,100000-N26*1000+19*0.01,9000000000000+19)</f>
        <v/>
      </c>
      <c r="S26" s="24">
        <f>IF(Q26=1,SUMPRODUCT(--($R$8:$R$1207&lt;R26))+1,"")</f>
        <v/>
      </c>
      <c r="T26" s="30">
        <f>IF(K26=1,'ORDENES'!$J22,"")</f>
        <v/>
      </c>
      <c r="U26" s="24">
        <f>IFERROR(MATCH(19,$M$8:$M$1207,0),"")</f>
        <v/>
      </c>
      <c r="V26" s="24">
        <f>IF(U26="","",INDEX('ORDENES'!$S$4:$S$1203,U26))</f>
        <v/>
      </c>
      <c r="W26" s="24">
        <f>IF(U26="","",IF(V26&lt;&gt;V25,CHAR(10)&amp;UPPER(LEFT(V26,1))&amp;MID(V26,2,20)&amp;":"&amp;CHAR(10),"")&amp;"   "&amp;IF(INDEX('ORDENES'!$AI$4:$AI$1203,U26)="","(s/t)",INDEX('ORDENES'!$AI$4:$AI$1203,U26))&amp;" · "&amp;IF(INDEX('ORDENES'!$AH$4:$AH$1203,U26)="","(sin técnico)",INDEX('ORDENES'!$AH$4:$AH$1203,U26))&amp;" · "&amp;INDEX('ORDENES'!$AU$4:$AU$1203,U26)&amp;" — "&amp;INDEX('ORDENES'!$D$4:$D$1203,U26)&amp;" ("&amp;TEXT(INDEX('ORDENES'!$M$4:$M$1203,U26),"0.#")&amp;" h)")</f>
        <v/>
      </c>
      <c r="Y26" s="24">
        <f>IFERROR(MATCH(19,$S$8:$S$1207,0),"")</f>
        <v/>
      </c>
      <c r="Z26" s="24">
        <f>IF(OR(Y26="",19&gt;p_top_tareas),"","   • "&amp;INDEX('ORDENES'!$E$4:$E$1203,Y26)&amp;" — "&amp;INDEX('ORDENES'!$D$4:$D$1203,Y26)&amp;" · "&amp;TEXT(INDEX('ORDENES'!$M$4:$M$1203,Y26),"0.#")&amp;" h · "&amp;IF(INDEX('ORDENES'!$AH$4:$AH$1203,Y26)="","(sin técnico)",INDEX('ORDENES'!$AH$4:$AH$1203,Y26))&amp;IF(INDEX('ORDENES'!$AP$4:$AP$1203,Y26)&lt;&gt;""," · permiso de trabajo","")&amp;IF(INDEX('ORDENES'!$AQ$4:$AQ$1203,Y26)&lt;&gt;""," · bloqueo de energía (LOTO)",""))</f>
        <v/>
      </c>
    </row>
    <row r="27">
      <c r="K27" s="24">
        <f>IF(AND(IF($B$3="(todos)",TRUE,'ORDENES'!$O23=$B$3),IF($D$3="(todos)",TRUE,'ORDENES'!$AI23=$D$3),IF($F$3="(todos)",TRUE,'ORDENES'!$AA23=$F$3),IF($H$3="(todos)",TRUE,'ORDENES'!$Z23=$H$3),'ORDENES'!$AG23=TRUE,'ORDENES'!$A23&lt;&gt;""),1,0)</f>
        <v/>
      </c>
      <c r="L27" s="24">
        <f>IF(K27=1,IFERROR(MATCH('ORDENES'!$S23,lista_dias,0),9)*1000000000+IFERROR(MATCH('ORDENES'!$AI23,lista_turnos,0),9)*10000000+IFERROR(MATCH('ORDENES'!$AH23,'TECNICOS'!$B$4:$B$19,0),99)*100000+20,9000000000000+20)</f>
        <v/>
      </c>
      <c r="M27" s="24">
        <f>IF(K27=1,SUMPRODUCT(--($L$8:$L$1207&lt;L27))+1,"")</f>
        <v/>
      </c>
      <c r="N27" s="25">
        <f>IF(K27=1,N('ORDENES'!$M23),0)</f>
        <v/>
      </c>
      <c r="O27" s="25">
        <f>IF('ORDENES'!$U23="preventiva",N27,0)</f>
        <v/>
      </c>
      <c r="P27" s="25">
        <f>IF('ORDENES'!$U23="correctiva",N27,0)</f>
        <v/>
      </c>
      <c r="Q27" s="24">
        <f>IF(AND(K27=1,'ORDENES'!$N23="Pendiente"),1,0)</f>
        <v/>
      </c>
      <c r="R27" s="24">
        <f>IF(Q27=1,100000-N27*1000+20*0.01,9000000000000+20)</f>
        <v/>
      </c>
      <c r="S27" s="24">
        <f>IF(Q27=1,SUMPRODUCT(--($R$8:$R$1207&lt;R27))+1,"")</f>
        <v/>
      </c>
      <c r="T27" s="30">
        <f>IF(K27=1,'ORDENES'!$J23,"")</f>
        <v/>
      </c>
      <c r="U27" s="24">
        <f>IFERROR(MATCH(20,$M$8:$M$1207,0),"")</f>
        <v/>
      </c>
      <c r="V27" s="24">
        <f>IF(U27="","",INDEX('ORDENES'!$S$4:$S$1203,U27))</f>
        <v/>
      </c>
      <c r="W27" s="24">
        <f>IF(U27="","",IF(V27&lt;&gt;V26,CHAR(10)&amp;UPPER(LEFT(V27,1))&amp;MID(V27,2,20)&amp;":"&amp;CHAR(10),"")&amp;"   "&amp;IF(INDEX('ORDENES'!$AI$4:$AI$1203,U27)="","(s/t)",INDEX('ORDENES'!$AI$4:$AI$1203,U27))&amp;" · "&amp;IF(INDEX('ORDENES'!$AH$4:$AH$1203,U27)="","(sin técnico)",INDEX('ORDENES'!$AH$4:$AH$1203,U27))&amp;" · "&amp;INDEX('ORDENES'!$AU$4:$AU$1203,U27)&amp;" — "&amp;INDEX('ORDENES'!$D$4:$D$1203,U27)&amp;" ("&amp;TEXT(INDEX('ORDENES'!$M$4:$M$1203,U27),"0.#")&amp;" h)")</f>
        <v/>
      </c>
      <c r="Y27" s="24">
        <f>IFERROR(MATCH(20,$S$8:$S$1207,0),"")</f>
        <v/>
      </c>
      <c r="Z27" s="24">
        <f>IF(OR(Y27="",20&gt;p_top_tareas),"","   • "&amp;INDEX('ORDENES'!$E$4:$E$1203,Y27)&amp;" — "&amp;INDEX('ORDENES'!$D$4:$D$1203,Y27)&amp;" · "&amp;TEXT(INDEX('ORDENES'!$M$4:$M$1203,Y27),"0.#")&amp;" h · "&amp;IF(INDEX('ORDENES'!$AH$4:$AH$1203,Y27)="","(sin técnico)",INDEX('ORDENES'!$AH$4:$AH$1203,Y27))&amp;IF(INDEX('ORDENES'!$AP$4:$AP$1203,Y27)&lt;&gt;""," · permiso de trabajo","")&amp;IF(INDEX('ORDENES'!$AQ$4:$AQ$1203,Y27)&lt;&gt;""," · bloqueo de energía (LOTO)",""))</f>
        <v/>
      </c>
    </row>
    <row r="28">
      <c r="K28" s="24">
        <f>IF(AND(IF($B$3="(todos)",TRUE,'ORDENES'!$O24=$B$3),IF($D$3="(todos)",TRUE,'ORDENES'!$AI24=$D$3),IF($F$3="(todos)",TRUE,'ORDENES'!$AA24=$F$3),IF($H$3="(todos)",TRUE,'ORDENES'!$Z24=$H$3),'ORDENES'!$AG24=TRUE,'ORDENES'!$A24&lt;&gt;""),1,0)</f>
        <v/>
      </c>
      <c r="L28" s="24">
        <f>IF(K28=1,IFERROR(MATCH('ORDENES'!$S24,lista_dias,0),9)*1000000000+IFERROR(MATCH('ORDENES'!$AI24,lista_turnos,0),9)*10000000+IFERROR(MATCH('ORDENES'!$AH24,'TECNICOS'!$B$4:$B$19,0),99)*100000+21,9000000000000+21)</f>
        <v/>
      </c>
      <c r="M28" s="24">
        <f>IF(K28=1,SUMPRODUCT(--($L$8:$L$1207&lt;L28))+1,"")</f>
        <v/>
      </c>
      <c r="N28" s="25">
        <f>IF(K28=1,N('ORDENES'!$M24),0)</f>
        <v/>
      </c>
      <c r="O28" s="25">
        <f>IF('ORDENES'!$U24="preventiva",N28,0)</f>
        <v/>
      </c>
      <c r="P28" s="25">
        <f>IF('ORDENES'!$U24="correctiva",N28,0)</f>
        <v/>
      </c>
      <c r="Q28" s="24">
        <f>IF(AND(K28=1,'ORDENES'!$N24="Pendiente"),1,0)</f>
        <v/>
      </c>
      <c r="R28" s="24">
        <f>IF(Q28=1,100000-N28*1000+21*0.01,9000000000000+21)</f>
        <v/>
      </c>
      <c r="S28" s="24">
        <f>IF(Q28=1,SUMPRODUCT(--($R$8:$R$1207&lt;R28))+1,"")</f>
        <v/>
      </c>
      <c r="T28" s="30">
        <f>IF(K28=1,'ORDENES'!$J24,"")</f>
        <v/>
      </c>
      <c r="U28" s="24">
        <f>IFERROR(MATCH(21,$M$8:$M$1207,0),"")</f>
        <v/>
      </c>
      <c r="V28" s="24">
        <f>IF(U28="","",INDEX('ORDENES'!$S$4:$S$1203,U28))</f>
        <v/>
      </c>
      <c r="W28" s="24">
        <f>IF(U28="","",IF(V28&lt;&gt;V27,CHAR(10)&amp;UPPER(LEFT(V28,1))&amp;MID(V28,2,20)&amp;":"&amp;CHAR(10),"")&amp;"   "&amp;IF(INDEX('ORDENES'!$AI$4:$AI$1203,U28)="","(s/t)",INDEX('ORDENES'!$AI$4:$AI$1203,U28))&amp;" · "&amp;IF(INDEX('ORDENES'!$AH$4:$AH$1203,U28)="","(sin técnico)",INDEX('ORDENES'!$AH$4:$AH$1203,U28))&amp;" · "&amp;INDEX('ORDENES'!$AU$4:$AU$1203,U28)&amp;" — "&amp;INDEX('ORDENES'!$D$4:$D$1203,U28)&amp;" ("&amp;TEXT(INDEX('ORDENES'!$M$4:$M$1203,U28),"0.#")&amp;" h)")</f>
        <v/>
      </c>
    </row>
    <row r="29">
      <c r="K29" s="24">
        <f>IF(AND(IF($B$3="(todos)",TRUE,'ORDENES'!$O25=$B$3),IF($D$3="(todos)",TRUE,'ORDENES'!$AI25=$D$3),IF($F$3="(todos)",TRUE,'ORDENES'!$AA25=$F$3),IF($H$3="(todos)",TRUE,'ORDENES'!$Z25=$H$3),'ORDENES'!$AG25=TRUE,'ORDENES'!$A25&lt;&gt;""),1,0)</f>
        <v/>
      </c>
      <c r="L29" s="24">
        <f>IF(K29=1,IFERROR(MATCH('ORDENES'!$S25,lista_dias,0),9)*1000000000+IFERROR(MATCH('ORDENES'!$AI25,lista_turnos,0),9)*10000000+IFERROR(MATCH('ORDENES'!$AH25,'TECNICOS'!$B$4:$B$19,0),99)*100000+22,9000000000000+22)</f>
        <v/>
      </c>
      <c r="M29" s="24">
        <f>IF(K29=1,SUMPRODUCT(--($L$8:$L$1207&lt;L29))+1,"")</f>
        <v/>
      </c>
      <c r="N29" s="25">
        <f>IF(K29=1,N('ORDENES'!$M25),0)</f>
        <v/>
      </c>
      <c r="O29" s="25">
        <f>IF('ORDENES'!$U25="preventiva",N29,0)</f>
        <v/>
      </c>
      <c r="P29" s="25">
        <f>IF('ORDENES'!$U25="correctiva",N29,0)</f>
        <v/>
      </c>
      <c r="Q29" s="24">
        <f>IF(AND(K29=1,'ORDENES'!$N25="Pendiente"),1,0)</f>
        <v/>
      </c>
      <c r="R29" s="24">
        <f>IF(Q29=1,100000-N29*1000+22*0.01,9000000000000+22)</f>
        <v/>
      </c>
      <c r="S29" s="24">
        <f>IF(Q29=1,SUMPRODUCT(--($R$8:$R$1207&lt;R29))+1,"")</f>
        <v/>
      </c>
      <c r="T29" s="30">
        <f>IF(K29=1,'ORDENES'!$J25,"")</f>
        <v/>
      </c>
      <c r="U29" s="24">
        <f>IFERROR(MATCH(22,$M$8:$M$1207,0),"")</f>
        <v/>
      </c>
      <c r="V29" s="24">
        <f>IF(U29="","",INDEX('ORDENES'!$S$4:$S$1203,U29))</f>
        <v/>
      </c>
      <c r="W29" s="24">
        <f>IF(U29="","",IF(V29&lt;&gt;V28,CHAR(10)&amp;UPPER(LEFT(V29,1))&amp;MID(V29,2,20)&amp;":"&amp;CHAR(10),"")&amp;"   "&amp;IF(INDEX('ORDENES'!$AI$4:$AI$1203,U29)="","(s/t)",INDEX('ORDENES'!$AI$4:$AI$1203,U29))&amp;" · "&amp;IF(INDEX('ORDENES'!$AH$4:$AH$1203,U29)="","(sin técnico)",INDEX('ORDENES'!$AH$4:$AH$1203,U29))&amp;" · "&amp;INDEX('ORDENES'!$AU$4:$AU$1203,U29)&amp;" — "&amp;INDEX('ORDENES'!$D$4:$D$1203,U29)&amp;" ("&amp;TEXT(INDEX('ORDENES'!$M$4:$M$1203,U29),"0.#")&amp;" h)")</f>
        <v/>
      </c>
    </row>
    <row r="30">
      <c r="K30" s="24">
        <f>IF(AND(IF($B$3="(todos)",TRUE,'ORDENES'!$O26=$B$3),IF($D$3="(todos)",TRUE,'ORDENES'!$AI26=$D$3),IF($F$3="(todos)",TRUE,'ORDENES'!$AA26=$F$3),IF($H$3="(todos)",TRUE,'ORDENES'!$Z26=$H$3),'ORDENES'!$AG26=TRUE,'ORDENES'!$A26&lt;&gt;""),1,0)</f>
        <v/>
      </c>
      <c r="L30" s="24">
        <f>IF(K30=1,IFERROR(MATCH('ORDENES'!$S26,lista_dias,0),9)*1000000000+IFERROR(MATCH('ORDENES'!$AI26,lista_turnos,0),9)*10000000+IFERROR(MATCH('ORDENES'!$AH26,'TECNICOS'!$B$4:$B$19,0),99)*100000+23,9000000000000+23)</f>
        <v/>
      </c>
      <c r="M30" s="24">
        <f>IF(K30=1,SUMPRODUCT(--($L$8:$L$1207&lt;L30))+1,"")</f>
        <v/>
      </c>
      <c r="N30" s="25">
        <f>IF(K30=1,N('ORDENES'!$M26),0)</f>
        <v/>
      </c>
      <c r="O30" s="25">
        <f>IF('ORDENES'!$U26="preventiva",N30,0)</f>
        <v/>
      </c>
      <c r="P30" s="25">
        <f>IF('ORDENES'!$U26="correctiva",N30,0)</f>
        <v/>
      </c>
      <c r="Q30" s="24">
        <f>IF(AND(K30=1,'ORDENES'!$N26="Pendiente"),1,0)</f>
        <v/>
      </c>
      <c r="R30" s="24">
        <f>IF(Q30=1,100000-N30*1000+23*0.01,9000000000000+23)</f>
        <v/>
      </c>
      <c r="S30" s="24">
        <f>IF(Q30=1,SUMPRODUCT(--($R$8:$R$1207&lt;R30))+1,"")</f>
        <v/>
      </c>
      <c r="T30" s="30">
        <f>IF(K30=1,'ORDENES'!$J26,"")</f>
        <v/>
      </c>
      <c r="U30" s="24">
        <f>IFERROR(MATCH(23,$M$8:$M$1207,0),"")</f>
        <v/>
      </c>
      <c r="V30" s="24">
        <f>IF(U30="","",INDEX('ORDENES'!$S$4:$S$1203,U30))</f>
        <v/>
      </c>
      <c r="W30" s="24">
        <f>IF(U30="","",IF(V30&lt;&gt;V29,CHAR(10)&amp;UPPER(LEFT(V30,1))&amp;MID(V30,2,20)&amp;":"&amp;CHAR(10),"")&amp;"   "&amp;IF(INDEX('ORDENES'!$AI$4:$AI$1203,U30)="","(s/t)",INDEX('ORDENES'!$AI$4:$AI$1203,U30))&amp;" · "&amp;IF(INDEX('ORDENES'!$AH$4:$AH$1203,U30)="","(sin técnico)",INDEX('ORDENES'!$AH$4:$AH$1203,U30))&amp;" · "&amp;INDEX('ORDENES'!$AU$4:$AU$1203,U30)&amp;" — "&amp;INDEX('ORDENES'!$D$4:$D$1203,U30)&amp;" ("&amp;TEXT(INDEX('ORDENES'!$M$4:$M$1203,U30),"0.#")&amp;" h)")</f>
        <v/>
      </c>
    </row>
    <row r="31">
      <c r="K31" s="24">
        <f>IF(AND(IF($B$3="(todos)",TRUE,'ORDENES'!$O27=$B$3),IF($D$3="(todos)",TRUE,'ORDENES'!$AI27=$D$3),IF($F$3="(todos)",TRUE,'ORDENES'!$AA27=$F$3),IF($H$3="(todos)",TRUE,'ORDENES'!$Z27=$H$3),'ORDENES'!$AG27=TRUE,'ORDENES'!$A27&lt;&gt;""),1,0)</f>
        <v/>
      </c>
      <c r="L31" s="24">
        <f>IF(K31=1,IFERROR(MATCH('ORDENES'!$S27,lista_dias,0),9)*1000000000+IFERROR(MATCH('ORDENES'!$AI27,lista_turnos,0),9)*10000000+IFERROR(MATCH('ORDENES'!$AH27,'TECNICOS'!$B$4:$B$19,0),99)*100000+24,9000000000000+24)</f>
        <v/>
      </c>
      <c r="M31" s="24">
        <f>IF(K31=1,SUMPRODUCT(--($L$8:$L$1207&lt;L31))+1,"")</f>
        <v/>
      </c>
      <c r="N31" s="25">
        <f>IF(K31=1,N('ORDENES'!$M27),0)</f>
        <v/>
      </c>
      <c r="O31" s="25">
        <f>IF('ORDENES'!$U27="preventiva",N31,0)</f>
        <v/>
      </c>
      <c r="P31" s="25">
        <f>IF('ORDENES'!$U27="correctiva",N31,0)</f>
        <v/>
      </c>
      <c r="Q31" s="24">
        <f>IF(AND(K31=1,'ORDENES'!$N27="Pendiente"),1,0)</f>
        <v/>
      </c>
      <c r="R31" s="24">
        <f>IF(Q31=1,100000-N31*1000+24*0.01,9000000000000+24)</f>
        <v/>
      </c>
      <c r="S31" s="24">
        <f>IF(Q31=1,SUMPRODUCT(--($R$8:$R$1207&lt;R31))+1,"")</f>
        <v/>
      </c>
      <c r="T31" s="30">
        <f>IF(K31=1,'ORDENES'!$J27,"")</f>
        <v/>
      </c>
      <c r="U31" s="24">
        <f>IFERROR(MATCH(24,$M$8:$M$1207,0),"")</f>
        <v/>
      </c>
      <c r="V31" s="24">
        <f>IF(U31="","",INDEX('ORDENES'!$S$4:$S$1203,U31))</f>
        <v/>
      </c>
      <c r="W31" s="24">
        <f>IF(U31="","",IF(V31&lt;&gt;V30,CHAR(10)&amp;UPPER(LEFT(V31,1))&amp;MID(V31,2,20)&amp;":"&amp;CHAR(10),"")&amp;"   "&amp;IF(INDEX('ORDENES'!$AI$4:$AI$1203,U31)="","(s/t)",INDEX('ORDENES'!$AI$4:$AI$1203,U31))&amp;" · "&amp;IF(INDEX('ORDENES'!$AH$4:$AH$1203,U31)="","(sin técnico)",INDEX('ORDENES'!$AH$4:$AH$1203,U31))&amp;" · "&amp;INDEX('ORDENES'!$AU$4:$AU$1203,U31)&amp;" — "&amp;INDEX('ORDENES'!$D$4:$D$1203,U31)&amp;" ("&amp;TEXT(INDEX('ORDENES'!$M$4:$M$1203,U31),"0.#")&amp;" h)")</f>
        <v/>
      </c>
    </row>
    <row r="32">
      <c r="K32" s="24">
        <f>IF(AND(IF($B$3="(todos)",TRUE,'ORDENES'!$O28=$B$3),IF($D$3="(todos)",TRUE,'ORDENES'!$AI28=$D$3),IF($F$3="(todos)",TRUE,'ORDENES'!$AA28=$F$3),IF($H$3="(todos)",TRUE,'ORDENES'!$Z28=$H$3),'ORDENES'!$AG28=TRUE,'ORDENES'!$A28&lt;&gt;""),1,0)</f>
        <v/>
      </c>
      <c r="L32" s="24">
        <f>IF(K32=1,IFERROR(MATCH('ORDENES'!$S28,lista_dias,0),9)*1000000000+IFERROR(MATCH('ORDENES'!$AI28,lista_turnos,0),9)*10000000+IFERROR(MATCH('ORDENES'!$AH28,'TECNICOS'!$B$4:$B$19,0),99)*100000+25,9000000000000+25)</f>
        <v/>
      </c>
      <c r="M32" s="24">
        <f>IF(K32=1,SUMPRODUCT(--($L$8:$L$1207&lt;L32))+1,"")</f>
        <v/>
      </c>
      <c r="N32" s="25">
        <f>IF(K32=1,N('ORDENES'!$M28),0)</f>
        <v/>
      </c>
      <c r="O32" s="25">
        <f>IF('ORDENES'!$U28="preventiva",N32,0)</f>
        <v/>
      </c>
      <c r="P32" s="25">
        <f>IF('ORDENES'!$U28="correctiva",N32,0)</f>
        <v/>
      </c>
      <c r="Q32" s="24">
        <f>IF(AND(K32=1,'ORDENES'!$N28="Pendiente"),1,0)</f>
        <v/>
      </c>
      <c r="R32" s="24">
        <f>IF(Q32=1,100000-N32*1000+25*0.01,9000000000000+25)</f>
        <v/>
      </c>
      <c r="S32" s="24">
        <f>IF(Q32=1,SUMPRODUCT(--($R$8:$R$1207&lt;R32))+1,"")</f>
        <v/>
      </c>
      <c r="T32" s="30">
        <f>IF(K32=1,'ORDENES'!$J28,"")</f>
        <v/>
      </c>
      <c r="U32" s="24">
        <f>IFERROR(MATCH(25,$M$8:$M$1207,0),"")</f>
        <v/>
      </c>
      <c r="V32" s="24">
        <f>IF(U32="","",INDEX('ORDENES'!$S$4:$S$1203,U32))</f>
        <v/>
      </c>
      <c r="W32" s="24">
        <f>IF(U32="","",IF(V32&lt;&gt;V31,CHAR(10)&amp;UPPER(LEFT(V32,1))&amp;MID(V32,2,20)&amp;":"&amp;CHAR(10),"")&amp;"   "&amp;IF(INDEX('ORDENES'!$AI$4:$AI$1203,U32)="","(s/t)",INDEX('ORDENES'!$AI$4:$AI$1203,U32))&amp;" · "&amp;IF(INDEX('ORDENES'!$AH$4:$AH$1203,U32)="","(sin técnico)",INDEX('ORDENES'!$AH$4:$AH$1203,U32))&amp;" · "&amp;INDEX('ORDENES'!$AU$4:$AU$1203,U32)&amp;" — "&amp;INDEX('ORDENES'!$D$4:$D$1203,U32)&amp;" ("&amp;TEXT(INDEX('ORDENES'!$M$4:$M$1203,U32),"0.#")&amp;" h)")</f>
        <v/>
      </c>
    </row>
    <row r="33">
      <c r="K33" s="24">
        <f>IF(AND(IF($B$3="(todos)",TRUE,'ORDENES'!$O29=$B$3),IF($D$3="(todos)",TRUE,'ORDENES'!$AI29=$D$3),IF($F$3="(todos)",TRUE,'ORDENES'!$AA29=$F$3),IF($H$3="(todos)",TRUE,'ORDENES'!$Z29=$H$3),'ORDENES'!$AG29=TRUE,'ORDENES'!$A29&lt;&gt;""),1,0)</f>
        <v/>
      </c>
      <c r="L33" s="24">
        <f>IF(K33=1,IFERROR(MATCH('ORDENES'!$S29,lista_dias,0),9)*1000000000+IFERROR(MATCH('ORDENES'!$AI29,lista_turnos,0),9)*10000000+IFERROR(MATCH('ORDENES'!$AH29,'TECNICOS'!$B$4:$B$19,0),99)*100000+26,9000000000000+26)</f>
        <v/>
      </c>
      <c r="M33" s="24">
        <f>IF(K33=1,SUMPRODUCT(--($L$8:$L$1207&lt;L33))+1,"")</f>
        <v/>
      </c>
      <c r="N33" s="25">
        <f>IF(K33=1,N('ORDENES'!$M29),0)</f>
        <v/>
      </c>
      <c r="O33" s="25">
        <f>IF('ORDENES'!$U29="preventiva",N33,0)</f>
        <v/>
      </c>
      <c r="P33" s="25">
        <f>IF('ORDENES'!$U29="correctiva",N33,0)</f>
        <v/>
      </c>
      <c r="Q33" s="24">
        <f>IF(AND(K33=1,'ORDENES'!$N29="Pendiente"),1,0)</f>
        <v/>
      </c>
      <c r="R33" s="24">
        <f>IF(Q33=1,100000-N33*1000+26*0.01,9000000000000+26)</f>
        <v/>
      </c>
      <c r="S33" s="24">
        <f>IF(Q33=1,SUMPRODUCT(--($R$8:$R$1207&lt;R33))+1,"")</f>
        <v/>
      </c>
      <c r="T33" s="30">
        <f>IF(K33=1,'ORDENES'!$J29,"")</f>
        <v/>
      </c>
      <c r="U33" s="24">
        <f>IFERROR(MATCH(26,$M$8:$M$1207,0),"")</f>
        <v/>
      </c>
      <c r="V33" s="24">
        <f>IF(U33="","",INDEX('ORDENES'!$S$4:$S$1203,U33))</f>
        <v/>
      </c>
      <c r="W33" s="24">
        <f>IF(U33="","",IF(V33&lt;&gt;V32,CHAR(10)&amp;UPPER(LEFT(V33,1))&amp;MID(V33,2,20)&amp;":"&amp;CHAR(10),"")&amp;"   "&amp;IF(INDEX('ORDENES'!$AI$4:$AI$1203,U33)="","(s/t)",INDEX('ORDENES'!$AI$4:$AI$1203,U33))&amp;" · "&amp;IF(INDEX('ORDENES'!$AH$4:$AH$1203,U33)="","(sin técnico)",INDEX('ORDENES'!$AH$4:$AH$1203,U33))&amp;" · "&amp;INDEX('ORDENES'!$AU$4:$AU$1203,U33)&amp;" — "&amp;INDEX('ORDENES'!$D$4:$D$1203,U33)&amp;" ("&amp;TEXT(INDEX('ORDENES'!$M$4:$M$1203,U33),"0.#")&amp;" h)")</f>
        <v/>
      </c>
    </row>
    <row r="34">
      <c r="K34" s="24">
        <f>IF(AND(IF($B$3="(todos)",TRUE,'ORDENES'!$O30=$B$3),IF($D$3="(todos)",TRUE,'ORDENES'!$AI30=$D$3),IF($F$3="(todos)",TRUE,'ORDENES'!$AA30=$F$3),IF($H$3="(todos)",TRUE,'ORDENES'!$Z30=$H$3),'ORDENES'!$AG30=TRUE,'ORDENES'!$A30&lt;&gt;""),1,0)</f>
        <v/>
      </c>
      <c r="L34" s="24">
        <f>IF(K34=1,IFERROR(MATCH('ORDENES'!$S30,lista_dias,0),9)*1000000000+IFERROR(MATCH('ORDENES'!$AI30,lista_turnos,0),9)*10000000+IFERROR(MATCH('ORDENES'!$AH30,'TECNICOS'!$B$4:$B$19,0),99)*100000+27,9000000000000+27)</f>
        <v/>
      </c>
      <c r="M34" s="24">
        <f>IF(K34=1,SUMPRODUCT(--($L$8:$L$1207&lt;L34))+1,"")</f>
        <v/>
      </c>
      <c r="N34" s="25">
        <f>IF(K34=1,N('ORDENES'!$M30),0)</f>
        <v/>
      </c>
      <c r="O34" s="25">
        <f>IF('ORDENES'!$U30="preventiva",N34,0)</f>
        <v/>
      </c>
      <c r="P34" s="25">
        <f>IF('ORDENES'!$U30="correctiva",N34,0)</f>
        <v/>
      </c>
      <c r="Q34" s="24">
        <f>IF(AND(K34=1,'ORDENES'!$N30="Pendiente"),1,0)</f>
        <v/>
      </c>
      <c r="R34" s="24">
        <f>IF(Q34=1,100000-N34*1000+27*0.01,9000000000000+27)</f>
        <v/>
      </c>
      <c r="S34" s="24">
        <f>IF(Q34=1,SUMPRODUCT(--($R$8:$R$1207&lt;R34))+1,"")</f>
        <v/>
      </c>
      <c r="T34" s="30">
        <f>IF(K34=1,'ORDENES'!$J30,"")</f>
        <v/>
      </c>
      <c r="U34" s="24">
        <f>IFERROR(MATCH(27,$M$8:$M$1207,0),"")</f>
        <v/>
      </c>
      <c r="V34" s="24">
        <f>IF(U34="","",INDEX('ORDENES'!$S$4:$S$1203,U34))</f>
        <v/>
      </c>
      <c r="W34" s="24">
        <f>IF(U34="","",IF(V34&lt;&gt;V33,CHAR(10)&amp;UPPER(LEFT(V34,1))&amp;MID(V34,2,20)&amp;":"&amp;CHAR(10),"")&amp;"   "&amp;IF(INDEX('ORDENES'!$AI$4:$AI$1203,U34)="","(s/t)",INDEX('ORDENES'!$AI$4:$AI$1203,U34))&amp;" · "&amp;IF(INDEX('ORDENES'!$AH$4:$AH$1203,U34)="","(sin técnico)",INDEX('ORDENES'!$AH$4:$AH$1203,U34))&amp;" · "&amp;INDEX('ORDENES'!$AU$4:$AU$1203,U34)&amp;" — "&amp;INDEX('ORDENES'!$D$4:$D$1203,U34)&amp;" ("&amp;TEXT(INDEX('ORDENES'!$M$4:$M$1203,U34),"0.#")&amp;" h)")</f>
        <v/>
      </c>
    </row>
    <row r="35">
      <c r="K35" s="24">
        <f>IF(AND(IF($B$3="(todos)",TRUE,'ORDENES'!$O31=$B$3),IF($D$3="(todos)",TRUE,'ORDENES'!$AI31=$D$3),IF($F$3="(todos)",TRUE,'ORDENES'!$AA31=$F$3),IF($H$3="(todos)",TRUE,'ORDENES'!$Z31=$H$3),'ORDENES'!$AG31=TRUE,'ORDENES'!$A31&lt;&gt;""),1,0)</f>
        <v/>
      </c>
      <c r="L35" s="24">
        <f>IF(K35=1,IFERROR(MATCH('ORDENES'!$S31,lista_dias,0),9)*1000000000+IFERROR(MATCH('ORDENES'!$AI31,lista_turnos,0),9)*10000000+IFERROR(MATCH('ORDENES'!$AH31,'TECNICOS'!$B$4:$B$19,0),99)*100000+28,9000000000000+28)</f>
        <v/>
      </c>
      <c r="M35" s="24">
        <f>IF(K35=1,SUMPRODUCT(--($L$8:$L$1207&lt;L35))+1,"")</f>
        <v/>
      </c>
      <c r="N35" s="25">
        <f>IF(K35=1,N('ORDENES'!$M31),0)</f>
        <v/>
      </c>
      <c r="O35" s="25">
        <f>IF('ORDENES'!$U31="preventiva",N35,0)</f>
        <v/>
      </c>
      <c r="P35" s="25">
        <f>IF('ORDENES'!$U31="correctiva",N35,0)</f>
        <v/>
      </c>
      <c r="Q35" s="24">
        <f>IF(AND(K35=1,'ORDENES'!$N31="Pendiente"),1,0)</f>
        <v/>
      </c>
      <c r="R35" s="24">
        <f>IF(Q35=1,100000-N35*1000+28*0.01,9000000000000+28)</f>
        <v/>
      </c>
      <c r="S35" s="24">
        <f>IF(Q35=1,SUMPRODUCT(--($R$8:$R$1207&lt;R35))+1,"")</f>
        <v/>
      </c>
      <c r="T35" s="30">
        <f>IF(K35=1,'ORDENES'!$J31,"")</f>
        <v/>
      </c>
      <c r="U35" s="24">
        <f>IFERROR(MATCH(28,$M$8:$M$1207,0),"")</f>
        <v/>
      </c>
      <c r="V35" s="24">
        <f>IF(U35="","",INDEX('ORDENES'!$S$4:$S$1203,U35))</f>
        <v/>
      </c>
      <c r="W35" s="24">
        <f>IF(U35="","",IF(V35&lt;&gt;V34,CHAR(10)&amp;UPPER(LEFT(V35,1))&amp;MID(V35,2,20)&amp;":"&amp;CHAR(10),"")&amp;"   "&amp;IF(INDEX('ORDENES'!$AI$4:$AI$1203,U35)="","(s/t)",INDEX('ORDENES'!$AI$4:$AI$1203,U35))&amp;" · "&amp;IF(INDEX('ORDENES'!$AH$4:$AH$1203,U35)="","(sin técnico)",INDEX('ORDENES'!$AH$4:$AH$1203,U35))&amp;" · "&amp;INDEX('ORDENES'!$AU$4:$AU$1203,U35)&amp;" — "&amp;INDEX('ORDENES'!$D$4:$D$1203,U35)&amp;" ("&amp;TEXT(INDEX('ORDENES'!$M$4:$M$1203,U35),"0.#")&amp;" h)")</f>
        <v/>
      </c>
    </row>
    <row r="36">
      <c r="K36" s="24">
        <f>IF(AND(IF($B$3="(todos)",TRUE,'ORDENES'!$O32=$B$3),IF($D$3="(todos)",TRUE,'ORDENES'!$AI32=$D$3),IF($F$3="(todos)",TRUE,'ORDENES'!$AA32=$F$3),IF($H$3="(todos)",TRUE,'ORDENES'!$Z32=$H$3),'ORDENES'!$AG32=TRUE,'ORDENES'!$A32&lt;&gt;""),1,0)</f>
        <v/>
      </c>
      <c r="L36" s="24">
        <f>IF(K36=1,IFERROR(MATCH('ORDENES'!$S32,lista_dias,0),9)*1000000000+IFERROR(MATCH('ORDENES'!$AI32,lista_turnos,0),9)*10000000+IFERROR(MATCH('ORDENES'!$AH32,'TECNICOS'!$B$4:$B$19,0),99)*100000+29,9000000000000+29)</f>
        <v/>
      </c>
      <c r="M36" s="24">
        <f>IF(K36=1,SUMPRODUCT(--($L$8:$L$1207&lt;L36))+1,"")</f>
        <v/>
      </c>
      <c r="N36" s="25">
        <f>IF(K36=1,N('ORDENES'!$M32),0)</f>
        <v/>
      </c>
      <c r="O36" s="25">
        <f>IF('ORDENES'!$U32="preventiva",N36,0)</f>
        <v/>
      </c>
      <c r="P36" s="25">
        <f>IF('ORDENES'!$U32="correctiva",N36,0)</f>
        <v/>
      </c>
      <c r="Q36" s="24">
        <f>IF(AND(K36=1,'ORDENES'!$N32="Pendiente"),1,0)</f>
        <v/>
      </c>
      <c r="R36" s="24">
        <f>IF(Q36=1,100000-N36*1000+29*0.01,9000000000000+29)</f>
        <v/>
      </c>
      <c r="S36" s="24">
        <f>IF(Q36=1,SUMPRODUCT(--($R$8:$R$1207&lt;R36))+1,"")</f>
        <v/>
      </c>
      <c r="T36" s="30">
        <f>IF(K36=1,'ORDENES'!$J32,"")</f>
        <v/>
      </c>
      <c r="U36" s="24">
        <f>IFERROR(MATCH(29,$M$8:$M$1207,0),"")</f>
        <v/>
      </c>
      <c r="V36" s="24">
        <f>IF(U36="","",INDEX('ORDENES'!$S$4:$S$1203,U36))</f>
        <v/>
      </c>
      <c r="W36" s="24">
        <f>IF(U36="","",IF(V36&lt;&gt;V35,CHAR(10)&amp;UPPER(LEFT(V36,1))&amp;MID(V36,2,20)&amp;":"&amp;CHAR(10),"")&amp;"   "&amp;IF(INDEX('ORDENES'!$AI$4:$AI$1203,U36)="","(s/t)",INDEX('ORDENES'!$AI$4:$AI$1203,U36))&amp;" · "&amp;IF(INDEX('ORDENES'!$AH$4:$AH$1203,U36)="","(sin técnico)",INDEX('ORDENES'!$AH$4:$AH$1203,U36))&amp;" · "&amp;INDEX('ORDENES'!$AU$4:$AU$1203,U36)&amp;" — "&amp;INDEX('ORDENES'!$D$4:$D$1203,U36)&amp;" ("&amp;TEXT(INDEX('ORDENES'!$M$4:$M$1203,U36),"0.#")&amp;" h)")</f>
        <v/>
      </c>
    </row>
    <row r="37">
      <c r="K37" s="24">
        <f>IF(AND(IF($B$3="(todos)",TRUE,'ORDENES'!$O33=$B$3),IF($D$3="(todos)",TRUE,'ORDENES'!$AI33=$D$3),IF($F$3="(todos)",TRUE,'ORDENES'!$AA33=$F$3),IF($H$3="(todos)",TRUE,'ORDENES'!$Z33=$H$3),'ORDENES'!$AG33=TRUE,'ORDENES'!$A33&lt;&gt;""),1,0)</f>
        <v/>
      </c>
      <c r="L37" s="24">
        <f>IF(K37=1,IFERROR(MATCH('ORDENES'!$S33,lista_dias,0),9)*1000000000+IFERROR(MATCH('ORDENES'!$AI33,lista_turnos,0),9)*10000000+IFERROR(MATCH('ORDENES'!$AH33,'TECNICOS'!$B$4:$B$19,0),99)*100000+30,9000000000000+30)</f>
        <v/>
      </c>
      <c r="M37" s="24">
        <f>IF(K37=1,SUMPRODUCT(--($L$8:$L$1207&lt;L37))+1,"")</f>
        <v/>
      </c>
      <c r="N37" s="25">
        <f>IF(K37=1,N('ORDENES'!$M33),0)</f>
        <v/>
      </c>
      <c r="O37" s="25">
        <f>IF('ORDENES'!$U33="preventiva",N37,0)</f>
        <v/>
      </c>
      <c r="P37" s="25">
        <f>IF('ORDENES'!$U33="correctiva",N37,0)</f>
        <v/>
      </c>
      <c r="Q37" s="24">
        <f>IF(AND(K37=1,'ORDENES'!$N33="Pendiente"),1,0)</f>
        <v/>
      </c>
      <c r="R37" s="24">
        <f>IF(Q37=1,100000-N37*1000+30*0.01,9000000000000+30)</f>
        <v/>
      </c>
      <c r="S37" s="24">
        <f>IF(Q37=1,SUMPRODUCT(--($R$8:$R$1207&lt;R37))+1,"")</f>
        <v/>
      </c>
      <c r="T37" s="30">
        <f>IF(K37=1,'ORDENES'!$J33,"")</f>
        <v/>
      </c>
      <c r="U37" s="24">
        <f>IFERROR(MATCH(30,$M$8:$M$1207,0),"")</f>
        <v/>
      </c>
      <c r="V37" s="24">
        <f>IF(U37="","",INDEX('ORDENES'!$S$4:$S$1203,U37))</f>
        <v/>
      </c>
      <c r="W37" s="24">
        <f>IF(U37="","",IF(V37&lt;&gt;V36,CHAR(10)&amp;UPPER(LEFT(V37,1))&amp;MID(V37,2,20)&amp;":"&amp;CHAR(10),"")&amp;"   "&amp;IF(INDEX('ORDENES'!$AI$4:$AI$1203,U37)="","(s/t)",INDEX('ORDENES'!$AI$4:$AI$1203,U37))&amp;" · "&amp;IF(INDEX('ORDENES'!$AH$4:$AH$1203,U37)="","(sin técnico)",INDEX('ORDENES'!$AH$4:$AH$1203,U37))&amp;" · "&amp;INDEX('ORDENES'!$AU$4:$AU$1203,U37)&amp;" — "&amp;INDEX('ORDENES'!$D$4:$D$1203,U37)&amp;" ("&amp;TEXT(INDEX('ORDENES'!$M$4:$M$1203,U37),"0.#")&amp;" h)")</f>
        <v/>
      </c>
    </row>
    <row r="38">
      <c r="K38" s="24">
        <f>IF(AND(IF($B$3="(todos)",TRUE,'ORDENES'!$O34=$B$3),IF($D$3="(todos)",TRUE,'ORDENES'!$AI34=$D$3),IF($F$3="(todos)",TRUE,'ORDENES'!$AA34=$F$3),IF($H$3="(todos)",TRUE,'ORDENES'!$Z34=$H$3),'ORDENES'!$AG34=TRUE,'ORDENES'!$A34&lt;&gt;""),1,0)</f>
        <v/>
      </c>
      <c r="L38" s="24">
        <f>IF(K38=1,IFERROR(MATCH('ORDENES'!$S34,lista_dias,0),9)*1000000000+IFERROR(MATCH('ORDENES'!$AI34,lista_turnos,0),9)*10000000+IFERROR(MATCH('ORDENES'!$AH34,'TECNICOS'!$B$4:$B$19,0),99)*100000+31,9000000000000+31)</f>
        <v/>
      </c>
      <c r="M38" s="24">
        <f>IF(K38=1,SUMPRODUCT(--($L$8:$L$1207&lt;L38))+1,"")</f>
        <v/>
      </c>
      <c r="N38" s="25">
        <f>IF(K38=1,N('ORDENES'!$M34),0)</f>
        <v/>
      </c>
      <c r="O38" s="25">
        <f>IF('ORDENES'!$U34="preventiva",N38,0)</f>
        <v/>
      </c>
      <c r="P38" s="25">
        <f>IF('ORDENES'!$U34="correctiva",N38,0)</f>
        <v/>
      </c>
      <c r="Q38" s="24">
        <f>IF(AND(K38=1,'ORDENES'!$N34="Pendiente"),1,0)</f>
        <v/>
      </c>
      <c r="R38" s="24">
        <f>IF(Q38=1,100000-N38*1000+31*0.01,9000000000000+31)</f>
        <v/>
      </c>
      <c r="S38" s="24">
        <f>IF(Q38=1,SUMPRODUCT(--($R$8:$R$1207&lt;R38))+1,"")</f>
        <v/>
      </c>
      <c r="T38" s="30">
        <f>IF(K38=1,'ORDENES'!$J34,"")</f>
        <v/>
      </c>
      <c r="U38" s="24">
        <f>IFERROR(MATCH(31,$M$8:$M$1207,0),"")</f>
        <v/>
      </c>
      <c r="V38" s="24">
        <f>IF(U38="","",INDEX('ORDENES'!$S$4:$S$1203,U38))</f>
        <v/>
      </c>
      <c r="W38" s="24">
        <f>IF(U38="","",IF(V38&lt;&gt;V37,CHAR(10)&amp;UPPER(LEFT(V38,1))&amp;MID(V38,2,20)&amp;":"&amp;CHAR(10),"")&amp;"   "&amp;IF(INDEX('ORDENES'!$AI$4:$AI$1203,U38)="","(s/t)",INDEX('ORDENES'!$AI$4:$AI$1203,U38))&amp;" · "&amp;IF(INDEX('ORDENES'!$AH$4:$AH$1203,U38)="","(sin técnico)",INDEX('ORDENES'!$AH$4:$AH$1203,U38))&amp;" · "&amp;INDEX('ORDENES'!$AU$4:$AU$1203,U38)&amp;" — "&amp;INDEX('ORDENES'!$D$4:$D$1203,U38)&amp;" ("&amp;TEXT(INDEX('ORDENES'!$M$4:$M$1203,U38),"0.#")&amp;" h)")</f>
        <v/>
      </c>
    </row>
    <row r="39">
      <c r="K39" s="24">
        <f>IF(AND(IF($B$3="(todos)",TRUE,'ORDENES'!$O35=$B$3),IF($D$3="(todos)",TRUE,'ORDENES'!$AI35=$D$3),IF($F$3="(todos)",TRUE,'ORDENES'!$AA35=$F$3),IF($H$3="(todos)",TRUE,'ORDENES'!$Z35=$H$3),'ORDENES'!$AG35=TRUE,'ORDENES'!$A35&lt;&gt;""),1,0)</f>
        <v/>
      </c>
      <c r="L39" s="24">
        <f>IF(K39=1,IFERROR(MATCH('ORDENES'!$S35,lista_dias,0),9)*1000000000+IFERROR(MATCH('ORDENES'!$AI35,lista_turnos,0),9)*10000000+IFERROR(MATCH('ORDENES'!$AH35,'TECNICOS'!$B$4:$B$19,0),99)*100000+32,9000000000000+32)</f>
        <v/>
      </c>
      <c r="M39" s="24">
        <f>IF(K39=1,SUMPRODUCT(--($L$8:$L$1207&lt;L39))+1,"")</f>
        <v/>
      </c>
      <c r="N39" s="25">
        <f>IF(K39=1,N('ORDENES'!$M35),0)</f>
        <v/>
      </c>
      <c r="O39" s="25">
        <f>IF('ORDENES'!$U35="preventiva",N39,0)</f>
        <v/>
      </c>
      <c r="P39" s="25">
        <f>IF('ORDENES'!$U35="correctiva",N39,0)</f>
        <v/>
      </c>
      <c r="Q39" s="24">
        <f>IF(AND(K39=1,'ORDENES'!$N35="Pendiente"),1,0)</f>
        <v/>
      </c>
      <c r="R39" s="24">
        <f>IF(Q39=1,100000-N39*1000+32*0.01,9000000000000+32)</f>
        <v/>
      </c>
      <c r="S39" s="24">
        <f>IF(Q39=1,SUMPRODUCT(--($R$8:$R$1207&lt;R39))+1,"")</f>
        <v/>
      </c>
      <c r="T39" s="30">
        <f>IF(K39=1,'ORDENES'!$J35,"")</f>
        <v/>
      </c>
      <c r="U39" s="24">
        <f>IFERROR(MATCH(32,$M$8:$M$1207,0),"")</f>
        <v/>
      </c>
      <c r="V39" s="24">
        <f>IF(U39="","",INDEX('ORDENES'!$S$4:$S$1203,U39))</f>
        <v/>
      </c>
      <c r="W39" s="24">
        <f>IF(U39="","",IF(V39&lt;&gt;V38,CHAR(10)&amp;UPPER(LEFT(V39,1))&amp;MID(V39,2,20)&amp;":"&amp;CHAR(10),"")&amp;"   "&amp;IF(INDEX('ORDENES'!$AI$4:$AI$1203,U39)="","(s/t)",INDEX('ORDENES'!$AI$4:$AI$1203,U39))&amp;" · "&amp;IF(INDEX('ORDENES'!$AH$4:$AH$1203,U39)="","(sin técnico)",INDEX('ORDENES'!$AH$4:$AH$1203,U39))&amp;" · "&amp;INDEX('ORDENES'!$AU$4:$AU$1203,U39)&amp;" — "&amp;INDEX('ORDENES'!$D$4:$D$1203,U39)&amp;" ("&amp;TEXT(INDEX('ORDENES'!$M$4:$M$1203,U39),"0.#")&amp;" h)")</f>
        <v/>
      </c>
    </row>
    <row r="40">
      <c r="K40" s="24">
        <f>IF(AND(IF($B$3="(todos)",TRUE,'ORDENES'!$O36=$B$3),IF($D$3="(todos)",TRUE,'ORDENES'!$AI36=$D$3),IF($F$3="(todos)",TRUE,'ORDENES'!$AA36=$F$3),IF($H$3="(todos)",TRUE,'ORDENES'!$Z36=$H$3),'ORDENES'!$AG36=TRUE,'ORDENES'!$A36&lt;&gt;""),1,0)</f>
        <v/>
      </c>
      <c r="L40" s="24">
        <f>IF(K40=1,IFERROR(MATCH('ORDENES'!$S36,lista_dias,0),9)*1000000000+IFERROR(MATCH('ORDENES'!$AI36,lista_turnos,0),9)*10000000+IFERROR(MATCH('ORDENES'!$AH36,'TECNICOS'!$B$4:$B$19,0),99)*100000+33,9000000000000+33)</f>
        <v/>
      </c>
      <c r="M40" s="24">
        <f>IF(K40=1,SUMPRODUCT(--($L$8:$L$1207&lt;L40))+1,"")</f>
        <v/>
      </c>
      <c r="N40" s="25">
        <f>IF(K40=1,N('ORDENES'!$M36),0)</f>
        <v/>
      </c>
      <c r="O40" s="25">
        <f>IF('ORDENES'!$U36="preventiva",N40,0)</f>
        <v/>
      </c>
      <c r="P40" s="25">
        <f>IF('ORDENES'!$U36="correctiva",N40,0)</f>
        <v/>
      </c>
      <c r="Q40" s="24">
        <f>IF(AND(K40=1,'ORDENES'!$N36="Pendiente"),1,0)</f>
        <v/>
      </c>
      <c r="R40" s="24">
        <f>IF(Q40=1,100000-N40*1000+33*0.01,9000000000000+33)</f>
        <v/>
      </c>
      <c r="S40" s="24">
        <f>IF(Q40=1,SUMPRODUCT(--($R$8:$R$1207&lt;R40))+1,"")</f>
        <v/>
      </c>
      <c r="T40" s="30">
        <f>IF(K40=1,'ORDENES'!$J36,"")</f>
        <v/>
      </c>
      <c r="U40" s="24">
        <f>IFERROR(MATCH(33,$M$8:$M$1207,0),"")</f>
        <v/>
      </c>
      <c r="V40" s="24">
        <f>IF(U40="","",INDEX('ORDENES'!$S$4:$S$1203,U40))</f>
        <v/>
      </c>
      <c r="W40" s="24">
        <f>IF(U40="","",IF(V40&lt;&gt;V39,CHAR(10)&amp;UPPER(LEFT(V40,1))&amp;MID(V40,2,20)&amp;":"&amp;CHAR(10),"")&amp;"   "&amp;IF(INDEX('ORDENES'!$AI$4:$AI$1203,U40)="","(s/t)",INDEX('ORDENES'!$AI$4:$AI$1203,U40))&amp;" · "&amp;IF(INDEX('ORDENES'!$AH$4:$AH$1203,U40)="","(sin técnico)",INDEX('ORDENES'!$AH$4:$AH$1203,U40))&amp;" · "&amp;INDEX('ORDENES'!$AU$4:$AU$1203,U40)&amp;" — "&amp;INDEX('ORDENES'!$D$4:$D$1203,U40)&amp;" ("&amp;TEXT(INDEX('ORDENES'!$M$4:$M$1203,U40),"0.#")&amp;" h)")</f>
        <v/>
      </c>
    </row>
    <row r="41">
      <c r="K41" s="24">
        <f>IF(AND(IF($B$3="(todos)",TRUE,'ORDENES'!$O37=$B$3),IF($D$3="(todos)",TRUE,'ORDENES'!$AI37=$D$3),IF($F$3="(todos)",TRUE,'ORDENES'!$AA37=$F$3),IF($H$3="(todos)",TRUE,'ORDENES'!$Z37=$H$3),'ORDENES'!$AG37=TRUE,'ORDENES'!$A37&lt;&gt;""),1,0)</f>
        <v/>
      </c>
      <c r="L41" s="24">
        <f>IF(K41=1,IFERROR(MATCH('ORDENES'!$S37,lista_dias,0),9)*1000000000+IFERROR(MATCH('ORDENES'!$AI37,lista_turnos,0),9)*10000000+IFERROR(MATCH('ORDENES'!$AH37,'TECNICOS'!$B$4:$B$19,0),99)*100000+34,9000000000000+34)</f>
        <v/>
      </c>
      <c r="M41" s="24">
        <f>IF(K41=1,SUMPRODUCT(--($L$8:$L$1207&lt;L41))+1,"")</f>
        <v/>
      </c>
      <c r="N41" s="25">
        <f>IF(K41=1,N('ORDENES'!$M37),0)</f>
        <v/>
      </c>
      <c r="O41" s="25">
        <f>IF('ORDENES'!$U37="preventiva",N41,0)</f>
        <v/>
      </c>
      <c r="P41" s="25">
        <f>IF('ORDENES'!$U37="correctiva",N41,0)</f>
        <v/>
      </c>
      <c r="Q41" s="24">
        <f>IF(AND(K41=1,'ORDENES'!$N37="Pendiente"),1,0)</f>
        <v/>
      </c>
      <c r="R41" s="24">
        <f>IF(Q41=1,100000-N41*1000+34*0.01,9000000000000+34)</f>
        <v/>
      </c>
      <c r="S41" s="24">
        <f>IF(Q41=1,SUMPRODUCT(--($R$8:$R$1207&lt;R41))+1,"")</f>
        <v/>
      </c>
      <c r="T41" s="30">
        <f>IF(K41=1,'ORDENES'!$J37,"")</f>
        <v/>
      </c>
      <c r="U41" s="24">
        <f>IFERROR(MATCH(34,$M$8:$M$1207,0),"")</f>
        <v/>
      </c>
      <c r="V41" s="24">
        <f>IF(U41="","",INDEX('ORDENES'!$S$4:$S$1203,U41))</f>
        <v/>
      </c>
      <c r="W41" s="24">
        <f>IF(U41="","",IF(V41&lt;&gt;V40,CHAR(10)&amp;UPPER(LEFT(V41,1))&amp;MID(V41,2,20)&amp;":"&amp;CHAR(10),"")&amp;"   "&amp;IF(INDEX('ORDENES'!$AI$4:$AI$1203,U41)="","(s/t)",INDEX('ORDENES'!$AI$4:$AI$1203,U41))&amp;" · "&amp;IF(INDEX('ORDENES'!$AH$4:$AH$1203,U41)="","(sin técnico)",INDEX('ORDENES'!$AH$4:$AH$1203,U41))&amp;" · "&amp;INDEX('ORDENES'!$AU$4:$AU$1203,U41)&amp;" — "&amp;INDEX('ORDENES'!$D$4:$D$1203,U41)&amp;" ("&amp;TEXT(INDEX('ORDENES'!$M$4:$M$1203,U41),"0.#")&amp;" h)")</f>
        <v/>
      </c>
    </row>
    <row r="42">
      <c r="K42" s="24">
        <f>IF(AND(IF($B$3="(todos)",TRUE,'ORDENES'!$O38=$B$3),IF($D$3="(todos)",TRUE,'ORDENES'!$AI38=$D$3),IF($F$3="(todos)",TRUE,'ORDENES'!$AA38=$F$3),IF($H$3="(todos)",TRUE,'ORDENES'!$Z38=$H$3),'ORDENES'!$AG38=TRUE,'ORDENES'!$A38&lt;&gt;""),1,0)</f>
        <v/>
      </c>
      <c r="L42" s="24">
        <f>IF(K42=1,IFERROR(MATCH('ORDENES'!$S38,lista_dias,0),9)*1000000000+IFERROR(MATCH('ORDENES'!$AI38,lista_turnos,0),9)*10000000+IFERROR(MATCH('ORDENES'!$AH38,'TECNICOS'!$B$4:$B$19,0),99)*100000+35,9000000000000+35)</f>
        <v/>
      </c>
      <c r="M42" s="24">
        <f>IF(K42=1,SUMPRODUCT(--($L$8:$L$1207&lt;L42))+1,"")</f>
        <v/>
      </c>
      <c r="N42" s="25">
        <f>IF(K42=1,N('ORDENES'!$M38),0)</f>
        <v/>
      </c>
      <c r="O42" s="25">
        <f>IF('ORDENES'!$U38="preventiva",N42,0)</f>
        <v/>
      </c>
      <c r="P42" s="25">
        <f>IF('ORDENES'!$U38="correctiva",N42,0)</f>
        <v/>
      </c>
      <c r="Q42" s="24">
        <f>IF(AND(K42=1,'ORDENES'!$N38="Pendiente"),1,0)</f>
        <v/>
      </c>
      <c r="R42" s="24">
        <f>IF(Q42=1,100000-N42*1000+35*0.01,9000000000000+35)</f>
        <v/>
      </c>
      <c r="S42" s="24">
        <f>IF(Q42=1,SUMPRODUCT(--($R$8:$R$1207&lt;R42))+1,"")</f>
        <v/>
      </c>
      <c r="T42" s="30">
        <f>IF(K42=1,'ORDENES'!$J38,"")</f>
        <v/>
      </c>
      <c r="U42" s="24">
        <f>IFERROR(MATCH(35,$M$8:$M$1207,0),"")</f>
        <v/>
      </c>
      <c r="V42" s="24">
        <f>IF(U42="","",INDEX('ORDENES'!$S$4:$S$1203,U42))</f>
        <v/>
      </c>
      <c r="W42" s="24">
        <f>IF(U42="","",IF(V42&lt;&gt;V41,CHAR(10)&amp;UPPER(LEFT(V42,1))&amp;MID(V42,2,20)&amp;":"&amp;CHAR(10),"")&amp;"   "&amp;IF(INDEX('ORDENES'!$AI$4:$AI$1203,U42)="","(s/t)",INDEX('ORDENES'!$AI$4:$AI$1203,U42))&amp;" · "&amp;IF(INDEX('ORDENES'!$AH$4:$AH$1203,U42)="","(sin técnico)",INDEX('ORDENES'!$AH$4:$AH$1203,U42))&amp;" · "&amp;INDEX('ORDENES'!$AU$4:$AU$1203,U42)&amp;" — "&amp;INDEX('ORDENES'!$D$4:$D$1203,U42)&amp;" ("&amp;TEXT(INDEX('ORDENES'!$M$4:$M$1203,U42),"0.#")&amp;" h)")</f>
        <v/>
      </c>
    </row>
    <row r="43">
      <c r="K43" s="24">
        <f>IF(AND(IF($B$3="(todos)",TRUE,'ORDENES'!$O39=$B$3),IF($D$3="(todos)",TRUE,'ORDENES'!$AI39=$D$3),IF($F$3="(todos)",TRUE,'ORDENES'!$AA39=$F$3),IF($H$3="(todos)",TRUE,'ORDENES'!$Z39=$H$3),'ORDENES'!$AG39=TRUE,'ORDENES'!$A39&lt;&gt;""),1,0)</f>
        <v/>
      </c>
      <c r="L43" s="24">
        <f>IF(K43=1,IFERROR(MATCH('ORDENES'!$S39,lista_dias,0),9)*1000000000+IFERROR(MATCH('ORDENES'!$AI39,lista_turnos,0),9)*10000000+IFERROR(MATCH('ORDENES'!$AH39,'TECNICOS'!$B$4:$B$19,0),99)*100000+36,9000000000000+36)</f>
        <v/>
      </c>
      <c r="M43" s="24">
        <f>IF(K43=1,SUMPRODUCT(--($L$8:$L$1207&lt;L43))+1,"")</f>
        <v/>
      </c>
      <c r="N43" s="25">
        <f>IF(K43=1,N('ORDENES'!$M39),0)</f>
        <v/>
      </c>
      <c r="O43" s="25">
        <f>IF('ORDENES'!$U39="preventiva",N43,0)</f>
        <v/>
      </c>
      <c r="P43" s="25">
        <f>IF('ORDENES'!$U39="correctiva",N43,0)</f>
        <v/>
      </c>
      <c r="Q43" s="24">
        <f>IF(AND(K43=1,'ORDENES'!$N39="Pendiente"),1,0)</f>
        <v/>
      </c>
      <c r="R43" s="24">
        <f>IF(Q43=1,100000-N43*1000+36*0.01,9000000000000+36)</f>
        <v/>
      </c>
      <c r="S43" s="24">
        <f>IF(Q43=1,SUMPRODUCT(--($R$8:$R$1207&lt;R43))+1,"")</f>
        <v/>
      </c>
      <c r="T43" s="30">
        <f>IF(K43=1,'ORDENES'!$J39,"")</f>
        <v/>
      </c>
      <c r="U43" s="24">
        <f>IFERROR(MATCH(36,$M$8:$M$1207,0),"")</f>
        <v/>
      </c>
      <c r="V43" s="24">
        <f>IF(U43="","",INDEX('ORDENES'!$S$4:$S$1203,U43))</f>
        <v/>
      </c>
      <c r="W43" s="24">
        <f>IF(U43="","",IF(V43&lt;&gt;V42,CHAR(10)&amp;UPPER(LEFT(V43,1))&amp;MID(V43,2,20)&amp;":"&amp;CHAR(10),"")&amp;"   "&amp;IF(INDEX('ORDENES'!$AI$4:$AI$1203,U43)="","(s/t)",INDEX('ORDENES'!$AI$4:$AI$1203,U43))&amp;" · "&amp;IF(INDEX('ORDENES'!$AH$4:$AH$1203,U43)="","(sin técnico)",INDEX('ORDENES'!$AH$4:$AH$1203,U43))&amp;" · "&amp;INDEX('ORDENES'!$AU$4:$AU$1203,U43)&amp;" — "&amp;INDEX('ORDENES'!$D$4:$D$1203,U43)&amp;" ("&amp;TEXT(INDEX('ORDENES'!$M$4:$M$1203,U43),"0.#")&amp;" h)")</f>
        <v/>
      </c>
    </row>
    <row r="44">
      <c r="K44" s="24">
        <f>IF(AND(IF($B$3="(todos)",TRUE,'ORDENES'!$O40=$B$3),IF($D$3="(todos)",TRUE,'ORDENES'!$AI40=$D$3),IF($F$3="(todos)",TRUE,'ORDENES'!$AA40=$F$3),IF($H$3="(todos)",TRUE,'ORDENES'!$Z40=$H$3),'ORDENES'!$AG40=TRUE,'ORDENES'!$A40&lt;&gt;""),1,0)</f>
        <v/>
      </c>
      <c r="L44" s="24">
        <f>IF(K44=1,IFERROR(MATCH('ORDENES'!$S40,lista_dias,0),9)*1000000000+IFERROR(MATCH('ORDENES'!$AI40,lista_turnos,0),9)*10000000+IFERROR(MATCH('ORDENES'!$AH40,'TECNICOS'!$B$4:$B$19,0),99)*100000+37,9000000000000+37)</f>
        <v/>
      </c>
      <c r="M44" s="24">
        <f>IF(K44=1,SUMPRODUCT(--($L$8:$L$1207&lt;L44))+1,"")</f>
        <v/>
      </c>
      <c r="N44" s="25">
        <f>IF(K44=1,N('ORDENES'!$M40),0)</f>
        <v/>
      </c>
      <c r="O44" s="25">
        <f>IF('ORDENES'!$U40="preventiva",N44,0)</f>
        <v/>
      </c>
      <c r="P44" s="25">
        <f>IF('ORDENES'!$U40="correctiva",N44,0)</f>
        <v/>
      </c>
      <c r="Q44" s="24">
        <f>IF(AND(K44=1,'ORDENES'!$N40="Pendiente"),1,0)</f>
        <v/>
      </c>
      <c r="R44" s="24">
        <f>IF(Q44=1,100000-N44*1000+37*0.01,9000000000000+37)</f>
        <v/>
      </c>
      <c r="S44" s="24">
        <f>IF(Q44=1,SUMPRODUCT(--($R$8:$R$1207&lt;R44))+1,"")</f>
        <v/>
      </c>
      <c r="T44" s="30">
        <f>IF(K44=1,'ORDENES'!$J40,"")</f>
        <v/>
      </c>
      <c r="U44" s="24">
        <f>IFERROR(MATCH(37,$M$8:$M$1207,0),"")</f>
        <v/>
      </c>
      <c r="V44" s="24">
        <f>IF(U44="","",INDEX('ORDENES'!$S$4:$S$1203,U44))</f>
        <v/>
      </c>
      <c r="W44" s="24">
        <f>IF(U44="","",IF(V44&lt;&gt;V43,CHAR(10)&amp;UPPER(LEFT(V44,1))&amp;MID(V44,2,20)&amp;":"&amp;CHAR(10),"")&amp;"   "&amp;IF(INDEX('ORDENES'!$AI$4:$AI$1203,U44)="","(s/t)",INDEX('ORDENES'!$AI$4:$AI$1203,U44))&amp;" · "&amp;IF(INDEX('ORDENES'!$AH$4:$AH$1203,U44)="","(sin técnico)",INDEX('ORDENES'!$AH$4:$AH$1203,U44))&amp;" · "&amp;INDEX('ORDENES'!$AU$4:$AU$1203,U44)&amp;" — "&amp;INDEX('ORDENES'!$D$4:$D$1203,U44)&amp;" ("&amp;TEXT(INDEX('ORDENES'!$M$4:$M$1203,U44),"0.#")&amp;" h)")</f>
        <v/>
      </c>
    </row>
    <row r="45">
      <c r="K45" s="24">
        <f>IF(AND(IF($B$3="(todos)",TRUE,'ORDENES'!$O41=$B$3),IF($D$3="(todos)",TRUE,'ORDENES'!$AI41=$D$3),IF($F$3="(todos)",TRUE,'ORDENES'!$AA41=$F$3),IF($H$3="(todos)",TRUE,'ORDENES'!$Z41=$H$3),'ORDENES'!$AG41=TRUE,'ORDENES'!$A41&lt;&gt;""),1,0)</f>
        <v/>
      </c>
      <c r="L45" s="24">
        <f>IF(K45=1,IFERROR(MATCH('ORDENES'!$S41,lista_dias,0),9)*1000000000+IFERROR(MATCH('ORDENES'!$AI41,lista_turnos,0),9)*10000000+IFERROR(MATCH('ORDENES'!$AH41,'TECNICOS'!$B$4:$B$19,0),99)*100000+38,9000000000000+38)</f>
        <v/>
      </c>
      <c r="M45" s="24">
        <f>IF(K45=1,SUMPRODUCT(--($L$8:$L$1207&lt;L45))+1,"")</f>
        <v/>
      </c>
      <c r="N45" s="25">
        <f>IF(K45=1,N('ORDENES'!$M41),0)</f>
        <v/>
      </c>
      <c r="O45" s="25">
        <f>IF('ORDENES'!$U41="preventiva",N45,0)</f>
        <v/>
      </c>
      <c r="P45" s="25">
        <f>IF('ORDENES'!$U41="correctiva",N45,0)</f>
        <v/>
      </c>
      <c r="Q45" s="24">
        <f>IF(AND(K45=1,'ORDENES'!$N41="Pendiente"),1,0)</f>
        <v/>
      </c>
      <c r="R45" s="24">
        <f>IF(Q45=1,100000-N45*1000+38*0.01,9000000000000+38)</f>
        <v/>
      </c>
      <c r="S45" s="24">
        <f>IF(Q45=1,SUMPRODUCT(--($R$8:$R$1207&lt;R45))+1,"")</f>
        <v/>
      </c>
      <c r="T45" s="30">
        <f>IF(K45=1,'ORDENES'!$J41,"")</f>
        <v/>
      </c>
      <c r="U45" s="24">
        <f>IFERROR(MATCH(38,$M$8:$M$1207,0),"")</f>
        <v/>
      </c>
      <c r="V45" s="24">
        <f>IF(U45="","",INDEX('ORDENES'!$S$4:$S$1203,U45))</f>
        <v/>
      </c>
      <c r="W45" s="24">
        <f>IF(U45="","",IF(V45&lt;&gt;V44,CHAR(10)&amp;UPPER(LEFT(V45,1))&amp;MID(V45,2,20)&amp;":"&amp;CHAR(10),"")&amp;"   "&amp;IF(INDEX('ORDENES'!$AI$4:$AI$1203,U45)="","(s/t)",INDEX('ORDENES'!$AI$4:$AI$1203,U45))&amp;" · "&amp;IF(INDEX('ORDENES'!$AH$4:$AH$1203,U45)="","(sin técnico)",INDEX('ORDENES'!$AH$4:$AH$1203,U45))&amp;" · "&amp;INDEX('ORDENES'!$AU$4:$AU$1203,U45)&amp;" — "&amp;INDEX('ORDENES'!$D$4:$D$1203,U45)&amp;" ("&amp;TEXT(INDEX('ORDENES'!$M$4:$M$1203,U45),"0.#")&amp;" h)")</f>
        <v/>
      </c>
    </row>
    <row r="46">
      <c r="K46" s="24">
        <f>IF(AND(IF($B$3="(todos)",TRUE,'ORDENES'!$O42=$B$3),IF($D$3="(todos)",TRUE,'ORDENES'!$AI42=$D$3),IF($F$3="(todos)",TRUE,'ORDENES'!$AA42=$F$3),IF($H$3="(todos)",TRUE,'ORDENES'!$Z42=$H$3),'ORDENES'!$AG42=TRUE,'ORDENES'!$A42&lt;&gt;""),1,0)</f>
        <v/>
      </c>
      <c r="L46" s="24">
        <f>IF(K46=1,IFERROR(MATCH('ORDENES'!$S42,lista_dias,0),9)*1000000000+IFERROR(MATCH('ORDENES'!$AI42,lista_turnos,0),9)*10000000+IFERROR(MATCH('ORDENES'!$AH42,'TECNICOS'!$B$4:$B$19,0),99)*100000+39,9000000000000+39)</f>
        <v/>
      </c>
      <c r="M46" s="24">
        <f>IF(K46=1,SUMPRODUCT(--($L$8:$L$1207&lt;L46))+1,"")</f>
        <v/>
      </c>
      <c r="N46" s="25">
        <f>IF(K46=1,N('ORDENES'!$M42),0)</f>
        <v/>
      </c>
      <c r="O46" s="25">
        <f>IF('ORDENES'!$U42="preventiva",N46,0)</f>
        <v/>
      </c>
      <c r="P46" s="25">
        <f>IF('ORDENES'!$U42="correctiva",N46,0)</f>
        <v/>
      </c>
      <c r="Q46" s="24">
        <f>IF(AND(K46=1,'ORDENES'!$N42="Pendiente"),1,0)</f>
        <v/>
      </c>
      <c r="R46" s="24">
        <f>IF(Q46=1,100000-N46*1000+39*0.01,9000000000000+39)</f>
        <v/>
      </c>
      <c r="S46" s="24">
        <f>IF(Q46=1,SUMPRODUCT(--($R$8:$R$1207&lt;R46))+1,"")</f>
        <v/>
      </c>
      <c r="T46" s="30">
        <f>IF(K46=1,'ORDENES'!$J42,"")</f>
        <v/>
      </c>
      <c r="U46" s="24">
        <f>IFERROR(MATCH(39,$M$8:$M$1207,0),"")</f>
        <v/>
      </c>
      <c r="V46" s="24">
        <f>IF(U46="","",INDEX('ORDENES'!$S$4:$S$1203,U46))</f>
        <v/>
      </c>
      <c r="W46" s="24">
        <f>IF(U46="","",IF(V46&lt;&gt;V45,CHAR(10)&amp;UPPER(LEFT(V46,1))&amp;MID(V46,2,20)&amp;":"&amp;CHAR(10),"")&amp;"   "&amp;IF(INDEX('ORDENES'!$AI$4:$AI$1203,U46)="","(s/t)",INDEX('ORDENES'!$AI$4:$AI$1203,U46))&amp;" · "&amp;IF(INDEX('ORDENES'!$AH$4:$AH$1203,U46)="","(sin técnico)",INDEX('ORDENES'!$AH$4:$AH$1203,U46))&amp;" · "&amp;INDEX('ORDENES'!$AU$4:$AU$1203,U46)&amp;" — "&amp;INDEX('ORDENES'!$D$4:$D$1203,U46)&amp;" ("&amp;TEXT(INDEX('ORDENES'!$M$4:$M$1203,U46),"0.#")&amp;" h)")</f>
        <v/>
      </c>
    </row>
    <row r="47">
      <c r="K47" s="24">
        <f>IF(AND(IF($B$3="(todos)",TRUE,'ORDENES'!$O43=$B$3),IF($D$3="(todos)",TRUE,'ORDENES'!$AI43=$D$3),IF($F$3="(todos)",TRUE,'ORDENES'!$AA43=$F$3),IF($H$3="(todos)",TRUE,'ORDENES'!$Z43=$H$3),'ORDENES'!$AG43=TRUE,'ORDENES'!$A43&lt;&gt;""),1,0)</f>
        <v/>
      </c>
      <c r="L47" s="24">
        <f>IF(K47=1,IFERROR(MATCH('ORDENES'!$S43,lista_dias,0),9)*1000000000+IFERROR(MATCH('ORDENES'!$AI43,lista_turnos,0),9)*10000000+IFERROR(MATCH('ORDENES'!$AH43,'TECNICOS'!$B$4:$B$19,0),99)*100000+40,9000000000000+40)</f>
        <v/>
      </c>
      <c r="M47" s="24">
        <f>IF(K47=1,SUMPRODUCT(--($L$8:$L$1207&lt;L47))+1,"")</f>
        <v/>
      </c>
      <c r="N47" s="25">
        <f>IF(K47=1,N('ORDENES'!$M43),0)</f>
        <v/>
      </c>
      <c r="O47" s="25">
        <f>IF('ORDENES'!$U43="preventiva",N47,0)</f>
        <v/>
      </c>
      <c r="P47" s="25">
        <f>IF('ORDENES'!$U43="correctiva",N47,0)</f>
        <v/>
      </c>
      <c r="Q47" s="24">
        <f>IF(AND(K47=1,'ORDENES'!$N43="Pendiente"),1,0)</f>
        <v/>
      </c>
      <c r="R47" s="24">
        <f>IF(Q47=1,100000-N47*1000+40*0.01,9000000000000+40)</f>
        <v/>
      </c>
      <c r="S47" s="24">
        <f>IF(Q47=1,SUMPRODUCT(--($R$8:$R$1207&lt;R47))+1,"")</f>
        <v/>
      </c>
      <c r="T47" s="30">
        <f>IF(K47=1,'ORDENES'!$J43,"")</f>
        <v/>
      </c>
      <c r="U47" s="24">
        <f>IFERROR(MATCH(40,$M$8:$M$1207,0),"")</f>
        <v/>
      </c>
      <c r="V47" s="24">
        <f>IF(U47="","",INDEX('ORDENES'!$S$4:$S$1203,U47))</f>
        <v/>
      </c>
      <c r="W47" s="24">
        <f>IF(U47="","",IF(V47&lt;&gt;V46,CHAR(10)&amp;UPPER(LEFT(V47,1))&amp;MID(V47,2,20)&amp;":"&amp;CHAR(10),"")&amp;"   "&amp;IF(INDEX('ORDENES'!$AI$4:$AI$1203,U47)="","(s/t)",INDEX('ORDENES'!$AI$4:$AI$1203,U47))&amp;" · "&amp;IF(INDEX('ORDENES'!$AH$4:$AH$1203,U47)="","(sin técnico)",INDEX('ORDENES'!$AH$4:$AH$1203,U47))&amp;" · "&amp;INDEX('ORDENES'!$AU$4:$AU$1203,U47)&amp;" — "&amp;INDEX('ORDENES'!$D$4:$D$1203,U47)&amp;" ("&amp;TEXT(INDEX('ORDENES'!$M$4:$M$1203,U47),"0.#")&amp;" h)")</f>
        <v/>
      </c>
    </row>
    <row r="48">
      <c r="K48" s="24">
        <f>IF(AND(IF($B$3="(todos)",TRUE,'ORDENES'!$O44=$B$3),IF($D$3="(todos)",TRUE,'ORDENES'!$AI44=$D$3),IF($F$3="(todos)",TRUE,'ORDENES'!$AA44=$F$3),IF($H$3="(todos)",TRUE,'ORDENES'!$Z44=$H$3),'ORDENES'!$AG44=TRUE,'ORDENES'!$A44&lt;&gt;""),1,0)</f>
        <v/>
      </c>
      <c r="L48" s="24">
        <f>IF(K48=1,IFERROR(MATCH('ORDENES'!$S44,lista_dias,0),9)*1000000000+IFERROR(MATCH('ORDENES'!$AI44,lista_turnos,0),9)*10000000+IFERROR(MATCH('ORDENES'!$AH44,'TECNICOS'!$B$4:$B$19,0),99)*100000+41,9000000000000+41)</f>
        <v/>
      </c>
      <c r="M48" s="24">
        <f>IF(K48=1,SUMPRODUCT(--($L$8:$L$1207&lt;L48))+1,"")</f>
        <v/>
      </c>
      <c r="N48" s="25">
        <f>IF(K48=1,N('ORDENES'!$M44),0)</f>
        <v/>
      </c>
      <c r="O48" s="25">
        <f>IF('ORDENES'!$U44="preventiva",N48,0)</f>
        <v/>
      </c>
      <c r="P48" s="25">
        <f>IF('ORDENES'!$U44="correctiva",N48,0)</f>
        <v/>
      </c>
      <c r="Q48" s="24">
        <f>IF(AND(K48=1,'ORDENES'!$N44="Pendiente"),1,0)</f>
        <v/>
      </c>
      <c r="R48" s="24">
        <f>IF(Q48=1,100000-N48*1000+41*0.01,9000000000000+41)</f>
        <v/>
      </c>
      <c r="S48" s="24">
        <f>IF(Q48=1,SUMPRODUCT(--($R$8:$R$1207&lt;R48))+1,"")</f>
        <v/>
      </c>
      <c r="T48" s="30">
        <f>IF(K48=1,'ORDENES'!$J44,"")</f>
        <v/>
      </c>
      <c r="U48" s="24">
        <f>IFERROR(MATCH(41,$M$8:$M$1207,0),"")</f>
        <v/>
      </c>
      <c r="V48" s="24">
        <f>IF(U48="","",INDEX('ORDENES'!$S$4:$S$1203,U48))</f>
        <v/>
      </c>
      <c r="W48" s="24">
        <f>IF(U48="","",IF(V48&lt;&gt;V47,CHAR(10)&amp;UPPER(LEFT(V48,1))&amp;MID(V48,2,20)&amp;":"&amp;CHAR(10),"")&amp;"   "&amp;IF(INDEX('ORDENES'!$AI$4:$AI$1203,U48)="","(s/t)",INDEX('ORDENES'!$AI$4:$AI$1203,U48))&amp;" · "&amp;IF(INDEX('ORDENES'!$AH$4:$AH$1203,U48)="","(sin técnico)",INDEX('ORDENES'!$AH$4:$AH$1203,U48))&amp;" · "&amp;INDEX('ORDENES'!$AU$4:$AU$1203,U48)&amp;" — "&amp;INDEX('ORDENES'!$D$4:$D$1203,U48)&amp;" ("&amp;TEXT(INDEX('ORDENES'!$M$4:$M$1203,U48),"0.#")&amp;" h)")</f>
        <v/>
      </c>
    </row>
    <row r="49">
      <c r="K49" s="24">
        <f>IF(AND(IF($B$3="(todos)",TRUE,'ORDENES'!$O45=$B$3),IF($D$3="(todos)",TRUE,'ORDENES'!$AI45=$D$3),IF($F$3="(todos)",TRUE,'ORDENES'!$AA45=$F$3),IF($H$3="(todos)",TRUE,'ORDENES'!$Z45=$H$3),'ORDENES'!$AG45=TRUE,'ORDENES'!$A45&lt;&gt;""),1,0)</f>
        <v/>
      </c>
      <c r="L49" s="24">
        <f>IF(K49=1,IFERROR(MATCH('ORDENES'!$S45,lista_dias,0),9)*1000000000+IFERROR(MATCH('ORDENES'!$AI45,lista_turnos,0),9)*10000000+IFERROR(MATCH('ORDENES'!$AH45,'TECNICOS'!$B$4:$B$19,0),99)*100000+42,9000000000000+42)</f>
        <v/>
      </c>
      <c r="M49" s="24">
        <f>IF(K49=1,SUMPRODUCT(--($L$8:$L$1207&lt;L49))+1,"")</f>
        <v/>
      </c>
      <c r="N49" s="25">
        <f>IF(K49=1,N('ORDENES'!$M45),0)</f>
        <v/>
      </c>
      <c r="O49" s="25">
        <f>IF('ORDENES'!$U45="preventiva",N49,0)</f>
        <v/>
      </c>
      <c r="P49" s="25">
        <f>IF('ORDENES'!$U45="correctiva",N49,0)</f>
        <v/>
      </c>
      <c r="Q49" s="24">
        <f>IF(AND(K49=1,'ORDENES'!$N45="Pendiente"),1,0)</f>
        <v/>
      </c>
      <c r="R49" s="24">
        <f>IF(Q49=1,100000-N49*1000+42*0.01,9000000000000+42)</f>
        <v/>
      </c>
      <c r="S49" s="24">
        <f>IF(Q49=1,SUMPRODUCT(--($R$8:$R$1207&lt;R49))+1,"")</f>
        <v/>
      </c>
      <c r="T49" s="30">
        <f>IF(K49=1,'ORDENES'!$J45,"")</f>
        <v/>
      </c>
      <c r="U49" s="24">
        <f>IFERROR(MATCH(42,$M$8:$M$1207,0),"")</f>
        <v/>
      </c>
      <c r="V49" s="24">
        <f>IF(U49="","",INDEX('ORDENES'!$S$4:$S$1203,U49))</f>
        <v/>
      </c>
      <c r="W49" s="24">
        <f>IF(U49="","",IF(V49&lt;&gt;V48,CHAR(10)&amp;UPPER(LEFT(V49,1))&amp;MID(V49,2,20)&amp;":"&amp;CHAR(10),"")&amp;"   "&amp;IF(INDEX('ORDENES'!$AI$4:$AI$1203,U49)="","(s/t)",INDEX('ORDENES'!$AI$4:$AI$1203,U49))&amp;" · "&amp;IF(INDEX('ORDENES'!$AH$4:$AH$1203,U49)="","(sin técnico)",INDEX('ORDENES'!$AH$4:$AH$1203,U49))&amp;" · "&amp;INDEX('ORDENES'!$AU$4:$AU$1203,U49)&amp;" — "&amp;INDEX('ORDENES'!$D$4:$D$1203,U49)&amp;" ("&amp;TEXT(INDEX('ORDENES'!$M$4:$M$1203,U49),"0.#")&amp;" h)")</f>
        <v/>
      </c>
    </row>
    <row r="50">
      <c r="K50" s="24">
        <f>IF(AND(IF($B$3="(todos)",TRUE,'ORDENES'!$O46=$B$3),IF($D$3="(todos)",TRUE,'ORDENES'!$AI46=$D$3),IF($F$3="(todos)",TRUE,'ORDENES'!$AA46=$F$3),IF($H$3="(todos)",TRUE,'ORDENES'!$Z46=$H$3),'ORDENES'!$AG46=TRUE,'ORDENES'!$A46&lt;&gt;""),1,0)</f>
        <v/>
      </c>
      <c r="L50" s="24">
        <f>IF(K50=1,IFERROR(MATCH('ORDENES'!$S46,lista_dias,0),9)*1000000000+IFERROR(MATCH('ORDENES'!$AI46,lista_turnos,0),9)*10000000+IFERROR(MATCH('ORDENES'!$AH46,'TECNICOS'!$B$4:$B$19,0),99)*100000+43,9000000000000+43)</f>
        <v/>
      </c>
      <c r="M50" s="24">
        <f>IF(K50=1,SUMPRODUCT(--($L$8:$L$1207&lt;L50))+1,"")</f>
        <v/>
      </c>
      <c r="N50" s="25">
        <f>IF(K50=1,N('ORDENES'!$M46),0)</f>
        <v/>
      </c>
      <c r="O50" s="25">
        <f>IF('ORDENES'!$U46="preventiva",N50,0)</f>
        <v/>
      </c>
      <c r="P50" s="25">
        <f>IF('ORDENES'!$U46="correctiva",N50,0)</f>
        <v/>
      </c>
      <c r="Q50" s="24">
        <f>IF(AND(K50=1,'ORDENES'!$N46="Pendiente"),1,0)</f>
        <v/>
      </c>
      <c r="R50" s="24">
        <f>IF(Q50=1,100000-N50*1000+43*0.01,9000000000000+43)</f>
        <v/>
      </c>
      <c r="S50" s="24">
        <f>IF(Q50=1,SUMPRODUCT(--($R$8:$R$1207&lt;R50))+1,"")</f>
        <v/>
      </c>
      <c r="T50" s="30">
        <f>IF(K50=1,'ORDENES'!$J46,"")</f>
        <v/>
      </c>
      <c r="U50" s="24">
        <f>IFERROR(MATCH(43,$M$8:$M$1207,0),"")</f>
        <v/>
      </c>
      <c r="V50" s="24">
        <f>IF(U50="","",INDEX('ORDENES'!$S$4:$S$1203,U50))</f>
        <v/>
      </c>
      <c r="W50" s="24">
        <f>IF(U50="","",IF(V50&lt;&gt;V49,CHAR(10)&amp;UPPER(LEFT(V50,1))&amp;MID(V50,2,20)&amp;":"&amp;CHAR(10),"")&amp;"   "&amp;IF(INDEX('ORDENES'!$AI$4:$AI$1203,U50)="","(s/t)",INDEX('ORDENES'!$AI$4:$AI$1203,U50))&amp;" · "&amp;IF(INDEX('ORDENES'!$AH$4:$AH$1203,U50)="","(sin técnico)",INDEX('ORDENES'!$AH$4:$AH$1203,U50))&amp;" · "&amp;INDEX('ORDENES'!$AU$4:$AU$1203,U50)&amp;" — "&amp;INDEX('ORDENES'!$D$4:$D$1203,U50)&amp;" ("&amp;TEXT(INDEX('ORDENES'!$M$4:$M$1203,U50),"0.#")&amp;" h)")</f>
        <v/>
      </c>
    </row>
    <row r="51">
      <c r="K51" s="24">
        <f>IF(AND(IF($B$3="(todos)",TRUE,'ORDENES'!$O47=$B$3),IF($D$3="(todos)",TRUE,'ORDENES'!$AI47=$D$3),IF($F$3="(todos)",TRUE,'ORDENES'!$AA47=$F$3),IF($H$3="(todos)",TRUE,'ORDENES'!$Z47=$H$3),'ORDENES'!$AG47=TRUE,'ORDENES'!$A47&lt;&gt;""),1,0)</f>
        <v/>
      </c>
      <c r="L51" s="24">
        <f>IF(K51=1,IFERROR(MATCH('ORDENES'!$S47,lista_dias,0),9)*1000000000+IFERROR(MATCH('ORDENES'!$AI47,lista_turnos,0),9)*10000000+IFERROR(MATCH('ORDENES'!$AH47,'TECNICOS'!$B$4:$B$19,0),99)*100000+44,9000000000000+44)</f>
        <v/>
      </c>
      <c r="M51" s="24">
        <f>IF(K51=1,SUMPRODUCT(--($L$8:$L$1207&lt;L51))+1,"")</f>
        <v/>
      </c>
      <c r="N51" s="25">
        <f>IF(K51=1,N('ORDENES'!$M47),0)</f>
        <v/>
      </c>
      <c r="O51" s="25">
        <f>IF('ORDENES'!$U47="preventiva",N51,0)</f>
        <v/>
      </c>
      <c r="P51" s="25">
        <f>IF('ORDENES'!$U47="correctiva",N51,0)</f>
        <v/>
      </c>
      <c r="Q51" s="24">
        <f>IF(AND(K51=1,'ORDENES'!$N47="Pendiente"),1,0)</f>
        <v/>
      </c>
      <c r="R51" s="24">
        <f>IF(Q51=1,100000-N51*1000+44*0.01,9000000000000+44)</f>
        <v/>
      </c>
      <c r="S51" s="24">
        <f>IF(Q51=1,SUMPRODUCT(--($R$8:$R$1207&lt;R51))+1,"")</f>
        <v/>
      </c>
      <c r="T51" s="30">
        <f>IF(K51=1,'ORDENES'!$J47,"")</f>
        <v/>
      </c>
      <c r="U51" s="24">
        <f>IFERROR(MATCH(44,$M$8:$M$1207,0),"")</f>
        <v/>
      </c>
      <c r="V51" s="24">
        <f>IF(U51="","",INDEX('ORDENES'!$S$4:$S$1203,U51))</f>
        <v/>
      </c>
      <c r="W51" s="24">
        <f>IF(U51="","",IF(V51&lt;&gt;V50,CHAR(10)&amp;UPPER(LEFT(V51,1))&amp;MID(V51,2,20)&amp;":"&amp;CHAR(10),"")&amp;"   "&amp;IF(INDEX('ORDENES'!$AI$4:$AI$1203,U51)="","(s/t)",INDEX('ORDENES'!$AI$4:$AI$1203,U51))&amp;" · "&amp;IF(INDEX('ORDENES'!$AH$4:$AH$1203,U51)="","(sin técnico)",INDEX('ORDENES'!$AH$4:$AH$1203,U51))&amp;" · "&amp;INDEX('ORDENES'!$AU$4:$AU$1203,U51)&amp;" — "&amp;INDEX('ORDENES'!$D$4:$D$1203,U51)&amp;" ("&amp;TEXT(INDEX('ORDENES'!$M$4:$M$1203,U51),"0.#")&amp;" h)")</f>
        <v/>
      </c>
    </row>
    <row r="52">
      <c r="K52" s="24">
        <f>IF(AND(IF($B$3="(todos)",TRUE,'ORDENES'!$O48=$B$3),IF($D$3="(todos)",TRUE,'ORDENES'!$AI48=$D$3),IF($F$3="(todos)",TRUE,'ORDENES'!$AA48=$F$3),IF($H$3="(todos)",TRUE,'ORDENES'!$Z48=$H$3),'ORDENES'!$AG48=TRUE,'ORDENES'!$A48&lt;&gt;""),1,0)</f>
        <v/>
      </c>
      <c r="L52" s="24">
        <f>IF(K52=1,IFERROR(MATCH('ORDENES'!$S48,lista_dias,0),9)*1000000000+IFERROR(MATCH('ORDENES'!$AI48,lista_turnos,0),9)*10000000+IFERROR(MATCH('ORDENES'!$AH48,'TECNICOS'!$B$4:$B$19,0),99)*100000+45,9000000000000+45)</f>
        <v/>
      </c>
      <c r="M52" s="24">
        <f>IF(K52=1,SUMPRODUCT(--($L$8:$L$1207&lt;L52))+1,"")</f>
        <v/>
      </c>
      <c r="N52" s="25">
        <f>IF(K52=1,N('ORDENES'!$M48),0)</f>
        <v/>
      </c>
      <c r="O52" s="25">
        <f>IF('ORDENES'!$U48="preventiva",N52,0)</f>
        <v/>
      </c>
      <c r="P52" s="25">
        <f>IF('ORDENES'!$U48="correctiva",N52,0)</f>
        <v/>
      </c>
      <c r="Q52" s="24">
        <f>IF(AND(K52=1,'ORDENES'!$N48="Pendiente"),1,0)</f>
        <v/>
      </c>
      <c r="R52" s="24">
        <f>IF(Q52=1,100000-N52*1000+45*0.01,9000000000000+45)</f>
        <v/>
      </c>
      <c r="S52" s="24">
        <f>IF(Q52=1,SUMPRODUCT(--($R$8:$R$1207&lt;R52))+1,"")</f>
        <v/>
      </c>
      <c r="T52" s="30">
        <f>IF(K52=1,'ORDENES'!$J48,"")</f>
        <v/>
      </c>
      <c r="U52" s="24">
        <f>IFERROR(MATCH(45,$M$8:$M$1207,0),"")</f>
        <v/>
      </c>
      <c r="V52" s="24">
        <f>IF(U52="","",INDEX('ORDENES'!$S$4:$S$1203,U52))</f>
        <v/>
      </c>
      <c r="W52" s="24">
        <f>IF(U52="","",IF(V52&lt;&gt;V51,CHAR(10)&amp;UPPER(LEFT(V52,1))&amp;MID(V52,2,20)&amp;":"&amp;CHAR(10),"")&amp;"   "&amp;IF(INDEX('ORDENES'!$AI$4:$AI$1203,U52)="","(s/t)",INDEX('ORDENES'!$AI$4:$AI$1203,U52))&amp;" · "&amp;IF(INDEX('ORDENES'!$AH$4:$AH$1203,U52)="","(sin técnico)",INDEX('ORDENES'!$AH$4:$AH$1203,U52))&amp;" · "&amp;INDEX('ORDENES'!$AU$4:$AU$1203,U52)&amp;" — "&amp;INDEX('ORDENES'!$D$4:$D$1203,U52)&amp;" ("&amp;TEXT(INDEX('ORDENES'!$M$4:$M$1203,U52),"0.#")&amp;" h)")</f>
        <v/>
      </c>
    </row>
    <row r="53">
      <c r="K53" s="24">
        <f>IF(AND(IF($B$3="(todos)",TRUE,'ORDENES'!$O49=$B$3),IF($D$3="(todos)",TRUE,'ORDENES'!$AI49=$D$3),IF($F$3="(todos)",TRUE,'ORDENES'!$AA49=$F$3),IF($H$3="(todos)",TRUE,'ORDENES'!$Z49=$H$3),'ORDENES'!$AG49=TRUE,'ORDENES'!$A49&lt;&gt;""),1,0)</f>
        <v/>
      </c>
      <c r="L53" s="24">
        <f>IF(K53=1,IFERROR(MATCH('ORDENES'!$S49,lista_dias,0),9)*1000000000+IFERROR(MATCH('ORDENES'!$AI49,lista_turnos,0),9)*10000000+IFERROR(MATCH('ORDENES'!$AH49,'TECNICOS'!$B$4:$B$19,0),99)*100000+46,9000000000000+46)</f>
        <v/>
      </c>
      <c r="M53" s="24">
        <f>IF(K53=1,SUMPRODUCT(--($L$8:$L$1207&lt;L53))+1,"")</f>
        <v/>
      </c>
      <c r="N53" s="25">
        <f>IF(K53=1,N('ORDENES'!$M49),0)</f>
        <v/>
      </c>
      <c r="O53" s="25">
        <f>IF('ORDENES'!$U49="preventiva",N53,0)</f>
        <v/>
      </c>
      <c r="P53" s="25">
        <f>IF('ORDENES'!$U49="correctiva",N53,0)</f>
        <v/>
      </c>
      <c r="Q53" s="24">
        <f>IF(AND(K53=1,'ORDENES'!$N49="Pendiente"),1,0)</f>
        <v/>
      </c>
      <c r="R53" s="24">
        <f>IF(Q53=1,100000-N53*1000+46*0.01,9000000000000+46)</f>
        <v/>
      </c>
      <c r="S53" s="24">
        <f>IF(Q53=1,SUMPRODUCT(--($R$8:$R$1207&lt;R53))+1,"")</f>
        <v/>
      </c>
      <c r="T53" s="30">
        <f>IF(K53=1,'ORDENES'!$J49,"")</f>
        <v/>
      </c>
      <c r="U53" s="24">
        <f>IFERROR(MATCH(46,$M$8:$M$1207,0),"")</f>
        <v/>
      </c>
      <c r="V53" s="24">
        <f>IF(U53="","",INDEX('ORDENES'!$S$4:$S$1203,U53))</f>
        <v/>
      </c>
      <c r="W53" s="24">
        <f>IF(U53="","",IF(V53&lt;&gt;V52,CHAR(10)&amp;UPPER(LEFT(V53,1))&amp;MID(V53,2,20)&amp;":"&amp;CHAR(10),"")&amp;"   "&amp;IF(INDEX('ORDENES'!$AI$4:$AI$1203,U53)="","(s/t)",INDEX('ORDENES'!$AI$4:$AI$1203,U53))&amp;" · "&amp;IF(INDEX('ORDENES'!$AH$4:$AH$1203,U53)="","(sin técnico)",INDEX('ORDENES'!$AH$4:$AH$1203,U53))&amp;" · "&amp;INDEX('ORDENES'!$AU$4:$AU$1203,U53)&amp;" — "&amp;INDEX('ORDENES'!$D$4:$D$1203,U53)&amp;" ("&amp;TEXT(INDEX('ORDENES'!$M$4:$M$1203,U53),"0.#")&amp;" h)")</f>
        <v/>
      </c>
    </row>
    <row r="54">
      <c r="K54" s="24">
        <f>IF(AND(IF($B$3="(todos)",TRUE,'ORDENES'!$O50=$B$3),IF($D$3="(todos)",TRUE,'ORDENES'!$AI50=$D$3),IF($F$3="(todos)",TRUE,'ORDENES'!$AA50=$F$3),IF($H$3="(todos)",TRUE,'ORDENES'!$Z50=$H$3),'ORDENES'!$AG50=TRUE,'ORDENES'!$A50&lt;&gt;""),1,0)</f>
        <v/>
      </c>
      <c r="L54" s="24">
        <f>IF(K54=1,IFERROR(MATCH('ORDENES'!$S50,lista_dias,0),9)*1000000000+IFERROR(MATCH('ORDENES'!$AI50,lista_turnos,0),9)*10000000+IFERROR(MATCH('ORDENES'!$AH50,'TECNICOS'!$B$4:$B$19,0),99)*100000+47,9000000000000+47)</f>
        <v/>
      </c>
      <c r="M54" s="24">
        <f>IF(K54=1,SUMPRODUCT(--($L$8:$L$1207&lt;L54))+1,"")</f>
        <v/>
      </c>
      <c r="N54" s="25">
        <f>IF(K54=1,N('ORDENES'!$M50),0)</f>
        <v/>
      </c>
      <c r="O54" s="25">
        <f>IF('ORDENES'!$U50="preventiva",N54,0)</f>
        <v/>
      </c>
      <c r="P54" s="25">
        <f>IF('ORDENES'!$U50="correctiva",N54,0)</f>
        <v/>
      </c>
      <c r="Q54" s="24">
        <f>IF(AND(K54=1,'ORDENES'!$N50="Pendiente"),1,0)</f>
        <v/>
      </c>
      <c r="R54" s="24">
        <f>IF(Q54=1,100000-N54*1000+47*0.01,9000000000000+47)</f>
        <v/>
      </c>
      <c r="S54" s="24">
        <f>IF(Q54=1,SUMPRODUCT(--($R$8:$R$1207&lt;R54))+1,"")</f>
        <v/>
      </c>
      <c r="T54" s="30">
        <f>IF(K54=1,'ORDENES'!$J50,"")</f>
        <v/>
      </c>
      <c r="U54" s="24">
        <f>IFERROR(MATCH(47,$M$8:$M$1207,0),"")</f>
        <v/>
      </c>
      <c r="V54" s="24">
        <f>IF(U54="","",INDEX('ORDENES'!$S$4:$S$1203,U54))</f>
        <v/>
      </c>
      <c r="W54" s="24">
        <f>IF(U54="","",IF(V54&lt;&gt;V53,CHAR(10)&amp;UPPER(LEFT(V54,1))&amp;MID(V54,2,20)&amp;":"&amp;CHAR(10),"")&amp;"   "&amp;IF(INDEX('ORDENES'!$AI$4:$AI$1203,U54)="","(s/t)",INDEX('ORDENES'!$AI$4:$AI$1203,U54))&amp;" · "&amp;IF(INDEX('ORDENES'!$AH$4:$AH$1203,U54)="","(sin técnico)",INDEX('ORDENES'!$AH$4:$AH$1203,U54))&amp;" · "&amp;INDEX('ORDENES'!$AU$4:$AU$1203,U54)&amp;" — "&amp;INDEX('ORDENES'!$D$4:$D$1203,U54)&amp;" ("&amp;TEXT(INDEX('ORDENES'!$M$4:$M$1203,U54),"0.#")&amp;" h)")</f>
        <v/>
      </c>
    </row>
    <row r="55">
      <c r="K55" s="24">
        <f>IF(AND(IF($B$3="(todos)",TRUE,'ORDENES'!$O51=$B$3),IF($D$3="(todos)",TRUE,'ORDENES'!$AI51=$D$3),IF($F$3="(todos)",TRUE,'ORDENES'!$AA51=$F$3),IF($H$3="(todos)",TRUE,'ORDENES'!$Z51=$H$3),'ORDENES'!$AG51=TRUE,'ORDENES'!$A51&lt;&gt;""),1,0)</f>
        <v/>
      </c>
      <c r="L55" s="24">
        <f>IF(K55=1,IFERROR(MATCH('ORDENES'!$S51,lista_dias,0),9)*1000000000+IFERROR(MATCH('ORDENES'!$AI51,lista_turnos,0),9)*10000000+IFERROR(MATCH('ORDENES'!$AH51,'TECNICOS'!$B$4:$B$19,0),99)*100000+48,9000000000000+48)</f>
        <v/>
      </c>
      <c r="M55" s="24">
        <f>IF(K55=1,SUMPRODUCT(--($L$8:$L$1207&lt;L55))+1,"")</f>
        <v/>
      </c>
      <c r="N55" s="25">
        <f>IF(K55=1,N('ORDENES'!$M51),0)</f>
        <v/>
      </c>
      <c r="O55" s="25">
        <f>IF('ORDENES'!$U51="preventiva",N55,0)</f>
        <v/>
      </c>
      <c r="P55" s="25">
        <f>IF('ORDENES'!$U51="correctiva",N55,0)</f>
        <v/>
      </c>
      <c r="Q55" s="24">
        <f>IF(AND(K55=1,'ORDENES'!$N51="Pendiente"),1,0)</f>
        <v/>
      </c>
      <c r="R55" s="24">
        <f>IF(Q55=1,100000-N55*1000+48*0.01,9000000000000+48)</f>
        <v/>
      </c>
      <c r="S55" s="24">
        <f>IF(Q55=1,SUMPRODUCT(--($R$8:$R$1207&lt;R55))+1,"")</f>
        <v/>
      </c>
      <c r="T55" s="30">
        <f>IF(K55=1,'ORDENES'!$J51,"")</f>
        <v/>
      </c>
      <c r="U55" s="24">
        <f>IFERROR(MATCH(48,$M$8:$M$1207,0),"")</f>
        <v/>
      </c>
      <c r="V55" s="24">
        <f>IF(U55="","",INDEX('ORDENES'!$S$4:$S$1203,U55))</f>
        <v/>
      </c>
      <c r="W55" s="24">
        <f>IF(U55="","",IF(V55&lt;&gt;V54,CHAR(10)&amp;UPPER(LEFT(V55,1))&amp;MID(V55,2,20)&amp;":"&amp;CHAR(10),"")&amp;"   "&amp;IF(INDEX('ORDENES'!$AI$4:$AI$1203,U55)="","(s/t)",INDEX('ORDENES'!$AI$4:$AI$1203,U55))&amp;" · "&amp;IF(INDEX('ORDENES'!$AH$4:$AH$1203,U55)="","(sin técnico)",INDEX('ORDENES'!$AH$4:$AH$1203,U55))&amp;" · "&amp;INDEX('ORDENES'!$AU$4:$AU$1203,U55)&amp;" — "&amp;INDEX('ORDENES'!$D$4:$D$1203,U55)&amp;" ("&amp;TEXT(INDEX('ORDENES'!$M$4:$M$1203,U55),"0.#")&amp;" h)")</f>
        <v/>
      </c>
    </row>
    <row r="56">
      <c r="K56" s="24">
        <f>IF(AND(IF($B$3="(todos)",TRUE,'ORDENES'!$O52=$B$3),IF($D$3="(todos)",TRUE,'ORDENES'!$AI52=$D$3),IF($F$3="(todos)",TRUE,'ORDENES'!$AA52=$F$3),IF($H$3="(todos)",TRUE,'ORDENES'!$Z52=$H$3),'ORDENES'!$AG52=TRUE,'ORDENES'!$A52&lt;&gt;""),1,0)</f>
        <v/>
      </c>
      <c r="L56" s="24">
        <f>IF(K56=1,IFERROR(MATCH('ORDENES'!$S52,lista_dias,0),9)*1000000000+IFERROR(MATCH('ORDENES'!$AI52,lista_turnos,0),9)*10000000+IFERROR(MATCH('ORDENES'!$AH52,'TECNICOS'!$B$4:$B$19,0),99)*100000+49,9000000000000+49)</f>
        <v/>
      </c>
      <c r="M56" s="24">
        <f>IF(K56=1,SUMPRODUCT(--($L$8:$L$1207&lt;L56))+1,"")</f>
        <v/>
      </c>
      <c r="N56" s="25">
        <f>IF(K56=1,N('ORDENES'!$M52),0)</f>
        <v/>
      </c>
      <c r="O56" s="25">
        <f>IF('ORDENES'!$U52="preventiva",N56,0)</f>
        <v/>
      </c>
      <c r="P56" s="25">
        <f>IF('ORDENES'!$U52="correctiva",N56,0)</f>
        <v/>
      </c>
      <c r="Q56" s="24">
        <f>IF(AND(K56=1,'ORDENES'!$N52="Pendiente"),1,0)</f>
        <v/>
      </c>
      <c r="R56" s="24">
        <f>IF(Q56=1,100000-N56*1000+49*0.01,9000000000000+49)</f>
        <v/>
      </c>
      <c r="S56" s="24">
        <f>IF(Q56=1,SUMPRODUCT(--($R$8:$R$1207&lt;R56))+1,"")</f>
        <v/>
      </c>
      <c r="T56" s="30">
        <f>IF(K56=1,'ORDENES'!$J52,"")</f>
        <v/>
      </c>
      <c r="U56" s="24">
        <f>IFERROR(MATCH(49,$M$8:$M$1207,0),"")</f>
        <v/>
      </c>
      <c r="V56" s="24">
        <f>IF(U56="","",INDEX('ORDENES'!$S$4:$S$1203,U56))</f>
        <v/>
      </c>
      <c r="W56" s="24">
        <f>IF(U56="","",IF(V56&lt;&gt;V55,CHAR(10)&amp;UPPER(LEFT(V56,1))&amp;MID(V56,2,20)&amp;":"&amp;CHAR(10),"")&amp;"   "&amp;IF(INDEX('ORDENES'!$AI$4:$AI$1203,U56)="","(s/t)",INDEX('ORDENES'!$AI$4:$AI$1203,U56))&amp;" · "&amp;IF(INDEX('ORDENES'!$AH$4:$AH$1203,U56)="","(sin técnico)",INDEX('ORDENES'!$AH$4:$AH$1203,U56))&amp;" · "&amp;INDEX('ORDENES'!$AU$4:$AU$1203,U56)&amp;" — "&amp;INDEX('ORDENES'!$D$4:$D$1203,U56)&amp;" ("&amp;TEXT(INDEX('ORDENES'!$M$4:$M$1203,U56),"0.#")&amp;" h)")</f>
        <v/>
      </c>
    </row>
    <row r="57">
      <c r="K57" s="24">
        <f>IF(AND(IF($B$3="(todos)",TRUE,'ORDENES'!$O53=$B$3),IF($D$3="(todos)",TRUE,'ORDENES'!$AI53=$D$3),IF($F$3="(todos)",TRUE,'ORDENES'!$AA53=$F$3),IF($H$3="(todos)",TRUE,'ORDENES'!$Z53=$H$3),'ORDENES'!$AG53=TRUE,'ORDENES'!$A53&lt;&gt;""),1,0)</f>
        <v/>
      </c>
      <c r="L57" s="24">
        <f>IF(K57=1,IFERROR(MATCH('ORDENES'!$S53,lista_dias,0),9)*1000000000+IFERROR(MATCH('ORDENES'!$AI53,lista_turnos,0),9)*10000000+IFERROR(MATCH('ORDENES'!$AH53,'TECNICOS'!$B$4:$B$19,0),99)*100000+50,9000000000000+50)</f>
        <v/>
      </c>
      <c r="M57" s="24">
        <f>IF(K57=1,SUMPRODUCT(--($L$8:$L$1207&lt;L57))+1,"")</f>
        <v/>
      </c>
      <c r="N57" s="25">
        <f>IF(K57=1,N('ORDENES'!$M53),0)</f>
        <v/>
      </c>
      <c r="O57" s="25">
        <f>IF('ORDENES'!$U53="preventiva",N57,0)</f>
        <v/>
      </c>
      <c r="P57" s="25">
        <f>IF('ORDENES'!$U53="correctiva",N57,0)</f>
        <v/>
      </c>
      <c r="Q57" s="24">
        <f>IF(AND(K57=1,'ORDENES'!$N53="Pendiente"),1,0)</f>
        <v/>
      </c>
      <c r="R57" s="24">
        <f>IF(Q57=1,100000-N57*1000+50*0.01,9000000000000+50)</f>
        <v/>
      </c>
      <c r="S57" s="24">
        <f>IF(Q57=1,SUMPRODUCT(--($R$8:$R$1207&lt;R57))+1,"")</f>
        <v/>
      </c>
      <c r="T57" s="30">
        <f>IF(K57=1,'ORDENES'!$J53,"")</f>
        <v/>
      </c>
      <c r="U57" s="24">
        <f>IFERROR(MATCH(50,$M$8:$M$1207,0),"")</f>
        <v/>
      </c>
      <c r="V57" s="24">
        <f>IF(U57="","",INDEX('ORDENES'!$S$4:$S$1203,U57))</f>
        <v/>
      </c>
      <c r="W57" s="24">
        <f>IF(U57="","",IF(V57&lt;&gt;V56,CHAR(10)&amp;UPPER(LEFT(V57,1))&amp;MID(V57,2,20)&amp;":"&amp;CHAR(10),"")&amp;"   "&amp;IF(INDEX('ORDENES'!$AI$4:$AI$1203,U57)="","(s/t)",INDEX('ORDENES'!$AI$4:$AI$1203,U57))&amp;" · "&amp;IF(INDEX('ORDENES'!$AH$4:$AH$1203,U57)="","(sin técnico)",INDEX('ORDENES'!$AH$4:$AH$1203,U57))&amp;" · "&amp;INDEX('ORDENES'!$AU$4:$AU$1203,U57)&amp;" — "&amp;INDEX('ORDENES'!$D$4:$D$1203,U57)&amp;" ("&amp;TEXT(INDEX('ORDENES'!$M$4:$M$1203,U57),"0.#")&amp;" h)")</f>
        <v/>
      </c>
    </row>
    <row r="58">
      <c r="K58" s="24">
        <f>IF(AND(IF($B$3="(todos)",TRUE,'ORDENES'!$O54=$B$3),IF($D$3="(todos)",TRUE,'ORDENES'!$AI54=$D$3),IF($F$3="(todos)",TRUE,'ORDENES'!$AA54=$F$3),IF($H$3="(todos)",TRUE,'ORDENES'!$Z54=$H$3),'ORDENES'!$AG54=TRUE,'ORDENES'!$A54&lt;&gt;""),1,0)</f>
        <v/>
      </c>
      <c r="L58" s="24">
        <f>IF(K58=1,IFERROR(MATCH('ORDENES'!$S54,lista_dias,0),9)*1000000000+IFERROR(MATCH('ORDENES'!$AI54,lista_turnos,0),9)*10000000+IFERROR(MATCH('ORDENES'!$AH54,'TECNICOS'!$B$4:$B$19,0),99)*100000+51,9000000000000+51)</f>
        <v/>
      </c>
      <c r="M58" s="24">
        <f>IF(K58=1,SUMPRODUCT(--($L$8:$L$1207&lt;L58))+1,"")</f>
        <v/>
      </c>
      <c r="N58" s="25">
        <f>IF(K58=1,N('ORDENES'!$M54),0)</f>
        <v/>
      </c>
      <c r="O58" s="25">
        <f>IF('ORDENES'!$U54="preventiva",N58,0)</f>
        <v/>
      </c>
      <c r="P58" s="25">
        <f>IF('ORDENES'!$U54="correctiva",N58,0)</f>
        <v/>
      </c>
      <c r="Q58" s="24">
        <f>IF(AND(K58=1,'ORDENES'!$N54="Pendiente"),1,0)</f>
        <v/>
      </c>
      <c r="R58" s="24">
        <f>IF(Q58=1,100000-N58*1000+51*0.01,9000000000000+51)</f>
        <v/>
      </c>
      <c r="S58" s="24">
        <f>IF(Q58=1,SUMPRODUCT(--($R$8:$R$1207&lt;R58))+1,"")</f>
        <v/>
      </c>
      <c r="T58" s="30">
        <f>IF(K58=1,'ORDENES'!$J54,"")</f>
        <v/>
      </c>
      <c r="U58" s="24">
        <f>IFERROR(MATCH(51,$M$8:$M$1207,0),"")</f>
        <v/>
      </c>
      <c r="V58" s="24">
        <f>IF(U58="","",INDEX('ORDENES'!$S$4:$S$1203,U58))</f>
        <v/>
      </c>
      <c r="W58" s="24">
        <f>IF(U58="","",IF(V58&lt;&gt;V57,CHAR(10)&amp;UPPER(LEFT(V58,1))&amp;MID(V58,2,20)&amp;":"&amp;CHAR(10),"")&amp;"   "&amp;IF(INDEX('ORDENES'!$AI$4:$AI$1203,U58)="","(s/t)",INDEX('ORDENES'!$AI$4:$AI$1203,U58))&amp;" · "&amp;IF(INDEX('ORDENES'!$AH$4:$AH$1203,U58)="","(sin técnico)",INDEX('ORDENES'!$AH$4:$AH$1203,U58))&amp;" · "&amp;INDEX('ORDENES'!$AU$4:$AU$1203,U58)&amp;" — "&amp;INDEX('ORDENES'!$D$4:$D$1203,U58)&amp;" ("&amp;TEXT(INDEX('ORDENES'!$M$4:$M$1203,U58),"0.#")&amp;" h)")</f>
        <v/>
      </c>
    </row>
    <row r="59">
      <c r="K59" s="24">
        <f>IF(AND(IF($B$3="(todos)",TRUE,'ORDENES'!$O55=$B$3),IF($D$3="(todos)",TRUE,'ORDENES'!$AI55=$D$3),IF($F$3="(todos)",TRUE,'ORDENES'!$AA55=$F$3),IF($H$3="(todos)",TRUE,'ORDENES'!$Z55=$H$3),'ORDENES'!$AG55=TRUE,'ORDENES'!$A55&lt;&gt;""),1,0)</f>
        <v/>
      </c>
      <c r="L59" s="24">
        <f>IF(K59=1,IFERROR(MATCH('ORDENES'!$S55,lista_dias,0),9)*1000000000+IFERROR(MATCH('ORDENES'!$AI55,lista_turnos,0),9)*10000000+IFERROR(MATCH('ORDENES'!$AH55,'TECNICOS'!$B$4:$B$19,0),99)*100000+52,9000000000000+52)</f>
        <v/>
      </c>
      <c r="M59" s="24">
        <f>IF(K59=1,SUMPRODUCT(--($L$8:$L$1207&lt;L59))+1,"")</f>
        <v/>
      </c>
      <c r="N59" s="25">
        <f>IF(K59=1,N('ORDENES'!$M55),0)</f>
        <v/>
      </c>
      <c r="O59" s="25">
        <f>IF('ORDENES'!$U55="preventiva",N59,0)</f>
        <v/>
      </c>
      <c r="P59" s="25">
        <f>IF('ORDENES'!$U55="correctiva",N59,0)</f>
        <v/>
      </c>
      <c r="Q59" s="24">
        <f>IF(AND(K59=1,'ORDENES'!$N55="Pendiente"),1,0)</f>
        <v/>
      </c>
      <c r="R59" s="24">
        <f>IF(Q59=1,100000-N59*1000+52*0.01,9000000000000+52)</f>
        <v/>
      </c>
      <c r="S59" s="24">
        <f>IF(Q59=1,SUMPRODUCT(--($R$8:$R$1207&lt;R59))+1,"")</f>
        <v/>
      </c>
      <c r="T59" s="30">
        <f>IF(K59=1,'ORDENES'!$J55,"")</f>
        <v/>
      </c>
      <c r="U59" s="24">
        <f>IFERROR(MATCH(52,$M$8:$M$1207,0),"")</f>
        <v/>
      </c>
      <c r="V59" s="24">
        <f>IF(U59="","",INDEX('ORDENES'!$S$4:$S$1203,U59))</f>
        <v/>
      </c>
      <c r="W59" s="24">
        <f>IF(U59="","",IF(V59&lt;&gt;V58,CHAR(10)&amp;UPPER(LEFT(V59,1))&amp;MID(V59,2,20)&amp;":"&amp;CHAR(10),"")&amp;"   "&amp;IF(INDEX('ORDENES'!$AI$4:$AI$1203,U59)="","(s/t)",INDEX('ORDENES'!$AI$4:$AI$1203,U59))&amp;" · "&amp;IF(INDEX('ORDENES'!$AH$4:$AH$1203,U59)="","(sin técnico)",INDEX('ORDENES'!$AH$4:$AH$1203,U59))&amp;" · "&amp;INDEX('ORDENES'!$AU$4:$AU$1203,U59)&amp;" — "&amp;INDEX('ORDENES'!$D$4:$D$1203,U59)&amp;" ("&amp;TEXT(INDEX('ORDENES'!$M$4:$M$1203,U59),"0.#")&amp;" h)")</f>
        <v/>
      </c>
    </row>
    <row r="60">
      <c r="K60" s="24">
        <f>IF(AND(IF($B$3="(todos)",TRUE,'ORDENES'!$O56=$B$3),IF($D$3="(todos)",TRUE,'ORDENES'!$AI56=$D$3),IF($F$3="(todos)",TRUE,'ORDENES'!$AA56=$F$3),IF($H$3="(todos)",TRUE,'ORDENES'!$Z56=$H$3),'ORDENES'!$AG56=TRUE,'ORDENES'!$A56&lt;&gt;""),1,0)</f>
        <v/>
      </c>
      <c r="L60" s="24">
        <f>IF(K60=1,IFERROR(MATCH('ORDENES'!$S56,lista_dias,0),9)*1000000000+IFERROR(MATCH('ORDENES'!$AI56,lista_turnos,0),9)*10000000+IFERROR(MATCH('ORDENES'!$AH56,'TECNICOS'!$B$4:$B$19,0),99)*100000+53,9000000000000+53)</f>
        <v/>
      </c>
      <c r="M60" s="24">
        <f>IF(K60=1,SUMPRODUCT(--($L$8:$L$1207&lt;L60))+1,"")</f>
        <v/>
      </c>
      <c r="N60" s="25">
        <f>IF(K60=1,N('ORDENES'!$M56),0)</f>
        <v/>
      </c>
      <c r="O60" s="25">
        <f>IF('ORDENES'!$U56="preventiva",N60,0)</f>
        <v/>
      </c>
      <c r="P60" s="25">
        <f>IF('ORDENES'!$U56="correctiva",N60,0)</f>
        <v/>
      </c>
      <c r="Q60" s="24">
        <f>IF(AND(K60=1,'ORDENES'!$N56="Pendiente"),1,0)</f>
        <v/>
      </c>
      <c r="R60" s="24">
        <f>IF(Q60=1,100000-N60*1000+53*0.01,9000000000000+53)</f>
        <v/>
      </c>
      <c r="S60" s="24">
        <f>IF(Q60=1,SUMPRODUCT(--($R$8:$R$1207&lt;R60))+1,"")</f>
        <v/>
      </c>
      <c r="T60" s="30">
        <f>IF(K60=1,'ORDENES'!$J56,"")</f>
        <v/>
      </c>
      <c r="U60" s="24">
        <f>IFERROR(MATCH(53,$M$8:$M$1207,0),"")</f>
        <v/>
      </c>
      <c r="V60" s="24">
        <f>IF(U60="","",INDEX('ORDENES'!$S$4:$S$1203,U60))</f>
        <v/>
      </c>
      <c r="W60" s="24">
        <f>IF(U60="","",IF(V60&lt;&gt;V59,CHAR(10)&amp;UPPER(LEFT(V60,1))&amp;MID(V60,2,20)&amp;":"&amp;CHAR(10),"")&amp;"   "&amp;IF(INDEX('ORDENES'!$AI$4:$AI$1203,U60)="","(s/t)",INDEX('ORDENES'!$AI$4:$AI$1203,U60))&amp;" · "&amp;IF(INDEX('ORDENES'!$AH$4:$AH$1203,U60)="","(sin técnico)",INDEX('ORDENES'!$AH$4:$AH$1203,U60))&amp;" · "&amp;INDEX('ORDENES'!$AU$4:$AU$1203,U60)&amp;" — "&amp;INDEX('ORDENES'!$D$4:$D$1203,U60)&amp;" ("&amp;TEXT(INDEX('ORDENES'!$M$4:$M$1203,U60),"0.#")&amp;" h)")</f>
        <v/>
      </c>
    </row>
    <row r="61">
      <c r="K61" s="24">
        <f>IF(AND(IF($B$3="(todos)",TRUE,'ORDENES'!$O57=$B$3),IF($D$3="(todos)",TRUE,'ORDENES'!$AI57=$D$3),IF($F$3="(todos)",TRUE,'ORDENES'!$AA57=$F$3),IF($H$3="(todos)",TRUE,'ORDENES'!$Z57=$H$3),'ORDENES'!$AG57=TRUE,'ORDENES'!$A57&lt;&gt;""),1,0)</f>
        <v/>
      </c>
      <c r="L61" s="24">
        <f>IF(K61=1,IFERROR(MATCH('ORDENES'!$S57,lista_dias,0),9)*1000000000+IFERROR(MATCH('ORDENES'!$AI57,lista_turnos,0),9)*10000000+IFERROR(MATCH('ORDENES'!$AH57,'TECNICOS'!$B$4:$B$19,0),99)*100000+54,9000000000000+54)</f>
        <v/>
      </c>
      <c r="M61" s="24">
        <f>IF(K61=1,SUMPRODUCT(--($L$8:$L$1207&lt;L61))+1,"")</f>
        <v/>
      </c>
      <c r="N61" s="25">
        <f>IF(K61=1,N('ORDENES'!$M57),0)</f>
        <v/>
      </c>
      <c r="O61" s="25">
        <f>IF('ORDENES'!$U57="preventiva",N61,0)</f>
        <v/>
      </c>
      <c r="P61" s="25">
        <f>IF('ORDENES'!$U57="correctiva",N61,0)</f>
        <v/>
      </c>
      <c r="Q61" s="24">
        <f>IF(AND(K61=1,'ORDENES'!$N57="Pendiente"),1,0)</f>
        <v/>
      </c>
      <c r="R61" s="24">
        <f>IF(Q61=1,100000-N61*1000+54*0.01,9000000000000+54)</f>
        <v/>
      </c>
      <c r="S61" s="24">
        <f>IF(Q61=1,SUMPRODUCT(--($R$8:$R$1207&lt;R61))+1,"")</f>
        <v/>
      </c>
      <c r="T61" s="30">
        <f>IF(K61=1,'ORDENES'!$J57,"")</f>
        <v/>
      </c>
      <c r="U61" s="24">
        <f>IFERROR(MATCH(54,$M$8:$M$1207,0),"")</f>
        <v/>
      </c>
      <c r="V61" s="24">
        <f>IF(U61="","",INDEX('ORDENES'!$S$4:$S$1203,U61))</f>
        <v/>
      </c>
      <c r="W61" s="24">
        <f>IF(U61="","",IF(V61&lt;&gt;V60,CHAR(10)&amp;UPPER(LEFT(V61,1))&amp;MID(V61,2,20)&amp;":"&amp;CHAR(10),"")&amp;"   "&amp;IF(INDEX('ORDENES'!$AI$4:$AI$1203,U61)="","(s/t)",INDEX('ORDENES'!$AI$4:$AI$1203,U61))&amp;" · "&amp;IF(INDEX('ORDENES'!$AH$4:$AH$1203,U61)="","(sin técnico)",INDEX('ORDENES'!$AH$4:$AH$1203,U61))&amp;" · "&amp;INDEX('ORDENES'!$AU$4:$AU$1203,U61)&amp;" — "&amp;INDEX('ORDENES'!$D$4:$D$1203,U61)&amp;" ("&amp;TEXT(INDEX('ORDENES'!$M$4:$M$1203,U61),"0.#")&amp;" h)")</f>
        <v/>
      </c>
    </row>
    <row r="62">
      <c r="K62" s="24">
        <f>IF(AND(IF($B$3="(todos)",TRUE,'ORDENES'!$O58=$B$3),IF($D$3="(todos)",TRUE,'ORDENES'!$AI58=$D$3),IF($F$3="(todos)",TRUE,'ORDENES'!$AA58=$F$3),IF($H$3="(todos)",TRUE,'ORDENES'!$Z58=$H$3),'ORDENES'!$AG58=TRUE,'ORDENES'!$A58&lt;&gt;""),1,0)</f>
        <v/>
      </c>
      <c r="L62" s="24">
        <f>IF(K62=1,IFERROR(MATCH('ORDENES'!$S58,lista_dias,0),9)*1000000000+IFERROR(MATCH('ORDENES'!$AI58,lista_turnos,0),9)*10000000+IFERROR(MATCH('ORDENES'!$AH58,'TECNICOS'!$B$4:$B$19,0),99)*100000+55,9000000000000+55)</f>
        <v/>
      </c>
      <c r="M62" s="24">
        <f>IF(K62=1,SUMPRODUCT(--($L$8:$L$1207&lt;L62))+1,"")</f>
        <v/>
      </c>
      <c r="N62" s="25">
        <f>IF(K62=1,N('ORDENES'!$M58),0)</f>
        <v/>
      </c>
      <c r="O62" s="25">
        <f>IF('ORDENES'!$U58="preventiva",N62,0)</f>
        <v/>
      </c>
      <c r="P62" s="25">
        <f>IF('ORDENES'!$U58="correctiva",N62,0)</f>
        <v/>
      </c>
      <c r="Q62" s="24">
        <f>IF(AND(K62=1,'ORDENES'!$N58="Pendiente"),1,0)</f>
        <v/>
      </c>
      <c r="R62" s="24">
        <f>IF(Q62=1,100000-N62*1000+55*0.01,9000000000000+55)</f>
        <v/>
      </c>
      <c r="S62" s="24">
        <f>IF(Q62=1,SUMPRODUCT(--($R$8:$R$1207&lt;R62))+1,"")</f>
        <v/>
      </c>
      <c r="T62" s="30">
        <f>IF(K62=1,'ORDENES'!$J58,"")</f>
        <v/>
      </c>
      <c r="U62" s="24">
        <f>IFERROR(MATCH(55,$M$8:$M$1207,0),"")</f>
        <v/>
      </c>
      <c r="V62" s="24">
        <f>IF(U62="","",INDEX('ORDENES'!$S$4:$S$1203,U62))</f>
        <v/>
      </c>
      <c r="W62" s="24">
        <f>IF(U62="","",IF(V62&lt;&gt;V61,CHAR(10)&amp;UPPER(LEFT(V62,1))&amp;MID(V62,2,20)&amp;":"&amp;CHAR(10),"")&amp;"   "&amp;IF(INDEX('ORDENES'!$AI$4:$AI$1203,U62)="","(s/t)",INDEX('ORDENES'!$AI$4:$AI$1203,U62))&amp;" · "&amp;IF(INDEX('ORDENES'!$AH$4:$AH$1203,U62)="","(sin técnico)",INDEX('ORDENES'!$AH$4:$AH$1203,U62))&amp;" · "&amp;INDEX('ORDENES'!$AU$4:$AU$1203,U62)&amp;" — "&amp;INDEX('ORDENES'!$D$4:$D$1203,U62)&amp;" ("&amp;TEXT(INDEX('ORDENES'!$M$4:$M$1203,U62),"0.#")&amp;" h)")</f>
        <v/>
      </c>
    </row>
    <row r="63">
      <c r="K63" s="24">
        <f>IF(AND(IF($B$3="(todos)",TRUE,'ORDENES'!$O59=$B$3),IF($D$3="(todos)",TRUE,'ORDENES'!$AI59=$D$3),IF($F$3="(todos)",TRUE,'ORDENES'!$AA59=$F$3),IF($H$3="(todos)",TRUE,'ORDENES'!$Z59=$H$3),'ORDENES'!$AG59=TRUE,'ORDENES'!$A59&lt;&gt;""),1,0)</f>
        <v/>
      </c>
      <c r="L63" s="24">
        <f>IF(K63=1,IFERROR(MATCH('ORDENES'!$S59,lista_dias,0),9)*1000000000+IFERROR(MATCH('ORDENES'!$AI59,lista_turnos,0),9)*10000000+IFERROR(MATCH('ORDENES'!$AH59,'TECNICOS'!$B$4:$B$19,0),99)*100000+56,9000000000000+56)</f>
        <v/>
      </c>
      <c r="M63" s="24">
        <f>IF(K63=1,SUMPRODUCT(--($L$8:$L$1207&lt;L63))+1,"")</f>
        <v/>
      </c>
      <c r="N63" s="25">
        <f>IF(K63=1,N('ORDENES'!$M59),0)</f>
        <v/>
      </c>
      <c r="O63" s="25">
        <f>IF('ORDENES'!$U59="preventiva",N63,0)</f>
        <v/>
      </c>
      <c r="P63" s="25">
        <f>IF('ORDENES'!$U59="correctiva",N63,0)</f>
        <v/>
      </c>
      <c r="Q63" s="24">
        <f>IF(AND(K63=1,'ORDENES'!$N59="Pendiente"),1,0)</f>
        <v/>
      </c>
      <c r="R63" s="24">
        <f>IF(Q63=1,100000-N63*1000+56*0.01,9000000000000+56)</f>
        <v/>
      </c>
      <c r="S63" s="24">
        <f>IF(Q63=1,SUMPRODUCT(--($R$8:$R$1207&lt;R63))+1,"")</f>
        <v/>
      </c>
      <c r="T63" s="30">
        <f>IF(K63=1,'ORDENES'!$J59,"")</f>
        <v/>
      </c>
      <c r="U63" s="24">
        <f>IFERROR(MATCH(56,$M$8:$M$1207,0),"")</f>
        <v/>
      </c>
      <c r="V63" s="24">
        <f>IF(U63="","",INDEX('ORDENES'!$S$4:$S$1203,U63))</f>
        <v/>
      </c>
      <c r="W63" s="24">
        <f>IF(U63="","",IF(V63&lt;&gt;V62,CHAR(10)&amp;UPPER(LEFT(V63,1))&amp;MID(V63,2,20)&amp;":"&amp;CHAR(10),"")&amp;"   "&amp;IF(INDEX('ORDENES'!$AI$4:$AI$1203,U63)="","(s/t)",INDEX('ORDENES'!$AI$4:$AI$1203,U63))&amp;" · "&amp;IF(INDEX('ORDENES'!$AH$4:$AH$1203,U63)="","(sin técnico)",INDEX('ORDENES'!$AH$4:$AH$1203,U63))&amp;" · "&amp;INDEX('ORDENES'!$AU$4:$AU$1203,U63)&amp;" — "&amp;INDEX('ORDENES'!$D$4:$D$1203,U63)&amp;" ("&amp;TEXT(INDEX('ORDENES'!$M$4:$M$1203,U63),"0.#")&amp;" h)")</f>
        <v/>
      </c>
    </row>
    <row r="64">
      <c r="K64" s="24">
        <f>IF(AND(IF($B$3="(todos)",TRUE,'ORDENES'!$O60=$B$3),IF($D$3="(todos)",TRUE,'ORDENES'!$AI60=$D$3),IF($F$3="(todos)",TRUE,'ORDENES'!$AA60=$F$3),IF($H$3="(todos)",TRUE,'ORDENES'!$Z60=$H$3),'ORDENES'!$AG60=TRUE,'ORDENES'!$A60&lt;&gt;""),1,0)</f>
        <v/>
      </c>
      <c r="L64" s="24">
        <f>IF(K64=1,IFERROR(MATCH('ORDENES'!$S60,lista_dias,0),9)*1000000000+IFERROR(MATCH('ORDENES'!$AI60,lista_turnos,0),9)*10000000+IFERROR(MATCH('ORDENES'!$AH60,'TECNICOS'!$B$4:$B$19,0),99)*100000+57,9000000000000+57)</f>
        <v/>
      </c>
      <c r="M64" s="24">
        <f>IF(K64=1,SUMPRODUCT(--($L$8:$L$1207&lt;L64))+1,"")</f>
        <v/>
      </c>
      <c r="N64" s="25">
        <f>IF(K64=1,N('ORDENES'!$M60),0)</f>
        <v/>
      </c>
      <c r="O64" s="25">
        <f>IF('ORDENES'!$U60="preventiva",N64,0)</f>
        <v/>
      </c>
      <c r="P64" s="25">
        <f>IF('ORDENES'!$U60="correctiva",N64,0)</f>
        <v/>
      </c>
      <c r="Q64" s="24">
        <f>IF(AND(K64=1,'ORDENES'!$N60="Pendiente"),1,0)</f>
        <v/>
      </c>
      <c r="R64" s="24">
        <f>IF(Q64=1,100000-N64*1000+57*0.01,9000000000000+57)</f>
        <v/>
      </c>
      <c r="S64" s="24">
        <f>IF(Q64=1,SUMPRODUCT(--($R$8:$R$1207&lt;R64))+1,"")</f>
        <v/>
      </c>
      <c r="T64" s="30">
        <f>IF(K64=1,'ORDENES'!$J60,"")</f>
        <v/>
      </c>
      <c r="U64" s="24">
        <f>IFERROR(MATCH(57,$M$8:$M$1207,0),"")</f>
        <v/>
      </c>
      <c r="V64" s="24">
        <f>IF(U64="","",INDEX('ORDENES'!$S$4:$S$1203,U64))</f>
        <v/>
      </c>
      <c r="W64" s="24">
        <f>IF(U64="","",IF(V64&lt;&gt;V63,CHAR(10)&amp;UPPER(LEFT(V64,1))&amp;MID(V64,2,20)&amp;":"&amp;CHAR(10),"")&amp;"   "&amp;IF(INDEX('ORDENES'!$AI$4:$AI$1203,U64)="","(s/t)",INDEX('ORDENES'!$AI$4:$AI$1203,U64))&amp;" · "&amp;IF(INDEX('ORDENES'!$AH$4:$AH$1203,U64)="","(sin técnico)",INDEX('ORDENES'!$AH$4:$AH$1203,U64))&amp;" · "&amp;INDEX('ORDENES'!$AU$4:$AU$1203,U64)&amp;" — "&amp;INDEX('ORDENES'!$D$4:$D$1203,U64)&amp;" ("&amp;TEXT(INDEX('ORDENES'!$M$4:$M$1203,U64),"0.#")&amp;" h)")</f>
        <v/>
      </c>
    </row>
    <row r="65">
      <c r="K65" s="24">
        <f>IF(AND(IF($B$3="(todos)",TRUE,'ORDENES'!$O61=$B$3),IF($D$3="(todos)",TRUE,'ORDENES'!$AI61=$D$3),IF($F$3="(todos)",TRUE,'ORDENES'!$AA61=$F$3),IF($H$3="(todos)",TRUE,'ORDENES'!$Z61=$H$3),'ORDENES'!$AG61=TRUE,'ORDENES'!$A61&lt;&gt;""),1,0)</f>
        <v/>
      </c>
      <c r="L65" s="24">
        <f>IF(K65=1,IFERROR(MATCH('ORDENES'!$S61,lista_dias,0),9)*1000000000+IFERROR(MATCH('ORDENES'!$AI61,lista_turnos,0),9)*10000000+IFERROR(MATCH('ORDENES'!$AH61,'TECNICOS'!$B$4:$B$19,0),99)*100000+58,9000000000000+58)</f>
        <v/>
      </c>
      <c r="M65" s="24">
        <f>IF(K65=1,SUMPRODUCT(--($L$8:$L$1207&lt;L65))+1,"")</f>
        <v/>
      </c>
      <c r="N65" s="25">
        <f>IF(K65=1,N('ORDENES'!$M61),0)</f>
        <v/>
      </c>
      <c r="O65" s="25">
        <f>IF('ORDENES'!$U61="preventiva",N65,0)</f>
        <v/>
      </c>
      <c r="P65" s="25">
        <f>IF('ORDENES'!$U61="correctiva",N65,0)</f>
        <v/>
      </c>
      <c r="Q65" s="24">
        <f>IF(AND(K65=1,'ORDENES'!$N61="Pendiente"),1,0)</f>
        <v/>
      </c>
      <c r="R65" s="24">
        <f>IF(Q65=1,100000-N65*1000+58*0.01,9000000000000+58)</f>
        <v/>
      </c>
      <c r="S65" s="24">
        <f>IF(Q65=1,SUMPRODUCT(--($R$8:$R$1207&lt;R65))+1,"")</f>
        <v/>
      </c>
      <c r="T65" s="30">
        <f>IF(K65=1,'ORDENES'!$J61,"")</f>
        <v/>
      </c>
      <c r="U65" s="24">
        <f>IFERROR(MATCH(58,$M$8:$M$1207,0),"")</f>
        <v/>
      </c>
      <c r="V65" s="24">
        <f>IF(U65="","",INDEX('ORDENES'!$S$4:$S$1203,U65))</f>
        <v/>
      </c>
      <c r="W65" s="24">
        <f>IF(U65="","",IF(V65&lt;&gt;V64,CHAR(10)&amp;UPPER(LEFT(V65,1))&amp;MID(V65,2,20)&amp;":"&amp;CHAR(10),"")&amp;"   "&amp;IF(INDEX('ORDENES'!$AI$4:$AI$1203,U65)="","(s/t)",INDEX('ORDENES'!$AI$4:$AI$1203,U65))&amp;" · "&amp;IF(INDEX('ORDENES'!$AH$4:$AH$1203,U65)="","(sin técnico)",INDEX('ORDENES'!$AH$4:$AH$1203,U65))&amp;" · "&amp;INDEX('ORDENES'!$AU$4:$AU$1203,U65)&amp;" — "&amp;INDEX('ORDENES'!$D$4:$D$1203,U65)&amp;" ("&amp;TEXT(INDEX('ORDENES'!$M$4:$M$1203,U65),"0.#")&amp;" h)")</f>
        <v/>
      </c>
    </row>
    <row r="66">
      <c r="K66" s="24">
        <f>IF(AND(IF($B$3="(todos)",TRUE,'ORDENES'!$O62=$B$3),IF($D$3="(todos)",TRUE,'ORDENES'!$AI62=$D$3),IF($F$3="(todos)",TRUE,'ORDENES'!$AA62=$F$3),IF($H$3="(todos)",TRUE,'ORDENES'!$Z62=$H$3),'ORDENES'!$AG62=TRUE,'ORDENES'!$A62&lt;&gt;""),1,0)</f>
        <v/>
      </c>
      <c r="L66" s="24">
        <f>IF(K66=1,IFERROR(MATCH('ORDENES'!$S62,lista_dias,0),9)*1000000000+IFERROR(MATCH('ORDENES'!$AI62,lista_turnos,0),9)*10000000+IFERROR(MATCH('ORDENES'!$AH62,'TECNICOS'!$B$4:$B$19,0),99)*100000+59,9000000000000+59)</f>
        <v/>
      </c>
      <c r="M66" s="24">
        <f>IF(K66=1,SUMPRODUCT(--($L$8:$L$1207&lt;L66))+1,"")</f>
        <v/>
      </c>
      <c r="N66" s="25">
        <f>IF(K66=1,N('ORDENES'!$M62),0)</f>
        <v/>
      </c>
      <c r="O66" s="25">
        <f>IF('ORDENES'!$U62="preventiva",N66,0)</f>
        <v/>
      </c>
      <c r="P66" s="25">
        <f>IF('ORDENES'!$U62="correctiva",N66,0)</f>
        <v/>
      </c>
      <c r="Q66" s="24">
        <f>IF(AND(K66=1,'ORDENES'!$N62="Pendiente"),1,0)</f>
        <v/>
      </c>
      <c r="R66" s="24">
        <f>IF(Q66=1,100000-N66*1000+59*0.01,9000000000000+59)</f>
        <v/>
      </c>
      <c r="S66" s="24">
        <f>IF(Q66=1,SUMPRODUCT(--($R$8:$R$1207&lt;R66))+1,"")</f>
        <v/>
      </c>
      <c r="T66" s="30">
        <f>IF(K66=1,'ORDENES'!$J62,"")</f>
        <v/>
      </c>
      <c r="U66" s="24">
        <f>IFERROR(MATCH(59,$M$8:$M$1207,0),"")</f>
        <v/>
      </c>
      <c r="V66" s="24">
        <f>IF(U66="","",INDEX('ORDENES'!$S$4:$S$1203,U66))</f>
        <v/>
      </c>
      <c r="W66" s="24">
        <f>IF(U66="","",IF(V66&lt;&gt;V65,CHAR(10)&amp;UPPER(LEFT(V66,1))&amp;MID(V66,2,20)&amp;":"&amp;CHAR(10),"")&amp;"   "&amp;IF(INDEX('ORDENES'!$AI$4:$AI$1203,U66)="","(s/t)",INDEX('ORDENES'!$AI$4:$AI$1203,U66))&amp;" · "&amp;IF(INDEX('ORDENES'!$AH$4:$AH$1203,U66)="","(sin técnico)",INDEX('ORDENES'!$AH$4:$AH$1203,U66))&amp;" · "&amp;INDEX('ORDENES'!$AU$4:$AU$1203,U66)&amp;" — "&amp;INDEX('ORDENES'!$D$4:$D$1203,U66)&amp;" ("&amp;TEXT(INDEX('ORDENES'!$M$4:$M$1203,U66),"0.#")&amp;" h)")</f>
        <v/>
      </c>
    </row>
    <row r="67">
      <c r="K67" s="24">
        <f>IF(AND(IF($B$3="(todos)",TRUE,'ORDENES'!$O63=$B$3),IF($D$3="(todos)",TRUE,'ORDENES'!$AI63=$D$3),IF($F$3="(todos)",TRUE,'ORDENES'!$AA63=$F$3),IF($H$3="(todos)",TRUE,'ORDENES'!$Z63=$H$3),'ORDENES'!$AG63=TRUE,'ORDENES'!$A63&lt;&gt;""),1,0)</f>
        <v/>
      </c>
      <c r="L67" s="24">
        <f>IF(K67=1,IFERROR(MATCH('ORDENES'!$S63,lista_dias,0),9)*1000000000+IFERROR(MATCH('ORDENES'!$AI63,lista_turnos,0),9)*10000000+IFERROR(MATCH('ORDENES'!$AH63,'TECNICOS'!$B$4:$B$19,0),99)*100000+60,9000000000000+60)</f>
        <v/>
      </c>
      <c r="M67" s="24">
        <f>IF(K67=1,SUMPRODUCT(--($L$8:$L$1207&lt;L67))+1,"")</f>
        <v/>
      </c>
      <c r="N67" s="25">
        <f>IF(K67=1,N('ORDENES'!$M63),0)</f>
        <v/>
      </c>
      <c r="O67" s="25">
        <f>IF('ORDENES'!$U63="preventiva",N67,0)</f>
        <v/>
      </c>
      <c r="P67" s="25">
        <f>IF('ORDENES'!$U63="correctiva",N67,0)</f>
        <v/>
      </c>
      <c r="Q67" s="24">
        <f>IF(AND(K67=1,'ORDENES'!$N63="Pendiente"),1,0)</f>
        <v/>
      </c>
      <c r="R67" s="24">
        <f>IF(Q67=1,100000-N67*1000+60*0.01,9000000000000+60)</f>
        <v/>
      </c>
      <c r="S67" s="24">
        <f>IF(Q67=1,SUMPRODUCT(--($R$8:$R$1207&lt;R67))+1,"")</f>
        <v/>
      </c>
      <c r="T67" s="30">
        <f>IF(K67=1,'ORDENES'!$J63,"")</f>
        <v/>
      </c>
      <c r="U67" s="24">
        <f>IFERROR(MATCH(60,$M$8:$M$1207,0),"")</f>
        <v/>
      </c>
      <c r="V67" s="24">
        <f>IF(U67="","",INDEX('ORDENES'!$S$4:$S$1203,U67))</f>
        <v/>
      </c>
      <c r="W67" s="24">
        <f>IF(U67="","",IF(V67&lt;&gt;V66,CHAR(10)&amp;UPPER(LEFT(V67,1))&amp;MID(V67,2,20)&amp;":"&amp;CHAR(10),"")&amp;"   "&amp;IF(INDEX('ORDENES'!$AI$4:$AI$1203,U67)="","(s/t)",INDEX('ORDENES'!$AI$4:$AI$1203,U67))&amp;" · "&amp;IF(INDEX('ORDENES'!$AH$4:$AH$1203,U67)="","(sin técnico)",INDEX('ORDENES'!$AH$4:$AH$1203,U67))&amp;" · "&amp;INDEX('ORDENES'!$AU$4:$AU$1203,U67)&amp;" — "&amp;INDEX('ORDENES'!$D$4:$D$1203,U67)&amp;" ("&amp;TEXT(INDEX('ORDENES'!$M$4:$M$1203,U67),"0.#")&amp;" h)")</f>
        <v/>
      </c>
    </row>
    <row r="68">
      <c r="K68" s="24">
        <f>IF(AND(IF($B$3="(todos)",TRUE,'ORDENES'!$O64=$B$3),IF($D$3="(todos)",TRUE,'ORDENES'!$AI64=$D$3),IF($F$3="(todos)",TRUE,'ORDENES'!$AA64=$F$3),IF($H$3="(todos)",TRUE,'ORDENES'!$Z64=$H$3),'ORDENES'!$AG64=TRUE,'ORDENES'!$A64&lt;&gt;""),1,0)</f>
        <v/>
      </c>
      <c r="L68" s="24">
        <f>IF(K68=1,IFERROR(MATCH('ORDENES'!$S64,lista_dias,0),9)*1000000000+IFERROR(MATCH('ORDENES'!$AI64,lista_turnos,0),9)*10000000+IFERROR(MATCH('ORDENES'!$AH64,'TECNICOS'!$B$4:$B$19,0),99)*100000+61,9000000000000+61)</f>
        <v/>
      </c>
      <c r="M68" s="24">
        <f>IF(K68=1,SUMPRODUCT(--($L$8:$L$1207&lt;L68))+1,"")</f>
        <v/>
      </c>
      <c r="N68" s="25">
        <f>IF(K68=1,N('ORDENES'!$M64),0)</f>
        <v/>
      </c>
      <c r="O68" s="25">
        <f>IF('ORDENES'!$U64="preventiva",N68,0)</f>
        <v/>
      </c>
      <c r="P68" s="25">
        <f>IF('ORDENES'!$U64="correctiva",N68,0)</f>
        <v/>
      </c>
      <c r="Q68" s="24">
        <f>IF(AND(K68=1,'ORDENES'!$N64="Pendiente"),1,0)</f>
        <v/>
      </c>
      <c r="R68" s="24">
        <f>IF(Q68=1,100000-N68*1000+61*0.01,9000000000000+61)</f>
        <v/>
      </c>
      <c r="S68" s="24">
        <f>IF(Q68=1,SUMPRODUCT(--($R$8:$R$1207&lt;R68))+1,"")</f>
        <v/>
      </c>
      <c r="T68" s="30">
        <f>IF(K68=1,'ORDENES'!$J64,"")</f>
        <v/>
      </c>
      <c r="U68" s="24">
        <f>IFERROR(MATCH(61,$M$8:$M$1207,0),"")</f>
        <v/>
      </c>
      <c r="V68" s="24">
        <f>IF(U68="","",INDEX('ORDENES'!$S$4:$S$1203,U68))</f>
        <v/>
      </c>
      <c r="W68" s="24">
        <f>IF(U68="","",IF(V68&lt;&gt;V67,CHAR(10)&amp;UPPER(LEFT(V68,1))&amp;MID(V68,2,20)&amp;":"&amp;CHAR(10),"")&amp;"   "&amp;IF(INDEX('ORDENES'!$AI$4:$AI$1203,U68)="","(s/t)",INDEX('ORDENES'!$AI$4:$AI$1203,U68))&amp;" · "&amp;IF(INDEX('ORDENES'!$AH$4:$AH$1203,U68)="","(sin técnico)",INDEX('ORDENES'!$AH$4:$AH$1203,U68))&amp;" · "&amp;INDEX('ORDENES'!$AU$4:$AU$1203,U68)&amp;" — "&amp;INDEX('ORDENES'!$D$4:$D$1203,U68)&amp;" ("&amp;TEXT(INDEX('ORDENES'!$M$4:$M$1203,U68),"0.#")&amp;" h)")</f>
        <v/>
      </c>
    </row>
    <row r="69">
      <c r="K69" s="24">
        <f>IF(AND(IF($B$3="(todos)",TRUE,'ORDENES'!$O65=$B$3),IF($D$3="(todos)",TRUE,'ORDENES'!$AI65=$D$3),IF($F$3="(todos)",TRUE,'ORDENES'!$AA65=$F$3),IF($H$3="(todos)",TRUE,'ORDENES'!$Z65=$H$3),'ORDENES'!$AG65=TRUE,'ORDENES'!$A65&lt;&gt;""),1,0)</f>
        <v/>
      </c>
      <c r="L69" s="24">
        <f>IF(K69=1,IFERROR(MATCH('ORDENES'!$S65,lista_dias,0),9)*1000000000+IFERROR(MATCH('ORDENES'!$AI65,lista_turnos,0),9)*10000000+IFERROR(MATCH('ORDENES'!$AH65,'TECNICOS'!$B$4:$B$19,0),99)*100000+62,9000000000000+62)</f>
        <v/>
      </c>
      <c r="M69" s="24">
        <f>IF(K69=1,SUMPRODUCT(--($L$8:$L$1207&lt;L69))+1,"")</f>
        <v/>
      </c>
      <c r="N69" s="25">
        <f>IF(K69=1,N('ORDENES'!$M65),0)</f>
        <v/>
      </c>
      <c r="O69" s="25">
        <f>IF('ORDENES'!$U65="preventiva",N69,0)</f>
        <v/>
      </c>
      <c r="P69" s="25">
        <f>IF('ORDENES'!$U65="correctiva",N69,0)</f>
        <v/>
      </c>
      <c r="Q69" s="24">
        <f>IF(AND(K69=1,'ORDENES'!$N65="Pendiente"),1,0)</f>
        <v/>
      </c>
      <c r="R69" s="24">
        <f>IF(Q69=1,100000-N69*1000+62*0.01,9000000000000+62)</f>
        <v/>
      </c>
      <c r="S69" s="24">
        <f>IF(Q69=1,SUMPRODUCT(--($R$8:$R$1207&lt;R69))+1,"")</f>
        <v/>
      </c>
      <c r="T69" s="30">
        <f>IF(K69=1,'ORDENES'!$J65,"")</f>
        <v/>
      </c>
      <c r="U69" s="24">
        <f>IFERROR(MATCH(62,$M$8:$M$1207,0),"")</f>
        <v/>
      </c>
      <c r="V69" s="24">
        <f>IF(U69="","",INDEX('ORDENES'!$S$4:$S$1203,U69))</f>
        <v/>
      </c>
      <c r="W69" s="24">
        <f>IF(U69="","",IF(V69&lt;&gt;V68,CHAR(10)&amp;UPPER(LEFT(V69,1))&amp;MID(V69,2,20)&amp;":"&amp;CHAR(10),"")&amp;"   "&amp;IF(INDEX('ORDENES'!$AI$4:$AI$1203,U69)="","(s/t)",INDEX('ORDENES'!$AI$4:$AI$1203,U69))&amp;" · "&amp;IF(INDEX('ORDENES'!$AH$4:$AH$1203,U69)="","(sin técnico)",INDEX('ORDENES'!$AH$4:$AH$1203,U69))&amp;" · "&amp;INDEX('ORDENES'!$AU$4:$AU$1203,U69)&amp;" — "&amp;INDEX('ORDENES'!$D$4:$D$1203,U69)&amp;" ("&amp;TEXT(INDEX('ORDENES'!$M$4:$M$1203,U69),"0.#")&amp;" h)")</f>
        <v/>
      </c>
    </row>
    <row r="70">
      <c r="K70" s="24">
        <f>IF(AND(IF($B$3="(todos)",TRUE,'ORDENES'!$O66=$B$3),IF($D$3="(todos)",TRUE,'ORDENES'!$AI66=$D$3),IF($F$3="(todos)",TRUE,'ORDENES'!$AA66=$F$3),IF($H$3="(todos)",TRUE,'ORDENES'!$Z66=$H$3),'ORDENES'!$AG66=TRUE,'ORDENES'!$A66&lt;&gt;""),1,0)</f>
        <v/>
      </c>
      <c r="L70" s="24">
        <f>IF(K70=1,IFERROR(MATCH('ORDENES'!$S66,lista_dias,0),9)*1000000000+IFERROR(MATCH('ORDENES'!$AI66,lista_turnos,0),9)*10000000+IFERROR(MATCH('ORDENES'!$AH66,'TECNICOS'!$B$4:$B$19,0),99)*100000+63,9000000000000+63)</f>
        <v/>
      </c>
      <c r="M70" s="24">
        <f>IF(K70=1,SUMPRODUCT(--($L$8:$L$1207&lt;L70))+1,"")</f>
        <v/>
      </c>
      <c r="N70" s="25">
        <f>IF(K70=1,N('ORDENES'!$M66),0)</f>
        <v/>
      </c>
      <c r="O70" s="25">
        <f>IF('ORDENES'!$U66="preventiva",N70,0)</f>
        <v/>
      </c>
      <c r="P70" s="25">
        <f>IF('ORDENES'!$U66="correctiva",N70,0)</f>
        <v/>
      </c>
      <c r="Q70" s="24">
        <f>IF(AND(K70=1,'ORDENES'!$N66="Pendiente"),1,0)</f>
        <v/>
      </c>
      <c r="R70" s="24">
        <f>IF(Q70=1,100000-N70*1000+63*0.01,9000000000000+63)</f>
        <v/>
      </c>
      <c r="S70" s="24">
        <f>IF(Q70=1,SUMPRODUCT(--($R$8:$R$1207&lt;R70))+1,"")</f>
        <v/>
      </c>
      <c r="T70" s="30">
        <f>IF(K70=1,'ORDENES'!$J66,"")</f>
        <v/>
      </c>
      <c r="U70" s="24">
        <f>IFERROR(MATCH(63,$M$8:$M$1207,0),"")</f>
        <v/>
      </c>
      <c r="V70" s="24">
        <f>IF(U70="","",INDEX('ORDENES'!$S$4:$S$1203,U70))</f>
        <v/>
      </c>
      <c r="W70" s="24">
        <f>IF(U70="","",IF(V70&lt;&gt;V69,CHAR(10)&amp;UPPER(LEFT(V70,1))&amp;MID(V70,2,20)&amp;":"&amp;CHAR(10),"")&amp;"   "&amp;IF(INDEX('ORDENES'!$AI$4:$AI$1203,U70)="","(s/t)",INDEX('ORDENES'!$AI$4:$AI$1203,U70))&amp;" · "&amp;IF(INDEX('ORDENES'!$AH$4:$AH$1203,U70)="","(sin técnico)",INDEX('ORDENES'!$AH$4:$AH$1203,U70))&amp;" · "&amp;INDEX('ORDENES'!$AU$4:$AU$1203,U70)&amp;" — "&amp;INDEX('ORDENES'!$D$4:$D$1203,U70)&amp;" ("&amp;TEXT(INDEX('ORDENES'!$M$4:$M$1203,U70),"0.#")&amp;" h)")</f>
        <v/>
      </c>
    </row>
    <row r="71">
      <c r="K71" s="24">
        <f>IF(AND(IF($B$3="(todos)",TRUE,'ORDENES'!$O67=$B$3),IF($D$3="(todos)",TRUE,'ORDENES'!$AI67=$D$3),IF($F$3="(todos)",TRUE,'ORDENES'!$AA67=$F$3),IF($H$3="(todos)",TRUE,'ORDENES'!$Z67=$H$3),'ORDENES'!$AG67=TRUE,'ORDENES'!$A67&lt;&gt;""),1,0)</f>
        <v/>
      </c>
      <c r="L71" s="24">
        <f>IF(K71=1,IFERROR(MATCH('ORDENES'!$S67,lista_dias,0),9)*1000000000+IFERROR(MATCH('ORDENES'!$AI67,lista_turnos,0),9)*10000000+IFERROR(MATCH('ORDENES'!$AH67,'TECNICOS'!$B$4:$B$19,0),99)*100000+64,9000000000000+64)</f>
        <v/>
      </c>
      <c r="M71" s="24">
        <f>IF(K71=1,SUMPRODUCT(--($L$8:$L$1207&lt;L71))+1,"")</f>
        <v/>
      </c>
      <c r="N71" s="25">
        <f>IF(K71=1,N('ORDENES'!$M67),0)</f>
        <v/>
      </c>
      <c r="O71" s="25">
        <f>IF('ORDENES'!$U67="preventiva",N71,0)</f>
        <v/>
      </c>
      <c r="P71" s="25">
        <f>IF('ORDENES'!$U67="correctiva",N71,0)</f>
        <v/>
      </c>
      <c r="Q71" s="24">
        <f>IF(AND(K71=1,'ORDENES'!$N67="Pendiente"),1,0)</f>
        <v/>
      </c>
      <c r="R71" s="24">
        <f>IF(Q71=1,100000-N71*1000+64*0.01,9000000000000+64)</f>
        <v/>
      </c>
      <c r="S71" s="24">
        <f>IF(Q71=1,SUMPRODUCT(--($R$8:$R$1207&lt;R71))+1,"")</f>
        <v/>
      </c>
      <c r="T71" s="30">
        <f>IF(K71=1,'ORDENES'!$J67,"")</f>
        <v/>
      </c>
      <c r="U71" s="24">
        <f>IFERROR(MATCH(64,$M$8:$M$1207,0),"")</f>
        <v/>
      </c>
      <c r="V71" s="24">
        <f>IF(U71="","",INDEX('ORDENES'!$S$4:$S$1203,U71))</f>
        <v/>
      </c>
      <c r="W71" s="24">
        <f>IF(U71="","",IF(V71&lt;&gt;V70,CHAR(10)&amp;UPPER(LEFT(V71,1))&amp;MID(V71,2,20)&amp;":"&amp;CHAR(10),"")&amp;"   "&amp;IF(INDEX('ORDENES'!$AI$4:$AI$1203,U71)="","(s/t)",INDEX('ORDENES'!$AI$4:$AI$1203,U71))&amp;" · "&amp;IF(INDEX('ORDENES'!$AH$4:$AH$1203,U71)="","(sin técnico)",INDEX('ORDENES'!$AH$4:$AH$1203,U71))&amp;" · "&amp;INDEX('ORDENES'!$AU$4:$AU$1203,U71)&amp;" — "&amp;INDEX('ORDENES'!$D$4:$D$1203,U71)&amp;" ("&amp;TEXT(INDEX('ORDENES'!$M$4:$M$1203,U71),"0.#")&amp;" h)")</f>
        <v/>
      </c>
    </row>
    <row r="72">
      <c r="K72" s="24">
        <f>IF(AND(IF($B$3="(todos)",TRUE,'ORDENES'!$O68=$B$3),IF($D$3="(todos)",TRUE,'ORDENES'!$AI68=$D$3),IF($F$3="(todos)",TRUE,'ORDENES'!$AA68=$F$3),IF($H$3="(todos)",TRUE,'ORDENES'!$Z68=$H$3),'ORDENES'!$AG68=TRUE,'ORDENES'!$A68&lt;&gt;""),1,0)</f>
        <v/>
      </c>
      <c r="L72" s="24">
        <f>IF(K72=1,IFERROR(MATCH('ORDENES'!$S68,lista_dias,0),9)*1000000000+IFERROR(MATCH('ORDENES'!$AI68,lista_turnos,0),9)*10000000+IFERROR(MATCH('ORDENES'!$AH68,'TECNICOS'!$B$4:$B$19,0),99)*100000+65,9000000000000+65)</f>
        <v/>
      </c>
      <c r="M72" s="24">
        <f>IF(K72=1,SUMPRODUCT(--($L$8:$L$1207&lt;L72))+1,"")</f>
        <v/>
      </c>
      <c r="N72" s="25">
        <f>IF(K72=1,N('ORDENES'!$M68),0)</f>
        <v/>
      </c>
      <c r="O72" s="25">
        <f>IF('ORDENES'!$U68="preventiva",N72,0)</f>
        <v/>
      </c>
      <c r="P72" s="25">
        <f>IF('ORDENES'!$U68="correctiva",N72,0)</f>
        <v/>
      </c>
      <c r="Q72" s="24">
        <f>IF(AND(K72=1,'ORDENES'!$N68="Pendiente"),1,0)</f>
        <v/>
      </c>
      <c r="R72" s="24">
        <f>IF(Q72=1,100000-N72*1000+65*0.01,9000000000000+65)</f>
        <v/>
      </c>
      <c r="S72" s="24">
        <f>IF(Q72=1,SUMPRODUCT(--($R$8:$R$1207&lt;R72))+1,"")</f>
        <v/>
      </c>
      <c r="T72" s="30">
        <f>IF(K72=1,'ORDENES'!$J68,"")</f>
        <v/>
      </c>
      <c r="U72" s="24">
        <f>IFERROR(MATCH(65,$M$8:$M$1207,0),"")</f>
        <v/>
      </c>
      <c r="V72" s="24">
        <f>IF(U72="","",INDEX('ORDENES'!$S$4:$S$1203,U72))</f>
        <v/>
      </c>
      <c r="W72" s="24">
        <f>IF(U72="","",IF(V72&lt;&gt;V71,CHAR(10)&amp;UPPER(LEFT(V72,1))&amp;MID(V72,2,20)&amp;":"&amp;CHAR(10),"")&amp;"   "&amp;IF(INDEX('ORDENES'!$AI$4:$AI$1203,U72)="","(s/t)",INDEX('ORDENES'!$AI$4:$AI$1203,U72))&amp;" · "&amp;IF(INDEX('ORDENES'!$AH$4:$AH$1203,U72)="","(sin técnico)",INDEX('ORDENES'!$AH$4:$AH$1203,U72))&amp;" · "&amp;INDEX('ORDENES'!$AU$4:$AU$1203,U72)&amp;" — "&amp;INDEX('ORDENES'!$D$4:$D$1203,U72)&amp;" ("&amp;TEXT(INDEX('ORDENES'!$M$4:$M$1203,U72),"0.#")&amp;" h)")</f>
        <v/>
      </c>
    </row>
    <row r="73">
      <c r="K73" s="24">
        <f>IF(AND(IF($B$3="(todos)",TRUE,'ORDENES'!$O69=$B$3),IF($D$3="(todos)",TRUE,'ORDENES'!$AI69=$D$3),IF($F$3="(todos)",TRUE,'ORDENES'!$AA69=$F$3),IF($H$3="(todos)",TRUE,'ORDENES'!$Z69=$H$3),'ORDENES'!$AG69=TRUE,'ORDENES'!$A69&lt;&gt;""),1,0)</f>
        <v/>
      </c>
      <c r="L73" s="24">
        <f>IF(K73=1,IFERROR(MATCH('ORDENES'!$S69,lista_dias,0),9)*1000000000+IFERROR(MATCH('ORDENES'!$AI69,lista_turnos,0),9)*10000000+IFERROR(MATCH('ORDENES'!$AH69,'TECNICOS'!$B$4:$B$19,0),99)*100000+66,9000000000000+66)</f>
        <v/>
      </c>
      <c r="M73" s="24">
        <f>IF(K73=1,SUMPRODUCT(--($L$8:$L$1207&lt;L73))+1,"")</f>
        <v/>
      </c>
      <c r="N73" s="25">
        <f>IF(K73=1,N('ORDENES'!$M69),0)</f>
        <v/>
      </c>
      <c r="O73" s="25">
        <f>IF('ORDENES'!$U69="preventiva",N73,0)</f>
        <v/>
      </c>
      <c r="P73" s="25">
        <f>IF('ORDENES'!$U69="correctiva",N73,0)</f>
        <v/>
      </c>
      <c r="Q73" s="24">
        <f>IF(AND(K73=1,'ORDENES'!$N69="Pendiente"),1,0)</f>
        <v/>
      </c>
      <c r="R73" s="24">
        <f>IF(Q73=1,100000-N73*1000+66*0.01,9000000000000+66)</f>
        <v/>
      </c>
      <c r="S73" s="24">
        <f>IF(Q73=1,SUMPRODUCT(--($R$8:$R$1207&lt;R73))+1,"")</f>
        <v/>
      </c>
      <c r="T73" s="30">
        <f>IF(K73=1,'ORDENES'!$J69,"")</f>
        <v/>
      </c>
      <c r="U73" s="24">
        <f>IFERROR(MATCH(66,$M$8:$M$1207,0),"")</f>
        <v/>
      </c>
      <c r="V73" s="24">
        <f>IF(U73="","",INDEX('ORDENES'!$S$4:$S$1203,U73))</f>
        <v/>
      </c>
      <c r="W73" s="24">
        <f>IF(U73="","",IF(V73&lt;&gt;V72,CHAR(10)&amp;UPPER(LEFT(V73,1))&amp;MID(V73,2,20)&amp;":"&amp;CHAR(10),"")&amp;"   "&amp;IF(INDEX('ORDENES'!$AI$4:$AI$1203,U73)="","(s/t)",INDEX('ORDENES'!$AI$4:$AI$1203,U73))&amp;" · "&amp;IF(INDEX('ORDENES'!$AH$4:$AH$1203,U73)="","(sin técnico)",INDEX('ORDENES'!$AH$4:$AH$1203,U73))&amp;" · "&amp;INDEX('ORDENES'!$AU$4:$AU$1203,U73)&amp;" — "&amp;INDEX('ORDENES'!$D$4:$D$1203,U73)&amp;" ("&amp;TEXT(INDEX('ORDENES'!$M$4:$M$1203,U73),"0.#")&amp;" h)")</f>
        <v/>
      </c>
    </row>
    <row r="74">
      <c r="K74" s="24">
        <f>IF(AND(IF($B$3="(todos)",TRUE,'ORDENES'!$O70=$B$3),IF($D$3="(todos)",TRUE,'ORDENES'!$AI70=$D$3),IF($F$3="(todos)",TRUE,'ORDENES'!$AA70=$F$3),IF($H$3="(todos)",TRUE,'ORDENES'!$Z70=$H$3),'ORDENES'!$AG70=TRUE,'ORDENES'!$A70&lt;&gt;""),1,0)</f>
        <v/>
      </c>
      <c r="L74" s="24">
        <f>IF(K74=1,IFERROR(MATCH('ORDENES'!$S70,lista_dias,0),9)*1000000000+IFERROR(MATCH('ORDENES'!$AI70,lista_turnos,0),9)*10000000+IFERROR(MATCH('ORDENES'!$AH70,'TECNICOS'!$B$4:$B$19,0),99)*100000+67,9000000000000+67)</f>
        <v/>
      </c>
      <c r="M74" s="24">
        <f>IF(K74=1,SUMPRODUCT(--($L$8:$L$1207&lt;L74))+1,"")</f>
        <v/>
      </c>
      <c r="N74" s="25">
        <f>IF(K74=1,N('ORDENES'!$M70),0)</f>
        <v/>
      </c>
      <c r="O74" s="25">
        <f>IF('ORDENES'!$U70="preventiva",N74,0)</f>
        <v/>
      </c>
      <c r="P74" s="25">
        <f>IF('ORDENES'!$U70="correctiva",N74,0)</f>
        <v/>
      </c>
      <c r="Q74" s="24">
        <f>IF(AND(K74=1,'ORDENES'!$N70="Pendiente"),1,0)</f>
        <v/>
      </c>
      <c r="R74" s="24">
        <f>IF(Q74=1,100000-N74*1000+67*0.01,9000000000000+67)</f>
        <v/>
      </c>
      <c r="S74" s="24">
        <f>IF(Q74=1,SUMPRODUCT(--($R$8:$R$1207&lt;R74))+1,"")</f>
        <v/>
      </c>
      <c r="T74" s="30">
        <f>IF(K74=1,'ORDENES'!$J70,"")</f>
        <v/>
      </c>
      <c r="U74" s="24">
        <f>IFERROR(MATCH(67,$M$8:$M$1207,0),"")</f>
        <v/>
      </c>
      <c r="V74" s="24">
        <f>IF(U74="","",INDEX('ORDENES'!$S$4:$S$1203,U74))</f>
        <v/>
      </c>
      <c r="W74" s="24">
        <f>IF(U74="","",IF(V74&lt;&gt;V73,CHAR(10)&amp;UPPER(LEFT(V74,1))&amp;MID(V74,2,20)&amp;":"&amp;CHAR(10),"")&amp;"   "&amp;IF(INDEX('ORDENES'!$AI$4:$AI$1203,U74)="","(s/t)",INDEX('ORDENES'!$AI$4:$AI$1203,U74))&amp;" · "&amp;IF(INDEX('ORDENES'!$AH$4:$AH$1203,U74)="","(sin técnico)",INDEX('ORDENES'!$AH$4:$AH$1203,U74))&amp;" · "&amp;INDEX('ORDENES'!$AU$4:$AU$1203,U74)&amp;" — "&amp;INDEX('ORDENES'!$D$4:$D$1203,U74)&amp;" ("&amp;TEXT(INDEX('ORDENES'!$M$4:$M$1203,U74),"0.#")&amp;" h)")</f>
        <v/>
      </c>
    </row>
    <row r="75">
      <c r="K75" s="24">
        <f>IF(AND(IF($B$3="(todos)",TRUE,'ORDENES'!$O71=$B$3),IF($D$3="(todos)",TRUE,'ORDENES'!$AI71=$D$3),IF($F$3="(todos)",TRUE,'ORDENES'!$AA71=$F$3),IF($H$3="(todos)",TRUE,'ORDENES'!$Z71=$H$3),'ORDENES'!$AG71=TRUE,'ORDENES'!$A71&lt;&gt;""),1,0)</f>
        <v/>
      </c>
      <c r="L75" s="24">
        <f>IF(K75=1,IFERROR(MATCH('ORDENES'!$S71,lista_dias,0),9)*1000000000+IFERROR(MATCH('ORDENES'!$AI71,lista_turnos,0),9)*10000000+IFERROR(MATCH('ORDENES'!$AH71,'TECNICOS'!$B$4:$B$19,0),99)*100000+68,9000000000000+68)</f>
        <v/>
      </c>
      <c r="M75" s="24">
        <f>IF(K75=1,SUMPRODUCT(--($L$8:$L$1207&lt;L75))+1,"")</f>
        <v/>
      </c>
      <c r="N75" s="25">
        <f>IF(K75=1,N('ORDENES'!$M71),0)</f>
        <v/>
      </c>
      <c r="O75" s="25">
        <f>IF('ORDENES'!$U71="preventiva",N75,0)</f>
        <v/>
      </c>
      <c r="P75" s="25">
        <f>IF('ORDENES'!$U71="correctiva",N75,0)</f>
        <v/>
      </c>
      <c r="Q75" s="24">
        <f>IF(AND(K75=1,'ORDENES'!$N71="Pendiente"),1,0)</f>
        <v/>
      </c>
      <c r="R75" s="24">
        <f>IF(Q75=1,100000-N75*1000+68*0.01,9000000000000+68)</f>
        <v/>
      </c>
      <c r="S75" s="24">
        <f>IF(Q75=1,SUMPRODUCT(--($R$8:$R$1207&lt;R75))+1,"")</f>
        <v/>
      </c>
      <c r="T75" s="30">
        <f>IF(K75=1,'ORDENES'!$J71,"")</f>
        <v/>
      </c>
      <c r="U75" s="24">
        <f>IFERROR(MATCH(68,$M$8:$M$1207,0),"")</f>
        <v/>
      </c>
      <c r="V75" s="24">
        <f>IF(U75="","",INDEX('ORDENES'!$S$4:$S$1203,U75))</f>
        <v/>
      </c>
      <c r="W75" s="24">
        <f>IF(U75="","",IF(V75&lt;&gt;V74,CHAR(10)&amp;UPPER(LEFT(V75,1))&amp;MID(V75,2,20)&amp;":"&amp;CHAR(10),"")&amp;"   "&amp;IF(INDEX('ORDENES'!$AI$4:$AI$1203,U75)="","(s/t)",INDEX('ORDENES'!$AI$4:$AI$1203,U75))&amp;" · "&amp;IF(INDEX('ORDENES'!$AH$4:$AH$1203,U75)="","(sin técnico)",INDEX('ORDENES'!$AH$4:$AH$1203,U75))&amp;" · "&amp;INDEX('ORDENES'!$AU$4:$AU$1203,U75)&amp;" — "&amp;INDEX('ORDENES'!$D$4:$D$1203,U75)&amp;" ("&amp;TEXT(INDEX('ORDENES'!$M$4:$M$1203,U75),"0.#")&amp;" h)")</f>
        <v/>
      </c>
    </row>
    <row r="76">
      <c r="K76" s="24">
        <f>IF(AND(IF($B$3="(todos)",TRUE,'ORDENES'!$O72=$B$3),IF($D$3="(todos)",TRUE,'ORDENES'!$AI72=$D$3),IF($F$3="(todos)",TRUE,'ORDENES'!$AA72=$F$3),IF($H$3="(todos)",TRUE,'ORDENES'!$Z72=$H$3),'ORDENES'!$AG72=TRUE,'ORDENES'!$A72&lt;&gt;""),1,0)</f>
        <v/>
      </c>
      <c r="L76" s="24">
        <f>IF(K76=1,IFERROR(MATCH('ORDENES'!$S72,lista_dias,0),9)*1000000000+IFERROR(MATCH('ORDENES'!$AI72,lista_turnos,0),9)*10000000+IFERROR(MATCH('ORDENES'!$AH72,'TECNICOS'!$B$4:$B$19,0),99)*100000+69,9000000000000+69)</f>
        <v/>
      </c>
      <c r="M76" s="24">
        <f>IF(K76=1,SUMPRODUCT(--($L$8:$L$1207&lt;L76))+1,"")</f>
        <v/>
      </c>
      <c r="N76" s="25">
        <f>IF(K76=1,N('ORDENES'!$M72),0)</f>
        <v/>
      </c>
      <c r="O76" s="25">
        <f>IF('ORDENES'!$U72="preventiva",N76,0)</f>
        <v/>
      </c>
      <c r="P76" s="25">
        <f>IF('ORDENES'!$U72="correctiva",N76,0)</f>
        <v/>
      </c>
      <c r="Q76" s="24">
        <f>IF(AND(K76=1,'ORDENES'!$N72="Pendiente"),1,0)</f>
        <v/>
      </c>
      <c r="R76" s="24">
        <f>IF(Q76=1,100000-N76*1000+69*0.01,9000000000000+69)</f>
        <v/>
      </c>
      <c r="S76" s="24">
        <f>IF(Q76=1,SUMPRODUCT(--($R$8:$R$1207&lt;R76))+1,"")</f>
        <v/>
      </c>
      <c r="T76" s="30">
        <f>IF(K76=1,'ORDENES'!$J72,"")</f>
        <v/>
      </c>
      <c r="U76" s="24">
        <f>IFERROR(MATCH(69,$M$8:$M$1207,0),"")</f>
        <v/>
      </c>
      <c r="V76" s="24">
        <f>IF(U76="","",INDEX('ORDENES'!$S$4:$S$1203,U76))</f>
        <v/>
      </c>
      <c r="W76" s="24">
        <f>IF(U76="","",IF(V76&lt;&gt;V75,CHAR(10)&amp;UPPER(LEFT(V76,1))&amp;MID(V76,2,20)&amp;":"&amp;CHAR(10),"")&amp;"   "&amp;IF(INDEX('ORDENES'!$AI$4:$AI$1203,U76)="","(s/t)",INDEX('ORDENES'!$AI$4:$AI$1203,U76))&amp;" · "&amp;IF(INDEX('ORDENES'!$AH$4:$AH$1203,U76)="","(sin técnico)",INDEX('ORDENES'!$AH$4:$AH$1203,U76))&amp;" · "&amp;INDEX('ORDENES'!$AU$4:$AU$1203,U76)&amp;" — "&amp;INDEX('ORDENES'!$D$4:$D$1203,U76)&amp;" ("&amp;TEXT(INDEX('ORDENES'!$M$4:$M$1203,U76),"0.#")&amp;" h)")</f>
        <v/>
      </c>
    </row>
    <row r="77">
      <c r="K77" s="24">
        <f>IF(AND(IF($B$3="(todos)",TRUE,'ORDENES'!$O73=$B$3),IF($D$3="(todos)",TRUE,'ORDENES'!$AI73=$D$3),IF($F$3="(todos)",TRUE,'ORDENES'!$AA73=$F$3),IF($H$3="(todos)",TRUE,'ORDENES'!$Z73=$H$3),'ORDENES'!$AG73=TRUE,'ORDENES'!$A73&lt;&gt;""),1,0)</f>
        <v/>
      </c>
      <c r="L77" s="24">
        <f>IF(K77=1,IFERROR(MATCH('ORDENES'!$S73,lista_dias,0),9)*1000000000+IFERROR(MATCH('ORDENES'!$AI73,lista_turnos,0),9)*10000000+IFERROR(MATCH('ORDENES'!$AH73,'TECNICOS'!$B$4:$B$19,0),99)*100000+70,9000000000000+70)</f>
        <v/>
      </c>
      <c r="M77" s="24">
        <f>IF(K77=1,SUMPRODUCT(--($L$8:$L$1207&lt;L77))+1,"")</f>
        <v/>
      </c>
      <c r="N77" s="25">
        <f>IF(K77=1,N('ORDENES'!$M73),0)</f>
        <v/>
      </c>
      <c r="O77" s="25">
        <f>IF('ORDENES'!$U73="preventiva",N77,0)</f>
        <v/>
      </c>
      <c r="P77" s="25">
        <f>IF('ORDENES'!$U73="correctiva",N77,0)</f>
        <v/>
      </c>
      <c r="Q77" s="24">
        <f>IF(AND(K77=1,'ORDENES'!$N73="Pendiente"),1,0)</f>
        <v/>
      </c>
      <c r="R77" s="24">
        <f>IF(Q77=1,100000-N77*1000+70*0.01,9000000000000+70)</f>
        <v/>
      </c>
      <c r="S77" s="24">
        <f>IF(Q77=1,SUMPRODUCT(--($R$8:$R$1207&lt;R77))+1,"")</f>
        <v/>
      </c>
      <c r="T77" s="30">
        <f>IF(K77=1,'ORDENES'!$J73,"")</f>
        <v/>
      </c>
      <c r="U77" s="24">
        <f>IFERROR(MATCH(70,$M$8:$M$1207,0),"")</f>
        <v/>
      </c>
      <c r="V77" s="24">
        <f>IF(U77="","",INDEX('ORDENES'!$S$4:$S$1203,U77))</f>
        <v/>
      </c>
      <c r="W77" s="24">
        <f>IF(U77="","",IF(V77&lt;&gt;V76,CHAR(10)&amp;UPPER(LEFT(V77,1))&amp;MID(V77,2,20)&amp;":"&amp;CHAR(10),"")&amp;"   "&amp;IF(INDEX('ORDENES'!$AI$4:$AI$1203,U77)="","(s/t)",INDEX('ORDENES'!$AI$4:$AI$1203,U77))&amp;" · "&amp;IF(INDEX('ORDENES'!$AH$4:$AH$1203,U77)="","(sin técnico)",INDEX('ORDENES'!$AH$4:$AH$1203,U77))&amp;" · "&amp;INDEX('ORDENES'!$AU$4:$AU$1203,U77)&amp;" — "&amp;INDEX('ORDENES'!$D$4:$D$1203,U77)&amp;" ("&amp;TEXT(INDEX('ORDENES'!$M$4:$M$1203,U77),"0.#")&amp;" h)")</f>
        <v/>
      </c>
    </row>
    <row r="78">
      <c r="K78" s="24">
        <f>IF(AND(IF($B$3="(todos)",TRUE,'ORDENES'!$O74=$B$3),IF($D$3="(todos)",TRUE,'ORDENES'!$AI74=$D$3),IF($F$3="(todos)",TRUE,'ORDENES'!$AA74=$F$3),IF($H$3="(todos)",TRUE,'ORDENES'!$Z74=$H$3),'ORDENES'!$AG74=TRUE,'ORDENES'!$A74&lt;&gt;""),1,0)</f>
        <v/>
      </c>
      <c r="L78" s="24">
        <f>IF(K78=1,IFERROR(MATCH('ORDENES'!$S74,lista_dias,0),9)*1000000000+IFERROR(MATCH('ORDENES'!$AI74,lista_turnos,0),9)*10000000+IFERROR(MATCH('ORDENES'!$AH74,'TECNICOS'!$B$4:$B$19,0),99)*100000+71,9000000000000+71)</f>
        <v/>
      </c>
      <c r="M78" s="24">
        <f>IF(K78=1,SUMPRODUCT(--($L$8:$L$1207&lt;L78))+1,"")</f>
        <v/>
      </c>
      <c r="N78" s="25">
        <f>IF(K78=1,N('ORDENES'!$M74),0)</f>
        <v/>
      </c>
      <c r="O78" s="25">
        <f>IF('ORDENES'!$U74="preventiva",N78,0)</f>
        <v/>
      </c>
      <c r="P78" s="25">
        <f>IF('ORDENES'!$U74="correctiva",N78,0)</f>
        <v/>
      </c>
      <c r="Q78" s="24">
        <f>IF(AND(K78=1,'ORDENES'!$N74="Pendiente"),1,0)</f>
        <v/>
      </c>
      <c r="R78" s="24">
        <f>IF(Q78=1,100000-N78*1000+71*0.01,9000000000000+71)</f>
        <v/>
      </c>
      <c r="S78" s="24">
        <f>IF(Q78=1,SUMPRODUCT(--($R$8:$R$1207&lt;R78))+1,"")</f>
        <v/>
      </c>
      <c r="T78" s="30">
        <f>IF(K78=1,'ORDENES'!$J74,"")</f>
        <v/>
      </c>
      <c r="U78" s="24">
        <f>IFERROR(MATCH(71,$M$8:$M$1207,0),"")</f>
        <v/>
      </c>
      <c r="V78" s="24">
        <f>IF(U78="","",INDEX('ORDENES'!$S$4:$S$1203,U78))</f>
        <v/>
      </c>
      <c r="W78" s="24">
        <f>IF(U78="","",IF(V78&lt;&gt;V77,CHAR(10)&amp;UPPER(LEFT(V78,1))&amp;MID(V78,2,20)&amp;":"&amp;CHAR(10),"")&amp;"   "&amp;IF(INDEX('ORDENES'!$AI$4:$AI$1203,U78)="","(s/t)",INDEX('ORDENES'!$AI$4:$AI$1203,U78))&amp;" · "&amp;IF(INDEX('ORDENES'!$AH$4:$AH$1203,U78)="","(sin técnico)",INDEX('ORDENES'!$AH$4:$AH$1203,U78))&amp;" · "&amp;INDEX('ORDENES'!$AU$4:$AU$1203,U78)&amp;" — "&amp;INDEX('ORDENES'!$D$4:$D$1203,U78)&amp;" ("&amp;TEXT(INDEX('ORDENES'!$M$4:$M$1203,U78),"0.#")&amp;" h)")</f>
        <v/>
      </c>
    </row>
    <row r="79">
      <c r="K79" s="24">
        <f>IF(AND(IF($B$3="(todos)",TRUE,'ORDENES'!$O75=$B$3),IF($D$3="(todos)",TRUE,'ORDENES'!$AI75=$D$3),IF($F$3="(todos)",TRUE,'ORDENES'!$AA75=$F$3),IF($H$3="(todos)",TRUE,'ORDENES'!$Z75=$H$3),'ORDENES'!$AG75=TRUE,'ORDENES'!$A75&lt;&gt;""),1,0)</f>
        <v/>
      </c>
      <c r="L79" s="24">
        <f>IF(K79=1,IFERROR(MATCH('ORDENES'!$S75,lista_dias,0),9)*1000000000+IFERROR(MATCH('ORDENES'!$AI75,lista_turnos,0),9)*10000000+IFERROR(MATCH('ORDENES'!$AH75,'TECNICOS'!$B$4:$B$19,0),99)*100000+72,9000000000000+72)</f>
        <v/>
      </c>
      <c r="M79" s="24">
        <f>IF(K79=1,SUMPRODUCT(--($L$8:$L$1207&lt;L79))+1,"")</f>
        <v/>
      </c>
      <c r="N79" s="25">
        <f>IF(K79=1,N('ORDENES'!$M75),0)</f>
        <v/>
      </c>
      <c r="O79" s="25">
        <f>IF('ORDENES'!$U75="preventiva",N79,0)</f>
        <v/>
      </c>
      <c r="P79" s="25">
        <f>IF('ORDENES'!$U75="correctiva",N79,0)</f>
        <v/>
      </c>
      <c r="Q79" s="24">
        <f>IF(AND(K79=1,'ORDENES'!$N75="Pendiente"),1,0)</f>
        <v/>
      </c>
      <c r="R79" s="24">
        <f>IF(Q79=1,100000-N79*1000+72*0.01,9000000000000+72)</f>
        <v/>
      </c>
      <c r="S79" s="24">
        <f>IF(Q79=1,SUMPRODUCT(--($R$8:$R$1207&lt;R79))+1,"")</f>
        <v/>
      </c>
      <c r="T79" s="30">
        <f>IF(K79=1,'ORDENES'!$J75,"")</f>
        <v/>
      </c>
      <c r="U79" s="24">
        <f>IFERROR(MATCH(72,$M$8:$M$1207,0),"")</f>
        <v/>
      </c>
      <c r="V79" s="24">
        <f>IF(U79="","",INDEX('ORDENES'!$S$4:$S$1203,U79))</f>
        <v/>
      </c>
      <c r="W79" s="24">
        <f>IF(U79="","",IF(V79&lt;&gt;V78,CHAR(10)&amp;UPPER(LEFT(V79,1))&amp;MID(V79,2,20)&amp;":"&amp;CHAR(10),"")&amp;"   "&amp;IF(INDEX('ORDENES'!$AI$4:$AI$1203,U79)="","(s/t)",INDEX('ORDENES'!$AI$4:$AI$1203,U79))&amp;" · "&amp;IF(INDEX('ORDENES'!$AH$4:$AH$1203,U79)="","(sin técnico)",INDEX('ORDENES'!$AH$4:$AH$1203,U79))&amp;" · "&amp;INDEX('ORDENES'!$AU$4:$AU$1203,U79)&amp;" — "&amp;INDEX('ORDENES'!$D$4:$D$1203,U79)&amp;" ("&amp;TEXT(INDEX('ORDENES'!$M$4:$M$1203,U79),"0.#")&amp;" h)")</f>
        <v/>
      </c>
    </row>
    <row r="80">
      <c r="K80" s="24">
        <f>IF(AND(IF($B$3="(todos)",TRUE,'ORDENES'!$O76=$B$3),IF($D$3="(todos)",TRUE,'ORDENES'!$AI76=$D$3),IF($F$3="(todos)",TRUE,'ORDENES'!$AA76=$F$3),IF($H$3="(todos)",TRUE,'ORDENES'!$Z76=$H$3),'ORDENES'!$AG76=TRUE,'ORDENES'!$A76&lt;&gt;""),1,0)</f>
        <v/>
      </c>
      <c r="L80" s="24">
        <f>IF(K80=1,IFERROR(MATCH('ORDENES'!$S76,lista_dias,0),9)*1000000000+IFERROR(MATCH('ORDENES'!$AI76,lista_turnos,0),9)*10000000+IFERROR(MATCH('ORDENES'!$AH76,'TECNICOS'!$B$4:$B$19,0),99)*100000+73,9000000000000+73)</f>
        <v/>
      </c>
      <c r="M80" s="24">
        <f>IF(K80=1,SUMPRODUCT(--($L$8:$L$1207&lt;L80))+1,"")</f>
        <v/>
      </c>
      <c r="N80" s="25">
        <f>IF(K80=1,N('ORDENES'!$M76),0)</f>
        <v/>
      </c>
      <c r="O80" s="25">
        <f>IF('ORDENES'!$U76="preventiva",N80,0)</f>
        <v/>
      </c>
      <c r="P80" s="25">
        <f>IF('ORDENES'!$U76="correctiva",N80,0)</f>
        <v/>
      </c>
      <c r="Q80" s="24">
        <f>IF(AND(K80=1,'ORDENES'!$N76="Pendiente"),1,0)</f>
        <v/>
      </c>
      <c r="R80" s="24">
        <f>IF(Q80=1,100000-N80*1000+73*0.01,9000000000000+73)</f>
        <v/>
      </c>
      <c r="S80" s="24">
        <f>IF(Q80=1,SUMPRODUCT(--($R$8:$R$1207&lt;R80))+1,"")</f>
        <v/>
      </c>
      <c r="T80" s="30">
        <f>IF(K80=1,'ORDENES'!$J76,"")</f>
        <v/>
      </c>
      <c r="U80" s="24">
        <f>IFERROR(MATCH(73,$M$8:$M$1207,0),"")</f>
        <v/>
      </c>
      <c r="V80" s="24">
        <f>IF(U80="","",INDEX('ORDENES'!$S$4:$S$1203,U80))</f>
        <v/>
      </c>
      <c r="W80" s="24">
        <f>IF(U80="","",IF(V80&lt;&gt;V79,CHAR(10)&amp;UPPER(LEFT(V80,1))&amp;MID(V80,2,20)&amp;":"&amp;CHAR(10),"")&amp;"   "&amp;IF(INDEX('ORDENES'!$AI$4:$AI$1203,U80)="","(s/t)",INDEX('ORDENES'!$AI$4:$AI$1203,U80))&amp;" · "&amp;IF(INDEX('ORDENES'!$AH$4:$AH$1203,U80)="","(sin técnico)",INDEX('ORDENES'!$AH$4:$AH$1203,U80))&amp;" · "&amp;INDEX('ORDENES'!$AU$4:$AU$1203,U80)&amp;" — "&amp;INDEX('ORDENES'!$D$4:$D$1203,U80)&amp;" ("&amp;TEXT(INDEX('ORDENES'!$M$4:$M$1203,U80),"0.#")&amp;" h)")</f>
        <v/>
      </c>
    </row>
    <row r="81">
      <c r="K81" s="24">
        <f>IF(AND(IF($B$3="(todos)",TRUE,'ORDENES'!$O77=$B$3),IF($D$3="(todos)",TRUE,'ORDENES'!$AI77=$D$3),IF($F$3="(todos)",TRUE,'ORDENES'!$AA77=$F$3),IF($H$3="(todos)",TRUE,'ORDENES'!$Z77=$H$3),'ORDENES'!$AG77=TRUE,'ORDENES'!$A77&lt;&gt;""),1,0)</f>
        <v/>
      </c>
      <c r="L81" s="24">
        <f>IF(K81=1,IFERROR(MATCH('ORDENES'!$S77,lista_dias,0),9)*1000000000+IFERROR(MATCH('ORDENES'!$AI77,lista_turnos,0),9)*10000000+IFERROR(MATCH('ORDENES'!$AH77,'TECNICOS'!$B$4:$B$19,0),99)*100000+74,9000000000000+74)</f>
        <v/>
      </c>
      <c r="M81" s="24">
        <f>IF(K81=1,SUMPRODUCT(--($L$8:$L$1207&lt;L81))+1,"")</f>
        <v/>
      </c>
      <c r="N81" s="25">
        <f>IF(K81=1,N('ORDENES'!$M77),0)</f>
        <v/>
      </c>
      <c r="O81" s="25">
        <f>IF('ORDENES'!$U77="preventiva",N81,0)</f>
        <v/>
      </c>
      <c r="P81" s="25">
        <f>IF('ORDENES'!$U77="correctiva",N81,0)</f>
        <v/>
      </c>
      <c r="Q81" s="24">
        <f>IF(AND(K81=1,'ORDENES'!$N77="Pendiente"),1,0)</f>
        <v/>
      </c>
      <c r="R81" s="24">
        <f>IF(Q81=1,100000-N81*1000+74*0.01,9000000000000+74)</f>
        <v/>
      </c>
      <c r="S81" s="24">
        <f>IF(Q81=1,SUMPRODUCT(--($R$8:$R$1207&lt;R81))+1,"")</f>
        <v/>
      </c>
      <c r="T81" s="30">
        <f>IF(K81=1,'ORDENES'!$J77,"")</f>
        <v/>
      </c>
      <c r="U81" s="24">
        <f>IFERROR(MATCH(74,$M$8:$M$1207,0),"")</f>
        <v/>
      </c>
      <c r="V81" s="24">
        <f>IF(U81="","",INDEX('ORDENES'!$S$4:$S$1203,U81))</f>
        <v/>
      </c>
      <c r="W81" s="24">
        <f>IF(U81="","",IF(V81&lt;&gt;V80,CHAR(10)&amp;UPPER(LEFT(V81,1))&amp;MID(V81,2,20)&amp;":"&amp;CHAR(10),"")&amp;"   "&amp;IF(INDEX('ORDENES'!$AI$4:$AI$1203,U81)="","(s/t)",INDEX('ORDENES'!$AI$4:$AI$1203,U81))&amp;" · "&amp;IF(INDEX('ORDENES'!$AH$4:$AH$1203,U81)="","(sin técnico)",INDEX('ORDENES'!$AH$4:$AH$1203,U81))&amp;" · "&amp;INDEX('ORDENES'!$AU$4:$AU$1203,U81)&amp;" — "&amp;INDEX('ORDENES'!$D$4:$D$1203,U81)&amp;" ("&amp;TEXT(INDEX('ORDENES'!$M$4:$M$1203,U81),"0.#")&amp;" h)")</f>
        <v/>
      </c>
    </row>
    <row r="82">
      <c r="K82" s="24">
        <f>IF(AND(IF($B$3="(todos)",TRUE,'ORDENES'!$O78=$B$3),IF($D$3="(todos)",TRUE,'ORDENES'!$AI78=$D$3),IF($F$3="(todos)",TRUE,'ORDENES'!$AA78=$F$3),IF($H$3="(todos)",TRUE,'ORDENES'!$Z78=$H$3),'ORDENES'!$AG78=TRUE,'ORDENES'!$A78&lt;&gt;""),1,0)</f>
        <v/>
      </c>
      <c r="L82" s="24">
        <f>IF(K82=1,IFERROR(MATCH('ORDENES'!$S78,lista_dias,0),9)*1000000000+IFERROR(MATCH('ORDENES'!$AI78,lista_turnos,0),9)*10000000+IFERROR(MATCH('ORDENES'!$AH78,'TECNICOS'!$B$4:$B$19,0),99)*100000+75,9000000000000+75)</f>
        <v/>
      </c>
      <c r="M82" s="24">
        <f>IF(K82=1,SUMPRODUCT(--($L$8:$L$1207&lt;L82))+1,"")</f>
        <v/>
      </c>
      <c r="N82" s="25">
        <f>IF(K82=1,N('ORDENES'!$M78),0)</f>
        <v/>
      </c>
      <c r="O82" s="25">
        <f>IF('ORDENES'!$U78="preventiva",N82,0)</f>
        <v/>
      </c>
      <c r="P82" s="25">
        <f>IF('ORDENES'!$U78="correctiva",N82,0)</f>
        <v/>
      </c>
      <c r="Q82" s="24">
        <f>IF(AND(K82=1,'ORDENES'!$N78="Pendiente"),1,0)</f>
        <v/>
      </c>
      <c r="R82" s="24">
        <f>IF(Q82=1,100000-N82*1000+75*0.01,9000000000000+75)</f>
        <v/>
      </c>
      <c r="S82" s="24">
        <f>IF(Q82=1,SUMPRODUCT(--($R$8:$R$1207&lt;R82))+1,"")</f>
        <v/>
      </c>
      <c r="T82" s="30">
        <f>IF(K82=1,'ORDENES'!$J78,"")</f>
        <v/>
      </c>
      <c r="U82" s="24">
        <f>IFERROR(MATCH(75,$M$8:$M$1207,0),"")</f>
        <v/>
      </c>
      <c r="V82" s="24">
        <f>IF(U82="","",INDEX('ORDENES'!$S$4:$S$1203,U82))</f>
        <v/>
      </c>
      <c r="W82" s="24">
        <f>IF(U82="","",IF(V82&lt;&gt;V81,CHAR(10)&amp;UPPER(LEFT(V82,1))&amp;MID(V82,2,20)&amp;":"&amp;CHAR(10),"")&amp;"   "&amp;IF(INDEX('ORDENES'!$AI$4:$AI$1203,U82)="","(s/t)",INDEX('ORDENES'!$AI$4:$AI$1203,U82))&amp;" · "&amp;IF(INDEX('ORDENES'!$AH$4:$AH$1203,U82)="","(sin técnico)",INDEX('ORDENES'!$AH$4:$AH$1203,U82))&amp;" · "&amp;INDEX('ORDENES'!$AU$4:$AU$1203,U82)&amp;" — "&amp;INDEX('ORDENES'!$D$4:$D$1203,U82)&amp;" ("&amp;TEXT(INDEX('ORDENES'!$M$4:$M$1203,U82),"0.#")&amp;" h)")</f>
        <v/>
      </c>
    </row>
    <row r="83">
      <c r="K83" s="24">
        <f>IF(AND(IF($B$3="(todos)",TRUE,'ORDENES'!$O79=$B$3),IF($D$3="(todos)",TRUE,'ORDENES'!$AI79=$D$3),IF($F$3="(todos)",TRUE,'ORDENES'!$AA79=$F$3),IF($H$3="(todos)",TRUE,'ORDENES'!$Z79=$H$3),'ORDENES'!$AG79=TRUE,'ORDENES'!$A79&lt;&gt;""),1,0)</f>
        <v/>
      </c>
      <c r="L83" s="24">
        <f>IF(K83=1,IFERROR(MATCH('ORDENES'!$S79,lista_dias,0),9)*1000000000+IFERROR(MATCH('ORDENES'!$AI79,lista_turnos,0),9)*10000000+IFERROR(MATCH('ORDENES'!$AH79,'TECNICOS'!$B$4:$B$19,0),99)*100000+76,9000000000000+76)</f>
        <v/>
      </c>
      <c r="M83" s="24">
        <f>IF(K83=1,SUMPRODUCT(--($L$8:$L$1207&lt;L83))+1,"")</f>
        <v/>
      </c>
      <c r="N83" s="25">
        <f>IF(K83=1,N('ORDENES'!$M79),0)</f>
        <v/>
      </c>
      <c r="O83" s="25">
        <f>IF('ORDENES'!$U79="preventiva",N83,0)</f>
        <v/>
      </c>
      <c r="P83" s="25">
        <f>IF('ORDENES'!$U79="correctiva",N83,0)</f>
        <v/>
      </c>
      <c r="Q83" s="24">
        <f>IF(AND(K83=1,'ORDENES'!$N79="Pendiente"),1,0)</f>
        <v/>
      </c>
      <c r="R83" s="24">
        <f>IF(Q83=1,100000-N83*1000+76*0.01,9000000000000+76)</f>
        <v/>
      </c>
      <c r="S83" s="24">
        <f>IF(Q83=1,SUMPRODUCT(--($R$8:$R$1207&lt;R83))+1,"")</f>
        <v/>
      </c>
      <c r="T83" s="30">
        <f>IF(K83=1,'ORDENES'!$J79,"")</f>
        <v/>
      </c>
      <c r="U83" s="24">
        <f>IFERROR(MATCH(76,$M$8:$M$1207,0),"")</f>
        <v/>
      </c>
      <c r="V83" s="24">
        <f>IF(U83="","",INDEX('ORDENES'!$S$4:$S$1203,U83))</f>
        <v/>
      </c>
      <c r="W83" s="24">
        <f>IF(U83="","",IF(V83&lt;&gt;V82,CHAR(10)&amp;UPPER(LEFT(V83,1))&amp;MID(V83,2,20)&amp;":"&amp;CHAR(10),"")&amp;"   "&amp;IF(INDEX('ORDENES'!$AI$4:$AI$1203,U83)="","(s/t)",INDEX('ORDENES'!$AI$4:$AI$1203,U83))&amp;" · "&amp;IF(INDEX('ORDENES'!$AH$4:$AH$1203,U83)="","(sin técnico)",INDEX('ORDENES'!$AH$4:$AH$1203,U83))&amp;" · "&amp;INDEX('ORDENES'!$AU$4:$AU$1203,U83)&amp;" — "&amp;INDEX('ORDENES'!$D$4:$D$1203,U83)&amp;" ("&amp;TEXT(INDEX('ORDENES'!$M$4:$M$1203,U83),"0.#")&amp;" h)")</f>
        <v/>
      </c>
    </row>
    <row r="84">
      <c r="K84" s="24">
        <f>IF(AND(IF($B$3="(todos)",TRUE,'ORDENES'!$O80=$B$3),IF($D$3="(todos)",TRUE,'ORDENES'!$AI80=$D$3),IF($F$3="(todos)",TRUE,'ORDENES'!$AA80=$F$3),IF($H$3="(todos)",TRUE,'ORDENES'!$Z80=$H$3),'ORDENES'!$AG80=TRUE,'ORDENES'!$A80&lt;&gt;""),1,0)</f>
        <v/>
      </c>
      <c r="L84" s="24">
        <f>IF(K84=1,IFERROR(MATCH('ORDENES'!$S80,lista_dias,0),9)*1000000000+IFERROR(MATCH('ORDENES'!$AI80,lista_turnos,0),9)*10000000+IFERROR(MATCH('ORDENES'!$AH80,'TECNICOS'!$B$4:$B$19,0),99)*100000+77,9000000000000+77)</f>
        <v/>
      </c>
      <c r="M84" s="24">
        <f>IF(K84=1,SUMPRODUCT(--($L$8:$L$1207&lt;L84))+1,"")</f>
        <v/>
      </c>
      <c r="N84" s="25">
        <f>IF(K84=1,N('ORDENES'!$M80),0)</f>
        <v/>
      </c>
      <c r="O84" s="25">
        <f>IF('ORDENES'!$U80="preventiva",N84,0)</f>
        <v/>
      </c>
      <c r="P84" s="25">
        <f>IF('ORDENES'!$U80="correctiva",N84,0)</f>
        <v/>
      </c>
      <c r="Q84" s="24">
        <f>IF(AND(K84=1,'ORDENES'!$N80="Pendiente"),1,0)</f>
        <v/>
      </c>
      <c r="R84" s="24">
        <f>IF(Q84=1,100000-N84*1000+77*0.01,9000000000000+77)</f>
        <v/>
      </c>
      <c r="S84" s="24">
        <f>IF(Q84=1,SUMPRODUCT(--($R$8:$R$1207&lt;R84))+1,"")</f>
        <v/>
      </c>
      <c r="T84" s="30">
        <f>IF(K84=1,'ORDENES'!$J80,"")</f>
        <v/>
      </c>
      <c r="U84" s="24">
        <f>IFERROR(MATCH(77,$M$8:$M$1207,0),"")</f>
        <v/>
      </c>
      <c r="V84" s="24">
        <f>IF(U84="","",INDEX('ORDENES'!$S$4:$S$1203,U84))</f>
        <v/>
      </c>
      <c r="W84" s="24">
        <f>IF(U84="","",IF(V84&lt;&gt;V83,CHAR(10)&amp;UPPER(LEFT(V84,1))&amp;MID(V84,2,20)&amp;":"&amp;CHAR(10),"")&amp;"   "&amp;IF(INDEX('ORDENES'!$AI$4:$AI$1203,U84)="","(s/t)",INDEX('ORDENES'!$AI$4:$AI$1203,U84))&amp;" · "&amp;IF(INDEX('ORDENES'!$AH$4:$AH$1203,U84)="","(sin técnico)",INDEX('ORDENES'!$AH$4:$AH$1203,U84))&amp;" · "&amp;INDEX('ORDENES'!$AU$4:$AU$1203,U84)&amp;" — "&amp;INDEX('ORDENES'!$D$4:$D$1203,U84)&amp;" ("&amp;TEXT(INDEX('ORDENES'!$M$4:$M$1203,U84),"0.#")&amp;" h)")</f>
        <v/>
      </c>
    </row>
    <row r="85">
      <c r="K85" s="24">
        <f>IF(AND(IF($B$3="(todos)",TRUE,'ORDENES'!$O81=$B$3),IF($D$3="(todos)",TRUE,'ORDENES'!$AI81=$D$3),IF($F$3="(todos)",TRUE,'ORDENES'!$AA81=$F$3),IF($H$3="(todos)",TRUE,'ORDENES'!$Z81=$H$3),'ORDENES'!$AG81=TRUE,'ORDENES'!$A81&lt;&gt;""),1,0)</f>
        <v/>
      </c>
      <c r="L85" s="24">
        <f>IF(K85=1,IFERROR(MATCH('ORDENES'!$S81,lista_dias,0),9)*1000000000+IFERROR(MATCH('ORDENES'!$AI81,lista_turnos,0),9)*10000000+IFERROR(MATCH('ORDENES'!$AH81,'TECNICOS'!$B$4:$B$19,0),99)*100000+78,9000000000000+78)</f>
        <v/>
      </c>
      <c r="M85" s="24">
        <f>IF(K85=1,SUMPRODUCT(--($L$8:$L$1207&lt;L85))+1,"")</f>
        <v/>
      </c>
      <c r="N85" s="25">
        <f>IF(K85=1,N('ORDENES'!$M81),0)</f>
        <v/>
      </c>
      <c r="O85" s="25">
        <f>IF('ORDENES'!$U81="preventiva",N85,0)</f>
        <v/>
      </c>
      <c r="P85" s="25">
        <f>IF('ORDENES'!$U81="correctiva",N85,0)</f>
        <v/>
      </c>
      <c r="Q85" s="24">
        <f>IF(AND(K85=1,'ORDENES'!$N81="Pendiente"),1,0)</f>
        <v/>
      </c>
      <c r="R85" s="24">
        <f>IF(Q85=1,100000-N85*1000+78*0.01,9000000000000+78)</f>
        <v/>
      </c>
      <c r="S85" s="24">
        <f>IF(Q85=1,SUMPRODUCT(--($R$8:$R$1207&lt;R85))+1,"")</f>
        <v/>
      </c>
      <c r="T85" s="30">
        <f>IF(K85=1,'ORDENES'!$J81,"")</f>
        <v/>
      </c>
      <c r="U85" s="24">
        <f>IFERROR(MATCH(78,$M$8:$M$1207,0),"")</f>
        <v/>
      </c>
      <c r="V85" s="24">
        <f>IF(U85="","",INDEX('ORDENES'!$S$4:$S$1203,U85))</f>
        <v/>
      </c>
      <c r="W85" s="24">
        <f>IF(U85="","",IF(V85&lt;&gt;V84,CHAR(10)&amp;UPPER(LEFT(V85,1))&amp;MID(V85,2,20)&amp;":"&amp;CHAR(10),"")&amp;"   "&amp;IF(INDEX('ORDENES'!$AI$4:$AI$1203,U85)="","(s/t)",INDEX('ORDENES'!$AI$4:$AI$1203,U85))&amp;" · "&amp;IF(INDEX('ORDENES'!$AH$4:$AH$1203,U85)="","(sin técnico)",INDEX('ORDENES'!$AH$4:$AH$1203,U85))&amp;" · "&amp;INDEX('ORDENES'!$AU$4:$AU$1203,U85)&amp;" — "&amp;INDEX('ORDENES'!$D$4:$D$1203,U85)&amp;" ("&amp;TEXT(INDEX('ORDENES'!$M$4:$M$1203,U85),"0.#")&amp;" h)")</f>
        <v/>
      </c>
    </row>
    <row r="86">
      <c r="K86" s="24">
        <f>IF(AND(IF($B$3="(todos)",TRUE,'ORDENES'!$O82=$B$3),IF($D$3="(todos)",TRUE,'ORDENES'!$AI82=$D$3),IF($F$3="(todos)",TRUE,'ORDENES'!$AA82=$F$3),IF($H$3="(todos)",TRUE,'ORDENES'!$Z82=$H$3),'ORDENES'!$AG82=TRUE,'ORDENES'!$A82&lt;&gt;""),1,0)</f>
        <v/>
      </c>
      <c r="L86" s="24">
        <f>IF(K86=1,IFERROR(MATCH('ORDENES'!$S82,lista_dias,0),9)*1000000000+IFERROR(MATCH('ORDENES'!$AI82,lista_turnos,0),9)*10000000+IFERROR(MATCH('ORDENES'!$AH82,'TECNICOS'!$B$4:$B$19,0),99)*100000+79,9000000000000+79)</f>
        <v/>
      </c>
      <c r="M86" s="24">
        <f>IF(K86=1,SUMPRODUCT(--($L$8:$L$1207&lt;L86))+1,"")</f>
        <v/>
      </c>
      <c r="N86" s="25">
        <f>IF(K86=1,N('ORDENES'!$M82),0)</f>
        <v/>
      </c>
      <c r="O86" s="25">
        <f>IF('ORDENES'!$U82="preventiva",N86,0)</f>
        <v/>
      </c>
      <c r="P86" s="25">
        <f>IF('ORDENES'!$U82="correctiva",N86,0)</f>
        <v/>
      </c>
      <c r="Q86" s="24">
        <f>IF(AND(K86=1,'ORDENES'!$N82="Pendiente"),1,0)</f>
        <v/>
      </c>
      <c r="R86" s="24">
        <f>IF(Q86=1,100000-N86*1000+79*0.01,9000000000000+79)</f>
        <v/>
      </c>
      <c r="S86" s="24">
        <f>IF(Q86=1,SUMPRODUCT(--($R$8:$R$1207&lt;R86))+1,"")</f>
        <v/>
      </c>
      <c r="T86" s="30">
        <f>IF(K86=1,'ORDENES'!$J82,"")</f>
        <v/>
      </c>
      <c r="U86" s="24">
        <f>IFERROR(MATCH(79,$M$8:$M$1207,0),"")</f>
        <v/>
      </c>
      <c r="V86" s="24">
        <f>IF(U86="","",INDEX('ORDENES'!$S$4:$S$1203,U86))</f>
        <v/>
      </c>
      <c r="W86" s="24">
        <f>IF(U86="","",IF(V86&lt;&gt;V85,CHAR(10)&amp;UPPER(LEFT(V86,1))&amp;MID(V86,2,20)&amp;":"&amp;CHAR(10),"")&amp;"   "&amp;IF(INDEX('ORDENES'!$AI$4:$AI$1203,U86)="","(s/t)",INDEX('ORDENES'!$AI$4:$AI$1203,U86))&amp;" · "&amp;IF(INDEX('ORDENES'!$AH$4:$AH$1203,U86)="","(sin técnico)",INDEX('ORDENES'!$AH$4:$AH$1203,U86))&amp;" · "&amp;INDEX('ORDENES'!$AU$4:$AU$1203,U86)&amp;" — "&amp;INDEX('ORDENES'!$D$4:$D$1203,U86)&amp;" ("&amp;TEXT(INDEX('ORDENES'!$M$4:$M$1203,U86),"0.#")&amp;" h)")</f>
        <v/>
      </c>
    </row>
    <row r="87">
      <c r="K87" s="24">
        <f>IF(AND(IF($B$3="(todos)",TRUE,'ORDENES'!$O83=$B$3),IF($D$3="(todos)",TRUE,'ORDENES'!$AI83=$D$3),IF($F$3="(todos)",TRUE,'ORDENES'!$AA83=$F$3),IF($H$3="(todos)",TRUE,'ORDENES'!$Z83=$H$3),'ORDENES'!$AG83=TRUE,'ORDENES'!$A83&lt;&gt;""),1,0)</f>
        <v/>
      </c>
      <c r="L87" s="24">
        <f>IF(K87=1,IFERROR(MATCH('ORDENES'!$S83,lista_dias,0),9)*1000000000+IFERROR(MATCH('ORDENES'!$AI83,lista_turnos,0),9)*10000000+IFERROR(MATCH('ORDENES'!$AH83,'TECNICOS'!$B$4:$B$19,0),99)*100000+80,9000000000000+80)</f>
        <v/>
      </c>
      <c r="M87" s="24">
        <f>IF(K87=1,SUMPRODUCT(--($L$8:$L$1207&lt;L87))+1,"")</f>
        <v/>
      </c>
      <c r="N87" s="25">
        <f>IF(K87=1,N('ORDENES'!$M83),0)</f>
        <v/>
      </c>
      <c r="O87" s="25">
        <f>IF('ORDENES'!$U83="preventiva",N87,0)</f>
        <v/>
      </c>
      <c r="P87" s="25">
        <f>IF('ORDENES'!$U83="correctiva",N87,0)</f>
        <v/>
      </c>
      <c r="Q87" s="24">
        <f>IF(AND(K87=1,'ORDENES'!$N83="Pendiente"),1,0)</f>
        <v/>
      </c>
      <c r="R87" s="24">
        <f>IF(Q87=1,100000-N87*1000+80*0.01,9000000000000+80)</f>
        <v/>
      </c>
      <c r="S87" s="24">
        <f>IF(Q87=1,SUMPRODUCT(--($R$8:$R$1207&lt;R87))+1,"")</f>
        <v/>
      </c>
      <c r="T87" s="30">
        <f>IF(K87=1,'ORDENES'!$J83,"")</f>
        <v/>
      </c>
      <c r="U87" s="24">
        <f>IFERROR(MATCH(80,$M$8:$M$1207,0),"")</f>
        <v/>
      </c>
      <c r="V87" s="24">
        <f>IF(U87="","",INDEX('ORDENES'!$S$4:$S$1203,U87))</f>
        <v/>
      </c>
      <c r="W87" s="24">
        <f>IF(U87="","",IF(V87&lt;&gt;V86,CHAR(10)&amp;UPPER(LEFT(V87,1))&amp;MID(V87,2,20)&amp;":"&amp;CHAR(10),"")&amp;"   "&amp;IF(INDEX('ORDENES'!$AI$4:$AI$1203,U87)="","(s/t)",INDEX('ORDENES'!$AI$4:$AI$1203,U87))&amp;" · "&amp;IF(INDEX('ORDENES'!$AH$4:$AH$1203,U87)="","(sin técnico)",INDEX('ORDENES'!$AH$4:$AH$1203,U87))&amp;" · "&amp;INDEX('ORDENES'!$AU$4:$AU$1203,U87)&amp;" — "&amp;INDEX('ORDENES'!$D$4:$D$1203,U87)&amp;" ("&amp;TEXT(INDEX('ORDENES'!$M$4:$M$1203,U87),"0.#")&amp;" h)")</f>
        <v/>
      </c>
    </row>
    <row r="88">
      <c r="K88" s="24">
        <f>IF(AND(IF($B$3="(todos)",TRUE,'ORDENES'!$O84=$B$3),IF($D$3="(todos)",TRUE,'ORDENES'!$AI84=$D$3),IF($F$3="(todos)",TRUE,'ORDENES'!$AA84=$F$3),IF($H$3="(todos)",TRUE,'ORDENES'!$Z84=$H$3),'ORDENES'!$AG84=TRUE,'ORDENES'!$A84&lt;&gt;""),1,0)</f>
        <v/>
      </c>
      <c r="L88" s="24">
        <f>IF(K88=1,IFERROR(MATCH('ORDENES'!$S84,lista_dias,0),9)*1000000000+IFERROR(MATCH('ORDENES'!$AI84,lista_turnos,0),9)*10000000+IFERROR(MATCH('ORDENES'!$AH84,'TECNICOS'!$B$4:$B$19,0),99)*100000+81,9000000000000+81)</f>
        <v/>
      </c>
      <c r="M88" s="24">
        <f>IF(K88=1,SUMPRODUCT(--($L$8:$L$1207&lt;L88))+1,"")</f>
        <v/>
      </c>
      <c r="N88" s="25">
        <f>IF(K88=1,N('ORDENES'!$M84),0)</f>
        <v/>
      </c>
      <c r="O88" s="25">
        <f>IF('ORDENES'!$U84="preventiva",N88,0)</f>
        <v/>
      </c>
      <c r="P88" s="25">
        <f>IF('ORDENES'!$U84="correctiva",N88,0)</f>
        <v/>
      </c>
      <c r="Q88" s="24">
        <f>IF(AND(K88=1,'ORDENES'!$N84="Pendiente"),1,0)</f>
        <v/>
      </c>
      <c r="R88" s="24">
        <f>IF(Q88=1,100000-N88*1000+81*0.01,9000000000000+81)</f>
        <v/>
      </c>
      <c r="S88" s="24">
        <f>IF(Q88=1,SUMPRODUCT(--($R$8:$R$1207&lt;R88))+1,"")</f>
        <v/>
      </c>
      <c r="T88" s="30">
        <f>IF(K88=1,'ORDENES'!$J84,"")</f>
        <v/>
      </c>
      <c r="U88" s="24">
        <f>IFERROR(MATCH(81,$M$8:$M$1207,0),"")</f>
        <v/>
      </c>
      <c r="V88" s="24">
        <f>IF(U88="","",INDEX('ORDENES'!$S$4:$S$1203,U88))</f>
        <v/>
      </c>
      <c r="W88" s="24">
        <f>IF(U88="","",IF(V88&lt;&gt;V87,CHAR(10)&amp;UPPER(LEFT(V88,1))&amp;MID(V88,2,20)&amp;":"&amp;CHAR(10),"")&amp;"   "&amp;IF(INDEX('ORDENES'!$AI$4:$AI$1203,U88)="","(s/t)",INDEX('ORDENES'!$AI$4:$AI$1203,U88))&amp;" · "&amp;IF(INDEX('ORDENES'!$AH$4:$AH$1203,U88)="","(sin técnico)",INDEX('ORDENES'!$AH$4:$AH$1203,U88))&amp;" · "&amp;INDEX('ORDENES'!$AU$4:$AU$1203,U88)&amp;" — "&amp;INDEX('ORDENES'!$D$4:$D$1203,U88)&amp;" ("&amp;TEXT(INDEX('ORDENES'!$M$4:$M$1203,U88),"0.#")&amp;" h)")</f>
        <v/>
      </c>
    </row>
    <row r="89">
      <c r="K89" s="24">
        <f>IF(AND(IF($B$3="(todos)",TRUE,'ORDENES'!$O85=$B$3),IF($D$3="(todos)",TRUE,'ORDENES'!$AI85=$D$3),IF($F$3="(todos)",TRUE,'ORDENES'!$AA85=$F$3),IF($H$3="(todos)",TRUE,'ORDENES'!$Z85=$H$3),'ORDENES'!$AG85=TRUE,'ORDENES'!$A85&lt;&gt;""),1,0)</f>
        <v/>
      </c>
      <c r="L89" s="24">
        <f>IF(K89=1,IFERROR(MATCH('ORDENES'!$S85,lista_dias,0),9)*1000000000+IFERROR(MATCH('ORDENES'!$AI85,lista_turnos,0),9)*10000000+IFERROR(MATCH('ORDENES'!$AH85,'TECNICOS'!$B$4:$B$19,0),99)*100000+82,9000000000000+82)</f>
        <v/>
      </c>
      <c r="M89" s="24">
        <f>IF(K89=1,SUMPRODUCT(--($L$8:$L$1207&lt;L89))+1,"")</f>
        <v/>
      </c>
      <c r="N89" s="25">
        <f>IF(K89=1,N('ORDENES'!$M85),0)</f>
        <v/>
      </c>
      <c r="O89" s="25">
        <f>IF('ORDENES'!$U85="preventiva",N89,0)</f>
        <v/>
      </c>
      <c r="P89" s="25">
        <f>IF('ORDENES'!$U85="correctiva",N89,0)</f>
        <v/>
      </c>
      <c r="Q89" s="24">
        <f>IF(AND(K89=1,'ORDENES'!$N85="Pendiente"),1,0)</f>
        <v/>
      </c>
      <c r="R89" s="24">
        <f>IF(Q89=1,100000-N89*1000+82*0.01,9000000000000+82)</f>
        <v/>
      </c>
      <c r="S89" s="24">
        <f>IF(Q89=1,SUMPRODUCT(--($R$8:$R$1207&lt;R89))+1,"")</f>
        <v/>
      </c>
      <c r="T89" s="30">
        <f>IF(K89=1,'ORDENES'!$J85,"")</f>
        <v/>
      </c>
      <c r="U89" s="24">
        <f>IFERROR(MATCH(82,$M$8:$M$1207,0),"")</f>
        <v/>
      </c>
      <c r="V89" s="24">
        <f>IF(U89="","",INDEX('ORDENES'!$S$4:$S$1203,U89))</f>
        <v/>
      </c>
      <c r="W89" s="24">
        <f>IF(U89="","",IF(V89&lt;&gt;V88,CHAR(10)&amp;UPPER(LEFT(V89,1))&amp;MID(V89,2,20)&amp;":"&amp;CHAR(10),"")&amp;"   "&amp;IF(INDEX('ORDENES'!$AI$4:$AI$1203,U89)="","(s/t)",INDEX('ORDENES'!$AI$4:$AI$1203,U89))&amp;" · "&amp;IF(INDEX('ORDENES'!$AH$4:$AH$1203,U89)="","(sin técnico)",INDEX('ORDENES'!$AH$4:$AH$1203,U89))&amp;" · "&amp;INDEX('ORDENES'!$AU$4:$AU$1203,U89)&amp;" — "&amp;INDEX('ORDENES'!$D$4:$D$1203,U89)&amp;" ("&amp;TEXT(INDEX('ORDENES'!$M$4:$M$1203,U89),"0.#")&amp;" h)")</f>
        <v/>
      </c>
    </row>
    <row r="90">
      <c r="K90" s="24">
        <f>IF(AND(IF($B$3="(todos)",TRUE,'ORDENES'!$O86=$B$3),IF($D$3="(todos)",TRUE,'ORDENES'!$AI86=$D$3),IF($F$3="(todos)",TRUE,'ORDENES'!$AA86=$F$3),IF($H$3="(todos)",TRUE,'ORDENES'!$Z86=$H$3),'ORDENES'!$AG86=TRUE,'ORDENES'!$A86&lt;&gt;""),1,0)</f>
        <v/>
      </c>
      <c r="L90" s="24">
        <f>IF(K90=1,IFERROR(MATCH('ORDENES'!$S86,lista_dias,0),9)*1000000000+IFERROR(MATCH('ORDENES'!$AI86,lista_turnos,0),9)*10000000+IFERROR(MATCH('ORDENES'!$AH86,'TECNICOS'!$B$4:$B$19,0),99)*100000+83,9000000000000+83)</f>
        <v/>
      </c>
      <c r="M90" s="24">
        <f>IF(K90=1,SUMPRODUCT(--($L$8:$L$1207&lt;L90))+1,"")</f>
        <v/>
      </c>
      <c r="N90" s="25">
        <f>IF(K90=1,N('ORDENES'!$M86),0)</f>
        <v/>
      </c>
      <c r="O90" s="25">
        <f>IF('ORDENES'!$U86="preventiva",N90,0)</f>
        <v/>
      </c>
      <c r="P90" s="25">
        <f>IF('ORDENES'!$U86="correctiva",N90,0)</f>
        <v/>
      </c>
      <c r="Q90" s="24">
        <f>IF(AND(K90=1,'ORDENES'!$N86="Pendiente"),1,0)</f>
        <v/>
      </c>
      <c r="R90" s="24">
        <f>IF(Q90=1,100000-N90*1000+83*0.01,9000000000000+83)</f>
        <v/>
      </c>
      <c r="S90" s="24">
        <f>IF(Q90=1,SUMPRODUCT(--($R$8:$R$1207&lt;R90))+1,"")</f>
        <v/>
      </c>
      <c r="T90" s="30">
        <f>IF(K90=1,'ORDENES'!$J86,"")</f>
        <v/>
      </c>
      <c r="U90" s="24">
        <f>IFERROR(MATCH(83,$M$8:$M$1207,0),"")</f>
        <v/>
      </c>
      <c r="V90" s="24">
        <f>IF(U90="","",INDEX('ORDENES'!$S$4:$S$1203,U90))</f>
        <v/>
      </c>
      <c r="W90" s="24">
        <f>IF(U90="","",IF(V90&lt;&gt;V89,CHAR(10)&amp;UPPER(LEFT(V90,1))&amp;MID(V90,2,20)&amp;":"&amp;CHAR(10),"")&amp;"   "&amp;IF(INDEX('ORDENES'!$AI$4:$AI$1203,U90)="","(s/t)",INDEX('ORDENES'!$AI$4:$AI$1203,U90))&amp;" · "&amp;IF(INDEX('ORDENES'!$AH$4:$AH$1203,U90)="","(sin técnico)",INDEX('ORDENES'!$AH$4:$AH$1203,U90))&amp;" · "&amp;INDEX('ORDENES'!$AU$4:$AU$1203,U90)&amp;" — "&amp;INDEX('ORDENES'!$D$4:$D$1203,U90)&amp;" ("&amp;TEXT(INDEX('ORDENES'!$M$4:$M$1203,U90),"0.#")&amp;" h)")</f>
        <v/>
      </c>
    </row>
    <row r="91">
      <c r="K91" s="24">
        <f>IF(AND(IF($B$3="(todos)",TRUE,'ORDENES'!$O87=$B$3),IF($D$3="(todos)",TRUE,'ORDENES'!$AI87=$D$3),IF($F$3="(todos)",TRUE,'ORDENES'!$AA87=$F$3),IF($H$3="(todos)",TRUE,'ORDENES'!$Z87=$H$3),'ORDENES'!$AG87=TRUE,'ORDENES'!$A87&lt;&gt;""),1,0)</f>
        <v/>
      </c>
      <c r="L91" s="24">
        <f>IF(K91=1,IFERROR(MATCH('ORDENES'!$S87,lista_dias,0),9)*1000000000+IFERROR(MATCH('ORDENES'!$AI87,lista_turnos,0),9)*10000000+IFERROR(MATCH('ORDENES'!$AH87,'TECNICOS'!$B$4:$B$19,0),99)*100000+84,9000000000000+84)</f>
        <v/>
      </c>
      <c r="M91" s="24">
        <f>IF(K91=1,SUMPRODUCT(--($L$8:$L$1207&lt;L91))+1,"")</f>
        <v/>
      </c>
      <c r="N91" s="25">
        <f>IF(K91=1,N('ORDENES'!$M87),0)</f>
        <v/>
      </c>
      <c r="O91" s="25">
        <f>IF('ORDENES'!$U87="preventiva",N91,0)</f>
        <v/>
      </c>
      <c r="P91" s="25">
        <f>IF('ORDENES'!$U87="correctiva",N91,0)</f>
        <v/>
      </c>
      <c r="Q91" s="24">
        <f>IF(AND(K91=1,'ORDENES'!$N87="Pendiente"),1,0)</f>
        <v/>
      </c>
      <c r="R91" s="24">
        <f>IF(Q91=1,100000-N91*1000+84*0.01,9000000000000+84)</f>
        <v/>
      </c>
      <c r="S91" s="24">
        <f>IF(Q91=1,SUMPRODUCT(--($R$8:$R$1207&lt;R91))+1,"")</f>
        <v/>
      </c>
      <c r="T91" s="30">
        <f>IF(K91=1,'ORDENES'!$J87,"")</f>
        <v/>
      </c>
      <c r="U91" s="24">
        <f>IFERROR(MATCH(84,$M$8:$M$1207,0),"")</f>
        <v/>
      </c>
      <c r="V91" s="24">
        <f>IF(U91="","",INDEX('ORDENES'!$S$4:$S$1203,U91))</f>
        <v/>
      </c>
      <c r="W91" s="24">
        <f>IF(U91="","",IF(V91&lt;&gt;V90,CHAR(10)&amp;UPPER(LEFT(V91,1))&amp;MID(V91,2,20)&amp;":"&amp;CHAR(10),"")&amp;"   "&amp;IF(INDEX('ORDENES'!$AI$4:$AI$1203,U91)="","(s/t)",INDEX('ORDENES'!$AI$4:$AI$1203,U91))&amp;" · "&amp;IF(INDEX('ORDENES'!$AH$4:$AH$1203,U91)="","(sin técnico)",INDEX('ORDENES'!$AH$4:$AH$1203,U91))&amp;" · "&amp;INDEX('ORDENES'!$AU$4:$AU$1203,U91)&amp;" — "&amp;INDEX('ORDENES'!$D$4:$D$1203,U91)&amp;" ("&amp;TEXT(INDEX('ORDENES'!$M$4:$M$1203,U91),"0.#")&amp;" h)")</f>
        <v/>
      </c>
    </row>
    <row r="92">
      <c r="K92" s="24">
        <f>IF(AND(IF($B$3="(todos)",TRUE,'ORDENES'!$O88=$B$3),IF($D$3="(todos)",TRUE,'ORDENES'!$AI88=$D$3),IF($F$3="(todos)",TRUE,'ORDENES'!$AA88=$F$3),IF($H$3="(todos)",TRUE,'ORDENES'!$Z88=$H$3),'ORDENES'!$AG88=TRUE,'ORDENES'!$A88&lt;&gt;""),1,0)</f>
        <v/>
      </c>
      <c r="L92" s="24">
        <f>IF(K92=1,IFERROR(MATCH('ORDENES'!$S88,lista_dias,0),9)*1000000000+IFERROR(MATCH('ORDENES'!$AI88,lista_turnos,0),9)*10000000+IFERROR(MATCH('ORDENES'!$AH88,'TECNICOS'!$B$4:$B$19,0),99)*100000+85,9000000000000+85)</f>
        <v/>
      </c>
      <c r="M92" s="24">
        <f>IF(K92=1,SUMPRODUCT(--($L$8:$L$1207&lt;L92))+1,"")</f>
        <v/>
      </c>
      <c r="N92" s="25">
        <f>IF(K92=1,N('ORDENES'!$M88),0)</f>
        <v/>
      </c>
      <c r="O92" s="25">
        <f>IF('ORDENES'!$U88="preventiva",N92,0)</f>
        <v/>
      </c>
      <c r="P92" s="25">
        <f>IF('ORDENES'!$U88="correctiva",N92,0)</f>
        <v/>
      </c>
      <c r="Q92" s="24">
        <f>IF(AND(K92=1,'ORDENES'!$N88="Pendiente"),1,0)</f>
        <v/>
      </c>
      <c r="R92" s="24">
        <f>IF(Q92=1,100000-N92*1000+85*0.01,9000000000000+85)</f>
        <v/>
      </c>
      <c r="S92" s="24">
        <f>IF(Q92=1,SUMPRODUCT(--($R$8:$R$1207&lt;R92))+1,"")</f>
        <v/>
      </c>
      <c r="T92" s="30">
        <f>IF(K92=1,'ORDENES'!$J88,"")</f>
        <v/>
      </c>
      <c r="U92" s="24">
        <f>IFERROR(MATCH(85,$M$8:$M$1207,0),"")</f>
        <v/>
      </c>
      <c r="V92" s="24">
        <f>IF(U92="","",INDEX('ORDENES'!$S$4:$S$1203,U92))</f>
        <v/>
      </c>
      <c r="W92" s="24">
        <f>IF(U92="","",IF(V92&lt;&gt;V91,CHAR(10)&amp;UPPER(LEFT(V92,1))&amp;MID(V92,2,20)&amp;":"&amp;CHAR(10),"")&amp;"   "&amp;IF(INDEX('ORDENES'!$AI$4:$AI$1203,U92)="","(s/t)",INDEX('ORDENES'!$AI$4:$AI$1203,U92))&amp;" · "&amp;IF(INDEX('ORDENES'!$AH$4:$AH$1203,U92)="","(sin técnico)",INDEX('ORDENES'!$AH$4:$AH$1203,U92))&amp;" · "&amp;INDEX('ORDENES'!$AU$4:$AU$1203,U92)&amp;" — "&amp;INDEX('ORDENES'!$D$4:$D$1203,U92)&amp;" ("&amp;TEXT(INDEX('ORDENES'!$M$4:$M$1203,U92),"0.#")&amp;" h)")</f>
        <v/>
      </c>
    </row>
    <row r="93">
      <c r="K93" s="24">
        <f>IF(AND(IF($B$3="(todos)",TRUE,'ORDENES'!$O89=$B$3),IF($D$3="(todos)",TRUE,'ORDENES'!$AI89=$D$3),IF($F$3="(todos)",TRUE,'ORDENES'!$AA89=$F$3),IF($H$3="(todos)",TRUE,'ORDENES'!$Z89=$H$3),'ORDENES'!$AG89=TRUE,'ORDENES'!$A89&lt;&gt;""),1,0)</f>
        <v/>
      </c>
      <c r="L93" s="24">
        <f>IF(K93=1,IFERROR(MATCH('ORDENES'!$S89,lista_dias,0),9)*1000000000+IFERROR(MATCH('ORDENES'!$AI89,lista_turnos,0),9)*10000000+IFERROR(MATCH('ORDENES'!$AH89,'TECNICOS'!$B$4:$B$19,0),99)*100000+86,9000000000000+86)</f>
        <v/>
      </c>
      <c r="M93" s="24">
        <f>IF(K93=1,SUMPRODUCT(--($L$8:$L$1207&lt;L93))+1,"")</f>
        <v/>
      </c>
      <c r="N93" s="25">
        <f>IF(K93=1,N('ORDENES'!$M89),0)</f>
        <v/>
      </c>
      <c r="O93" s="25">
        <f>IF('ORDENES'!$U89="preventiva",N93,0)</f>
        <v/>
      </c>
      <c r="P93" s="25">
        <f>IF('ORDENES'!$U89="correctiva",N93,0)</f>
        <v/>
      </c>
      <c r="Q93" s="24">
        <f>IF(AND(K93=1,'ORDENES'!$N89="Pendiente"),1,0)</f>
        <v/>
      </c>
      <c r="R93" s="24">
        <f>IF(Q93=1,100000-N93*1000+86*0.01,9000000000000+86)</f>
        <v/>
      </c>
      <c r="S93" s="24">
        <f>IF(Q93=1,SUMPRODUCT(--($R$8:$R$1207&lt;R93))+1,"")</f>
        <v/>
      </c>
      <c r="T93" s="30">
        <f>IF(K93=1,'ORDENES'!$J89,"")</f>
        <v/>
      </c>
      <c r="U93" s="24">
        <f>IFERROR(MATCH(86,$M$8:$M$1207,0),"")</f>
        <v/>
      </c>
      <c r="V93" s="24">
        <f>IF(U93="","",INDEX('ORDENES'!$S$4:$S$1203,U93))</f>
        <v/>
      </c>
      <c r="W93" s="24">
        <f>IF(U93="","",IF(V93&lt;&gt;V92,CHAR(10)&amp;UPPER(LEFT(V93,1))&amp;MID(V93,2,20)&amp;":"&amp;CHAR(10),"")&amp;"   "&amp;IF(INDEX('ORDENES'!$AI$4:$AI$1203,U93)="","(s/t)",INDEX('ORDENES'!$AI$4:$AI$1203,U93))&amp;" · "&amp;IF(INDEX('ORDENES'!$AH$4:$AH$1203,U93)="","(sin técnico)",INDEX('ORDENES'!$AH$4:$AH$1203,U93))&amp;" · "&amp;INDEX('ORDENES'!$AU$4:$AU$1203,U93)&amp;" — "&amp;INDEX('ORDENES'!$D$4:$D$1203,U93)&amp;" ("&amp;TEXT(INDEX('ORDENES'!$M$4:$M$1203,U93),"0.#")&amp;" h)")</f>
        <v/>
      </c>
    </row>
    <row r="94">
      <c r="K94" s="24">
        <f>IF(AND(IF($B$3="(todos)",TRUE,'ORDENES'!$O90=$B$3),IF($D$3="(todos)",TRUE,'ORDENES'!$AI90=$D$3),IF($F$3="(todos)",TRUE,'ORDENES'!$AA90=$F$3),IF($H$3="(todos)",TRUE,'ORDENES'!$Z90=$H$3),'ORDENES'!$AG90=TRUE,'ORDENES'!$A90&lt;&gt;""),1,0)</f>
        <v/>
      </c>
      <c r="L94" s="24">
        <f>IF(K94=1,IFERROR(MATCH('ORDENES'!$S90,lista_dias,0),9)*1000000000+IFERROR(MATCH('ORDENES'!$AI90,lista_turnos,0),9)*10000000+IFERROR(MATCH('ORDENES'!$AH90,'TECNICOS'!$B$4:$B$19,0),99)*100000+87,9000000000000+87)</f>
        <v/>
      </c>
      <c r="M94" s="24">
        <f>IF(K94=1,SUMPRODUCT(--($L$8:$L$1207&lt;L94))+1,"")</f>
        <v/>
      </c>
      <c r="N94" s="25">
        <f>IF(K94=1,N('ORDENES'!$M90),0)</f>
        <v/>
      </c>
      <c r="O94" s="25">
        <f>IF('ORDENES'!$U90="preventiva",N94,0)</f>
        <v/>
      </c>
      <c r="P94" s="25">
        <f>IF('ORDENES'!$U90="correctiva",N94,0)</f>
        <v/>
      </c>
      <c r="Q94" s="24">
        <f>IF(AND(K94=1,'ORDENES'!$N90="Pendiente"),1,0)</f>
        <v/>
      </c>
      <c r="R94" s="24">
        <f>IF(Q94=1,100000-N94*1000+87*0.01,9000000000000+87)</f>
        <v/>
      </c>
      <c r="S94" s="24">
        <f>IF(Q94=1,SUMPRODUCT(--($R$8:$R$1207&lt;R94))+1,"")</f>
        <v/>
      </c>
      <c r="T94" s="30">
        <f>IF(K94=1,'ORDENES'!$J90,"")</f>
        <v/>
      </c>
      <c r="U94" s="24">
        <f>IFERROR(MATCH(87,$M$8:$M$1207,0),"")</f>
        <v/>
      </c>
      <c r="V94" s="24">
        <f>IF(U94="","",INDEX('ORDENES'!$S$4:$S$1203,U94))</f>
        <v/>
      </c>
      <c r="W94" s="24">
        <f>IF(U94="","",IF(V94&lt;&gt;V93,CHAR(10)&amp;UPPER(LEFT(V94,1))&amp;MID(V94,2,20)&amp;":"&amp;CHAR(10),"")&amp;"   "&amp;IF(INDEX('ORDENES'!$AI$4:$AI$1203,U94)="","(s/t)",INDEX('ORDENES'!$AI$4:$AI$1203,U94))&amp;" · "&amp;IF(INDEX('ORDENES'!$AH$4:$AH$1203,U94)="","(sin técnico)",INDEX('ORDENES'!$AH$4:$AH$1203,U94))&amp;" · "&amp;INDEX('ORDENES'!$AU$4:$AU$1203,U94)&amp;" — "&amp;INDEX('ORDENES'!$D$4:$D$1203,U94)&amp;" ("&amp;TEXT(INDEX('ORDENES'!$M$4:$M$1203,U94),"0.#")&amp;" h)")</f>
        <v/>
      </c>
    </row>
    <row r="95">
      <c r="K95" s="24">
        <f>IF(AND(IF($B$3="(todos)",TRUE,'ORDENES'!$O91=$B$3),IF($D$3="(todos)",TRUE,'ORDENES'!$AI91=$D$3),IF($F$3="(todos)",TRUE,'ORDENES'!$AA91=$F$3),IF($H$3="(todos)",TRUE,'ORDENES'!$Z91=$H$3),'ORDENES'!$AG91=TRUE,'ORDENES'!$A91&lt;&gt;""),1,0)</f>
        <v/>
      </c>
      <c r="L95" s="24">
        <f>IF(K95=1,IFERROR(MATCH('ORDENES'!$S91,lista_dias,0),9)*1000000000+IFERROR(MATCH('ORDENES'!$AI91,lista_turnos,0),9)*10000000+IFERROR(MATCH('ORDENES'!$AH91,'TECNICOS'!$B$4:$B$19,0),99)*100000+88,9000000000000+88)</f>
        <v/>
      </c>
      <c r="M95" s="24">
        <f>IF(K95=1,SUMPRODUCT(--($L$8:$L$1207&lt;L95))+1,"")</f>
        <v/>
      </c>
      <c r="N95" s="25">
        <f>IF(K95=1,N('ORDENES'!$M91),0)</f>
        <v/>
      </c>
      <c r="O95" s="25">
        <f>IF('ORDENES'!$U91="preventiva",N95,0)</f>
        <v/>
      </c>
      <c r="P95" s="25">
        <f>IF('ORDENES'!$U91="correctiva",N95,0)</f>
        <v/>
      </c>
      <c r="Q95" s="24">
        <f>IF(AND(K95=1,'ORDENES'!$N91="Pendiente"),1,0)</f>
        <v/>
      </c>
      <c r="R95" s="24">
        <f>IF(Q95=1,100000-N95*1000+88*0.01,9000000000000+88)</f>
        <v/>
      </c>
      <c r="S95" s="24">
        <f>IF(Q95=1,SUMPRODUCT(--($R$8:$R$1207&lt;R95))+1,"")</f>
        <v/>
      </c>
      <c r="T95" s="30">
        <f>IF(K95=1,'ORDENES'!$J91,"")</f>
        <v/>
      </c>
      <c r="U95" s="24">
        <f>IFERROR(MATCH(88,$M$8:$M$1207,0),"")</f>
        <v/>
      </c>
      <c r="V95" s="24">
        <f>IF(U95="","",INDEX('ORDENES'!$S$4:$S$1203,U95))</f>
        <v/>
      </c>
      <c r="W95" s="24">
        <f>IF(U95="","",IF(V95&lt;&gt;V94,CHAR(10)&amp;UPPER(LEFT(V95,1))&amp;MID(V95,2,20)&amp;":"&amp;CHAR(10),"")&amp;"   "&amp;IF(INDEX('ORDENES'!$AI$4:$AI$1203,U95)="","(s/t)",INDEX('ORDENES'!$AI$4:$AI$1203,U95))&amp;" · "&amp;IF(INDEX('ORDENES'!$AH$4:$AH$1203,U95)="","(sin técnico)",INDEX('ORDENES'!$AH$4:$AH$1203,U95))&amp;" · "&amp;INDEX('ORDENES'!$AU$4:$AU$1203,U95)&amp;" — "&amp;INDEX('ORDENES'!$D$4:$D$1203,U95)&amp;" ("&amp;TEXT(INDEX('ORDENES'!$M$4:$M$1203,U95),"0.#")&amp;" h)")</f>
        <v/>
      </c>
    </row>
    <row r="96">
      <c r="K96" s="24">
        <f>IF(AND(IF($B$3="(todos)",TRUE,'ORDENES'!$O92=$B$3),IF($D$3="(todos)",TRUE,'ORDENES'!$AI92=$D$3),IF($F$3="(todos)",TRUE,'ORDENES'!$AA92=$F$3),IF($H$3="(todos)",TRUE,'ORDENES'!$Z92=$H$3),'ORDENES'!$AG92=TRUE,'ORDENES'!$A92&lt;&gt;""),1,0)</f>
        <v/>
      </c>
      <c r="L96" s="24">
        <f>IF(K96=1,IFERROR(MATCH('ORDENES'!$S92,lista_dias,0),9)*1000000000+IFERROR(MATCH('ORDENES'!$AI92,lista_turnos,0),9)*10000000+IFERROR(MATCH('ORDENES'!$AH92,'TECNICOS'!$B$4:$B$19,0),99)*100000+89,9000000000000+89)</f>
        <v/>
      </c>
      <c r="M96" s="24">
        <f>IF(K96=1,SUMPRODUCT(--($L$8:$L$1207&lt;L96))+1,"")</f>
        <v/>
      </c>
      <c r="N96" s="25">
        <f>IF(K96=1,N('ORDENES'!$M92),0)</f>
        <v/>
      </c>
      <c r="O96" s="25">
        <f>IF('ORDENES'!$U92="preventiva",N96,0)</f>
        <v/>
      </c>
      <c r="P96" s="25">
        <f>IF('ORDENES'!$U92="correctiva",N96,0)</f>
        <v/>
      </c>
      <c r="Q96" s="24">
        <f>IF(AND(K96=1,'ORDENES'!$N92="Pendiente"),1,0)</f>
        <v/>
      </c>
      <c r="R96" s="24">
        <f>IF(Q96=1,100000-N96*1000+89*0.01,9000000000000+89)</f>
        <v/>
      </c>
      <c r="S96" s="24">
        <f>IF(Q96=1,SUMPRODUCT(--($R$8:$R$1207&lt;R96))+1,"")</f>
        <v/>
      </c>
      <c r="T96" s="30">
        <f>IF(K96=1,'ORDENES'!$J92,"")</f>
        <v/>
      </c>
      <c r="U96" s="24">
        <f>IFERROR(MATCH(89,$M$8:$M$1207,0),"")</f>
        <v/>
      </c>
      <c r="V96" s="24">
        <f>IF(U96="","",INDEX('ORDENES'!$S$4:$S$1203,U96))</f>
        <v/>
      </c>
      <c r="W96" s="24">
        <f>IF(U96="","",IF(V96&lt;&gt;V95,CHAR(10)&amp;UPPER(LEFT(V96,1))&amp;MID(V96,2,20)&amp;":"&amp;CHAR(10),"")&amp;"   "&amp;IF(INDEX('ORDENES'!$AI$4:$AI$1203,U96)="","(s/t)",INDEX('ORDENES'!$AI$4:$AI$1203,U96))&amp;" · "&amp;IF(INDEX('ORDENES'!$AH$4:$AH$1203,U96)="","(sin técnico)",INDEX('ORDENES'!$AH$4:$AH$1203,U96))&amp;" · "&amp;INDEX('ORDENES'!$AU$4:$AU$1203,U96)&amp;" — "&amp;INDEX('ORDENES'!$D$4:$D$1203,U96)&amp;" ("&amp;TEXT(INDEX('ORDENES'!$M$4:$M$1203,U96),"0.#")&amp;" h)")</f>
        <v/>
      </c>
    </row>
    <row r="97">
      <c r="K97" s="24">
        <f>IF(AND(IF($B$3="(todos)",TRUE,'ORDENES'!$O93=$B$3),IF($D$3="(todos)",TRUE,'ORDENES'!$AI93=$D$3),IF($F$3="(todos)",TRUE,'ORDENES'!$AA93=$F$3),IF($H$3="(todos)",TRUE,'ORDENES'!$Z93=$H$3),'ORDENES'!$AG93=TRUE,'ORDENES'!$A93&lt;&gt;""),1,0)</f>
        <v/>
      </c>
      <c r="L97" s="24">
        <f>IF(K97=1,IFERROR(MATCH('ORDENES'!$S93,lista_dias,0),9)*1000000000+IFERROR(MATCH('ORDENES'!$AI93,lista_turnos,0),9)*10000000+IFERROR(MATCH('ORDENES'!$AH93,'TECNICOS'!$B$4:$B$19,0),99)*100000+90,9000000000000+90)</f>
        <v/>
      </c>
      <c r="M97" s="24">
        <f>IF(K97=1,SUMPRODUCT(--($L$8:$L$1207&lt;L97))+1,"")</f>
        <v/>
      </c>
      <c r="N97" s="25">
        <f>IF(K97=1,N('ORDENES'!$M93),0)</f>
        <v/>
      </c>
      <c r="O97" s="25">
        <f>IF('ORDENES'!$U93="preventiva",N97,0)</f>
        <v/>
      </c>
      <c r="P97" s="25">
        <f>IF('ORDENES'!$U93="correctiva",N97,0)</f>
        <v/>
      </c>
      <c r="Q97" s="24">
        <f>IF(AND(K97=1,'ORDENES'!$N93="Pendiente"),1,0)</f>
        <v/>
      </c>
      <c r="R97" s="24">
        <f>IF(Q97=1,100000-N97*1000+90*0.01,9000000000000+90)</f>
        <v/>
      </c>
      <c r="S97" s="24">
        <f>IF(Q97=1,SUMPRODUCT(--($R$8:$R$1207&lt;R97))+1,"")</f>
        <v/>
      </c>
      <c r="T97" s="30">
        <f>IF(K97=1,'ORDENES'!$J93,"")</f>
        <v/>
      </c>
      <c r="U97" s="24">
        <f>IFERROR(MATCH(90,$M$8:$M$1207,0),"")</f>
        <v/>
      </c>
      <c r="V97" s="24">
        <f>IF(U97="","",INDEX('ORDENES'!$S$4:$S$1203,U97))</f>
        <v/>
      </c>
      <c r="W97" s="24">
        <f>IF(U97="","",IF(V97&lt;&gt;V96,CHAR(10)&amp;UPPER(LEFT(V97,1))&amp;MID(V97,2,20)&amp;":"&amp;CHAR(10),"")&amp;"   "&amp;IF(INDEX('ORDENES'!$AI$4:$AI$1203,U97)="","(s/t)",INDEX('ORDENES'!$AI$4:$AI$1203,U97))&amp;" · "&amp;IF(INDEX('ORDENES'!$AH$4:$AH$1203,U97)="","(sin técnico)",INDEX('ORDENES'!$AH$4:$AH$1203,U97))&amp;" · "&amp;INDEX('ORDENES'!$AU$4:$AU$1203,U97)&amp;" — "&amp;INDEX('ORDENES'!$D$4:$D$1203,U97)&amp;" ("&amp;TEXT(INDEX('ORDENES'!$M$4:$M$1203,U97),"0.#")&amp;" h)")</f>
        <v/>
      </c>
    </row>
    <row r="98">
      <c r="K98" s="24">
        <f>IF(AND(IF($B$3="(todos)",TRUE,'ORDENES'!$O94=$B$3),IF($D$3="(todos)",TRUE,'ORDENES'!$AI94=$D$3),IF($F$3="(todos)",TRUE,'ORDENES'!$AA94=$F$3),IF($H$3="(todos)",TRUE,'ORDENES'!$Z94=$H$3),'ORDENES'!$AG94=TRUE,'ORDENES'!$A94&lt;&gt;""),1,0)</f>
        <v/>
      </c>
      <c r="L98" s="24">
        <f>IF(K98=1,IFERROR(MATCH('ORDENES'!$S94,lista_dias,0),9)*1000000000+IFERROR(MATCH('ORDENES'!$AI94,lista_turnos,0),9)*10000000+IFERROR(MATCH('ORDENES'!$AH94,'TECNICOS'!$B$4:$B$19,0),99)*100000+91,9000000000000+91)</f>
        <v/>
      </c>
      <c r="M98" s="24">
        <f>IF(K98=1,SUMPRODUCT(--($L$8:$L$1207&lt;L98))+1,"")</f>
        <v/>
      </c>
      <c r="N98" s="25">
        <f>IF(K98=1,N('ORDENES'!$M94),0)</f>
        <v/>
      </c>
      <c r="O98" s="25">
        <f>IF('ORDENES'!$U94="preventiva",N98,0)</f>
        <v/>
      </c>
      <c r="P98" s="25">
        <f>IF('ORDENES'!$U94="correctiva",N98,0)</f>
        <v/>
      </c>
      <c r="Q98" s="24">
        <f>IF(AND(K98=1,'ORDENES'!$N94="Pendiente"),1,0)</f>
        <v/>
      </c>
      <c r="R98" s="24">
        <f>IF(Q98=1,100000-N98*1000+91*0.01,9000000000000+91)</f>
        <v/>
      </c>
      <c r="S98" s="24">
        <f>IF(Q98=1,SUMPRODUCT(--($R$8:$R$1207&lt;R98))+1,"")</f>
        <v/>
      </c>
      <c r="T98" s="30">
        <f>IF(K98=1,'ORDENES'!$J94,"")</f>
        <v/>
      </c>
      <c r="U98" s="24">
        <f>IFERROR(MATCH(91,$M$8:$M$1207,0),"")</f>
        <v/>
      </c>
      <c r="V98" s="24">
        <f>IF(U98="","",INDEX('ORDENES'!$S$4:$S$1203,U98))</f>
        <v/>
      </c>
      <c r="W98" s="24">
        <f>IF(U98="","",IF(V98&lt;&gt;V97,CHAR(10)&amp;UPPER(LEFT(V98,1))&amp;MID(V98,2,20)&amp;":"&amp;CHAR(10),"")&amp;"   "&amp;IF(INDEX('ORDENES'!$AI$4:$AI$1203,U98)="","(s/t)",INDEX('ORDENES'!$AI$4:$AI$1203,U98))&amp;" · "&amp;IF(INDEX('ORDENES'!$AH$4:$AH$1203,U98)="","(sin técnico)",INDEX('ORDENES'!$AH$4:$AH$1203,U98))&amp;" · "&amp;INDEX('ORDENES'!$AU$4:$AU$1203,U98)&amp;" — "&amp;INDEX('ORDENES'!$D$4:$D$1203,U98)&amp;" ("&amp;TEXT(INDEX('ORDENES'!$M$4:$M$1203,U98),"0.#")&amp;" h)")</f>
        <v/>
      </c>
    </row>
    <row r="99">
      <c r="K99" s="24">
        <f>IF(AND(IF($B$3="(todos)",TRUE,'ORDENES'!$O95=$B$3),IF($D$3="(todos)",TRUE,'ORDENES'!$AI95=$D$3),IF($F$3="(todos)",TRUE,'ORDENES'!$AA95=$F$3),IF($H$3="(todos)",TRUE,'ORDENES'!$Z95=$H$3),'ORDENES'!$AG95=TRUE,'ORDENES'!$A95&lt;&gt;""),1,0)</f>
        <v/>
      </c>
      <c r="L99" s="24">
        <f>IF(K99=1,IFERROR(MATCH('ORDENES'!$S95,lista_dias,0),9)*1000000000+IFERROR(MATCH('ORDENES'!$AI95,lista_turnos,0),9)*10000000+IFERROR(MATCH('ORDENES'!$AH95,'TECNICOS'!$B$4:$B$19,0),99)*100000+92,9000000000000+92)</f>
        <v/>
      </c>
      <c r="M99" s="24">
        <f>IF(K99=1,SUMPRODUCT(--($L$8:$L$1207&lt;L99))+1,"")</f>
        <v/>
      </c>
      <c r="N99" s="25">
        <f>IF(K99=1,N('ORDENES'!$M95),0)</f>
        <v/>
      </c>
      <c r="O99" s="25">
        <f>IF('ORDENES'!$U95="preventiva",N99,0)</f>
        <v/>
      </c>
      <c r="P99" s="25">
        <f>IF('ORDENES'!$U95="correctiva",N99,0)</f>
        <v/>
      </c>
      <c r="Q99" s="24">
        <f>IF(AND(K99=1,'ORDENES'!$N95="Pendiente"),1,0)</f>
        <v/>
      </c>
      <c r="R99" s="24">
        <f>IF(Q99=1,100000-N99*1000+92*0.01,9000000000000+92)</f>
        <v/>
      </c>
      <c r="S99" s="24">
        <f>IF(Q99=1,SUMPRODUCT(--($R$8:$R$1207&lt;R99))+1,"")</f>
        <v/>
      </c>
      <c r="T99" s="30">
        <f>IF(K99=1,'ORDENES'!$J95,"")</f>
        <v/>
      </c>
      <c r="U99" s="24">
        <f>IFERROR(MATCH(92,$M$8:$M$1207,0),"")</f>
        <v/>
      </c>
      <c r="V99" s="24">
        <f>IF(U99="","",INDEX('ORDENES'!$S$4:$S$1203,U99))</f>
        <v/>
      </c>
      <c r="W99" s="24">
        <f>IF(U99="","",IF(V99&lt;&gt;V98,CHAR(10)&amp;UPPER(LEFT(V99,1))&amp;MID(V99,2,20)&amp;":"&amp;CHAR(10),"")&amp;"   "&amp;IF(INDEX('ORDENES'!$AI$4:$AI$1203,U99)="","(s/t)",INDEX('ORDENES'!$AI$4:$AI$1203,U99))&amp;" · "&amp;IF(INDEX('ORDENES'!$AH$4:$AH$1203,U99)="","(sin técnico)",INDEX('ORDENES'!$AH$4:$AH$1203,U99))&amp;" · "&amp;INDEX('ORDENES'!$AU$4:$AU$1203,U99)&amp;" — "&amp;INDEX('ORDENES'!$D$4:$D$1203,U99)&amp;" ("&amp;TEXT(INDEX('ORDENES'!$M$4:$M$1203,U99),"0.#")&amp;" h)")</f>
        <v/>
      </c>
    </row>
    <row r="100">
      <c r="K100" s="24">
        <f>IF(AND(IF($B$3="(todos)",TRUE,'ORDENES'!$O96=$B$3),IF($D$3="(todos)",TRUE,'ORDENES'!$AI96=$D$3),IF($F$3="(todos)",TRUE,'ORDENES'!$AA96=$F$3),IF($H$3="(todos)",TRUE,'ORDENES'!$Z96=$H$3),'ORDENES'!$AG96=TRUE,'ORDENES'!$A96&lt;&gt;""),1,0)</f>
        <v/>
      </c>
      <c r="L100" s="24">
        <f>IF(K100=1,IFERROR(MATCH('ORDENES'!$S96,lista_dias,0),9)*1000000000+IFERROR(MATCH('ORDENES'!$AI96,lista_turnos,0),9)*10000000+IFERROR(MATCH('ORDENES'!$AH96,'TECNICOS'!$B$4:$B$19,0),99)*100000+93,9000000000000+93)</f>
        <v/>
      </c>
      <c r="M100" s="24">
        <f>IF(K100=1,SUMPRODUCT(--($L$8:$L$1207&lt;L100))+1,"")</f>
        <v/>
      </c>
      <c r="N100" s="25">
        <f>IF(K100=1,N('ORDENES'!$M96),0)</f>
        <v/>
      </c>
      <c r="O100" s="25">
        <f>IF('ORDENES'!$U96="preventiva",N100,0)</f>
        <v/>
      </c>
      <c r="P100" s="25">
        <f>IF('ORDENES'!$U96="correctiva",N100,0)</f>
        <v/>
      </c>
      <c r="Q100" s="24">
        <f>IF(AND(K100=1,'ORDENES'!$N96="Pendiente"),1,0)</f>
        <v/>
      </c>
      <c r="R100" s="24">
        <f>IF(Q100=1,100000-N100*1000+93*0.01,9000000000000+93)</f>
        <v/>
      </c>
      <c r="S100" s="24">
        <f>IF(Q100=1,SUMPRODUCT(--($R$8:$R$1207&lt;R100))+1,"")</f>
        <v/>
      </c>
      <c r="T100" s="30">
        <f>IF(K100=1,'ORDENES'!$J96,"")</f>
        <v/>
      </c>
      <c r="U100" s="24">
        <f>IFERROR(MATCH(93,$M$8:$M$1207,0),"")</f>
        <v/>
      </c>
      <c r="V100" s="24">
        <f>IF(U100="","",INDEX('ORDENES'!$S$4:$S$1203,U100))</f>
        <v/>
      </c>
      <c r="W100" s="24">
        <f>IF(U100="","",IF(V100&lt;&gt;V99,CHAR(10)&amp;UPPER(LEFT(V100,1))&amp;MID(V100,2,20)&amp;":"&amp;CHAR(10),"")&amp;"   "&amp;IF(INDEX('ORDENES'!$AI$4:$AI$1203,U100)="","(s/t)",INDEX('ORDENES'!$AI$4:$AI$1203,U100))&amp;" · "&amp;IF(INDEX('ORDENES'!$AH$4:$AH$1203,U100)="","(sin técnico)",INDEX('ORDENES'!$AH$4:$AH$1203,U100))&amp;" · "&amp;INDEX('ORDENES'!$AU$4:$AU$1203,U100)&amp;" — "&amp;INDEX('ORDENES'!$D$4:$D$1203,U100)&amp;" ("&amp;TEXT(INDEX('ORDENES'!$M$4:$M$1203,U100),"0.#")&amp;" h)")</f>
        <v/>
      </c>
    </row>
    <row r="101">
      <c r="K101" s="24">
        <f>IF(AND(IF($B$3="(todos)",TRUE,'ORDENES'!$O97=$B$3),IF($D$3="(todos)",TRUE,'ORDENES'!$AI97=$D$3),IF($F$3="(todos)",TRUE,'ORDENES'!$AA97=$F$3),IF($H$3="(todos)",TRUE,'ORDENES'!$Z97=$H$3),'ORDENES'!$AG97=TRUE,'ORDENES'!$A97&lt;&gt;""),1,0)</f>
        <v/>
      </c>
      <c r="L101" s="24">
        <f>IF(K101=1,IFERROR(MATCH('ORDENES'!$S97,lista_dias,0),9)*1000000000+IFERROR(MATCH('ORDENES'!$AI97,lista_turnos,0),9)*10000000+IFERROR(MATCH('ORDENES'!$AH97,'TECNICOS'!$B$4:$B$19,0),99)*100000+94,9000000000000+94)</f>
        <v/>
      </c>
      <c r="M101" s="24">
        <f>IF(K101=1,SUMPRODUCT(--($L$8:$L$1207&lt;L101))+1,"")</f>
        <v/>
      </c>
      <c r="N101" s="25">
        <f>IF(K101=1,N('ORDENES'!$M97),0)</f>
        <v/>
      </c>
      <c r="O101" s="25">
        <f>IF('ORDENES'!$U97="preventiva",N101,0)</f>
        <v/>
      </c>
      <c r="P101" s="25">
        <f>IF('ORDENES'!$U97="correctiva",N101,0)</f>
        <v/>
      </c>
      <c r="Q101" s="24">
        <f>IF(AND(K101=1,'ORDENES'!$N97="Pendiente"),1,0)</f>
        <v/>
      </c>
      <c r="R101" s="24">
        <f>IF(Q101=1,100000-N101*1000+94*0.01,9000000000000+94)</f>
        <v/>
      </c>
      <c r="S101" s="24">
        <f>IF(Q101=1,SUMPRODUCT(--($R$8:$R$1207&lt;R101))+1,"")</f>
        <v/>
      </c>
      <c r="T101" s="30">
        <f>IF(K101=1,'ORDENES'!$J97,"")</f>
        <v/>
      </c>
      <c r="U101" s="24">
        <f>IFERROR(MATCH(94,$M$8:$M$1207,0),"")</f>
        <v/>
      </c>
      <c r="V101" s="24">
        <f>IF(U101="","",INDEX('ORDENES'!$S$4:$S$1203,U101))</f>
        <v/>
      </c>
      <c r="W101" s="24">
        <f>IF(U101="","",IF(V101&lt;&gt;V100,CHAR(10)&amp;UPPER(LEFT(V101,1))&amp;MID(V101,2,20)&amp;":"&amp;CHAR(10),"")&amp;"   "&amp;IF(INDEX('ORDENES'!$AI$4:$AI$1203,U101)="","(s/t)",INDEX('ORDENES'!$AI$4:$AI$1203,U101))&amp;" · "&amp;IF(INDEX('ORDENES'!$AH$4:$AH$1203,U101)="","(sin técnico)",INDEX('ORDENES'!$AH$4:$AH$1203,U101))&amp;" · "&amp;INDEX('ORDENES'!$AU$4:$AU$1203,U101)&amp;" — "&amp;INDEX('ORDENES'!$D$4:$D$1203,U101)&amp;" ("&amp;TEXT(INDEX('ORDENES'!$M$4:$M$1203,U101),"0.#")&amp;" h)")</f>
        <v/>
      </c>
    </row>
    <row r="102">
      <c r="K102" s="24">
        <f>IF(AND(IF($B$3="(todos)",TRUE,'ORDENES'!$O98=$B$3),IF($D$3="(todos)",TRUE,'ORDENES'!$AI98=$D$3),IF($F$3="(todos)",TRUE,'ORDENES'!$AA98=$F$3),IF($H$3="(todos)",TRUE,'ORDENES'!$Z98=$H$3),'ORDENES'!$AG98=TRUE,'ORDENES'!$A98&lt;&gt;""),1,0)</f>
        <v/>
      </c>
      <c r="L102" s="24">
        <f>IF(K102=1,IFERROR(MATCH('ORDENES'!$S98,lista_dias,0),9)*1000000000+IFERROR(MATCH('ORDENES'!$AI98,lista_turnos,0),9)*10000000+IFERROR(MATCH('ORDENES'!$AH98,'TECNICOS'!$B$4:$B$19,0),99)*100000+95,9000000000000+95)</f>
        <v/>
      </c>
      <c r="M102" s="24">
        <f>IF(K102=1,SUMPRODUCT(--($L$8:$L$1207&lt;L102))+1,"")</f>
        <v/>
      </c>
      <c r="N102" s="25">
        <f>IF(K102=1,N('ORDENES'!$M98),0)</f>
        <v/>
      </c>
      <c r="O102" s="25">
        <f>IF('ORDENES'!$U98="preventiva",N102,0)</f>
        <v/>
      </c>
      <c r="P102" s="25">
        <f>IF('ORDENES'!$U98="correctiva",N102,0)</f>
        <v/>
      </c>
      <c r="Q102" s="24">
        <f>IF(AND(K102=1,'ORDENES'!$N98="Pendiente"),1,0)</f>
        <v/>
      </c>
      <c r="R102" s="24">
        <f>IF(Q102=1,100000-N102*1000+95*0.01,9000000000000+95)</f>
        <v/>
      </c>
      <c r="S102" s="24">
        <f>IF(Q102=1,SUMPRODUCT(--($R$8:$R$1207&lt;R102))+1,"")</f>
        <v/>
      </c>
      <c r="T102" s="30">
        <f>IF(K102=1,'ORDENES'!$J98,"")</f>
        <v/>
      </c>
      <c r="U102" s="24">
        <f>IFERROR(MATCH(95,$M$8:$M$1207,0),"")</f>
        <v/>
      </c>
      <c r="V102" s="24">
        <f>IF(U102="","",INDEX('ORDENES'!$S$4:$S$1203,U102))</f>
        <v/>
      </c>
      <c r="W102" s="24">
        <f>IF(U102="","",IF(V102&lt;&gt;V101,CHAR(10)&amp;UPPER(LEFT(V102,1))&amp;MID(V102,2,20)&amp;":"&amp;CHAR(10),"")&amp;"   "&amp;IF(INDEX('ORDENES'!$AI$4:$AI$1203,U102)="","(s/t)",INDEX('ORDENES'!$AI$4:$AI$1203,U102))&amp;" · "&amp;IF(INDEX('ORDENES'!$AH$4:$AH$1203,U102)="","(sin técnico)",INDEX('ORDENES'!$AH$4:$AH$1203,U102))&amp;" · "&amp;INDEX('ORDENES'!$AU$4:$AU$1203,U102)&amp;" — "&amp;INDEX('ORDENES'!$D$4:$D$1203,U102)&amp;" ("&amp;TEXT(INDEX('ORDENES'!$M$4:$M$1203,U102),"0.#")&amp;" h)")</f>
        <v/>
      </c>
    </row>
    <row r="103">
      <c r="K103" s="24">
        <f>IF(AND(IF($B$3="(todos)",TRUE,'ORDENES'!$O99=$B$3),IF($D$3="(todos)",TRUE,'ORDENES'!$AI99=$D$3),IF($F$3="(todos)",TRUE,'ORDENES'!$AA99=$F$3),IF($H$3="(todos)",TRUE,'ORDENES'!$Z99=$H$3),'ORDENES'!$AG99=TRUE,'ORDENES'!$A99&lt;&gt;""),1,0)</f>
        <v/>
      </c>
      <c r="L103" s="24">
        <f>IF(K103=1,IFERROR(MATCH('ORDENES'!$S99,lista_dias,0),9)*1000000000+IFERROR(MATCH('ORDENES'!$AI99,lista_turnos,0),9)*10000000+IFERROR(MATCH('ORDENES'!$AH99,'TECNICOS'!$B$4:$B$19,0),99)*100000+96,9000000000000+96)</f>
        <v/>
      </c>
      <c r="M103" s="24">
        <f>IF(K103=1,SUMPRODUCT(--($L$8:$L$1207&lt;L103))+1,"")</f>
        <v/>
      </c>
      <c r="N103" s="25">
        <f>IF(K103=1,N('ORDENES'!$M99),0)</f>
        <v/>
      </c>
      <c r="O103" s="25">
        <f>IF('ORDENES'!$U99="preventiva",N103,0)</f>
        <v/>
      </c>
      <c r="P103" s="25">
        <f>IF('ORDENES'!$U99="correctiva",N103,0)</f>
        <v/>
      </c>
      <c r="Q103" s="24">
        <f>IF(AND(K103=1,'ORDENES'!$N99="Pendiente"),1,0)</f>
        <v/>
      </c>
      <c r="R103" s="24">
        <f>IF(Q103=1,100000-N103*1000+96*0.01,9000000000000+96)</f>
        <v/>
      </c>
      <c r="S103" s="24">
        <f>IF(Q103=1,SUMPRODUCT(--($R$8:$R$1207&lt;R103))+1,"")</f>
        <v/>
      </c>
      <c r="T103" s="30">
        <f>IF(K103=1,'ORDENES'!$J99,"")</f>
        <v/>
      </c>
      <c r="U103" s="24">
        <f>IFERROR(MATCH(96,$M$8:$M$1207,0),"")</f>
        <v/>
      </c>
      <c r="V103" s="24">
        <f>IF(U103="","",INDEX('ORDENES'!$S$4:$S$1203,U103))</f>
        <v/>
      </c>
      <c r="W103" s="24">
        <f>IF(U103="","",IF(V103&lt;&gt;V102,CHAR(10)&amp;UPPER(LEFT(V103,1))&amp;MID(V103,2,20)&amp;":"&amp;CHAR(10),"")&amp;"   "&amp;IF(INDEX('ORDENES'!$AI$4:$AI$1203,U103)="","(s/t)",INDEX('ORDENES'!$AI$4:$AI$1203,U103))&amp;" · "&amp;IF(INDEX('ORDENES'!$AH$4:$AH$1203,U103)="","(sin técnico)",INDEX('ORDENES'!$AH$4:$AH$1203,U103))&amp;" · "&amp;INDEX('ORDENES'!$AU$4:$AU$1203,U103)&amp;" — "&amp;INDEX('ORDENES'!$D$4:$D$1203,U103)&amp;" ("&amp;TEXT(INDEX('ORDENES'!$M$4:$M$1203,U103),"0.#")&amp;" h)")</f>
        <v/>
      </c>
    </row>
    <row r="104">
      <c r="K104" s="24">
        <f>IF(AND(IF($B$3="(todos)",TRUE,'ORDENES'!$O100=$B$3),IF($D$3="(todos)",TRUE,'ORDENES'!$AI100=$D$3),IF($F$3="(todos)",TRUE,'ORDENES'!$AA100=$F$3),IF($H$3="(todos)",TRUE,'ORDENES'!$Z100=$H$3),'ORDENES'!$AG100=TRUE,'ORDENES'!$A100&lt;&gt;""),1,0)</f>
        <v/>
      </c>
      <c r="L104" s="24">
        <f>IF(K104=1,IFERROR(MATCH('ORDENES'!$S100,lista_dias,0),9)*1000000000+IFERROR(MATCH('ORDENES'!$AI100,lista_turnos,0),9)*10000000+IFERROR(MATCH('ORDENES'!$AH100,'TECNICOS'!$B$4:$B$19,0),99)*100000+97,9000000000000+97)</f>
        <v/>
      </c>
      <c r="M104" s="24">
        <f>IF(K104=1,SUMPRODUCT(--($L$8:$L$1207&lt;L104))+1,"")</f>
        <v/>
      </c>
      <c r="N104" s="25">
        <f>IF(K104=1,N('ORDENES'!$M100),0)</f>
        <v/>
      </c>
      <c r="O104" s="25">
        <f>IF('ORDENES'!$U100="preventiva",N104,0)</f>
        <v/>
      </c>
      <c r="P104" s="25">
        <f>IF('ORDENES'!$U100="correctiva",N104,0)</f>
        <v/>
      </c>
      <c r="Q104" s="24">
        <f>IF(AND(K104=1,'ORDENES'!$N100="Pendiente"),1,0)</f>
        <v/>
      </c>
      <c r="R104" s="24">
        <f>IF(Q104=1,100000-N104*1000+97*0.01,9000000000000+97)</f>
        <v/>
      </c>
      <c r="S104" s="24">
        <f>IF(Q104=1,SUMPRODUCT(--($R$8:$R$1207&lt;R104))+1,"")</f>
        <v/>
      </c>
      <c r="T104" s="30">
        <f>IF(K104=1,'ORDENES'!$J100,"")</f>
        <v/>
      </c>
      <c r="U104" s="24">
        <f>IFERROR(MATCH(97,$M$8:$M$1207,0),"")</f>
        <v/>
      </c>
      <c r="V104" s="24">
        <f>IF(U104="","",INDEX('ORDENES'!$S$4:$S$1203,U104))</f>
        <v/>
      </c>
      <c r="W104" s="24">
        <f>IF(U104="","",IF(V104&lt;&gt;V103,CHAR(10)&amp;UPPER(LEFT(V104,1))&amp;MID(V104,2,20)&amp;":"&amp;CHAR(10),"")&amp;"   "&amp;IF(INDEX('ORDENES'!$AI$4:$AI$1203,U104)="","(s/t)",INDEX('ORDENES'!$AI$4:$AI$1203,U104))&amp;" · "&amp;IF(INDEX('ORDENES'!$AH$4:$AH$1203,U104)="","(sin técnico)",INDEX('ORDENES'!$AH$4:$AH$1203,U104))&amp;" · "&amp;INDEX('ORDENES'!$AU$4:$AU$1203,U104)&amp;" — "&amp;INDEX('ORDENES'!$D$4:$D$1203,U104)&amp;" ("&amp;TEXT(INDEX('ORDENES'!$M$4:$M$1203,U104),"0.#")&amp;" h)")</f>
        <v/>
      </c>
    </row>
    <row r="105">
      <c r="K105" s="24">
        <f>IF(AND(IF($B$3="(todos)",TRUE,'ORDENES'!$O101=$B$3),IF($D$3="(todos)",TRUE,'ORDENES'!$AI101=$D$3),IF($F$3="(todos)",TRUE,'ORDENES'!$AA101=$F$3),IF($H$3="(todos)",TRUE,'ORDENES'!$Z101=$H$3),'ORDENES'!$AG101=TRUE,'ORDENES'!$A101&lt;&gt;""),1,0)</f>
        <v/>
      </c>
      <c r="L105" s="24">
        <f>IF(K105=1,IFERROR(MATCH('ORDENES'!$S101,lista_dias,0),9)*1000000000+IFERROR(MATCH('ORDENES'!$AI101,lista_turnos,0),9)*10000000+IFERROR(MATCH('ORDENES'!$AH101,'TECNICOS'!$B$4:$B$19,0),99)*100000+98,9000000000000+98)</f>
        <v/>
      </c>
      <c r="M105" s="24">
        <f>IF(K105=1,SUMPRODUCT(--($L$8:$L$1207&lt;L105))+1,"")</f>
        <v/>
      </c>
      <c r="N105" s="25">
        <f>IF(K105=1,N('ORDENES'!$M101),0)</f>
        <v/>
      </c>
      <c r="O105" s="25">
        <f>IF('ORDENES'!$U101="preventiva",N105,0)</f>
        <v/>
      </c>
      <c r="P105" s="25">
        <f>IF('ORDENES'!$U101="correctiva",N105,0)</f>
        <v/>
      </c>
      <c r="Q105" s="24">
        <f>IF(AND(K105=1,'ORDENES'!$N101="Pendiente"),1,0)</f>
        <v/>
      </c>
      <c r="R105" s="24">
        <f>IF(Q105=1,100000-N105*1000+98*0.01,9000000000000+98)</f>
        <v/>
      </c>
      <c r="S105" s="24">
        <f>IF(Q105=1,SUMPRODUCT(--($R$8:$R$1207&lt;R105))+1,"")</f>
        <v/>
      </c>
      <c r="T105" s="30">
        <f>IF(K105=1,'ORDENES'!$J101,"")</f>
        <v/>
      </c>
      <c r="U105" s="24">
        <f>IFERROR(MATCH(98,$M$8:$M$1207,0),"")</f>
        <v/>
      </c>
      <c r="V105" s="24">
        <f>IF(U105="","",INDEX('ORDENES'!$S$4:$S$1203,U105))</f>
        <v/>
      </c>
      <c r="W105" s="24">
        <f>IF(U105="","",IF(V105&lt;&gt;V104,CHAR(10)&amp;UPPER(LEFT(V105,1))&amp;MID(V105,2,20)&amp;":"&amp;CHAR(10),"")&amp;"   "&amp;IF(INDEX('ORDENES'!$AI$4:$AI$1203,U105)="","(s/t)",INDEX('ORDENES'!$AI$4:$AI$1203,U105))&amp;" · "&amp;IF(INDEX('ORDENES'!$AH$4:$AH$1203,U105)="","(sin técnico)",INDEX('ORDENES'!$AH$4:$AH$1203,U105))&amp;" · "&amp;INDEX('ORDENES'!$AU$4:$AU$1203,U105)&amp;" — "&amp;INDEX('ORDENES'!$D$4:$D$1203,U105)&amp;" ("&amp;TEXT(INDEX('ORDENES'!$M$4:$M$1203,U105),"0.#")&amp;" h)")</f>
        <v/>
      </c>
    </row>
    <row r="106">
      <c r="K106" s="24">
        <f>IF(AND(IF($B$3="(todos)",TRUE,'ORDENES'!$O102=$B$3),IF($D$3="(todos)",TRUE,'ORDENES'!$AI102=$D$3),IF($F$3="(todos)",TRUE,'ORDENES'!$AA102=$F$3),IF($H$3="(todos)",TRUE,'ORDENES'!$Z102=$H$3),'ORDENES'!$AG102=TRUE,'ORDENES'!$A102&lt;&gt;""),1,0)</f>
        <v/>
      </c>
      <c r="L106" s="24">
        <f>IF(K106=1,IFERROR(MATCH('ORDENES'!$S102,lista_dias,0),9)*1000000000+IFERROR(MATCH('ORDENES'!$AI102,lista_turnos,0),9)*10000000+IFERROR(MATCH('ORDENES'!$AH102,'TECNICOS'!$B$4:$B$19,0),99)*100000+99,9000000000000+99)</f>
        <v/>
      </c>
      <c r="M106" s="24">
        <f>IF(K106=1,SUMPRODUCT(--($L$8:$L$1207&lt;L106))+1,"")</f>
        <v/>
      </c>
      <c r="N106" s="25">
        <f>IF(K106=1,N('ORDENES'!$M102),0)</f>
        <v/>
      </c>
      <c r="O106" s="25">
        <f>IF('ORDENES'!$U102="preventiva",N106,0)</f>
        <v/>
      </c>
      <c r="P106" s="25">
        <f>IF('ORDENES'!$U102="correctiva",N106,0)</f>
        <v/>
      </c>
      <c r="Q106" s="24">
        <f>IF(AND(K106=1,'ORDENES'!$N102="Pendiente"),1,0)</f>
        <v/>
      </c>
      <c r="R106" s="24">
        <f>IF(Q106=1,100000-N106*1000+99*0.01,9000000000000+99)</f>
        <v/>
      </c>
      <c r="S106" s="24">
        <f>IF(Q106=1,SUMPRODUCT(--($R$8:$R$1207&lt;R106))+1,"")</f>
        <v/>
      </c>
      <c r="T106" s="30">
        <f>IF(K106=1,'ORDENES'!$J102,"")</f>
        <v/>
      </c>
      <c r="U106" s="24">
        <f>IFERROR(MATCH(99,$M$8:$M$1207,0),"")</f>
        <v/>
      </c>
      <c r="V106" s="24">
        <f>IF(U106="","",INDEX('ORDENES'!$S$4:$S$1203,U106))</f>
        <v/>
      </c>
      <c r="W106" s="24">
        <f>IF(U106="","",IF(V106&lt;&gt;V105,CHAR(10)&amp;UPPER(LEFT(V106,1))&amp;MID(V106,2,20)&amp;":"&amp;CHAR(10),"")&amp;"   "&amp;IF(INDEX('ORDENES'!$AI$4:$AI$1203,U106)="","(s/t)",INDEX('ORDENES'!$AI$4:$AI$1203,U106))&amp;" · "&amp;IF(INDEX('ORDENES'!$AH$4:$AH$1203,U106)="","(sin técnico)",INDEX('ORDENES'!$AH$4:$AH$1203,U106))&amp;" · "&amp;INDEX('ORDENES'!$AU$4:$AU$1203,U106)&amp;" — "&amp;INDEX('ORDENES'!$D$4:$D$1203,U106)&amp;" ("&amp;TEXT(INDEX('ORDENES'!$M$4:$M$1203,U106),"0.#")&amp;" h)")</f>
        <v/>
      </c>
    </row>
    <row r="107">
      <c r="K107" s="24">
        <f>IF(AND(IF($B$3="(todos)",TRUE,'ORDENES'!$O103=$B$3),IF($D$3="(todos)",TRUE,'ORDENES'!$AI103=$D$3),IF($F$3="(todos)",TRUE,'ORDENES'!$AA103=$F$3),IF($H$3="(todos)",TRUE,'ORDENES'!$Z103=$H$3),'ORDENES'!$AG103=TRUE,'ORDENES'!$A103&lt;&gt;""),1,0)</f>
        <v/>
      </c>
      <c r="L107" s="24">
        <f>IF(K107=1,IFERROR(MATCH('ORDENES'!$S103,lista_dias,0),9)*1000000000+IFERROR(MATCH('ORDENES'!$AI103,lista_turnos,0),9)*10000000+IFERROR(MATCH('ORDENES'!$AH103,'TECNICOS'!$B$4:$B$19,0),99)*100000+100,9000000000000+100)</f>
        <v/>
      </c>
      <c r="M107" s="24">
        <f>IF(K107=1,SUMPRODUCT(--($L$8:$L$1207&lt;L107))+1,"")</f>
        <v/>
      </c>
      <c r="N107" s="25">
        <f>IF(K107=1,N('ORDENES'!$M103),0)</f>
        <v/>
      </c>
      <c r="O107" s="25">
        <f>IF('ORDENES'!$U103="preventiva",N107,0)</f>
        <v/>
      </c>
      <c r="P107" s="25">
        <f>IF('ORDENES'!$U103="correctiva",N107,0)</f>
        <v/>
      </c>
      <c r="Q107" s="24">
        <f>IF(AND(K107=1,'ORDENES'!$N103="Pendiente"),1,0)</f>
        <v/>
      </c>
      <c r="R107" s="24">
        <f>IF(Q107=1,100000-N107*1000+100*0.01,9000000000000+100)</f>
        <v/>
      </c>
      <c r="S107" s="24">
        <f>IF(Q107=1,SUMPRODUCT(--($R$8:$R$1207&lt;R107))+1,"")</f>
        <v/>
      </c>
      <c r="T107" s="30">
        <f>IF(K107=1,'ORDENES'!$J103,"")</f>
        <v/>
      </c>
      <c r="U107" s="24">
        <f>IFERROR(MATCH(100,$M$8:$M$1207,0),"")</f>
        <v/>
      </c>
      <c r="V107" s="24">
        <f>IF(U107="","",INDEX('ORDENES'!$S$4:$S$1203,U107))</f>
        <v/>
      </c>
      <c r="W107" s="24">
        <f>IF(U107="","",IF(V107&lt;&gt;V106,CHAR(10)&amp;UPPER(LEFT(V107,1))&amp;MID(V107,2,20)&amp;":"&amp;CHAR(10),"")&amp;"   "&amp;IF(INDEX('ORDENES'!$AI$4:$AI$1203,U107)="","(s/t)",INDEX('ORDENES'!$AI$4:$AI$1203,U107))&amp;" · "&amp;IF(INDEX('ORDENES'!$AH$4:$AH$1203,U107)="","(sin técnico)",INDEX('ORDENES'!$AH$4:$AH$1203,U107))&amp;" · "&amp;INDEX('ORDENES'!$AU$4:$AU$1203,U107)&amp;" — "&amp;INDEX('ORDENES'!$D$4:$D$1203,U107)&amp;" ("&amp;TEXT(INDEX('ORDENES'!$M$4:$M$1203,U107),"0.#")&amp;" h)")</f>
        <v/>
      </c>
    </row>
    <row r="108">
      <c r="K108" s="24">
        <f>IF(AND(IF($B$3="(todos)",TRUE,'ORDENES'!$O104=$B$3),IF($D$3="(todos)",TRUE,'ORDENES'!$AI104=$D$3),IF($F$3="(todos)",TRUE,'ORDENES'!$AA104=$F$3),IF($H$3="(todos)",TRUE,'ORDENES'!$Z104=$H$3),'ORDENES'!$AG104=TRUE,'ORDENES'!$A104&lt;&gt;""),1,0)</f>
        <v/>
      </c>
      <c r="L108" s="24">
        <f>IF(K108=1,IFERROR(MATCH('ORDENES'!$S104,lista_dias,0),9)*1000000000+IFERROR(MATCH('ORDENES'!$AI104,lista_turnos,0),9)*10000000+IFERROR(MATCH('ORDENES'!$AH104,'TECNICOS'!$B$4:$B$19,0),99)*100000+101,9000000000000+101)</f>
        <v/>
      </c>
      <c r="M108" s="24">
        <f>IF(K108=1,SUMPRODUCT(--($L$8:$L$1207&lt;L108))+1,"")</f>
        <v/>
      </c>
      <c r="N108" s="25">
        <f>IF(K108=1,N('ORDENES'!$M104),0)</f>
        <v/>
      </c>
      <c r="O108" s="25">
        <f>IF('ORDENES'!$U104="preventiva",N108,0)</f>
        <v/>
      </c>
      <c r="P108" s="25">
        <f>IF('ORDENES'!$U104="correctiva",N108,0)</f>
        <v/>
      </c>
      <c r="Q108" s="24">
        <f>IF(AND(K108=1,'ORDENES'!$N104="Pendiente"),1,0)</f>
        <v/>
      </c>
      <c r="R108" s="24">
        <f>IF(Q108=1,100000-N108*1000+101*0.01,9000000000000+101)</f>
        <v/>
      </c>
      <c r="S108" s="24">
        <f>IF(Q108=1,SUMPRODUCT(--($R$8:$R$1207&lt;R108))+1,"")</f>
        <v/>
      </c>
      <c r="T108" s="30">
        <f>IF(K108=1,'ORDENES'!$J104,"")</f>
        <v/>
      </c>
      <c r="U108" s="24">
        <f>IFERROR(MATCH(101,$M$8:$M$1207,0),"")</f>
        <v/>
      </c>
      <c r="V108" s="24">
        <f>IF(U108="","",INDEX('ORDENES'!$S$4:$S$1203,U108))</f>
        <v/>
      </c>
      <c r="W108" s="24">
        <f>IF(U108="","",IF(V108&lt;&gt;V107,CHAR(10)&amp;UPPER(LEFT(V108,1))&amp;MID(V108,2,20)&amp;":"&amp;CHAR(10),"")&amp;"   "&amp;IF(INDEX('ORDENES'!$AI$4:$AI$1203,U108)="","(s/t)",INDEX('ORDENES'!$AI$4:$AI$1203,U108))&amp;" · "&amp;IF(INDEX('ORDENES'!$AH$4:$AH$1203,U108)="","(sin técnico)",INDEX('ORDENES'!$AH$4:$AH$1203,U108))&amp;" · "&amp;INDEX('ORDENES'!$AU$4:$AU$1203,U108)&amp;" — "&amp;INDEX('ORDENES'!$D$4:$D$1203,U108)&amp;" ("&amp;TEXT(INDEX('ORDENES'!$M$4:$M$1203,U108),"0.#")&amp;" h)")</f>
        <v/>
      </c>
    </row>
    <row r="109">
      <c r="K109" s="24">
        <f>IF(AND(IF($B$3="(todos)",TRUE,'ORDENES'!$O105=$B$3),IF($D$3="(todos)",TRUE,'ORDENES'!$AI105=$D$3),IF($F$3="(todos)",TRUE,'ORDENES'!$AA105=$F$3),IF($H$3="(todos)",TRUE,'ORDENES'!$Z105=$H$3),'ORDENES'!$AG105=TRUE,'ORDENES'!$A105&lt;&gt;""),1,0)</f>
        <v/>
      </c>
      <c r="L109" s="24">
        <f>IF(K109=1,IFERROR(MATCH('ORDENES'!$S105,lista_dias,0),9)*1000000000+IFERROR(MATCH('ORDENES'!$AI105,lista_turnos,0),9)*10000000+IFERROR(MATCH('ORDENES'!$AH105,'TECNICOS'!$B$4:$B$19,0),99)*100000+102,9000000000000+102)</f>
        <v/>
      </c>
      <c r="M109" s="24">
        <f>IF(K109=1,SUMPRODUCT(--($L$8:$L$1207&lt;L109))+1,"")</f>
        <v/>
      </c>
      <c r="N109" s="25">
        <f>IF(K109=1,N('ORDENES'!$M105),0)</f>
        <v/>
      </c>
      <c r="O109" s="25">
        <f>IF('ORDENES'!$U105="preventiva",N109,0)</f>
        <v/>
      </c>
      <c r="P109" s="25">
        <f>IF('ORDENES'!$U105="correctiva",N109,0)</f>
        <v/>
      </c>
      <c r="Q109" s="24">
        <f>IF(AND(K109=1,'ORDENES'!$N105="Pendiente"),1,0)</f>
        <v/>
      </c>
      <c r="R109" s="24">
        <f>IF(Q109=1,100000-N109*1000+102*0.01,9000000000000+102)</f>
        <v/>
      </c>
      <c r="S109" s="24">
        <f>IF(Q109=1,SUMPRODUCT(--($R$8:$R$1207&lt;R109))+1,"")</f>
        <v/>
      </c>
      <c r="T109" s="30">
        <f>IF(K109=1,'ORDENES'!$J105,"")</f>
        <v/>
      </c>
      <c r="U109" s="24">
        <f>IFERROR(MATCH(102,$M$8:$M$1207,0),"")</f>
        <v/>
      </c>
      <c r="V109" s="24">
        <f>IF(U109="","",INDEX('ORDENES'!$S$4:$S$1203,U109))</f>
        <v/>
      </c>
      <c r="W109" s="24">
        <f>IF(U109="","",IF(V109&lt;&gt;V108,CHAR(10)&amp;UPPER(LEFT(V109,1))&amp;MID(V109,2,20)&amp;":"&amp;CHAR(10),"")&amp;"   "&amp;IF(INDEX('ORDENES'!$AI$4:$AI$1203,U109)="","(s/t)",INDEX('ORDENES'!$AI$4:$AI$1203,U109))&amp;" · "&amp;IF(INDEX('ORDENES'!$AH$4:$AH$1203,U109)="","(sin técnico)",INDEX('ORDENES'!$AH$4:$AH$1203,U109))&amp;" · "&amp;INDEX('ORDENES'!$AU$4:$AU$1203,U109)&amp;" — "&amp;INDEX('ORDENES'!$D$4:$D$1203,U109)&amp;" ("&amp;TEXT(INDEX('ORDENES'!$M$4:$M$1203,U109),"0.#")&amp;" h)")</f>
        <v/>
      </c>
    </row>
    <row r="110">
      <c r="K110" s="24">
        <f>IF(AND(IF($B$3="(todos)",TRUE,'ORDENES'!$O106=$B$3),IF($D$3="(todos)",TRUE,'ORDENES'!$AI106=$D$3),IF($F$3="(todos)",TRUE,'ORDENES'!$AA106=$F$3),IF($H$3="(todos)",TRUE,'ORDENES'!$Z106=$H$3),'ORDENES'!$AG106=TRUE,'ORDENES'!$A106&lt;&gt;""),1,0)</f>
        <v/>
      </c>
      <c r="L110" s="24">
        <f>IF(K110=1,IFERROR(MATCH('ORDENES'!$S106,lista_dias,0),9)*1000000000+IFERROR(MATCH('ORDENES'!$AI106,lista_turnos,0),9)*10000000+IFERROR(MATCH('ORDENES'!$AH106,'TECNICOS'!$B$4:$B$19,0),99)*100000+103,9000000000000+103)</f>
        <v/>
      </c>
      <c r="M110" s="24">
        <f>IF(K110=1,SUMPRODUCT(--($L$8:$L$1207&lt;L110))+1,"")</f>
        <v/>
      </c>
      <c r="N110" s="25">
        <f>IF(K110=1,N('ORDENES'!$M106),0)</f>
        <v/>
      </c>
      <c r="O110" s="25">
        <f>IF('ORDENES'!$U106="preventiva",N110,0)</f>
        <v/>
      </c>
      <c r="P110" s="25">
        <f>IF('ORDENES'!$U106="correctiva",N110,0)</f>
        <v/>
      </c>
      <c r="Q110" s="24">
        <f>IF(AND(K110=1,'ORDENES'!$N106="Pendiente"),1,0)</f>
        <v/>
      </c>
      <c r="R110" s="24">
        <f>IF(Q110=1,100000-N110*1000+103*0.01,9000000000000+103)</f>
        <v/>
      </c>
      <c r="S110" s="24">
        <f>IF(Q110=1,SUMPRODUCT(--($R$8:$R$1207&lt;R110))+1,"")</f>
        <v/>
      </c>
      <c r="T110" s="30">
        <f>IF(K110=1,'ORDENES'!$J106,"")</f>
        <v/>
      </c>
      <c r="U110" s="24">
        <f>IFERROR(MATCH(103,$M$8:$M$1207,0),"")</f>
        <v/>
      </c>
      <c r="V110" s="24">
        <f>IF(U110="","",INDEX('ORDENES'!$S$4:$S$1203,U110))</f>
        <v/>
      </c>
      <c r="W110" s="24">
        <f>IF(U110="","",IF(V110&lt;&gt;V109,CHAR(10)&amp;UPPER(LEFT(V110,1))&amp;MID(V110,2,20)&amp;":"&amp;CHAR(10),"")&amp;"   "&amp;IF(INDEX('ORDENES'!$AI$4:$AI$1203,U110)="","(s/t)",INDEX('ORDENES'!$AI$4:$AI$1203,U110))&amp;" · "&amp;IF(INDEX('ORDENES'!$AH$4:$AH$1203,U110)="","(sin técnico)",INDEX('ORDENES'!$AH$4:$AH$1203,U110))&amp;" · "&amp;INDEX('ORDENES'!$AU$4:$AU$1203,U110)&amp;" — "&amp;INDEX('ORDENES'!$D$4:$D$1203,U110)&amp;" ("&amp;TEXT(INDEX('ORDENES'!$M$4:$M$1203,U110),"0.#")&amp;" h)")</f>
        <v/>
      </c>
    </row>
    <row r="111">
      <c r="K111" s="24">
        <f>IF(AND(IF($B$3="(todos)",TRUE,'ORDENES'!$O107=$B$3),IF($D$3="(todos)",TRUE,'ORDENES'!$AI107=$D$3),IF($F$3="(todos)",TRUE,'ORDENES'!$AA107=$F$3),IF($H$3="(todos)",TRUE,'ORDENES'!$Z107=$H$3),'ORDENES'!$AG107=TRUE,'ORDENES'!$A107&lt;&gt;""),1,0)</f>
        <v/>
      </c>
      <c r="L111" s="24">
        <f>IF(K111=1,IFERROR(MATCH('ORDENES'!$S107,lista_dias,0),9)*1000000000+IFERROR(MATCH('ORDENES'!$AI107,lista_turnos,0),9)*10000000+IFERROR(MATCH('ORDENES'!$AH107,'TECNICOS'!$B$4:$B$19,0),99)*100000+104,9000000000000+104)</f>
        <v/>
      </c>
      <c r="M111" s="24">
        <f>IF(K111=1,SUMPRODUCT(--($L$8:$L$1207&lt;L111))+1,"")</f>
        <v/>
      </c>
      <c r="N111" s="25">
        <f>IF(K111=1,N('ORDENES'!$M107),0)</f>
        <v/>
      </c>
      <c r="O111" s="25">
        <f>IF('ORDENES'!$U107="preventiva",N111,0)</f>
        <v/>
      </c>
      <c r="P111" s="25">
        <f>IF('ORDENES'!$U107="correctiva",N111,0)</f>
        <v/>
      </c>
      <c r="Q111" s="24">
        <f>IF(AND(K111=1,'ORDENES'!$N107="Pendiente"),1,0)</f>
        <v/>
      </c>
      <c r="R111" s="24">
        <f>IF(Q111=1,100000-N111*1000+104*0.01,9000000000000+104)</f>
        <v/>
      </c>
      <c r="S111" s="24">
        <f>IF(Q111=1,SUMPRODUCT(--($R$8:$R$1207&lt;R111))+1,"")</f>
        <v/>
      </c>
      <c r="T111" s="30">
        <f>IF(K111=1,'ORDENES'!$J107,"")</f>
        <v/>
      </c>
      <c r="U111" s="24">
        <f>IFERROR(MATCH(104,$M$8:$M$1207,0),"")</f>
        <v/>
      </c>
      <c r="V111" s="24">
        <f>IF(U111="","",INDEX('ORDENES'!$S$4:$S$1203,U111))</f>
        <v/>
      </c>
      <c r="W111" s="24">
        <f>IF(U111="","",IF(V111&lt;&gt;V110,CHAR(10)&amp;UPPER(LEFT(V111,1))&amp;MID(V111,2,20)&amp;":"&amp;CHAR(10),"")&amp;"   "&amp;IF(INDEX('ORDENES'!$AI$4:$AI$1203,U111)="","(s/t)",INDEX('ORDENES'!$AI$4:$AI$1203,U111))&amp;" · "&amp;IF(INDEX('ORDENES'!$AH$4:$AH$1203,U111)="","(sin técnico)",INDEX('ORDENES'!$AH$4:$AH$1203,U111))&amp;" · "&amp;INDEX('ORDENES'!$AU$4:$AU$1203,U111)&amp;" — "&amp;INDEX('ORDENES'!$D$4:$D$1203,U111)&amp;" ("&amp;TEXT(INDEX('ORDENES'!$M$4:$M$1203,U111),"0.#")&amp;" h)")</f>
        <v/>
      </c>
    </row>
    <row r="112">
      <c r="K112" s="24">
        <f>IF(AND(IF($B$3="(todos)",TRUE,'ORDENES'!$O108=$B$3),IF($D$3="(todos)",TRUE,'ORDENES'!$AI108=$D$3),IF($F$3="(todos)",TRUE,'ORDENES'!$AA108=$F$3),IF($H$3="(todos)",TRUE,'ORDENES'!$Z108=$H$3),'ORDENES'!$AG108=TRUE,'ORDENES'!$A108&lt;&gt;""),1,0)</f>
        <v/>
      </c>
      <c r="L112" s="24">
        <f>IF(K112=1,IFERROR(MATCH('ORDENES'!$S108,lista_dias,0),9)*1000000000+IFERROR(MATCH('ORDENES'!$AI108,lista_turnos,0),9)*10000000+IFERROR(MATCH('ORDENES'!$AH108,'TECNICOS'!$B$4:$B$19,0),99)*100000+105,9000000000000+105)</f>
        <v/>
      </c>
      <c r="M112" s="24">
        <f>IF(K112=1,SUMPRODUCT(--($L$8:$L$1207&lt;L112))+1,"")</f>
        <v/>
      </c>
      <c r="N112" s="25">
        <f>IF(K112=1,N('ORDENES'!$M108),0)</f>
        <v/>
      </c>
      <c r="O112" s="25">
        <f>IF('ORDENES'!$U108="preventiva",N112,0)</f>
        <v/>
      </c>
      <c r="P112" s="25">
        <f>IF('ORDENES'!$U108="correctiva",N112,0)</f>
        <v/>
      </c>
      <c r="Q112" s="24">
        <f>IF(AND(K112=1,'ORDENES'!$N108="Pendiente"),1,0)</f>
        <v/>
      </c>
      <c r="R112" s="24">
        <f>IF(Q112=1,100000-N112*1000+105*0.01,9000000000000+105)</f>
        <v/>
      </c>
      <c r="S112" s="24">
        <f>IF(Q112=1,SUMPRODUCT(--($R$8:$R$1207&lt;R112))+1,"")</f>
        <v/>
      </c>
      <c r="T112" s="30">
        <f>IF(K112=1,'ORDENES'!$J108,"")</f>
        <v/>
      </c>
      <c r="U112" s="24">
        <f>IFERROR(MATCH(105,$M$8:$M$1207,0),"")</f>
        <v/>
      </c>
      <c r="V112" s="24">
        <f>IF(U112="","",INDEX('ORDENES'!$S$4:$S$1203,U112))</f>
        <v/>
      </c>
      <c r="W112" s="24">
        <f>IF(U112="","",IF(V112&lt;&gt;V111,CHAR(10)&amp;UPPER(LEFT(V112,1))&amp;MID(V112,2,20)&amp;":"&amp;CHAR(10),"")&amp;"   "&amp;IF(INDEX('ORDENES'!$AI$4:$AI$1203,U112)="","(s/t)",INDEX('ORDENES'!$AI$4:$AI$1203,U112))&amp;" · "&amp;IF(INDEX('ORDENES'!$AH$4:$AH$1203,U112)="","(sin técnico)",INDEX('ORDENES'!$AH$4:$AH$1203,U112))&amp;" · "&amp;INDEX('ORDENES'!$AU$4:$AU$1203,U112)&amp;" — "&amp;INDEX('ORDENES'!$D$4:$D$1203,U112)&amp;" ("&amp;TEXT(INDEX('ORDENES'!$M$4:$M$1203,U112),"0.#")&amp;" h)")</f>
        <v/>
      </c>
    </row>
    <row r="113">
      <c r="K113" s="24">
        <f>IF(AND(IF($B$3="(todos)",TRUE,'ORDENES'!$O109=$B$3),IF($D$3="(todos)",TRUE,'ORDENES'!$AI109=$D$3),IF($F$3="(todos)",TRUE,'ORDENES'!$AA109=$F$3),IF($H$3="(todos)",TRUE,'ORDENES'!$Z109=$H$3),'ORDENES'!$AG109=TRUE,'ORDENES'!$A109&lt;&gt;""),1,0)</f>
        <v/>
      </c>
      <c r="L113" s="24">
        <f>IF(K113=1,IFERROR(MATCH('ORDENES'!$S109,lista_dias,0),9)*1000000000+IFERROR(MATCH('ORDENES'!$AI109,lista_turnos,0),9)*10000000+IFERROR(MATCH('ORDENES'!$AH109,'TECNICOS'!$B$4:$B$19,0),99)*100000+106,9000000000000+106)</f>
        <v/>
      </c>
      <c r="M113" s="24">
        <f>IF(K113=1,SUMPRODUCT(--($L$8:$L$1207&lt;L113))+1,"")</f>
        <v/>
      </c>
      <c r="N113" s="25">
        <f>IF(K113=1,N('ORDENES'!$M109),0)</f>
        <v/>
      </c>
      <c r="O113" s="25">
        <f>IF('ORDENES'!$U109="preventiva",N113,0)</f>
        <v/>
      </c>
      <c r="P113" s="25">
        <f>IF('ORDENES'!$U109="correctiva",N113,0)</f>
        <v/>
      </c>
      <c r="Q113" s="24">
        <f>IF(AND(K113=1,'ORDENES'!$N109="Pendiente"),1,0)</f>
        <v/>
      </c>
      <c r="R113" s="24">
        <f>IF(Q113=1,100000-N113*1000+106*0.01,9000000000000+106)</f>
        <v/>
      </c>
      <c r="S113" s="24">
        <f>IF(Q113=1,SUMPRODUCT(--($R$8:$R$1207&lt;R113))+1,"")</f>
        <v/>
      </c>
      <c r="T113" s="30">
        <f>IF(K113=1,'ORDENES'!$J109,"")</f>
        <v/>
      </c>
      <c r="U113" s="24">
        <f>IFERROR(MATCH(106,$M$8:$M$1207,0),"")</f>
        <v/>
      </c>
      <c r="V113" s="24">
        <f>IF(U113="","",INDEX('ORDENES'!$S$4:$S$1203,U113))</f>
        <v/>
      </c>
      <c r="W113" s="24">
        <f>IF(U113="","",IF(V113&lt;&gt;V112,CHAR(10)&amp;UPPER(LEFT(V113,1))&amp;MID(V113,2,20)&amp;":"&amp;CHAR(10),"")&amp;"   "&amp;IF(INDEX('ORDENES'!$AI$4:$AI$1203,U113)="","(s/t)",INDEX('ORDENES'!$AI$4:$AI$1203,U113))&amp;" · "&amp;IF(INDEX('ORDENES'!$AH$4:$AH$1203,U113)="","(sin técnico)",INDEX('ORDENES'!$AH$4:$AH$1203,U113))&amp;" · "&amp;INDEX('ORDENES'!$AU$4:$AU$1203,U113)&amp;" — "&amp;INDEX('ORDENES'!$D$4:$D$1203,U113)&amp;" ("&amp;TEXT(INDEX('ORDENES'!$M$4:$M$1203,U113),"0.#")&amp;" h)")</f>
        <v/>
      </c>
    </row>
    <row r="114">
      <c r="K114" s="24">
        <f>IF(AND(IF($B$3="(todos)",TRUE,'ORDENES'!$O110=$B$3),IF($D$3="(todos)",TRUE,'ORDENES'!$AI110=$D$3),IF($F$3="(todos)",TRUE,'ORDENES'!$AA110=$F$3),IF($H$3="(todos)",TRUE,'ORDENES'!$Z110=$H$3),'ORDENES'!$AG110=TRUE,'ORDENES'!$A110&lt;&gt;""),1,0)</f>
        <v/>
      </c>
      <c r="L114" s="24">
        <f>IF(K114=1,IFERROR(MATCH('ORDENES'!$S110,lista_dias,0),9)*1000000000+IFERROR(MATCH('ORDENES'!$AI110,lista_turnos,0),9)*10000000+IFERROR(MATCH('ORDENES'!$AH110,'TECNICOS'!$B$4:$B$19,0),99)*100000+107,9000000000000+107)</f>
        <v/>
      </c>
      <c r="M114" s="24">
        <f>IF(K114=1,SUMPRODUCT(--($L$8:$L$1207&lt;L114))+1,"")</f>
        <v/>
      </c>
      <c r="N114" s="25">
        <f>IF(K114=1,N('ORDENES'!$M110),0)</f>
        <v/>
      </c>
      <c r="O114" s="25">
        <f>IF('ORDENES'!$U110="preventiva",N114,0)</f>
        <v/>
      </c>
      <c r="P114" s="25">
        <f>IF('ORDENES'!$U110="correctiva",N114,0)</f>
        <v/>
      </c>
      <c r="Q114" s="24">
        <f>IF(AND(K114=1,'ORDENES'!$N110="Pendiente"),1,0)</f>
        <v/>
      </c>
      <c r="R114" s="24">
        <f>IF(Q114=1,100000-N114*1000+107*0.01,9000000000000+107)</f>
        <v/>
      </c>
      <c r="S114" s="24">
        <f>IF(Q114=1,SUMPRODUCT(--($R$8:$R$1207&lt;R114))+1,"")</f>
        <v/>
      </c>
      <c r="T114" s="30">
        <f>IF(K114=1,'ORDENES'!$J110,"")</f>
        <v/>
      </c>
      <c r="U114" s="24">
        <f>IFERROR(MATCH(107,$M$8:$M$1207,0),"")</f>
        <v/>
      </c>
      <c r="V114" s="24">
        <f>IF(U114="","",INDEX('ORDENES'!$S$4:$S$1203,U114))</f>
        <v/>
      </c>
      <c r="W114" s="24">
        <f>IF(U114="","",IF(V114&lt;&gt;V113,CHAR(10)&amp;UPPER(LEFT(V114,1))&amp;MID(V114,2,20)&amp;":"&amp;CHAR(10),"")&amp;"   "&amp;IF(INDEX('ORDENES'!$AI$4:$AI$1203,U114)="","(s/t)",INDEX('ORDENES'!$AI$4:$AI$1203,U114))&amp;" · "&amp;IF(INDEX('ORDENES'!$AH$4:$AH$1203,U114)="","(sin técnico)",INDEX('ORDENES'!$AH$4:$AH$1203,U114))&amp;" · "&amp;INDEX('ORDENES'!$AU$4:$AU$1203,U114)&amp;" — "&amp;INDEX('ORDENES'!$D$4:$D$1203,U114)&amp;" ("&amp;TEXT(INDEX('ORDENES'!$M$4:$M$1203,U114),"0.#")&amp;" h)")</f>
        <v/>
      </c>
    </row>
    <row r="115">
      <c r="K115" s="24">
        <f>IF(AND(IF($B$3="(todos)",TRUE,'ORDENES'!$O111=$B$3),IF($D$3="(todos)",TRUE,'ORDENES'!$AI111=$D$3),IF($F$3="(todos)",TRUE,'ORDENES'!$AA111=$F$3),IF($H$3="(todos)",TRUE,'ORDENES'!$Z111=$H$3),'ORDENES'!$AG111=TRUE,'ORDENES'!$A111&lt;&gt;""),1,0)</f>
        <v/>
      </c>
      <c r="L115" s="24">
        <f>IF(K115=1,IFERROR(MATCH('ORDENES'!$S111,lista_dias,0),9)*1000000000+IFERROR(MATCH('ORDENES'!$AI111,lista_turnos,0),9)*10000000+IFERROR(MATCH('ORDENES'!$AH111,'TECNICOS'!$B$4:$B$19,0),99)*100000+108,9000000000000+108)</f>
        <v/>
      </c>
      <c r="M115" s="24">
        <f>IF(K115=1,SUMPRODUCT(--($L$8:$L$1207&lt;L115))+1,"")</f>
        <v/>
      </c>
      <c r="N115" s="25">
        <f>IF(K115=1,N('ORDENES'!$M111),0)</f>
        <v/>
      </c>
      <c r="O115" s="25">
        <f>IF('ORDENES'!$U111="preventiva",N115,0)</f>
        <v/>
      </c>
      <c r="P115" s="25">
        <f>IF('ORDENES'!$U111="correctiva",N115,0)</f>
        <v/>
      </c>
      <c r="Q115" s="24">
        <f>IF(AND(K115=1,'ORDENES'!$N111="Pendiente"),1,0)</f>
        <v/>
      </c>
      <c r="R115" s="24">
        <f>IF(Q115=1,100000-N115*1000+108*0.01,9000000000000+108)</f>
        <v/>
      </c>
      <c r="S115" s="24">
        <f>IF(Q115=1,SUMPRODUCT(--($R$8:$R$1207&lt;R115))+1,"")</f>
        <v/>
      </c>
      <c r="T115" s="30">
        <f>IF(K115=1,'ORDENES'!$J111,"")</f>
        <v/>
      </c>
      <c r="U115" s="24">
        <f>IFERROR(MATCH(108,$M$8:$M$1207,0),"")</f>
        <v/>
      </c>
      <c r="V115" s="24">
        <f>IF(U115="","",INDEX('ORDENES'!$S$4:$S$1203,U115))</f>
        <v/>
      </c>
      <c r="W115" s="24">
        <f>IF(U115="","",IF(V115&lt;&gt;V114,CHAR(10)&amp;UPPER(LEFT(V115,1))&amp;MID(V115,2,20)&amp;":"&amp;CHAR(10),"")&amp;"   "&amp;IF(INDEX('ORDENES'!$AI$4:$AI$1203,U115)="","(s/t)",INDEX('ORDENES'!$AI$4:$AI$1203,U115))&amp;" · "&amp;IF(INDEX('ORDENES'!$AH$4:$AH$1203,U115)="","(sin técnico)",INDEX('ORDENES'!$AH$4:$AH$1203,U115))&amp;" · "&amp;INDEX('ORDENES'!$AU$4:$AU$1203,U115)&amp;" — "&amp;INDEX('ORDENES'!$D$4:$D$1203,U115)&amp;" ("&amp;TEXT(INDEX('ORDENES'!$M$4:$M$1203,U115),"0.#")&amp;" h)")</f>
        <v/>
      </c>
    </row>
    <row r="116">
      <c r="K116" s="24">
        <f>IF(AND(IF($B$3="(todos)",TRUE,'ORDENES'!$O112=$B$3),IF($D$3="(todos)",TRUE,'ORDENES'!$AI112=$D$3),IF($F$3="(todos)",TRUE,'ORDENES'!$AA112=$F$3),IF($H$3="(todos)",TRUE,'ORDENES'!$Z112=$H$3),'ORDENES'!$AG112=TRUE,'ORDENES'!$A112&lt;&gt;""),1,0)</f>
        <v/>
      </c>
      <c r="L116" s="24">
        <f>IF(K116=1,IFERROR(MATCH('ORDENES'!$S112,lista_dias,0),9)*1000000000+IFERROR(MATCH('ORDENES'!$AI112,lista_turnos,0),9)*10000000+IFERROR(MATCH('ORDENES'!$AH112,'TECNICOS'!$B$4:$B$19,0),99)*100000+109,9000000000000+109)</f>
        <v/>
      </c>
      <c r="M116" s="24">
        <f>IF(K116=1,SUMPRODUCT(--($L$8:$L$1207&lt;L116))+1,"")</f>
        <v/>
      </c>
      <c r="N116" s="25">
        <f>IF(K116=1,N('ORDENES'!$M112),0)</f>
        <v/>
      </c>
      <c r="O116" s="25">
        <f>IF('ORDENES'!$U112="preventiva",N116,0)</f>
        <v/>
      </c>
      <c r="P116" s="25">
        <f>IF('ORDENES'!$U112="correctiva",N116,0)</f>
        <v/>
      </c>
      <c r="Q116" s="24">
        <f>IF(AND(K116=1,'ORDENES'!$N112="Pendiente"),1,0)</f>
        <v/>
      </c>
      <c r="R116" s="24">
        <f>IF(Q116=1,100000-N116*1000+109*0.01,9000000000000+109)</f>
        <v/>
      </c>
      <c r="S116" s="24">
        <f>IF(Q116=1,SUMPRODUCT(--($R$8:$R$1207&lt;R116))+1,"")</f>
        <v/>
      </c>
      <c r="T116" s="30">
        <f>IF(K116=1,'ORDENES'!$J112,"")</f>
        <v/>
      </c>
      <c r="U116" s="24">
        <f>IFERROR(MATCH(109,$M$8:$M$1207,0),"")</f>
        <v/>
      </c>
      <c r="V116" s="24">
        <f>IF(U116="","",INDEX('ORDENES'!$S$4:$S$1203,U116))</f>
        <v/>
      </c>
      <c r="W116" s="24">
        <f>IF(U116="","",IF(V116&lt;&gt;V115,CHAR(10)&amp;UPPER(LEFT(V116,1))&amp;MID(V116,2,20)&amp;":"&amp;CHAR(10),"")&amp;"   "&amp;IF(INDEX('ORDENES'!$AI$4:$AI$1203,U116)="","(s/t)",INDEX('ORDENES'!$AI$4:$AI$1203,U116))&amp;" · "&amp;IF(INDEX('ORDENES'!$AH$4:$AH$1203,U116)="","(sin técnico)",INDEX('ORDENES'!$AH$4:$AH$1203,U116))&amp;" · "&amp;INDEX('ORDENES'!$AU$4:$AU$1203,U116)&amp;" — "&amp;INDEX('ORDENES'!$D$4:$D$1203,U116)&amp;" ("&amp;TEXT(INDEX('ORDENES'!$M$4:$M$1203,U116),"0.#")&amp;" h)")</f>
        <v/>
      </c>
    </row>
    <row r="117">
      <c r="K117" s="24">
        <f>IF(AND(IF($B$3="(todos)",TRUE,'ORDENES'!$O113=$B$3),IF($D$3="(todos)",TRUE,'ORDENES'!$AI113=$D$3),IF($F$3="(todos)",TRUE,'ORDENES'!$AA113=$F$3),IF($H$3="(todos)",TRUE,'ORDENES'!$Z113=$H$3),'ORDENES'!$AG113=TRUE,'ORDENES'!$A113&lt;&gt;""),1,0)</f>
        <v/>
      </c>
      <c r="L117" s="24">
        <f>IF(K117=1,IFERROR(MATCH('ORDENES'!$S113,lista_dias,0),9)*1000000000+IFERROR(MATCH('ORDENES'!$AI113,lista_turnos,0),9)*10000000+IFERROR(MATCH('ORDENES'!$AH113,'TECNICOS'!$B$4:$B$19,0),99)*100000+110,9000000000000+110)</f>
        <v/>
      </c>
      <c r="M117" s="24">
        <f>IF(K117=1,SUMPRODUCT(--($L$8:$L$1207&lt;L117))+1,"")</f>
        <v/>
      </c>
      <c r="N117" s="25">
        <f>IF(K117=1,N('ORDENES'!$M113),0)</f>
        <v/>
      </c>
      <c r="O117" s="25">
        <f>IF('ORDENES'!$U113="preventiva",N117,0)</f>
        <v/>
      </c>
      <c r="P117" s="25">
        <f>IF('ORDENES'!$U113="correctiva",N117,0)</f>
        <v/>
      </c>
      <c r="Q117" s="24">
        <f>IF(AND(K117=1,'ORDENES'!$N113="Pendiente"),1,0)</f>
        <v/>
      </c>
      <c r="R117" s="24">
        <f>IF(Q117=1,100000-N117*1000+110*0.01,9000000000000+110)</f>
        <v/>
      </c>
      <c r="S117" s="24">
        <f>IF(Q117=1,SUMPRODUCT(--($R$8:$R$1207&lt;R117))+1,"")</f>
        <v/>
      </c>
      <c r="T117" s="30">
        <f>IF(K117=1,'ORDENES'!$J113,"")</f>
        <v/>
      </c>
      <c r="U117" s="24">
        <f>IFERROR(MATCH(110,$M$8:$M$1207,0),"")</f>
        <v/>
      </c>
      <c r="V117" s="24">
        <f>IF(U117="","",INDEX('ORDENES'!$S$4:$S$1203,U117))</f>
        <v/>
      </c>
      <c r="W117" s="24">
        <f>IF(U117="","",IF(V117&lt;&gt;V116,CHAR(10)&amp;UPPER(LEFT(V117,1))&amp;MID(V117,2,20)&amp;":"&amp;CHAR(10),"")&amp;"   "&amp;IF(INDEX('ORDENES'!$AI$4:$AI$1203,U117)="","(s/t)",INDEX('ORDENES'!$AI$4:$AI$1203,U117))&amp;" · "&amp;IF(INDEX('ORDENES'!$AH$4:$AH$1203,U117)="","(sin técnico)",INDEX('ORDENES'!$AH$4:$AH$1203,U117))&amp;" · "&amp;INDEX('ORDENES'!$AU$4:$AU$1203,U117)&amp;" — "&amp;INDEX('ORDENES'!$D$4:$D$1203,U117)&amp;" ("&amp;TEXT(INDEX('ORDENES'!$M$4:$M$1203,U117),"0.#")&amp;" h)")</f>
        <v/>
      </c>
    </row>
    <row r="118">
      <c r="K118" s="24">
        <f>IF(AND(IF($B$3="(todos)",TRUE,'ORDENES'!$O114=$B$3),IF($D$3="(todos)",TRUE,'ORDENES'!$AI114=$D$3),IF($F$3="(todos)",TRUE,'ORDENES'!$AA114=$F$3),IF($H$3="(todos)",TRUE,'ORDENES'!$Z114=$H$3),'ORDENES'!$AG114=TRUE,'ORDENES'!$A114&lt;&gt;""),1,0)</f>
        <v/>
      </c>
      <c r="L118" s="24">
        <f>IF(K118=1,IFERROR(MATCH('ORDENES'!$S114,lista_dias,0),9)*1000000000+IFERROR(MATCH('ORDENES'!$AI114,lista_turnos,0),9)*10000000+IFERROR(MATCH('ORDENES'!$AH114,'TECNICOS'!$B$4:$B$19,0),99)*100000+111,9000000000000+111)</f>
        <v/>
      </c>
      <c r="M118" s="24">
        <f>IF(K118=1,SUMPRODUCT(--($L$8:$L$1207&lt;L118))+1,"")</f>
        <v/>
      </c>
      <c r="N118" s="25">
        <f>IF(K118=1,N('ORDENES'!$M114),0)</f>
        <v/>
      </c>
      <c r="O118" s="25">
        <f>IF('ORDENES'!$U114="preventiva",N118,0)</f>
        <v/>
      </c>
      <c r="P118" s="25">
        <f>IF('ORDENES'!$U114="correctiva",N118,0)</f>
        <v/>
      </c>
      <c r="Q118" s="24">
        <f>IF(AND(K118=1,'ORDENES'!$N114="Pendiente"),1,0)</f>
        <v/>
      </c>
      <c r="R118" s="24">
        <f>IF(Q118=1,100000-N118*1000+111*0.01,9000000000000+111)</f>
        <v/>
      </c>
      <c r="S118" s="24">
        <f>IF(Q118=1,SUMPRODUCT(--($R$8:$R$1207&lt;R118))+1,"")</f>
        <v/>
      </c>
      <c r="T118" s="30">
        <f>IF(K118=1,'ORDENES'!$J114,"")</f>
        <v/>
      </c>
      <c r="U118" s="24">
        <f>IFERROR(MATCH(111,$M$8:$M$1207,0),"")</f>
        <v/>
      </c>
      <c r="V118" s="24">
        <f>IF(U118="","",INDEX('ORDENES'!$S$4:$S$1203,U118))</f>
        <v/>
      </c>
      <c r="W118" s="24">
        <f>IF(U118="","",IF(V118&lt;&gt;V117,CHAR(10)&amp;UPPER(LEFT(V118,1))&amp;MID(V118,2,20)&amp;":"&amp;CHAR(10),"")&amp;"   "&amp;IF(INDEX('ORDENES'!$AI$4:$AI$1203,U118)="","(s/t)",INDEX('ORDENES'!$AI$4:$AI$1203,U118))&amp;" · "&amp;IF(INDEX('ORDENES'!$AH$4:$AH$1203,U118)="","(sin técnico)",INDEX('ORDENES'!$AH$4:$AH$1203,U118))&amp;" · "&amp;INDEX('ORDENES'!$AU$4:$AU$1203,U118)&amp;" — "&amp;INDEX('ORDENES'!$D$4:$D$1203,U118)&amp;" ("&amp;TEXT(INDEX('ORDENES'!$M$4:$M$1203,U118),"0.#")&amp;" h)")</f>
        <v/>
      </c>
    </row>
    <row r="119">
      <c r="K119" s="24">
        <f>IF(AND(IF($B$3="(todos)",TRUE,'ORDENES'!$O115=$B$3),IF($D$3="(todos)",TRUE,'ORDENES'!$AI115=$D$3),IF($F$3="(todos)",TRUE,'ORDENES'!$AA115=$F$3),IF($H$3="(todos)",TRUE,'ORDENES'!$Z115=$H$3),'ORDENES'!$AG115=TRUE,'ORDENES'!$A115&lt;&gt;""),1,0)</f>
        <v/>
      </c>
      <c r="L119" s="24">
        <f>IF(K119=1,IFERROR(MATCH('ORDENES'!$S115,lista_dias,0),9)*1000000000+IFERROR(MATCH('ORDENES'!$AI115,lista_turnos,0),9)*10000000+IFERROR(MATCH('ORDENES'!$AH115,'TECNICOS'!$B$4:$B$19,0),99)*100000+112,9000000000000+112)</f>
        <v/>
      </c>
      <c r="M119" s="24">
        <f>IF(K119=1,SUMPRODUCT(--($L$8:$L$1207&lt;L119))+1,"")</f>
        <v/>
      </c>
      <c r="N119" s="25">
        <f>IF(K119=1,N('ORDENES'!$M115),0)</f>
        <v/>
      </c>
      <c r="O119" s="25">
        <f>IF('ORDENES'!$U115="preventiva",N119,0)</f>
        <v/>
      </c>
      <c r="P119" s="25">
        <f>IF('ORDENES'!$U115="correctiva",N119,0)</f>
        <v/>
      </c>
      <c r="Q119" s="24">
        <f>IF(AND(K119=1,'ORDENES'!$N115="Pendiente"),1,0)</f>
        <v/>
      </c>
      <c r="R119" s="24">
        <f>IF(Q119=1,100000-N119*1000+112*0.01,9000000000000+112)</f>
        <v/>
      </c>
      <c r="S119" s="24">
        <f>IF(Q119=1,SUMPRODUCT(--($R$8:$R$1207&lt;R119))+1,"")</f>
        <v/>
      </c>
      <c r="T119" s="30">
        <f>IF(K119=1,'ORDENES'!$J115,"")</f>
        <v/>
      </c>
      <c r="U119" s="24">
        <f>IFERROR(MATCH(112,$M$8:$M$1207,0),"")</f>
        <v/>
      </c>
      <c r="V119" s="24">
        <f>IF(U119="","",INDEX('ORDENES'!$S$4:$S$1203,U119))</f>
        <v/>
      </c>
      <c r="W119" s="24">
        <f>IF(U119="","",IF(V119&lt;&gt;V118,CHAR(10)&amp;UPPER(LEFT(V119,1))&amp;MID(V119,2,20)&amp;":"&amp;CHAR(10),"")&amp;"   "&amp;IF(INDEX('ORDENES'!$AI$4:$AI$1203,U119)="","(s/t)",INDEX('ORDENES'!$AI$4:$AI$1203,U119))&amp;" · "&amp;IF(INDEX('ORDENES'!$AH$4:$AH$1203,U119)="","(sin técnico)",INDEX('ORDENES'!$AH$4:$AH$1203,U119))&amp;" · "&amp;INDEX('ORDENES'!$AU$4:$AU$1203,U119)&amp;" — "&amp;INDEX('ORDENES'!$D$4:$D$1203,U119)&amp;" ("&amp;TEXT(INDEX('ORDENES'!$M$4:$M$1203,U119),"0.#")&amp;" h)")</f>
        <v/>
      </c>
    </row>
    <row r="120">
      <c r="K120" s="24">
        <f>IF(AND(IF($B$3="(todos)",TRUE,'ORDENES'!$O116=$B$3),IF($D$3="(todos)",TRUE,'ORDENES'!$AI116=$D$3),IF($F$3="(todos)",TRUE,'ORDENES'!$AA116=$F$3),IF($H$3="(todos)",TRUE,'ORDENES'!$Z116=$H$3),'ORDENES'!$AG116=TRUE,'ORDENES'!$A116&lt;&gt;""),1,0)</f>
        <v/>
      </c>
      <c r="L120" s="24">
        <f>IF(K120=1,IFERROR(MATCH('ORDENES'!$S116,lista_dias,0),9)*1000000000+IFERROR(MATCH('ORDENES'!$AI116,lista_turnos,0),9)*10000000+IFERROR(MATCH('ORDENES'!$AH116,'TECNICOS'!$B$4:$B$19,0),99)*100000+113,9000000000000+113)</f>
        <v/>
      </c>
      <c r="M120" s="24">
        <f>IF(K120=1,SUMPRODUCT(--($L$8:$L$1207&lt;L120))+1,"")</f>
        <v/>
      </c>
      <c r="N120" s="25">
        <f>IF(K120=1,N('ORDENES'!$M116),0)</f>
        <v/>
      </c>
      <c r="O120" s="25">
        <f>IF('ORDENES'!$U116="preventiva",N120,0)</f>
        <v/>
      </c>
      <c r="P120" s="25">
        <f>IF('ORDENES'!$U116="correctiva",N120,0)</f>
        <v/>
      </c>
      <c r="Q120" s="24">
        <f>IF(AND(K120=1,'ORDENES'!$N116="Pendiente"),1,0)</f>
        <v/>
      </c>
      <c r="R120" s="24">
        <f>IF(Q120=1,100000-N120*1000+113*0.01,9000000000000+113)</f>
        <v/>
      </c>
      <c r="S120" s="24">
        <f>IF(Q120=1,SUMPRODUCT(--($R$8:$R$1207&lt;R120))+1,"")</f>
        <v/>
      </c>
      <c r="T120" s="30">
        <f>IF(K120=1,'ORDENES'!$J116,"")</f>
        <v/>
      </c>
      <c r="U120" s="24">
        <f>IFERROR(MATCH(113,$M$8:$M$1207,0),"")</f>
        <v/>
      </c>
      <c r="V120" s="24">
        <f>IF(U120="","",INDEX('ORDENES'!$S$4:$S$1203,U120))</f>
        <v/>
      </c>
      <c r="W120" s="24">
        <f>IF(U120="","",IF(V120&lt;&gt;V119,CHAR(10)&amp;UPPER(LEFT(V120,1))&amp;MID(V120,2,20)&amp;":"&amp;CHAR(10),"")&amp;"   "&amp;IF(INDEX('ORDENES'!$AI$4:$AI$1203,U120)="","(s/t)",INDEX('ORDENES'!$AI$4:$AI$1203,U120))&amp;" · "&amp;IF(INDEX('ORDENES'!$AH$4:$AH$1203,U120)="","(sin técnico)",INDEX('ORDENES'!$AH$4:$AH$1203,U120))&amp;" · "&amp;INDEX('ORDENES'!$AU$4:$AU$1203,U120)&amp;" — "&amp;INDEX('ORDENES'!$D$4:$D$1203,U120)&amp;" ("&amp;TEXT(INDEX('ORDENES'!$M$4:$M$1203,U120),"0.#")&amp;" h)")</f>
        <v/>
      </c>
    </row>
    <row r="121">
      <c r="K121" s="24">
        <f>IF(AND(IF($B$3="(todos)",TRUE,'ORDENES'!$O117=$B$3),IF($D$3="(todos)",TRUE,'ORDENES'!$AI117=$D$3),IF($F$3="(todos)",TRUE,'ORDENES'!$AA117=$F$3),IF($H$3="(todos)",TRUE,'ORDENES'!$Z117=$H$3),'ORDENES'!$AG117=TRUE,'ORDENES'!$A117&lt;&gt;""),1,0)</f>
        <v/>
      </c>
      <c r="L121" s="24">
        <f>IF(K121=1,IFERROR(MATCH('ORDENES'!$S117,lista_dias,0),9)*1000000000+IFERROR(MATCH('ORDENES'!$AI117,lista_turnos,0),9)*10000000+IFERROR(MATCH('ORDENES'!$AH117,'TECNICOS'!$B$4:$B$19,0),99)*100000+114,9000000000000+114)</f>
        <v/>
      </c>
      <c r="M121" s="24">
        <f>IF(K121=1,SUMPRODUCT(--($L$8:$L$1207&lt;L121))+1,"")</f>
        <v/>
      </c>
      <c r="N121" s="25">
        <f>IF(K121=1,N('ORDENES'!$M117),0)</f>
        <v/>
      </c>
      <c r="O121" s="25">
        <f>IF('ORDENES'!$U117="preventiva",N121,0)</f>
        <v/>
      </c>
      <c r="P121" s="25">
        <f>IF('ORDENES'!$U117="correctiva",N121,0)</f>
        <v/>
      </c>
      <c r="Q121" s="24">
        <f>IF(AND(K121=1,'ORDENES'!$N117="Pendiente"),1,0)</f>
        <v/>
      </c>
      <c r="R121" s="24">
        <f>IF(Q121=1,100000-N121*1000+114*0.01,9000000000000+114)</f>
        <v/>
      </c>
      <c r="S121" s="24">
        <f>IF(Q121=1,SUMPRODUCT(--($R$8:$R$1207&lt;R121))+1,"")</f>
        <v/>
      </c>
      <c r="T121" s="30">
        <f>IF(K121=1,'ORDENES'!$J117,"")</f>
        <v/>
      </c>
      <c r="U121" s="24">
        <f>IFERROR(MATCH(114,$M$8:$M$1207,0),"")</f>
        <v/>
      </c>
      <c r="V121" s="24">
        <f>IF(U121="","",INDEX('ORDENES'!$S$4:$S$1203,U121))</f>
        <v/>
      </c>
      <c r="W121" s="24">
        <f>IF(U121="","",IF(V121&lt;&gt;V120,CHAR(10)&amp;UPPER(LEFT(V121,1))&amp;MID(V121,2,20)&amp;":"&amp;CHAR(10),"")&amp;"   "&amp;IF(INDEX('ORDENES'!$AI$4:$AI$1203,U121)="","(s/t)",INDEX('ORDENES'!$AI$4:$AI$1203,U121))&amp;" · "&amp;IF(INDEX('ORDENES'!$AH$4:$AH$1203,U121)="","(sin técnico)",INDEX('ORDENES'!$AH$4:$AH$1203,U121))&amp;" · "&amp;INDEX('ORDENES'!$AU$4:$AU$1203,U121)&amp;" — "&amp;INDEX('ORDENES'!$D$4:$D$1203,U121)&amp;" ("&amp;TEXT(INDEX('ORDENES'!$M$4:$M$1203,U121),"0.#")&amp;" h)")</f>
        <v/>
      </c>
    </row>
    <row r="122">
      <c r="K122" s="24">
        <f>IF(AND(IF($B$3="(todos)",TRUE,'ORDENES'!$O118=$B$3),IF($D$3="(todos)",TRUE,'ORDENES'!$AI118=$D$3),IF($F$3="(todos)",TRUE,'ORDENES'!$AA118=$F$3),IF($H$3="(todos)",TRUE,'ORDENES'!$Z118=$H$3),'ORDENES'!$AG118=TRUE,'ORDENES'!$A118&lt;&gt;""),1,0)</f>
        <v/>
      </c>
      <c r="L122" s="24">
        <f>IF(K122=1,IFERROR(MATCH('ORDENES'!$S118,lista_dias,0),9)*1000000000+IFERROR(MATCH('ORDENES'!$AI118,lista_turnos,0),9)*10000000+IFERROR(MATCH('ORDENES'!$AH118,'TECNICOS'!$B$4:$B$19,0),99)*100000+115,9000000000000+115)</f>
        <v/>
      </c>
      <c r="M122" s="24">
        <f>IF(K122=1,SUMPRODUCT(--($L$8:$L$1207&lt;L122))+1,"")</f>
        <v/>
      </c>
      <c r="N122" s="25">
        <f>IF(K122=1,N('ORDENES'!$M118),0)</f>
        <v/>
      </c>
      <c r="O122" s="25">
        <f>IF('ORDENES'!$U118="preventiva",N122,0)</f>
        <v/>
      </c>
      <c r="P122" s="25">
        <f>IF('ORDENES'!$U118="correctiva",N122,0)</f>
        <v/>
      </c>
      <c r="Q122" s="24">
        <f>IF(AND(K122=1,'ORDENES'!$N118="Pendiente"),1,0)</f>
        <v/>
      </c>
      <c r="R122" s="24">
        <f>IF(Q122=1,100000-N122*1000+115*0.01,9000000000000+115)</f>
        <v/>
      </c>
      <c r="S122" s="24">
        <f>IF(Q122=1,SUMPRODUCT(--($R$8:$R$1207&lt;R122))+1,"")</f>
        <v/>
      </c>
      <c r="T122" s="30">
        <f>IF(K122=1,'ORDENES'!$J118,"")</f>
        <v/>
      </c>
      <c r="U122" s="24">
        <f>IFERROR(MATCH(115,$M$8:$M$1207,0),"")</f>
        <v/>
      </c>
      <c r="V122" s="24">
        <f>IF(U122="","",INDEX('ORDENES'!$S$4:$S$1203,U122))</f>
        <v/>
      </c>
      <c r="W122" s="24">
        <f>IF(U122="","",IF(V122&lt;&gt;V121,CHAR(10)&amp;UPPER(LEFT(V122,1))&amp;MID(V122,2,20)&amp;":"&amp;CHAR(10),"")&amp;"   "&amp;IF(INDEX('ORDENES'!$AI$4:$AI$1203,U122)="","(s/t)",INDEX('ORDENES'!$AI$4:$AI$1203,U122))&amp;" · "&amp;IF(INDEX('ORDENES'!$AH$4:$AH$1203,U122)="","(sin técnico)",INDEX('ORDENES'!$AH$4:$AH$1203,U122))&amp;" · "&amp;INDEX('ORDENES'!$AU$4:$AU$1203,U122)&amp;" — "&amp;INDEX('ORDENES'!$D$4:$D$1203,U122)&amp;" ("&amp;TEXT(INDEX('ORDENES'!$M$4:$M$1203,U122),"0.#")&amp;" h)")</f>
        <v/>
      </c>
    </row>
    <row r="123">
      <c r="K123" s="24">
        <f>IF(AND(IF($B$3="(todos)",TRUE,'ORDENES'!$O119=$B$3),IF($D$3="(todos)",TRUE,'ORDENES'!$AI119=$D$3),IF($F$3="(todos)",TRUE,'ORDENES'!$AA119=$F$3),IF($H$3="(todos)",TRUE,'ORDENES'!$Z119=$H$3),'ORDENES'!$AG119=TRUE,'ORDENES'!$A119&lt;&gt;""),1,0)</f>
        <v/>
      </c>
      <c r="L123" s="24">
        <f>IF(K123=1,IFERROR(MATCH('ORDENES'!$S119,lista_dias,0),9)*1000000000+IFERROR(MATCH('ORDENES'!$AI119,lista_turnos,0),9)*10000000+IFERROR(MATCH('ORDENES'!$AH119,'TECNICOS'!$B$4:$B$19,0),99)*100000+116,9000000000000+116)</f>
        <v/>
      </c>
      <c r="M123" s="24">
        <f>IF(K123=1,SUMPRODUCT(--($L$8:$L$1207&lt;L123))+1,"")</f>
        <v/>
      </c>
      <c r="N123" s="25">
        <f>IF(K123=1,N('ORDENES'!$M119),0)</f>
        <v/>
      </c>
      <c r="O123" s="25">
        <f>IF('ORDENES'!$U119="preventiva",N123,0)</f>
        <v/>
      </c>
      <c r="P123" s="25">
        <f>IF('ORDENES'!$U119="correctiva",N123,0)</f>
        <v/>
      </c>
      <c r="Q123" s="24">
        <f>IF(AND(K123=1,'ORDENES'!$N119="Pendiente"),1,0)</f>
        <v/>
      </c>
      <c r="R123" s="24">
        <f>IF(Q123=1,100000-N123*1000+116*0.01,9000000000000+116)</f>
        <v/>
      </c>
      <c r="S123" s="24">
        <f>IF(Q123=1,SUMPRODUCT(--($R$8:$R$1207&lt;R123))+1,"")</f>
        <v/>
      </c>
      <c r="T123" s="30">
        <f>IF(K123=1,'ORDENES'!$J119,"")</f>
        <v/>
      </c>
      <c r="U123" s="24">
        <f>IFERROR(MATCH(116,$M$8:$M$1207,0),"")</f>
        <v/>
      </c>
      <c r="V123" s="24">
        <f>IF(U123="","",INDEX('ORDENES'!$S$4:$S$1203,U123))</f>
        <v/>
      </c>
      <c r="W123" s="24">
        <f>IF(U123="","",IF(V123&lt;&gt;V122,CHAR(10)&amp;UPPER(LEFT(V123,1))&amp;MID(V123,2,20)&amp;":"&amp;CHAR(10),"")&amp;"   "&amp;IF(INDEX('ORDENES'!$AI$4:$AI$1203,U123)="","(s/t)",INDEX('ORDENES'!$AI$4:$AI$1203,U123))&amp;" · "&amp;IF(INDEX('ORDENES'!$AH$4:$AH$1203,U123)="","(sin técnico)",INDEX('ORDENES'!$AH$4:$AH$1203,U123))&amp;" · "&amp;INDEX('ORDENES'!$AU$4:$AU$1203,U123)&amp;" — "&amp;INDEX('ORDENES'!$D$4:$D$1203,U123)&amp;" ("&amp;TEXT(INDEX('ORDENES'!$M$4:$M$1203,U123),"0.#")&amp;" h)")</f>
        <v/>
      </c>
    </row>
    <row r="124">
      <c r="K124" s="24">
        <f>IF(AND(IF($B$3="(todos)",TRUE,'ORDENES'!$O120=$B$3),IF($D$3="(todos)",TRUE,'ORDENES'!$AI120=$D$3),IF($F$3="(todos)",TRUE,'ORDENES'!$AA120=$F$3),IF($H$3="(todos)",TRUE,'ORDENES'!$Z120=$H$3),'ORDENES'!$AG120=TRUE,'ORDENES'!$A120&lt;&gt;""),1,0)</f>
        <v/>
      </c>
      <c r="L124" s="24">
        <f>IF(K124=1,IFERROR(MATCH('ORDENES'!$S120,lista_dias,0),9)*1000000000+IFERROR(MATCH('ORDENES'!$AI120,lista_turnos,0),9)*10000000+IFERROR(MATCH('ORDENES'!$AH120,'TECNICOS'!$B$4:$B$19,0),99)*100000+117,9000000000000+117)</f>
        <v/>
      </c>
      <c r="M124" s="24">
        <f>IF(K124=1,SUMPRODUCT(--($L$8:$L$1207&lt;L124))+1,"")</f>
        <v/>
      </c>
      <c r="N124" s="25">
        <f>IF(K124=1,N('ORDENES'!$M120),0)</f>
        <v/>
      </c>
      <c r="O124" s="25">
        <f>IF('ORDENES'!$U120="preventiva",N124,0)</f>
        <v/>
      </c>
      <c r="P124" s="25">
        <f>IF('ORDENES'!$U120="correctiva",N124,0)</f>
        <v/>
      </c>
      <c r="Q124" s="24">
        <f>IF(AND(K124=1,'ORDENES'!$N120="Pendiente"),1,0)</f>
        <v/>
      </c>
      <c r="R124" s="24">
        <f>IF(Q124=1,100000-N124*1000+117*0.01,9000000000000+117)</f>
        <v/>
      </c>
      <c r="S124" s="24">
        <f>IF(Q124=1,SUMPRODUCT(--($R$8:$R$1207&lt;R124))+1,"")</f>
        <v/>
      </c>
      <c r="T124" s="30">
        <f>IF(K124=1,'ORDENES'!$J120,"")</f>
        <v/>
      </c>
      <c r="U124" s="24">
        <f>IFERROR(MATCH(117,$M$8:$M$1207,0),"")</f>
        <v/>
      </c>
      <c r="V124" s="24">
        <f>IF(U124="","",INDEX('ORDENES'!$S$4:$S$1203,U124))</f>
        <v/>
      </c>
      <c r="W124" s="24">
        <f>IF(U124="","",IF(V124&lt;&gt;V123,CHAR(10)&amp;UPPER(LEFT(V124,1))&amp;MID(V124,2,20)&amp;":"&amp;CHAR(10),"")&amp;"   "&amp;IF(INDEX('ORDENES'!$AI$4:$AI$1203,U124)="","(s/t)",INDEX('ORDENES'!$AI$4:$AI$1203,U124))&amp;" · "&amp;IF(INDEX('ORDENES'!$AH$4:$AH$1203,U124)="","(sin técnico)",INDEX('ORDENES'!$AH$4:$AH$1203,U124))&amp;" · "&amp;INDEX('ORDENES'!$AU$4:$AU$1203,U124)&amp;" — "&amp;INDEX('ORDENES'!$D$4:$D$1203,U124)&amp;" ("&amp;TEXT(INDEX('ORDENES'!$M$4:$M$1203,U124),"0.#")&amp;" h)")</f>
        <v/>
      </c>
    </row>
    <row r="125">
      <c r="K125" s="24">
        <f>IF(AND(IF($B$3="(todos)",TRUE,'ORDENES'!$O121=$B$3),IF($D$3="(todos)",TRUE,'ORDENES'!$AI121=$D$3),IF($F$3="(todos)",TRUE,'ORDENES'!$AA121=$F$3),IF($H$3="(todos)",TRUE,'ORDENES'!$Z121=$H$3),'ORDENES'!$AG121=TRUE,'ORDENES'!$A121&lt;&gt;""),1,0)</f>
        <v/>
      </c>
      <c r="L125" s="24">
        <f>IF(K125=1,IFERROR(MATCH('ORDENES'!$S121,lista_dias,0),9)*1000000000+IFERROR(MATCH('ORDENES'!$AI121,lista_turnos,0),9)*10000000+IFERROR(MATCH('ORDENES'!$AH121,'TECNICOS'!$B$4:$B$19,0),99)*100000+118,9000000000000+118)</f>
        <v/>
      </c>
      <c r="M125" s="24">
        <f>IF(K125=1,SUMPRODUCT(--($L$8:$L$1207&lt;L125))+1,"")</f>
        <v/>
      </c>
      <c r="N125" s="25">
        <f>IF(K125=1,N('ORDENES'!$M121),0)</f>
        <v/>
      </c>
      <c r="O125" s="25">
        <f>IF('ORDENES'!$U121="preventiva",N125,0)</f>
        <v/>
      </c>
      <c r="P125" s="25">
        <f>IF('ORDENES'!$U121="correctiva",N125,0)</f>
        <v/>
      </c>
      <c r="Q125" s="24">
        <f>IF(AND(K125=1,'ORDENES'!$N121="Pendiente"),1,0)</f>
        <v/>
      </c>
      <c r="R125" s="24">
        <f>IF(Q125=1,100000-N125*1000+118*0.01,9000000000000+118)</f>
        <v/>
      </c>
      <c r="S125" s="24">
        <f>IF(Q125=1,SUMPRODUCT(--($R$8:$R$1207&lt;R125))+1,"")</f>
        <v/>
      </c>
      <c r="T125" s="30">
        <f>IF(K125=1,'ORDENES'!$J121,"")</f>
        <v/>
      </c>
      <c r="U125" s="24">
        <f>IFERROR(MATCH(118,$M$8:$M$1207,0),"")</f>
        <v/>
      </c>
      <c r="V125" s="24">
        <f>IF(U125="","",INDEX('ORDENES'!$S$4:$S$1203,U125))</f>
        <v/>
      </c>
      <c r="W125" s="24">
        <f>IF(U125="","",IF(V125&lt;&gt;V124,CHAR(10)&amp;UPPER(LEFT(V125,1))&amp;MID(V125,2,20)&amp;":"&amp;CHAR(10),"")&amp;"   "&amp;IF(INDEX('ORDENES'!$AI$4:$AI$1203,U125)="","(s/t)",INDEX('ORDENES'!$AI$4:$AI$1203,U125))&amp;" · "&amp;IF(INDEX('ORDENES'!$AH$4:$AH$1203,U125)="","(sin técnico)",INDEX('ORDENES'!$AH$4:$AH$1203,U125))&amp;" · "&amp;INDEX('ORDENES'!$AU$4:$AU$1203,U125)&amp;" — "&amp;INDEX('ORDENES'!$D$4:$D$1203,U125)&amp;" ("&amp;TEXT(INDEX('ORDENES'!$M$4:$M$1203,U125),"0.#")&amp;" h)")</f>
        <v/>
      </c>
    </row>
    <row r="126">
      <c r="K126" s="24">
        <f>IF(AND(IF($B$3="(todos)",TRUE,'ORDENES'!$O122=$B$3),IF($D$3="(todos)",TRUE,'ORDENES'!$AI122=$D$3),IF($F$3="(todos)",TRUE,'ORDENES'!$AA122=$F$3),IF($H$3="(todos)",TRUE,'ORDENES'!$Z122=$H$3),'ORDENES'!$AG122=TRUE,'ORDENES'!$A122&lt;&gt;""),1,0)</f>
        <v/>
      </c>
      <c r="L126" s="24">
        <f>IF(K126=1,IFERROR(MATCH('ORDENES'!$S122,lista_dias,0),9)*1000000000+IFERROR(MATCH('ORDENES'!$AI122,lista_turnos,0),9)*10000000+IFERROR(MATCH('ORDENES'!$AH122,'TECNICOS'!$B$4:$B$19,0),99)*100000+119,9000000000000+119)</f>
        <v/>
      </c>
      <c r="M126" s="24">
        <f>IF(K126=1,SUMPRODUCT(--($L$8:$L$1207&lt;L126))+1,"")</f>
        <v/>
      </c>
      <c r="N126" s="25">
        <f>IF(K126=1,N('ORDENES'!$M122),0)</f>
        <v/>
      </c>
      <c r="O126" s="25">
        <f>IF('ORDENES'!$U122="preventiva",N126,0)</f>
        <v/>
      </c>
      <c r="P126" s="25">
        <f>IF('ORDENES'!$U122="correctiva",N126,0)</f>
        <v/>
      </c>
      <c r="Q126" s="24">
        <f>IF(AND(K126=1,'ORDENES'!$N122="Pendiente"),1,0)</f>
        <v/>
      </c>
      <c r="R126" s="24">
        <f>IF(Q126=1,100000-N126*1000+119*0.01,9000000000000+119)</f>
        <v/>
      </c>
      <c r="S126" s="24">
        <f>IF(Q126=1,SUMPRODUCT(--($R$8:$R$1207&lt;R126))+1,"")</f>
        <v/>
      </c>
      <c r="T126" s="30">
        <f>IF(K126=1,'ORDENES'!$J122,"")</f>
        <v/>
      </c>
      <c r="U126" s="24">
        <f>IFERROR(MATCH(119,$M$8:$M$1207,0),"")</f>
        <v/>
      </c>
      <c r="V126" s="24">
        <f>IF(U126="","",INDEX('ORDENES'!$S$4:$S$1203,U126))</f>
        <v/>
      </c>
      <c r="W126" s="24">
        <f>IF(U126="","",IF(V126&lt;&gt;V125,CHAR(10)&amp;UPPER(LEFT(V126,1))&amp;MID(V126,2,20)&amp;":"&amp;CHAR(10),"")&amp;"   "&amp;IF(INDEX('ORDENES'!$AI$4:$AI$1203,U126)="","(s/t)",INDEX('ORDENES'!$AI$4:$AI$1203,U126))&amp;" · "&amp;IF(INDEX('ORDENES'!$AH$4:$AH$1203,U126)="","(sin técnico)",INDEX('ORDENES'!$AH$4:$AH$1203,U126))&amp;" · "&amp;INDEX('ORDENES'!$AU$4:$AU$1203,U126)&amp;" — "&amp;INDEX('ORDENES'!$D$4:$D$1203,U126)&amp;" ("&amp;TEXT(INDEX('ORDENES'!$M$4:$M$1203,U126),"0.#")&amp;" h)")</f>
        <v/>
      </c>
    </row>
    <row r="127">
      <c r="K127" s="24">
        <f>IF(AND(IF($B$3="(todos)",TRUE,'ORDENES'!$O123=$B$3),IF($D$3="(todos)",TRUE,'ORDENES'!$AI123=$D$3),IF($F$3="(todos)",TRUE,'ORDENES'!$AA123=$F$3),IF($H$3="(todos)",TRUE,'ORDENES'!$Z123=$H$3),'ORDENES'!$AG123=TRUE,'ORDENES'!$A123&lt;&gt;""),1,0)</f>
        <v/>
      </c>
      <c r="L127" s="24">
        <f>IF(K127=1,IFERROR(MATCH('ORDENES'!$S123,lista_dias,0),9)*1000000000+IFERROR(MATCH('ORDENES'!$AI123,lista_turnos,0),9)*10000000+IFERROR(MATCH('ORDENES'!$AH123,'TECNICOS'!$B$4:$B$19,0),99)*100000+120,9000000000000+120)</f>
        <v/>
      </c>
      <c r="M127" s="24">
        <f>IF(K127=1,SUMPRODUCT(--($L$8:$L$1207&lt;L127))+1,"")</f>
        <v/>
      </c>
      <c r="N127" s="25">
        <f>IF(K127=1,N('ORDENES'!$M123),0)</f>
        <v/>
      </c>
      <c r="O127" s="25">
        <f>IF('ORDENES'!$U123="preventiva",N127,0)</f>
        <v/>
      </c>
      <c r="P127" s="25">
        <f>IF('ORDENES'!$U123="correctiva",N127,0)</f>
        <v/>
      </c>
      <c r="Q127" s="24">
        <f>IF(AND(K127=1,'ORDENES'!$N123="Pendiente"),1,0)</f>
        <v/>
      </c>
      <c r="R127" s="24">
        <f>IF(Q127=1,100000-N127*1000+120*0.01,9000000000000+120)</f>
        <v/>
      </c>
      <c r="S127" s="24">
        <f>IF(Q127=1,SUMPRODUCT(--($R$8:$R$1207&lt;R127))+1,"")</f>
        <v/>
      </c>
      <c r="T127" s="30">
        <f>IF(K127=1,'ORDENES'!$J123,"")</f>
        <v/>
      </c>
      <c r="U127" s="24">
        <f>IFERROR(MATCH(120,$M$8:$M$1207,0),"")</f>
        <v/>
      </c>
      <c r="V127" s="24">
        <f>IF(U127="","",INDEX('ORDENES'!$S$4:$S$1203,U127))</f>
        <v/>
      </c>
      <c r="W127" s="24">
        <f>IF(U127="","",IF(V127&lt;&gt;V126,CHAR(10)&amp;UPPER(LEFT(V127,1))&amp;MID(V127,2,20)&amp;":"&amp;CHAR(10),"")&amp;"   "&amp;IF(INDEX('ORDENES'!$AI$4:$AI$1203,U127)="","(s/t)",INDEX('ORDENES'!$AI$4:$AI$1203,U127))&amp;" · "&amp;IF(INDEX('ORDENES'!$AH$4:$AH$1203,U127)="","(sin técnico)",INDEX('ORDENES'!$AH$4:$AH$1203,U127))&amp;" · "&amp;INDEX('ORDENES'!$AU$4:$AU$1203,U127)&amp;" — "&amp;INDEX('ORDENES'!$D$4:$D$1203,U127)&amp;" ("&amp;TEXT(INDEX('ORDENES'!$M$4:$M$1203,U127),"0.#")&amp;" h)")</f>
        <v/>
      </c>
    </row>
    <row r="128">
      <c r="K128" s="24">
        <f>IF(AND(IF($B$3="(todos)",TRUE,'ORDENES'!$O124=$B$3),IF($D$3="(todos)",TRUE,'ORDENES'!$AI124=$D$3),IF($F$3="(todos)",TRUE,'ORDENES'!$AA124=$F$3),IF($H$3="(todos)",TRUE,'ORDENES'!$Z124=$H$3),'ORDENES'!$AG124=TRUE,'ORDENES'!$A124&lt;&gt;""),1,0)</f>
        <v/>
      </c>
      <c r="L128" s="24">
        <f>IF(K128=1,IFERROR(MATCH('ORDENES'!$S124,lista_dias,0),9)*1000000000+IFERROR(MATCH('ORDENES'!$AI124,lista_turnos,0),9)*10000000+IFERROR(MATCH('ORDENES'!$AH124,'TECNICOS'!$B$4:$B$19,0),99)*100000+121,9000000000000+121)</f>
        <v/>
      </c>
      <c r="M128" s="24">
        <f>IF(K128=1,SUMPRODUCT(--($L$8:$L$1207&lt;L128))+1,"")</f>
        <v/>
      </c>
      <c r="N128" s="25">
        <f>IF(K128=1,N('ORDENES'!$M124),0)</f>
        <v/>
      </c>
      <c r="O128" s="25">
        <f>IF('ORDENES'!$U124="preventiva",N128,0)</f>
        <v/>
      </c>
      <c r="P128" s="25">
        <f>IF('ORDENES'!$U124="correctiva",N128,0)</f>
        <v/>
      </c>
      <c r="Q128" s="24">
        <f>IF(AND(K128=1,'ORDENES'!$N124="Pendiente"),1,0)</f>
        <v/>
      </c>
      <c r="R128" s="24">
        <f>IF(Q128=1,100000-N128*1000+121*0.01,9000000000000+121)</f>
        <v/>
      </c>
      <c r="S128" s="24">
        <f>IF(Q128=1,SUMPRODUCT(--($R$8:$R$1207&lt;R128))+1,"")</f>
        <v/>
      </c>
      <c r="T128" s="30">
        <f>IF(K128=1,'ORDENES'!$J124,"")</f>
        <v/>
      </c>
      <c r="U128" s="24">
        <f>IFERROR(MATCH(121,$M$8:$M$1207,0),"")</f>
        <v/>
      </c>
      <c r="V128" s="24">
        <f>IF(U128="","",INDEX('ORDENES'!$S$4:$S$1203,U128))</f>
        <v/>
      </c>
      <c r="W128" s="24">
        <f>IF(U128="","",IF(V128&lt;&gt;V127,CHAR(10)&amp;UPPER(LEFT(V128,1))&amp;MID(V128,2,20)&amp;":"&amp;CHAR(10),"")&amp;"   "&amp;IF(INDEX('ORDENES'!$AI$4:$AI$1203,U128)="","(s/t)",INDEX('ORDENES'!$AI$4:$AI$1203,U128))&amp;" · "&amp;IF(INDEX('ORDENES'!$AH$4:$AH$1203,U128)="","(sin técnico)",INDEX('ORDENES'!$AH$4:$AH$1203,U128))&amp;" · "&amp;INDEX('ORDENES'!$AU$4:$AU$1203,U128)&amp;" — "&amp;INDEX('ORDENES'!$D$4:$D$1203,U128)&amp;" ("&amp;TEXT(INDEX('ORDENES'!$M$4:$M$1203,U128),"0.#")&amp;" h)")</f>
        <v/>
      </c>
    </row>
    <row r="129">
      <c r="K129" s="24">
        <f>IF(AND(IF($B$3="(todos)",TRUE,'ORDENES'!$O125=$B$3),IF($D$3="(todos)",TRUE,'ORDENES'!$AI125=$D$3),IF($F$3="(todos)",TRUE,'ORDENES'!$AA125=$F$3),IF($H$3="(todos)",TRUE,'ORDENES'!$Z125=$H$3),'ORDENES'!$AG125=TRUE,'ORDENES'!$A125&lt;&gt;""),1,0)</f>
        <v/>
      </c>
      <c r="L129" s="24">
        <f>IF(K129=1,IFERROR(MATCH('ORDENES'!$S125,lista_dias,0),9)*1000000000+IFERROR(MATCH('ORDENES'!$AI125,lista_turnos,0),9)*10000000+IFERROR(MATCH('ORDENES'!$AH125,'TECNICOS'!$B$4:$B$19,0),99)*100000+122,9000000000000+122)</f>
        <v/>
      </c>
      <c r="M129" s="24">
        <f>IF(K129=1,SUMPRODUCT(--($L$8:$L$1207&lt;L129))+1,"")</f>
        <v/>
      </c>
      <c r="N129" s="25">
        <f>IF(K129=1,N('ORDENES'!$M125),0)</f>
        <v/>
      </c>
      <c r="O129" s="25">
        <f>IF('ORDENES'!$U125="preventiva",N129,0)</f>
        <v/>
      </c>
      <c r="P129" s="25">
        <f>IF('ORDENES'!$U125="correctiva",N129,0)</f>
        <v/>
      </c>
      <c r="Q129" s="24">
        <f>IF(AND(K129=1,'ORDENES'!$N125="Pendiente"),1,0)</f>
        <v/>
      </c>
      <c r="R129" s="24">
        <f>IF(Q129=1,100000-N129*1000+122*0.01,9000000000000+122)</f>
        <v/>
      </c>
      <c r="S129" s="24">
        <f>IF(Q129=1,SUMPRODUCT(--($R$8:$R$1207&lt;R129))+1,"")</f>
        <v/>
      </c>
      <c r="T129" s="30">
        <f>IF(K129=1,'ORDENES'!$J125,"")</f>
        <v/>
      </c>
      <c r="U129" s="24">
        <f>IFERROR(MATCH(122,$M$8:$M$1207,0),"")</f>
        <v/>
      </c>
      <c r="V129" s="24">
        <f>IF(U129="","",INDEX('ORDENES'!$S$4:$S$1203,U129))</f>
        <v/>
      </c>
      <c r="W129" s="24">
        <f>IF(U129="","",IF(V129&lt;&gt;V128,CHAR(10)&amp;UPPER(LEFT(V129,1))&amp;MID(V129,2,20)&amp;":"&amp;CHAR(10),"")&amp;"   "&amp;IF(INDEX('ORDENES'!$AI$4:$AI$1203,U129)="","(s/t)",INDEX('ORDENES'!$AI$4:$AI$1203,U129))&amp;" · "&amp;IF(INDEX('ORDENES'!$AH$4:$AH$1203,U129)="","(sin técnico)",INDEX('ORDENES'!$AH$4:$AH$1203,U129))&amp;" · "&amp;INDEX('ORDENES'!$AU$4:$AU$1203,U129)&amp;" — "&amp;INDEX('ORDENES'!$D$4:$D$1203,U129)&amp;" ("&amp;TEXT(INDEX('ORDENES'!$M$4:$M$1203,U129),"0.#")&amp;" h)")</f>
        <v/>
      </c>
    </row>
    <row r="130">
      <c r="K130" s="24">
        <f>IF(AND(IF($B$3="(todos)",TRUE,'ORDENES'!$O126=$B$3),IF($D$3="(todos)",TRUE,'ORDENES'!$AI126=$D$3),IF($F$3="(todos)",TRUE,'ORDENES'!$AA126=$F$3),IF($H$3="(todos)",TRUE,'ORDENES'!$Z126=$H$3),'ORDENES'!$AG126=TRUE,'ORDENES'!$A126&lt;&gt;""),1,0)</f>
        <v/>
      </c>
      <c r="L130" s="24">
        <f>IF(K130=1,IFERROR(MATCH('ORDENES'!$S126,lista_dias,0),9)*1000000000+IFERROR(MATCH('ORDENES'!$AI126,lista_turnos,0),9)*10000000+IFERROR(MATCH('ORDENES'!$AH126,'TECNICOS'!$B$4:$B$19,0),99)*100000+123,9000000000000+123)</f>
        <v/>
      </c>
      <c r="M130" s="24">
        <f>IF(K130=1,SUMPRODUCT(--($L$8:$L$1207&lt;L130))+1,"")</f>
        <v/>
      </c>
      <c r="N130" s="25">
        <f>IF(K130=1,N('ORDENES'!$M126),0)</f>
        <v/>
      </c>
      <c r="O130" s="25">
        <f>IF('ORDENES'!$U126="preventiva",N130,0)</f>
        <v/>
      </c>
      <c r="P130" s="25">
        <f>IF('ORDENES'!$U126="correctiva",N130,0)</f>
        <v/>
      </c>
      <c r="Q130" s="24">
        <f>IF(AND(K130=1,'ORDENES'!$N126="Pendiente"),1,0)</f>
        <v/>
      </c>
      <c r="R130" s="24">
        <f>IF(Q130=1,100000-N130*1000+123*0.01,9000000000000+123)</f>
        <v/>
      </c>
      <c r="S130" s="24">
        <f>IF(Q130=1,SUMPRODUCT(--($R$8:$R$1207&lt;R130))+1,"")</f>
        <v/>
      </c>
      <c r="T130" s="30">
        <f>IF(K130=1,'ORDENES'!$J126,"")</f>
        <v/>
      </c>
      <c r="U130" s="24">
        <f>IFERROR(MATCH(123,$M$8:$M$1207,0),"")</f>
        <v/>
      </c>
      <c r="V130" s="24">
        <f>IF(U130="","",INDEX('ORDENES'!$S$4:$S$1203,U130))</f>
        <v/>
      </c>
      <c r="W130" s="24">
        <f>IF(U130="","",IF(V130&lt;&gt;V129,CHAR(10)&amp;UPPER(LEFT(V130,1))&amp;MID(V130,2,20)&amp;":"&amp;CHAR(10),"")&amp;"   "&amp;IF(INDEX('ORDENES'!$AI$4:$AI$1203,U130)="","(s/t)",INDEX('ORDENES'!$AI$4:$AI$1203,U130))&amp;" · "&amp;IF(INDEX('ORDENES'!$AH$4:$AH$1203,U130)="","(sin técnico)",INDEX('ORDENES'!$AH$4:$AH$1203,U130))&amp;" · "&amp;INDEX('ORDENES'!$AU$4:$AU$1203,U130)&amp;" — "&amp;INDEX('ORDENES'!$D$4:$D$1203,U130)&amp;" ("&amp;TEXT(INDEX('ORDENES'!$M$4:$M$1203,U130),"0.#")&amp;" h)")</f>
        <v/>
      </c>
    </row>
    <row r="131">
      <c r="K131" s="24">
        <f>IF(AND(IF($B$3="(todos)",TRUE,'ORDENES'!$O127=$B$3),IF($D$3="(todos)",TRUE,'ORDENES'!$AI127=$D$3),IF($F$3="(todos)",TRUE,'ORDENES'!$AA127=$F$3),IF($H$3="(todos)",TRUE,'ORDENES'!$Z127=$H$3),'ORDENES'!$AG127=TRUE,'ORDENES'!$A127&lt;&gt;""),1,0)</f>
        <v/>
      </c>
      <c r="L131" s="24">
        <f>IF(K131=1,IFERROR(MATCH('ORDENES'!$S127,lista_dias,0),9)*1000000000+IFERROR(MATCH('ORDENES'!$AI127,lista_turnos,0),9)*10000000+IFERROR(MATCH('ORDENES'!$AH127,'TECNICOS'!$B$4:$B$19,0),99)*100000+124,9000000000000+124)</f>
        <v/>
      </c>
      <c r="M131" s="24">
        <f>IF(K131=1,SUMPRODUCT(--($L$8:$L$1207&lt;L131))+1,"")</f>
        <v/>
      </c>
      <c r="N131" s="25">
        <f>IF(K131=1,N('ORDENES'!$M127),0)</f>
        <v/>
      </c>
      <c r="O131" s="25">
        <f>IF('ORDENES'!$U127="preventiva",N131,0)</f>
        <v/>
      </c>
      <c r="P131" s="25">
        <f>IF('ORDENES'!$U127="correctiva",N131,0)</f>
        <v/>
      </c>
      <c r="Q131" s="24">
        <f>IF(AND(K131=1,'ORDENES'!$N127="Pendiente"),1,0)</f>
        <v/>
      </c>
      <c r="R131" s="24">
        <f>IF(Q131=1,100000-N131*1000+124*0.01,9000000000000+124)</f>
        <v/>
      </c>
      <c r="S131" s="24">
        <f>IF(Q131=1,SUMPRODUCT(--($R$8:$R$1207&lt;R131))+1,"")</f>
        <v/>
      </c>
      <c r="T131" s="30">
        <f>IF(K131=1,'ORDENES'!$J127,"")</f>
        <v/>
      </c>
      <c r="U131" s="24">
        <f>IFERROR(MATCH(124,$M$8:$M$1207,0),"")</f>
        <v/>
      </c>
      <c r="V131" s="24">
        <f>IF(U131="","",INDEX('ORDENES'!$S$4:$S$1203,U131))</f>
        <v/>
      </c>
      <c r="W131" s="24">
        <f>IF(U131="","",IF(V131&lt;&gt;V130,CHAR(10)&amp;UPPER(LEFT(V131,1))&amp;MID(V131,2,20)&amp;":"&amp;CHAR(10),"")&amp;"   "&amp;IF(INDEX('ORDENES'!$AI$4:$AI$1203,U131)="","(s/t)",INDEX('ORDENES'!$AI$4:$AI$1203,U131))&amp;" · "&amp;IF(INDEX('ORDENES'!$AH$4:$AH$1203,U131)="","(sin técnico)",INDEX('ORDENES'!$AH$4:$AH$1203,U131))&amp;" · "&amp;INDEX('ORDENES'!$AU$4:$AU$1203,U131)&amp;" — "&amp;INDEX('ORDENES'!$D$4:$D$1203,U131)&amp;" ("&amp;TEXT(INDEX('ORDENES'!$M$4:$M$1203,U131),"0.#")&amp;" h)")</f>
        <v/>
      </c>
    </row>
    <row r="132">
      <c r="K132" s="24">
        <f>IF(AND(IF($B$3="(todos)",TRUE,'ORDENES'!$O128=$B$3),IF($D$3="(todos)",TRUE,'ORDENES'!$AI128=$D$3),IF($F$3="(todos)",TRUE,'ORDENES'!$AA128=$F$3),IF($H$3="(todos)",TRUE,'ORDENES'!$Z128=$H$3),'ORDENES'!$AG128=TRUE,'ORDENES'!$A128&lt;&gt;""),1,0)</f>
        <v/>
      </c>
      <c r="L132" s="24">
        <f>IF(K132=1,IFERROR(MATCH('ORDENES'!$S128,lista_dias,0),9)*1000000000+IFERROR(MATCH('ORDENES'!$AI128,lista_turnos,0),9)*10000000+IFERROR(MATCH('ORDENES'!$AH128,'TECNICOS'!$B$4:$B$19,0),99)*100000+125,9000000000000+125)</f>
        <v/>
      </c>
      <c r="M132" s="24">
        <f>IF(K132=1,SUMPRODUCT(--($L$8:$L$1207&lt;L132))+1,"")</f>
        <v/>
      </c>
      <c r="N132" s="25">
        <f>IF(K132=1,N('ORDENES'!$M128),0)</f>
        <v/>
      </c>
      <c r="O132" s="25">
        <f>IF('ORDENES'!$U128="preventiva",N132,0)</f>
        <v/>
      </c>
      <c r="P132" s="25">
        <f>IF('ORDENES'!$U128="correctiva",N132,0)</f>
        <v/>
      </c>
      <c r="Q132" s="24">
        <f>IF(AND(K132=1,'ORDENES'!$N128="Pendiente"),1,0)</f>
        <v/>
      </c>
      <c r="R132" s="24">
        <f>IF(Q132=1,100000-N132*1000+125*0.01,9000000000000+125)</f>
        <v/>
      </c>
      <c r="S132" s="24">
        <f>IF(Q132=1,SUMPRODUCT(--($R$8:$R$1207&lt;R132))+1,"")</f>
        <v/>
      </c>
      <c r="T132" s="30">
        <f>IF(K132=1,'ORDENES'!$J128,"")</f>
        <v/>
      </c>
      <c r="U132" s="24">
        <f>IFERROR(MATCH(125,$M$8:$M$1207,0),"")</f>
        <v/>
      </c>
      <c r="V132" s="24">
        <f>IF(U132="","",INDEX('ORDENES'!$S$4:$S$1203,U132))</f>
        <v/>
      </c>
      <c r="W132" s="24">
        <f>IF(U132="","",IF(V132&lt;&gt;V131,CHAR(10)&amp;UPPER(LEFT(V132,1))&amp;MID(V132,2,20)&amp;":"&amp;CHAR(10),"")&amp;"   "&amp;IF(INDEX('ORDENES'!$AI$4:$AI$1203,U132)="","(s/t)",INDEX('ORDENES'!$AI$4:$AI$1203,U132))&amp;" · "&amp;IF(INDEX('ORDENES'!$AH$4:$AH$1203,U132)="","(sin técnico)",INDEX('ORDENES'!$AH$4:$AH$1203,U132))&amp;" · "&amp;INDEX('ORDENES'!$AU$4:$AU$1203,U132)&amp;" — "&amp;INDEX('ORDENES'!$D$4:$D$1203,U132)&amp;" ("&amp;TEXT(INDEX('ORDENES'!$M$4:$M$1203,U132),"0.#")&amp;" h)")</f>
        <v/>
      </c>
    </row>
    <row r="133">
      <c r="K133" s="24">
        <f>IF(AND(IF($B$3="(todos)",TRUE,'ORDENES'!$O129=$B$3),IF($D$3="(todos)",TRUE,'ORDENES'!$AI129=$D$3),IF($F$3="(todos)",TRUE,'ORDENES'!$AA129=$F$3),IF($H$3="(todos)",TRUE,'ORDENES'!$Z129=$H$3),'ORDENES'!$AG129=TRUE,'ORDENES'!$A129&lt;&gt;""),1,0)</f>
        <v/>
      </c>
      <c r="L133" s="24">
        <f>IF(K133=1,IFERROR(MATCH('ORDENES'!$S129,lista_dias,0),9)*1000000000+IFERROR(MATCH('ORDENES'!$AI129,lista_turnos,0),9)*10000000+IFERROR(MATCH('ORDENES'!$AH129,'TECNICOS'!$B$4:$B$19,0),99)*100000+126,9000000000000+126)</f>
        <v/>
      </c>
      <c r="M133" s="24">
        <f>IF(K133=1,SUMPRODUCT(--($L$8:$L$1207&lt;L133))+1,"")</f>
        <v/>
      </c>
      <c r="N133" s="25">
        <f>IF(K133=1,N('ORDENES'!$M129),0)</f>
        <v/>
      </c>
      <c r="O133" s="25">
        <f>IF('ORDENES'!$U129="preventiva",N133,0)</f>
        <v/>
      </c>
      <c r="P133" s="25">
        <f>IF('ORDENES'!$U129="correctiva",N133,0)</f>
        <v/>
      </c>
      <c r="Q133" s="24">
        <f>IF(AND(K133=1,'ORDENES'!$N129="Pendiente"),1,0)</f>
        <v/>
      </c>
      <c r="R133" s="24">
        <f>IF(Q133=1,100000-N133*1000+126*0.01,9000000000000+126)</f>
        <v/>
      </c>
      <c r="S133" s="24">
        <f>IF(Q133=1,SUMPRODUCT(--($R$8:$R$1207&lt;R133))+1,"")</f>
        <v/>
      </c>
      <c r="T133" s="30">
        <f>IF(K133=1,'ORDENES'!$J129,"")</f>
        <v/>
      </c>
      <c r="U133" s="24">
        <f>IFERROR(MATCH(126,$M$8:$M$1207,0),"")</f>
        <v/>
      </c>
      <c r="V133" s="24">
        <f>IF(U133="","",INDEX('ORDENES'!$S$4:$S$1203,U133))</f>
        <v/>
      </c>
      <c r="W133" s="24">
        <f>IF(U133="","",IF(V133&lt;&gt;V132,CHAR(10)&amp;UPPER(LEFT(V133,1))&amp;MID(V133,2,20)&amp;":"&amp;CHAR(10),"")&amp;"   "&amp;IF(INDEX('ORDENES'!$AI$4:$AI$1203,U133)="","(s/t)",INDEX('ORDENES'!$AI$4:$AI$1203,U133))&amp;" · "&amp;IF(INDEX('ORDENES'!$AH$4:$AH$1203,U133)="","(sin técnico)",INDEX('ORDENES'!$AH$4:$AH$1203,U133))&amp;" · "&amp;INDEX('ORDENES'!$AU$4:$AU$1203,U133)&amp;" — "&amp;INDEX('ORDENES'!$D$4:$D$1203,U133)&amp;" ("&amp;TEXT(INDEX('ORDENES'!$M$4:$M$1203,U133),"0.#")&amp;" h)")</f>
        <v/>
      </c>
    </row>
    <row r="134">
      <c r="K134" s="24">
        <f>IF(AND(IF($B$3="(todos)",TRUE,'ORDENES'!$O130=$B$3),IF($D$3="(todos)",TRUE,'ORDENES'!$AI130=$D$3),IF($F$3="(todos)",TRUE,'ORDENES'!$AA130=$F$3),IF($H$3="(todos)",TRUE,'ORDENES'!$Z130=$H$3),'ORDENES'!$AG130=TRUE,'ORDENES'!$A130&lt;&gt;""),1,0)</f>
        <v/>
      </c>
      <c r="L134" s="24">
        <f>IF(K134=1,IFERROR(MATCH('ORDENES'!$S130,lista_dias,0),9)*1000000000+IFERROR(MATCH('ORDENES'!$AI130,lista_turnos,0),9)*10000000+IFERROR(MATCH('ORDENES'!$AH130,'TECNICOS'!$B$4:$B$19,0),99)*100000+127,9000000000000+127)</f>
        <v/>
      </c>
      <c r="M134" s="24">
        <f>IF(K134=1,SUMPRODUCT(--($L$8:$L$1207&lt;L134))+1,"")</f>
        <v/>
      </c>
      <c r="N134" s="25">
        <f>IF(K134=1,N('ORDENES'!$M130),0)</f>
        <v/>
      </c>
      <c r="O134" s="25">
        <f>IF('ORDENES'!$U130="preventiva",N134,0)</f>
        <v/>
      </c>
      <c r="P134" s="25">
        <f>IF('ORDENES'!$U130="correctiva",N134,0)</f>
        <v/>
      </c>
      <c r="Q134" s="24">
        <f>IF(AND(K134=1,'ORDENES'!$N130="Pendiente"),1,0)</f>
        <v/>
      </c>
      <c r="R134" s="24">
        <f>IF(Q134=1,100000-N134*1000+127*0.01,9000000000000+127)</f>
        <v/>
      </c>
      <c r="S134" s="24">
        <f>IF(Q134=1,SUMPRODUCT(--($R$8:$R$1207&lt;R134))+1,"")</f>
        <v/>
      </c>
      <c r="T134" s="30">
        <f>IF(K134=1,'ORDENES'!$J130,"")</f>
        <v/>
      </c>
      <c r="U134" s="24">
        <f>IFERROR(MATCH(127,$M$8:$M$1207,0),"")</f>
        <v/>
      </c>
      <c r="V134" s="24">
        <f>IF(U134="","",INDEX('ORDENES'!$S$4:$S$1203,U134))</f>
        <v/>
      </c>
      <c r="W134" s="24">
        <f>IF(U134="","",IF(V134&lt;&gt;V133,CHAR(10)&amp;UPPER(LEFT(V134,1))&amp;MID(V134,2,20)&amp;":"&amp;CHAR(10),"")&amp;"   "&amp;IF(INDEX('ORDENES'!$AI$4:$AI$1203,U134)="","(s/t)",INDEX('ORDENES'!$AI$4:$AI$1203,U134))&amp;" · "&amp;IF(INDEX('ORDENES'!$AH$4:$AH$1203,U134)="","(sin técnico)",INDEX('ORDENES'!$AH$4:$AH$1203,U134))&amp;" · "&amp;INDEX('ORDENES'!$AU$4:$AU$1203,U134)&amp;" — "&amp;INDEX('ORDENES'!$D$4:$D$1203,U134)&amp;" ("&amp;TEXT(INDEX('ORDENES'!$M$4:$M$1203,U134),"0.#")&amp;" h)")</f>
        <v/>
      </c>
    </row>
    <row r="135">
      <c r="K135" s="24">
        <f>IF(AND(IF($B$3="(todos)",TRUE,'ORDENES'!$O131=$B$3),IF($D$3="(todos)",TRUE,'ORDENES'!$AI131=$D$3),IF($F$3="(todos)",TRUE,'ORDENES'!$AA131=$F$3),IF($H$3="(todos)",TRUE,'ORDENES'!$Z131=$H$3),'ORDENES'!$AG131=TRUE,'ORDENES'!$A131&lt;&gt;""),1,0)</f>
        <v/>
      </c>
      <c r="L135" s="24">
        <f>IF(K135=1,IFERROR(MATCH('ORDENES'!$S131,lista_dias,0),9)*1000000000+IFERROR(MATCH('ORDENES'!$AI131,lista_turnos,0),9)*10000000+IFERROR(MATCH('ORDENES'!$AH131,'TECNICOS'!$B$4:$B$19,0),99)*100000+128,9000000000000+128)</f>
        <v/>
      </c>
      <c r="M135" s="24">
        <f>IF(K135=1,SUMPRODUCT(--($L$8:$L$1207&lt;L135))+1,"")</f>
        <v/>
      </c>
      <c r="N135" s="25">
        <f>IF(K135=1,N('ORDENES'!$M131),0)</f>
        <v/>
      </c>
      <c r="O135" s="25">
        <f>IF('ORDENES'!$U131="preventiva",N135,0)</f>
        <v/>
      </c>
      <c r="P135" s="25">
        <f>IF('ORDENES'!$U131="correctiva",N135,0)</f>
        <v/>
      </c>
      <c r="Q135" s="24">
        <f>IF(AND(K135=1,'ORDENES'!$N131="Pendiente"),1,0)</f>
        <v/>
      </c>
      <c r="R135" s="24">
        <f>IF(Q135=1,100000-N135*1000+128*0.01,9000000000000+128)</f>
        <v/>
      </c>
      <c r="S135" s="24">
        <f>IF(Q135=1,SUMPRODUCT(--($R$8:$R$1207&lt;R135))+1,"")</f>
        <v/>
      </c>
      <c r="T135" s="30">
        <f>IF(K135=1,'ORDENES'!$J131,"")</f>
        <v/>
      </c>
      <c r="U135" s="24">
        <f>IFERROR(MATCH(128,$M$8:$M$1207,0),"")</f>
        <v/>
      </c>
      <c r="V135" s="24">
        <f>IF(U135="","",INDEX('ORDENES'!$S$4:$S$1203,U135))</f>
        <v/>
      </c>
      <c r="W135" s="24">
        <f>IF(U135="","",IF(V135&lt;&gt;V134,CHAR(10)&amp;UPPER(LEFT(V135,1))&amp;MID(V135,2,20)&amp;":"&amp;CHAR(10),"")&amp;"   "&amp;IF(INDEX('ORDENES'!$AI$4:$AI$1203,U135)="","(s/t)",INDEX('ORDENES'!$AI$4:$AI$1203,U135))&amp;" · "&amp;IF(INDEX('ORDENES'!$AH$4:$AH$1203,U135)="","(sin técnico)",INDEX('ORDENES'!$AH$4:$AH$1203,U135))&amp;" · "&amp;INDEX('ORDENES'!$AU$4:$AU$1203,U135)&amp;" — "&amp;INDEX('ORDENES'!$D$4:$D$1203,U135)&amp;" ("&amp;TEXT(INDEX('ORDENES'!$M$4:$M$1203,U135),"0.#")&amp;" h)")</f>
        <v/>
      </c>
    </row>
    <row r="136">
      <c r="K136" s="24">
        <f>IF(AND(IF($B$3="(todos)",TRUE,'ORDENES'!$O132=$B$3),IF($D$3="(todos)",TRUE,'ORDENES'!$AI132=$D$3),IF($F$3="(todos)",TRUE,'ORDENES'!$AA132=$F$3),IF($H$3="(todos)",TRUE,'ORDENES'!$Z132=$H$3),'ORDENES'!$AG132=TRUE,'ORDENES'!$A132&lt;&gt;""),1,0)</f>
        <v/>
      </c>
      <c r="L136" s="24">
        <f>IF(K136=1,IFERROR(MATCH('ORDENES'!$S132,lista_dias,0),9)*1000000000+IFERROR(MATCH('ORDENES'!$AI132,lista_turnos,0),9)*10000000+IFERROR(MATCH('ORDENES'!$AH132,'TECNICOS'!$B$4:$B$19,0),99)*100000+129,9000000000000+129)</f>
        <v/>
      </c>
      <c r="M136" s="24">
        <f>IF(K136=1,SUMPRODUCT(--($L$8:$L$1207&lt;L136))+1,"")</f>
        <v/>
      </c>
      <c r="N136" s="25">
        <f>IF(K136=1,N('ORDENES'!$M132),0)</f>
        <v/>
      </c>
      <c r="O136" s="25">
        <f>IF('ORDENES'!$U132="preventiva",N136,0)</f>
        <v/>
      </c>
      <c r="P136" s="25">
        <f>IF('ORDENES'!$U132="correctiva",N136,0)</f>
        <v/>
      </c>
      <c r="Q136" s="24">
        <f>IF(AND(K136=1,'ORDENES'!$N132="Pendiente"),1,0)</f>
        <v/>
      </c>
      <c r="R136" s="24">
        <f>IF(Q136=1,100000-N136*1000+129*0.01,9000000000000+129)</f>
        <v/>
      </c>
      <c r="S136" s="24">
        <f>IF(Q136=1,SUMPRODUCT(--($R$8:$R$1207&lt;R136))+1,"")</f>
        <v/>
      </c>
      <c r="T136" s="30">
        <f>IF(K136=1,'ORDENES'!$J132,"")</f>
        <v/>
      </c>
      <c r="U136" s="24">
        <f>IFERROR(MATCH(129,$M$8:$M$1207,0),"")</f>
        <v/>
      </c>
      <c r="V136" s="24">
        <f>IF(U136="","",INDEX('ORDENES'!$S$4:$S$1203,U136))</f>
        <v/>
      </c>
      <c r="W136" s="24">
        <f>IF(U136="","",IF(V136&lt;&gt;V135,CHAR(10)&amp;UPPER(LEFT(V136,1))&amp;MID(V136,2,20)&amp;":"&amp;CHAR(10),"")&amp;"   "&amp;IF(INDEX('ORDENES'!$AI$4:$AI$1203,U136)="","(s/t)",INDEX('ORDENES'!$AI$4:$AI$1203,U136))&amp;" · "&amp;IF(INDEX('ORDENES'!$AH$4:$AH$1203,U136)="","(sin técnico)",INDEX('ORDENES'!$AH$4:$AH$1203,U136))&amp;" · "&amp;INDEX('ORDENES'!$AU$4:$AU$1203,U136)&amp;" — "&amp;INDEX('ORDENES'!$D$4:$D$1203,U136)&amp;" ("&amp;TEXT(INDEX('ORDENES'!$M$4:$M$1203,U136),"0.#")&amp;" h)")</f>
        <v/>
      </c>
    </row>
    <row r="137">
      <c r="K137" s="24">
        <f>IF(AND(IF($B$3="(todos)",TRUE,'ORDENES'!$O133=$B$3),IF($D$3="(todos)",TRUE,'ORDENES'!$AI133=$D$3),IF($F$3="(todos)",TRUE,'ORDENES'!$AA133=$F$3),IF($H$3="(todos)",TRUE,'ORDENES'!$Z133=$H$3),'ORDENES'!$AG133=TRUE,'ORDENES'!$A133&lt;&gt;""),1,0)</f>
        <v/>
      </c>
      <c r="L137" s="24">
        <f>IF(K137=1,IFERROR(MATCH('ORDENES'!$S133,lista_dias,0),9)*1000000000+IFERROR(MATCH('ORDENES'!$AI133,lista_turnos,0),9)*10000000+IFERROR(MATCH('ORDENES'!$AH133,'TECNICOS'!$B$4:$B$19,0),99)*100000+130,9000000000000+130)</f>
        <v/>
      </c>
      <c r="M137" s="24">
        <f>IF(K137=1,SUMPRODUCT(--($L$8:$L$1207&lt;L137))+1,"")</f>
        <v/>
      </c>
      <c r="N137" s="25">
        <f>IF(K137=1,N('ORDENES'!$M133),0)</f>
        <v/>
      </c>
      <c r="O137" s="25">
        <f>IF('ORDENES'!$U133="preventiva",N137,0)</f>
        <v/>
      </c>
      <c r="P137" s="25">
        <f>IF('ORDENES'!$U133="correctiva",N137,0)</f>
        <v/>
      </c>
      <c r="Q137" s="24">
        <f>IF(AND(K137=1,'ORDENES'!$N133="Pendiente"),1,0)</f>
        <v/>
      </c>
      <c r="R137" s="24">
        <f>IF(Q137=1,100000-N137*1000+130*0.01,9000000000000+130)</f>
        <v/>
      </c>
      <c r="S137" s="24">
        <f>IF(Q137=1,SUMPRODUCT(--($R$8:$R$1207&lt;R137))+1,"")</f>
        <v/>
      </c>
      <c r="T137" s="30">
        <f>IF(K137=1,'ORDENES'!$J133,"")</f>
        <v/>
      </c>
      <c r="U137" s="24">
        <f>IFERROR(MATCH(130,$M$8:$M$1207,0),"")</f>
        <v/>
      </c>
      <c r="V137" s="24">
        <f>IF(U137="","",INDEX('ORDENES'!$S$4:$S$1203,U137))</f>
        <v/>
      </c>
      <c r="W137" s="24">
        <f>IF(U137="","",IF(V137&lt;&gt;V136,CHAR(10)&amp;UPPER(LEFT(V137,1))&amp;MID(V137,2,20)&amp;":"&amp;CHAR(10),"")&amp;"   "&amp;IF(INDEX('ORDENES'!$AI$4:$AI$1203,U137)="","(s/t)",INDEX('ORDENES'!$AI$4:$AI$1203,U137))&amp;" · "&amp;IF(INDEX('ORDENES'!$AH$4:$AH$1203,U137)="","(sin técnico)",INDEX('ORDENES'!$AH$4:$AH$1203,U137))&amp;" · "&amp;INDEX('ORDENES'!$AU$4:$AU$1203,U137)&amp;" — "&amp;INDEX('ORDENES'!$D$4:$D$1203,U137)&amp;" ("&amp;TEXT(INDEX('ORDENES'!$M$4:$M$1203,U137),"0.#")&amp;" h)")</f>
        <v/>
      </c>
    </row>
    <row r="138">
      <c r="K138" s="24">
        <f>IF(AND(IF($B$3="(todos)",TRUE,'ORDENES'!$O134=$B$3),IF($D$3="(todos)",TRUE,'ORDENES'!$AI134=$D$3),IF($F$3="(todos)",TRUE,'ORDENES'!$AA134=$F$3),IF($H$3="(todos)",TRUE,'ORDENES'!$Z134=$H$3),'ORDENES'!$AG134=TRUE,'ORDENES'!$A134&lt;&gt;""),1,0)</f>
        <v/>
      </c>
      <c r="L138" s="24">
        <f>IF(K138=1,IFERROR(MATCH('ORDENES'!$S134,lista_dias,0),9)*1000000000+IFERROR(MATCH('ORDENES'!$AI134,lista_turnos,0),9)*10000000+IFERROR(MATCH('ORDENES'!$AH134,'TECNICOS'!$B$4:$B$19,0),99)*100000+131,9000000000000+131)</f>
        <v/>
      </c>
      <c r="M138" s="24">
        <f>IF(K138=1,SUMPRODUCT(--($L$8:$L$1207&lt;L138))+1,"")</f>
        <v/>
      </c>
      <c r="N138" s="25">
        <f>IF(K138=1,N('ORDENES'!$M134),0)</f>
        <v/>
      </c>
      <c r="O138" s="25">
        <f>IF('ORDENES'!$U134="preventiva",N138,0)</f>
        <v/>
      </c>
      <c r="P138" s="25">
        <f>IF('ORDENES'!$U134="correctiva",N138,0)</f>
        <v/>
      </c>
      <c r="Q138" s="24">
        <f>IF(AND(K138=1,'ORDENES'!$N134="Pendiente"),1,0)</f>
        <v/>
      </c>
      <c r="R138" s="24">
        <f>IF(Q138=1,100000-N138*1000+131*0.01,9000000000000+131)</f>
        <v/>
      </c>
      <c r="S138" s="24">
        <f>IF(Q138=1,SUMPRODUCT(--($R$8:$R$1207&lt;R138))+1,"")</f>
        <v/>
      </c>
      <c r="T138" s="30">
        <f>IF(K138=1,'ORDENES'!$J134,"")</f>
        <v/>
      </c>
      <c r="U138" s="24">
        <f>IFERROR(MATCH(131,$M$8:$M$1207,0),"")</f>
        <v/>
      </c>
      <c r="V138" s="24">
        <f>IF(U138="","",INDEX('ORDENES'!$S$4:$S$1203,U138))</f>
        <v/>
      </c>
      <c r="W138" s="24">
        <f>IF(U138="","",IF(V138&lt;&gt;V137,CHAR(10)&amp;UPPER(LEFT(V138,1))&amp;MID(V138,2,20)&amp;":"&amp;CHAR(10),"")&amp;"   "&amp;IF(INDEX('ORDENES'!$AI$4:$AI$1203,U138)="","(s/t)",INDEX('ORDENES'!$AI$4:$AI$1203,U138))&amp;" · "&amp;IF(INDEX('ORDENES'!$AH$4:$AH$1203,U138)="","(sin técnico)",INDEX('ORDENES'!$AH$4:$AH$1203,U138))&amp;" · "&amp;INDEX('ORDENES'!$AU$4:$AU$1203,U138)&amp;" — "&amp;INDEX('ORDENES'!$D$4:$D$1203,U138)&amp;" ("&amp;TEXT(INDEX('ORDENES'!$M$4:$M$1203,U138),"0.#")&amp;" h)")</f>
        <v/>
      </c>
    </row>
    <row r="139">
      <c r="K139" s="24">
        <f>IF(AND(IF($B$3="(todos)",TRUE,'ORDENES'!$O135=$B$3),IF($D$3="(todos)",TRUE,'ORDENES'!$AI135=$D$3),IF($F$3="(todos)",TRUE,'ORDENES'!$AA135=$F$3),IF($H$3="(todos)",TRUE,'ORDENES'!$Z135=$H$3),'ORDENES'!$AG135=TRUE,'ORDENES'!$A135&lt;&gt;""),1,0)</f>
        <v/>
      </c>
      <c r="L139" s="24">
        <f>IF(K139=1,IFERROR(MATCH('ORDENES'!$S135,lista_dias,0),9)*1000000000+IFERROR(MATCH('ORDENES'!$AI135,lista_turnos,0),9)*10000000+IFERROR(MATCH('ORDENES'!$AH135,'TECNICOS'!$B$4:$B$19,0),99)*100000+132,9000000000000+132)</f>
        <v/>
      </c>
      <c r="M139" s="24">
        <f>IF(K139=1,SUMPRODUCT(--($L$8:$L$1207&lt;L139))+1,"")</f>
        <v/>
      </c>
      <c r="N139" s="25">
        <f>IF(K139=1,N('ORDENES'!$M135),0)</f>
        <v/>
      </c>
      <c r="O139" s="25">
        <f>IF('ORDENES'!$U135="preventiva",N139,0)</f>
        <v/>
      </c>
      <c r="P139" s="25">
        <f>IF('ORDENES'!$U135="correctiva",N139,0)</f>
        <v/>
      </c>
      <c r="Q139" s="24">
        <f>IF(AND(K139=1,'ORDENES'!$N135="Pendiente"),1,0)</f>
        <v/>
      </c>
      <c r="R139" s="24">
        <f>IF(Q139=1,100000-N139*1000+132*0.01,9000000000000+132)</f>
        <v/>
      </c>
      <c r="S139" s="24">
        <f>IF(Q139=1,SUMPRODUCT(--($R$8:$R$1207&lt;R139))+1,"")</f>
        <v/>
      </c>
      <c r="T139" s="30">
        <f>IF(K139=1,'ORDENES'!$J135,"")</f>
        <v/>
      </c>
      <c r="U139" s="24">
        <f>IFERROR(MATCH(132,$M$8:$M$1207,0),"")</f>
        <v/>
      </c>
      <c r="V139" s="24">
        <f>IF(U139="","",INDEX('ORDENES'!$S$4:$S$1203,U139))</f>
        <v/>
      </c>
      <c r="W139" s="24">
        <f>IF(U139="","",IF(V139&lt;&gt;V138,CHAR(10)&amp;UPPER(LEFT(V139,1))&amp;MID(V139,2,20)&amp;":"&amp;CHAR(10),"")&amp;"   "&amp;IF(INDEX('ORDENES'!$AI$4:$AI$1203,U139)="","(s/t)",INDEX('ORDENES'!$AI$4:$AI$1203,U139))&amp;" · "&amp;IF(INDEX('ORDENES'!$AH$4:$AH$1203,U139)="","(sin técnico)",INDEX('ORDENES'!$AH$4:$AH$1203,U139))&amp;" · "&amp;INDEX('ORDENES'!$AU$4:$AU$1203,U139)&amp;" — "&amp;INDEX('ORDENES'!$D$4:$D$1203,U139)&amp;" ("&amp;TEXT(INDEX('ORDENES'!$M$4:$M$1203,U139),"0.#")&amp;" h)")</f>
        <v/>
      </c>
    </row>
    <row r="140">
      <c r="K140" s="24">
        <f>IF(AND(IF($B$3="(todos)",TRUE,'ORDENES'!$O136=$B$3),IF($D$3="(todos)",TRUE,'ORDENES'!$AI136=$D$3),IF($F$3="(todos)",TRUE,'ORDENES'!$AA136=$F$3),IF($H$3="(todos)",TRUE,'ORDENES'!$Z136=$H$3),'ORDENES'!$AG136=TRUE,'ORDENES'!$A136&lt;&gt;""),1,0)</f>
        <v/>
      </c>
      <c r="L140" s="24">
        <f>IF(K140=1,IFERROR(MATCH('ORDENES'!$S136,lista_dias,0),9)*1000000000+IFERROR(MATCH('ORDENES'!$AI136,lista_turnos,0),9)*10000000+IFERROR(MATCH('ORDENES'!$AH136,'TECNICOS'!$B$4:$B$19,0),99)*100000+133,9000000000000+133)</f>
        <v/>
      </c>
      <c r="M140" s="24">
        <f>IF(K140=1,SUMPRODUCT(--($L$8:$L$1207&lt;L140))+1,"")</f>
        <v/>
      </c>
      <c r="N140" s="25">
        <f>IF(K140=1,N('ORDENES'!$M136),0)</f>
        <v/>
      </c>
      <c r="O140" s="25">
        <f>IF('ORDENES'!$U136="preventiva",N140,0)</f>
        <v/>
      </c>
      <c r="P140" s="25">
        <f>IF('ORDENES'!$U136="correctiva",N140,0)</f>
        <v/>
      </c>
      <c r="Q140" s="24">
        <f>IF(AND(K140=1,'ORDENES'!$N136="Pendiente"),1,0)</f>
        <v/>
      </c>
      <c r="R140" s="24">
        <f>IF(Q140=1,100000-N140*1000+133*0.01,9000000000000+133)</f>
        <v/>
      </c>
      <c r="S140" s="24">
        <f>IF(Q140=1,SUMPRODUCT(--($R$8:$R$1207&lt;R140))+1,"")</f>
        <v/>
      </c>
      <c r="T140" s="30">
        <f>IF(K140=1,'ORDENES'!$J136,"")</f>
        <v/>
      </c>
      <c r="U140" s="24">
        <f>IFERROR(MATCH(133,$M$8:$M$1207,0),"")</f>
        <v/>
      </c>
      <c r="V140" s="24">
        <f>IF(U140="","",INDEX('ORDENES'!$S$4:$S$1203,U140))</f>
        <v/>
      </c>
      <c r="W140" s="24">
        <f>IF(U140="","",IF(V140&lt;&gt;V139,CHAR(10)&amp;UPPER(LEFT(V140,1))&amp;MID(V140,2,20)&amp;":"&amp;CHAR(10),"")&amp;"   "&amp;IF(INDEX('ORDENES'!$AI$4:$AI$1203,U140)="","(s/t)",INDEX('ORDENES'!$AI$4:$AI$1203,U140))&amp;" · "&amp;IF(INDEX('ORDENES'!$AH$4:$AH$1203,U140)="","(sin técnico)",INDEX('ORDENES'!$AH$4:$AH$1203,U140))&amp;" · "&amp;INDEX('ORDENES'!$AU$4:$AU$1203,U140)&amp;" — "&amp;INDEX('ORDENES'!$D$4:$D$1203,U140)&amp;" ("&amp;TEXT(INDEX('ORDENES'!$M$4:$M$1203,U140),"0.#")&amp;" h)")</f>
        <v/>
      </c>
    </row>
    <row r="141">
      <c r="K141" s="24">
        <f>IF(AND(IF($B$3="(todos)",TRUE,'ORDENES'!$O137=$B$3),IF($D$3="(todos)",TRUE,'ORDENES'!$AI137=$D$3),IF($F$3="(todos)",TRUE,'ORDENES'!$AA137=$F$3),IF($H$3="(todos)",TRUE,'ORDENES'!$Z137=$H$3),'ORDENES'!$AG137=TRUE,'ORDENES'!$A137&lt;&gt;""),1,0)</f>
        <v/>
      </c>
      <c r="L141" s="24">
        <f>IF(K141=1,IFERROR(MATCH('ORDENES'!$S137,lista_dias,0),9)*1000000000+IFERROR(MATCH('ORDENES'!$AI137,lista_turnos,0),9)*10000000+IFERROR(MATCH('ORDENES'!$AH137,'TECNICOS'!$B$4:$B$19,0),99)*100000+134,9000000000000+134)</f>
        <v/>
      </c>
      <c r="M141" s="24">
        <f>IF(K141=1,SUMPRODUCT(--($L$8:$L$1207&lt;L141))+1,"")</f>
        <v/>
      </c>
      <c r="N141" s="25">
        <f>IF(K141=1,N('ORDENES'!$M137),0)</f>
        <v/>
      </c>
      <c r="O141" s="25">
        <f>IF('ORDENES'!$U137="preventiva",N141,0)</f>
        <v/>
      </c>
      <c r="P141" s="25">
        <f>IF('ORDENES'!$U137="correctiva",N141,0)</f>
        <v/>
      </c>
      <c r="Q141" s="24">
        <f>IF(AND(K141=1,'ORDENES'!$N137="Pendiente"),1,0)</f>
        <v/>
      </c>
      <c r="R141" s="24">
        <f>IF(Q141=1,100000-N141*1000+134*0.01,9000000000000+134)</f>
        <v/>
      </c>
      <c r="S141" s="24">
        <f>IF(Q141=1,SUMPRODUCT(--($R$8:$R$1207&lt;R141))+1,"")</f>
        <v/>
      </c>
      <c r="T141" s="30">
        <f>IF(K141=1,'ORDENES'!$J137,"")</f>
        <v/>
      </c>
      <c r="U141" s="24">
        <f>IFERROR(MATCH(134,$M$8:$M$1207,0),"")</f>
        <v/>
      </c>
      <c r="V141" s="24">
        <f>IF(U141="","",INDEX('ORDENES'!$S$4:$S$1203,U141))</f>
        <v/>
      </c>
      <c r="W141" s="24">
        <f>IF(U141="","",IF(V141&lt;&gt;V140,CHAR(10)&amp;UPPER(LEFT(V141,1))&amp;MID(V141,2,20)&amp;":"&amp;CHAR(10),"")&amp;"   "&amp;IF(INDEX('ORDENES'!$AI$4:$AI$1203,U141)="","(s/t)",INDEX('ORDENES'!$AI$4:$AI$1203,U141))&amp;" · "&amp;IF(INDEX('ORDENES'!$AH$4:$AH$1203,U141)="","(sin técnico)",INDEX('ORDENES'!$AH$4:$AH$1203,U141))&amp;" · "&amp;INDEX('ORDENES'!$AU$4:$AU$1203,U141)&amp;" — "&amp;INDEX('ORDENES'!$D$4:$D$1203,U141)&amp;" ("&amp;TEXT(INDEX('ORDENES'!$M$4:$M$1203,U141),"0.#")&amp;" h)")</f>
        <v/>
      </c>
    </row>
    <row r="142">
      <c r="K142" s="24">
        <f>IF(AND(IF($B$3="(todos)",TRUE,'ORDENES'!$O138=$B$3),IF($D$3="(todos)",TRUE,'ORDENES'!$AI138=$D$3),IF($F$3="(todos)",TRUE,'ORDENES'!$AA138=$F$3),IF($H$3="(todos)",TRUE,'ORDENES'!$Z138=$H$3),'ORDENES'!$AG138=TRUE,'ORDENES'!$A138&lt;&gt;""),1,0)</f>
        <v/>
      </c>
      <c r="L142" s="24">
        <f>IF(K142=1,IFERROR(MATCH('ORDENES'!$S138,lista_dias,0),9)*1000000000+IFERROR(MATCH('ORDENES'!$AI138,lista_turnos,0),9)*10000000+IFERROR(MATCH('ORDENES'!$AH138,'TECNICOS'!$B$4:$B$19,0),99)*100000+135,9000000000000+135)</f>
        <v/>
      </c>
      <c r="M142" s="24">
        <f>IF(K142=1,SUMPRODUCT(--($L$8:$L$1207&lt;L142))+1,"")</f>
        <v/>
      </c>
      <c r="N142" s="25">
        <f>IF(K142=1,N('ORDENES'!$M138),0)</f>
        <v/>
      </c>
      <c r="O142" s="25">
        <f>IF('ORDENES'!$U138="preventiva",N142,0)</f>
        <v/>
      </c>
      <c r="P142" s="25">
        <f>IF('ORDENES'!$U138="correctiva",N142,0)</f>
        <v/>
      </c>
      <c r="Q142" s="24">
        <f>IF(AND(K142=1,'ORDENES'!$N138="Pendiente"),1,0)</f>
        <v/>
      </c>
      <c r="R142" s="24">
        <f>IF(Q142=1,100000-N142*1000+135*0.01,9000000000000+135)</f>
        <v/>
      </c>
      <c r="S142" s="24">
        <f>IF(Q142=1,SUMPRODUCT(--($R$8:$R$1207&lt;R142))+1,"")</f>
        <v/>
      </c>
      <c r="T142" s="30">
        <f>IF(K142=1,'ORDENES'!$J138,"")</f>
        <v/>
      </c>
      <c r="U142" s="24">
        <f>IFERROR(MATCH(135,$M$8:$M$1207,0),"")</f>
        <v/>
      </c>
      <c r="V142" s="24">
        <f>IF(U142="","",INDEX('ORDENES'!$S$4:$S$1203,U142))</f>
        <v/>
      </c>
      <c r="W142" s="24">
        <f>IF(U142="","",IF(V142&lt;&gt;V141,CHAR(10)&amp;UPPER(LEFT(V142,1))&amp;MID(V142,2,20)&amp;":"&amp;CHAR(10),"")&amp;"   "&amp;IF(INDEX('ORDENES'!$AI$4:$AI$1203,U142)="","(s/t)",INDEX('ORDENES'!$AI$4:$AI$1203,U142))&amp;" · "&amp;IF(INDEX('ORDENES'!$AH$4:$AH$1203,U142)="","(sin técnico)",INDEX('ORDENES'!$AH$4:$AH$1203,U142))&amp;" · "&amp;INDEX('ORDENES'!$AU$4:$AU$1203,U142)&amp;" — "&amp;INDEX('ORDENES'!$D$4:$D$1203,U142)&amp;" ("&amp;TEXT(INDEX('ORDENES'!$M$4:$M$1203,U142),"0.#")&amp;" h)")</f>
        <v/>
      </c>
    </row>
    <row r="143">
      <c r="K143" s="24">
        <f>IF(AND(IF($B$3="(todos)",TRUE,'ORDENES'!$O139=$B$3),IF($D$3="(todos)",TRUE,'ORDENES'!$AI139=$D$3),IF($F$3="(todos)",TRUE,'ORDENES'!$AA139=$F$3),IF($H$3="(todos)",TRUE,'ORDENES'!$Z139=$H$3),'ORDENES'!$AG139=TRUE,'ORDENES'!$A139&lt;&gt;""),1,0)</f>
        <v/>
      </c>
      <c r="L143" s="24">
        <f>IF(K143=1,IFERROR(MATCH('ORDENES'!$S139,lista_dias,0),9)*1000000000+IFERROR(MATCH('ORDENES'!$AI139,lista_turnos,0),9)*10000000+IFERROR(MATCH('ORDENES'!$AH139,'TECNICOS'!$B$4:$B$19,0),99)*100000+136,9000000000000+136)</f>
        <v/>
      </c>
      <c r="M143" s="24">
        <f>IF(K143=1,SUMPRODUCT(--($L$8:$L$1207&lt;L143))+1,"")</f>
        <v/>
      </c>
      <c r="N143" s="25">
        <f>IF(K143=1,N('ORDENES'!$M139),0)</f>
        <v/>
      </c>
      <c r="O143" s="25">
        <f>IF('ORDENES'!$U139="preventiva",N143,0)</f>
        <v/>
      </c>
      <c r="P143" s="25">
        <f>IF('ORDENES'!$U139="correctiva",N143,0)</f>
        <v/>
      </c>
      <c r="Q143" s="24">
        <f>IF(AND(K143=1,'ORDENES'!$N139="Pendiente"),1,0)</f>
        <v/>
      </c>
      <c r="R143" s="24">
        <f>IF(Q143=1,100000-N143*1000+136*0.01,9000000000000+136)</f>
        <v/>
      </c>
      <c r="S143" s="24">
        <f>IF(Q143=1,SUMPRODUCT(--($R$8:$R$1207&lt;R143))+1,"")</f>
        <v/>
      </c>
      <c r="T143" s="30">
        <f>IF(K143=1,'ORDENES'!$J139,"")</f>
        <v/>
      </c>
      <c r="U143" s="24">
        <f>IFERROR(MATCH(136,$M$8:$M$1207,0),"")</f>
        <v/>
      </c>
      <c r="V143" s="24">
        <f>IF(U143="","",INDEX('ORDENES'!$S$4:$S$1203,U143))</f>
        <v/>
      </c>
      <c r="W143" s="24">
        <f>IF(U143="","",IF(V143&lt;&gt;V142,CHAR(10)&amp;UPPER(LEFT(V143,1))&amp;MID(V143,2,20)&amp;":"&amp;CHAR(10),"")&amp;"   "&amp;IF(INDEX('ORDENES'!$AI$4:$AI$1203,U143)="","(s/t)",INDEX('ORDENES'!$AI$4:$AI$1203,U143))&amp;" · "&amp;IF(INDEX('ORDENES'!$AH$4:$AH$1203,U143)="","(sin técnico)",INDEX('ORDENES'!$AH$4:$AH$1203,U143))&amp;" · "&amp;INDEX('ORDENES'!$AU$4:$AU$1203,U143)&amp;" — "&amp;INDEX('ORDENES'!$D$4:$D$1203,U143)&amp;" ("&amp;TEXT(INDEX('ORDENES'!$M$4:$M$1203,U143),"0.#")&amp;" h)")</f>
        <v/>
      </c>
    </row>
    <row r="144">
      <c r="K144" s="24">
        <f>IF(AND(IF($B$3="(todos)",TRUE,'ORDENES'!$O140=$B$3),IF($D$3="(todos)",TRUE,'ORDENES'!$AI140=$D$3),IF($F$3="(todos)",TRUE,'ORDENES'!$AA140=$F$3),IF($H$3="(todos)",TRUE,'ORDENES'!$Z140=$H$3),'ORDENES'!$AG140=TRUE,'ORDENES'!$A140&lt;&gt;""),1,0)</f>
        <v/>
      </c>
      <c r="L144" s="24">
        <f>IF(K144=1,IFERROR(MATCH('ORDENES'!$S140,lista_dias,0),9)*1000000000+IFERROR(MATCH('ORDENES'!$AI140,lista_turnos,0),9)*10000000+IFERROR(MATCH('ORDENES'!$AH140,'TECNICOS'!$B$4:$B$19,0),99)*100000+137,9000000000000+137)</f>
        <v/>
      </c>
      <c r="M144" s="24">
        <f>IF(K144=1,SUMPRODUCT(--($L$8:$L$1207&lt;L144))+1,"")</f>
        <v/>
      </c>
      <c r="N144" s="25">
        <f>IF(K144=1,N('ORDENES'!$M140),0)</f>
        <v/>
      </c>
      <c r="O144" s="25">
        <f>IF('ORDENES'!$U140="preventiva",N144,0)</f>
        <v/>
      </c>
      <c r="P144" s="25">
        <f>IF('ORDENES'!$U140="correctiva",N144,0)</f>
        <v/>
      </c>
      <c r="Q144" s="24">
        <f>IF(AND(K144=1,'ORDENES'!$N140="Pendiente"),1,0)</f>
        <v/>
      </c>
      <c r="R144" s="24">
        <f>IF(Q144=1,100000-N144*1000+137*0.01,9000000000000+137)</f>
        <v/>
      </c>
      <c r="S144" s="24">
        <f>IF(Q144=1,SUMPRODUCT(--($R$8:$R$1207&lt;R144))+1,"")</f>
        <v/>
      </c>
      <c r="T144" s="30">
        <f>IF(K144=1,'ORDENES'!$J140,"")</f>
        <v/>
      </c>
      <c r="U144" s="24">
        <f>IFERROR(MATCH(137,$M$8:$M$1207,0),"")</f>
        <v/>
      </c>
      <c r="V144" s="24">
        <f>IF(U144="","",INDEX('ORDENES'!$S$4:$S$1203,U144))</f>
        <v/>
      </c>
      <c r="W144" s="24">
        <f>IF(U144="","",IF(V144&lt;&gt;V143,CHAR(10)&amp;UPPER(LEFT(V144,1))&amp;MID(V144,2,20)&amp;":"&amp;CHAR(10),"")&amp;"   "&amp;IF(INDEX('ORDENES'!$AI$4:$AI$1203,U144)="","(s/t)",INDEX('ORDENES'!$AI$4:$AI$1203,U144))&amp;" · "&amp;IF(INDEX('ORDENES'!$AH$4:$AH$1203,U144)="","(sin técnico)",INDEX('ORDENES'!$AH$4:$AH$1203,U144))&amp;" · "&amp;INDEX('ORDENES'!$AU$4:$AU$1203,U144)&amp;" — "&amp;INDEX('ORDENES'!$D$4:$D$1203,U144)&amp;" ("&amp;TEXT(INDEX('ORDENES'!$M$4:$M$1203,U144),"0.#")&amp;" h)")</f>
        <v/>
      </c>
    </row>
    <row r="145">
      <c r="K145" s="24">
        <f>IF(AND(IF($B$3="(todos)",TRUE,'ORDENES'!$O141=$B$3),IF($D$3="(todos)",TRUE,'ORDENES'!$AI141=$D$3),IF($F$3="(todos)",TRUE,'ORDENES'!$AA141=$F$3),IF($H$3="(todos)",TRUE,'ORDENES'!$Z141=$H$3),'ORDENES'!$AG141=TRUE,'ORDENES'!$A141&lt;&gt;""),1,0)</f>
        <v/>
      </c>
      <c r="L145" s="24">
        <f>IF(K145=1,IFERROR(MATCH('ORDENES'!$S141,lista_dias,0),9)*1000000000+IFERROR(MATCH('ORDENES'!$AI141,lista_turnos,0),9)*10000000+IFERROR(MATCH('ORDENES'!$AH141,'TECNICOS'!$B$4:$B$19,0),99)*100000+138,9000000000000+138)</f>
        <v/>
      </c>
      <c r="M145" s="24">
        <f>IF(K145=1,SUMPRODUCT(--($L$8:$L$1207&lt;L145))+1,"")</f>
        <v/>
      </c>
      <c r="N145" s="25">
        <f>IF(K145=1,N('ORDENES'!$M141),0)</f>
        <v/>
      </c>
      <c r="O145" s="25">
        <f>IF('ORDENES'!$U141="preventiva",N145,0)</f>
        <v/>
      </c>
      <c r="P145" s="25">
        <f>IF('ORDENES'!$U141="correctiva",N145,0)</f>
        <v/>
      </c>
      <c r="Q145" s="24">
        <f>IF(AND(K145=1,'ORDENES'!$N141="Pendiente"),1,0)</f>
        <v/>
      </c>
      <c r="R145" s="24">
        <f>IF(Q145=1,100000-N145*1000+138*0.01,9000000000000+138)</f>
        <v/>
      </c>
      <c r="S145" s="24">
        <f>IF(Q145=1,SUMPRODUCT(--($R$8:$R$1207&lt;R145))+1,"")</f>
        <v/>
      </c>
      <c r="T145" s="30">
        <f>IF(K145=1,'ORDENES'!$J141,"")</f>
        <v/>
      </c>
      <c r="U145" s="24">
        <f>IFERROR(MATCH(138,$M$8:$M$1207,0),"")</f>
        <v/>
      </c>
      <c r="V145" s="24">
        <f>IF(U145="","",INDEX('ORDENES'!$S$4:$S$1203,U145))</f>
        <v/>
      </c>
      <c r="W145" s="24">
        <f>IF(U145="","",IF(V145&lt;&gt;V144,CHAR(10)&amp;UPPER(LEFT(V145,1))&amp;MID(V145,2,20)&amp;":"&amp;CHAR(10),"")&amp;"   "&amp;IF(INDEX('ORDENES'!$AI$4:$AI$1203,U145)="","(s/t)",INDEX('ORDENES'!$AI$4:$AI$1203,U145))&amp;" · "&amp;IF(INDEX('ORDENES'!$AH$4:$AH$1203,U145)="","(sin técnico)",INDEX('ORDENES'!$AH$4:$AH$1203,U145))&amp;" · "&amp;INDEX('ORDENES'!$AU$4:$AU$1203,U145)&amp;" — "&amp;INDEX('ORDENES'!$D$4:$D$1203,U145)&amp;" ("&amp;TEXT(INDEX('ORDENES'!$M$4:$M$1203,U145),"0.#")&amp;" h)")</f>
        <v/>
      </c>
    </row>
    <row r="146">
      <c r="K146" s="24">
        <f>IF(AND(IF($B$3="(todos)",TRUE,'ORDENES'!$O142=$B$3),IF($D$3="(todos)",TRUE,'ORDENES'!$AI142=$D$3),IF($F$3="(todos)",TRUE,'ORDENES'!$AA142=$F$3),IF($H$3="(todos)",TRUE,'ORDENES'!$Z142=$H$3),'ORDENES'!$AG142=TRUE,'ORDENES'!$A142&lt;&gt;""),1,0)</f>
        <v/>
      </c>
      <c r="L146" s="24">
        <f>IF(K146=1,IFERROR(MATCH('ORDENES'!$S142,lista_dias,0),9)*1000000000+IFERROR(MATCH('ORDENES'!$AI142,lista_turnos,0),9)*10000000+IFERROR(MATCH('ORDENES'!$AH142,'TECNICOS'!$B$4:$B$19,0),99)*100000+139,9000000000000+139)</f>
        <v/>
      </c>
      <c r="M146" s="24">
        <f>IF(K146=1,SUMPRODUCT(--($L$8:$L$1207&lt;L146))+1,"")</f>
        <v/>
      </c>
      <c r="N146" s="25">
        <f>IF(K146=1,N('ORDENES'!$M142),0)</f>
        <v/>
      </c>
      <c r="O146" s="25">
        <f>IF('ORDENES'!$U142="preventiva",N146,0)</f>
        <v/>
      </c>
      <c r="P146" s="25">
        <f>IF('ORDENES'!$U142="correctiva",N146,0)</f>
        <v/>
      </c>
      <c r="Q146" s="24">
        <f>IF(AND(K146=1,'ORDENES'!$N142="Pendiente"),1,0)</f>
        <v/>
      </c>
      <c r="R146" s="24">
        <f>IF(Q146=1,100000-N146*1000+139*0.01,9000000000000+139)</f>
        <v/>
      </c>
      <c r="S146" s="24">
        <f>IF(Q146=1,SUMPRODUCT(--($R$8:$R$1207&lt;R146))+1,"")</f>
        <v/>
      </c>
      <c r="T146" s="30">
        <f>IF(K146=1,'ORDENES'!$J142,"")</f>
        <v/>
      </c>
      <c r="U146" s="24">
        <f>IFERROR(MATCH(139,$M$8:$M$1207,0),"")</f>
        <v/>
      </c>
      <c r="V146" s="24">
        <f>IF(U146="","",INDEX('ORDENES'!$S$4:$S$1203,U146))</f>
        <v/>
      </c>
      <c r="W146" s="24">
        <f>IF(U146="","",IF(V146&lt;&gt;V145,CHAR(10)&amp;UPPER(LEFT(V146,1))&amp;MID(V146,2,20)&amp;":"&amp;CHAR(10),"")&amp;"   "&amp;IF(INDEX('ORDENES'!$AI$4:$AI$1203,U146)="","(s/t)",INDEX('ORDENES'!$AI$4:$AI$1203,U146))&amp;" · "&amp;IF(INDEX('ORDENES'!$AH$4:$AH$1203,U146)="","(sin técnico)",INDEX('ORDENES'!$AH$4:$AH$1203,U146))&amp;" · "&amp;INDEX('ORDENES'!$AU$4:$AU$1203,U146)&amp;" — "&amp;INDEX('ORDENES'!$D$4:$D$1203,U146)&amp;" ("&amp;TEXT(INDEX('ORDENES'!$M$4:$M$1203,U146),"0.#")&amp;" h)")</f>
        <v/>
      </c>
    </row>
    <row r="147">
      <c r="K147" s="24">
        <f>IF(AND(IF($B$3="(todos)",TRUE,'ORDENES'!$O143=$B$3),IF($D$3="(todos)",TRUE,'ORDENES'!$AI143=$D$3),IF($F$3="(todos)",TRUE,'ORDENES'!$AA143=$F$3),IF($H$3="(todos)",TRUE,'ORDENES'!$Z143=$H$3),'ORDENES'!$AG143=TRUE,'ORDENES'!$A143&lt;&gt;""),1,0)</f>
        <v/>
      </c>
      <c r="L147" s="24">
        <f>IF(K147=1,IFERROR(MATCH('ORDENES'!$S143,lista_dias,0),9)*1000000000+IFERROR(MATCH('ORDENES'!$AI143,lista_turnos,0),9)*10000000+IFERROR(MATCH('ORDENES'!$AH143,'TECNICOS'!$B$4:$B$19,0),99)*100000+140,9000000000000+140)</f>
        <v/>
      </c>
      <c r="M147" s="24">
        <f>IF(K147=1,SUMPRODUCT(--($L$8:$L$1207&lt;L147))+1,"")</f>
        <v/>
      </c>
      <c r="N147" s="25">
        <f>IF(K147=1,N('ORDENES'!$M143),0)</f>
        <v/>
      </c>
      <c r="O147" s="25">
        <f>IF('ORDENES'!$U143="preventiva",N147,0)</f>
        <v/>
      </c>
      <c r="P147" s="25">
        <f>IF('ORDENES'!$U143="correctiva",N147,0)</f>
        <v/>
      </c>
      <c r="Q147" s="24">
        <f>IF(AND(K147=1,'ORDENES'!$N143="Pendiente"),1,0)</f>
        <v/>
      </c>
      <c r="R147" s="24">
        <f>IF(Q147=1,100000-N147*1000+140*0.01,9000000000000+140)</f>
        <v/>
      </c>
      <c r="S147" s="24">
        <f>IF(Q147=1,SUMPRODUCT(--($R$8:$R$1207&lt;R147))+1,"")</f>
        <v/>
      </c>
      <c r="T147" s="30">
        <f>IF(K147=1,'ORDENES'!$J143,"")</f>
        <v/>
      </c>
      <c r="U147" s="24">
        <f>IFERROR(MATCH(140,$M$8:$M$1207,0),"")</f>
        <v/>
      </c>
      <c r="V147" s="24">
        <f>IF(U147="","",INDEX('ORDENES'!$S$4:$S$1203,U147))</f>
        <v/>
      </c>
      <c r="W147" s="24">
        <f>IF(U147="","",IF(V147&lt;&gt;V146,CHAR(10)&amp;UPPER(LEFT(V147,1))&amp;MID(V147,2,20)&amp;":"&amp;CHAR(10),"")&amp;"   "&amp;IF(INDEX('ORDENES'!$AI$4:$AI$1203,U147)="","(s/t)",INDEX('ORDENES'!$AI$4:$AI$1203,U147))&amp;" · "&amp;IF(INDEX('ORDENES'!$AH$4:$AH$1203,U147)="","(sin técnico)",INDEX('ORDENES'!$AH$4:$AH$1203,U147))&amp;" · "&amp;INDEX('ORDENES'!$AU$4:$AU$1203,U147)&amp;" — "&amp;INDEX('ORDENES'!$D$4:$D$1203,U147)&amp;" ("&amp;TEXT(INDEX('ORDENES'!$M$4:$M$1203,U147),"0.#")&amp;" h)")</f>
        <v/>
      </c>
    </row>
    <row r="148">
      <c r="K148" s="24">
        <f>IF(AND(IF($B$3="(todos)",TRUE,'ORDENES'!$O144=$B$3),IF($D$3="(todos)",TRUE,'ORDENES'!$AI144=$D$3),IF($F$3="(todos)",TRUE,'ORDENES'!$AA144=$F$3),IF($H$3="(todos)",TRUE,'ORDENES'!$Z144=$H$3),'ORDENES'!$AG144=TRUE,'ORDENES'!$A144&lt;&gt;""),1,0)</f>
        <v/>
      </c>
      <c r="L148" s="24">
        <f>IF(K148=1,IFERROR(MATCH('ORDENES'!$S144,lista_dias,0),9)*1000000000+IFERROR(MATCH('ORDENES'!$AI144,lista_turnos,0),9)*10000000+IFERROR(MATCH('ORDENES'!$AH144,'TECNICOS'!$B$4:$B$19,0),99)*100000+141,9000000000000+141)</f>
        <v/>
      </c>
      <c r="M148" s="24">
        <f>IF(K148=1,SUMPRODUCT(--($L$8:$L$1207&lt;L148))+1,"")</f>
        <v/>
      </c>
      <c r="N148" s="25">
        <f>IF(K148=1,N('ORDENES'!$M144),0)</f>
        <v/>
      </c>
      <c r="O148" s="25">
        <f>IF('ORDENES'!$U144="preventiva",N148,0)</f>
        <v/>
      </c>
      <c r="P148" s="25">
        <f>IF('ORDENES'!$U144="correctiva",N148,0)</f>
        <v/>
      </c>
      <c r="Q148" s="24">
        <f>IF(AND(K148=1,'ORDENES'!$N144="Pendiente"),1,0)</f>
        <v/>
      </c>
      <c r="R148" s="24">
        <f>IF(Q148=1,100000-N148*1000+141*0.01,9000000000000+141)</f>
        <v/>
      </c>
      <c r="S148" s="24">
        <f>IF(Q148=1,SUMPRODUCT(--($R$8:$R$1207&lt;R148))+1,"")</f>
        <v/>
      </c>
      <c r="T148" s="30">
        <f>IF(K148=1,'ORDENES'!$J144,"")</f>
        <v/>
      </c>
      <c r="U148" s="24">
        <f>IFERROR(MATCH(141,$M$8:$M$1207,0),"")</f>
        <v/>
      </c>
      <c r="V148" s="24">
        <f>IF(U148="","",INDEX('ORDENES'!$S$4:$S$1203,U148))</f>
        <v/>
      </c>
      <c r="W148" s="24">
        <f>IF(U148="","",IF(V148&lt;&gt;V147,CHAR(10)&amp;UPPER(LEFT(V148,1))&amp;MID(V148,2,20)&amp;":"&amp;CHAR(10),"")&amp;"   "&amp;IF(INDEX('ORDENES'!$AI$4:$AI$1203,U148)="","(s/t)",INDEX('ORDENES'!$AI$4:$AI$1203,U148))&amp;" · "&amp;IF(INDEX('ORDENES'!$AH$4:$AH$1203,U148)="","(sin técnico)",INDEX('ORDENES'!$AH$4:$AH$1203,U148))&amp;" · "&amp;INDEX('ORDENES'!$AU$4:$AU$1203,U148)&amp;" — "&amp;INDEX('ORDENES'!$D$4:$D$1203,U148)&amp;" ("&amp;TEXT(INDEX('ORDENES'!$M$4:$M$1203,U148),"0.#")&amp;" h)")</f>
        <v/>
      </c>
    </row>
    <row r="149">
      <c r="K149" s="24">
        <f>IF(AND(IF($B$3="(todos)",TRUE,'ORDENES'!$O145=$B$3),IF($D$3="(todos)",TRUE,'ORDENES'!$AI145=$D$3),IF($F$3="(todos)",TRUE,'ORDENES'!$AA145=$F$3),IF($H$3="(todos)",TRUE,'ORDENES'!$Z145=$H$3),'ORDENES'!$AG145=TRUE,'ORDENES'!$A145&lt;&gt;""),1,0)</f>
        <v/>
      </c>
      <c r="L149" s="24">
        <f>IF(K149=1,IFERROR(MATCH('ORDENES'!$S145,lista_dias,0),9)*1000000000+IFERROR(MATCH('ORDENES'!$AI145,lista_turnos,0),9)*10000000+IFERROR(MATCH('ORDENES'!$AH145,'TECNICOS'!$B$4:$B$19,0),99)*100000+142,9000000000000+142)</f>
        <v/>
      </c>
      <c r="M149" s="24">
        <f>IF(K149=1,SUMPRODUCT(--($L$8:$L$1207&lt;L149))+1,"")</f>
        <v/>
      </c>
      <c r="N149" s="25">
        <f>IF(K149=1,N('ORDENES'!$M145),0)</f>
        <v/>
      </c>
      <c r="O149" s="25">
        <f>IF('ORDENES'!$U145="preventiva",N149,0)</f>
        <v/>
      </c>
      <c r="P149" s="25">
        <f>IF('ORDENES'!$U145="correctiva",N149,0)</f>
        <v/>
      </c>
      <c r="Q149" s="24">
        <f>IF(AND(K149=1,'ORDENES'!$N145="Pendiente"),1,0)</f>
        <v/>
      </c>
      <c r="R149" s="24">
        <f>IF(Q149=1,100000-N149*1000+142*0.01,9000000000000+142)</f>
        <v/>
      </c>
      <c r="S149" s="24">
        <f>IF(Q149=1,SUMPRODUCT(--($R$8:$R$1207&lt;R149))+1,"")</f>
        <v/>
      </c>
      <c r="T149" s="30">
        <f>IF(K149=1,'ORDENES'!$J145,"")</f>
        <v/>
      </c>
      <c r="U149" s="24">
        <f>IFERROR(MATCH(142,$M$8:$M$1207,0),"")</f>
        <v/>
      </c>
      <c r="V149" s="24">
        <f>IF(U149="","",INDEX('ORDENES'!$S$4:$S$1203,U149))</f>
        <v/>
      </c>
      <c r="W149" s="24">
        <f>IF(U149="","",IF(V149&lt;&gt;V148,CHAR(10)&amp;UPPER(LEFT(V149,1))&amp;MID(V149,2,20)&amp;":"&amp;CHAR(10),"")&amp;"   "&amp;IF(INDEX('ORDENES'!$AI$4:$AI$1203,U149)="","(s/t)",INDEX('ORDENES'!$AI$4:$AI$1203,U149))&amp;" · "&amp;IF(INDEX('ORDENES'!$AH$4:$AH$1203,U149)="","(sin técnico)",INDEX('ORDENES'!$AH$4:$AH$1203,U149))&amp;" · "&amp;INDEX('ORDENES'!$AU$4:$AU$1203,U149)&amp;" — "&amp;INDEX('ORDENES'!$D$4:$D$1203,U149)&amp;" ("&amp;TEXT(INDEX('ORDENES'!$M$4:$M$1203,U149),"0.#")&amp;" h)")</f>
        <v/>
      </c>
    </row>
    <row r="150">
      <c r="K150" s="24">
        <f>IF(AND(IF($B$3="(todos)",TRUE,'ORDENES'!$O146=$B$3),IF($D$3="(todos)",TRUE,'ORDENES'!$AI146=$D$3),IF($F$3="(todos)",TRUE,'ORDENES'!$AA146=$F$3),IF($H$3="(todos)",TRUE,'ORDENES'!$Z146=$H$3),'ORDENES'!$AG146=TRUE,'ORDENES'!$A146&lt;&gt;""),1,0)</f>
        <v/>
      </c>
      <c r="L150" s="24">
        <f>IF(K150=1,IFERROR(MATCH('ORDENES'!$S146,lista_dias,0),9)*1000000000+IFERROR(MATCH('ORDENES'!$AI146,lista_turnos,0),9)*10000000+IFERROR(MATCH('ORDENES'!$AH146,'TECNICOS'!$B$4:$B$19,0),99)*100000+143,9000000000000+143)</f>
        <v/>
      </c>
      <c r="M150" s="24">
        <f>IF(K150=1,SUMPRODUCT(--($L$8:$L$1207&lt;L150))+1,"")</f>
        <v/>
      </c>
      <c r="N150" s="25">
        <f>IF(K150=1,N('ORDENES'!$M146),0)</f>
        <v/>
      </c>
      <c r="O150" s="25">
        <f>IF('ORDENES'!$U146="preventiva",N150,0)</f>
        <v/>
      </c>
      <c r="P150" s="25">
        <f>IF('ORDENES'!$U146="correctiva",N150,0)</f>
        <v/>
      </c>
      <c r="Q150" s="24">
        <f>IF(AND(K150=1,'ORDENES'!$N146="Pendiente"),1,0)</f>
        <v/>
      </c>
      <c r="R150" s="24">
        <f>IF(Q150=1,100000-N150*1000+143*0.01,9000000000000+143)</f>
        <v/>
      </c>
      <c r="S150" s="24">
        <f>IF(Q150=1,SUMPRODUCT(--($R$8:$R$1207&lt;R150))+1,"")</f>
        <v/>
      </c>
      <c r="T150" s="30">
        <f>IF(K150=1,'ORDENES'!$J146,"")</f>
        <v/>
      </c>
      <c r="U150" s="24">
        <f>IFERROR(MATCH(143,$M$8:$M$1207,0),"")</f>
        <v/>
      </c>
      <c r="V150" s="24">
        <f>IF(U150="","",INDEX('ORDENES'!$S$4:$S$1203,U150))</f>
        <v/>
      </c>
      <c r="W150" s="24">
        <f>IF(U150="","",IF(V150&lt;&gt;V149,CHAR(10)&amp;UPPER(LEFT(V150,1))&amp;MID(V150,2,20)&amp;":"&amp;CHAR(10),"")&amp;"   "&amp;IF(INDEX('ORDENES'!$AI$4:$AI$1203,U150)="","(s/t)",INDEX('ORDENES'!$AI$4:$AI$1203,U150))&amp;" · "&amp;IF(INDEX('ORDENES'!$AH$4:$AH$1203,U150)="","(sin técnico)",INDEX('ORDENES'!$AH$4:$AH$1203,U150))&amp;" · "&amp;INDEX('ORDENES'!$AU$4:$AU$1203,U150)&amp;" — "&amp;INDEX('ORDENES'!$D$4:$D$1203,U150)&amp;" ("&amp;TEXT(INDEX('ORDENES'!$M$4:$M$1203,U150),"0.#")&amp;" h)")</f>
        <v/>
      </c>
    </row>
    <row r="151">
      <c r="K151" s="24">
        <f>IF(AND(IF($B$3="(todos)",TRUE,'ORDENES'!$O147=$B$3),IF($D$3="(todos)",TRUE,'ORDENES'!$AI147=$D$3),IF($F$3="(todos)",TRUE,'ORDENES'!$AA147=$F$3),IF($H$3="(todos)",TRUE,'ORDENES'!$Z147=$H$3),'ORDENES'!$AG147=TRUE,'ORDENES'!$A147&lt;&gt;""),1,0)</f>
        <v/>
      </c>
      <c r="L151" s="24">
        <f>IF(K151=1,IFERROR(MATCH('ORDENES'!$S147,lista_dias,0),9)*1000000000+IFERROR(MATCH('ORDENES'!$AI147,lista_turnos,0),9)*10000000+IFERROR(MATCH('ORDENES'!$AH147,'TECNICOS'!$B$4:$B$19,0),99)*100000+144,9000000000000+144)</f>
        <v/>
      </c>
      <c r="M151" s="24">
        <f>IF(K151=1,SUMPRODUCT(--($L$8:$L$1207&lt;L151))+1,"")</f>
        <v/>
      </c>
      <c r="N151" s="25">
        <f>IF(K151=1,N('ORDENES'!$M147),0)</f>
        <v/>
      </c>
      <c r="O151" s="25">
        <f>IF('ORDENES'!$U147="preventiva",N151,0)</f>
        <v/>
      </c>
      <c r="P151" s="25">
        <f>IF('ORDENES'!$U147="correctiva",N151,0)</f>
        <v/>
      </c>
      <c r="Q151" s="24">
        <f>IF(AND(K151=1,'ORDENES'!$N147="Pendiente"),1,0)</f>
        <v/>
      </c>
      <c r="R151" s="24">
        <f>IF(Q151=1,100000-N151*1000+144*0.01,9000000000000+144)</f>
        <v/>
      </c>
      <c r="S151" s="24">
        <f>IF(Q151=1,SUMPRODUCT(--($R$8:$R$1207&lt;R151))+1,"")</f>
        <v/>
      </c>
      <c r="T151" s="30">
        <f>IF(K151=1,'ORDENES'!$J147,"")</f>
        <v/>
      </c>
      <c r="U151" s="24">
        <f>IFERROR(MATCH(144,$M$8:$M$1207,0),"")</f>
        <v/>
      </c>
      <c r="V151" s="24">
        <f>IF(U151="","",INDEX('ORDENES'!$S$4:$S$1203,U151))</f>
        <v/>
      </c>
      <c r="W151" s="24">
        <f>IF(U151="","",IF(V151&lt;&gt;V150,CHAR(10)&amp;UPPER(LEFT(V151,1))&amp;MID(V151,2,20)&amp;":"&amp;CHAR(10),"")&amp;"   "&amp;IF(INDEX('ORDENES'!$AI$4:$AI$1203,U151)="","(s/t)",INDEX('ORDENES'!$AI$4:$AI$1203,U151))&amp;" · "&amp;IF(INDEX('ORDENES'!$AH$4:$AH$1203,U151)="","(sin técnico)",INDEX('ORDENES'!$AH$4:$AH$1203,U151))&amp;" · "&amp;INDEX('ORDENES'!$AU$4:$AU$1203,U151)&amp;" — "&amp;INDEX('ORDENES'!$D$4:$D$1203,U151)&amp;" ("&amp;TEXT(INDEX('ORDENES'!$M$4:$M$1203,U151),"0.#")&amp;" h)")</f>
        <v/>
      </c>
    </row>
    <row r="152">
      <c r="K152" s="24">
        <f>IF(AND(IF($B$3="(todos)",TRUE,'ORDENES'!$O148=$B$3),IF($D$3="(todos)",TRUE,'ORDENES'!$AI148=$D$3),IF($F$3="(todos)",TRUE,'ORDENES'!$AA148=$F$3),IF($H$3="(todos)",TRUE,'ORDENES'!$Z148=$H$3),'ORDENES'!$AG148=TRUE,'ORDENES'!$A148&lt;&gt;""),1,0)</f>
        <v/>
      </c>
      <c r="L152" s="24">
        <f>IF(K152=1,IFERROR(MATCH('ORDENES'!$S148,lista_dias,0),9)*1000000000+IFERROR(MATCH('ORDENES'!$AI148,lista_turnos,0),9)*10000000+IFERROR(MATCH('ORDENES'!$AH148,'TECNICOS'!$B$4:$B$19,0),99)*100000+145,9000000000000+145)</f>
        <v/>
      </c>
      <c r="M152" s="24">
        <f>IF(K152=1,SUMPRODUCT(--($L$8:$L$1207&lt;L152))+1,"")</f>
        <v/>
      </c>
      <c r="N152" s="25">
        <f>IF(K152=1,N('ORDENES'!$M148),0)</f>
        <v/>
      </c>
      <c r="O152" s="25">
        <f>IF('ORDENES'!$U148="preventiva",N152,0)</f>
        <v/>
      </c>
      <c r="P152" s="25">
        <f>IF('ORDENES'!$U148="correctiva",N152,0)</f>
        <v/>
      </c>
      <c r="Q152" s="24">
        <f>IF(AND(K152=1,'ORDENES'!$N148="Pendiente"),1,0)</f>
        <v/>
      </c>
      <c r="R152" s="24">
        <f>IF(Q152=1,100000-N152*1000+145*0.01,9000000000000+145)</f>
        <v/>
      </c>
      <c r="S152" s="24">
        <f>IF(Q152=1,SUMPRODUCT(--($R$8:$R$1207&lt;R152))+1,"")</f>
        <v/>
      </c>
      <c r="T152" s="30">
        <f>IF(K152=1,'ORDENES'!$J148,"")</f>
        <v/>
      </c>
      <c r="U152" s="24">
        <f>IFERROR(MATCH(145,$M$8:$M$1207,0),"")</f>
        <v/>
      </c>
      <c r="V152" s="24">
        <f>IF(U152="","",INDEX('ORDENES'!$S$4:$S$1203,U152))</f>
        <v/>
      </c>
      <c r="W152" s="24">
        <f>IF(U152="","",IF(V152&lt;&gt;V151,CHAR(10)&amp;UPPER(LEFT(V152,1))&amp;MID(V152,2,20)&amp;":"&amp;CHAR(10),"")&amp;"   "&amp;IF(INDEX('ORDENES'!$AI$4:$AI$1203,U152)="","(s/t)",INDEX('ORDENES'!$AI$4:$AI$1203,U152))&amp;" · "&amp;IF(INDEX('ORDENES'!$AH$4:$AH$1203,U152)="","(sin técnico)",INDEX('ORDENES'!$AH$4:$AH$1203,U152))&amp;" · "&amp;INDEX('ORDENES'!$AU$4:$AU$1203,U152)&amp;" — "&amp;INDEX('ORDENES'!$D$4:$D$1203,U152)&amp;" ("&amp;TEXT(INDEX('ORDENES'!$M$4:$M$1203,U152),"0.#")&amp;" h)")</f>
        <v/>
      </c>
    </row>
    <row r="153">
      <c r="K153" s="24">
        <f>IF(AND(IF($B$3="(todos)",TRUE,'ORDENES'!$O149=$B$3),IF($D$3="(todos)",TRUE,'ORDENES'!$AI149=$D$3),IF($F$3="(todos)",TRUE,'ORDENES'!$AA149=$F$3),IF($H$3="(todos)",TRUE,'ORDENES'!$Z149=$H$3),'ORDENES'!$AG149=TRUE,'ORDENES'!$A149&lt;&gt;""),1,0)</f>
        <v/>
      </c>
      <c r="L153" s="24">
        <f>IF(K153=1,IFERROR(MATCH('ORDENES'!$S149,lista_dias,0),9)*1000000000+IFERROR(MATCH('ORDENES'!$AI149,lista_turnos,0),9)*10000000+IFERROR(MATCH('ORDENES'!$AH149,'TECNICOS'!$B$4:$B$19,0),99)*100000+146,9000000000000+146)</f>
        <v/>
      </c>
      <c r="M153" s="24">
        <f>IF(K153=1,SUMPRODUCT(--($L$8:$L$1207&lt;L153))+1,"")</f>
        <v/>
      </c>
      <c r="N153" s="25">
        <f>IF(K153=1,N('ORDENES'!$M149),0)</f>
        <v/>
      </c>
      <c r="O153" s="25">
        <f>IF('ORDENES'!$U149="preventiva",N153,0)</f>
        <v/>
      </c>
      <c r="P153" s="25">
        <f>IF('ORDENES'!$U149="correctiva",N153,0)</f>
        <v/>
      </c>
      <c r="Q153" s="24">
        <f>IF(AND(K153=1,'ORDENES'!$N149="Pendiente"),1,0)</f>
        <v/>
      </c>
      <c r="R153" s="24">
        <f>IF(Q153=1,100000-N153*1000+146*0.01,9000000000000+146)</f>
        <v/>
      </c>
      <c r="S153" s="24">
        <f>IF(Q153=1,SUMPRODUCT(--($R$8:$R$1207&lt;R153))+1,"")</f>
        <v/>
      </c>
      <c r="T153" s="30">
        <f>IF(K153=1,'ORDENES'!$J149,"")</f>
        <v/>
      </c>
      <c r="U153" s="24">
        <f>IFERROR(MATCH(146,$M$8:$M$1207,0),"")</f>
        <v/>
      </c>
      <c r="V153" s="24">
        <f>IF(U153="","",INDEX('ORDENES'!$S$4:$S$1203,U153))</f>
        <v/>
      </c>
      <c r="W153" s="24">
        <f>IF(U153="","",IF(V153&lt;&gt;V152,CHAR(10)&amp;UPPER(LEFT(V153,1))&amp;MID(V153,2,20)&amp;":"&amp;CHAR(10),"")&amp;"   "&amp;IF(INDEX('ORDENES'!$AI$4:$AI$1203,U153)="","(s/t)",INDEX('ORDENES'!$AI$4:$AI$1203,U153))&amp;" · "&amp;IF(INDEX('ORDENES'!$AH$4:$AH$1203,U153)="","(sin técnico)",INDEX('ORDENES'!$AH$4:$AH$1203,U153))&amp;" · "&amp;INDEX('ORDENES'!$AU$4:$AU$1203,U153)&amp;" — "&amp;INDEX('ORDENES'!$D$4:$D$1203,U153)&amp;" ("&amp;TEXT(INDEX('ORDENES'!$M$4:$M$1203,U153),"0.#")&amp;" h)")</f>
        <v/>
      </c>
    </row>
    <row r="154">
      <c r="K154" s="24">
        <f>IF(AND(IF($B$3="(todos)",TRUE,'ORDENES'!$O150=$B$3),IF($D$3="(todos)",TRUE,'ORDENES'!$AI150=$D$3),IF($F$3="(todos)",TRUE,'ORDENES'!$AA150=$F$3),IF($H$3="(todos)",TRUE,'ORDENES'!$Z150=$H$3),'ORDENES'!$AG150=TRUE,'ORDENES'!$A150&lt;&gt;""),1,0)</f>
        <v/>
      </c>
      <c r="L154" s="24">
        <f>IF(K154=1,IFERROR(MATCH('ORDENES'!$S150,lista_dias,0),9)*1000000000+IFERROR(MATCH('ORDENES'!$AI150,lista_turnos,0),9)*10000000+IFERROR(MATCH('ORDENES'!$AH150,'TECNICOS'!$B$4:$B$19,0),99)*100000+147,9000000000000+147)</f>
        <v/>
      </c>
      <c r="M154" s="24">
        <f>IF(K154=1,SUMPRODUCT(--($L$8:$L$1207&lt;L154))+1,"")</f>
        <v/>
      </c>
      <c r="N154" s="25">
        <f>IF(K154=1,N('ORDENES'!$M150),0)</f>
        <v/>
      </c>
      <c r="O154" s="25">
        <f>IF('ORDENES'!$U150="preventiva",N154,0)</f>
        <v/>
      </c>
      <c r="P154" s="25">
        <f>IF('ORDENES'!$U150="correctiva",N154,0)</f>
        <v/>
      </c>
      <c r="Q154" s="24">
        <f>IF(AND(K154=1,'ORDENES'!$N150="Pendiente"),1,0)</f>
        <v/>
      </c>
      <c r="R154" s="24">
        <f>IF(Q154=1,100000-N154*1000+147*0.01,9000000000000+147)</f>
        <v/>
      </c>
      <c r="S154" s="24">
        <f>IF(Q154=1,SUMPRODUCT(--($R$8:$R$1207&lt;R154))+1,"")</f>
        <v/>
      </c>
      <c r="T154" s="30">
        <f>IF(K154=1,'ORDENES'!$J150,"")</f>
        <v/>
      </c>
      <c r="U154" s="24">
        <f>IFERROR(MATCH(147,$M$8:$M$1207,0),"")</f>
        <v/>
      </c>
      <c r="V154" s="24">
        <f>IF(U154="","",INDEX('ORDENES'!$S$4:$S$1203,U154))</f>
        <v/>
      </c>
      <c r="W154" s="24">
        <f>IF(U154="","",IF(V154&lt;&gt;V153,CHAR(10)&amp;UPPER(LEFT(V154,1))&amp;MID(V154,2,20)&amp;":"&amp;CHAR(10),"")&amp;"   "&amp;IF(INDEX('ORDENES'!$AI$4:$AI$1203,U154)="","(s/t)",INDEX('ORDENES'!$AI$4:$AI$1203,U154))&amp;" · "&amp;IF(INDEX('ORDENES'!$AH$4:$AH$1203,U154)="","(sin técnico)",INDEX('ORDENES'!$AH$4:$AH$1203,U154))&amp;" · "&amp;INDEX('ORDENES'!$AU$4:$AU$1203,U154)&amp;" — "&amp;INDEX('ORDENES'!$D$4:$D$1203,U154)&amp;" ("&amp;TEXT(INDEX('ORDENES'!$M$4:$M$1203,U154),"0.#")&amp;" h)")</f>
        <v/>
      </c>
    </row>
    <row r="155">
      <c r="K155" s="24">
        <f>IF(AND(IF($B$3="(todos)",TRUE,'ORDENES'!$O151=$B$3),IF($D$3="(todos)",TRUE,'ORDENES'!$AI151=$D$3),IF($F$3="(todos)",TRUE,'ORDENES'!$AA151=$F$3),IF($H$3="(todos)",TRUE,'ORDENES'!$Z151=$H$3),'ORDENES'!$AG151=TRUE,'ORDENES'!$A151&lt;&gt;""),1,0)</f>
        <v/>
      </c>
      <c r="L155" s="24">
        <f>IF(K155=1,IFERROR(MATCH('ORDENES'!$S151,lista_dias,0),9)*1000000000+IFERROR(MATCH('ORDENES'!$AI151,lista_turnos,0),9)*10000000+IFERROR(MATCH('ORDENES'!$AH151,'TECNICOS'!$B$4:$B$19,0),99)*100000+148,9000000000000+148)</f>
        <v/>
      </c>
      <c r="M155" s="24">
        <f>IF(K155=1,SUMPRODUCT(--($L$8:$L$1207&lt;L155))+1,"")</f>
        <v/>
      </c>
      <c r="N155" s="25">
        <f>IF(K155=1,N('ORDENES'!$M151),0)</f>
        <v/>
      </c>
      <c r="O155" s="25">
        <f>IF('ORDENES'!$U151="preventiva",N155,0)</f>
        <v/>
      </c>
      <c r="P155" s="25">
        <f>IF('ORDENES'!$U151="correctiva",N155,0)</f>
        <v/>
      </c>
      <c r="Q155" s="24">
        <f>IF(AND(K155=1,'ORDENES'!$N151="Pendiente"),1,0)</f>
        <v/>
      </c>
      <c r="R155" s="24">
        <f>IF(Q155=1,100000-N155*1000+148*0.01,9000000000000+148)</f>
        <v/>
      </c>
      <c r="S155" s="24">
        <f>IF(Q155=1,SUMPRODUCT(--($R$8:$R$1207&lt;R155))+1,"")</f>
        <v/>
      </c>
      <c r="T155" s="30">
        <f>IF(K155=1,'ORDENES'!$J151,"")</f>
        <v/>
      </c>
      <c r="U155" s="24">
        <f>IFERROR(MATCH(148,$M$8:$M$1207,0),"")</f>
        <v/>
      </c>
      <c r="V155" s="24">
        <f>IF(U155="","",INDEX('ORDENES'!$S$4:$S$1203,U155))</f>
        <v/>
      </c>
      <c r="W155" s="24">
        <f>IF(U155="","",IF(V155&lt;&gt;V154,CHAR(10)&amp;UPPER(LEFT(V155,1))&amp;MID(V155,2,20)&amp;":"&amp;CHAR(10),"")&amp;"   "&amp;IF(INDEX('ORDENES'!$AI$4:$AI$1203,U155)="","(s/t)",INDEX('ORDENES'!$AI$4:$AI$1203,U155))&amp;" · "&amp;IF(INDEX('ORDENES'!$AH$4:$AH$1203,U155)="","(sin técnico)",INDEX('ORDENES'!$AH$4:$AH$1203,U155))&amp;" · "&amp;INDEX('ORDENES'!$AU$4:$AU$1203,U155)&amp;" — "&amp;INDEX('ORDENES'!$D$4:$D$1203,U155)&amp;" ("&amp;TEXT(INDEX('ORDENES'!$M$4:$M$1203,U155),"0.#")&amp;" h)")</f>
        <v/>
      </c>
    </row>
    <row r="156">
      <c r="K156" s="24">
        <f>IF(AND(IF($B$3="(todos)",TRUE,'ORDENES'!$O152=$B$3),IF($D$3="(todos)",TRUE,'ORDENES'!$AI152=$D$3),IF($F$3="(todos)",TRUE,'ORDENES'!$AA152=$F$3),IF($H$3="(todos)",TRUE,'ORDENES'!$Z152=$H$3),'ORDENES'!$AG152=TRUE,'ORDENES'!$A152&lt;&gt;""),1,0)</f>
        <v/>
      </c>
      <c r="L156" s="24">
        <f>IF(K156=1,IFERROR(MATCH('ORDENES'!$S152,lista_dias,0),9)*1000000000+IFERROR(MATCH('ORDENES'!$AI152,lista_turnos,0),9)*10000000+IFERROR(MATCH('ORDENES'!$AH152,'TECNICOS'!$B$4:$B$19,0),99)*100000+149,9000000000000+149)</f>
        <v/>
      </c>
      <c r="M156" s="24">
        <f>IF(K156=1,SUMPRODUCT(--($L$8:$L$1207&lt;L156))+1,"")</f>
        <v/>
      </c>
      <c r="N156" s="25">
        <f>IF(K156=1,N('ORDENES'!$M152),0)</f>
        <v/>
      </c>
      <c r="O156" s="25">
        <f>IF('ORDENES'!$U152="preventiva",N156,0)</f>
        <v/>
      </c>
      <c r="P156" s="25">
        <f>IF('ORDENES'!$U152="correctiva",N156,0)</f>
        <v/>
      </c>
      <c r="Q156" s="24">
        <f>IF(AND(K156=1,'ORDENES'!$N152="Pendiente"),1,0)</f>
        <v/>
      </c>
      <c r="R156" s="24">
        <f>IF(Q156=1,100000-N156*1000+149*0.01,9000000000000+149)</f>
        <v/>
      </c>
      <c r="S156" s="24">
        <f>IF(Q156=1,SUMPRODUCT(--($R$8:$R$1207&lt;R156))+1,"")</f>
        <v/>
      </c>
      <c r="T156" s="30">
        <f>IF(K156=1,'ORDENES'!$J152,"")</f>
        <v/>
      </c>
      <c r="U156" s="24">
        <f>IFERROR(MATCH(149,$M$8:$M$1207,0),"")</f>
        <v/>
      </c>
      <c r="V156" s="24">
        <f>IF(U156="","",INDEX('ORDENES'!$S$4:$S$1203,U156))</f>
        <v/>
      </c>
      <c r="W156" s="24">
        <f>IF(U156="","",IF(V156&lt;&gt;V155,CHAR(10)&amp;UPPER(LEFT(V156,1))&amp;MID(V156,2,20)&amp;":"&amp;CHAR(10),"")&amp;"   "&amp;IF(INDEX('ORDENES'!$AI$4:$AI$1203,U156)="","(s/t)",INDEX('ORDENES'!$AI$4:$AI$1203,U156))&amp;" · "&amp;IF(INDEX('ORDENES'!$AH$4:$AH$1203,U156)="","(sin técnico)",INDEX('ORDENES'!$AH$4:$AH$1203,U156))&amp;" · "&amp;INDEX('ORDENES'!$AU$4:$AU$1203,U156)&amp;" — "&amp;INDEX('ORDENES'!$D$4:$D$1203,U156)&amp;" ("&amp;TEXT(INDEX('ORDENES'!$M$4:$M$1203,U156),"0.#")&amp;" h)")</f>
        <v/>
      </c>
    </row>
    <row r="157">
      <c r="K157" s="24">
        <f>IF(AND(IF($B$3="(todos)",TRUE,'ORDENES'!$O153=$B$3),IF($D$3="(todos)",TRUE,'ORDENES'!$AI153=$D$3),IF($F$3="(todos)",TRUE,'ORDENES'!$AA153=$F$3),IF($H$3="(todos)",TRUE,'ORDENES'!$Z153=$H$3),'ORDENES'!$AG153=TRUE,'ORDENES'!$A153&lt;&gt;""),1,0)</f>
        <v/>
      </c>
      <c r="L157" s="24">
        <f>IF(K157=1,IFERROR(MATCH('ORDENES'!$S153,lista_dias,0),9)*1000000000+IFERROR(MATCH('ORDENES'!$AI153,lista_turnos,0),9)*10000000+IFERROR(MATCH('ORDENES'!$AH153,'TECNICOS'!$B$4:$B$19,0),99)*100000+150,9000000000000+150)</f>
        <v/>
      </c>
      <c r="M157" s="24">
        <f>IF(K157=1,SUMPRODUCT(--($L$8:$L$1207&lt;L157))+1,"")</f>
        <v/>
      </c>
      <c r="N157" s="25">
        <f>IF(K157=1,N('ORDENES'!$M153),0)</f>
        <v/>
      </c>
      <c r="O157" s="25">
        <f>IF('ORDENES'!$U153="preventiva",N157,0)</f>
        <v/>
      </c>
      <c r="P157" s="25">
        <f>IF('ORDENES'!$U153="correctiva",N157,0)</f>
        <v/>
      </c>
      <c r="Q157" s="24">
        <f>IF(AND(K157=1,'ORDENES'!$N153="Pendiente"),1,0)</f>
        <v/>
      </c>
      <c r="R157" s="24">
        <f>IF(Q157=1,100000-N157*1000+150*0.01,9000000000000+150)</f>
        <v/>
      </c>
      <c r="S157" s="24">
        <f>IF(Q157=1,SUMPRODUCT(--($R$8:$R$1207&lt;R157))+1,"")</f>
        <v/>
      </c>
      <c r="T157" s="30">
        <f>IF(K157=1,'ORDENES'!$J153,"")</f>
        <v/>
      </c>
      <c r="U157" s="24">
        <f>IFERROR(MATCH(150,$M$8:$M$1207,0),"")</f>
        <v/>
      </c>
      <c r="V157" s="24">
        <f>IF(U157="","",INDEX('ORDENES'!$S$4:$S$1203,U157))</f>
        <v/>
      </c>
      <c r="W157" s="24">
        <f>IF(U157="","",IF(V157&lt;&gt;V156,CHAR(10)&amp;UPPER(LEFT(V157,1))&amp;MID(V157,2,20)&amp;":"&amp;CHAR(10),"")&amp;"   "&amp;IF(INDEX('ORDENES'!$AI$4:$AI$1203,U157)="","(s/t)",INDEX('ORDENES'!$AI$4:$AI$1203,U157))&amp;" · "&amp;IF(INDEX('ORDENES'!$AH$4:$AH$1203,U157)="","(sin técnico)",INDEX('ORDENES'!$AH$4:$AH$1203,U157))&amp;" · "&amp;INDEX('ORDENES'!$AU$4:$AU$1203,U157)&amp;" — "&amp;INDEX('ORDENES'!$D$4:$D$1203,U157)&amp;" ("&amp;TEXT(INDEX('ORDENES'!$M$4:$M$1203,U157),"0.#")&amp;" h)")</f>
        <v/>
      </c>
    </row>
    <row r="158">
      <c r="K158" s="24">
        <f>IF(AND(IF($B$3="(todos)",TRUE,'ORDENES'!$O154=$B$3),IF($D$3="(todos)",TRUE,'ORDENES'!$AI154=$D$3),IF($F$3="(todos)",TRUE,'ORDENES'!$AA154=$F$3),IF($H$3="(todos)",TRUE,'ORDENES'!$Z154=$H$3),'ORDENES'!$AG154=TRUE,'ORDENES'!$A154&lt;&gt;""),1,0)</f>
        <v/>
      </c>
      <c r="L158" s="24">
        <f>IF(K158=1,IFERROR(MATCH('ORDENES'!$S154,lista_dias,0),9)*1000000000+IFERROR(MATCH('ORDENES'!$AI154,lista_turnos,0),9)*10000000+IFERROR(MATCH('ORDENES'!$AH154,'TECNICOS'!$B$4:$B$19,0),99)*100000+151,9000000000000+151)</f>
        <v/>
      </c>
      <c r="M158" s="24">
        <f>IF(K158=1,SUMPRODUCT(--($L$8:$L$1207&lt;L158))+1,"")</f>
        <v/>
      </c>
      <c r="N158" s="25">
        <f>IF(K158=1,N('ORDENES'!$M154),0)</f>
        <v/>
      </c>
      <c r="O158" s="25">
        <f>IF('ORDENES'!$U154="preventiva",N158,0)</f>
        <v/>
      </c>
      <c r="P158" s="25">
        <f>IF('ORDENES'!$U154="correctiva",N158,0)</f>
        <v/>
      </c>
      <c r="Q158" s="24">
        <f>IF(AND(K158=1,'ORDENES'!$N154="Pendiente"),1,0)</f>
        <v/>
      </c>
      <c r="R158" s="24">
        <f>IF(Q158=1,100000-N158*1000+151*0.01,9000000000000+151)</f>
        <v/>
      </c>
      <c r="S158" s="24">
        <f>IF(Q158=1,SUMPRODUCT(--($R$8:$R$1207&lt;R158))+1,"")</f>
        <v/>
      </c>
      <c r="T158" s="30">
        <f>IF(K158=1,'ORDENES'!$J154,"")</f>
        <v/>
      </c>
      <c r="U158" s="24">
        <f>IFERROR(MATCH(151,$M$8:$M$1207,0),"")</f>
        <v/>
      </c>
      <c r="V158" s="24">
        <f>IF(U158="","",INDEX('ORDENES'!$S$4:$S$1203,U158))</f>
        <v/>
      </c>
      <c r="W158" s="24">
        <f>IF(U158="","",IF(V158&lt;&gt;V157,CHAR(10)&amp;UPPER(LEFT(V158,1))&amp;MID(V158,2,20)&amp;":"&amp;CHAR(10),"")&amp;"   "&amp;IF(INDEX('ORDENES'!$AI$4:$AI$1203,U158)="","(s/t)",INDEX('ORDENES'!$AI$4:$AI$1203,U158))&amp;" · "&amp;IF(INDEX('ORDENES'!$AH$4:$AH$1203,U158)="","(sin técnico)",INDEX('ORDENES'!$AH$4:$AH$1203,U158))&amp;" · "&amp;INDEX('ORDENES'!$AU$4:$AU$1203,U158)&amp;" — "&amp;INDEX('ORDENES'!$D$4:$D$1203,U158)&amp;" ("&amp;TEXT(INDEX('ORDENES'!$M$4:$M$1203,U158),"0.#")&amp;" h)")</f>
        <v/>
      </c>
    </row>
    <row r="159">
      <c r="K159" s="24">
        <f>IF(AND(IF($B$3="(todos)",TRUE,'ORDENES'!$O155=$B$3),IF($D$3="(todos)",TRUE,'ORDENES'!$AI155=$D$3),IF($F$3="(todos)",TRUE,'ORDENES'!$AA155=$F$3),IF($H$3="(todos)",TRUE,'ORDENES'!$Z155=$H$3),'ORDENES'!$AG155=TRUE,'ORDENES'!$A155&lt;&gt;""),1,0)</f>
        <v/>
      </c>
      <c r="L159" s="24">
        <f>IF(K159=1,IFERROR(MATCH('ORDENES'!$S155,lista_dias,0),9)*1000000000+IFERROR(MATCH('ORDENES'!$AI155,lista_turnos,0),9)*10000000+IFERROR(MATCH('ORDENES'!$AH155,'TECNICOS'!$B$4:$B$19,0),99)*100000+152,9000000000000+152)</f>
        <v/>
      </c>
      <c r="M159" s="24">
        <f>IF(K159=1,SUMPRODUCT(--($L$8:$L$1207&lt;L159))+1,"")</f>
        <v/>
      </c>
      <c r="N159" s="25">
        <f>IF(K159=1,N('ORDENES'!$M155),0)</f>
        <v/>
      </c>
      <c r="O159" s="25">
        <f>IF('ORDENES'!$U155="preventiva",N159,0)</f>
        <v/>
      </c>
      <c r="P159" s="25">
        <f>IF('ORDENES'!$U155="correctiva",N159,0)</f>
        <v/>
      </c>
      <c r="Q159" s="24">
        <f>IF(AND(K159=1,'ORDENES'!$N155="Pendiente"),1,0)</f>
        <v/>
      </c>
      <c r="R159" s="24">
        <f>IF(Q159=1,100000-N159*1000+152*0.01,9000000000000+152)</f>
        <v/>
      </c>
      <c r="S159" s="24">
        <f>IF(Q159=1,SUMPRODUCT(--($R$8:$R$1207&lt;R159))+1,"")</f>
        <v/>
      </c>
      <c r="T159" s="30">
        <f>IF(K159=1,'ORDENES'!$J155,"")</f>
        <v/>
      </c>
      <c r="U159" s="24">
        <f>IFERROR(MATCH(152,$M$8:$M$1207,0),"")</f>
        <v/>
      </c>
      <c r="V159" s="24">
        <f>IF(U159="","",INDEX('ORDENES'!$S$4:$S$1203,U159))</f>
        <v/>
      </c>
      <c r="W159" s="24">
        <f>IF(U159="","",IF(V159&lt;&gt;V158,CHAR(10)&amp;UPPER(LEFT(V159,1))&amp;MID(V159,2,20)&amp;":"&amp;CHAR(10),"")&amp;"   "&amp;IF(INDEX('ORDENES'!$AI$4:$AI$1203,U159)="","(s/t)",INDEX('ORDENES'!$AI$4:$AI$1203,U159))&amp;" · "&amp;IF(INDEX('ORDENES'!$AH$4:$AH$1203,U159)="","(sin técnico)",INDEX('ORDENES'!$AH$4:$AH$1203,U159))&amp;" · "&amp;INDEX('ORDENES'!$AU$4:$AU$1203,U159)&amp;" — "&amp;INDEX('ORDENES'!$D$4:$D$1203,U159)&amp;" ("&amp;TEXT(INDEX('ORDENES'!$M$4:$M$1203,U159),"0.#")&amp;" h)")</f>
        <v/>
      </c>
    </row>
    <row r="160">
      <c r="K160" s="24">
        <f>IF(AND(IF($B$3="(todos)",TRUE,'ORDENES'!$O156=$B$3),IF($D$3="(todos)",TRUE,'ORDENES'!$AI156=$D$3),IF($F$3="(todos)",TRUE,'ORDENES'!$AA156=$F$3),IF($H$3="(todos)",TRUE,'ORDENES'!$Z156=$H$3),'ORDENES'!$AG156=TRUE,'ORDENES'!$A156&lt;&gt;""),1,0)</f>
        <v/>
      </c>
      <c r="L160" s="24">
        <f>IF(K160=1,IFERROR(MATCH('ORDENES'!$S156,lista_dias,0),9)*1000000000+IFERROR(MATCH('ORDENES'!$AI156,lista_turnos,0),9)*10000000+IFERROR(MATCH('ORDENES'!$AH156,'TECNICOS'!$B$4:$B$19,0),99)*100000+153,9000000000000+153)</f>
        <v/>
      </c>
      <c r="M160" s="24">
        <f>IF(K160=1,SUMPRODUCT(--($L$8:$L$1207&lt;L160))+1,"")</f>
        <v/>
      </c>
      <c r="N160" s="25">
        <f>IF(K160=1,N('ORDENES'!$M156),0)</f>
        <v/>
      </c>
      <c r="O160" s="25">
        <f>IF('ORDENES'!$U156="preventiva",N160,0)</f>
        <v/>
      </c>
      <c r="P160" s="25">
        <f>IF('ORDENES'!$U156="correctiva",N160,0)</f>
        <v/>
      </c>
      <c r="Q160" s="24">
        <f>IF(AND(K160=1,'ORDENES'!$N156="Pendiente"),1,0)</f>
        <v/>
      </c>
      <c r="R160" s="24">
        <f>IF(Q160=1,100000-N160*1000+153*0.01,9000000000000+153)</f>
        <v/>
      </c>
      <c r="S160" s="24">
        <f>IF(Q160=1,SUMPRODUCT(--($R$8:$R$1207&lt;R160))+1,"")</f>
        <v/>
      </c>
      <c r="T160" s="30">
        <f>IF(K160=1,'ORDENES'!$J156,"")</f>
        <v/>
      </c>
      <c r="U160" s="24">
        <f>IFERROR(MATCH(153,$M$8:$M$1207,0),"")</f>
        <v/>
      </c>
      <c r="V160" s="24">
        <f>IF(U160="","",INDEX('ORDENES'!$S$4:$S$1203,U160))</f>
        <v/>
      </c>
      <c r="W160" s="24">
        <f>IF(U160="","",IF(V160&lt;&gt;V159,CHAR(10)&amp;UPPER(LEFT(V160,1))&amp;MID(V160,2,20)&amp;":"&amp;CHAR(10),"")&amp;"   "&amp;IF(INDEX('ORDENES'!$AI$4:$AI$1203,U160)="","(s/t)",INDEX('ORDENES'!$AI$4:$AI$1203,U160))&amp;" · "&amp;IF(INDEX('ORDENES'!$AH$4:$AH$1203,U160)="","(sin técnico)",INDEX('ORDENES'!$AH$4:$AH$1203,U160))&amp;" · "&amp;INDEX('ORDENES'!$AU$4:$AU$1203,U160)&amp;" — "&amp;INDEX('ORDENES'!$D$4:$D$1203,U160)&amp;" ("&amp;TEXT(INDEX('ORDENES'!$M$4:$M$1203,U160),"0.#")&amp;" h)")</f>
        <v/>
      </c>
    </row>
    <row r="161">
      <c r="K161" s="24">
        <f>IF(AND(IF($B$3="(todos)",TRUE,'ORDENES'!$O157=$B$3),IF($D$3="(todos)",TRUE,'ORDENES'!$AI157=$D$3),IF($F$3="(todos)",TRUE,'ORDENES'!$AA157=$F$3),IF($H$3="(todos)",TRUE,'ORDENES'!$Z157=$H$3),'ORDENES'!$AG157=TRUE,'ORDENES'!$A157&lt;&gt;""),1,0)</f>
        <v/>
      </c>
      <c r="L161" s="24">
        <f>IF(K161=1,IFERROR(MATCH('ORDENES'!$S157,lista_dias,0),9)*1000000000+IFERROR(MATCH('ORDENES'!$AI157,lista_turnos,0),9)*10000000+IFERROR(MATCH('ORDENES'!$AH157,'TECNICOS'!$B$4:$B$19,0),99)*100000+154,9000000000000+154)</f>
        <v/>
      </c>
      <c r="M161" s="24">
        <f>IF(K161=1,SUMPRODUCT(--($L$8:$L$1207&lt;L161))+1,"")</f>
        <v/>
      </c>
      <c r="N161" s="25">
        <f>IF(K161=1,N('ORDENES'!$M157),0)</f>
        <v/>
      </c>
      <c r="O161" s="25">
        <f>IF('ORDENES'!$U157="preventiva",N161,0)</f>
        <v/>
      </c>
      <c r="P161" s="25">
        <f>IF('ORDENES'!$U157="correctiva",N161,0)</f>
        <v/>
      </c>
      <c r="Q161" s="24">
        <f>IF(AND(K161=1,'ORDENES'!$N157="Pendiente"),1,0)</f>
        <v/>
      </c>
      <c r="R161" s="24">
        <f>IF(Q161=1,100000-N161*1000+154*0.01,9000000000000+154)</f>
        <v/>
      </c>
      <c r="S161" s="24">
        <f>IF(Q161=1,SUMPRODUCT(--($R$8:$R$1207&lt;R161))+1,"")</f>
        <v/>
      </c>
      <c r="T161" s="30">
        <f>IF(K161=1,'ORDENES'!$J157,"")</f>
        <v/>
      </c>
      <c r="U161" s="24">
        <f>IFERROR(MATCH(154,$M$8:$M$1207,0),"")</f>
        <v/>
      </c>
      <c r="V161" s="24">
        <f>IF(U161="","",INDEX('ORDENES'!$S$4:$S$1203,U161))</f>
        <v/>
      </c>
      <c r="W161" s="24">
        <f>IF(U161="","",IF(V161&lt;&gt;V160,CHAR(10)&amp;UPPER(LEFT(V161,1))&amp;MID(V161,2,20)&amp;":"&amp;CHAR(10),"")&amp;"   "&amp;IF(INDEX('ORDENES'!$AI$4:$AI$1203,U161)="","(s/t)",INDEX('ORDENES'!$AI$4:$AI$1203,U161))&amp;" · "&amp;IF(INDEX('ORDENES'!$AH$4:$AH$1203,U161)="","(sin técnico)",INDEX('ORDENES'!$AH$4:$AH$1203,U161))&amp;" · "&amp;INDEX('ORDENES'!$AU$4:$AU$1203,U161)&amp;" — "&amp;INDEX('ORDENES'!$D$4:$D$1203,U161)&amp;" ("&amp;TEXT(INDEX('ORDENES'!$M$4:$M$1203,U161),"0.#")&amp;" h)")</f>
        <v/>
      </c>
    </row>
    <row r="162">
      <c r="K162" s="24">
        <f>IF(AND(IF($B$3="(todos)",TRUE,'ORDENES'!$O158=$B$3),IF($D$3="(todos)",TRUE,'ORDENES'!$AI158=$D$3),IF($F$3="(todos)",TRUE,'ORDENES'!$AA158=$F$3),IF($H$3="(todos)",TRUE,'ORDENES'!$Z158=$H$3),'ORDENES'!$AG158=TRUE,'ORDENES'!$A158&lt;&gt;""),1,0)</f>
        <v/>
      </c>
      <c r="L162" s="24">
        <f>IF(K162=1,IFERROR(MATCH('ORDENES'!$S158,lista_dias,0),9)*1000000000+IFERROR(MATCH('ORDENES'!$AI158,lista_turnos,0),9)*10000000+IFERROR(MATCH('ORDENES'!$AH158,'TECNICOS'!$B$4:$B$19,0),99)*100000+155,9000000000000+155)</f>
        <v/>
      </c>
      <c r="M162" s="24">
        <f>IF(K162=1,SUMPRODUCT(--($L$8:$L$1207&lt;L162))+1,"")</f>
        <v/>
      </c>
      <c r="N162" s="25">
        <f>IF(K162=1,N('ORDENES'!$M158),0)</f>
        <v/>
      </c>
      <c r="O162" s="25">
        <f>IF('ORDENES'!$U158="preventiva",N162,0)</f>
        <v/>
      </c>
      <c r="P162" s="25">
        <f>IF('ORDENES'!$U158="correctiva",N162,0)</f>
        <v/>
      </c>
      <c r="Q162" s="24">
        <f>IF(AND(K162=1,'ORDENES'!$N158="Pendiente"),1,0)</f>
        <v/>
      </c>
      <c r="R162" s="24">
        <f>IF(Q162=1,100000-N162*1000+155*0.01,9000000000000+155)</f>
        <v/>
      </c>
      <c r="S162" s="24">
        <f>IF(Q162=1,SUMPRODUCT(--($R$8:$R$1207&lt;R162))+1,"")</f>
        <v/>
      </c>
      <c r="T162" s="30">
        <f>IF(K162=1,'ORDENES'!$J158,"")</f>
        <v/>
      </c>
      <c r="U162" s="24">
        <f>IFERROR(MATCH(155,$M$8:$M$1207,0),"")</f>
        <v/>
      </c>
      <c r="V162" s="24">
        <f>IF(U162="","",INDEX('ORDENES'!$S$4:$S$1203,U162))</f>
        <v/>
      </c>
      <c r="W162" s="24">
        <f>IF(U162="","",IF(V162&lt;&gt;V161,CHAR(10)&amp;UPPER(LEFT(V162,1))&amp;MID(V162,2,20)&amp;":"&amp;CHAR(10),"")&amp;"   "&amp;IF(INDEX('ORDENES'!$AI$4:$AI$1203,U162)="","(s/t)",INDEX('ORDENES'!$AI$4:$AI$1203,U162))&amp;" · "&amp;IF(INDEX('ORDENES'!$AH$4:$AH$1203,U162)="","(sin técnico)",INDEX('ORDENES'!$AH$4:$AH$1203,U162))&amp;" · "&amp;INDEX('ORDENES'!$AU$4:$AU$1203,U162)&amp;" — "&amp;INDEX('ORDENES'!$D$4:$D$1203,U162)&amp;" ("&amp;TEXT(INDEX('ORDENES'!$M$4:$M$1203,U162),"0.#")&amp;" h)")</f>
        <v/>
      </c>
    </row>
    <row r="163">
      <c r="K163" s="24">
        <f>IF(AND(IF($B$3="(todos)",TRUE,'ORDENES'!$O159=$B$3),IF($D$3="(todos)",TRUE,'ORDENES'!$AI159=$D$3),IF($F$3="(todos)",TRUE,'ORDENES'!$AA159=$F$3),IF($H$3="(todos)",TRUE,'ORDENES'!$Z159=$H$3),'ORDENES'!$AG159=TRUE,'ORDENES'!$A159&lt;&gt;""),1,0)</f>
        <v/>
      </c>
      <c r="L163" s="24">
        <f>IF(K163=1,IFERROR(MATCH('ORDENES'!$S159,lista_dias,0),9)*1000000000+IFERROR(MATCH('ORDENES'!$AI159,lista_turnos,0),9)*10000000+IFERROR(MATCH('ORDENES'!$AH159,'TECNICOS'!$B$4:$B$19,0),99)*100000+156,9000000000000+156)</f>
        <v/>
      </c>
      <c r="M163" s="24">
        <f>IF(K163=1,SUMPRODUCT(--($L$8:$L$1207&lt;L163))+1,"")</f>
        <v/>
      </c>
      <c r="N163" s="25">
        <f>IF(K163=1,N('ORDENES'!$M159),0)</f>
        <v/>
      </c>
      <c r="O163" s="25">
        <f>IF('ORDENES'!$U159="preventiva",N163,0)</f>
        <v/>
      </c>
      <c r="P163" s="25">
        <f>IF('ORDENES'!$U159="correctiva",N163,0)</f>
        <v/>
      </c>
      <c r="Q163" s="24">
        <f>IF(AND(K163=1,'ORDENES'!$N159="Pendiente"),1,0)</f>
        <v/>
      </c>
      <c r="R163" s="24">
        <f>IF(Q163=1,100000-N163*1000+156*0.01,9000000000000+156)</f>
        <v/>
      </c>
      <c r="S163" s="24">
        <f>IF(Q163=1,SUMPRODUCT(--($R$8:$R$1207&lt;R163))+1,"")</f>
        <v/>
      </c>
      <c r="T163" s="30">
        <f>IF(K163=1,'ORDENES'!$J159,"")</f>
        <v/>
      </c>
      <c r="U163" s="24">
        <f>IFERROR(MATCH(156,$M$8:$M$1207,0),"")</f>
        <v/>
      </c>
      <c r="V163" s="24">
        <f>IF(U163="","",INDEX('ORDENES'!$S$4:$S$1203,U163))</f>
        <v/>
      </c>
      <c r="W163" s="24">
        <f>IF(U163="","",IF(V163&lt;&gt;V162,CHAR(10)&amp;UPPER(LEFT(V163,1))&amp;MID(V163,2,20)&amp;":"&amp;CHAR(10),"")&amp;"   "&amp;IF(INDEX('ORDENES'!$AI$4:$AI$1203,U163)="","(s/t)",INDEX('ORDENES'!$AI$4:$AI$1203,U163))&amp;" · "&amp;IF(INDEX('ORDENES'!$AH$4:$AH$1203,U163)="","(sin técnico)",INDEX('ORDENES'!$AH$4:$AH$1203,U163))&amp;" · "&amp;INDEX('ORDENES'!$AU$4:$AU$1203,U163)&amp;" — "&amp;INDEX('ORDENES'!$D$4:$D$1203,U163)&amp;" ("&amp;TEXT(INDEX('ORDENES'!$M$4:$M$1203,U163),"0.#")&amp;" h)")</f>
        <v/>
      </c>
    </row>
    <row r="164">
      <c r="K164" s="24">
        <f>IF(AND(IF($B$3="(todos)",TRUE,'ORDENES'!$O160=$B$3),IF($D$3="(todos)",TRUE,'ORDENES'!$AI160=$D$3),IF($F$3="(todos)",TRUE,'ORDENES'!$AA160=$F$3),IF($H$3="(todos)",TRUE,'ORDENES'!$Z160=$H$3),'ORDENES'!$AG160=TRUE,'ORDENES'!$A160&lt;&gt;""),1,0)</f>
        <v/>
      </c>
      <c r="L164" s="24">
        <f>IF(K164=1,IFERROR(MATCH('ORDENES'!$S160,lista_dias,0),9)*1000000000+IFERROR(MATCH('ORDENES'!$AI160,lista_turnos,0),9)*10000000+IFERROR(MATCH('ORDENES'!$AH160,'TECNICOS'!$B$4:$B$19,0),99)*100000+157,9000000000000+157)</f>
        <v/>
      </c>
      <c r="M164" s="24">
        <f>IF(K164=1,SUMPRODUCT(--($L$8:$L$1207&lt;L164))+1,"")</f>
        <v/>
      </c>
      <c r="N164" s="25">
        <f>IF(K164=1,N('ORDENES'!$M160),0)</f>
        <v/>
      </c>
      <c r="O164" s="25">
        <f>IF('ORDENES'!$U160="preventiva",N164,0)</f>
        <v/>
      </c>
      <c r="P164" s="25">
        <f>IF('ORDENES'!$U160="correctiva",N164,0)</f>
        <v/>
      </c>
      <c r="Q164" s="24">
        <f>IF(AND(K164=1,'ORDENES'!$N160="Pendiente"),1,0)</f>
        <v/>
      </c>
      <c r="R164" s="24">
        <f>IF(Q164=1,100000-N164*1000+157*0.01,9000000000000+157)</f>
        <v/>
      </c>
      <c r="S164" s="24">
        <f>IF(Q164=1,SUMPRODUCT(--($R$8:$R$1207&lt;R164))+1,"")</f>
        <v/>
      </c>
      <c r="T164" s="30">
        <f>IF(K164=1,'ORDENES'!$J160,"")</f>
        <v/>
      </c>
      <c r="U164" s="24">
        <f>IFERROR(MATCH(157,$M$8:$M$1207,0),"")</f>
        <v/>
      </c>
      <c r="V164" s="24">
        <f>IF(U164="","",INDEX('ORDENES'!$S$4:$S$1203,U164))</f>
        <v/>
      </c>
      <c r="W164" s="24">
        <f>IF(U164="","",IF(V164&lt;&gt;V163,CHAR(10)&amp;UPPER(LEFT(V164,1))&amp;MID(V164,2,20)&amp;":"&amp;CHAR(10),"")&amp;"   "&amp;IF(INDEX('ORDENES'!$AI$4:$AI$1203,U164)="","(s/t)",INDEX('ORDENES'!$AI$4:$AI$1203,U164))&amp;" · "&amp;IF(INDEX('ORDENES'!$AH$4:$AH$1203,U164)="","(sin técnico)",INDEX('ORDENES'!$AH$4:$AH$1203,U164))&amp;" · "&amp;INDEX('ORDENES'!$AU$4:$AU$1203,U164)&amp;" — "&amp;INDEX('ORDENES'!$D$4:$D$1203,U164)&amp;" ("&amp;TEXT(INDEX('ORDENES'!$M$4:$M$1203,U164),"0.#")&amp;" h)")</f>
        <v/>
      </c>
    </row>
    <row r="165">
      <c r="K165" s="24">
        <f>IF(AND(IF($B$3="(todos)",TRUE,'ORDENES'!$O161=$B$3),IF($D$3="(todos)",TRUE,'ORDENES'!$AI161=$D$3),IF($F$3="(todos)",TRUE,'ORDENES'!$AA161=$F$3),IF($H$3="(todos)",TRUE,'ORDENES'!$Z161=$H$3),'ORDENES'!$AG161=TRUE,'ORDENES'!$A161&lt;&gt;""),1,0)</f>
        <v/>
      </c>
      <c r="L165" s="24">
        <f>IF(K165=1,IFERROR(MATCH('ORDENES'!$S161,lista_dias,0),9)*1000000000+IFERROR(MATCH('ORDENES'!$AI161,lista_turnos,0),9)*10000000+IFERROR(MATCH('ORDENES'!$AH161,'TECNICOS'!$B$4:$B$19,0),99)*100000+158,9000000000000+158)</f>
        <v/>
      </c>
      <c r="M165" s="24">
        <f>IF(K165=1,SUMPRODUCT(--($L$8:$L$1207&lt;L165))+1,"")</f>
        <v/>
      </c>
      <c r="N165" s="25">
        <f>IF(K165=1,N('ORDENES'!$M161),0)</f>
        <v/>
      </c>
      <c r="O165" s="25">
        <f>IF('ORDENES'!$U161="preventiva",N165,0)</f>
        <v/>
      </c>
      <c r="P165" s="25">
        <f>IF('ORDENES'!$U161="correctiva",N165,0)</f>
        <v/>
      </c>
      <c r="Q165" s="24">
        <f>IF(AND(K165=1,'ORDENES'!$N161="Pendiente"),1,0)</f>
        <v/>
      </c>
      <c r="R165" s="24">
        <f>IF(Q165=1,100000-N165*1000+158*0.01,9000000000000+158)</f>
        <v/>
      </c>
      <c r="S165" s="24">
        <f>IF(Q165=1,SUMPRODUCT(--($R$8:$R$1207&lt;R165))+1,"")</f>
        <v/>
      </c>
      <c r="T165" s="30">
        <f>IF(K165=1,'ORDENES'!$J161,"")</f>
        <v/>
      </c>
      <c r="U165" s="24">
        <f>IFERROR(MATCH(158,$M$8:$M$1207,0),"")</f>
        <v/>
      </c>
      <c r="V165" s="24">
        <f>IF(U165="","",INDEX('ORDENES'!$S$4:$S$1203,U165))</f>
        <v/>
      </c>
      <c r="W165" s="24">
        <f>IF(U165="","",IF(V165&lt;&gt;V164,CHAR(10)&amp;UPPER(LEFT(V165,1))&amp;MID(V165,2,20)&amp;":"&amp;CHAR(10),"")&amp;"   "&amp;IF(INDEX('ORDENES'!$AI$4:$AI$1203,U165)="","(s/t)",INDEX('ORDENES'!$AI$4:$AI$1203,U165))&amp;" · "&amp;IF(INDEX('ORDENES'!$AH$4:$AH$1203,U165)="","(sin técnico)",INDEX('ORDENES'!$AH$4:$AH$1203,U165))&amp;" · "&amp;INDEX('ORDENES'!$AU$4:$AU$1203,U165)&amp;" — "&amp;INDEX('ORDENES'!$D$4:$D$1203,U165)&amp;" ("&amp;TEXT(INDEX('ORDENES'!$M$4:$M$1203,U165),"0.#")&amp;" h)")</f>
        <v/>
      </c>
    </row>
    <row r="166">
      <c r="K166" s="24">
        <f>IF(AND(IF($B$3="(todos)",TRUE,'ORDENES'!$O162=$B$3),IF($D$3="(todos)",TRUE,'ORDENES'!$AI162=$D$3),IF($F$3="(todos)",TRUE,'ORDENES'!$AA162=$F$3),IF($H$3="(todos)",TRUE,'ORDENES'!$Z162=$H$3),'ORDENES'!$AG162=TRUE,'ORDENES'!$A162&lt;&gt;""),1,0)</f>
        <v/>
      </c>
      <c r="L166" s="24">
        <f>IF(K166=1,IFERROR(MATCH('ORDENES'!$S162,lista_dias,0),9)*1000000000+IFERROR(MATCH('ORDENES'!$AI162,lista_turnos,0),9)*10000000+IFERROR(MATCH('ORDENES'!$AH162,'TECNICOS'!$B$4:$B$19,0),99)*100000+159,9000000000000+159)</f>
        <v/>
      </c>
      <c r="M166" s="24">
        <f>IF(K166=1,SUMPRODUCT(--($L$8:$L$1207&lt;L166))+1,"")</f>
        <v/>
      </c>
      <c r="N166" s="25">
        <f>IF(K166=1,N('ORDENES'!$M162),0)</f>
        <v/>
      </c>
      <c r="O166" s="25">
        <f>IF('ORDENES'!$U162="preventiva",N166,0)</f>
        <v/>
      </c>
      <c r="P166" s="25">
        <f>IF('ORDENES'!$U162="correctiva",N166,0)</f>
        <v/>
      </c>
      <c r="Q166" s="24">
        <f>IF(AND(K166=1,'ORDENES'!$N162="Pendiente"),1,0)</f>
        <v/>
      </c>
      <c r="R166" s="24">
        <f>IF(Q166=1,100000-N166*1000+159*0.01,9000000000000+159)</f>
        <v/>
      </c>
      <c r="S166" s="24">
        <f>IF(Q166=1,SUMPRODUCT(--($R$8:$R$1207&lt;R166))+1,"")</f>
        <v/>
      </c>
      <c r="T166" s="30">
        <f>IF(K166=1,'ORDENES'!$J162,"")</f>
        <v/>
      </c>
      <c r="U166" s="24">
        <f>IFERROR(MATCH(159,$M$8:$M$1207,0),"")</f>
        <v/>
      </c>
      <c r="V166" s="24">
        <f>IF(U166="","",INDEX('ORDENES'!$S$4:$S$1203,U166))</f>
        <v/>
      </c>
      <c r="W166" s="24">
        <f>IF(U166="","",IF(V166&lt;&gt;V165,CHAR(10)&amp;UPPER(LEFT(V166,1))&amp;MID(V166,2,20)&amp;":"&amp;CHAR(10),"")&amp;"   "&amp;IF(INDEX('ORDENES'!$AI$4:$AI$1203,U166)="","(s/t)",INDEX('ORDENES'!$AI$4:$AI$1203,U166))&amp;" · "&amp;IF(INDEX('ORDENES'!$AH$4:$AH$1203,U166)="","(sin técnico)",INDEX('ORDENES'!$AH$4:$AH$1203,U166))&amp;" · "&amp;INDEX('ORDENES'!$AU$4:$AU$1203,U166)&amp;" — "&amp;INDEX('ORDENES'!$D$4:$D$1203,U166)&amp;" ("&amp;TEXT(INDEX('ORDENES'!$M$4:$M$1203,U166),"0.#")&amp;" h)")</f>
        <v/>
      </c>
    </row>
    <row r="167">
      <c r="K167" s="24">
        <f>IF(AND(IF($B$3="(todos)",TRUE,'ORDENES'!$O163=$B$3),IF($D$3="(todos)",TRUE,'ORDENES'!$AI163=$D$3),IF($F$3="(todos)",TRUE,'ORDENES'!$AA163=$F$3),IF($H$3="(todos)",TRUE,'ORDENES'!$Z163=$H$3),'ORDENES'!$AG163=TRUE,'ORDENES'!$A163&lt;&gt;""),1,0)</f>
        <v/>
      </c>
      <c r="L167" s="24">
        <f>IF(K167=1,IFERROR(MATCH('ORDENES'!$S163,lista_dias,0),9)*1000000000+IFERROR(MATCH('ORDENES'!$AI163,lista_turnos,0),9)*10000000+IFERROR(MATCH('ORDENES'!$AH163,'TECNICOS'!$B$4:$B$19,0),99)*100000+160,9000000000000+160)</f>
        <v/>
      </c>
      <c r="M167" s="24">
        <f>IF(K167=1,SUMPRODUCT(--($L$8:$L$1207&lt;L167))+1,"")</f>
        <v/>
      </c>
      <c r="N167" s="25">
        <f>IF(K167=1,N('ORDENES'!$M163),0)</f>
        <v/>
      </c>
      <c r="O167" s="25">
        <f>IF('ORDENES'!$U163="preventiva",N167,0)</f>
        <v/>
      </c>
      <c r="P167" s="25">
        <f>IF('ORDENES'!$U163="correctiva",N167,0)</f>
        <v/>
      </c>
      <c r="Q167" s="24">
        <f>IF(AND(K167=1,'ORDENES'!$N163="Pendiente"),1,0)</f>
        <v/>
      </c>
      <c r="R167" s="24">
        <f>IF(Q167=1,100000-N167*1000+160*0.01,9000000000000+160)</f>
        <v/>
      </c>
      <c r="S167" s="24">
        <f>IF(Q167=1,SUMPRODUCT(--($R$8:$R$1207&lt;R167))+1,"")</f>
        <v/>
      </c>
      <c r="T167" s="30">
        <f>IF(K167=1,'ORDENES'!$J163,"")</f>
        <v/>
      </c>
      <c r="U167" s="24">
        <f>IFERROR(MATCH(160,$M$8:$M$1207,0),"")</f>
        <v/>
      </c>
      <c r="V167" s="24">
        <f>IF(U167="","",INDEX('ORDENES'!$S$4:$S$1203,U167))</f>
        <v/>
      </c>
      <c r="W167" s="24">
        <f>IF(U167="","",IF(V167&lt;&gt;V166,CHAR(10)&amp;UPPER(LEFT(V167,1))&amp;MID(V167,2,20)&amp;":"&amp;CHAR(10),"")&amp;"   "&amp;IF(INDEX('ORDENES'!$AI$4:$AI$1203,U167)="","(s/t)",INDEX('ORDENES'!$AI$4:$AI$1203,U167))&amp;" · "&amp;IF(INDEX('ORDENES'!$AH$4:$AH$1203,U167)="","(sin técnico)",INDEX('ORDENES'!$AH$4:$AH$1203,U167))&amp;" · "&amp;INDEX('ORDENES'!$AU$4:$AU$1203,U167)&amp;" — "&amp;INDEX('ORDENES'!$D$4:$D$1203,U167)&amp;" ("&amp;TEXT(INDEX('ORDENES'!$M$4:$M$1203,U167),"0.#")&amp;" h)")</f>
        <v/>
      </c>
    </row>
    <row r="168">
      <c r="K168" s="24">
        <f>IF(AND(IF($B$3="(todos)",TRUE,'ORDENES'!$O164=$B$3),IF($D$3="(todos)",TRUE,'ORDENES'!$AI164=$D$3),IF($F$3="(todos)",TRUE,'ORDENES'!$AA164=$F$3),IF($H$3="(todos)",TRUE,'ORDENES'!$Z164=$H$3),'ORDENES'!$AG164=TRUE,'ORDENES'!$A164&lt;&gt;""),1,0)</f>
        <v/>
      </c>
      <c r="L168" s="24">
        <f>IF(K168=1,IFERROR(MATCH('ORDENES'!$S164,lista_dias,0),9)*1000000000+IFERROR(MATCH('ORDENES'!$AI164,lista_turnos,0),9)*10000000+IFERROR(MATCH('ORDENES'!$AH164,'TECNICOS'!$B$4:$B$19,0),99)*100000+161,9000000000000+161)</f>
        <v/>
      </c>
      <c r="M168" s="24">
        <f>IF(K168=1,SUMPRODUCT(--($L$8:$L$1207&lt;L168))+1,"")</f>
        <v/>
      </c>
      <c r="N168" s="25">
        <f>IF(K168=1,N('ORDENES'!$M164),0)</f>
        <v/>
      </c>
      <c r="O168" s="25">
        <f>IF('ORDENES'!$U164="preventiva",N168,0)</f>
        <v/>
      </c>
      <c r="P168" s="25">
        <f>IF('ORDENES'!$U164="correctiva",N168,0)</f>
        <v/>
      </c>
      <c r="Q168" s="24">
        <f>IF(AND(K168=1,'ORDENES'!$N164="Pendiente"),1,0)</f>
        <v/>
      </c>
      <c r="R168" s="24">
        <f>IF(Q168=1,100000-N168*1000+161*0.01,9000000000000+161)</f>
        <v/>
      </c>
      <c r="S168" s="24">
        <f>IF(Q168=1,SUMPRODUCT(--($R$8:$R$1207&lt;R168))+1,"")</f>
        <v/>
      </c>
      <c r="T168" s="30">
        <f>IF(K168=1,'ORDENES'!$J164,"")</f>
        <v/>
      </c>
      <c r="U168" s="24">
        <f>IFERROR(MATCH(161,$M$8:$M$1207,0),"")</f>
        <v/>
      </c>
      <c r="V168" s="24">
        <f>IF(U168="","",INDEX('ORDENES'!$S$4:$S$1203,U168))</f>
        <v/>
      </c>
      <c r="W168" s="24">
        <f>IF(U168="","",IF(V168&lt;&gt;V167,CHAR(10)&amp;UPPER(LEFT(V168,1))&amp;MID(V168,2,20)&amp;":"&amp;CHAR(10),"")&amp;"   "&amp;IF(INDEX('ORDENES'!$AI$4:$AI$1203,U168)="","(s/t)",INDEX('ORDENES'!$AI$4:$AI$1203,U168))&amp;" · "&amp;IF(INDEX('ORDENES'!$AH$4:$AH$1203,U168)="","(sin técnico)",INDEX('ORDENES'!$AH$4:$AH$1203,U168))&amp;" · "&amp;INDEX('ORDENES'!$AU$4:$AU$1203,U168)&amp;" — "&amp;INDEX('ORDENES'!$D$4:$D$1203,U168)&amp;" ("&amp;TEXT(INDEX('ORDENES'!$M$4:$M$1203,U168),"0.#")&amp;" h)")</f>
        <v/>
      </c>
    </row>
    <row r="169">
      <c r="K169" s="24">
        <f>IF(AND(IF($B$3="(todos)",TRUE,'ORDENES'!$O165=$B$3),IF($D$3="(todos)",TRUE,'ORDENES'!$AI165=$D$3),IF($F$3="(todos)",TRUE,'ORDENES'!$AA165=$F$3),IF($H$3="(todos)",TRUE,'ORDENES'!$Z165=$H$3),'ORDENES'!$AG165=TRUE,'ORDENES'!$A165&lt;&gt;""),1,0)</f>
        <v/>
      </c>
      <c r="L169" s="24">
        <f>IF(K169=1,IFERROR(MATCH('ORDENES'!$S165,lista_dias,0),9)*1000000000+IFERROR(MATCH('ORDENES'!$AI165,lista_turnos,0),9)*10000000+IFERROR(MATCH('ORDENES'!$AH165,'TECNICOS'!$B$4:$B$19,0),99)*100000+162,9000000000000+162)</f>
        <v/>
      </c>
      <c r="M169" s="24">
        <f>IF(K169=1,SUMPRODUCT(--($L$8:$L$1207&lt;L169))+1,"")</f>
        <v/>
      </c>
      <c r="N169" s="25">
        <f>IF(K169=1,N('ORDENES'!$M165),0)</f>
        <v/>
      </c>
      <c r="O169" s="25">
        <f>IF('ORDENES'!$U165="preventiva",N169,0)</f>
        <v/>
      </c>
      <c r="P169" s="25">
        <f>IF('ORDENES'!$U165="correctiva",N169,0)</f>
        <v/>
      </c>
      <c r="Q169" s="24">
        <f>IF(AND(K169=1,'ORDENES'!$N165="Pendiente"),1,0)</f>
        <v/>
      </c>
      <c r="R169" s="24">
        <f>IF(Q169=1,100000-N169*1000+162*0.01,9000000000000+162)</f>
        <v/>
      </c>
      <c r="S169" s="24">
        <f>IF(Q169=1,SUMPRODUCT(--($R$8:$R$1207&lt;R169))+1,"")</f>
        <v/>
      </c>
      <c r="T169" s="30">
        <f>IF(K169=1,'ORDENES'!$J165,"")</f>
        <v/>
      </c>
      <c r="U169" s="24">
        <f>IFERROR(MATCH(162,$M$8:$M$1207,0),"")</f>
        <v/>
      </c>
      <c r="V169" s="24">
        <f>IF(U169="","",INDEX('ORDENES'!$S$4:$S$1203,U169))</f>
        <v/>
      </c>
      <c r="W169" s="24">
        <f>IF(U169="","",IF(V169&lt;&gt;V168,CHAR(10)&amp;UPPER(LEFT(V169,1))&amp;MID(V169,2,20)&amp;":"&amp;CHAR(10),"")&amp;"   "&amp;IF(INDEX('ORDENES'!$AI$4:$AI$1203,U169)="","(s/t)",INDEX('ORDENES'!$AI$4:$AI$1203,U169))&amp;" · "&amp;IF(INDEX('ORDENES'!$AH$4:$AH$1203,U169)="","(sin técnico)",INDEX('ORDENES'!$AH$4:$AH$1203,U169))&amp;" · "&amp;INDEX('ORDENES'!$AU$4:$AU$1203,U169)&amp;" — "&amp;INDEX('ORDENES'!$D$4:$D$1203,U169)&amp;" ("&amp;TEXT(INDEX('ORDENES'!$M$4:$M$1203,U169),"0.#")&amp;" h)")</f>
        <v/>
      </c>
    </row>
    <row r="170">
      <c r="K170" s="24">
        <f>IF(AND(IF($B$3="(todos)",TRUE,'ORDENES'!$O166=$B$3),IF($D$3="(todos)",TRUE,'ORDENES'!$AI166=$D$3),IF($F$3="(todos)",TRUE,'ORDENES'!$AA166=$F$3),IF($H$3="(todos)",TRUE,'ORDENES'!$Z166=$H$3),'ORDENES'!$AG166=TRUE,'ORDENES'!$A166&lt;&gt;""),1,0)</f>
        <v/>
      </c>
      <c r="L170" s="24">
        <f>IF(K170=1,IFERROR(MATCH('ORDENES'!$S166,lista_dias,0),9)*1000000000+IFERROR(MATCH('ORDENES'!$AI166,lista_turnos,0),9)*10000000+IFERROR(MATCH('ORDENES'!$AH166,'TECNICOS'!$B$4:$B$19,0),99)*100000+163,9000000000000+163)</f>
        <v/>
      </c>
      <c r="M170" s="24">
        <f>IF(K170=1,SUMPRODUCT(--($L$8:$L$1207&lt;L170))+1,"")</f>
        <v/>
      </c>
      <c r="N170" s="25">
        <f>IF(K170=1,N('ORDENES'!$M166),0)</f>
        <v/>
      </c>
      <c r="O170" s="25">
        <f>IF('ORDENES'!$U166="preventiva",N170,0)</f>
        <v/>
      </c>
      <c r="P170" s="25">
        <f>IF('ORDENES'!$U166="correctiva",N170,0)</f>
        <v/>
      </c>
      <c r="Q170" s="24">
        <f>IF(AND(K170=1,'ORDENES'!$N166="Pendiente"),1,0)</f>
        <v/>
      </c>
      <c r="R170" s="24">
        <f>IF(Q170=1,100000-N170*1000+163*0.01,9000000000000+163)</f>
        <v/>
      </c>
      <c r="S170" s="24">
        <f>IF(Q170=1,SUMPRODUCT(--($R$8:$R$1207&lt;R170))+1,"")</f>
        <v/>
      </c>
      <c r="T170" s="30">
        <f>IF(K170=1,'ORDENES'!$J166,"")</f>
        <v/>
      </c>
      <c r="U170" s="24">
        <f>IFERROR(MATCH(163,$M$8:$M$1207,0),"")</f>
        <v/>
      </c>
      <c r="V170" s="24">
        <f>IF(U170="","",INDEX('ORDENES'!$S$4:$S$1203,U170))</f>
        <v/>
      </c>
      <c r="W170" s="24">
        <f>IF(U170="","",IF(V170&lt;&gt;V169,CHAR(10)&amp;UPPER(LEFT(V170,1))&amp;MID(V170,2,20)&amp;":"&amp;CHAR(10),"")&amp;"   "&amp;IF(INDEX('ORDENES'!$AI$4:$AI$1203,U170)="","(s/t)",INDEX('ORDENES'!$AI$4:$AI$1203,U170))&amp;" · "&amp;IF(INDEX('ORDENES'!$AH$4:$AH$1203,U170)="","(sin técnico)",INDEX('ORDENES'!$AH$4:$AH$1203,U170))&amp;" · "&amp;INDEX('ORDENES'!$AU$4:$AU$1203,U170)&amp;" — "&amp;INDEX('ORDENES'!$D$4:$D$1203,U170)&amp;" ("&amp;TEXT(INDEX('ORDENES'!$M$4:$M$1203,U170),"0.#")&amp;" h)")</f>
        <v/>
      </c>
    </row>
    <row r="171">
      <c r="K171" s="24">
        <f>IF(AND(IF($B$3="(todos)",TRUE,'ORDENES'!$O167=$B$3),IF($D$3="(todos)",TRUE,'ORDENES'!$AI167=$D$3),IF($F$3="(todos)",TRUE,'ORDENES'!$AA167=$F$3),IF($H$3="(todos)",TRUE,'ORDENES'!$Z167=$H$3),'ORDENES'!$AG167=TRUE,'ORDENES'!$A167&lt;&gt;""),1,0)</f>
        <v/>
      </c>
      <c r="L171" s="24">
        <f>IF(K171=1,IFERROR(MATCH('ORDENES'!$S167,lista_dias,0),9)*1000000000+IFERROR(MATCH('ORDENES'!$AI167,lista_turnos,0),9)*10000000+IFERROR(MATCH('ORDENES'!$AH167,'TECNICOS'!$B$4:$B$19,0),99)*100000+164,9000000000000+164)</f>
        <v/>
      </c>
      <c r="M171" s="24">
        <f>IF(K171=1,SUMPRODUCT(--($L$8:$L$1207&lt;L171))+1,"")</f>
        <v/>
      </c>
      <c r="N171" s="25">
        <f>IF(K171=1,N('ORDENES'!$M167),0)</f>
        <v/>
      </c>
      <c r="O171" s="25">
        <f>IF('ORDENES'!$U167="preventiva",N171,0)</f>
        <v/>
      </c>
      <c r="P171" s="25">
        <f>IF('ORDENES'!$U167="correctiva",N171,0)</f>
        <v/>
      </c>
      <c r="Q171" s="24">
        <f>IF(AND(K171=1,'ORDENES'!$N167="Pendiente"),1,0)</f>
        <v/>
      </c>
      <c r="R171" s="24">
        <f>IF(Q171=1,100000-N171*1000+164*0.01,9000000000000+164)</f>
        <v/>
      </c>
      <c r="S171" s="24">
        <f>IF(Q171=1,SUMPRODUCT(--($R$8:$R$1207&lt;R171))+1,"")</f>
        <v/>
      </c>
      <c r="T171" s="30">
        <f>IF(K171=1,'ORDENES'!$J167,"")</f>
        <v/>
      </c>
      <c r="U171" s="24">
        <f>IFERROR(MATCH(164,$M$8:$M$1207,0),"")</f>
        <v/>
      </c>
      <c r="V171" s="24">
        <f>IF(U171="","",INDEX('ORDENES'!$S$4:$S$1203,U171))</f>
        <v/>
      </c>
      <c r="W171" s="24">
        <f>IF(U171="","",IF(V171&lt;&gt;V170,CHAR(10)&amp;UPPER(LEFT(V171,1))&amp;MID(V171,2,20)&amp;":"&amp;CHAR(10),"")&amp;"   "&amp;IF(INDEX('ORDENES'!$AI$4:$AI$1203,U171)="","(s/t)",INDEX('ORDENES'!$AI$4:$AI$1203,U171))&amp;" · "&amp;IF(INDEX('ORDENES'!$AH$4:$AH$1203,U171)="","(sin técnico)",INDEX('ORDENES'!$AH$4:$AH$1203,U171))&amp;" · "&amp;INDEX('ORDENES'!$AU$4:$AU$1203,U171)&amp;" — "&amp;INDEX('ORDENES'!$D$4:$D$1203,U171)&amp;" ("&amp;TEXT(INDEX('ORDENES'!$M$4:$M$1203,U171),"0.#")&amp;" h)")</f>
        <v/>
      </c>
    </row>
    <row r="172">
      <c r="K172" s="24">
        <f>IF(AND(IF($B$3="(todos)",TRUE,'ORDENES'!$O168=$B$3),IF($D$3="(todos)",TRUE,'ORDENES'!$AI168=$D$3),IF($F$3="(todos)",TRUE,'ORDENES'!$AA168=$F$3),IF($H$3="(todos)",TRUE,'ORDENES'!$Z168=$H$3),'ORDENES'!$AG168=TRUE,'ORDENES'!$A168&lt;&gt;""),1,0)</f>
        <v/>
      </c>
      <c r="L172" s="24">
        <f>IF(K172=1,IFERROR(MATCH('ORDENES'!$S168,lista_dias,0),9)*1000000000+IFERROR(MATCH('ORDENES'!$AI168,lista_turnos,0),9)*10000000+IFERROR(MATCH('ORDENES'!$AH168,'TECNICOS'!$B$4:$B$19,0),99)*100000+165,9000000000000+165)</f>
        <v/>
      </c>
      <c r="M172" s="24">
        <f>IF(K172=1,SUMPRODUCT(--($L$8:$L$1207&lt;L172))+1,"")</f>
        <v/>
      </c>
      <c r="N172" s="25">
        <f>IF(K172=1,N('ORDENES'!$M168),0)</f>
        <v/>
      </c>
      <c r="O172" s="25">
        <f>IF('ORDENES'!$U168="preventiva",N172,0)</f>
        <v/>
      </c>
      <c r="P172" s="25">
        <f>IF('ORDENES'!$U168="correctiva",N172,0)</f>
        <v/>
      </c>
      <c r="Q172" s="24">
        <f>IF(AND(K172=1,'ORDENES'!$N168="Pendiente"),1,0)</f>
        <v/>
      </c>
      <c r="R172" s="24">
        <f>IF(Q172=1,100000-N172*1000+165*0.01,9000000000000+165)</f>
        <v/>
      </c>
      <c r="S172" s="24">
        <f>IF(Q172=1,SUMPRODUCT(--($R$8:$R$1207&lt;R172))+1,"")</f>
        <v/>
      </c>
      <c r="T172" s="30">
        <f>IF(K172=1,'ORDENES'!$J168,"")</f>
        <v/>
      </c>
      <c r="U172" s="24">
        <f>IFERROR(MATCH(165,$M$8:$M$1207,0),"")</f>
        <v/>
      </c>
      <c r="V172" s="24">
        <f>IF(U172="","",INDEX('ORDENES'!$S$4:$S$1203,U172))</f>
        <v/>
      </c>
      <c r="W172" s="24">
        <f>IF(U172="","",IF(V172&lt;&gt;V171,CHAR(10)&amp;UPPER(LEFT(V172,1))&amp;MID(V172,2,20)&amp;":"&amp;CHAR(10),"")&amp;"   "&amp;IF(INDEX('ORDENES'!$AI$4:$AI$1203,U172)="","(s/t)",INDEX('ORDENES'!$AI$4:$AI$1203,U172))&amp;" · "&amp;IF(INDEX('ORDENES'!$AH$4:$AH$1203,U172)="","(sin técnico)",INDEX('ORDENES'!$AH$4:$AH$1203,U172))&amp;" · "&amp;INDEX('ORDENES'!$AU$4:$AU$1203,U172)&amp;" — "&amp;INDEX('ORDENES'!$D$4:$D$1203,U172)&amp;" ("&amp;TEXT(INDEX('ORDENES'!$M$4:$M$1203,U172),"0.#")&amp;" h)")</f>
        <v/>
      </c>
    </row>
    <row r="173">
      <c r="K173" s="24">
        <f>IF(AND(IF($B$3="(todos)",TRUE,'ORDENES'!$O169=$B$3),IF($D$3="(todos)",TRUE,'ORDENES'!$AI169=$D$3),IF($F$3="(todos)",TRUE,'ORDENES'!$AA169=$F$3),IF($H$3="(todos)",TRUE,'ORDENES'!$Z169=$H$3),'ORDENES'!$AG169=TRUE,'ORDENES'!$A169&lt;&gt;""),1,0)</f>
        <v/>
      </c>
      <c r="L173" s="24">
        <f>IF(K173=1,IFERROR(MATCH('ORDENES'!$S169,lista_dias,0),9)*1000000000+IFERROR(MATCH('ORDENES'!$AI169,lista_turnos,0),9)*10000000+IFERROR(MATCH('ORDENES'!$AH169,'TECNICOS'!$B$4:$B$19,0),99)*100000+166,9000000000000+166)</f>
        <v/>
      </c>
      <c r="M173" s="24">
        <f>IF(K173=1,SUMPRODUCT(--($L$8:$L$1207&lt;L173))+1,"")</f>
        <v/>
      </c>
      <c r="N173" s="25">
        <f>IF(K173=1,N('ORDENES'!$M169),0)</f>
        <v/>
      </c>
      <c r="O173" s="25">
        <f>IF('ORDENES'!$U169="preventiva",N173,0)</f>
        <v/>
      </c>
      <c r="P173" s="25">
        <f>IF('ORDENES'!$U169="correctiva",N173,0)</f>
        <v/>
      </c>
      <c r="Q173" s="24">
        <f>IF(AND(K173=1,'ORDENES'!$N169="Pendiente"),1,0)</f>
        <v/>
      </c>
      <c r="R173" s="24">
        <f>IF(Q173=1,100000-N173*1000+166*0.01,9000000000000+166)</f>
        <v/>
      </c>
      <c r="S173" s="24">
        <f>IF(Q173=1,SUMPRODUCT(--($R$8:$R$1207&lt;R173))+1,"")</f>
        <v/>
      </c>
      <c r="T173" s="30">
        <f>IF(K173=1,'ORDENES'!$J169,"")</f>
        <v/>
      </c>
      <c r="U173" s="24">
        <f>IFERROR(MATCH(166,$M$8:$M$1207,0),"")</f>
        <v/>
      </c>
      <c r="V173" s="24">
        <f>IF(U173="","",INDEX('ORDENES'!$S$4:$S$1203,U173))</f>
        <v/>
      </c>
      <c r="W173" s="24">
        <f>IF(U173="","",IF(V173&lt;&gt;V172,CHAR(10)&amp;UPPER(LEFT(V173,1))&amp;MID(V173,2,20)&amp;":"&amp;CHAR(10),"")&amp;"   "&amp;IF(INDEX('ORDENES'!$AI$4:$AI$1203,U173)="","(s/t)",INDEX('ORDENES'!$AI$4:$AI$1203,U173))&amp;" · "&amp;IF(INDEX('ORDENES'!$AH$4:$AH$1203,U173)="","(sin técnico)",INDEX('ORDENES'!$AH$4:$AH$1203,U173))&amp;" · "&amp;INDEX('ORDENES'!$AU$4:$AU$1203,U173)&amp;" — "&amp;INDEX('ORDENES'!$D$4:$D$1203,U173)&amp;" ("&amp;TEXT(INDEX('ORDENES'!$M$4:$M$1203,U173),"0.#")&amp;" h)")</f>
        <v/>
      </c>
    </row>
    <row r="174">
      <c r="K174" s="24">
        <f>IF(AND(IF($B$3="(todos)",TRUE,'ORDENES'!$O170=$B$3),IF($D$3="(todos)",TRUE,'ORDENES'!$AI170=$D$3),IF($F$3="(todos)",TRUE,'ORDENES'!$AA170=$F$3),IF($H$3="(todos)",TRUE,'ORDENES'!$Z170=$H$3),'ORDENES'!$AG170=TRUE,'ORDENES'!$A170&lt;&gt;""),1,0)</f>
        <v/>
      </c>
      <c r="L174" s="24">
        <f>IF(K174=1,IFERROR(MATCH('ORDENES'!$S170,lista_dias,0),9)*1000000000+IFERROR(MATCH('ORDENES'!$AI170,lista_turnos,0),9)*10000000+IFERROR(MATCH('ORDENES'!$AH170,'TECNICOS'!$B$4:$B$19,0),99)*100000+167,9000000000000+167)</f>
        <v/>
      </c>
      <c r="M174" s="24">
        <f>IF(K174=1,SUMPRODUCT(--($L$8:$L$1207&lt;L174))+1,"")</f>
        <v/>
      </c>
      <c r="N174" s="25">
        <f>IF(K174=1,N('ORDENES'!$M170),0)</f>
        <v/>
      </c>
      <c r="O174" s="25">
        <f>IF('ORDENES'!$U170="preventiva",N174,0)</f>
        <v/>
      </c>
      <c r="P174" s="25">
        <f>IF('ORDENES'!$U170="correctiva",N174,0)</f>
        <v/>
      </c>
      <c r="Q174" s="24">
        <f>IF(AND(K174=1,'ORDENES'!$N170="Pendiente"),1,0)</f>
        <v/>
      </c>
      <c r="R174" s="24">
        <f>IF(Q174=1,100000-N174*1000+167*0.01,9000000000000+167)</f>
        <v/>
      </c>
      <c r="S174" s="24">
        <f>IF(Q174=1,SUMPRODUCT(--($R$8:$R$1207&lt;R174))+1,"")</f>
        <v/>
      </c>
      <c r="T174" s="30">
        <f>IF(K174=1,'ORDENES'!$J170,"")</f>
        <v/>
      </c>
      <c r="U174" s="24">
        <f>IFERROR(MATCH(167,$M$8:$M$1207,0),"")</f>
        <v/>
      </c>
      <c r="V174" s="24">
        <f>IF(U174="","",INDEX('ORDENES'!$S$4:$S$1203,U174))</f>
        <v/>
      </c>
      <c r="W174" s="24">
        <f>IF(U174="","",IF(V174&lt;&gt;V173,CHAR(10)&amp;UPPER(LEFT(V174,1))&amp;MID(V174,2,20)&amp;":"&amp;CHAR(10),"")&amp;"   "&amp;IF(INDEX('ORDENES'!$AI$4:$AI$1203,U174)="","(s/t)",INDEX('ORDENES'!$AI$4:$AI$1203,U174))&amp;" · "&amp;IF(INDEX('ORDENES'!$AH$4:$AH$1203,U174)="","(sin técnico)",INDEX('ORDENES'!$AH$4:$AH$1203,U174))&amp;" · "&amp;INDEX('ORDENES'!$AU$4:$AU$1203,U174)&amp;" — "&amp;INDEX('ORDENES'!$D$4:$D$1203,U174)&amp;" ("&amp;TEXT(INDEX('ORDENES'!$M$4:$M$1203,U174),"0.#")&amp;" h)")</f>
        <v/>
      </c>
    </row>
    <row r="175">
      <c r="K175" s="24">
        <f>IF(AND(IF($B$3="(todos)",TRUE,'ORDENES'!$O171=$B$3),IF($D$3="(todos)",TRUE,'ORDENES'!$AI171=$D$3),IF($F$3="(todos)",TRUE,'ORDENES'!$AA171=$F$3),IF($H$3="(todos)",TRUE,'ORDENES'!$Z171=$H$3),'ORDENES'!$AG171=TRUE,'ORDENES'!$A171&lt;&gt;""),1,0)</f>
        <v/>
      </c>
      <c r="L175" s="24">
        <f>IF(K175=1,IFERROR(MATCH('ORDENES'!$S171,lista_dias,0),9)*1000000000+IFERROR(MATCH('ORDENES'!$AI171,lista_turnos,0),9)*10000000+IFERROR(MATCH('ORDENES'!$AH171,'TECNICOS'!$B$4:$B$19,0),99)*100000+168,9000000000000+168)</f>
        <v/>
      </c>
      <c r="M175" s="24">
        <f>IF(K175=1,SUMPRODUCT(--($L$8:$L$1207&lt;L175))+1,"")</f>
        <v/>
      </c>
      <c r="N175" s="25">
        <f>IF(K175=1,N('ORDENES'!$M171),0)</f>
        <v/>
      </c>
      <c r="O175" s="25">
        <f>IF('ORDENES'!$U171="preventiva",N175,0)</f>
        <v/>
      </c>
      <c r="P175" s="25">
        <f>IF('ORDENES'!$U171="correctiva",N175,0)</f>
        <v/>
      </c>
      <c r="Q175" s="24">
        <f>IF(AND(K175=1,'ORDENES'!$N171="Pendiente"),1,0)</f>
        <v/>
      </c>
      <c r="R175" s="24">
        <f>IF(Q175=1,100000-N175*1000+168*0.01,9000000000000+168)</f>
        <v/>
      </c>
      <c r="S175" s="24">
        <f>IF(Q175=1,SUMPRODUCT(--($R$8:$R$1207&lt;R175))+1,"")</f>
        <v/>
      </c>
      <c r="T175" s="30">
        <f>IF(K175=1,'ORDENES'!$J171,"")</f>
        <v/>
      </c>
      <c r="U175" s="24">
        <f>IFERROR(MATCH(168,$M$8:$M$1207,0),"")</f>
        <v/>
      </c>
      <c r="V175" s="24">
        <f>IF(U175="","",INDEX('ORDENES'!$S$4:$S$1203,U175))</f>
        <v/>
      </c>
      <c r="W175" s="24">
        <f>IF(U175="","",IF(V175&lt;&gt;V174,CHAR(10)&amp;UPPER(LEFT(V175,1))&amp;MID(V175,2,20)&amp;":"&amp;CHAR(10),"")&amp;"   "&amp;IF(INDEX('ORDENES'!$AI$4:$AI$1203,U175)="","(s/t)",INDEX('ORDENES'!$AI$4:$AI$1203,U175))&amp;" · "&amp;IF(INDEX('ORDENES'!$AH$4:$AH$1203,U175)="","(sin técnico)",INDEX('ORDENES'!$AH$4:$AH$1203,U175))&amp;" · "&amp;INDEX('ORDENES'!$AU$4:$AU$1203,U175)&amp;" — "&amp;INDEX('ORDENES'!$D$4:$D$1203,U175)&amp;" ("&amp;TEXT(INDEX('ORDENES'!$M$4:$M$1203,U175),"0.#")&amp;" h)")</f>
        <v/>
      </c>
    </row>
    <row r="176">
      <c r="K176" s="24">
        <f>IF(AND(IF($B$3="(todos)",TRUE,'ORDENES'!$O172=$B$3),IF($D$3="(todos)",TRUE,'ORDENES'!$AI172=$D$3),IF($F$3="(todos)",TRUE,'ORDENES'!$AA172=$F$3),IF($H$3="(todos)",TRUE,'ORDENES'!$Z172=$H$3),'ORDENES'!$AG172=TRUE,'ORDENES'!$A172&lt;&gt;""),1,0)</f>
        <v/>
      </c>
      <c r="L176" s="24">
        <f>IF(K176=1,IFERROR(MATCH('ORDENES'!$S172,lista_dias,0),9)*1000000000+IFERROR(MATCH('ORDENES'!$AI172,lista_turnos,0),9)*10000000+IFERROR(MATCH('ORDENES'!$AH172,'TECNICOS'!$B$4:$B$19,0),99)*100000+169,9000000000000+169)</f>
        <v/>
      </c>
      <c r="M176" s="24">
        <f>IF(K176=1,SUMPRODUCT(--($L$8:$L$1207&lt;L176))+1,"")</f>
        <v/>
      </c>
      <c r="N176" s="25">
        <f>IF(K176=1,N('ORDENES'!$M172),0)</f>
        <v/>
      </c>
      <c r="O176" s="25">
        <f>IF('ORDENES'!$U172="preventiva",N176,0)</f>
        <v/>
      </c>
      <c r="P176" s="25">
        <f>IF('ORDENES'!$U172="correctiva",N176,0)</f>
        <v/>
      </c>
      <c r="Q176" s="24">
        <f>IF(AND(K176=1,'ORDENES'!$N172="Pendiente"),1,0)</f>
        <v/>
      </c>
      <c r="R176" s="24">
        <f>IF(Q176=1,100000-N176*1000+169*0.01,9000000000000+169)</f>
        <v/>
      </c>
      <c r="S176" s="24">
        <f>IF(Q176=1,SUMPRODUCT(--($R$8:$R$1207&lt;R176))+1,"")</f>
        <v/>
      </c>
      <c r="T176" s="30">
        <f>IF(K176=1,'ORDENES'!$J172,"")</f>
        <v/>
      </c>
      <c r="U176" s="24">
        <f>IFERROR(MATCH(169,$M$8:$M$1207,0),"")</f>
        <v/>
      </c>
      <c r="V176" s="24">
        <f>IF(U176="","",INDEX('ORDENES'!$S$4:$S$1203,U176))</f>
        <v/>
      </c>
      <c r="W176" s="24">
        <f>IF(U176="","",IF(V176&lt;&gt;V175,CHAR(10)&amp;UPPER(LEFT(V176,1))&amp;MID(V176,2,20)&amp;":"&amp;CHAR(10),"")&amp;"   "&amp;IF(INDEX('ORDENES'!$AI$4:$AI$1203,U176)="","(s/t)",INDEX('ORDENES'!$AI$4:$AI$1203,U176))&amp;" · "&amp;IF(INDEX('ORDENES'!$AH$4:$AH$1203,U176)="","(sin técnico)",INDEX('ORDENES'!$AH$4:$AH$1203,U176))&amp;" · "&amp;INDEX('ORDENES'!$AU$4:$AU$1203,U176)&amp;" — "&amp;INDEX('ORDENES'!$D$4:$D$1203,U176)&amp;" ("&amp;TEXT(INDEX('ORDENES'!$M$4:$M$1203,U176),"0.#")&amp;" h)")</f>
        <v/>
      </c>
    </row>
    <row r="177">
      <c r="K177" s="24">
        <f>IF(AND(IF($B$3="(todos)",TRUE,'ORDENES'!$O173=$B$3),IF($D$3="(todos)",TRUE,'ORDENES'!$AI173=$D$3),IF($F$3="(todos)",TRUE,'ORDENES'!$AA173=$F$3),IF($H$3="(todos)",TRUE,'ORDENES'!$Z173=$H$3),'ORDENES'!$AG173=TRUE,'ORDENES'!$A173&lt;&gt;""),1,0)</f>
        <v/>
      </c>
      <c r="L177" s="24">
        <f>IF(K177=1,IFERROR(MATCH('ORDENES'!$S173,lista_dias,0),9)*1000000000+IFERROR(MATCH('ORDENES'!$AI173,lista_turnos,0),9)*10000000+IFERROR(MATCH('ORDENES'!$AH173,'TECNICOS'!$B$4:$B$19,0),99)*100000+170,9000000000000+170)</f>
        <v/>
      </c>
      <c r="M177" s="24">
        <f>IF(K177=1,SUMPRODUCT(--($L$8:$L$1207&lt;L177))+1,"")</f>
        <v/>
      </c>
      <c r="N177" s="25">
        <f>IF(K177=1,N('ORDENES'!$M173),0)</f>
        <v/>
      </c>
      <c r="O177" s="25">
        <f>IF('ORDENES'!$U173="preventiva",N177,0)</f>
        <v/>
      </c>
      <c r="P177" s="25">
        <f>IF('ORDENES'!$U173="correctiva",N177,0)</f>
        <v/>
      </c>
      <c r="Q177" s="24">
        <f>IF(AND(K177=1,'ORDENES'!$N173="Pendiente"),1,0)</f>
        <v/>
      </c>
      <c r="R177" s="24">
        <f>IF(Q177=1,100000-N177*1000+170*0.01,9000000000000+170)</f>
        <v/>
      </c>
      <c r="S177" s="24">
        <f>IF(Q177=1,SUMPRODUCT(--($R$8:$R$1207&lt;R177))+1,"")</f>
        <v/>
      </c>
      <c r="T177" s="30">
        <f>IF(K177=1,'ORDENES'!$J173,"")</f>
        <v/>
      </c>
      <c r="U177" s="24">
        <f>IFERROR(MATCH(170,$M$8:$M$1207,0),"")</f>
        <v/>
      </c>
      <c r="V177" s="24">
        <f>IF(U177="","",INDEX('ORDENES'!$S$4:$S$1203,U177))</f>
        <v/>
      </c>
      <c r="W177" s="24">
        <f>IF(U177="","",IF(V177&lt;&gt;V176,CHAR(10)&amp;UPPER(LEFT(V177,1))&amp;MID(V177,2,20)&amp;":"&amp;CHAR(10),"")&amp;"   "&amp;IF(INDEX('ORDENES'!$AI$4:$AI$1203,U177)="","(s/t)",INDEX('ORDENES'!$AI$4:$AI$1203,U177))&amp;" · "&amp;IF(INDEX('ORDENES'!$AH$4:$AH$1203,U177)="","(sin técnico)",INDEX('ORDENES'!$AH$4:$AH$1203,U177))&amp;" · "&amp;INDEX('ORDENES'!$AU$4:$AU$1203,U177)&amp;" — "&amp;INDEX('ORDENES'!$D$4:$D$1203,U177)&amp;" ("&amp;TEXT(INDEX('ORDENES'!$M$4:$M$1203,U177),"0.#")&amp;" h)")</f>
        <v/>
      </c>
    </row>
    <row r="178">
      <c r="K178" s="24">
        <f>IF(AND(IF($B$3="(todos)",TRUE,'ORDENES'!$O174=$B$3),IF($D$3="(todos)",TRUE,'ORDENES'!$AI174=$D$3),IF($F$3="(todos)",TRUE,'ORDENES'!$AA174=$F$3),IF($H$3="(todos)",TRUE,'ORDENES'!$Z174=$H$3),'ORDENES'!$AG174=TRUE,'ORDENES'!$A174&lt;&gt;""),1,0)</f>
        <v/>
      </c>
      <c r="L178" s="24">
        <f>IF(K178=1,IFERROR(MATCH('ORDENES'!$S174,lista_dias,0),9)*1000000000+IFERROR(MATCH('ORDENES'!$AI174,lista_turnos,0),9)*10000000+IFERROR(MATCH('ORDENES'!$AH174,'TECNICOS'!$B$4:$B$19,0),99)*100000+171,9000000000000+171)</f>
        <v/>
      </c>
      <c r="M178" s="24">
        <f>IF(K178=1,SUMPRODUCT(--($L$8:$L$1207&lt;L178))+1,"")</f>
        <v/>
      </c>
      <c r="N178" s="25">
        <f>IF(K178=1,N('ORDENES'!$M174),0)</f>
        <v/>
      </c>
      <c r="O178" s="25">
        <f>IF('ORDENES'!$U174="preventiva",N178,0)</f>
        <v/>
      </c>
      <c r="P178" s="25">
        <f>IF('ORDENES'!$U174="correctiva",N178,0)</f>
        <v/>
      </c>
      <c r="Q178" s="24">
        <f>IF(AND(K178=1,'ORDENES'!$N174="Pendiente"),1,0)</f>
        <v/>
      </c>
      <c r="R178" s="24">
        <f>IF(Q178=1,100000-N178*1000+171*0.01,9000000000000+171)</f>
        <v/>
      </c>
      <c r="S178" s="24">
        <f>IF(Q178=1,SUMPRODUCT(--($R$8:$R$1207&lt;R178))+1,"")</f>
        <v/>
      </c>
      <c r="T178" s="30">
        <f>IF(K178=1,'ORDENES'!$J174,"")</f>
        <v/>
      </c>
      <c r="U178" s="24">
        <f>IFERROR(MATCH(171,$M$8:$M$1207,0),"")</f>
        <v/>
      </c>
      <c r="V178" s="24">
        <f>IF(U178="","",INDEX('ORDENES'!$S$4:$S$1203,U178))</f>
        <v/>
      </c>
      <c r="W178" s="24">
        <f>IF(U178="","",IF(V178&lt;&gt;V177,CHAR(10)&amp;UPPER(LEFT(V178,1))&amp;MID(V178,2,20)&amp;":"&amp;CHAR(10),"")&amp;"   "&amp;IF(INDEX('ORDENES'!$AI$4:$AI$1203,U178)="","(s/t)",INDEX('ORDENES'!$AI$4:$AI$1203,U178))&amp;" · "&amp;IF(INDEX('ORDENES'!$AH$4:$AH$1203,U178)="","(sin técnico)",INDEX('ORDENES'!$AH$4:$AH$1203,U178))&amp;" · "&amp;INDEX('ORDENES'!$AU$4:$AU$1203,U178)&amp;" — "&amp;INDEX('ORDENES'!$D$4:$D$1203,U178)&amp;" ("&amp;TEXT(INDEX('ORDENES'!$M$4:$M$1203,U178),"0.#")&amp;" h)")</f>
        <v/>
      </c>
    </row>
    <row r="179">
      <c r="K179" s="24">
        <f>IF(AND(IF($B$3="(todos)",TRUE,'ORDENES'!$O175=$B$3),IF($D$3="(todos)",TRUE,'ORDENES'!$AI175=$D$3),IF($F$3="(todos)",TRUE,'ORDENES'!$AA175=$F$3),IF($H$3="(todos)",TRUE,'ORDENES'!$Z175=$H$3),'ORDENES'!$AG175=TRUE,'ORDENES'!$A175&lt;&gt;""),1,0)</f>
        <v/>
      </c>
      <c r="L179" s="24">
        <f>IF(K179=1,IFERROR(MATCH('ORDENES'!$S175,lista_dias,0),9)*1000000000+IFERROR(MATCH('ORDENES'!$AI175,lista_turnos,0),9)*10000000+IFERROR(MATCH('ORDENES'!$AH175,'TECNICOS'!$B$4:$B$19,0),99)*100000+172,9000000000000+172)</f>
        <v/>
      </c>
      <c r="M179" s="24">
        <f>IF(K179=1,SUMPRODUCT(--($L$8:$L$1207&lt;L179))+1,"")</f>
        <v/>
      </c>
      <c r="N179" s="25">
        <f>IF(K179=1,N('ORDENES'!$M175),0)</f>
        <v/>
      </c>
      <c r="O179" s="25">
        <f>IF('ORDENES'!$U175="preventiva",N179,0)</f>
        <v/>
      </c>
      <c r="P179" s="25">
        <f>IF('ORDENES'!$U175="correctiva",N179,0)</f>
        <v/>
      </c>
      <c r="Q179" s="24">
        <f>IF(AND(K179=1,'ORDENES'!$N175="Pendiente"),1,0)</f>
        <v/>
      </c>
      <c r="R179" s="24">
        <f>IF(Q179=1,100000-N179*1000+172*0.01,9000000000000+172)</f>
        <v/>
      </c>
      <c r="S179" s="24">
        <f>IF(Q179=1,SUMPRODUCT(--($R$8:$R$1207&lt;R179))+1,"")</f>
        <v/>
      </c>
      <c r="T179" s="30">
        <f>IF(K179=1,'ORDENES'!$J175,"")</f>
        <v/>
      </c>
      <c r="U179" s="24">
        <f>IFERROR(MATCH(172,$M$8:$M$1207,0),"")</f>
        <v/>
      </c>
      <c r="V179" s="24">
        <f>IF(U179="","",INDEX('ORDENES'!$S$4:$S$1203,U179))</f>
        <v/>
      </c>
      <c r="W179" s="24">
        <f>IF(U179="","",IF(V179&lt;&gt;V178,CHAR(10)&amp;UPPER(LEFT(V179,1))&amp;MID(V179,2,20)&amp;":"&amp;CHAR(10),"")&amp;"   "&amp;IF(INDEX('ORDENES'!$AI$4:$AI$1203,U179)="","(s/t)",INDEX('ORDENES'!$AI$4:$AI$1203,U179))&amp;" · "&amp;IF(INDEX('ORDENES'!$AH$4:$AH$1203,U179)="","(sin técnico)",INDEX('ORDENES'!$AH$4:$AH$1203,U179))&amp;" · "&amp;INDEX('ORDENES'!$AU$4:$AU$1203,U179)&amp;" — "&amp;INDEX('ORDENES'!$D$4:$D$1203,U179)&amp;" ("&amp;TEXT(INDEX('ORDENES'!$M$4:$M$1203,U179),"0.#")&amp;" h)")</f>
        <v/>
      </c>
    </row>
    <row r="180">
      <c r="K180" s="24">
        <f>IF(AND(IF($B$3="(todos)",TRUE,'ORDENES'!$O176=$B$3),IF($D$3="(todos)",TRUE,'ORDENES'!$AI176=$D$3),IF($F$3="(todos)",TRUE,'ORDENES'!$AA176=$F$3),IF($H$3="(todos)",TRUE,'ORDENES'!$Z176=$H$3),'ORDENES'!$AG176=TRUE,'ORDENES'!$A176&lt;&gt;""),1,0)</f>
        <v/>
      </c>
      <c r="L180" s="24">
        <f>IF(K180=1,IFERROR(MATCH('ORDENES'!$S176,lista_dias,0),9)*1000000000+IFERROR(MATCH('ORDENES'!$AI176,lista_turnos,0),9)*10000000+IFERROR(MATCH('ORDENES'!$AH176,'TECNICOS'!$B$4:$B$19,0),99)*100000+173,9000000000000+173)</f>
        <v/>
      </c>
      <c r="M180" s="24">
        <f>IF(K180=1,SUMPRODUCT(--($L$8:$L$1207&lt;L180))+1,"")</f>
        <v/>
      </c>
      <c r="N180" s="25">
        <f>IF(K180=1,N('ORDENES'!$M176),0)</f>
        <v/>
      </c>
      <c r="O180" s="25">
        <f>IF('ORDENES'!$U176="preventiva",N180,0)</f>
        <v/>
      </c>
      <c r="P180" s="25">
        <f>IF('ORDENES'!$U176="correctiva",N180,0)</f>
        <v/>
      </c>
      <c r="Q180" s="24">
        <f>IF(AND(K180=1,'ORDENES'!$N176="Pendiente"),1,0)</f>
        <v/>
      </c>
      <c r="R180" s="24">
        <f>IF(Q180=1,100000-N180*1000+173*0.01,9000000000000+173)</f>
        <v/>
      </c>
      <c r="S180" s="24">
        <f>IF(Q180=1,SUMPRODUCT(--($R$8:$R$1207&lt;R180))+1,"")</f>
        <v/>
      </c>
      <c r="T180" s="30">
        <f>IF(K180=1,'ORDENES'!$J176,"")</f>
        <v/>
      </c>
      <c r="U180" s="24">
        <f>IFERROR(MATCH(173,$M$8:$M$1207,0),"")</f>
        <v/>
      </c>
      <c r="V180" s="24">
        <f>IF(U180="","",INDEX('ORDENES'!$S$4:$S$1203,U180))</f>
        <v/>
      </c>
      <c r="W180" s="24">
        <f>IF(U180="","",IF(V180&lt;&gt;V179,CHAR(10)&amp;UPPER(LEFT(V180,1))&amp;MID(V180,2,20)&amp;":"&amp;CHAR(10),"")&amp;"   "&amp;IF(INDEX('ORDENES'!$AI$4:$AI$1203,U180)="","(s/t)",INDEX('ORDENES'!$AI$4:$AI$1203,U180))&amp;" · "&amp;IF(INDEX('ORDENES'!$AH$4:$AH$1203,U180)="","(sin técnico)",INDEX('ORDENES'!$AH$4:$AH$1203,U180))&amp;" · "&amp;INDEX('ORDENES'!$AU$4:$AU$1203,U180)&amp;" — "&amp;INDEX('ORDENES'!$D$4:$D$1203,U180)&amp;" ("&amp;TEXT(INDEX('ORDENES'!$M$4:$M$1203,U180),"0.#")&amp;" h)")</f>
        <v/>
      </c>
    </row>
    <row r="181">
      <c r="K181" s="24">
        <f>IF(AND(IF($B$3="(todos)",TRUE,'ORDENES'!$O177=$B$3),IF($D$3="(todos)",TRUE,'ORDENES'!$AI177=$D$3),IF($F$3="(todos)",TRUE,'ORDENES'!$AA177=$F$3),IF($H$3="(todos)",TRUE,'ORDENES'!$Z177=$H$3),'ORDENES'!$AG177=TRUE,'ORDENES'!$A177&lt;&gt;""),1,0)</f>
        <v/>
      </c>
      <c r="L181" s="24">
        <f>IF(K181=1,IFERROR(MATCH('ORDENES'!$S177,lista_dias,0),9)*1000000000+IFERROR(MATCH('ORDENES'!$AI177,lista_turnos,0),9)*10000000+IFERROR(MATCH('ORDENES'!$AH177,'TECNICOS'!$B$4:$B$19,0),99)*100000+174,9000000000000+174)</f>
        <v/>
      </c>
      <c r="M181" s="24">
        <f>IF(K181=1,SUMPRODUCT(--($L$8:$L$1207&lt;L181))+1,"")</f>
        <v/>
      </c>
      <c r="N181" s="25">
        <f>IF(K181=1,N('ORDENES'!$M177),0)</f>
        <v/>
      </c>
      <c r="O181" s="25">
        <f>IF('ORDENES'!$U177="preventiva",N181,0)</f>
        <v/>
      </c>
      <c r="P181" s="25">
        <f>IF('ORDENES'!$U177="correctiva",N181,0)</f>
        <v/>
      </c>
      <c r="Q181" s="24">
        <f>IF(AND(K181=1,'ORDENES'!$N177="Pendiente"),1,0)</f>
        <v/>
      </c>
      <c r="R181" s="24">
        <f>IF(Q181=1,100000-N181*1000+174*0.01,9000000000000+174)</f>
        <v/>
      </c>
      <c r="S181" s="24">
        <f>IF(Q181=1,SUMPRODUCT(--($R$8:$R$1207&lt;R181))+1,"")</f>
        <v/>
      </c>
      <c r="T181" s="30">
        <f>IF(K181=1,'ORDENES'!$J177,"")</f>
        <v/>
      </c>
      <c r="U181" s="24">
        <f>IFERROR(MATCH(174,$M$8:$M$1207,0),"")</f>
        <v/>
      </c>
      <c r="V181" s="24">
        <f>IF(U181="","",INDEX('ORDENES'!$S$4:$S$1203,U181))</f>
        <v/>
      </c>
      <c r="W181" s="24">
        <f>IF(U181="","",IF(V181&lt;&gt;V180,CHAR(10)&amp;UPPER(LEFT(V181,1))&amp;MID(V181,2,20)&amp;":"&amp;CHAR(10),"")&amp;"   "&amp;IF(INDEX('ORDENES'!$AI$4:$AI$1203,U181)="","(s/t)",INDEX('ORDENES'!$AI$4:$AI$1203,U181))&amp;" · "&amp;IF(INDEX('ORDENES'!$AH$4:$AH$1203,U181)="","(sin técnico)",INDEX('ORDENES'!$AH$4:$AH$1203,U181))&amp;" · "&amp;INDEX('ORDENES'!$AU$4:$AU$1203,U181)&amp;" — "&amp;INDEX('ORDENES'!$D$4:$D$1203,U181)&amp;" ("&amp;TEXT(INDEX('ORDENES'!$M$4:$M$1203,U181),"0.#")&amp;" h)")</f>
        <v/>
      </c>
    </row>
    <row r="182">
      <c r="K182" s="24">
        <f>IF(AND(IF($B$3="(todos)",TRUE,'ORDENES'!$O178=$B$3),IF($D$3="(todos)",TRUE,'ORDENES'!$AI178=$D$3),IF($F$3="(todos)",TRUE,'ORDENES'!$AA178=$F$3),IF($H$3="(todos)",TRUE,'ORDENES'!$Z178=$H$3),'ORDENES'!$AG178=TRUE,'ORDENES'!$A178&lt;&gt;""),1,0)</f>
        <v/>
      </c>
      <c r="L182" s="24">
        <f>IF(K182=1,IFERROR(MATCH('ORDENES'!$S178,lista_dias,0),9)*1000000000+IFERROR(MATCH('ORDENES'!$AI178,lista_turnos,0),9)*10000000+IFERROR(MATCH('ORDENES'!$AH178,'TECNICOS'!$B$4:$B$19,0),99)*100000+175,9000000000000+175)</f>
        <v/>
      </c>
      <c r="M182" s="24">
        <f>IF(K182=1,SUMPRODUCT(--($L$8:$L$1207&lt;L182))+1,"")</f>
        <v/>
      </c>
      <c r="N182" s="25">
        <f>IF(K182=1,N('ORDENES'!$M178),0)</f>
        <v/>
      </c>
      <c r="O182" s="25">
        <f>IF('ORDENES'!$U178="preventiva",N182,0)</f>
        <v/>
      </c>
      <c r="P182" s="25">
        <f>IF('ORDENES'!$U178="correctiva",N182,0)</f>
        <v/>
      </c>
      <c r="Q182" s="24">
        <f>IF(AND(K182=1,'ORDENES'!$N178="Pendiente"),1,0)</f>
        <v/>
      </c>
      <c r="R182" s="24">
        <f>IF(Q182=1,100000-N182*1000+175*0.01,9000000000000+175)</f>
        <v/>
      </c>
      <c r="S182" s="24">
        <f>IF(Q182=1,SUMPRODUCT(--($R$8:$R$1207&lt;R182))+1,"")</f>
        <v/>
      </c>
      <c r="T182" s="30">
        <f>IF(K182=1,'ORDENES'!$J178,"")</f>
        <v/>
      </c>
      <c r="U182" s="24">
        <f>IFERROR(MATCH(175,$M$8:$M$1207,0),"")</f>
        <v/>
      </c>
      <c r="V182" s="24">
        <f>IF(U182="","",INDEX('ORDENES'!$S$4:$S$1203,U182))</f>
        <v/>
      </c>
      <c r="W182" s="24">
        <f>IF(U182="","",IF(V182&lt;&gt;V181,CHAR(10)&amp;UPPER(LEFT(V182,1))&amp;MID(V182,2,20)&amp;":"&amp;CHAR(10),"")&amp;"   "&amp;IF(INDEX('ORDENES'!$AI$4:$AI$1203,U182)="","(s/t)",INDEX('ORDENES'!$AI$4:$AI$1203,U182))&amp;" · "&amp;IF(INDEX('ORDENES'!$AH$4:$AH$1203,U182)="","(sin técnico)",INDEX('ORDENES'!$AH$4:$AH$1203,U182))&amp;" · "&amp;INDEX('ORDENES'!$AU$4:$AU$1203,U182)&amp;" — "&amp;INDEX('ORDENES'!$D$4:$D$1203,U182)&amp;" ("&amp;TEXT(INDEX('ORDENES'!$M$4:$M$1203,U182),"0.#")&amp;" h)")</f>
        <v/>
      </c>
    </row>
    <row r="183">
      <c r="K183" s="24">
        <f>IF(AND(IF($B$3="(todos)",TRUE,'ORDENES'!$O179=$B$3),IF($D$3="(todos)",TRUE,'ORDENES'!$AI179=$D$3),IF($F$3="(todos)",TRUE,'ORDENES'!$AA179=$F$3),IF($H$3="(todos)",TRUE,'ORDENES'!$Z179=$H$3),'ORDENES'!$AG179=TRUE,'ORDENES'!$A179&lt;&gt;""),1,0)</f>
        <v/>
      </c>
      <c r="L183" s="24">
        <f>IF(K183=1,IFERROR(MATCH('ORDENES'!$S179,lista_dias,0),9)*1000000000+IFERROR(MATCH('ORDENES'!$AI179,lista_turnos,0),9)*10000000+IFERROR(MATCH('ORDENES'!$AH179,'TECNICOS'!$B$4:$B$19,0),99)*100000+176,9000000000000+176)</f>
        <v/>
      </c>
      <c r="M183" s="24">
        <f>IF(K183=1,SUMPRODUCT(--($L$8:$L$1207&lt;L183))+1,"")</f>
        <v/>
      </c>
      <c r="N183" s="25">
        <f>IF(K183=1,N('ORDENES'!$M179),0)</f>
        <v/>
      </c>
      <c r="O183" s="25">
        <f>IF('ORDENES'!$U179="preventiva",N183,0)</f>
        <v/>
      </c>
      <c r="P183" s="25">
        <f>IF('ORDENES'!$U179="correctiva",N183,0)</f>
        <v/>
      </c>
      <c r="Q183" s="24">
        <f>IF(AND(K183=1,'ORDENES'!$N179="Pendiente"),1,0)</f>
        <v/>
      </c>
      <c r="R183" s="24">
        <f>IF(Q183=1,100000-N183*1000+176*0.01,9000000000000+176)</f>
        <v/>
      </c>
      <c r="S183" s="24">
        <f>IF(Q183=1,SUMPRODUCT(--($R$8:$R$1207&lt;R183))+1,"")</f>
        <v/>
      </c>
      <c r="T183" s="30">
        <f>IF(K183=1,'ORDENES'!$J179,"")</f>
        <v/>
      </c>
      <c r="U183" s="24">
        <f>IFERROR(MATCH(176,$M$8:$M$1207,0),"")</f>
        <v/>
      </c>
      <c r="V183" s="24">
        <f>IF(U183="","",INDEX('ORDENES'!$S$4:$S$1203,U183))</f>
        <v/>
      </c>
      <c r="W183" s="24">
        <f>IF(U183="","",IF(V183&lt;&gt;V182,CHAR(10)&amp;UPPER(LEFT(V183,1))&amp;MID(V183,2,20)&amp;":"&amp;CHAR(10),"")&amp;"   "&amp;IF(INDEX('ORDENES'!$AI$4:$AI$1203,U183)="","(s/t)",INDEX('ORDENES'!$AI$4:$AI$1203,U183))&amp;" · "&amp;IF(INDEX('ORDENES'!$AH$4:$AH$1203,U183)="","(sin técnico)",INDEX('ORDENES'!$AH$4:$AH$1203,U183))&amp;" · "&amp;INDEX('ORDENES'!$AU$4:$AU$1203,U183)&amp;" — "&amp;INDEX('ORDENES'!$D$4:$D$1203,U183)&amp;" ("&amp;TEXT(INDEX('ORDENES'!$M$4:$M$1203,U183),"0.#")&amp;" h)")</f>
        <v/>
      </c>
    </row>
    <row r="184">
      <c r="K184" s="24">
        <f>IF(AND(IF($B$3="(todos)",TRUE,'ORDENES'!$O180=$B$3),IF($D$3="(todos)",TRUE,'ORDENES'!$AI180=$D$3),IF($F$3="(todos)",TRUE,'ORDENES'!$AA180=$F$3),IF($H$3="(todos)",TRUE,'ORDENES'!$Z180=$H$3),'ORDENES'!$AG180=TRUE,'ORDENES'!$A180&lt;&gt;""),1,0)</f>
        <v/>
      </c>
      <c r="L184" s="24">
        <f>IF(K184=1,IFERROR(MATCH('ORDENES'!$S180,lista_dias,0),9)*1000000000+IFERROR(MATCH('ORDENES'!$AI180,lista_turnos,0),9)*10000000+IFERROR(MATCH('ORDENES'!$AH180,'TECNICOS'!$B$4:$B$19,0),99)*100000+177,9000000000000+177)</f>
        <v/>
      </c>
      <c r="M184" s="24">
        <f>IF(K184=1,SUMPRODUCT(--($L$8:$L$1207&lt;L184))+1,"")</f>
        <v/>
      </c>
      <c r="N184" s="25">
        <f>IF(K184=1,N('ORDENES'!$M180),0)</f>
        <v/>
      </c>
      <c r="O184" s="25">
        <f>IF('ORDENES'!$U180="preventiva",N184,0)</f>
        <v/>
      </c>
      <c r="P184" s="25">
        <f>IF('ORDENES'!$U180="correctiva",N184,0)</f>
        <v/>
      </c>
      <c r="Q184" s="24">
        <f>IF(AND(K184=1,'ORDENES'!$N180="Pendiente"),1,0)</f>
        <v/>
      </c>
      <c r="R184" s="24">
        <f>IF(Q184=1,100000-N184*1000+177*0.01,9000000000000+177)</f>
        <v/>
      </c>
      <c r="S184" s="24">
        <f>IF(Q184=1,SUMPRODUCT(--($R$8:$R$1207&lt;R184))+1,"")</f>
        <v/>
      </c>
      <c r="T184" s="30">
        <f>IF(K184=1,'ORDENES'!$J180,"")</f>
        <v/>
      </c>
      <c r="U184" s="24">
        <f>IFERROR(MATCH(177,$M$8:$M$1207,0),"")</f>
        <v/>
      </c>
      <c r="V184" s="24">
        <f>IF(U184="","",INDEX('ORDENES'!$S$4:$S$1203,U184))</f>
        <v/>
      </c>
      <c r="W184" s="24">
        <f>IF(U184="","",IF(V184&lt;&gt;V183,CHAR(10)&amp;UPPER(LEFT(V184,1))&amp;MID(V184,2,20)&amp;":"&amp;CHAR(10),"")&amp;"   "&amp;IF(INDEX('ORDENES'!$AI$4:$AI$1203,U184)="","(s/t)",INDEX('ORDENES'!$AI$4:$AI$1203,U184))&amp;" · "&amp;IF(INDEX('ORDENES'!$AH$4:$AH$1203,U184)="","(sin técnico)",INDEX('ORDENES'!$AH$4:$AH$1203,U184))&amp;" · "&amp;INDEX('ORDENES'!$AU$4:$AU$1203,U184)&amp;" — "&amp;INDEX('ORDENES'!$D$4:$D$1203,U184)&amp;" ("&amp;TEXT(INDEX('ORDENES'!$M$4:$M$1203,U184),"0.#")&amp;" h)")</f>
        <v/>
      </c>
    </row>
    <row r="185">
      <c r="K185" s="24">
        <f>IF(AND(IF($B$3="(todos)",TRUE,'ORDENES'!$O181=$B$3),IF($D$3="(todos)",TRUE,'ORDENES'!$AI181=$D$3),IF($F$3="(todos)",TRUE,'ORDENES'!$AA181=$F$3),IF($H$3="(todos)",TRUE,'ORDENES'!$Z181=$H$3),'ORDENES'!$AG181=TRUE,'ORDENES'!$A181&lt;&gt;""),1,0)</f>
        <v/>
      </c>
      <c r="L185" s="24">
        <f>IF(K185=1,IFERROR(MATCH('ORDENES'!$S181,lista_dias,0),9)*1000000000+IFERROR(MATCH('ORDENES'!$AI181,lista_turnos,0),9)*10000000+IFERROR(MATCH('ORDENES'!$AH181,'TECNICOS'!$B$4:$B$19,0),99)*100000+178,9000000000000+178)</f>
        <v/>
      </c>
      <c r="M185" s="24">
        <f>IF(K185=1,SUMPRODUCT(--($L$8:$L$1207&lt;L185))+1,"")</f>
        <v/>
      </c>
      <c r="N185" s="25">
        <f>IF(K185=1,N('ORDENES'!$M181),0)</f>
        <v/>
      </c>
      <c r="O185" s="25">
        <f>IF('ORDENES'!$U181="preventiva",N185,0)</f>
        <v/>
      </c>
      <c r="P185" s="25">
        <f>IF('ORDENES'!$U181="correctiva",N185,0)</f>
        <v/>
      </c>
      <c r="Q185" s="24">
        <f>IF(AND(K185=1,'ORDENES'!$N181="Pendiente"),1,0)</f>
        <v/>
      </c>
      <c r="R185" s="24">
        <f>IF(Q185=1,100000-N185*1000+178*0.01,9000000000000+178)</f>
        <v/>
      </c>
      <c r="S185" s="24">
        <f>IF(Q185=1,SUMPRODUCT(--($R$8:$R$1207&lt;R185))+1,"")</f>
        <v/>
      </c>
      <c r="T185" s="30">
        <f>IF(K185=1,'ORDENES'!$J181,"")</f>
        <v/>
      </c>
      <c r="U185" s="24">
        <f>IFERROR(MATCH(178,$M$8:$M$1207,0),"")</f>
        <v/>
      </c>
      <c r="V185" s="24">
        <f>IF(U185="","",INDEX('ORDENES'!$S$4:$S$1203,U185))</f>
        <v/>
      </c>
      <c r="W185" s="24">
        <f>IF(U185="","",IF(V185&lt;&gt;V184,CHAR(10)&amp;UPPER(LEFT(V185,1))&amp;MID(V185,2,20)&amp;":"&amp;CHAR(10),"")&amp;"   "&amp;IF(INDEX('ORDENES'!$AI$4:$AI$1203,U185)="","(s/t)",INDEX('ORDENES'!$AI$4:$AI$1203,U185))&amp;" · "&amp;IF(INDEX('ORDENES'!$AH$4:$AH$1203,U185)="","(sin técnico)",INDEX('ORDENES'!$AH$4:$AH$1203,U185))&amp;" · "&amp;INDEX('ORDENES'!$AU$4:$AU$1203,U185)&amp;" — "&amp;INDEX('ORDENES'!$D$4:$D$1203,U185)&amp;" ("&amp;TEXT(INDEX('ORDENES'!$M$4:$M$1203,U185),"0.#")&amp;" h)")</f>
        <v/>
      </c>
    </row>
    <row r="186">
      <c r="K186" s="24">
        <f>IF(AND(IF($B$3="(todos)",TRUE,'ORDENES'!$O182=$B$3),IF($D$3="(todos)",TRUE,'ORDENES'!$AI182=$D$3),IF($F$3="(todos)",TRUE,'ORDENES'!$AA182=$F$3),IF($H$3="(todos)",TRUE,'ORDENES'!$Z182=$H$3),'ORDENES'!$AG182=TRUE,'ORDENES'!$A182&lt;&gt;""),1,0)</f>
        <v/>
      </c>
      <c r="L186" s="24">
        <f>IF(K186=1,IFERROR(MATCH('ORDENES'!$S182,lista_dias,0),9)*1000000000+IFERROR(MATCH('ORDENES'!$AI182,lista_turnos,0),9)*10000000+IFERROR(MATCH('ORDENES'!$AH182,'TECNICOS'!$B$4:$B$19,0),99)*100000+179,9000000000000+179)</f>
        <v/>
      </c>
      <c r="M186" s="24">
        <f>IF(K186=1,SUMPRODUCT(--($L$8:$L$1207&lt;L186))+1,"")</f>
        <v/>
      </c>
      <c r="N186" s="25">
        <f>IF(K186=1,N('ORDENES'!$M182),0)</f>
        <v/>
      </c>
      <c r="O186" s="25">
        <f>IF('ORDENES'!$U182="preventiva",N186,0)</f>
        <v/>
      </c>
      <c r="P186" s="25">
        <f>IF('ORDENES'!$U182="correctiva",N186,0)</f>
        <v/>
      </c>
      <c r="Q186" s="24">
        <f>IF(AND(K186=1,'ORDENES'!$N182="Pendiente"),1,0)</f>
        <v/>
      </c>
      <c r="R186" s="24">
        <f>IF(Q186=1,100000-N186*1000+179*0.01,9000000000000+179)</f>
        <v/>
      </c>
      <c r="S186" s="24">
        <f>IF(Q186=1,SUMPRODUCT(--($R$8:$R$1207&lt;R186))+1,"")</f>
        <v/>
      </c>
      <c r="T186" s="30">
        <f>IF(K186=1,'ORDENES'!$J182,"")</f>
        <v/>
      </c>
      <c r="U186" s="24">
        <f>IFERROR(MATCH(179,$M$8:$M$1207,0),"")</f>
        <v/>
      </c>
      <c r="V186" s="24">
        <f>IF(U186="","",INDEX('ORDENES'!$S$4:$S$1203,U186))</f>
        <v/>
      </c>
      <c r="W186" s="24">
        <f>IF(U186="","",IF(V186&lt;&gt;V185,CHAR(10)&amp;UPPER(LEFT(V186,1))&amp;MID(V186,2,20)&amp;":"&amp;CHAR(10),"")&amp;"   "&amp;IF(INDEX('ORDENES'!$AI$4:$AI$1203,U186)="","(s/t)",INDEX('ORDENES'!$AI$4:$AI$1203,U186))&amp;" · "&amp;IF(INDEX('ORDENES'!$AH$4:$AH$1203,U186)="","(sin técnico)",INDEX('ORDENES'!$AH$4:$AH$1203,U186))&amp;" · "&amp;INDEX('ORDENES'!$AU$4:$AU$1203,U186)&amp;" — "&amp;INDEX('ORDENES'!$D$4:$D$1203,U186)&amp;" ("&amp;TEXT(INDEX('ORDENES'!$M$4:$M$1203,U186),"0.#")&amp;" h)")</f>
        <v/>
      </c>
    </row>
    <row r="187">
      <c r="K187" s="24">
        <f>IF(AND(IF($B$3="(todos)",TRUE,'ORDENES'!$O183=$B$3),IF($D$3="(todos)",TRUE,'ORDENES'!$AI183=$D$3),IF($F$3="(todos)",TRUE,'ORDENES'!$AA183=$F$3),IF($H$3="(todos)",TRUE,'ORDENES'!$Z183=$H$3),'ORDENES'!$AG183=TRUE,'ORDENES'!$A183&lt;&gt;""),1,0)</f>
        <v/>
      </c>
      <c r="L187" s="24">
        <f>IF(K187=1,IFERROR(MATCH('ORDENES'!$S183,lista_dias,0),9)*1000000000+IFERROR(MATCH('ORDENES'!$AI183,lista_turnos,0),9)*10000000+IFERROR(MATCH('ORDENES'!$AH183,'TECNICOS'!$B$4:$B$19,0),99)*100000+180,9000000000000+180)</f>
        <v/>
      </c>
      <c r="M187" s="24">
        <f>IF(K187=1,SUMPRODUCT(--($L$8:$L$1207&lt;L187))+1,"")</f>
        <v/>
      </c>
      <c r="N187" s="25">
        <f>IF(K187=1,N('ORDENES'!$M183),0)</f>
        <v/>
      </c>
      <c r="O187" s="25">
        <f>IF('ORDENES'!$U183="preventiva",N187,0)</f>
        <v/>
      </c>
      <c r="P187" s="25">
        <f>IF('ORDENES'!$U183="correctiva",N187,0)</f>
        <v/>
      </c>
      <c r="Q187" s="24">
        <f>IF(AND(K187=1,'ORDENES'!$N183="Pendiente"),1,0)</f>
        <v/>
      </c>
      <c r="R187" s="24">
        <f>IF(Q187=1,100000-N187*1000+180*0.01,9000000000000+180)</f>
        <v/>
      </c>
      <c r="S187" s="24">
        <f>IF(Q187=1,SUMPRODUCT(--($R$8:$R$1207&lt;R187))+1,"")</f>
        <v/>
      </c>
      <c r="T187" s="30">
        <f>IF(K187=1,'ORDENES'!$J183,"")</f>
        <v/>
      </c>
      <c r="U187" s="24">
        <f>IFERROR(MATCH(180,$M$8:$M$1207,0),"")</f>
        <v/>
      </c>
      <c r="V187" s="24">
        <f>IF(U187="","",INDEX('ORDENES'!$S$4:$S$1203,U187))</f>
        <v/>
      </c>
      <c r="W187" s="24">
        <f>IF(U187="","",IF(V187&lt;&gt;V186,CHAR(10)&amp;UPPER(LEFT(V187,1))&amp;MID(V187,2,20)&amp;":"&amp;CHAR(10),"")&amp;"   "&amp;IF(INDEX('ORDENES'!$AI$4:$AI$1203,U187)="","(s/t)",INDEX('ORDENES'!$AI$4:$AI$1203,U187))&amp;" · "&amp;IF(INDEX('ORDENES'!$AH$4:$AH$1203,U187)="","(sin técnico)",INDEX('ORDENES'!$AH$4:$AH$1203,U187))&amp;" · "&amp;INDEX('ORDENES'!$AU$4:$AU$1203,U187)&amp;" — "&amp;INDEX('ORDENES'!$D$4:$D$1203,U187)&amp;" ("&amp;TEXT(INDEX('ORDENES'!$M$4:$M$1203,U187),"0.#")&amp;" h)")</f>
        <v/>
      </c>
    </row>
    <row r="188">
      <c r="K188" s="24">
        <f>IF(AND(IF($B$3="(todos)",TRUE,'ORDENES'!$O184=$B$3),IF($D$3="(todos)",TRUE,'ORDENES'!$AI184=$D$3),IF($F$3="(todos)",TRUE,'ORDENES'!$AA184=$F$3),IF($H$3="(todos)",TRUE,'ORDENES'!$Z184=$H$3),'ORDENES'!$AG184=TRUE,'ORDENES'!$A184&lt;&gt;""),1,0)</f>
        <v/>
      </c>
      <c r="L188" s="24">
        <f>IF(K188=1,IFERROR(MATCH('ORDENES'!$S184,lista_dias,0),9)*1000000000+IFERROR(MATCH('ORDENES'!$AI184,lista_turnos,0),9)*10000000+IFERROR(MATCH('ORDENES'!$AH184,'TECNICOS'!$B$4:$B$19,0),99)*100000+181,9000000000000+181)</f>
        <v/>
      </c>
      <c r="M188" s="24">
        <f>IF(K188=1,SUMPRODUCT(--($L$8:$L$1207&lt;L188))+1,"")</f>
        <v/>
      </c>
      <c r="N188" s="25">
        <f>IF(K188=1,N('ORDENES'!$M184),0)</f>
        <v/>
      </c>
      <c r="O188" s="25">
        <f>IF('ORDENES'!$U184="preventiva",N188,0)</f>
        <v/>
      </c>
      <c r="P188" s="25">
        <f>IF('ORDENES'!$U184="correctiva",N188,0)</f>
        <v/>
      </c>
      <c r="Q188" s="24">
        <f>IF(AND(K188=1,'ORDENES'!$N184="Pendiente"),1,0)</f>
        <v/>
      </c>
      <c r="R188" s="24">
        <f>IF(Q188=1,100000-N188*1000+181*0.01,9000000000000+181)</f>
        <v/>
      </c>
      <c r="S188" s="24">
        <f>IF(Q188=1,SUMPRODUCT(--($R$8:$R$1207&lt;R188))+1,"")</f>
        <v/>
      </c>
      <c r="T188" s="30">
        <f>IF(K188=1,'ORDENES'!$J184,"")</f>
        <v/>
      </c>
      <c r="U188" s="24">
        <f>IFERROR(MATCH(181,$M$8:$M$1207,0),"")</f>
        <v/>
      </c>
      <c r="V188" s="24">
        <f>IF(U188="","",INDEX('ORDENES'!$S$4:$S$1203,U188))</f>
        <v/>
      </c>
      <c r="W188" s="24">
        <f>IF(U188="","",IF(V188&lt;&gt;V187,CHAR(10)&amp;UPPER(LEFT(V188,1))&amp;MID(V188,2,20)&amp;":"&amp;CHAR(10),"")&amp;"   "&amp;IF(INDEX('ORDENES'!$AI$4:$AI$1203,U188)="","(s/t)",INDEX('ORDENES'!$AI$4:$AI$1203,U188))&amp;" · "&amp;IF(INDEX('ORDENES'!$AH$4:$AH$1203,U188)="","(sin técnico)",INDEX('ORDENES'!$AH$4:$AH$1203,U188))&amp;" · "&amp;INDEX('ORDENES'!$AU$4:$AU$1203,U188)&amp;" — "&amp;INDEX('ORDENES'!$D$4:$D$1203,U188)&amp;" ("&amp;TEXT(INDEX('ORDENES'!$M$4:$M$1203,U188),"0.#")&amp;" h)")</f>
        <v/>
      </c>
    </row>
    <row r="189">
      <c r="K189" s="24">
        <f>IF(AND(IF($B$3="(todos)",TRUE,'ORDENES'!$O185=$B$3),IF($D$3="(todos)",TRUE,'ORDENES'!$AI185=$D$3),IF($F$3="(todos)",TRUE,'ORDENES'!$AA185=$F$3),IF($H$3="(todos)",TRUE,'ORDENES'!$Z185=$H$3),'ORDENES'!$AG185=TRUE,'ORDENES'!$A185&lt;&gt;""),1,0)</f>
        <v/>
      </c>
      <c r="L189" s="24">
        <f>IF(K189=1,IFERROR(MATCH('ORDENES'!$S185,lista_dias,0),9)*1000000000+IFERROR(MATCH('ORDENES'!$AI185,lista_turnos,0),9)*10000000+IFERROR(MATCH('ORDENES'!$AH185,'TECNICOS'!$B$4:$B$19,0),99)*100000+182,9000000000000+182)</f>
        <v/>
      </c>
      <c r="M189" s="24">
        <f>IF(K189=1,SUMPRODUCT(--($L$8:$L$1207&lt;L189))+1,"")</f>
        <v/>
      </c>
      <c r="N189" s="25">
        <f>IF(K189=1,N('ORDENES'!$M185),0)</f>
        <v/>
      </c>
      <c r="O189" s="25">
        <f>IF('ORDENES'!$U185="preventiva",N189,0)</f>
        <v/>
      </c>
      <c r="P189" s="25">
        <f>IF('ORDENES'!$U185="correctiva",N189,0)</f>
        <v/>
      </c>
      <c r="Q189" s="24">
        <f>IF(AND(K189=1,'ORDENES'!$N185="Pendiente"),1,0)</f>
        <v/>
      </c>
      <c r="R189" s="24">
        <f>IF(Q189=1,100000-N189*1000+182*0.01,9000000000000+182)</f>
        <v/>
      </c>
      <c r="S189" s="24">
        <f>IF(Q189=1,SUMPRODUCT(--($R$8:$R$1207&lt;R189))+1,"")</f>
        <v/>
      </c>
      <c r="T189" s="30">
        <f>IF(K189=1,'ORDENES'!$J185,"")</f>
        <v/>
      </c>
      <c r="U189" s="24">
        <f>IFERROR(MATCH(182,$M$8:$M$1207,0),"")</f>
        <v/>
      </c>
      <c r="V189" s="24">
        <f>IF(U189="","",INDEX('ORDENES'!$S$4:$S$1203,U189))</f>
        <v/>
      </c>
      <c r="W189" s="24">
        <f>IF(U189="","",IF(V189&lt;&gt;V188,CHAR(10)&amp;UPPER(LEFT(V189,1))&amp;MID(V189,2,20)&amp;":"&amp;CHAR(10),"")&amp;"   "&amp;IF(INDEX('ORDENES'!$AI$4:$AI$1203,U189)="","(s/t)",INDEX('ORDENES'!$AI$4:$AI$1203,U189))&amp;" · "&amp;IF(INDEX('ORDENES'!$AH$4:$AH$1203,U189)="","(sin técnico)",INDEX('ORDENES'!$AH$4:$AH$1203,U189))&amp;" · "&amp;INDEX('ORDENES'!$AU$4:$AU$1203,U189)&amp;" — "&amp;INDEX('ORDENES'!$D$4:$D$1203,U189)&amp;" ("&amp;TEXT(INDEX('ORDENES'!$M$4:$M$1203,U189),"0.#")&amp;" h)")</f>
        <v/>
      </c>
    </row>
    <row r="190">
      <c r="K190" s="24">
        <f>IF(AND(IF($B$3="(todos)",TRUE,'ORDENES'!$O186=$B$3),IF($D$3="(todos)",TRUE,'ORDENES'!$AI186=$D$3),IF($F$3="(todos)",TRUE,'ORDENES'!$AA186=$F$3),IF($H$3="(todos)",TRUE,'ORDENES'!$Z186=$H$3),'ORDENES'!$AG186=TRUE,'ORDENES'!$A186&lt;&gt;""),1,0)</f>
        <v/>
      </c>
      <c r="L190" s="24">
        <f>IF(K190=1,IFERROR(MATCH('ORDENES'!$S186,lista_dias,0),9)*1000000000+IFERROR(MATCH('ORDENES'!$AI186,lista_turnos,0),9)*10000000+IFERROR(MATCH('ORDENES'!$AH186,'TECNICOS'!$B$4:$B$19,0),99)*100000+183,9000000000000+183)</f>
        <v/>
      </c>
      <c r="M190" s="24">
        <f>IF(K190=1,SUMPRODUCT(--($L$8:$L$1207&lt;L190))+1,"")</f>
        <v/>
      </c>
      <c r="N190" s="25">
        <f>IF(K190=1,N('ORDENES'!$M186),0)</f>
        <v/>
      </c>
      <c r="O190" s="25">
        <f>IF('ORDENES'!$U186="preventiva",N190,0)</f>
        <v/>
      </c>
      <c r="P190" s="25">
        <f>IF('ORDENES'!$U186="correctiva",N190,0)</f>
        <v/>
      </c>
      <c r="Q190" s="24">
        <f>IF(AND(K190=1,'ORDENES'!$N186="Pendiente"),1,0)</f>
        <v/>
      </c>
      <c r="R190" s="24">
        <f>IF(Q190=1,100000-N190*1000+183*0.01,9000000000000+183)</f>
        <v/>
      </c>
      <c r="S190" s="24">
        <f>IF(Q190=1,SUMPRODUCT(--($R$8:$R$1207&lt;R190))+1,"")</f>
        <v/>
      </c>
      <c r="T190" s="30">
        <f>IF(K190=1,'ORDENES'!$J186,"")</f>
        <v/>
      </c>
      <c r="U190" s="24">
        <f>IFERROR(MATCH(183,$M$8:$M$1207,0),"")</f>
        <v/>
      </c>
      <c r="V190" s="24">
        <f>IF(U190="","",INDEX('ORDENES'!$S$4:$S$1203,U190))</f>
        <v/>
      </c>
      <c r="W190" s="24">
        <f>IF(U190="","",IF(V190&lt;&gt;V189,CHAR(10)&amp;UPPER(LEFT(V190,1))&amp;MID(V190,2,20)&amp;":"&amp;CHAR(10),"")&amp;"   "&amp;IF(INDEX('ORDENES'!$AI$4:$AI$1203,U190)="","(s/t)",INDEX('ORDENES'!$AI$4:$AI$1203,U190))&amp;" · "&amp;IF(INDEX('ORDENES'!$AH$4:$AH$1203,U190)="","(sin técnico)",INDEX('ORDENES'!$AH$4:$AH$1203,U190))&amp;" · "&amp;INDEX('ORDENES'!$AU$4:$AU$1203,U190)&amp;" — "&amp;INDEX('ORDENES'!$D$4:$D$1203,U190)&amp;" ("&amp;TEXT(INDEX('ORDENES'!$M$4:$M$1203,U190),"0.#")&amp;" h)")</f>
        <v/>
      </c>
    </row>
    <row r="191">
      <c r="K191" s="24">
        <f>IF(AND(IF($B$3="(todos)",TRUE,'ORDENES'!$O187=$B$3),IF($D$3="(todos)",TRUE,'ORDENES'!$AI187=$D$3),IF($F$3="(todos)",TRUE,'ORDENES'!$AA187=$F$3),IF($H$3="(todos)",TRUE,'ORDENES'!$Z187=$H$3),'ORDENES'!$AG187=TRUE,'ORDENES'!$A187&lt;&gt;""),1,0)</f>
        <v/>
      </c>
      <c r="L191" s="24">
        <f>IF(K191=1,IFERROR(MATCH('ORDENES'!$S187,lista_dias,0),9)*1000000000+IFERROR(MATCH('ORDENES'!$AI187,lista_turnos,0),9)*10000000+IFERROR(MATCH('ORDENES'!$AH187,'TECNICOS'!$B$4:$B$19,0),99)*100000+184,9000000000000+184)</f>
        <v/>
      </c>
      <c r="M191" s="24">
        <f>IF(K191=1,SUMPRODUCT(--($L$8:$L$1207&lt;L191))+1,"")</f>
        <v/>
      </c>
      <c r="N191" s="25">
        <f>IF(K191=1,N('ORDENES'!$M187),0)</f>
        <v/>
      </c>
      <c r="O191" s="25">
        <f>IF('ORDENES'!$U187="preventiva",N191,0)</f>
        <v/>
      </c>
      <c r="P191" s="25">
        <f>IF('ORDENES'!$U187="correctiva",N191,0)</f>
        <v/>
      </c>
      <c r="Q191" s="24">
        <f>IF(AND(K191=1,'ORDENES'!$N187="Pendiente"),1,0)</f>
        <v/>
      </c>
      <c r="R191" s="24">
        <f>IF(Q191=1,100000-N191*1000+184*0.01,9000000000000+184)</f>
        <v/>
      </c>
      <c r="S191" s="24">
        <f>IF(Q191=1,SUMPRODUCT(--($R$8:$R$1207&lt;R191))+1,"")</f>
        <v/>
      </c>
      <c r="T191" s="30">
        <f>IF(K191=1,'ORDENES'!$J187,"")</f>
        <v/>
      </c>
      <c r="U191" s="24">
        <f>IFERROR(MATCH(184,$M$8:$M$1207,0),"")</f>
        <v/>
      </c>
      <c r="V191" s="24">
        <f>IF(U191="","",INDEX('ORDENES'!$S$4:$S$1203,U191))</f>
        <v/>
      </c>
      <c r="W191" s="24">
        <f>IF(U191="","",IF(V191&lt;&gt;V190,CHAR(10)&amp;UPPER(LEFT(V191,1))&amp;MID(V191,2,20)&amp;":"&amp;CHAR(10),"")&amp;"   "&amp;IF(INDEX('ORDENES'!$AI$4:$AI$1203,U191)="","(s/t)",INDEX('ORDENES'!$AI$4:$AI$1203,U191))&amp;" · "&amp;IF(INDEX('ORDENES'!$AH$4:$AH$1203,U191)="","(sin técnico)",INDEX('ORDENES'!$AH$4:$AH$1203,U191))&amp;" · "&amp;INDEX('ORDENES'!$AU$4:$AU$1203,U191)&amp;" — "&amp;INDEX('ORDENES'!$D$4:$D$1203,U191)&amp;" ("&amp;TEXT(INDEX('ORDENES'!$M$4:$M$1203,U191),"0.#")&amp;" h)")</f>
        <v/>
      </c>
    </row>
    <row r="192">
      <c r="K192" s="24">
        <f>IF(AND(IF($B$3="(todos)",TRUE,'ORDENES'!$O188=$B$3),IF($D$3="(todos)",TRUE,'ORDENES'!$AI188=$D$3),IF($F$3="(todos)",TRUE,'ORDENES'!$AA188=$F$3),IF($H$3="(todos)",TRUE,'ORDENES'!$Z188=$H$3),'ORDENES'!$AG188=TRUE,'ORDENES'!$A188&lt;&gt;""),1,0)</f>
        <v/>
      </c>
      <c r="L192" s="24">
        <f>IF(K192=1,IFERROR(MATCH('ORDENES'!$S188,lista_dias,0),9)*1000000000+IFERROR(MATCH('ORDENES'!$AI188,lista_turnos,0),9)*10000000+IFERROR(MATCH('ORDENES'!$AH188,'TECNICOS'!$B$4:$B$19,0),99)*100000+185,9000000000000+185)</f>
        <v/>
      </c>
      <c r="M192" s="24">
        <f>IF(K192=1,SUMPRODUCT(--($L$8:$L$1207&lt;L192))+1,"")</f>
        <v/>
      </c>
      <c r="N192" s="25">
        <f>IF(K192=1,N('ORDENES'!$M188),0)</f>
        <v/>
      </c>
      <c r="O192" s="25">
        <f>IF('ORDENES'!$U188="preventiva",N192,0)</f>
        <v/>
      </c>
      <c r="P192" s="25">
        <f>IF('ORDENES'!$U188="correctiva",N192,0)</f>
        <v/>
      </c>
      <c r="Q192" s="24">
        <f>IF(AND(K192=1,'ORDENES'!$N188="Pendiente"),1,0)</f>
        <v/>
      </c>
      <c r="R192" s="24">
        <f>IF(Q192=1,100000-N192*1000+185*0.01,9000000000000+185)</f>
        <v/>
      </c>
      <c r="S192" s="24">
        <f>IF(Q192=1,SUMPRODUCT(--($R$8:$R$1207&lt;R192))+1,"")</f>
        <v/>
      </c>
      <c r="T192" s="30">
        <f>IF(K192=1,'ORDENES'!$J188,"")</f>
        <v/>
      </c>
      <c r="U192" s="24">
        <f>IFERROR(MATCH(185,$M$8:$M$1207,0),"")</f>
        <v/>
      </c>
      <c r="V192" s="24">
        <f>IF(U192="","",INDEX('ORDENES'!$S$4:$S$1203,U192))</f>
        <v/>
      </c>
      <c r="W192" s="24">
        <f>IF(U192="","",IF(V192&lt;&gt;V191,CHAR(10)&amp;UPPER(LEFT(V192,1))&amp;MID(V192,2,20)&amp;":"&amp;CHAR(10),"")&amp;"   "&amp;IF(INDEX('ORDENES'!$AI$4:$AI$1203,U192)="","(s/t)",INDEX('ORDENES'!$AI$4:$AI$1203,U192))&amp;" · "&amp;IF(INDEX('ORDENES'!$AH$4:$AH$1203,U192)="","(sin técnico)",INDEX('ORDENES'!$AH$4:$AH$1203,U192))&amp;" · "&amp;INDEX('ORDENES'!$AU$4:$AU$1203,U192)&amp;" — "&amp;INDEX('ORDENES'!$D$4:$D$1203,U192)&amp;" ("&amp;TEXT(INDEX('ORDENES'!$M$4:$M$1203,U192),"0.#")&amp;" h)")</f>
        <v/>
      </c>
    </row>
    <row r="193">
      <c r="K193" s="24">
        <f>IF(AND(IF($B$3="(todos)",TRUE,'ORDENES'!$O189=$B$3),IF($D$3="(todos)",TRUE,'ORDENES'!$AI189=$D$3),IF($F$3="(todos)",TRUE,'ORDENES'!$AA189=$F$3),IF($H$3="(todos)",TRUE,'ORDENES'!$Z189=$H$3),'ORDENES'!$AG189=TRUE,'ORDENES'!$A189&lt;&gt;""),1,0)</f>
        <v/>
      </c>
      <c r="L193" s="24">
        <f>IF(K193=1,IFERROR(MATCH('ORDENES'!$S189,lista_dias,0),9)*1000000000+IFERROR(MATCH('ORDENES'!$AI189,lista_turnos,0),9)*10000000+IFERROR(MATCH('ORDENES'!$AH189,'TECNICOS'!$B$4:$B$19,0),99)*100000+186,9000000000000+186)</f>
        <v/>
      </c>
      <c r="M193" s="24">
        <f>IF(K193=1,SUMPRODUCT(--($L$8:$L$1207&lt;L193))+1,"")</f>
        <v/>
      </c>
      <c r="N193" s="25">
        <f>IF(K193=1,N('ORDENES'!$M189),0)</f>
        <v/>
      </c>
      <c r="O193" s="25">
        <f>IF('ORDENES'!$U189="preventiva",N193,0)</f>
        <v/>
      </c>
      <c r="P193" s="25">
        <f>IF('ORDENES'!$U189="correctiva",N193,0)</f>
        <v/>
      </c>
      <c r="Q193" s="24">
        <f>IF(AND(K193=1,'ORDENES'!$N189="Pendiente"),1,0)</f>
        <v/>
      </c>
      <c r="R193" s="24">
        <f>IF(Q193=1,100000-N193*1000+186*0.01,9000000000000+186)</f>
        <v/>
      </c>
      <c r="S193" s="24">
        <f>IF(Q193=1,SUMPRODUCT(--($R$8:$R$1207&lt;R193))+1,"")</f>
        <v/>
      </c>
      <c r="T193" s="30">
        <f>IF(K193=1,'ORDENES'!$J189,"")</f>
        <v/>
      </c>
      <c r="U193" s="24">
        <f>IFERROR(MATCH(186,$M$8:$M$1207,0),"")</f>
        <v/>
      </c>
      <c r="V193" s="24">
        <f>IF(U193="","",INDEX('ORDENES'!$S$4:$S$1203,U193))</f>
        <v/>
      </c>
      <c r="W193" s="24">
        <f>IF(U193="","",IF(V193&lt;&gt;V192,CHAR(10)&amp;UPPER(LEFT(V193,1))&amp;MID(V193,2,20)&amp;":"&amp;CHAR(10),"")&amp;"   "&amp;IF(INDEX('ORDENES'!$AI$4:$AI$1203,U193)="","(s/t)",INDEX('ORDENES'!$AI$4:$AI$1203,U193))&amp;" · "&amp;IF(INDEX('ORDENES'!$AH$4:$AH$1203,U193)="","(sin técnico)",INDEX('ORDENES'!$AH$4:$AH$1203,U193))&amp;" · "&amp;INDEX('ORDENES'!$AU$4:$AU$1203,U193)&amp;" — "&amp;INDEX('ORDENES'!$D$4:$D$1203,U193)&amp;" ("&amp;TEXT(INDEX('ORDENES'!$M$4:$M$1203,U193),"0.#")&amp;" h)")</f>
        <v/>
      </c>
    </row>
    <row r="194">
      <c r="K194" s="24">
        <f>IF(AND(IF($B$3="(todos)",TRUE,'ORDENES'!$O190=$B$3),IF($D$3="(todos)",TRUE,'ORDENES'!$AI190=$D$3),IF($F$3="(todos)",TRUE,'ORDENES'!$AA190=$F$3),IF($H$3="(todos)",TRUE,'ORDENES'!$Z190=$H$3),'ORDENES'!$AG190=TRUE,'ORDENES'!$A190&lt;&gt;""),1,0)</f>
        <v/>
      </c>
      <c r="L194" s="24">
        <f>IF(K194=1,IFERROR(MATCH('ORDENES'!$S190,lista_dias,0),9)*1000000000+IFERROR(MATCH('ORDENES'!$AI190,lista_turnos,0),9)*10000000+IFERROR(MATCH('ORDENES'!$AH190,'TECNICOS'!$B$4:$B$19,0),99)*100000+187,9000000000000+187)</f>
        <v/>
      </c>
      <c r="M194" s="24">
        <f>IF(K194=1,SUMPRODUCT(--($L$8:$L$1207&lt;L194))+1,"")</f>
        <v/>
      </c>
      <c r="N194" s="25">
        <f>IF(K194=1,N('ORDENES'!$M190),0)</f>
        <v/>
      </c>
      <c r="O194" s="25">
        <f>IF('ORDENES'!$U190="preventiva",N194,0)</f>
        <v/>
      </c>
      <c r="P194" s="25">
        <f>IF('ORDENES'!$U190="correctiva",N194,0)</f>
        <v/>
      </c>
      <c r="Q194" s="24">
        <f>IF(AND(K194=1,'ORDENES'!$N190="Pendiente"),1,0)</f>
        <v/>
      </c>
      <c r="R194" s="24">
        <f>IF(Q194=1,100000-N194*1000+187*0.01,9000000000000+187)</f>
        <v/>
      </c>
      <c r="S194" s="24">
        <f>IF(Q194=1,SUMPRODUCT(--($R$8:$R$1207&lt;R194))+1,"")</f>
        <v/>
      </c>
      <c r="T194" s="30">
        <f>IF(K194=1,'ORDENES'!$J190,"")</f>
        <v/>
      </c>
      <c r="U194" s="24">
        <f>IFERROR(MATCH(187,$M$8:$M$1207,0),"")</f>
        <v/>
      </c>
      <c r="V194" s="24">
        <f>IF(U194="","",INDEX('ORDENES'!$S$4:$S$1203,U194))</f>
        <v/>
      </c>
      <c r="W194" s="24">
        <f>IF(U194="","",IF(V194&lt;&gt;V193,CHAR(10)&amp;UPPER(LEFT(V194,1))&amp;MID(V194,2,20)&amp;":"&amp;CHAR(10),"")&amp;"   "&amp;IF(INDEX('ORDENES'!$AI$4:$AI$1203,U194)="","(s/t)",INDEX('ORDENES'!$AI$4:$AI$1203,U194))&amp;" · "&amp;IF(INDEX('ORDENES'!$AH$4:$AH$1203,U194)="","(sin técnico)",INDEX('ORDENES'!$AH$4:$AH$1203,U194))&amp;" · "&amp;INDEX('ORDENES'!$AU$4:$AU$1203,U194)&amp;" — "&amp;INDEX('ORDENES'!$D$4:$D$1203,U194)&amp;" ("&amp;TEXT(INDEX('ORDENES'!$M$4:$M$1203,U194),"0.#")&amp;" h)")</f>
        <v/>
      </c>
    </row>
    <row r="195">
      <c r="K195" s="24">
        <f>IF(AND(IF($B$3="(todos)",TRUE,'ORDENES'!$O191=$B$3),IF($D$3="(todos)",TRUE,'ORDENES'!$AI191=$D$3),IF($F$3="(todos)",TRUE,'ORDENES'!$AA191=$F$3),IF($H$3="(todos)",TRUE,'ORDENES'!$Z191=$H$3),'ORDENES'!$AG191=TRUE,'ORDENES'!$A191&lt;&gt;""),1,0)</f>
        <v/>
      </c>
      <c r="L195" s="24">
        <f>IF(K195=1,IFERROR(MATCH('ORDENES'!$S191,lista_dias,0),9)*1000000000+IFERROR(MATCH('ORDENES'!$AI191,lista_turnos,0),9)*10000000+IFERROR(MATCH('ORDENES'!$AH191,'TECNICOS'!$B$4:$B$19,0),99)*100000+188,9000000000000+188)</f>
        <v/>
      </c>
      <c r="M195" s="24">
        <f>IF(K195=1,SUMPRODUCT(--($L$8:$L$1207&lt;L195))+1,"")</f>
        <v/>
      </c>
      <c r="N195" s="25">
        <f>IF(K195=1,N('ORDENES'!$M191),0)</f>
        <v/>
      </c>
      <c r="O195" s="25">
        <f>IF('ORDENES'!$U191="preventiva",N195,0)</f>
        <v/>
      </c>
      <c r="P195" s="25">
        <f>IF('ORDENES'!$U191="correctiva",N195,0)</f>
        <v/>
      </c>
      <c r="Q195" s="24">
        <f>IF(AND(K195=1,'ORDENES'!$N191="Pendiente"),1,0)</f>
        <v/>
      </c>
      <c r="R195" s="24">
        <f>IF(Q195=1,100000-N195*1000+188*0.01,9000000000000+188)</f>
        <v/>
      </c>
      <c r="S195" s="24">
        <f>IF(Q195=1,SUMPRODUCT(--($R$8:$R$1207&lt;R195))+1,"")</f>
        <v/>
      </c>
      <c r="T195" s="30">
        <f>IF(K195=1,'ORDENES'!$J191,"")</f>
        <v/>
      </c>
      <c r="U195" s="24">
        <f>IFERROR(MATCH(188,$M$8:$M$1207,0),"")</f>
        <v/>
      </c>
      <c r="V195" s="24">
        <f>IF(U195="","",INDEX('ORDENES'!$S$4:$S$1203,U195))</f>
        <v/>
      </c>
      <c r="W195" s="24">
        <f>IF(U195="","",IF(V195&lt;&gt;V194,CHAR(10)&amp;UPPER(LEFT(V195,1))&amp;MID(V195,2,20)&amp;":"&amp;CHAR(10),"")&amp;"   "&amp;IF(INDEX('ORDENES'!$AI$4:$AI$1203,U195)="","(s/t)",INDEX('ORDENES'!$AI$4:$AI$1203,U195))&amp;" · "&amp;IF(INDEX('ORDENES'!$AH$4:$AH$1203,U195)="","(sin técnico)",INDEX('ORDENES'!$AH$4:$AH$1203,U195))&amp;" · "&amp;INDEX('ORDENES'!$AU$4:$AU$1203,U195)&amp;" — "&amp;INDEX('ORDENES'!$D$4:$D$1203,U195)&amp;" ("&amp;TEXT(INDEX('ORDENES'!$M$4:$M$1203,U195),"0.#")&amp;" h)")</f>
        <v/>
      </c>
    </row>
    <row r="196">
      <c r="K196" s="24">
        <f>IF(AND(IF($B$3="(todos)",TRUE,'ORDENES'!$O192=$B$3),IF($D$3="(todos)",TRUE,'ORDENES'!$AI192=$D$3),IF($F$3="(todos)",TRUE,'ORDENES'!$AA192=$F$3),IF($H$3="(todos)",TRUE,'ORDENES'!$Z192=$H$3),'ORDENES'!$AG192=TRUE,'ORDENES'!$A192&lt;&gt;""),1,0)</f>
        <v/>
      </c>
      <c r="L196" s="24">
        <f>IF(K196=1,IFERROR(MATCH('ORDENES'!$S192,lista_dias,0),9)*1000000000+IFERROR(MATCH('ORDENES'!$AI192,lista_turnos,0),9)*10000000+IFERROR(MATCH('ORDENES'!$AH192,'TECNICOS'!$B$4:$B$19,0),99)*100000+189,9000000000000+189)</f>
        <v/>
      </c>
      <c r="M196" s="24">
        <f>IF(K196=1,SUMPRODUCT(--($L$8:$L$1207&lt;L196))+1,"")</f>
        <v/>
      </c>
      <c r="N196" s="25">
        <f>IF(K196=1,N('ORDENES'!$M192),0)</f>
        <v/>
      </c>
      <c r="O196" s="25">
        <f>IF('ORDENES'!$U192="preventiva",N196,0)</f>
        <v/>
      </c>
      <c r="P196" s="25">
        <f>IF('ORDENES'!$U192="correctiva",N196,0)</f>
        <v/>
      </c>
      <c r="Q196" s="24">
        <f>IF(AND(K196=1,'ORDENES'!$N192="Pendiente"),1,0)</f>
        <v/>
      </c>
      <c r="R196" s="24">
        <f>IF(Q196=1,100000-N196*1000+189*0.01,9000000000000+189)</f>
        <v/>
      </c>
      <c r="S196" s="24">
        <f>IF(Q196=1,SUMPRODUCT(--($R$8:$R$1207&lt;R196))+1,"")</f>
        <v/>
      </c>
      <c r="T196" s="30">
        <f>IF(K196=1,'ORDENES'!$J192,"")</f>
        <v/>
      </c>
      <c r="U196" s="24">
        <f>IFERROR(MATCH(189,$M$8:$M$1207,0),"")</f>
        <v/>
      </c>
      <c r="V196" s="24">
        <f>IF(U196="","",INDEX('ORDENES'!$S$4:$S$1203,U196))</f>
        <v/>
      </c>
      <c r="W196" s="24">
        <f>IF(U196="","",IF(V196&lt;&gt;V195,CHAR(10)&amp;UPPER(LEFT(V196,1))&amp;MID(V196,2,20)&amp;":"&amp;CHAR(10),"")&amp;"   "&amp;IF(INDEX('ORDENES'!$AI$4:$AI$1203,U196)="","(s/t)",INDEX('ORDENES'!$AI$4:$AI$1203,U196))&amp;" · "&amp;IF(INDEX('ORDENES'!$AH$4:$AH$1203,U196)="","(sin técnico)",INDEX('ORDENES'!$AH$4:$AH$1203,U196))&amp;" · "&amp;INDEX('ORDENES'!$AU$4:$AU$1203,U196)&amp;" — "&amp;INDEX('ORDENES'!$D$4:$D$1203,U196)&amp;" ("&amp;TEXT(INDEX('ORDENES'!$M$4:$M$1203,U196),"0.#")&amp;" h)")</f>
        <v/>
      </c>
    </row>
    <row r="197">
      <c r="K197" s="24">
        <f>IF(AND(IF($B$3="(todos)",TRUE,'ORDENES'!$O193=$B$3),IF($D$3="(todos)",TRUE,'ORDENES'!$AI193=$D$3),IF($F$3="(todos)",TRUE,'ORDENES'!$AA193=$F$3),IF($H$3="(todos)",TRUE,'ORDENES'!$Z193=$H$3),'ORDENES'!$AG193=TRUE,'ORDENES'!$A193&lt;&gt;""),1,0)</f>
        <v/>
      </c>
      <c r="L197" s="24">
        <f>IF(K197=1,IFERROR(MATCH('ORDENES'!$S193,lista_dias,0),9)*1000000000+IFERROR(MATCH('ORDENES'!$AI193,lista_turnos,0),9)*10000000+IFERROR(MATCH('ORDENES'!$AH193,'TECNICOS'!$B$4:$B$19,0),99)*100000+190,9000000000000+190)</f>
        <v/>
      </c>
      <c r="M197" s="24">
        <f>IF(K197=1,SUMPRODUCT(--($L$8:$L$1207&lt;L197))+1,"")</f>
        <v/>
      </c>
      <c r="N197" s="25">
        <f>IF(K197=1,N('ORDENES'!$M193),0)</f>
        <v/>
      </c>
      <c r="O197" s="25">
        <f>IF('ORDENES'!$U193="preventiva",N197,0)</f>
        <v/>
      </c>
      <c r="P197" s="25">
        <f>IF('ORDENES'!$U193="correctiva",N197,0)</f>
        <v/>
      </c>
      <c r="Q197" s="24">
        <f>IF(AND(K197=1,'ORDENES'!$N193="Pendiente"),1,0)</f>
        <v/>
      </c>
      <c r="R197" s="24">
        <f>IF(Q197=1,100000-N197*1000+190*0.01,9000000000000+190)</f>
        <v/>
      </c>
      <c r="S197" s="24">
        <f>IF(Q197=1,SUMPRODUCT(--($R$8:$R$1207&lt;R197))+1,"")</f>
        <v/>
      </c>
      <c r="T197" s="30">
        <f>IF(K197=1,'ORDENES'!$J193,"")</f>
        <v/>
      </c>
      <c r="U197" s="24">
        <f>IFERROR(MATCH(190,$M$8:$M$1207,0),"")</f>
        <v/>
      </c>
      <c r="V197" s="24">
        <f>IF(U197="","",INDEX('ORDENES'!$S$4:$S$1203,U197))</f>
        <v/>
      </c>
      <c r="W197" s="24">
        <f>IF(U197="","",IF(V197&lt;&gt;V196,CHAR(10)&amp;UPPER(LEFT(V197,1))&amp;MID(V197,2,20)&amp;":"&amp;CHAR(10),"")&amp;"   "&amp;IF(INDEX('ORDENES'!$AI$4:$AI$1203,U197)="","(s/t)",INDEX('ORDENES'!$AI$4:$AI$1203,U197))&amp;" · "&amp;IF(INDEX('ORDENES'!$AH$4:$AH$1203,U197)="","(sin técnico)",INDEX('ORDENES'!$AH$4:$AH$1203,U197))&amp;" · "&amp;INDEX('ORDENES'!$AU$4:$AU$1203,U197)&amp;" — "&amp;INDEX('ORDENES'!$D$4:$D$1203,U197)&amp;" ("&amp;TEXT(INDEX('ORDENES'!$M$4:$M$1203,U197),"0.#")&amp;" h)")</f>
        <v/>
      </c>
    </row>
    <row r="198">
      <c r="K198" s="24">
        <f>IF(AND(IF($B$3="(todos)",TRUE,'ORDENES'!$O194=$B$3),IF($D$3="(todos)",TRUE,'ORDENES'!$AI194=$D$3),IF($F$3="(todos)",TRUE,'ORDENES'!$AA194=$F$3),IF($H$3="(todos)",TRUE,'ORDENES'!$Z194=$H$3),'ORDENES'!$AG194=TRUE,'ORDENES'!$A194&lt;&gt;""),1,0)</f>
        <v/>
      </c>
      <c r="L198" s="24">
        <f>IF(K198=1,IFERROR(MATCH('ORDENES'!$S194,lista_dias,0),9)*1000000000+IFERROR(MATCH('ORDENES'!$AI194,lista_turnos,0),9)*10000000+IFERROR(MATCH('ORDENES'!$AH194,'TECNICOS'!$B$4:$B$19,0),99)*100000+191,9000000000000+191)</f>
        <v/>
      </c>
      <c r="M198" s="24">
        <f>IF(K198=1,SUMPRODUCT(--($L$8:$L$1207&lt;L198))+1,"")</f>
        <v/>
      </c>
      <c r="N198" s="25">
        <f>IF(K198=1,N('ORDENES'!$M194),0)</f>
        <v/>
      </c>
      <c r="O198" s="25">
        <f>IF('ORDENES'!$U194="preventiva",N198,0)</f>
        <v/>
      </c>
      <c r="P198" s="25">
        <f>IF('ORDENES'!$U194="correctiva",N198,0)</f>
        <v/>
      </c>
      <c r="Q198" s="24">
        <f>IF(AND(K198=1,'ORDENES'!$N194="Pendiente"),1,0)</f>
        <v/>
      </c>
      <c r="R198" s="24">
        <f>IF(Q198=1,100000-N198*1000+191*0.01,9000000000000+191)</f>
        <v/>
      </c>
      <c r="S198" s="24">
        <f>IF(Q198=1,SUMPRODUCT(--($R$8:$R$1207&lt;R198))+1,"")</f>
        <v/>
      </c>
      <c r="T198" s="30">
        <f>IF(K198=1,'ORDENES'!$J194,"")</f>
        <v/>
      </c>
      <c r="U198" s="24">
        <f>IFERROR(MATCH(191,$M$8:$M$1207,0),"")</f>
        <v/>
      </c>
      <c r="V198" s="24">
        <f>IF(U198="","",INDEX('ORDENES'!$S$4:$S$1203,U198))</f>
        <v/>
      </c>
      <c r="W198" s="24">
        <f>IF(U198="","",IF(V198&lt;&gt;V197,CHAR(10)&amp;UPPER(LEFT(V198,1))&amp;MID(V198,2,20)&amp;":"&amp;CHAR(10),"")&amp;"   "&amp;IF(INDEX('ORDENES'!$AI$4:$AI$1203,U198)="","(s/t)",INDEX('ORDENES'!$AI$4:$AI$1203,U198))&amp;" · "&amp;IF(INDEX('ORDENES'!$AH$4:$AH$1203,U198)="","(sin técnico)",INDEX('ORDENES'!$AH$4:$AH$1203,U198))&amp;" · "&amp;INDEX('ORDENES'!$AU$4:$AU$1203,U198)&amp;" — "&amp;INDEX('ORDENES'!$D$4:$D$1203,U198)&amp;" ("&amp;TEXT(INDEX('ORDENES'!$M$4:$M$1203,U198),"0.#")&amp;" h)")</f>
        <v/>
      </c>
    </row>
    <row r="199">
      <c r="K199" s="24">
        <f>IF(AND(IF($B$3="(todos)",TRUE,'ORDENES'!$O195=$B$3),IF($D$3="(todos)",TRUE,'ORDENES'!$AI195=$D$3),IF($F$3="(todos)",TRUE,'ORDENES'!$AA195=$F$3),IF($H$3="(todos)",TRUE,'ORDENES'!$Z195=$H$3),'ORDENES'!$AG195=TRUE,'ORDENES'!$A195&lt;&gt;""),1,0)</f>
        <v/>
      </c>
      <c r="L199" s="24">
        <f>IF(K199=1,IFERROR(MATCH('ORDENES'!$S195,lista_dias,0),9)*1000000000+IFERROR(MATCH('ORDENES'!$AI195,lista_turnos,0),9)*10000000+IFERROR(MATCH('ORDENES'!$AH195,'TECNICOS'!$B$4:$B$19,0),99)*100000+192,9000000000000+192)</f>
        <v/>
      </c>
      <c r="M199" s="24">
        <f>IF(K199=1,SUMPRODUCT(--($L$8:$L$1207&lt;L199))+1,"")</f>
        <v/>
      </c>
      <c r="N199" s="25">
        <f>IF(K199=1,N('ORDENES'!$M195),0)</f>
        <v/>
      </c>
      <c r="O199" s="25">
        <f>IF('ORDENES'!$U195="preventiva",N199,0)</f>
        <v/>
      </c>
      <c r="P199" s="25">
        <f>IF('ORDENES'!$U195="correctiva",N199,0)</f>
        <v/>
      </c>
      <c r="Q199" s="24">
        <f>IF(AND(K199=1,'ORDENES'!$N195="Pendiente"),1,0)</f>
        <v/>
      </c>
      <c r="R199" s="24">
        <f>IF(Q199=1,100000-N199*1000+192*0.01,9000000000000+192)</f>
        <v/>
      </c>
      <c r="S199" s="24">
        <f>IF(Q199=1,SUMPRODUCT(--($R$8:$R$1207&lt;R199))+1,"")</f>
        <v/>
      </c>
      <c r="T199" s="30">
        <f>IF(K199=1,'ORDENES'!$J195,"")</f>
        <v/>
      </c>
      <c r="U199" s="24">
        <f>IFERROR(MATCH(192,$M$8:$M$1207,0),"")</f>
        <v/>
      </c>
      <c r="V199" s="24">
        <f>IF(U199="","",INDEX('ORDENES'!$S$4:$S$1203,U199))</f>
        <v/>
      </c>
      <c r="W199" s="24">
        <f>IF(U199="","",IF(V199&lt;&gt;V198,CHAR(10)&amp;UPPER(LEFT(V199,1))&amp;MID(V199,2,20)&amp;":"&amp;CHAR(10),"")&amp;"   "&amp;IF(INDEX('ORDENES'!$AI$4:$AI$1203,U199)="","(s/t)",INDEX('ORDENES'!$AI$4:$AI$1203,U199))&amp;" · "&amp;IF(INDEX('ORDENES'!$AH$4:$AH$1203,U199)="","(sin técnico)",INDEX('ORDENES'!$AH$4:$AH$1203,U199))&amp;" · "&amp;INDEX('ORDENES'!$AU$4:$AU$1203,U199)&amp;" — "&amp;INDEX('ORDENES'!$D$4:$D$1203,U199)&amp;" ("&amp;TEXT(INDEX('ORDENES'!$M$4:$M$1203,U199),"0.#")&amp;" h)")</f>
        <v/>
      </c>
    </row>
    <row r="200">
      <c r="K200" s="24">
        <f>IF(AND(IF($B$3="(todos)",TRUE,'ORDENES'!$O196=$B$3),IF($D$3="(todos)",TRUE,'ORDENES'!$AI196=$D$3),IF($F$3="(todos)",TRUE,'ORDENES'!$AA196=$F$3),IF($H$3="(todos)",TRUE,'ORDENES'!$Z196=$H$3),'ORDENES'!$AG196=TRUE,'ORDENES'!$A196&lt;&gt;""),1,0)</f>
        <v/>
      </c>
      <c r="L200" s="24">
        <f>IF(K200=1,IFERROR(MATCH('ORDENES'!$S196,lista_dias,0),9)*1000000000+IFERROR(MATCH('ORDENES'!$AI196,lista_turnos,0),9)*10000000+IFERROR(MATCH('ORDENES'!$AH196,'TECNICOS'!$B$4:$B$19,0),99)*100000+193,9000000000000+193)</f>
        <v/>
      </c>
      <c r="M200" s="24">
        <f>IF(K200=1,SUMPRODUCT(--($L$8:$L$1207&lt;L200))+1,"")</f>
        <v/>
      </c>
      <c r="N200" s="25">
        <f>IF(K200=1,N('ORDENES'!$M196),0)</f>
        <v/>
      </c>
      <c r="O200" s="25">
        <f>IF('ORDENES'!$U196="preventiva",N200,0)</f>
        <v/>
      </c>
      <c r="P200" s="25">
        <f>IF('ORDENES'!$U196="correctiva",N200,0)</f>
        <v/>
      </c>
      <c r="Q200" s="24">
        <f>IF(AND(K200=1,'ORDENES'!$N196="Pendiente"),1,0)</f>
        <v/>
      </c>
      <c r="R200" s="24">
        <f>IF(Q200=1,100000-N200*1000+193*0.01,9000000000000+193)</f>
        <v/>
      </c>
      <c r="S200" s="24">
        <f>IF(Q200=1,SUMPRODUCT(--($R$8:$R$1207&lt;R200))+1,"")</f>
        <v/>
      </c>
      <c r="T200" s="30">
        <f>IF(K200=1,'ORDENES'!$J196,"")</f>
        <v/>
      </c>
      <c r="U200" s="24">
        <f>IFERROR(MATCH(193,$M$8:$M$1207,0),"")</f>
        <v/>
      </c>
      <c r="V200" s="24">
        <f>IF(U200="","",INDEX('ORDENES'!$S$4:$S$1203,U200))</f>
        <v/>
      </c>
      <c r="W200" s="24">
        <f>IF(U200="","",IF(V200&lt;&gt;V199,CHAR(10)&amp;UPPER(LEFT(V200,1))&amp;MID(V200,2,20)&amp;":"&amp;CHAR(10),"")&amp;"   "&amp;IF(INDEX('ORDENES'!$AI$4:$AI$1203,U200)="","(s/t)",INDEX('ORDENES'!$AI$4:$AI$1203,U200))&amp;" · "&amp;IF(INDEX('ORDENES'!$AH$4:$AH$1203,U200)="","(sin técnico)",INDEX('ORDENES'!$AH$4:$AH$1203,U200))&amp;" · "&amp;INDEX('ORDENES'!$AU$4:$AU$1203,U200)&amp;" — "&amp;INDEX('ORDENES'!$D$4:$D$1203,U200)&amp;" ("&amp;TEXT(INDEX('ORDENES'!$M$4:$M$1203,U200),"0.#")&amp;" h)")</f>
        <v/>
      </c>
    </row>
    <row r="201">
      <c r="K201" s="24">
        <f>IF(AND(IF($B$3="(todos)",TRUE,'ORDENES'!$O197=$B$3),IF($D$3="(todos)",TRUE,'ORDENES'!$AI197=$D$3),IF($F$3="(todos)",TRUE,'ORDENES'!$AA197=$F$3),IF($H$3="(todos)",TRUE,'ORDENES'!$Z197=$H$3),'ORDENES'!$AG197=TRUE,'ORDENES'!$A197&lt;&gt;""),1,0)</f>
        <v/>
      </c>
      <c r="L201" s="24">
        <f>IF(K201=1,IFERROR(MATCH('ORDENES'!$S197,lista_dias,0),9)*1000000000+IFERROR(MATCH('ORDENES'!$AI197,lista_turnos,0),9)*10000000+IFERROR(MATCH('ORDENES'!$AH197,'TECNICOS'!$B$4:$B$19,0),99)*100000+194,9000000000000+194)</f>
        <v/>
      </c>
      <c r="M201" s="24">
        <f>IF(K201=1,SUMPRODUCT(--($L$8:$L$1207&lt;L201))+1,"")</f>
        <v/>
      </c>
      <c r="N201" s="25">
        <f>IF(K201=1,N('ORDENES'!$M197),0)</f>
        <v/>
      </c>
      <c r="O201" s="25">
        <f>IF('ORDENES'!$U197="preventiva",N201,0)</f>
        <v/>
      </c>
      <c r="P201" s="25">
        <f>IF('ORDENES'!$U197="correctiva",N201,0)</f>
        <v/>
      </c>
      <c r="Q201" s="24">
        <f>IF(AND(K201=1,'ORDENES'!$N197="Pendiente"),1,0)</f>
        <v/>
      </c>
      <c r="R201" s="24">
        <f>IF(Q201=1,100000-N201*1000+194*0.01,9000000000000+194)</f>
        <v/>
      </c>
      <c r="S201" s="24">
        <f>IF(Q201=1,SUMPRODUCT(--($R$8:$R$1207&lt;R201))+1,"")</f>
        <v/>
      </c>
      <c r="T201" s="30">
        <f>IF(K201=1,'ORDENES'!$J197,"")</f>
        <v/>
      </c>
      <c r="U201" s="24">
        <f>IFERROR(MATCH(194,$M$8:$M$1207,0),"")</f>
        <v/>
      </c>
      <c r="V201" s="24">
        <f>IF(U201="","",INDEX('ORDENES'!$S$4:$S$1203,U201))</f>
        <v/>
      </c>
      <c r="W201" s="24">
        <f>IF(U201="","",IF(V201&lt;&gt;V200,CHAR(10)&amp;UPPER(LEFT(V201,1))&amp;MID(V201,2,20)&amp;":"&amp;CHAR(10),"")&amp;"   "&amp;IF(INDEX('ORDENES'!$AI$4:$AI$1203,U201)="","(s/t)",INDEX('ORDENES'!$AI$4:$AI$1203,U201))&amp;" · "&amp;IF(INDEX('ORDENES'!$AH$4:$AH$1203,U201)="","(sin técnico)",INDEX('ORDENES'!$AH$4:$AH$1203,U201))&amp;" · "&amp;INDEX('ORDENES'!$AU$4:$AU$1203,U201)&amp;" — "&amp;INDEX('ORDENES'!$D$4:$D$1203,U201)&amp;" ("&amp;TEXT(INDEX('ORDENES'!$M$4:$M$1203,U201),"0.#")&amp;" h)")</f>
        <v/>
      </c>
    </row>
    <row r="202">
      <c r="K202" s="24">
        <f>IF(AND(IF($B$3="(todos)",TRUE,'ORDENES'!$O198=$B$3),IF($D$3="(todos)",TRUE,'ORDENES'!$AI198=$D$3),IF($F$3="(todos)",TRUE,'ORDENES'!$AA198=$F$3),IF($H$3="(todos)",TRUE,'ORDENES'!$Z198=$H$3),'ORDENES'!$AG198=TRUE,'ORDENES'!$A198&lt;&gt;""),1,0)</f>
        <v/>
      </c>
      <c r="L202" s="24">
        <f>IF(K202=1,IFERROR(MATCH('ORDENES'!$S198,lista_dias,0),9)*1000000000+IFERROR(MATCH('ORDENES'!$AI198,lista_turnos,0),9)*10000000+IFERROR(MATCH('ORDENES'!$AH198,'TECNICOS'!$B$4:$B$19,0),99)*100000+195,9000000000000+195)</f>
        <v/>
      </c>
      <c r="M202" s="24">
        <f>IF(K202=1,SUMPRODUCT(--($L$8:$L$1207&lt;L202))+1,"")</f>
        <v/>
      </c>
      <c r="N202" s="25">
        <f>IF(K202=1,N('ORDENES'!$M198),0)</f>
        <v/>
      </c>
      <c r="O202" s="25">
        <f>IF('ORDENES'!$U198="preventiva",N202,0)</f>
        <v/>
      </c>
      <c r="P202" s="25">
        <f>IF('ORDENES'!$U198="correctiva",N202,0)</f>
        <v/>
      </c>
      <c r="Q202" s="24">
        <f>IF(AND(K202=1,'ORDENES'!$N198="Pendiente"),1,0)</f>
        <v/>
      </c>
      <c r="R202" s="24">
        <f>IF(Q202=1,100000-N202*1000+195*0.01,9000000000000+195)</f>
        <v/>
      </c>
      <c r="S202" s="24">
        <f>IF(Q202=1,SUMPRODUCT(--($R$8:$R$1207&lt;R202))+1,"")</f>
        <v/>
      </c>
      <c r="T202" s="30">
        <f>IF(K202=1,'ORDENES'!$J198,"")</f>
        <v/>
      </c>
      <c r="U202" s="24">
        <f>IFERROR(MATCH(195,$M$8:$M$1207,0),"")</f>
        <v/>
      </c>
      <c r="V202" s="24">
        <f>IF(U202="","",INDEX('ORDENES'!$S$4:$S$1203,U202))</f>
        <v/>
      </c>
      <c r="W202" s="24">
        <f>IF(U202="","",IF(V202&lt;&gt;V201,CHAR(10)&amp;UPPER(LEFT(V202,1))&amp;MID(V202,2,20)&amp;":"&amp;CHAR(10),"")&amp;"   "&amp;IF(INDEX('ORDENES'!$AI$4:$AI$1203,U202)="","(s/t)",INDEX('ORDENES'!$AI$4:$AI$1203,U202))&amp;" · "&amp;IF(INDEX('ORDENES'!$AH$4:$AH$1203,U202)="","(sin técnico)",INDEX('ORDENES'!$AH$4:$AH$1203,U202))&amp;" · "&amp;INDEX('ORDENES'!$AU$4:$AU$1203,U202)&amp;" — "&amp;INDEX('ORDENES'!$D$4:$D$1203,U202)&amp;" ("&amp;TEXT(INDEX('ORDENES'!$M$4:$M$1203,U202),"0.#")&amp;" h)")</f>
        <v/>
      </c>
    </row>
    <row r="203">
      <c r="K203" s="24">
        <f>IF(AND(IF($B$3="(todos)",TRUE,'ORDENES'!$O199=$B$3),IF($D$3="(todos)",TRUE,'ORDENES'!$AI199=$D$3),IF($F$3="(todos)",TRUE,'ORDENES'!$AA199=$F$3),IF($H$3="(todos)",TRUE,'ORDENES'!$Z199=$H$3),'ORDENES'!$AG199=TRUE,'ORDENES'!$A199&lt;&gt;""),1,0)</f>
        <v/>
      </c>
      <c r="L203" s="24">
        <f>IF(K203=1,IFERROR(MATCH('ORDENES'!$S199,lista_dias,0),9)*1000000000+IFERROR(MATCH('ORDENES'!$AI199,lista_turnos,0),9)*10000000+IFERROR(MATCH('ORDENES'!$AH199,'TECNICOS'!$B$4:$B$19,0),99)*100000+196,9000000000000+196)</f>
        <v/>
      </c>
      <c r="M203" s="24">
        <f>IF(K203=1,SUMPRODUCT(--($L$8:$L$1207&lt;L203))+1,"")</f>
        <v/>
      </c>
      <c r="N203" s="25">
        <f>IF(K203=1,N('ORDENES'!$M199),0)</f>
        <v/>
      </c>
      <c r="O203" s="25">
        <f>IF('ORDENES'!$U199="preventiva",N203,0)</f>
        <v/>
      </c>
      <c r="P203" s="25">
        <f>IF('ORDENES'!$U199="correctiva",N203,0)</f>
        <v/>
      </c>
      <c r="Q203" s="24">
        <f>IF(AND(K203=1,'ORDENES'!$N199="Pendiente"),1,0)</f>
        <v/>
      </c>
      <c r="R203" s="24">
        <f>IF(Q203=1,100000-N203*1000+196*0.01,9000000000000+196)</f>
        <v/>
      </c>
      <c r="S203" s="24">
        <f>IF(Q203=1,SUMPRODUCT(--($R$8:$R$1207&lt;R203))+1,"")</f>
        <v/>
      </c>
      <c r="T203" s="30">
        <f>IF(K203=1,'ORDENES'!$J199,"")</f>
        <v/>
      </c>
      <c r="U203" s="24">
        <f>IFERROR(MATCH(196,$M$8:$M$1207,0),"")</f>
        <v/>
      </c>
      <c r="V203" s="24">
        <f>IF(U203="","",INDEX('ORDENES'!$S$4:$S$1203,U203))</f>
        <v/>
      </c>
      <c r="W203" s="24">
        <f>IF(U203="","",IF(V203&lt;&gt;V202,CHAR(10)&amp;UPPER(LEFT(V203,1))&amp;MID(V203,2,20)&amp;":"&amp;CHAR(10),"")&amp;"   "&amp;IF(INDEX('ORDENES'!$AI$4:$AI$1203,U203)="","(s/t)",INDEX('ORDENES'!$AI$4:$AI$1203,U203))&amp;" · "&amp;IF(INDEX('ORDENES'!$AH$4:$AH$1203,U203)="","(sin técnico)",INDEX('ORDENES'!$AH$4:$AH$1203,U203))&amp;" · "&amp;INDEX('ORDENES'!$AU$4:$AU$1203,U203)&amp;" — "&amp;INDEX('ORDENES'!$D$4:$D$1203,U203)&amp;" ("&amp;TEXT(INDEX('ORDENES'!$M$4:$M$1203,U203),"0.#")&amp;" h)")</f>
        <v/>
      </c>
    </row>
    <row r="204">
      <c r="K204" s="24">
        <f>IF(AND(IF($B$3="(todos)",TRUE,'ORDENES'!$O200=$B$3),IF($D$3="(todos)",TRUE,'ORDENES'!$AI200=$D$3),IF($F$3="(todos)",TRUE,'ORDENES'!$AA200=$F$3),IF($H$3="(todos)",TRUE,'ORDENES'!$Z200=$H$3),'ORDENES'!$AG200=TRUE,'ORDENES'!$A200&lt;&gt;""),1,0)</f>
        <v/>
      </c>
      <c r="L204" s="24">
        <f>IF(K204=1,IFERROR(MATCH('ORDENES'!$S200,lista_dias,0),9)*1000000000+IFERROR(MATCH('ORDENES'!$AI200,lista_turnos,0),9)*10000000+IFERROR(MATCH('ORDENES'!$AH200,'TECNICOS'!$B$4:$B$19,0),99)*100000+197,9000000000000+197)</f>
        <v/>
      </c>
      <c r="M204" s="24">
        <f>IF(K204=1,SUMPRODUCT(--($L$8:$L$1207&lt;L204))+1,"")</f>
        <v/>
      </c>
      <c r="N204" s="25">
        <f>IF(K204=1,N('ORDENES'!$M200),0)</f>
        <v/>
      </c>
      <c r="O204" s="25">
        <f>IF('ORDENES'!$U200="preventiva",N204,0)</f>
        <v/>
      </c>
      <c r="P204" s="25">
        <f>IF('ORDENES'!$U200="correctiva",N204,0)</f>
        <v/>
      </c>
      <c r="Q204" s="24">
        <f>IF(AND(K204=1,'ORDENES'!$N200="Pendiente"),1,0)</f>
        <v/>
      </c>
      <c r="R204" s="24">
        <f>IF(Q204=1,100000-N204*1000+197*0.01,9000000000000+197)</f>
        <v/>
      </c>
      <c r="S204" s="24">
        <f>IF(Q204=1,SUMPRODUCT(--($R$8:$R$1207&lt;R204))+1,"")</f>
        <v/>
      </c>
      <c r="T204" s="30">
        <f>IF(K204=1,'ORDENES'!$J200,"")</f>
        <v/>
      </c>
      <c r="U204" s="24">
        <f>IFERROR(MATCH(197,$M$8:$M$1207,0),"")</f>
        <v/>
      </c>
      <c r="V204" s="24">
        <f>IF(U204="","",INDEX('ORDENES'!$S$4:$S$1203,U204))</f>
        <v/>
      </c>
      <c r="W204" s="24">
        <f>IF(U204="","",IF(V204&lt;&gt;V203,CHAR(10)&amp;UPPER(LEFT(V204,1))&amp;MID(V204,2,20)&amp;":"&amp;CHAR(10),"")&amp;"   "&amp;IF(INDEX('ORDENES'!$AI$4:$AI$1203,U204)="","(s/t)",INDEX('ORDENES'!$AI$4:$AI$1203,U204))&amp;" · "&amp;IF(INDEX('ORDENES'!$AH$4:$AH$1203,U204)="","(sin técnico)",INDEX('ORDENES'!$AH$4:$AH$1203,U204))&amp;" · "&amp;INDEX('ORDENES'!$AU$4:$AU$1203,U204)&amp;" — "&amp;INDEX('ORDENES'!$D$4:$D$1203,U204)&amp;" ("&amp;TEXT(INDEX('ORDENES'!$M$4:$M$1203,U204),"0.#")&amp;" h)")</f>
        <v/>
      </c>
    </row>
    <row r="205">
      <c r="K205" s="24">
        <f>IF(AND(IF($B$3="(todos)",TRUE,'ORDENES'!$O201=$B$3),IF($D$3="(todos)",TRUE,'ORDENES'!$AI201=$D$3),IF($F$3="(todos)",TRUE,'ORDENES'!$AA201=$F$3),IF($H$3="(todos)",TRUE,'ORDENES'!$Z201=$H$3),'ORDENES'!$AG201=TRUE,'ORDENES'!$A201&lt;&gt;""),1,0)</f>
        <v/>
      </c>
      <c r="L205" s="24">
        <f>IF(K205=1,IFERROR(MATCH('ORDENES'!$S201,lista_dias,0),9)*1000000000+IFERROR(MATCH('ORDENES'!$AI201,lista_turnos,0),9)*10000000+IFERROR(MATCH('ORDENES'!$AH201,'TECNICOS'!$B$4:$B$19,0),99)*100000+198,9000000000000+198)</f>
        <v/>
      </c>
      <c r="M205" s="24">
        <f>IF(K205=1,SUMPRODUCT(--($L$8:$L$1207&lt;L205))+1,"")</f>
        <v/>
      </c>
      <c r="N205" s="25">
        <f>IF(K205=1,N('ORDENES'!$M201),0)</f>
        <v/>
      </c>
      <c r="O205" s="25">
        <f>IF('ORDENES'!$U201="preventiva",N205,0)</f>
        <v/>
      </c>
      <c r="P205" s="25">
        <f>IF('ORDENES'!$U201="correctiva",N205,0)</f>
        <v/>
      </c>
      <c r="Q205" s="24">
        <f>IF(AND(K205=1,'ORDENES'!$N201="Pendiente"),1,0)</f>
        <v/>
      </c>
      <c r="R205" s="24">
        <f>IF(Q205=1,100000-N205*1000+198*0.01,9000000000000+198)</f>
        <v/>
      </c>
      <c r="S205" s="24">
        <f>IF(Q205=1,SUMPRODUCT(--($R$8:$R$1207&lt;R205))+1,"")</f>
        <v/>
      </c>
      <c r="T205" s="30">
        <f>IF(K205=1,'ORDENES'!$J201,"")</f>
        <v/>
      </c>
      <c r="U205" s="24">
        <f>IFERROR(MATCH(198,$M$8:$M$1207,0),"")</f>
        <v/>
      </c>
      <c r="V205" s="24">
        <f>IF(U205="","",INDEX('ORDENES'!$S$4:$S$1203,U205))</f>
        <v/>
      </c>
      <c r="W205" s="24">
        <f>IF(U205="","",IF(V205&lt;&gt;V204,CHAR(10)&amp;UPPER(LEFT(V205,1))&amp;MID(V205,2,20)&amp;":"&amp;CHAR(10),"")&amp;"   "&amp;IF(INDEX('ORDENES'!$AI$4:$AI$1203,U205)="","(s/t)",INDEX('ORDENES'!$AI$4:$AI$1203,U205))&amp;" · "&amp;IF(INDEX('ORDENES'!$AH$4:$AH$1203,U205)="","(sin técnico)",INDEX('ORDENES'!$AH$4:$AH$1203,U205))&amp;" · "&amp;INDEX('ORDENES'!$AU$4:$AU$1203,U205)&amp;" — "&amp;INDEX('ORDENES'!$D$4:$D$1203,U205)&amp;" ("&amp;TEXT(INDEX('ORDENES'!$M$4:$M$1203,U205),"0.#")&amp;" h)")</f>
        <v/>
      </c>
    </row>
    <row r="206">
      <c r="K206" s="24">
        <f>IF(AND(IF($B$3="(todos)",TRUE,'ORDENES'!$O202=$B$3),IF($D$3="(todos)",TRUE,'ORDENES'!$AI202=$D$3),IF($F$3="(todos)",TRUE,'ORDENES'!$AA202=$F$3),IF($H$3="(todos)",TRUE,'ORDENES'!$Z202=$H$3),'ORDENES'!$AG202=TRUE,'ORDENES'!$A202&lt;&gt;""),1,0)</f>
        <v/>
      </c>
      <c r="L206" s="24">
        <f>IF(K206=1,IFERROR(MATCH('ORDENES'!$S202,lista_dias,0),9)*1000000000+IFERROR(MATCH('ORDENES'!$AI202,lista_turnos,0),9)*10000000+IFERROR(MATCH('ORDENES'!$AH202,'TECNICOS'!$B$4:$B$19,0),99)*100000+199,9000000000000+199)</f>
        <v/>
      </c>
      <c r="M206" s="24">
        <f>IF(K206=1,SUMPRODUCT(--($L$8:$L$1207&lt;L206))+1,"")</f>
        <v/>
      </c>
      <c r="N206" s="25">
        <f>IF(K206=1,N('ORDENES'!$M202),0)</f>
        <v/>
      </c>
      <c r="O206" s="25">
        <f>IF('ORDENES'!$U202="preventiva",N206,0)</f>
        <v/>
      </c>
      <c r="P206" s="25">
        <f>IF('ORDENES'!$U202="correctiva",N206,0)</f>
        <v/>
      </c>
      <c r="Q206" s="24">
        <f>IF(AND(K206=1,'ORDENES'!$N202="Pendiente"),1,0)</f>
        <v/>
      </c>
      <c r="R206" s="24">
        <f>IF(Q206=1,100000-N206*1000+199*0.01,9000000000000+199)</f>
        <v/>
      </c>
      <c r="S206" s="24">
        <f>IF(Q206=1,SUMPRODUCT(--($R$8:$R$1207&lt;R206))+1,"")</f>
        <v/>
      </c>
      <c r="T206" s="30">
        <f>IF(K206=1,'ORDENES'!$J202,"")</f>
        <v/>
      </c>
      <c r="U206" s="24">
        <f>IFERROR(MATCH(199,$M$8:$M$1207,0),"")</f>
        <v/>
      </c>
      <c r="V206" s="24">
        <f>IF(U206="","",INDEX('ORDENES'!$S$4:$S$1203,U206))</f>
        <v/>
      </c>
      <c r="W206" s="24">
        <f>IF(U206="","",IF(V206&lt;&gt;V205,CHAR(10)&amp;UPPER(LEFT(V206,1))&amp;MID(V206,2,20)&amp;":"&amp;CHAR(10),"")&amp;"   "&amp;IF(INDEX('ORDENES'!$AI$4:$AI$1203,U206)="","(s/t)",INDEX('ORDENES'!$AI$4:$AI$1203,U206))&amp;" · "&amp;IF(INDEX('ORDENES'!$AH$4:$AH$1203,U206)="","(sin técnico)",INDEX('ORDENES'!$AH$4:$AH$1203,U206))&amp;" · "&amp;INDEX('ORDENES'!$AU$4:$AU$1203,U206)&amp;" — "&amp;INDEX('ORDENES'!$D$4:$D$1203,U206)&amp;" ("&amp;TEXT(INDEX('ORDENES'!$M$4:$M$1203,U206),"0.#")&amp;" h)")</f>
        <v/>
      </c>
    </row>
    <row r="207">
      <c r="K207" s="24">
        <f>IF(AND(IF($B$3="(todos)",TRUE,'ORDENES'!$O203=$B$3),IF($D$3="(todos)",TRUE,'ORDENES'!$AI203=$D$3),IF($F$3="(todos)",TRUE,'ORDENES'!$AA203=$F$3),IF($H$3="(todos)",TRUE,'ORDENES'!$Z203=$H$3),'ORDENES'!$AG203=TRUE,'ORDENES'!$A203&lt;&gt;""),1,0)</f>
        <v/>
      </c>
      <c r="L207" s="24">
        <f>IF(K207=1,IFERROR(MATCH('ORDENES'!$S203,lista_dias,0),9)*1000000000+IFERROR(MATCH('ORDENES'!$AI203,lista_turnos,0),9)*10000000+IFERROR(MATCH('ORDENES'!$AH203,'TECNICOS'!$B$4:$B$19,0),99)*100000+200,9000000000000+200)</f>
        <v/>
      </c>
      <c r="M207" s="24">
        <f>IF(K207=1,SUMPRODUCT(--($L$8:$L$1207&lt;L207))+1,"")</f>
        <v/>
      </c>
      <c r="N207" s="25">
        <f>IF(K207=1,N('ORDENES'!$M203),0)</f>
        <v/>
      </c>
      <c r="O207" s="25">
        <f>IF('ORDENES'!$U203="preventiva",N207,0)</f>
        <v/>
      </c>
      <c r="P207" s="25">
        <f>IF('ORDENES'!$U203="correctiva",N207,0)</f>
        <v/>
      </c>
      <c r="Q207" s="24">
        <f>IF(AND(K207=1,'ORDENES'!$N203="Pendiente"),1,0)</f>
        <v/>
      </c>
      <c r="R207" s="24">
        <f>IF(Q207=1,100000-N207*1000+200*0.01,9000000000000+200)</f>
        <v/>
      </c>
      <c r="S207" s="24">
        <f>IF(Q207=1,SUMPRODUCT(--($R$8:$R$1207&lt;R207))+1,"")</f>
        <v/>
      </c>
      <c r="T207" s="30">
        <f>IF(K207=1,'ORDENES'!$J203,"")</f>
        <v/>
      </c>
      <c r="U207" s="24">
        <f>IFERROR(MATCH(200,$M$8:$M$1207,0),"")</f>
        <v/>
      </c>
      <c r="V207" s="24">
        <f>IF(U207="","",INDEX('ORDENES'!$S$4:$S$1203,U207))</f>
        <v/>
      </c>
      <c r="W207" s="24">
        <f>IF(U207="","",IF(V207&lt;&gt;V206,CHAR(10)&amp;UPPER(LEFT(V207,1))&amp;MID(V207,2,20)&amp;":"&amp;CHAR(10),"")&amp;"   "&amp;IF(INDEX('ORDENES'!$AI$4:$AI$1203,U207)="","(s/t)",INDEX('ORDENES'!$AI$4:$AI$1203,U207))&amp;" · "&amp;IF(INDEX('ORDENES'!$AH$4:$AH$1203,U207)="","(sin técnico)",INDEX('ORDENES'!$AH$4:$AH$1203,U207))&amp;" · "&amp;INDEX('ORDENES'!$AU$4:$AU$1203,U207)&amp;" — "&amp;INDEX('ORDENES'!$D$4:$D$1203,U207)&amp;" ("&amp;TEXT(INDEX('ORDENES'!$M$4:$M$1203,U207),"0.#")&amp;" h)")</f>
        <v/>
      </c>
    </row>
    <row r="208">
      <c r="K208" s="24">
        <f>IF(AND(IF($B$3="(todos)",TRUE,'ORDENES'!$O204=$B$3),IF($D$3="(todos)",TRUE,'ORDENES'!$AI204=$D$3),IF($F$3="(todos)",TRUE,'ORDENES'!$AA204=$F$3),IF($H$3="(todos)",TRUE,'ORDENES'!$Z204=$H$3),'ORDENES'!$AG204=TRUE,'ORDENES'!$A204&lt;&gt;""),1,0)</f>
        <v/>
      </c>
      <c r="L208" s="24">
        <f>IF(K208=1,IFERROR(MATCH('ORDENES'!$S204,lista_dias,0),9)*1000000000+IFERROR(MATCH('ORDENES'!$AI204,lista_turnos,0),9)*10000000+IFERROR(MATCH('ORDENES'!$AH204,'TECNICOS'!$B$4:$B$19,0),99)*100000+201,9000000000000+201)</f>
        <v/>
      </c>
      <c r="M208" s="24">
        <f>IF(K208=1,SUMPRODUCT(--($L$8:$L$1207&lt;L208))+1,"")</f>
        <v/>
      </c>
      <c r="N208" s="25">
        <f>IF(K208=1,N('ORDENES'!$M204),0)</f>
        <v/>
      </c>
      <c r="O208" s="25">
        <f>IF('ORDENES'!$U204="preventiva",N208,0)</f>
        <v/>
      </c>
      <c r="P208" s="25">
        <f>IF('ORDENES'!$U204="correctiva",N208,0)</f>
        <v/>
      </c>
      <c r="Q208" s="24">
        <f>IF(AND(K208=1,'ORDENES'!$N204="Pendiente"),1,0)</f>
        <v/>
      </c>
      <c r="R208" s="24">
        <f>IF(Q208=1,100000-N208*1000+201*0.01,9000000000000+201)</f>
        <v/>
      </c>
      <c r="S208" s="24">
        <f>IF(Q208=1,SUMPRODUCT(--($R$8:$R$1207&lt;R208))+1,"")</f>
        <v/>
      </c>
      <c r="T208" s="30">
        <f>IF(K208=1,'ORDENES'!$J204,"")</f>
        <v/>
      </c>
    </row>
    <row r="209">
      <c r="K209" s="24">
        <f>IF(AND(IF($B$3="(todos)",TRUE,'ORDENES'!$O205=$B$3),IF($D$3="(todos)",TRUE,'ORDENES'!$AI205=$D$3),IF($F$3="(todos)",TRUE,'ORDENES'!$AA205=$F$3),IF($H$3="(todos)",TRUE,'ORDENES'!$Z205=$H$3),'ORDENES'!$AG205=TRUE,'ORDENES'!$A205&lt;&gt;""),1,0)</f>
        <v/>
      </c>
      <c r="L209" s="24">
        <f>IF(K209=1,IFERROR(MATCH('ORDENES'!$S205,lista_dias,0),9)*1000000000+IFERROR(MATCH('ORDENES'!$AI205,lista_turnos,0),9)*10000000+IFERROR(MATCH('ORDENES'!$AH205,'TECNICOS'!$B$4:$B$19,0),99)*100000+202,9000000000000+202)</f>
        <v/>
      </c>
      <c r="M209" s="24">
        <f>IF(K209=1,SUMPRODUCT(--($L$8:$L$1207&lt;L209))+1,"")</f>
        <v/>
      </c>
      <c r="N209" s="25">
        <f>IF(K209=1,N('ORDENES'!$M205),0)</f>
        <v/>
      </c>
      <c r="O209" s="25">
        <f>IF('ORDENES'!$U205="preventiva",N209,0)</f>
        <v/>
      </c>
      <c r="P209" s="25">
        <f>IF('ORDENES'!$U205="correctiva",N209,0)</f>
        <v/>
      </c>
      <c r="Q209" s="24">
        <f>IF(AND(K209=1,'ORDENES'!$N205="Pendiente"),1,0)</f>
        <v/>
      </c>
      <c r="R209" s="24">
        <f>IF(Q209=1,100000-N209*1000+202*0.01,9000000000000+202)</f>
        <v/>
      </c>
      <c r="S209" s="24">
        <f>IF(Q209=1,SUMPRODUCT(--($R$8:$R$1207&lt;R209))+1,"")</f>
        <v/>
      </c>
      <c r="T209" s="30">
        <f>IF(K209=1,'ORDENES'!$J205,"")</f>
        <v/>
      </c>
    </row>
    <row r="210">
      <c r="K210" s="24">
        <f>IF(AND(IF($B$3="(todos)",TRUE,'ORDENES'!$O206=$B$3),IF($D$3="(todos)",TRUE,'ORDENES'!$AI206=$D$3),IF($F$3="(todos)",TRUE,'ORDENES'!$AA206=$F$3),IF($H$3="(todos)",TRUE,'ORDENES'!$Z206=$H$3),'ORDENES'!$AG206=TRUE,'ORDENES'!$A206&lt;&gt;""),1,0)</f>
        <v/>
      </c>
      <c r="L210" s="24">
        <f>IF(K210=1,IFERROR(MATCH('ORDENES'!$S206,lista_dias,0),9)*1000000000+IFERROR(MATCH('ORDENES'!$AI206,lista_turnos,0),9)*10000000+IFERROR(MATCH('ORDENES'!$AH206,'TECNICOS'!$B$4:$B$19,0),99)*100000+203,9000000000000+203)</f>
        <v/>
      </c>
      <c r="M210" s="24">
        <f>IF(K210=1,SUMPRODUCT(--($L$8:$L$1207&lt;L210))+1,"")</f>
        <v/>
      </c>
      <c r="N210" s="25">
        <f>IF(K210=1,N('ORDENES'!$M206),0)</f>
        <v/>
      </c>
      <c r="O210" s="25">
        <f>IF('ORDENES'!$U206="preventiva",N210,0)</f>
        <v/>
      </c>
      <c r="P210" s="25">
        <f>IF('ORDENES'!$U206="correctiva",N210,0)</f>
        <v/>
      </c>
      <c r="Q210" s="24">
        <f>IF(AND(K210=1,'ORDENES'!$N206="Pendiente"),1,0)</f>
        <v/>
      </c>
      <c r="R210" s="24">
        <f>IF(Q210=1,100000-N210*1000+203*0.01,9000000000000+203)</f>
        <v/>
      </c>
      <c r="S210" s="24">
        <f>IF(Q210=1,SUMPRODUCT(--($R$8:$R$1207&lt;R210))+1,"")</f>
        <v/>
      </c>
      <c r="T210" s="30">
        <f>IF(K210=1,'ORDENES'!$J206,"")</f>
        <v/>
      </c>
    </row>
    <row r="211">
      <c r="K211" s="24">
        <f>IF(AND(IF($B$3="(todos)",TRUE,'ORDENES'!$O207=$B$3),IF($D$3="(todos)",TRUE,'ORDENES'!$AI207=$D$3),IF($F$3="(todos)",TRUE,'ORDENES'!$AA207=$F$3),IF($H$3="(todos)",TRUE,'ORDENES'!$Z207=$H$3),'ORDENES'!$AG207=TRUE,'ORDENES'!$A207&lt;&gt;""),1,0)</f>
        <v/>
      </c>
      <c r="L211" s="24">
        <f>IF(K211=1,IFERROR(MATCH('ORDENES'!$S207,lista_dias,0),9)*1000000000+IFERROR(MATCH('ORDENES'!$AI207,lista_turnos,0),9)*10000000+IFERROR(MATCH('ORDENES'!$AH207,'TECNICOS'!$B$4:$B$19,0),99)*100000+204,9000000000000+204)</f>
        <v/>
      </c>
      <c r="M211" s="24">
        <f>IF(K211=1,SUMPRODUCT(--($L$8:$L$1207&lt;L211))+1,"")</f>
        <v/>
      </c>
      <c r="N211" s="25">
        <f>IF(K211=1,N('ORDENES'!$M207),0)</f>
        <v/>
      </c>
      <c r="O211" s="25">
        <f>IF('ORDENES'!$U207="preventiva",N211,0)</f>
        <v/>
      </c>
      <c r="P211" s="25">
        <f>IF('ORDENES'!$U207="correctiva",N211,0)</f>
        <v/>
      </c>
      <c r="Q211" s="24">
        <f>IF(AND(K211=1,'ORDENES'!$N207="Pendiente"),1,0)</f>
        <v/>
      </c>
      <c r="R211" s="24">
        <f>IF(Q211=1,100000-N211*1000+204*0.01,9000000000000+204)</f>
        <v/>
      </c>
      <c r="S211" s="24">
        <f>IF(Q211=1,SUMPRODUCT(--($R$8:$R$1207&lt;R211))+1,"")</f>
        <v/>
      </c>
      <c r="T211" s="30">
        <f>IF(K211=1,'ORDENES'!$J207,"")</f>
        <v/>
      </c>
    </row>
    <row r="212">
      <c r="K212" s="24">
        <f>IF(AND(IF($B$3="(todos)",TRUE,'ORDENES'!$O208=$B$3),IF($D$3="(todos)",TRUE,'ORDENES'!$AI208=$D$3),IF($F$3="(todos)",TRUE,'ORDENES'!$AA208=$F$3),IF($H$3="(todos)",TRUE,'ORDENES'!$Z208=$H$3),'ORDENES'!$AG208=TRUE,'ORDENES'!$A208&lt;&gt;""),1,0)</f>
        <v/>
      </c>
      <c r="L212" s="24">
        <f>IF(K212=1,IFERROR(MATCH('ORDENES'!$S208,lista_dias,0),9)*1000000000+IFERROR(MATCH('ORDENES'!$AI208,lista_turnos,0),9)*10000000+IFERROR(MATCH('ORDENES'!$AH208,'TECNICOS'!$B$4:$B$19,0),99)*100000+205,9000000000000+205)</f>
        <v/>
      </c>
      <c r="M212" s="24">
        <f>IF(K212=1,SUMPRODUCT(--($L$8:$L$1207&lt;L212))+1,"")</f>
        <v/>
      </c>
      <c r="N212" s="25">
        <f>IF(K212=1,N('ORDENES'!$M208),0)</f>
        <v/>
      </c>
      <c r="O212" s="25">
        <f>IF('ORDENES'!$U208="preventiva",N212,0)</f>
        <v/>
      </c>
      <c r="P212" s="25">
        <f>IF('ORDENES'!$U208="correctiva",N212,0)</f>
        <v/>
      </c>
      <c r="Q212" s="24">
        <f>IF(AND(K212=1,'ORDENES'!$N208="Pendiente"),1,0)</f>
        <v/>
      </c>
      <c r="R212" s="24">
        <f>IF(Q212=1,100000-N212*1000+205*0.01,9000000000000+205)</f>
        <v/>
      </c>
      <c r="S212" s="24">
        <f>IF(Q212=1,SUMPRODUCT(--($R$8:$R$1207&lt;R212))+1,"")</f>
        <v/>
      </c>
      <c r="T212" s="30">
        <f>IF(K212=1,'ORDENES'!$J208,"")</f>
        <v/>
      </c>
    </row>
    <row r="213">
      <c r="K213" s="24">
        <f>IF(AND(IF($B$3="(todos)",TRUE,'ORDENES'!$O209=$B$3),IF($D$3="(todos)",TRUE,'ORDENES'!$AI209=$D$3),IF($F$3="(todos)",TRUE,'ORDENES'!$AA209=$F$3),IF($H$3="(todos)",TRUE,'ORDENES'!$Z209=$H$3),'ORDENES'!$AG209=TRUE,'ORDENES'!$A209&lt;&gt;""),1,0)</f>
        <v/>
      </c>
      <c r="L213" s="24">
        <f>IF(K213=1,IFERROR(MATCH('ORDENES'!$S209,lista_dias,0),9)*1000000000+IFERROR(MATCH('ORDENES'!$AI209,lista_turnos,0),9)*10000000+IFERROR(MATCH('ORDENES'!$AH209,'TECNICOS'!$B$4:$B$19,0),99)*100000+206,9000000000000+206)</f>
        <v/>
      </c>
      <c r="M213" s="24">
        <f>IF(K213=1,SUMPRODUCT(--($L$8:$L$1207&lt;L213))+1,"")</f>
        <v/>
      </c>
      <c r="N213" s="25">
        <f>IF(K213=1,N('ORDENES'!$M209),0)</f>
        <v/>
      </c>
      <c r="O213" s="25">
        <f>IF('ORDENES'!$U209="preventiva",N213,0)</f>
        <v/>
      </c>
      <c r="P213" s="25">
        <f>IF('ORDENES'!$U209="correctiva",N213,0)</f>
        <v/>
      </c>
      <c r="Q213" s="24">
        <f>IF(AND(K213=1,'ORDENES'!$N209="Pendiente"),1,0)</f>
        <v/>
      </c>
      <c r="R213" s="24">
        <f>IF(Q213=1,100000-N213*1000+206*0.01,9000000000000+206)</f>
        <v/>
      </c>
      <c r="S213" s="24">
        <f>IF(Q213=1,SUMPRODUCT(--($R$8:$R$1207&lt;R213))+1,"")</f>
        <v/>
      </c>
      <c r="T213" s="30">
        <f>IF(K213=1,'ORDENES'!$J209,"")</f>
        <v/>
      </c>
    </row>
    <row r="214">
      <c r="K214" s="24">
        <f>IF(AND(IF($B$3="(todos)",TRUE,'ORDENES'!$O210=$B$3),IF($D$3="(todos)",TRUE,'ORDENES'!$AI210=$D$3),IF($F$3="(todos)",TRUE,'ORDENES'!$AA210=$F$3),IF($H$3="(todos)",TRUE,'ORDENES'!$Z210=$H$3),'ORDENES'!$AG210=TRUE,'ORDENES'!$A210&lt;&gt;""),1,0)</f>
        <v/>
      </c>
      <c r="L214" s="24">
        <f>IF(K214=1,IFERROR(MATCH('ORDENES'!$S210,lista_dias,0),9)*1000000000+IFERROR(MATCH('ORDENES'!$AI210,lista_turnos,0),9)*10000000+IFERROR(MATCH('ORDENES'!$AH210,'TECNICOS'!$B$4:$B$19,0),99)*100000+207,9000000000000+207)</f>
        <v/>
      </c>
      <c r="M214" s="24">
        <f>IF(K214=1,SUMPRODUCT(--($L$8:$L$1207&lt;L214))+1,"")</f>
        <v/>
      </c>
      <c r="N214" s="25">
        <f>IF(K214=1,N('ORDENES'!$M210),0)</f>
        <v/>
      </c>
      <c r="O214" s="25">
        <f>IF('ORDENES'!$U210="preventiva",N214,0)</f>
        <v/>
      </c>
      <c r="P214" s="25">
        <f>IF('ORDENES'!$U210="correctiva",N214,0)</f>
        <v/>
      </c>
      <c r="Q214" s="24">
        <f>IF(AND(K214=1,'ORDENES'!$N210="Pendiente"),1,0)</f>
        <v/>
      </c>
      <c r="R214" s="24">
        <f>IF(Q214=1,100000-N214*1000+207*0.01,9000000000000+207)</f>
        <v/>
      </c>
      <c r="S214" s="24">
        <f>IF(Q214=1,SUMPRODUCT(--($R$8:$R$1207&lt;R214))+1,"")</f>
        <v/>
      </c>
      <c r="T214" s="30">
        <f>IF(K214=1,'ORDENES'!$J210,"")</f>
        <v/>
      </c>
    </row>
    <row r="215">
      <c r="K215" s="24">
        <f>IF(AND(IF($B$3="(todos)",TRUE,'ORDENES'!$O211=$B$3),IF($D$3="(todos)",TRUE,'ORDENES'!$AI211=$D$3),IF($F$3="(todos)",TRUE,'ORDENES'!$AA211=$F$3),IF($H$3="(todos)",TRUE,'ORDENES'!$Z211=$H$3),'ORDENES'!$AG211=TRUE,'ORDENES'!$A211&lt;&gt;""),1,0)</f>
        <v/>
      </c>
      <c r="L215" s="24">
        <f>IF(K215=1,IFERROR(MATCH('ORDENES'!$S211,lista_dias,0),9)*1000000000+IFERROR(MATCH('ORDENES'!$AI211,lista_turnos,0),9)*10000000+IFERROR(MATCH('ORDENES'!$AH211,'TECNICOS'!$B$4:$B$19,0),99)*100000+208,9000000000000+208)</f>
        <v/>
      </c>
      <c r="M215" s="24">
        <f>IF(K215=1,SUMPRODUCT(--($L$8:$L$1207&lt;L215))+1,"")</f>
        <v/>
      </c>
      <c r="N215" s="25">
        <f>IF(K215=1,N('ORDENES'!$M211),0)</f>
        <v/>
      </c>
      <c r="O215" s="25">
        <f>IF('ORDENES'!$U211="preventiva",N215,0)</f>
        <v/>
      </c>
      <c r="P215" s="25">
        <f>IF('ORDENES'!$U211="correctiva",N215,0)</f>
        <v/>
      </c>
      <c r="Q215" s="24">
        <f>IF(AND(K215=1,'ORDENES'!$N211="Pendiente"),1,0)</f>
        <v/>
      </c>
      <c r="R215" s="24">
        <f>IF(Q215=1,100000-N215*1000+208*0.01,9000000000000+208)</f>
        <v/>
      </c>
      <c r="S215" s="24">
        <f>IF(Q215=1,SUMPRODUCT(--($R$8:$R$1207&lt;R215))+1,"")</f>
        <v/>
      </c>
      <c r="T215" s="30">
        <f>IF(K215=1,'ORDENES'!$J211,"")</f>
        <v/>
      </c>
    </row>
    <row r="216">
      <c r="K216" s="24">
        <f>IF(AND(IF($B$3="(todos)",TRUE,'ORDENES'!$O212=$B$3),IF($D$3="(todos)",TRUE,'ORDENES'!$AI212=$D$3),IF($F$3="(todos)",TRUE,'ORDENES'!$AA212=$F$3),IF($H$3="(todos)",TRUE,'ORDENES'!$Z212=$H$3),'ORDENES'!$AG212=TRUE,'ORDENES'!$A212&lt;&gt;""),1,0)</f>
        <v/>
      </c>
      <c r="L216" s="24">
        <f>IF(K216=1,IFERROR(MATCH('ORDENES'!$S212,lista_dias,0),9)*1000000000+IFERROR(MATCH('ORDENES'!$AI212,lista_turnos,0),9)*10000000+IFERROR(MATCH('ORDENES'!$AH212,'TECNICOS'!$B$4:$B$19,0),99)*100000+209,9000000000000+209)</f>
        <v/>
      </c>
      <c r="M216" s="24">
        <f>IF(K216=1,SUMPRODUCT(--($L$8:$L$1207&lt;L216))+1,"")</f>
        <v/>
      </c>
      <c r="N216" s="25">
        <f>IF(K216=1,N('ORDENES'!$M212),0)</f>
        <v/>
      </c>
      <c r="O216" s="25">
        <f>IF('ORDENES'!$U212="preventiva",N216,0)</f>
        <v/>
      </c>
      <c r="P216" s="25">
        <f>IF('ORDENES'!$U212="correctiva",N216,0)</f>
        <v/>
      </c>
      <c r="Q216" s="24">
        <f>IF(AND(K216=1,'ORDENES'!$N212="Pendiente"),1,0)</f>
        <v/>
      </c>
      <c r="R216" s="24">
        <f>IF(Q216=1,100000-N216*1000+209*0.01,9000000000000+209)</f>
        <v/>
      </c>
      <c r="S216" s="24">
        <f>IF(Q216=1,SUMPRODUCT(--($R$8:$R$1207&lt;R216))+1,"")</f>
        <v/>
      </c>
      <c r="T216" s="30">
        <f>IF(K216=1,'ORDENES'!$J212,"")</f>
        <v/>
      </c>
    </row>
    <row r="217">
      <c r="K217" s="24">
        <f>IF(AND(IF($B$3="(todos)",TRUE,'ORDENES'!$O213=$B$3),IF($D$3="(todos)",TRUE,'ORDENES'!$AI213=$D$3),IF($F$3="(todos)",TRUE,'ORDENES'!$AA213=$F$3),IF($H$3="(todos)",TRUE,'ORDENES'!$Z213=$H$3),'ORDENES'!$AG213=TRUE,'ORDENES'!$A213&lt;&gt;""),1,0)</f>
        <v/>
      </c>
      <c r="L217" s="24">
        <f>IF(K217=1,IFERROR(MATCH('ORDENES'!$S213,lista_dias,0),9)*1000000000+IFERROR(MATCH('ORDENES'!$AI213,lista_turnos,0),9)*10000000+IFERROR(MATCH('ORDENES'!$AH213,'TECNICOS'!$B$4:$B$19,0),99)*100000+210,9000000000000+210)</f>
        <v/>
      </c>
      <c r="M217" s="24">
        <f>IF(K217=1,SUMPRODUCT(--($L$8:$L$1207&lt;L217))+1,"")</f>
        <v/>
      </c>
      <c r="N217" s="25">
        <f>IF(K217=1,N('ORDENES'!$M213),0)</f>
        <v/>
      </c>
      <c r="O217" s="25">
        <f>IF('ORDENES'!$U213="preventiva",N217,0)</f>
        <v/>
      </c>
      <c r="P217" s="25">
        <f>IF('ORDENES'!$U213="correctiva",N217,0)</f>
        <v/>
      </c>
      <c r="Q217" s="24">
        <f>IF(AND(K217=1,'ORDENES'!$N213="Pendiente"),1,0)</f>
        <v/>
      </c>
      <c r="R217" s="24">
        <f>IF(Q217=1,100000-N217*1000+210*0.01,9000000000000+210)</f>
        <v/>
      </c>
      <c r="S217" s="24">
        <f>IF(Q217=1,SUMPRODUCT(--($R$8:$R$1207&lt;R217))+1,"")</f>
        <v/>
      </c>
      <c r="T217" s="30">
        <f>IF(K217=1,'ORDENES'!$J213,"")</f>
        <v/>
      </c>
    </row>
    <row r="218">
      <c r="K218" s="24">
        <f>IF(AND(IF($B$3="(todos)",TRUE,'ORDENES'!$O214=$B$3),IF($D$3="(todos)",TRUE,'ORDENES'!$AI214=$D$3),IF($F$3="(todos)",TRUE,'ORDENES'!$AA214=$F$3),IF($H$3="(todos)",TRUE,'ORDENES'!$Z214=$H$3),'ORDENES'!$AG214=TRUE,'ORDENES'!$A214&lt;&gt;""),1,0)</f>
        <v/>
      </c>
      <c r="L218" s="24">
        <f>IF(K218=1,IFERROR(MATCH('ORDENES'!$S214,lista_dias,0),9)*1000000000+IFERROR(MATCH('ORDENES'!$AI214,lista_turnos,0),9)*10000000+IFERROR(MATCH('ORDENES'!$AH214,'TECNICOS'!$B$4:$B$19,0),99)*100000+211,9000000000000+211)</f>
        <v/>
      </c>
      <c r="M218" s="24">
        <f>IF(K218=1,SUMPRODUCT(--($L$8:$L$1207&lt;L218))+1,"")</f>
        <v/>
      </c>
      <c r="N218" s="25">
        <f>IF(K218=1,N('ORDENES'!$M214),0)</f>
        <v/>
      </c>
      <c r="O218" s="25">
        <f>IF('ORDENES'!$U214="preventiva",N218,0)</f>
        <v/>
      </c>
      <c r="P218" s="25">
        <f>IF('ORDENES'!$U214="correctiva",N218,0)</f>
        <v/>
      </c>
      <c r="Q218" s="24">
        <f>IF(AND(K218=1,'ORDENES'!$N214="Pendiente"),1,0)</f>
        <v/>
      </c>
      <c r="R218" s="24">
        <f>IF(Q218=1,100000-N218*1000+211*0.01,9000000000000+211)</f>
        <v/>
      </c>
      <c r="S218" s="24">
        <f>IF(Q218=1,SUMPRODUCT(--($R$8:$R$1207&lt;R218))+1,"")</f>
        <v/>
      </c>
      <c r="T218" s="30">
        <f>IF(K218=1,'ORDENES'!$J214,"")</f>
        <v/>
      </c>
    </row>
    <row r="219">
      <c r="K219" s="24">
        <f>IF(AND(IF($B$3="(todos)",TRUE,'ORDENES'!$O215=$B$3),IF($D$3="(todos)",TRUE,'ORDENES'!$AI215=$D$3),IF($F$3="(todos)",TRUE,'ORDENES'!$AA215=$F$3),IF($H$3="(todos)",TRUE,'ORDENES'!$Z215=$H$3),'ORDENES'!$AG215=TRUE,'ORDENES'!$A215&lt;&gt;""),1,0)</f>
        <v/>
      </c>
      <c r="L219" s="24">
        <f>IF(K219=1,IFERROR(MATCH('ORDENES'!$S215,lista_dias,0),9)*1000000000+IFERROR(MATCH('ORDENES'!$AI215,lista_turnos,0),9)*10000000+IFERROR(MATCH('ORDENES'!$AH215,'TECNICOS'!$B$4:$B$19,0),99)*100000+212,9000000000000+212)</f>
        <v/>
      </c>
      <c r="M219" s="24">
        <f>IF(K219=1,SUMPRODUCT(--($L$8:$L$1207&lt;L219))+1,"")</f>
        <v/>
      </c>
      <c r="N219" s="25">
        <f>IF(K219=1,N('ORDENES'!$M215),0)</f>
        <v/>
      </c>
      <c r="O219" s="25">
        <f>IF('ORDENES'!$U215="preventiva",N219,0)</f>
        <v/>
      </c>
      <c r="P219" s="25">
        <f>IF('ORDENES'!$U215="correctiva",N219,0)</f>
        <v/>
      </c>
      <c r="Q219" s="24">
        <f>IF(AND(K219=1,'ORDENES'!$N215="Pendiente"),1,0)</f>
        <v/>
      </c>
      <c r="R219" s="24">
        <f>IF(Q219=1,100000-N219*1000+212*0.01,9000000000000+212)</f>
        <v/>
      </c>
      <c r="S219" s="24">
        <f>IF(Q219=1,SUMPRODUCT(--($R$8:$R$1207&lt;R219))+1,"")</f>
        <v/>
      </c>
      <c r="T219" s="30">
        <f>IF(K219=1,'ORDENES'!$J215,"")</f>
        <v/>
      </c>
    </row>
    <row r="220">
      <c r="K220" s="24">
        <f>IF(AND(IF($B$3="(todos)",TRUE,'ORDENES'!$O216=$B$3),IF($D$3="(todos)",TRUE,'ORDENES'!$AI216=$D$3),IF($F$3="(todos)",TRUE,'ORDENES'!$AA216=$F$3),IF($H$3="(todos)",TRUE,'ORDENES'!$Z216=$H$3),'ORDENES'!$AG216=TRUE,'ORDENES'!$A216&lt;&gt;""),1,0)</f>
        <v/>
      </c>
      <c r="L220" s="24">
        <f>IF(K220=1,IFERROR(MATCH('ORDENES'!$S216,lista_dias,0),9)*1000000000+IFERROR(MATCH('ORDENES'!$AI216,lista_turnos,0),9)*10000000+IFERROR(MATCH('ORDENES'!$AH216,'TECNICOS'!$B$4:$B$19,0),99)*100000+213,9000000000000+213)</f>
        <v/>
      </c>
      <c r="M220" s="24">
        <f>IF(K220=1,SUMPRODUCT(--($L$8:$L$1207&lt;L220))+1,"")</f>
        <v/>
      </c>
      <c r="N220" s="25">
        <f>IF(K220=1,N('ORDENES'!$M216),0)</f>
        <v/>
      </c>
      <c r="O220" s="25">
        <f>IF('ORDENES'!$U216="preventiva",N220,0)</f>
        <v/>
      </c>
      <c r="P220" s="25">
        <f>IF('ORDENES'!$U216="correctiva",N220,0)</f>
        <v/>
      </c>
      <c r="Q220" s="24">
        <f>IF(AND(K220=1,'ORDENES'!$N216="Pendiente"),1,0)</f>
        <v/>
      </c>
      <c r="R220" s="24">
        <f>IF(Q220=1,100000-N220*1000+213*0.01,9000000000000+213)</f>
        <v/>
      </c>
      <c r="S220" s="24">
        <f>IF(Q220=1,SUMPRODUCT(--($R$8:$R$1207&lt;R220))+1,"")</f>
        <v/>
      </c>
      <c r="T220" s="30">
        <f>IF(K220=1,'ORDENES'!$J216,"")</f>
        <v/>
      </c>
    </row>
    <row r="221">
      <c r="K221" s="24">
        <f>IF(AND(IF($B$3="(todos)",TRUE,'ORDENES'!$O217=$B$3),IF($D$3="(todos)",TRUE,'ORDENES'!$AI217=$D$3),IF($F$3="(todos)",TRUE,'ORDENES'!$AA217=$F$3),IF($H$3="(todos)",TRUE,'ORDENES'!$Z217=$H$3),'ORDENES'!$AG217=TRUE,'ORDENES'!$A217&lt;&gt;""),1,0)</f>
        <v/>
      </c>
      <c r="L221" s="24">
        <f>IF(K221=1,IFERROR(MATCH('ORDENES'!$S217,lista_dias,0),9)*1000000000+IFERROR(MATCH('ORDENES'!$AI217,lista_turnos,0),9)*10000000+IFERROR(MATCH('ORDENES'!$AH217,'TECNICOS'!$B$4:$B$19,0),99)*100000+214,9000000000000+214)</f>
        <v/>
      </c>
      <c r="M221" s="24">
        <f>IF(K221=1,SUMPRODUCT(--($L$8:$L$1207&lt;L221))+1,"")</f>
        <v/>
      </c>
      <c r="N221" s="25">
        <f>IF(K221=1,N('ORDENES'!$M217),0)</f>
        <v/>
      </c>
      <c r="O221" s="25">
        <f>IF('ORDENES'!$U217="preventiva",N221,0)</f>
        <v/>
      </c>
      <c r="P221" s="25">
        <f>IF('ORDENES'!$U217="correctiva",N221,0)</f>
        <v/>
      </c>
      <c r="Q221" s="24">
        <f>IF(AND(K221=1,'ORDENES'!$N217="Pendiente"),1,0)</f>
        <v/>
      </c>
      <c r="R221" s="24">
        <f>IF(Q221=1,100000-N221*1000+214*0.01,9000000000000+214)</f>
        <v/>
      </c>
      <c r="S221" s="24">
        <f>IF(Q221=1,SUMPRODUCT(--($R$8:$R$1207&lt;R221))+1,"")</f>
        <v/>
      </c>
      <c r="T221" s="30">
        <f>IF(K221=1,'ORDENES'!$J217,"")</f>
        <v/>
      </c>
    </row>
    <row r="222">
      <c r="K222" s="24">
        <f>IF(AND(IF($B$3="(todos)",TRUE,'ORDENES'!$O218=$B$3),IF($D$3="(todos)",TRUE,'ORDENES'!$AI218=$D$3),IF($F$3="(todos)",TRUE,'ORDENES'!$AA218=$F$3),IF($H$3="(todos)",TRUE,'ORDENES'!$Z218=$H$3),'ORDENES'!$AG218=TRUE,'ORDENES'!$A218&lt;&gt;""),1,0)</f>
        <v/>
      </c>
      <c r="L222" s="24">
        <f>IF(K222=1,IFERROR(MATCH('ORDENES'!$S218,lista_dias,0),9)*1000000000+IFERROR(MATCH('ORDENES'!$AI218,lista_turnos,0),9)*10000000+IFERROR(MATCH('ORDENES'!$AH218,'TECNICOS'!$B$4:$B$19,0),99)*100000+215,9000000000000+215)</f>
        <v/>
      </c>
      <c r="M222" s="24">
        <f>IF(K222=1,SUMPRODUCT(--($L$8:$L$1207&lt;L222))+1,"")</f>
        <v/>
      </c>
      <c r="N222" s="25">
        <f>IF(K222=1,N('ORDENES'!$M218),0)</f>
        <v/>
      </c>
      <c r="O222" s="25">
        <f>IF('ORDENES'!$U218="preventiva",N222,0)</f>
        <v/>
      </c>
      <c r="P222" s="25">
        <f>IF('ORDENES'!$U218="correctiva",N222,0)</f>
        <v/>
      </c>
      <c r="Q222" s="24">
        <f>IF(AND(K222=1,'ORDENES'!$N218="Pendiente"),1,0)</f>
        <v/>
      </c>
      <c r="R222" s="24">
        <f>IF(Q222=1,100000-N222*1000+215*0.01,9000000000000+215)</f>
        <v/>
      </c>
      <c r="S222" s="24">
        <f>IF(Q222=1,SUMPRODUCT(--($R$8:$R$1207&lt;R222))+1,"")</f>
        <v/>
      </c>
      <c r="T222" s="30">
        <f>IF(K222=1,'ORDENES'!$J218,"")</f>
        <v/>
      </c>
    </row>
    <row r="223">
      <c r="K223" s="24">
        <f>IF(AND(IF($B$3="(todos)",TRUE,'ORDENES'!$O219=$B$3),IF($D$3="(todos)",TRUE,'ORDENES'!$AI219=$D$3),IF($F$3="(todos)",TRUE,'ORDENES'!$AA219=$F$3),IF($H$3="(todos)",TRUE,'ORDENES'!$Z219=$H$3),'ORDENES'!$AG219=TRUE,'ORDENES'!$A219&lt;&gt;""),1,0)</f>
        <v/>
      </c>
      <c r="L223" s="24">
        <f>IF(K223=1,IFERROR(MATCH('ORDENES'!$S219,lista_dias,0),9)*1000000000+IFERROR(MATCH('ORDENES'!$AI219,lista_turnos,0),9)*10000000+IFERROR(MATCH('ORDENES'!$AH219,'TECNICOS'!$B$4:$B$19,0),99)*100000+216,9000000000000+216)</f>
        <v/>
      </c>
      <c r="M223" s="24">
        <f>IF(K223=1,SUMPRODUCT(--($L$8:$L$1207&lt;L223))+1,"")</f>
        <v/>
      </c>
      <c r="N223" s="25">
        <f>IF(K223=1,N('ORDENES'!$M219),0)</f>
        <v/>
      </c>
      <c r="O223" s="25">
        <f>IF('ORDENES'!$U219="preventiva",N223,0)</f>
        <v/>
      </c>
      <c r="P223" s="25">
        <f>IF('ORDENES'!$U219="correctiva",N223,0)</f>
        <v/>
      </c>
      <c r="Q223" s="24">
        <f>IF(AND(K223=1,'ORDENES'!$N219="Pendiente"),1,0)</f>
        <v/>
      </c>
      <c r="R223" s="24">
        <f>IF(Q223=1,100000-N223*1000+216*0.01,9000000000000+216)</f>
        <v/>
      </c>
      <c r="S223" s="24">
        <f>IF(Q223=1,SUMPRODUCT(--($R$8:$R$1207&lt;R223))+1,"")</f>
        <v/>
      </c>
      <c r="T223" s="30">
        <f>IF(K223=1,'ORDENES'!$J219,"")</f>
        <v/>
      </c>
    </row>
    <row r="224">
      <c r="K224" s="24">
        <f>IF(AND(IF($B$3="(todos)",TRUE,'ORDENES'!$O220=$B$3),IF($D$3="(todos)",TRUE,'ORDENES'!$AI220=$D$3),IF($F$3="(todos)",TRUE,'ORDENES'!$AA220=$F$3),IF($H$3="(todos)",TRUE,'ORDENES'!$Z220=$H$3),'ORDENES'!$AG220=TRUE,'ORDENES'!$A220&lt;&gt;""),1,0)</f>
        <v/>
      </c>
      <c r="L224" s="24">
        <f>IF(K224=1,IFERROR(MATCH('ORDENES'!$S220,lista_dias,0),9)*1000000000+IFERROR(MATCH('ORDENES'!$AI220,lista_turnos,0),9)*10000000+IFERROR(MATCH('ORDENES'!$AH220,'TECNICOS'!$B$4:$B$19,0),99)*100000+217,9000000000000+217)</f>
        <v/>
      </c>
      <c r="M224" s="24">
        <f>IF(K224=1,SUMPRODUCT(--($L$8:$L$1207&lt;L224))+1,"")</f>
        <v/>
      </c>
      <c r="N224" s="25">
        <f>IF(K224=1,N('ORDENES'!$M220),0)</f>
        <v/>
      </c>
      <c r="O224" s="25">
        <f>IF('ORDENES'!$U220="preventiva",N224,0)</f>
        <v/>
      </c>
      <c r="P224" s="25">
        <f>IF('ORDENES'!$U220="correctiva",N224,0)</f>
        <v/>
      </c>
      <c r="Q224" s="24">
        <f>IF(AND(K224=1,'ORDENES'!$N220="Pendiente"),1,0)</f>
        <v/>
      </c>
      <c r="R224" s="24">
        <f>IF(Q224=1,100000-N224*1000+217*0.01,9000000000000+217)</f>
        <v/>
      </c>
      <c r="S224" s="24">
        <f>IF(Q224=1,SUMPRODUCT(--($R$8:$R$1207&lt;R224))+1,"")</f>
        <v/>
      </c>
      <c r="T224" s="30">
        <f>IF(K224=1,'ORDENES'!$J220,"")</f>
        <v/>
      </c>
    </row>
    <row r="225">
      <c r="K225" s="24">
        <f>IF(AND(IF($B$3="(todos)",TRUE,'ORDENES'!$O221=$B$3),IF($D$3="(todos)",TRUE,'ORDENES'!$AI221=$D$3),IF($F$3="(todos)",TRUE,'ORDENES'!$AA221=$F$3),IF($H$3="(todos)",TRUE,'ORDENES'!$Z221=$H$3),'ORDENES'!$AG221=TRUE,'ORDENES'!$A221&lt;&gt;""),1,0)</f>
        <v/>
      </c>
      <c r="L225" s="24">
        <f>IF(K225=1,IFERROR(MATCH('ORDENES'!$S221,lista_dias,0),9)*1000000000+IFERROR(MATCH('ORDENES'!$AI221,lista_turnos,0),9)*10000000+IFERROR(MATCH('ORDENES'!$AH221,'TECNICOS'!$B$4:$B$19,0),99)*100000+218,9000000000000+218)</f>
        <v/>
      </c>
      <c r="M225" s="24">
        <f>IF(K225=1,SUMPRODUCT(--($L$8:$L$1207&lt;L225))+1,"")</f>
        <v/>
      </c>
      <c r="N225" s="25">
        <f>IF(K225=1,N('ORDENES'!$M221),0)</f>
        <v/>
      </c>
      <c r="O225" s="25">
        <f>IF('ORDENES'!$U221="preventiva",N225,0)</f>
        <v/>
      </c>
      <c r="P225" s="25">
        <f>IF('ORDENES'!$U221="correctiva",N225,0)</f>
        <v/>
      </c>
      <c r="Q225" s="24">
        <f>IF(AND(K225=1,'ORDENES'!$N221="Pendiente"),1,0)</f>
        <v/>
      </c>
      <c r="R225" s="24">
        <f>IF(Q225=1,100000-N225*1000+218*0.01,9000000000000+218)</f>
        <v/>
      </c>
      <c r="S225" s="24">
        <f>IF(Q225=1,SUMPRODUCT(--($R$8:$R$1207&lt;R225))+1,"")</f>
        <v/>
      </c>
      <c r="T225" s="30">
        <f>IF(K225=1,'ORDENES'!$J221,"")</f>
        <v/>
      </c>
    </row>
    <row r="226">
      <c r="K226" s="24">
        <f>IF(AND(IF($B$3="(todos)",TRUE,'ORDENES'!$O222=$B$3),IF($D$3="(todos)",TRUE,'ORDENES'!$AI222=$D$3),IF($F$3="(todos)",TRUE,'ORDENES'!$AA222=$F$3),IF($H$3="(todos)",TRUE,'ORDENES'!$Z222=$H$3),'ORDENES'!$AG222=TRUE,'ORDENES'!$A222&lt;&gt;""),1,0)</f>
        <v/>
      </c>
      <c r="L226" s="24">
        <f>IF(K226=1,IFERROR(MATCH('ORDENES'!$S222,lista_dias,0),9)*1000000000+IFERROR(MATCH('ORDENES'!$AI222,lista_turnos,0),9)*10000000+IFERROR(MATCH('ORDENES'!$AH222,'TECNICOS'!$B$4:$B$19,0),99)*100000+219,9000000000000+219)</f>
        <v/>
      </c>
      <c r="M226" s="24">
        <f>IF(K226=1,SUMPRODUCT(--($L$8:$L$1207&lt;L226))+1,"")</f>
        <v/>
      </c>
      <c r="N226" s="25">
        <f>IF(K226=1,N('ORDENES'!$M222),0)</f>
        <v/>
      </c>
      <c r="O226" s="25">
        <f>IF('ORDENES'!$U222="preventiva",N226,0)</f>
        <v/>
      </c>
      <c r="P226" s="25">
        <f>IF('ORDENES'!$U222="correctiva",N226,0)</f>
        <v/>
      </c>
      <c r="Q226" s="24">
        <f>IF(AND(K226=1,'ORDENES'!$N222="Pendiente"),1,0)</f>
        <v/>
      </c>
      <c r="R226" s="24">
        <f>IF(Q226=1,100000-N226*1000+219*0.01,9000000000000+219)</f>
        <v/>
      </c>
      <c r="S226" s="24">
        <f>IF(Q226=1,SUMPRODUCT(--($R$8:$R$1207&lt;R226))+1,"")</f>
        <v/>
      </c>
      <c r="T226" s="30">
        <f>IF(K226=1,'ORDENES'!$J222,"")</f>
        <v/>
      </c>
    </row>
    <row r="227">
      <c r="K227" s="24">
        <f>IF(AND(IF($B$3="(todos)",TRUE,'ORDENES'!$O223=$B$3),IF($D$3="(todos)",TRUE,'ORDENES'!$AI223=$D$3),IF($F$3="(todos)",TRUE,'ORDENES'!$AA223=$F$3),IF($H$3="(todos)",TRUE,'ORDENES'!$Z223=$H$3),'ORDENES'!$AG223=TRUE,'ORDENES'!$A223&lt;&gt;""),1,0)</f>
        <v/>
      </c>
      <c r="L227" s="24">
        <f>IF(K227=1,IFERROR(MATCH('ORDENES'!$S223,lista_dias,0),9)*1000000000+IFERROR(MATCH('ORDENES'!$AI223,lista_turnos,0),9)*10000000+IFERROR(MATCH('ORDENES'!$AH223,'TECNICOS'!$B$4:$B$19,0),99)*100000+220,9000000000000+220)</f>
        <v/>
      </c>
      <c r="M227" s="24">
        <f>IF(K227=1,SUMPRODUCT(--($L$8:$L$1207&lt;L227))+1,"")</f>
        <v/>
      </c>
      <c r="N227" s="25">
        <f>IF(K227=1,N('ORDENES'!$M223),0)</f>
        <v/>
      </c>
      <c r="O227" s="25">
        <f>IF('ORDENES'!$U223="preventiva",N227,0)</f>
        <v/>
      </c>
      <c r="P227" s="25">
        <f>IF('ORDENES'!$U223="correctiva",N227,0)</f>
        <v/>
      </c>
      <c r="Q227" s="24">
        <f>IF(AND(K227=1,'ORDENES'!$N223="Pendiente"),1,0)</f>
        <v/>
      </c>
      <c r="R227" s="24">
        <f>IF(Q227=1,100000-N227*1000+220*0.01,9000000000000+220)</f>
        <v/>
      </c>
      <c r="S227" s="24">
        <f>IF(Q227=1,SUMPRODUCT(--($R$8:$R$1207&lt;R227))+1,"")</f>
        <v/>
      </c>
      <c r="T227" s="30">
        <f>IF(K227=1,'ORDENES'!$J223,"")</f>
        <v/>
      </c>
    </row>
    <row r="228">
      <c r="K228" s="24">
        <f>IF(AND(IF($B$3="(todos)",TRUE,'ORDENES'!$O224=$B$3),IF($D$3="(todos)",TRUE,'ORDENES'!$AI224=$D$3),IF($F$3="(todos)",TRUE,'ORDENES'!$AA224=$F$3),IF($H$3="(todos)",TRUE,'ORDENES'!$Z224=$H$3),'ORDENES'!$AG224=TRUE,'ORDENES'!$A224&lt;&gt;""),1,0)</f>
        <v/>
      </c>
      <c r="L228" s="24">
        <f>IF(K228=1,IFERROR(MATCH('ORDENES'!$S224,lista_dias,0),9)*1000000000+IFERROR(MATCH('ORDENES'!$AI224,lista_turnos,0),9)*10000000+IFERROR(MATCH('ORDENES'!$AH224,'TECNICOS'!$B$4:$B$19,0),99)*100000+221,9000000000000+221)</f>
        <v/>
      </c>
      <c r="M228" s="24">
        <f>IF(K228=1,SUMPRODUCT(--($L$8:$L$1207&lt;L228))+1,"")</f>
        <v/>
      </c>
      <c r="N228" s="25">
        <f>IF(K228=1,N('ORDENES'!$M224),0)</f>
        <v/>
      </c>
      <c r="O228" s="25">
        <f>IF('ORDENES'!$U224="preventiva",N228,0)</f>
        <v/>
      </c>
      <c r="P228" s="25">
        <f>IF('ORDENES'!$U224="correctiva",N228,0)</f>
        <v/>
      </c>
      <c r="Q228" s="24">
        <f>IF(AND(K228=1,'ORDENES'!$N224="Pendiente"),1,0)</f>
        <v/>
      </c>
      <c r="R228" s="24">
        <f>IF(Q228=1,100000-N228*1000+221*0.01,9000000000000+221)</f>
        <v/>
      </c>
      <c r="S228" s="24">
        <f>IF(Q228=1,SUMPRODUCT(--($R$8:$R$1207&lt;R228))+1,"")</f>
        <v/>
      </c>
      <c r="T228" s="30">
        <f>IF(K228=1,'ORDENES'!$J224,"")</f>
        <v/>
      </c>
    </row>
    <row r="229">
      <c r="K229" s="24">
        <f>IF(AND(IF($B$3="(todos)",TRUE,'ORDENES'!$O225=$B$3),IF($D$3="(todos)",TRUE,'ORDENES'!$AI225=$D$3),IF($F$3="(todos)",TRUE,'ORDENES'!$AA225=$F$3),IF($H$3="(todos)",TRUE,'ORDENES'!$Z225=$H$3),'ORDENES'!$AG225=TRUE,'ORDENES'!$A225&lt;&gt;""),1,0)</f>
        <v/>
      </c>
      <c r="L229" s="24">
        <f>IF(K229=1,IFERROR(MATCH('ORDENES'!$S225,lista_dias,0),9)*1000000000+IFERROR(MATCH('ORDENES'!$AI225,lista_turnos,0),9)*10000000+IFERROR(MATCH('ORDENES'!$AH225,'TECNICOS'!$B$4:$B$19,0),99)*100000+222,9000000000000+222)</f>
        <v/>
      </c>
      <c r="M229" s="24">
        <f>IF(K229=1,SUMPRODUCT(--($L$8:$L$1207&lt;L229))+1,"")</f>
        <v/>
      </c>
      <c r="N229" s="25">
        <f>IF(K229=1,N('ORDENES'!$M225),0)</f>
        <v/>
      </c>
      <c r="O229" s="25">
        <f>IF('ORDENES'!$U225="preventiva",N229,0)</f>
        <v/>
      </c>
      <c r="P229" s="25">
        <f>IF('ORDENES'!$U225="correctiva",N229,0)</f>
        <v/>
      </c>
      <c r="Q229" s="24">
        <f>IF(AND(K229=1,'ORDENES'!$N225="Pendiente"),1,0)</f>
        <v/>
      </c>
      <c r="R229" s="24">
        <f>IF(Q229=1,100000-N229*1000+222*0.01,9000000000000+222)</f>
        <v/>
      </c>
      <c r="S229" s="24">
        <f>IF(Q229=1,SUMPRODUCT(--($R$8:$R$1207&lt;R229))+1,"")</f>
        <v/>
      </c>
      <c r="T229" s="30">
        <f>IF(K229=1,'ORDENES'!$J225,"")</f>
        <v/>
      </c>
    </row>
    <row r="230">
      <c r="K230" s="24">
        <f>IF(AND(IF($B$3="(todos)",TRUE,'ORDENES'!$O226=$B$3),IF($D$3="(todos)",TRUE,'ORDENES'!$AI226=$D$3),IF($F$3="(todos)",TRUE,'ORDENES'!$AA226=$F$3),IF($H$3="(todos)",TRUE,'ORDENES'!$Z226=$H$3),'ORDENES'!$AG226=TRUE,'ORDENES'!$A226&lt;&gt;""),1,0)</f>
        <v/>
      </c>
      <c r="L230" s="24">
        <f>IF(K230=1,IFERROR(MATCH('ORDENES'!$S226,lista_dias,0),9)*1000000000+IFERROR(MATCH('ORDENES'!$AI226,lista_turnos,0),9)*10000000+IFERROR(MATCH('ORDENES'!$AH226,'TECNICOS'!$B$4:$B$19,0),99)*100000+223,9000000000000+223)</f>
        <v/>
      </c>
      <c r="M230" s="24">
        <f>IF(K230=1,SUMPRODUCT(--($L$8:$L$1207&lt;L230))+1,"")</f>
        <v/>
      </c>
      <c r="N230" s="25">
        <f>IF(K230=1,N('ORDENES'!$M226),0)</f>
        <v/>
      </c>
      <c r="O230" s="25">
        <f>IF('ORDENES'!$U226="preventiva",N230,0)</f>
        <v/>
      </c>
      <c r="P230" s="25">
        <f>IF('ORDENES'!$U226="correctiva",N230,0)</f>
        <v/>
      </c>
      <c r="Q230" s="24">
        <f>IF(AND(K230=1,'ORDENES'!$N226="Pendiente"),1,0)</f>
        <v/>
      </c>
      <c r="R230" s="24">
        <f>IF(Q230=1,100000-N230*1000+223*0.01,9000000000000+223)</f>
        <v/>
      </c>
      <c r="S230" s="24">
        <f>IF(Q230=1,SUMPRODUCT(--($R$8:$R$1207&lt;R230))+1,"")</f>
        <v/>
      </c>
      <c r="T230" s="30">
        <f>IF(K230=1,'ORDENES'!$J226,"")</f>
        <v/>
      </c>
    </row>
    <row r="231">
      <c r="K231" s="24">
        <f>IF(AND(IF($B$3="(todos)",TRUE,'ORDENES'!$O227=$B$3),IF($D$3="(todos)",TRUE,'ORDENES'!$AI227=$D$3),IF($F$3="(todos)",TRUE,'ORDENES'!$AA227=$F$3),IF($H$3="(todos)",TRUE,'ORDENES'!$Z227=$H$3),'ORDENES'!$AG227=TRUE,'ORDENES'!$A227&lt;&gt;""),1,0)</f>
        <v/>
      </c>
      <c r="L231" s="24">
        <f>IF(K231=1,IFERROR(MATCH('ORDENES'!$S227,lista_dias,0),9)*1000000000+IFERROR(MATCH('ORDENES'!$AI227,lista_turnos,0),9)*10000000+IFERROR(MATCH('ORDENES'!$AH227,'TECNICOS'!$B$4:$B$19,0),99)*100000+224,9000000000000+224)</f>
        <v/>
      </c>
      <c r="M231" s="24">
        <f>IF(K231=1,SUMPRODUCT(--($L$8:$L$1207&lt;L231))+1,"")</f>
        <v/>
      </c>
      <c r="N231" s="25">
        <f>IF(K231=1,N('ORDENES'!$M227),0)</f>
        <v/>
      </c>
      <c r="O231" s="25">
        <f>IF('ORDENES'!$U227="preventiva",N231,0)</f>
        <v/>
      </c>
      <c r="P231" s="25">
        <f>IF('ORDENES'!$U227="correctiva",N231,0)</f>
        <v/>
      </c>
      <c r="Q231" s="24">
        <f>IF(AND(K231=1,'ORDENES'!$N227="Pendiente"),1,0)</f>
        <v/>
      </c>
      <c r="R231" s="24">
        <f>IF(Q231=1,100000-N231*1000+224*0.01,9000000000000+224)</f>
        <v/>
      </c>
      <c r="S231" s="24">
        <f>IF(Q231=1,SUMPRODUCT(--($R$8:$R$1207&lt;R231))+1,"")</f>
        <v/>
      </c>
      <c r="T231" s="30">
        <f>IF(K231=1,'ORDENES'!$J227,"")</f>
        <v/>
      </c>
    </row>
    <row r="232">
      <c r="K232" s="24">
        <f>IF(AND(IF($B$3="(todos)",TRUE,'ORDENES'!$O228=$B$3),IF($D$3="(todos)",TRUE,'ORDENES'!$AI228=$D$3),IF($F$3="(todos)",TRUE,'ORDENES'!$AA228=$F$3),IF($H$3="(todos)",TRUE,'ORDENES'!$Z228=$H$3),'ORDENES'!$AG228=TRUE,'ORDENES'!$A228&lt;&gt;""),1,0)</f>
        <v/>
      </c>
      <c r="L232" s="24">
        <f>IF(K232=1,IFERROR(MATCH('ORDENES'!$S228,lista_dias,0),9)*1000000000+IFERROR(MATCH('ORDENES'!$AI228,lista_turnos,0),9)*10000000+IFERROR(MATCH('ORDENES'!$AH228,'TECNICOS'!$B$4:$B$19,0),99)*100000+225,9000000000000+225)</f>
        <v/>
      </c>
      <c r="M232" s="24">
        <f>IF(K232=1,SUMPRODUCT(--($L$8:$L$1207&lt;L232))+1,"")</f>
        <v/>
      </c>
      <c r="N232" s="25">
        <f>IF(K232=1,N('ORDENES'!$M228),0)</f>
        <v/>
      </c>
      <c r="O232" s="25">
        <f>IF('ORDENES'!$U228="preventiva",N232,0)</f>
        <v/>
      </c>
      <c r="P232" s="25">
        <f>IF('ORDENES'!$U228="correctiva",N232,0)</f>
        <v/>
      </c>
      <c r="Q232" s="24">
        <f>IF(AND(K232=1,'ORDENES'!$N228="Pendiente"),1,0)</f>
        <v/>
      </c>
      <c r="R232" s="24">
        <f>IF(Q232=1,100000-N232*1000+225*0.01,9000000000000+225)</f>
        <v/>
      </c>
      <c r="S232" s="24">
        <f>IF(Q232=1,SUMPRODUCT(--($R$8:$R$1207&lt;R232))+1,"")</f>
        <v/>
      </c>
      <c r="T232" s="30">
        <f>IF(K232=1,'ORDENES'!$J228,"")</f>
        <v/>
      </c>
    </row>
    <row r="233">
      <c r="K233" s="24">
        <f>IF(AND(IF($B$3="(todos)",TRUE,'ORDENES'!$O229=$B$3),IF($D$3="(todos)",TRUE,'ORDENES'!$AI229=$D$3),IF($F$3="(todos)",TRUE,'ORDENES'!$AA229=$F$3),IF($H$3="(todos)",TRUE,'ORDENES'!$Z229=$H$3),'ORDENES'!$AG229=TRUE,'ORDENES'!$A229&lt;&gt;""),1,0)</f>
        <v/>
      </c>
      <c r="L233" s="24">
        <f>IF(K233=1,IFERROR(MATCH('ORDENES'!$S229,lista_dias,0),9)*1000000000+IFERROR(MATCH('ORDENES'!$AI229,lista_turnos,0),9)*10000000+IFERROR(MATCH('ORDENES'!$AH229,'TECNICOS'!$B$4:$B$19,0),99)*100000+226,9000000000000+226)</f>
        <v/>
      </c>
      <c r="M233" s="24">
        <f>IF(K233=1,SUMPRODUCT(--($L$8:$L$1207&lt;L233))+1,"")</f>
        <v/>
      </c>
      <c r="N233" s="25">
        <f>IF(K233=1,N('ORDENES'!$M229),0)</f>
        <v/>
      </c>
      <c r="O233" s="25">
        <f>IF('ORDENES'!$U229="preventiva",N233,0)</f>
        <v/>
      </c>
      <c r="P233" s="25">
        <f>IF('ORDENES'!$U229="correctiva",N233,0)</f>
        <v/>
      </c>
      <c r="Q233" s="24">
        <f>IF(AND(K233=1,'ORDENES'!$N229="Pendiente"),1,0)</f>
        <v/>
      </c>
      <c r="R233" s="24">
        <f>IF(Q233=1,100000-N233*1000+226*0.01,9000000000000+226)</f>
        <v/>
      </c>
      <c r="S233" s="24">
        <f>IF(Q233=1,SUMPRODUCT(--($R$8:$R$1207&lt;R233))+1,"")</f>
        <v/>
      </c>
      <c r="T233" s="30">
        <f>IF(K233=1,'ORDENES'!$J229,"")</f>
        <v/>
      </c>
    </row>
    <row r="234">
      <c r="K234" s="24">
        <f>IF(AND(IF($B$3="(todos)",TRUE,'ORDENES'!$O230=$B$3),IF($D$3="(todos)",TRUE,'ORDENES'!$AI230=$D$3),IF($F$3="(todos)",TRUE,'ORDENES'!$AA230=$F$3),IF($H$3="(todos)",TRUE,'ORDENES'!$Z230=$H$3),'ORDENES'!$AG230=TRUE,'ORDENES'!$A230&lt;&gt;""),1,0)</f>
        <v/>
      </c>
      <c r="L234" s="24">
        <f>IF(K234=1,IFERROR(MATCH('ORDENES'!$S230,lista_dias,0),9)*1000000000+IFERROR(MATCH('ORDENES'!$AI230,lista_turnos,0),9)*10000000+IFERROR(MATCH('ORDENES'!$AH230,'TECNICOS'!$B$4:$B$19,0),99)*100000+227,9000000000000+227)</f>
        <v/>
      </c>
      <c r="M234" s="24">
        <f>IF(K234=1,SUMPRODUCT(--($L$8:$L$1207&lt;L234))+1,"")</f>
        <v/>
      </c>
      <c r="N234" s="25">
        <f>IF(K234=1,N('ORDENES'!$M230),0)</f>
        <v/>
      </c>
      <c r="O234" s="25">
        <f>IF('ORDENES'!$U230="preventiva",N234,0)</f>
        <v/>
      </c>
      <c r="P234" s="25">
        <f>IF('ORDENES'!$U230="correctiva",N234,0)</f>
        <v/>
      </c>
      <c r="Q234" s="24">
        <f>IF(AND(K234=1,'ORDENES'!$N230="Pendiente"),1,0)</f>
        <v/>
      </c>
      <c r="R234" s="24">
        <f>IF(Q234=1,100000-N234*1000+227*0.01,9000000000000+227)</f>
        <v/>
      </c>
      <c r="S234" s="24">
        <f>IF(Q234=1,SUMPRODUCT(--($R$8:$R$1207&lt;R234))+1,"")</f>
        <v/>
      </c>
      <c r="T234" s="30">
        <f>IF(K234=1,'ORDENES'!$J230,"")</f>
        <v/>
      </c>
    </row>
    <row r="235">
      <c r="K235" s="24">
        <f>IF(AND(IF($B$3="(todos)",TRUE,'ORDENES'!$O231=$B$3),IF($D$3="(todos)",TRUE,'ORDENES'!$AI231=$D$3),IF($F$3="(todos)",TRUE,'ORDENES'!$AA231=$F$3),IF($H$3="(todos)",TRUE,'ORDENES'!$Z231=$H$3),'ORDENES'!$AG231=TRUE,'ORDENES'!$A231&lt;&gt;""),1,0)</f>
        <v/>
      </c>
      <c r="L235" s="24">
        <f>IF(K235=1,IFERROR(MATCH('ORDENES'!$S231,lista_dias,0),9)*1000000000+IFERROR(MATCH('ORDENES'!$AI231,lista_turnos,0),9)*10000000+IFERROR(MATCH('ORDENES'!$AH231,'TECNICOS'!$B$4:$B$19,0),99)*100000+228,9000000000000+228)</f>
        <v/>
      </c>
      <c r="M235" s="24">
        <f>IF(K235=1,SUMPRODUCT(--($L$8:$L$1207&lt;L235))+1,"")</f>
        <v/>
      </c>
      <c r="N235" s="25">
        <f>IF(K235=1,N('ORDENES'!$M231),0)</f>
        <v/>
      </c>
      <c r="O235" s="25">
        <f>IF('ORDENES'!$U231="preventiva",N235,0)</f>
        <v/>
      </c>
      <c r="P235" s="25">
        <f>IF('ORDENES'!$U231="correctiva",N235,0)</f>
        <v/>
      </c>
      <c r="Q235" s="24">
        <f>IF(AND(K235=1,'ORDENES'!$N231="Pendiente"),1,0)</f>
        <v/>
      </c>
      <c r="R235" s="24">
        <f>IF(Q235=1,100000-N235*1000+228*0.01,9000000000000+228)</f>
        <v/>
      </c>
      <c r="S235" s="24">
        <f>IF(Q235=1,SUMPRODUCT(--($R$8:$R$1207&lt;R235))+1,"")</f>
        <v/>
      </c>
      <c r="T235" s="30">
        <f>IF(K235=1,'ORDENES'!$J231,"")</f>
        <v/>
      </c>
    </row>
    <row r="236">
      <c r="K236" s="24">
        <f>IF(AND(IF($B$3="(todos)",TRUE,'ORDENES'!$O232=$B$3),IF($D$3="(todos)",TRUE,'ORDENES'!$AI232=$D$3),IF($F$3="(todos)",TRUE,'ORDENES'!$AA232=$F$3),IF($H$3="(todos)",TRUE,'ORDENES'!$Z232=$H$3),'ORDENES'!$AG232=TRUE,'ORDENES'!$A232&lt;&gt;""),1,0)</f>
        <v/>
      </c>
      <c r="L236" s="24">
        <f>IF(K236=1,IFERROR(MATCH('ORDENES'!$S232,lista_dias,0),9)*1000000000+IFERROR(MATCH('ORDENES'!$AI232,lista_turnos,0),9)*10000000+IFERROR(MATCH('ORDENES'!$AH232,'TECNICOS'!$B$4:$B$19,0),99)*100000+229,9000000000000+229)</f>
        <v/>
      </c>
      <c r="M236" s="24">
        <f>IF(K236=1,SUMPRODUCT(--($L$8:$L$1207&lt;L236))+1,"")</f>
        <v/>
      </c>
      <c r="N236" s="25">
        <f>IF(K236=1,N('ORDENES'!$M232),0)</f>
        <v/>
      </c>
      <c r="O236" s="25">
        <f>IF('ORDENES'!$U232="preventiva",N236,0)</f>
        <v/>
      </c>
      <c r="P236" s="25">
        <f>IF('ORDENES'!$U232="correctiva",N236,0)</f>
        <v/>
      </c>
      <c r="Q236" s="24">
        <f>IF(AND(K236=1,'ORDENES'!$N232="Pendiente"),1,0)</f>
        <v/>
      </c>
      <c r="R236" s="24">
        <f>IF(Q236=1,100000-N236*1000+229*0.01,9000000000000+229)</f>
        <v/>
      </c>
      <c r="S236" s="24">
        <f>IF(Q236=1,SUMPRODUCT(--($R$8:$R$1207&lt;R236))+1,"")</f>
        <v/>
      </c>
      <c r="T236" s="30">
        <f>IF(K236=1,'ORDENES'!$J232,"")</f>
        <v/>
      </c>
    </row>
    <row r="237">
      <c r="K237" s="24">
        <f>IF(AND(IF($B$3="(todos)",TRUE,'ORDENES'!$O233=$B$3),IF($D$3="(todos)",TRUE,'ORDENES'!$AI233=$D$3),IF($F$3="(todos)",TRUE,'ORDENES'!$AA233=$F$3),IF($H$3="(todos)",TRUE,'ORDENES'!$Z233=$H$3),'ORDENES'!$AG233=TRUE,'ORDENES'!$A233&lt;&gt;""),1,0)</f>
        <v/>
      </c>
      <c r="L237" s="24">
        <f>IF(K237=1,IFERROR(MATCH('ORDENES'!$S233,lista_dias,0),9)*1000000000+IFERROR(MATCH('ORDENES'!$AI233,lista_turnos,0),9)*10000000+IFERROR(MATCH('ORDENES'!$AH233,'TECNICOS'!$B$4:$B$19,0),99)*100000+230,9000000000000+230)</f>
        <v/>
      </c>
      <c r="M237" s="24">
        <f>IF(K237=1,SUMPRODUCT(--($L$8:$L$1207&lt;L237))+1,"")</f>
        <v/>
      </c>
      <c r="N237" s="25">
        <f>IF(K237=1,N('ORDENES'!$M233),0)</f>
        <v/>
      </c>
      <c r="O237" s="25">
        <f>IF('ORDENES'!$U233="preventiva",N237,0)</f>
        <v/>
      </c>
      <c r="P237" s="25">
        <f>IF('ORDENES'!$U233="correctiva",N237,0)</f>
        <v/>
      </c>
      <c r="Q237" s="24">
        <f>IF(AND(K237=1,'ORDENES'!$N233="Pendiente"),1,0)</f>
        <v/>
      </c>
      <c r="R237" s="24">
        <f>IF(Q237=1,100000-N237*1000+230*0.01,9000000000000+230)</f>
        <v/>
      </c>
      <c r="S237" s="24">
        <f>IF(Q237=1,SUMPRODUCT(--($R$8:$R$1207&lt;R237))+1,"")</f>
        <v/>
      </c>
      <c r="T237" s="30">
        <f>IF(K237=1,'ORDENES'!$J233,"")</f>
        <v/>
      </c>
    </row>
    <row r="238">
      <c r="K238" s="24">
        <f>IF(AND(IF($B$3="(todos)",TRUE,'ORDENES'!$O234=$B$3),IF($D$3="(todos)",TRUE,'ORDENES'!$AI234=$D$3),IF($F$3="(todos)",TRUE,'ORDENES'!$AA234=$F$3),IF($H$3="(todos)",TRUE,'ORDENES'!$Z234=$H$3),'ORDENES'!$AG234=TRUE,'ORDENES'!$A234&lt;&gt;""),1,0)</f>
        <v/>
      </c>
      <c r="L238" s="24">
        <f>IF(K238=1,IFERROR(MATCH('ORDENES'!$S234,lista_dias,0),9)*1000000000+IFERROR(MATCH('ORDENES'!$AI234,lista_turnos,0),9)*10000000+IFERROR(MATCH('ORDENES'!$AH234,'TECNICOS'!$B$4:$B$19,0),99)*100000+231,9000000000000+231)</f>
        <v/>
      </c>
      <c r="M238" s="24">
        <f>IF(K238=1,SUMPRODUCT(--($L$8:$L$1207&lt;L238))+1,"")</f>
        <v/>
      </c>
      <c r="N238" s="25">
        <f>IF(K238=1,N('ORDENES'!$M234),0)</f>
        <v/>
      </c>
      <c r="O238" s="25">
        <f>IF('ORDENES'!$U234="preventiva",N238,0)</f>
        <v/>
      </c>
      <c r="P238" s="25">
        <f>IF('ORDENES'!$U234="correctiva",N238,0)</f>
        <v/>
      </c>
      <c r="Q238" s="24">
        <f>IF(AND(K238=1,'ORDENES'!$N234="Pendiente"),1,0)</f>
        <v/>
      </c>
      <c r="R238" s="24">
        <f>IF(Q238=1,100000-N238*1000+231*0.01,9000000000000+231)</f>
        <v/>
      </c>
      <c r="S238" s="24">
        <f>IF(Q238=1,SUMPRODUCT(--($R$8:$R$1207&lt;R238))+1,"")</f>
        <v/>
      </c>
      <c r="T238" s="30">
        <f>IF(K238=1,'ORDENES'!$J234,"")</f>
        <v/>
      </c>
    </row>
    <row r="239">
      <c r="K239" s="24">
        <f>IF(AND(IF($B$3="(todos)",TRUE,'ORDENES'!$O235=$B$3),IF($D$3="(todos)",TRUE,'ORDENES'!$AI235=$D$3),IF($F$3="(todos)",TRUE,'ORDENES'!$AA235=$F$3),IF($H$3="(todos)",TRUE,'ORDENES'!$Z235=$H$3),'ORDENES'!$AG235=TRUE,'ORDENES'!$A235&lt;&gt;""),1,0)</f>
        <v/>
      </c>
      <c r="L239" s="24">
        <f>IF(K239=1,IFERROR(MATCH('ORDENES'!$S235,lista_dias,0),9)*1000000000+IFERROR(MATCH('ORDENES'!$AI235,lista_turnos,0),9)*10000000+IFERROR(MATCH('ORDENES'!$AH235,'TECNICOS'!$B$4:$B$19,0),99)*100000+232,9000000000000+232)</f>
        <v/>
      </c>
      <c r="M239" s="24">
        <f>IF(K239=1,SUMPRODUCT(--($L$8:$L$1207&lt;L239))+1,"")</f>
        <v/>
      </c>
      <c r="N239" s="25">
        <f>IF(K239=1,N('ORDENES'!$M235),0)</f>
        <v/>
      </c>
      <c r="O239" s="25">
        <f>IF('ORDENES'!$U235="preventiva",N239,0)</f>
        <v/>
      </c>
      <c r="P239" s="25">
        <f>IF('ORDENES'!$U235="correctiva",N239,0)</f>
        <v/>
      </c>
      <c r="Q239" s="24">
        <f>IF(AND(K239=1,'ORDENES'!$N235="Pendiente"),1,0)</f>
        <v/>
      </c>
      <c r="R239" s="24">
        <f>IF(Q239=1,100000-N239*1000+232*0.01,9000000000000+232)</f>
        <v/>
      </c>
      <c r="S239" s="24">
        <f>IF(Q239=1,SUMPRODUCT(--($R$8:$R$1207&lt;R239))+1,"")</f>
        <v/>
      </c>
      <c r="T239" s="30">
        <f>IF(K239=1,'ORDENES'!$J235,"")</f>
        <v/>
      </c>
    </row>
    <row r="240">
      <c r="K240" s="24">
        <f>IF(AND(IF($B$3="(todos)",TRUE,'ORDENES'!$O236=$B$3),IF($D$3="(todos)",TRUE,'ORDENES'!$AI236=$D$3),IF($F$3="(todos)",TRUE,'ORDENES'!$AA236=$F$3),IF($H$3="(todos)",TRUE,'ORDENES'!$Z236=$H$3),'ORDENES'!$AG236=TRUE,'ORDENES'!$A236&lt;&gt;""),1,0)</f>
        <v/>
      </c>
      <c r="L240" s="24">
        <f>IF(K240=1,IFERROR(MATCH('ORDENES'!$S236,lista_dias,0),9)*1000000000+IFERROR(MATCH('ORDENES'!$AI236,lista_turnos,0),9)*10000000+IFERROR(MATCH('ORDENES'!$AH236,'TECNICOS'!$B$4:$B$19,0),99)*100000+233,9000000000000+233)</f>
        <v/>
      </c>
      <c r="M240" s="24">
        <f>IF(K240=1,SUMPRODUCT(--($L$8:$L$1207&lt;L240))+1,"")</f>
        <v/>
      </c>
      <c r="N240" s="25">
        <f>IF(K240=1,N('ORDENES'!$M236),0)</f>
        <v/>
      </c>
      <c r="O240" s="25">
        <f>IF('ORDENES'!$U236="preventiva",N240,0)</f>
        <v/>
      </c>
      <c r="P240" s="25">
        <f>IF('ORDENES'!$U236="correctiva",N240,0)</f>
        <v/>
      </c>
      <c r="Q240" s="24">
        <f>IF(AND(K240=1,'ORDENES'!$N236="Pendiente"),1,0)</f>
        <v/>
      </c>
      <c r="R240" s="24">
        <f>IF(Q240=1,100000-N240*1000+233*0.01,9000000000000+233)</f>
        <v/>
      </c>
      <c r="S240" s="24">
        <f>IF(Q240=1,SUMPRODUCT(--($R$8:$R$1207&lt;R240))+1,"")</f>
        <v/>
      </c>
      <c r="T240" s="30">
        <f>IF(K240=1,'ORDENES'!$J236,"")</f>
        <v/>
      </c>
    </row>
    <row r="241">
      <c r="K241" s="24">
        <f>IF(AND(IF($B$3="(todos)",TRUE,'ORDENES'!$O237=$B$3),IF($D$3="(todos)",TRUE,'ORDENES'!$AI237=$D$3),IF($F$3="(todos)",TRUE,'ORDENES'!$AA237=$F$3),IF($H$3="(todos)",TRUE,'ORDENES'!$Z237=$H$3),'ORDENES'!$AG237=TRUE,'ORDENES'!$A237&lt;&gt;""),1,0)</f>
        <v/>
      </c>
      <c r="L241" s="24">
        <f>IF(K241=1,IFERROR(MATCH('ORDENES'!$S237,lista_dias,0),9)*1000000000+IFERROR(MATCH('ORDENES'!$AI237,lista_turnos,0),9)*10000000+IFERROR(MATCH('ORDENES'!$AH237,'TECNICOS'!$B$4:$B$19,0),99)*100000+234,9000000000000+234)</f>
        <v/>
      </c>
      <c r="M241" s="24">
        <f>IF(K241=1,SUMPRODUCT(--($L$8:$L$1207&lt;L241))+1,"")</f>
        <v/>
      </c>
      <c r="N241" s="25">
        <f>IF(K241=1,N('ORDENES'!$M237),0)</f>
        <v/>
      </c>
      <c r="O241" s="25">
        <f>IF('ORDENES'!$U237="preventiva",N241,0)</f>
        <v/>
      </c>
      <c r="P241" s="25">
        <f>IF('ORDENES'!$U237="correctiva",N241,0)</f>
        <v/>
      </c>
      <c r="Q241" s="24">
        <f>IF(AND(K241=1,'ORDENES'!$N237="Pendiente"),1,0)</f>
        <v/>
      </c>
      <c r="R241" s="24">
        <f>IF(Q241=1,100000-N241*1000+234*0.01,9000000000000+234)</f>
        <v/>
      </c>
      <c r="S241" s="24">
        <f>IF(Q241=1,SUMPRODUCT(--($R$8:$R$1207&lt;R241))+1,"")</f>
        <v/>
      </c>
      <c r="T241" s="30">
        <f>IF(K241=1,'ORDENES'!$J237,"")</f>
        <v/>
      </c>
    </row>
    <row r="242">
      <c r="K242" s="24">
        <f>IF(AND(IF($B$3="(todos)",TRUE,'ORDENES'!$O238=$B$3),IF($D$3="(todos)",TRUE,'ORDENES'!$AI238=$D$3),IF($F$3="(todos)",TRUE,'ORDENES'!$AA238=$F$3),IF($H$3="(todos)",TRUE,'ORDENES'!$Z238=$H$3),'ORDENES'!$AG238=TRUE,'ORDENES'!$A238&lt;&gt;""),1,0)</f>
        <v/>
      </c>
      <c r="L242" s="24">
        <f>IF(K242=1,IFERROR(MATCH('ORDENES'!$S238,lista_dias,0),9)*1000000000+IFERROR(MATCH('ORDENES'!$AI238,lista_turnos,0),9)*10000000+IFERROR(MATCH('ORDENES'!$AH238,'TECNICOS'!$B$4:$B$19,0),99)*100000+235,9000000000000+235)</f>
        <v/>
      </c>
      <c r="M242" s="24">
        <f>IF(K242=1,SUMPRODUCT(--($L$8:$L$1207&lt;L242))+1,"")</f>
        <v/>
      </c>
      <c r="N242" s="25">
        <f>IF(K242=1,N('ORDENES'!$M238),0)</f>
        <v/>
      </c>
      <c r="O242" s="25">
        <f>IF('ORDENES'!$U238="preventiva",N242,0)</f>
        <v/>
      </c>
      <c r="P242" s="25">
        <f>IF('ORDENES'!$U238="correctiva",N242,0)</f>
        <v/>
      </c>
      <c r="Q242" s="24">
        <f>IF(AND(K242=1,'ORDENES'!$N238="Pendiente"),1,0)</f>
        <v/>
      </c>
      <c r="R242" s="24">
        <f>IF(Q242=1,100000-N242*1000+235*0.01,9000000000000+235)</f>
        <v/>
      </c>
      <c r="S242" s="24">
        <f>IF(Q242=1,SUMPRODUCT(--($R$8:$R$1207&lt;R242))+1,"")</f>
        <v/>
      </c>
      <c r="T242" s="30">
        <f>IF(K242=1,'ORDENES'!$J238,"")</f>
        <v/>
      </c>
    </row>
    <row r="243">
      <c r="K243" s="24">
        <f>IF(AND(IF($B$3="(todos)",TRUE,'ORDENES'!$O239=$B$3),IF($D$3="(todos)",TRUE,'ORDENES'!$AI239=$D$3),IF($F$3="(todos)",TRUE,'ORDENES'!$AA239=$F$3),IF($H$3="(todos)",TRUE,'ORDENES'!$Z239=$H$3),'ORDENES'!$AG239=TRUE,'ORDENES'!$A239&lt;&gt;""),1,0)</f>
        <v/>
      </c>
      <c r="L243" s="24">
        <f>IF(K243=1,IFERROR(MATCH('ORDENES'!$S239,lista_dias,0),9)*1000000000+IFERROR(MATCH('ORDENES'!$AI239,lista_turnos,0),9)*10000000+IFERROR(MATCH('ORDENES'!$AH239,'TECNICOS'!$B$4:$B$19,0),99)*100000+236,9000000000000+236)</f>
        <v/>
      </c>
      <c r="M243" s="24">
        <f>IF(K243=1,SUMPRODUCT(--($L$8:$L$1207&lt;L243))+1,"")</f>
        <v/>
      </c>
      <c r="N243" s="25">
        <f>IF(K243=1,N('ORDENES'!$M239),0)</f>
        <v/>
      </c>
      <c r="O243" s="25">
        <f>IF('ORDENES'!$U239="preventiva",N243,0)</f>
        <v/>
      </c>
      <c r="P243" s="25">
        <f>IF('ORDENES'!$U239="correctiva",N243,0)</f>
        <v/>
      </c>
      <c r="Q243" s="24">
        <f>IF(AND(K243=1,'ORDENES'!$N239="Pendiente"),1,0)</f>
        <v/>
      </c>
      <c r="R243" s="24">
        <f>IF(Q243=1,100000-N243*1000+236*0.01,9000000000000+236)</f>
        <v/>
      </c>
      <c r="S243" s="24">
        <f>IF(Q243=1,SUMPRODUCT(--($R$8:$R$1207&lt;R243))+1,"")</f>
        <v/>
      </c>
      <c r="T243" s="30">
        <f>IF(K243=1,'ORDENES'!$J239,"")</f>
        <v/>
      </c>
    </row>
    <row r="244">
      <c r="K244" s="24">
        <f>IF(AND(IF($B$3="(todos)",TRUE,'ORDENES'!$O240=$B$3),IF($D$3="(todos)",TRUE,'ORDENES'!$AI240=$D$3),IF($F$3="(todos)",TRUE,'ORDENES'!$AA240=$F$3),IF($H$3="(todos)",TRUE,'ORDENES'!$Z240=$H$3),'ORDENES'!$AG240=TRUE,'ORDENES'!$A240&lt;&gt;""),1,0)</f>
        <v/>
      </c>
      <c r="L244" s="24">
        <f>IF(K244=1,IFERROR(MATCH('ORDENES'!$S240,lista_dias,0),9)*1000000000+IFERROR(MATCH('ORDENES'!$AI240,lista_turnos,0),9)*10000000+IFERROR(MATCH('ORDENES'!$AH240,'TECNICOS'!$B$4:$B$19,0),99)*100000+237,9000000000000+237)</f>
        <v/>
      </c>
      <c r="M244" s="24">
        <f>IF(K244=1,SUMPRODUCT(--($L$8:$L$1207&lt;L244))+1,"")</f>
        <v/>
      </c>
      <c r="N244" s="25">
        <f>IF(K244=1,N('ORDENES'!$M240),0)</f>
        <v/>
      </c>
      <c r="O244" s="25">
        <f>IF('ORDENES'!$U240="preventiva",N244,0)</f>
        <v/>
      </c>
      <c r="P244" s="25">
        <f>IF('ORDENES'!$U240="correctiva",N244,0)</f>
        <v/>
      </c>
      <c r="Q244" s="24">
        <f>IF(AND(K244=1,'ORDENES'!$N240="Pendiente"),1,0)</f>
        <v/>
      </c>
      <c r="R244" s="24">
        <f>IF(Q244=1,100000-N244*1000+237*0.01,9000000000000+237)</f>
        <v/>
      </c>
      <c r="S244" s="24">
        <f>IF(Q244=1,SUMPRODUCT(--($R$8:$R$1207&lt;R244))+1,"")</f>
        <v/>
      </c>
      <c r="T244" s="30">
        <f>IF(K244=1,'ORDENES'!$J240,"")</f>
        <v/>
      </c>
    </row>
    <row r="245">
      <c r="K245" s="24">
        <f>IF(AND(IF($B$3="(todos)",TRUE,'ORDENES'!$O241=$B$3),IF($D$3="(todos)",TRUE,'ORDENES'!$AI241=$D$3),IF($F$3="(todos)",TRUE,'ORDENES'!$AA241=$F$3),IF($H$3="(todos)",TRUE,'ORDENES'!$Z241=$H$3),'ORDENES'!$AG241=TRUE,'ORDENES'!$A241&lt;&gt;""),1,0)</f>
        <v/>
      </c>
      <c r="L245" s="24">
        <f>IF(K245=1,IFERROR(MATCH('ORDENES'!$S241,lista_dias,0),9)*1000000000+IFERROR(MATCH('ORDENES'!$AI241,lista_turnos,0),9)*10000000+IFERROR(MATCH('ORDENES'!$AH241,'TECNICOS'!$B$4:$B$19,0),99)*100000+238,9000000000000+238)</f>
        <v/>
      </c>
      <c r="M245" s="24">
        <f>IF(K245=1,SUMPRODUCT(--($L$8:$L$1207&lt;L245))+1,"")</f>
        <v/>
      </c>
      <c r="N245" s="25">
        <f>IF(K245=1,N('ORDENES'!$M241),0)</f>
        <v/>
      </c>
      <c r="O245" s="25">
        <f>IF('ORDENES'!$U241="preventiva",N245,0)</f>
        <v/>
      </c>
      <c r="P245" s="25">
        <f>IF('ORDENES'!$U241="correctiva",N245,0)</f>
        <v/>
      </c>
      <c r="Q245" s="24">
        <f>IF(AND(K245=1,'ORDENES'!$N241="Pendiente"),1,0)</f>
        <v/>
      </c>
      <c r="R245" s="24">
        <f>IF(Q245=1,100000-N245*1000+238*0.01,9000000000000+238)</f>
        <v/>
      </c>
      <c r="S245" s="24">
        <f>IF(Q245=1,SUMPRODUCT(--($R$8:$R$1207&lt;R245))+1,"")</f>
        <v/>
      </c>
      <c r="T245" s="30">
        <f>IF(K245=1,'ORDENES'!$J241,"")</f>
        <v/>
      </c>
    </row>
    <row r="246">
      <c r="K246" s="24">
        <f>IF(AND(IF($B$3="(todos)",TRUE,'ORDENES'!$O242=$B$3),IF($D$3="(todos)",TRUE,'ORDENES'!$AI242=$D$3),IF($F$3="(todos)",TRUE,'ORDENES'!$AA242=$F$3),IF($H$3="(todos)",TRUE,'ORDENES'!$Z242=$H$3),'ORDENES'!$AG242=TRUE,'ORDENES'!$A242&lt;&gt;""),1,0)</f>
        <v/>
      </c>
      <c r="L246" s="24">
        <f>IF(K246=1,IFERROR(MATCH('ORDENES'!$S242,lista_dias,0),9)*1000000000+IFERROR(MATCH('ORDENES'!$AI242,lista_turnos,0),9)*10000000+IFERROR(MATCH('ORDENES'!$AH242,'TECNICOS'!$B$4:$B$19,0),99)*100000+239,9000000000000+239)</f>
        <v/>
      </c>
      <c r="M246" s="24">
        <f>IF(K246=1,SUMPRODUCT(--($L$8:$L$1207&lt;L246))+1,"")</f>
        <v/>
      </c>
      <c r="N246" s="25">
        <f>IF(K246=1,N('ORDENES'!$M242),0)</f>
        <v/>
      </c>
      <c r="O246" s="25">
        <f>IF('ORDENES'!$U242="preventiva",N246,0)</f>
        <v/>
      </c>
      <c r="P246" s="25">
        <f>IF('ORDENES'!$U242="correctiva",N246,0)</f>
        <v/>
      </c>
      <c r="Q246" s="24">
        <f>IF(AND(K246=1,'ORDENES'!$N242="Pendiente"),1,0)</f>
        <v/>
      </c>
      <c r="R246" s="24">
        <f>IF(Q246=1,100000-N246*1000+239*0.01,9000000000000+239)</f>
        <v/>
      </c>
      <c r="S246" s="24">
        <f>IF(Q246=1,SUMPRODUCT(--($R$8:$R$1207&lt;R246))+1,"")</f>
        <v/>
      </c>
      <c r="T246" s="30">
        <f>IF(K246=1,'ORDENES'!$J242,"")</f>
        <v/>
      </c>
    </row>
    <row r="247">
      <c r="K247" s="24">
        <f>IF(AND(IF($B$3="(todos)",TRUE,'ORDENES'!$O243=$B$3),IF($D$3="(todos)",TRUE,'ORDENES'!$AI243=$D$3),IF($F$3="(todos)",TRUE,'ORDENES'!$AA243=$F$3),IF($H$3="(todos)",TRUE,'ORDENES'!$Z243=$H$3),'ORDENES'!$AG243=TRUE,'ORDENES'!$A243&lt;&gt;""),1,0)</f>
        <v/>
      </c>
      <c r="L247" s="24">
        <f>IF(K247=1,IFERROR(MATCH('ORDENES'!$S243,lista_dias,0),9)*1000000000+IFERROR(MATCH('ORDENES'!$AI243,lista_turnos,0),9)*10000000+IFERROR(MATCH('ORDENES'!$AH243,'TECNICOS'!$B$4:$B$19,0),99)*100000+240,9000000000000+240)</f>
        <v/>
      </c>
      <c r="M247" s="24">
        <f>IF(K247=1,SUMPRODUCT(--($L$8:$L$1207&lt;L247))+1,"")</f>
        <v/>
      </c>
      <c r="N247" s="25">
        <f>IF(K247=1,N('ORDENES'!$M243),0)</f>
        <v/>
      </c>
      <c r="O247" s="25">
        <f>IF('ORDENES'!$U243="preventiva",N247,0)</f>
        <v/>
      </c>
      <c r="P247" s="25">
        <f>IF('ORDENES'!$U243="correctiva",N247,0)</f>
        <v/>
      </c>
      <c r="Q247" s="24">
        <f>IF(AND(K247=1,'ORDENES'!$N243="Pendiente"),1,0)</f>
        <v/>
      </c>
      <c r="R247" s="24">
        <f>IF(Q247=1,100000-N247*1000+240*0.01,9000000000000+240)</f>
        <v/>
      </c>
      <c r="S247" s="24">
        <f>IF(Q247=1,SUMPRODUCT(--($R$8:$R$1207&lt;R247))+1,"")</f>
        <v/>
      </c>
      <c r="T247" s="30">
        <f>IF(K247=1,'ORDENES'!$J243,"")</f>
        <v/>
      </c>
    </row>
    <row r="248">
      <c r="K248" s="24">
        <f>IF(AND(IF($B$3="(todos)",TRUE,'ORDENES'!$O244=$B$3),IF($D$3="(todos)",TRUE,'ORDENES'!$AI244=$D$3),IF($F$3="(todos)",TRUE,'ORDENES'!$AA244=$F$3),IF($H$3="(todos)",TRUE,'ORDENES'!$Z244=$H$3),'ORDENES'!$AG244=TRUE,'ORDENES'!$A244&lt;&gt;""),1,0)</f>
        <v/>
      </c>
      <c r="L248" s="24">
        <f>IF(K248=1,IFERROR(MATCH('ORDENES'!$S244,lista_dias,0),9)*1000000000+IFERROR(MATCH('ORDENES'!$AI244,lista_turnos,0),9)*10000000+IFERROR(MATCH('ORDENES'!$AH244,'TECNICOS'!$B$4:$B$19,0),99)*100000+241,9000000000000+241)</f>
        <v/>
      </c>
      <c r="M248" s="24">
        <f>IF(K248=1,SUMPRODUCT(--($L$8:$L$1207&lt;L248))+1,"")</f>
        <v/>
      </c>
      <c r="N248" s="25">
        <f>IF(K248=1,N('ORDENES'!$M244),0)</f>
        <v/>
      </c>
      <c r="O248" s="25">
        <f>IF('ORDENES'!$U244="preventiva",N248,0)</f>
        <v/>
      </c>
      <c r="P248" s="25">
        <f>IF('ORDENES'!$U244="correctiva",N248,0)</f>
        <v/>
      </c>
      <c r="Q248" s="24">
        <f>IF(AND(K248=1,'ORDENES'!$N244="Pendiente"),1,0)</f>
        <v/>
      </c>
      <c r="R248" s="24">
        <f>IF(Q248=1,100000-N248*1000+241*0.01,9000000000000+241)</f>
        <v/>
      </c>
      <c r="S248" s="24">
        <f>IF(Q248=1,SUMPRODUCT(--($R$8:$R$1207&lt;R248))+1,"")</f>
        <v/>
      </c>
      <c r="T248" s="30">
        <f>IF(K248=1,'ORDENES'!$J244,"")</f>
        <v/>
      </c>
    </row>
    <row r="249">
      <c r="K249" s="24">
        <f>IF(AND(IF($B$3="(todos)",TRUE,'ORDENES'!$O245=$B$3),IF($D$3="(todos)",TRUE,'ORDENES'!$AI245=$D$3),IF($F$3="(todos)",TRUE,'ORDENES'!$AA245=$F$3),IF($H$3="(todos)",TRUE,'ORDENES'!$Z245=$H$3),'ORDENES'!$AG245=TRUE,'ORDENES'!$A245&lt;&gt;""),1,0)</f>
        <v/>
      </c>
      <c r="L249" s="24">
        <f>IF(K249=1,IFERROR(MATCH('ORDENES'!$S245,lista_dias,0),9)*1000000000+IFERROR(MATCH('ORDENES'!$AI245,lista_turnos,0),9)*10000000+IFERROR(MATCH('ORDENES'!$AH245,'TECNICOS'!$B$4:$B$19,0),99)*100000+242,9000000000000+242)</f>
        <v/>
      </c>
      <c r="M249" s="24">
        <f>IF(K249=1,SUMPRODUCT(--($L$8:$L$1207&lt;L249))+1,"")</f>
        <v/>
      </c>
      <c r="N249" s="25">
        <f>IF(K249=1,N('ORDENES'!$M245),0)</f>
        <v/>
      </c>
      <c r="O249" s="25">
        <f>IF('ORDENES'!$U245="preventiva",N249,0)</f>
        <v/>
      </c>
      <c r="P249" s="25">
        <f>IF('ORDENES'!$U245="correctiva",N249,0)</f>
        <v/>
      </c>
      <c r="Q249" s="24">
        <f>IF(AND(K249=1,'ORDENES'!$N245="Pendiente"),1,0)</f>
        <v/>
      </c>
      <c r="R249" s="24">
        <f>IF(Q249=1,100000-N249*1000+242*0.01,9000000000000+242)</f>
        <v/>
      </c>
      <c r="S249" s="24">
        <f>IF(Q249=1,SUMPRODUCT(--($R$8:$R$1207&lt;R249))+1,"")</f>
        <v/>
      </c>
      <c r="T249" s="30">
        <f>IF(K249=1,'ORDENES'!$J245,"")</f>
        <v/>
      </c>
    </row>
    <row r="250">
      <c r="K250" s="24">
        <f>IF(AND(IF($B$3="(todos)",TRUE,'ORDENES'!$O246=$B$3),IF($D$3="(todos)",TRUE,'ORDENES'!$AI246=$D$3),IF($F$3="(todos)",TRUE,'ORDENES'!$AA246=$F$3),IF($H$3="(todos)",TRUE,'ORDENES'!$Z246=$H$3),'ORDENES'!$AG246=TRUE,'ORDENES'!$A246&lt;&gt;""),1,0)</f>
        <v/>
      </c>
      <c r="L250" s="24">
        <f>IF(K250=1,IFERROR(MATCH('ORDENES'!$S246,lista_dias,0),9)*1000000000+IFERROR(MATCH('ORDENES'!$AI246,lista_turnos,0),9)*10000000+IFERROR(MATCH('ORDENES'!$AH246,'TECNICOS'!$B$4:$B$19,0),99)*100000+243,9000000000000+243)</f>
        <v/>
      </c>
      <c r="M250" s="24">
        <f>IF(K250=1,SUMPRODUCT(--($L$8:$L$1207&lt;L250))+1,"")</f>
        <v/>
      </c>
      <c r="N250" s="25">
        <f>IF(K250=1,N('ORDENES'!$M246),0)</f>
        <v/>
      </c>
      <c r="O250" s="25">
        <f>IF('ORDENES'!$U246="preventiva",N250,0)</f>
        <v/>
      </c>
      <c r="P250" s="25">
        <f>IF('ORDENES'!$U246="correctiva",N250,0)</f>
        <v/>
      </c>
      <c r="Q250" s="24">
        <f>IF(AND(K250=1,'ORDENES'!$N246="Pendiente"),1,0)</f>
        <v/>
      </c>
      <c r="R250" s="24">
        <f>IF(Q250=1,100000-N250*1000+243*0.01,9000000000000+243)</f>
        <v/>
      </c>
      <c r="S250" s="24">
        <f>IF(Q250=1,SUMPRODUCT(--($R$8:$R$1207&lt;R250))+1,"")</f>
        <v/>
      </c>
      <c r="T250" s="30">
        <f>IF(K250=1,'ORDENES'!$J246,"")</f>
        <v/>
      </c>
    </row>
    <row r="251">
      <c r="K251" s="24">
        <f>IF(AND(IF($B$3="(todos)",TRUE,'ORDENES'!$O247=$B$3),IF($D$3="(todos)",TRUE,'ORDENES'!$AI247=$D$3),IF($F$3="(todos)",TRUE,'ORDENES'!$AA247=$F$3),IF($H$3="(todos)",TRUE,'ORDENES'!$Z247=$H$3),'ORDENES'!$AG247=TRUE,'ORDENES'!$A247&lt;&gt;""),1,0)</f>
        <v/>
      </c>
      <c r="L251" s="24">
        <f>IF(K251=1,IFERROR(MATCH('ORDENES'!$S247,lista_dias,0),9)*1000000000+IFERROR(MATCH('ORDENES'!$AI247,lista_turnos,0),9)*10000000+IFERROR(MATCH('ORDENES'!$AH247,'TECNICOS'!$B$4:$B$19,0),99)*100000+244,9000000000000+244)</f>
        <v/>
      </c>
      <c r="M251" s="24">
        <f>IF(K251=1,SUMPRODUCT(--($L$8:$L$1207&lt;L251))+1,"")</f>
        <v/>
      </c>
      <c r="N251" s="25">
        <f>IF(K251=1,N('ORDENES'!$M247),0)</f>
        <v/>
      </c>
      <c r="O251" s="25">
        <f>IF('ORDENES'!$U247="preventiva",N251,0)</f>
        <v/>
      </c>
      <c r="P251" s="25">
        <f>IF('ORDENES'!$U247="correctiva",N251,0)</f>
        <v/>
      </c>
      <c r="Q251" s="24">
        <f>IF(AND(K251=1,'ORDENES'!$N247="Pendiente"),1,0)</f>
        <v/>
      </c>
      <c r="R251" s="24">
        <f>IF(Q251=1,100000-N251*1000+244*0.01,9000000000000+244)</f>
        <v/>
      </c>
      <c r="S251" s="24">
        <f>IF(Q251=1,SUMPRODUCT(--($R$8:$R$1207&lt;R251))+1,"")</f>
        <v/>
      </c>
      <c r="T251" s="30">
        <f>IF(K251=1,'ORDENES'!$J247,"")</f>
        <v/>
      </c>
    </row>
    <row r="252">
      <c r="K252" s="24">
        <f>IF(AND(IF($B$3="(todos)",TRUE,'ORDENES'!$O248=$B$3),IF($D$3="(todos)",TRUE,'ORDENES'!$AI248=$D$3),IF($F$3="(todos)",TRUE,'ORDENES'!$AA248=$F$3),IF($H$3="(todos)",TRUE,'ORDENES'!$Z248=$H$3),'ORDENES'!$AG248=TRUE,'ORDENES'!$A248&lt;&gt;""),1,0)</f>
        <v/>
      </c>
      <c r="L252" s="24">
        <f>IF(K252=1,IFERROR(MATCH('ORDENES'!$S248,lista_dias,0),9)*1000000000+IFERROR(MATCH('ORDENES'!$AI248,lista_turnos,0),9)*10000000+IFERROR(MATCH('ORDENES'!$AH248,'TECNICOS'!$B$4:$B$19,0),99)*100000+245,9000000000000+245)</f>
        <v/>
      </c>
      <c r="M252" s="24">
        <f>IF(K252=1,SUMPRODUCT(--($L$8:$L$1207&lt;L252))+1,"")</f>
        <v/>
      </c>
      <c r="N252" s="25">
        <f>IF(K252=1,N('ORDENES'!$M248),0)</f>
        <v/>
      </c>
      <c r="O252" s="25">
        <f>IF('ORDENES'!$U248="preventiva",N252,0)</f>
        <v/>
      </c>
      <c r="P252" s="25">
        <f>IF('ORDENES'!$U248="correctiva",N252,0)</f>
        <v/>
      </c>
      <c r="Q252" s="24">
        <f>IF(AND(K252=1,'ORDENES'!$N248="Pendiente"),1,0)</f>
        <v/>
      </c>
      <c r="R252" s="24">
        <f>IF(Q252=1,100000-N252*1000+245*0.01,9000000000000+245)</f>
        <v/>
      </c>
      <c r="S252" s="24">
        <f>IF(Q252=1,SUMPRODUCT(--($R$8:$R$1207&lt;R252))+1,"")</f>
        <v/>
      </c>
      <c r="T252" s="30">
        <f>IF(K252=1,'ORDENES'!$J248,"")</f>
        <v/>
      </c>
    </row>
    <row r="253">
      <c r="K253" s="24">
        <f>IF(AND(IF($B$3="(todos)",TRUE,'ORDENES'!$O249=$B$3),IF($D$3="(todos)",TRUE,'ORDENES'!$AI249=$D$3),IF($F$3="(todos)",TRUE,'ORDENES'!$AA249=$F$3),IF($H$3="(todos)",TRUE,'ORDENES'!$Z249=$H$3),'ORDENES'!$AG249=TRUE,'ORDENES'!$A249&lt;&gt;""),1,0)</f>
        <v/>
      </c>
      <c r="L253" s="24">
        <f>IF(K253=1,IFERROR(MATCH('ORDENES'!$S249,lista_dias,0),9)*1000000000+IFERROR(MATCH('ORDENES'!$AI249,lista_turnos,0),9)*10000000+IFERROR(MATCH('ORDENES'!$AH249,'TECNICOS'!$B$4:$B$19,0),99)*100000+246,9000000000000+246)</f>
        <v/>
      </c>
      <c r="M253" s="24">
        <f>IF(K253=1,SUMPRODUCT(--($L$8:$L$1207&lt;L253))+1,"")</f>
        <v/>
      </c>
      <c r="N253" s="25">
        <f>IF(K253=1,N('ORDENES'!$M249),0)</f>
        <v/>
      </c>
      <c r="O253" s="25">
        <f>IF('ORDENES'!$U249="preventiva",N253,0)</f>
        <v/>
      </c>
      <c r="P253" s="25">
        <f>IF('ORDENES'!$U249="correctiva",N253,0)</f>
        <v/>
      </c>
      <c r="Q253" s="24">
        <f>IF(AND(K253=1,'ORDENES'!$N249="Pendiente"),1,0)</f>
        <v/>
      </c>
      <c r="R253" s="24">
        <f>IF(Q253=1,100000-N253*1000+246*0.01,9000000000000+246)</f>
        <v/>
      </c>
      <c r="S253" s="24">
        <f>IF(Q253=1,SUMPRODUCT(--($R$8:$R$1207&lt;R253))+1,"")</f>
        <v/>
      </c>
      <c r="T253" s="30">
        <f>IF(K253=1,'ORDENES'!$J249,"")</f>
        <v/>
      </c>
    </row>
    <row r="254">
      <c r="K254" s="24">
        <f>IF(AND(IF($B$3="(todos)",TRUE,'ORDENES'!$O250=$B$3),IF($D$3="(todos)",TRUE,'ORDENES'!$AI250=$D$3),IF($F$3="(todos)",TRUE,'ORDENES'!$AA250=$F$3),IF($H$3="(todos)",TRUE,'ORDENES'!$Z250=$H$3),'ORDENES'!$AG250=TRUE,'ORDENES'!$A250&lt;&gt;""),1,0)</f>
        <v/>
      </c>
      <c r="L254" s="24">
        <f>IF(K254=1,IFERROR(MATCH('ORDENES'!$S250,lista_dias,0),9)*1000000000+IFERROR(MATCH('ORDENES'!$AI250,lista_turnos,0),9)*10000000+IFERROR(MATCH('ORDENES'!$AH250,'TECNICOS'!$B$4:$B$19,0),99)*100000+247,9000000000000+247)</f>
        <v/>
      </c>
      <c r="M254" s="24">
        <f>IF(K254=1,SUMPRODUCT(--($L$8:$L$1207&lt;L254))+1,"")</f>
        <v/>
      </c>
      <c r="N254" s="25">
        <f>IF(K254=1,N('ORDENES'!$M250),0)</f>
        <v/>
      </c>
      <c r="O254" s="25">
        <f>IF('ORDENES'!$U250="preventiva",N254,0)</f>
        <v/>
      </c>
      <c r="P254" s="25">
        <f>IF('ORDENES'!$U250="correctiva",N254,0)</f>
        <v/>
      </c>
      <c r="Q254" s="24">
        <f>IF(AND(K254=1,'ORDENES'!$N250="Pendiente"),1,0)</f>
        <v/>
      </c>
      <c r="R254" s="24">
        <f>IF(Q254=1,100000-N254*1000+247*0.01,9000000000000+247)</f>
        <v/>
      </c>
      <c r="S254" s="24">
        <f>IF(Q254=1,SUMPRODUCT(--($R$8:$R$1207&lt;R254))+1,"")</f>
        <v/>
      </c>
      <c r="T254" s="30">
        <f>IF(K254=1,'ORDENES'!$J250,"")</f>
        <v/>
      </c>
    </row>
    <row r="255">
      <c r="K255" s="24">
        <f>IF(AND(IF($B$3="(todos)",TRUE,'ORDENES'!$O251=$B$3),IF($D$3="(todos)",TRUE,'ORDENES'!$AI251=$D$3),IF($F$3="(todos)",TRUE,'ORDENES'!$AA251=$F$3),IF($H$3="(todos)",TRUE,'ORDENES'!$Z251=$H$3),'ORDENES'!$AG251=TRUE,'ORDENES'!$A251&lt;&gt;""),1,0)</f>
        <v/>
      </c>
      <c r="L255" s="24">
        <f>IF(K255=1,IFERROR(MATCH('ORDENES'!$S251,lista_dias,0),9)*1000000000+IFERROR(MATCH('ORDENES'!$AI251,lista_turnos,0),9)*10000000+IFERROR(MATCH('ORDENES'!$AH251,'TECNICOS'!$B$4:$B$19,0),99)*100000+248,9000000000000+248)</f>
        <v/>
      </c>
      <c r="M255" s="24">
        <f>IF(K255=1,SUMPRODUCT(--($L$8:$L$1207&lt;L255))+1,"")</f>
        <v/>
      </c>
      <c r="N255" s="25">
        <f>IF(K255=1,N('ORDENES'!$M251),0)</f>
        <v/>
      </c>
      <c r="O255" s="25">
        <f>IF('ORDENES'!$U251="preventiva",N255,0)</f>
        <v/>
      </c>
      <c r="P255" s="25">
        <f>IF('ORDENES'!$U251="correctiva",N255,0)</f>
        <v/>
      </c>
      <c r="Q255" s="24">
        <f>IF(AND(K255=1,'ORDENES'!$N251="Pendiente"),1,0)</f>
        <v/>
      </c>
      <c r="R255" s="24">
        <f>IF(Q255=1,100000-N255*1000+248*0.01,9000000000000+248)</f>
        <v/>
      </c>
      <c r="S255" s="24">
        <f>IF(Q255=1,SUMPRODUCT(--($R$8:$R$1207&lt;R255))+1,"")</f>
        <v/>
      </c>
      <c r="T255" s="30">
        <f>IF(K255=1,'ORDENES'!$J251,"")</f>
        <v/>
      </c>
    </row>
    <row r="256">
      <c r="K256" s="24">
        <f>IF(AND(IF($B$3="(todos)",TRUE,'ORDENES'!$O252=$B$3),IF($D$3="(todos)",TRUE,'ORDENES'!$AI252=$D$3),IF($F$3="(todos)",TRUE,'ORDENES'!$AA252=$F$3),IF($H$3="(todos)",TRUE,'ORDENES'!$Z252=$H$3),'ORDENES'!$AG252=TRUE,'ORDENES'!$A252&lt;&gt;""),1,0)</f>
        <v/>
      </c>
      <c r="L256" s="24">
        <f>IF(K256=1,IFERROR(MATCH('ORDENES'!$S252,lista_dias,0),9)*1000000000+IFERROR(MATCH('ORDENES'!$AI252,lista_turnos,0),9)*10000000+IFERROR(MATCH('ORDENES'!$AH252,'TECNICOS'!$B$4:$B$19,0),99)*100000+249,9000000000000+249)</f>
        <v/>
      </c>
      <c r="M256" s="24">
        <f>IF(K256=1,SUMPRODUCT(--($L$8:$L$1207&lt;L256))+1,"")</f>
        <v/>
      </c>
      <c r="N256" s="25">
        <f>IF(K256=1,N('ORDENES'!$M252),0)</f>
        <v/>
      </c>
      <c r="O256" s="25">
        <f>IF('ORDENES'!$U252="preventiva",N256,0)</f>
        <v/>
      </c>
      <c r="P256" s="25">
        <f>IF('ORDENES'!$U252="correctiva",N256,0)</f>
        <v/>
      </c>
      <c r="Q256" s="24">
        <f>IF(AND(K256=1,'ORDENES'!$N252="Pendiente"),1,0)</f>
        <v/>
      </c>
      <c r="R256" s="24">
        <f>IF(Q256=1,100000-N256*1000+249*0.01,9000000000000+249)</f>
        <v/>
      </c>
      <c r="S256" s="24">
        <f>IF(Q256=1,SUMPRODUCT(--($R$8:$R$1207&lt;R256))+1,"")</f>
        <v/>
      </c>
      <c r="T256" s="30">
        <f>IF(K256=1,'ORDENES'!$J252,"")</f>
        <v/>
      </c>
    </row>
    <row r="257">
      <c r="K257" s="24">
        <f>IF(AND(IF($B$3="(todos)",TRUE,'ORDENES'!$O253=$B$3),IF($D$3="(todos)",TRUE,'ORDENES'!$AI253=$D$3),IF($F$3="(todos)",TRUE,'ORDENES'!$AA253=$F$3),IF($H$3="(todos)",TRUE,'ORDENES'!$Z253=$H$3),'ORDENES'!$AG253=TRUE,'ORDENES'!$A253&lt;&gt;""),1,0)</f>
        <v/>
      </c>
      <c r="L257" s="24">
        <f>IF(K257=1,IFERROR(MATCH('ORDENES'!$S253,lista_dias,0),9)*1000000000+IFERROR(MATCH('ORDENES'!$AI253,lista_turnos,0),9)*10000000+IFERROR(MATCH('ORDENES'!$AH253,'TECNICOS'!$B$4:$B$19,0),99)*100000+250,9000000000000+250)</f>
        <v/>
      </c>
      <c r="M257" s="24">
        <f>IF(K257=1,SUMPRODUCT(--($L$8:$L$1207&lt;L257))+1,"")</f>
        <v/>
      </c>
      <c r="N257" s="25">
        <f>IF(K257=1,N('ORDENES'!$M253),0)</f>
        <v/>
      </c>
      <c r="O257" s="25">
        <f>IF('ORDENES'!$U253="preventiva",N257,0)</f>
        <v/>
      </c>
      <c r="P257" s="25">
        <f>IF('ORDENES'!$U253="correctiva",N257,0)</f>
        <v/>
      </c>
      <c r="Q257" s="24">
        <f>IF(AND(K257=1,'ORDENES'!$N253="Pendiente"),1,0)</f>
        <v/>
      </c>
      <c r="R257" s="24">
        <f>IF(Q257=1,100000-N257*1000+250*0.01,9000000000000+250)</f>
        <v/>
      </c>
      <c r="S257" s="24">
        <f>IF(Q257=1,SUMPRODUCT(--($R$8:$R$1207&lt;R257))+1,"")</f>
        <v/>
      </c>
      <c r="T257" s="30">
        <f>IF(K257=1,'ORDENES'!$J253,"")</f>
        <v/>
      </c>
    </row>
    <row r="258">
      <c r="K258" s="24">
        <f>IF(AND(IF($B$3="(todos)",TRUE,'ORDENES'!$O254=$B$3),IF($D$3="(todos)",TRUE,'ORDENES'!$AI254=$D$3),IF($F$3="(todos)",TRUE,'ORDENES'!$AA254=$F$3),IF($H$3="(todos)",TRUE,'ORDENES'!$Z254=$H$3),'ORDENES'!$AG254=TRUE,'ORDENES'!$A254&lt;&gt;""),1,0)</f>
        <v/>
      </c>
      <c r="L258" s="24">
        <f>IF(K258=1,IFERROR(MATCH('ORDENES'!$S254,lista_dias,0),9)*1000000000+IFERROR(MATCH('ORDENES'!$AI254,lista_turnos,0),9)*10000000+IFERROR(MATCH('ORDENES'!$AH254,'TECNICOS'!$B$4:$B$19,0),99)*100000+251,9000000000000+251)</f>
        <v/>
      </c>
      <c r="M258" s="24">
        <f>IF(K258=1,SUMPRODUCT(--($L$8:$L$1207&lt;L258))+1,"")</f>
        <v/>
      </c>
      <c r="N258" s="25">
        <f>IF(K258=1,N('ORDENES'!$M254),0)</f>
        <v/>
      </c>
      <c r="O258" s="25">
        <f>IF('ORDENES'!$U254="preventiva",N258,0)</f>
        <v/>
      </c>
      <c r="P258" s="25">
        <f>IF('ORDENES'!$U254="correctiva",N258,0)</f>
        <v/>
      </c>
      <c r="Q258" s="24">
        <f>IF(AND(K258=1,'ORDENES'!$N254="Pendiente"),1,0)</f>
        <v/>
      </c>
      <c r="R258" s="24">
        <f>IF(Q258=1,100000-N258*1000+251*0.01,9000000000000+251)</f>
        <v/>
      </c>
      <c r="S258" s="24">
        <f>IF(Q258=1,SUMPRODUCT(--($R$8:$R$1207&lt;R258))+1,"")</f>
        <v/>
      </c>
      <c r="T258" s="30">
        <f>IF(K258=1,'ORDENES'!$J254,"")</f>
        <v/>
      </c>
    </row>
    <row r="259">
      <c r="K259" s="24">
        <f>IF(AND(IF($B$3="(todos)",TRUE,'ORDENES'!$O255=$B$3),IF($D$3="(todos)",TRUE,'ORDENES'!$AI255=$D$3),IF($F$3="(todos)",TRUE,'ORDENES'!$AA255=$F$3),IF($H$3="(todos)",TRUE,'ORDENES'!$Z255=$H$3),'ORDENES'!$AG255=TRUE,'ORDENES'!$A255&lt;&gt;""),1,0)</f>
        <v/>
      </c>
      <c r="L259" s="24">
        <f>IF(K259=1,IFERROR(MATCH('ORDENES'!$S255,lista_dias,0),9)*1000000000+IFERROR(MATCH('ORDENES'!$AI255,lista_turnos,0),9)*10000000+IFERROR(MATCH('ORDENES'!$AH255,'TECNICOS'!$B$4:$B$19,0),99)*100000+252,9000000000000+252)</f>
        <v/>
      </c>
      <c r="M259" s="24">
        <f>IF(K259=1,SUMPRODUCT(--($L$8:$L$1207&lt;L259))+1,"")</f>
        <v/>
      </c>
      <c r="N259" s="25">
        <f>IF(K259=1,N('ORDENES'!$M255),0)</f>
        <v/>
      </c>
      <c r="O259" s="25">
        <f>IF('ORDENES'!$U255="preventiva",N259,0)</f>
        <v/>
      </c>
      <c r="P259" s="25">
        <f>IF('ORDENES'!$U255="correctiva",N259,0)</f>
        <v/>
      </c>
      <c r="Q259" s="24">
        <f>IF(AND(K259=1,'ORDENES'!$N255="Pendiente"),1,0)</f>
        <v/>
      </c>
      <c r="R259" s="24">
        <f>IF(Q259=1,100000-N259*1000+252*0.01,9000000000000+252)</f>
        <v/>
      </c>
      <c r="S259" s="24">
        <f>IF(Q259=1,SUMPRODUCT(--($R$8:$R$1207&lt;R259))+1,"")</f>
        <v/>
      </c>
      <c r="T259" s="30">
        <f>IF(K259=1,'ORDENES'!$J255,"")</f>
        <v/>
      </c>
    </row>
    <row r="260">
      <c r="K260" s="24">
        <f>IF(AND(IF($B$3="(todos)",TRUE,'ORDENES'!$O256=$B$3),IF($D$3="(todos)",TRUE,'ORDENES'!$AI256=$D$3),IF($F$3="(todos)",TRUE,'ORDENES'!$AA256=$F$3),IF($H$3="(todos)",TRUE,'ORDENES'!$Z256=$H$3),'ORDENES'!$AG256=TRUE,'ORDENES'!$A256&lt;&gt;""),1,0)</f>
        <v/>
      </c>
      <c r="L260" s="24">
        <f>IF(K260=1,IFERROR(MATCH('ORDENES'!$S256,lista_dias,0),9)*1000000000+IFERROR(MATCH('ORDENES'!$AI256,lista_turnos,0),9)*10000000+IFERROR(MATCH('ORDENES'!$AH256,'TECNICOS'!$B$4:$B$19,0),99)*100000+253,9000000000000+253)</f>
        <v/>
      </c>
      <c r="M260" s="24">
        <f>IF(K260=1,SUMPRODUCT(--($L$8:$L$1207&lt;L260))+1,"")</f>
        <v/>
      </c>
      <c r="N260" s="25">
        <f>IF(K260=1,N('ORDENES'!$M256),0)</f>
        <v/>
      </c>
      <c r="O260" s="25">
        <f>IF('ORDENES'!$U256="preventiva",N260,0)</f>
        <v/>
      </c>
      <c r="P260" s="25">
        <f>IF('ORDENES'!$U256="correctiva",N260,0)</f>
        <v/>
      </c>
      <c r="Q260" s="24">
        <f>IF(AND(K260=1,'ORDENES'!$N256="Pendiente"),1,0)</f>
        <v/>
      </c>
      <c r="R260" s="24">
        <f>IF(Q260=1,100000-N260*1000+253*0.01,9000000000000+253)</f>
        <v/>
      </c>
      <c r="S260" s="24">
        <f>IF(Q260=1,SUMPRODUCT(--($R$8:$R$1207&lt;R260))+1,"")</f>
        <v/>
      </c>
      <c r="T260" s="30">
        <f>IF(K260=1,'ORDENES'!$J256,"")</f>
        <v/>
      </c>
    </row>
    <row r="261">
      <c r="K261" s="24">
        <f>IF(AND(IF($B$3="(todos)",TRUE,'ORDENES'!$O257=$B$3),IF($D$3="(todos)",TRUE,'ORDENES'!$AI257=$D$3),IF($F$3="(todos)",TRUE,'ORDENES'!$AA257=$F$3),IF($H$3="(todos)",TRUE,'ORDENES'!$Z257=$H$3),'ORDENES'!$AG257=TRUE,'ORDENES'!$A257&lt;&gt;""),1,0)</f>
        <v/>
      </c>
      <c r="L261" s="24">
        <f>IF(K261=1,IFERROR(MATCH('ORDENES'!$S257,lista_dias,0),9)*1000000000+IFERROR(MATCH('ORDENES'!$AI257,lista_turnos,0),9)*10000000+IFERROR(MATCH('ORDENES'!$AH257,'TECNICOS'!$B$4:$B$19,0),99)*100000+254,9000000000000+254)</f>
        <v/>
      </c>
      <c r="M261" s="24">
        <f>IF(K261=1,SUMPRODUCT(--($L$8:$L$1207&lt;L261))+1,"")</f>
        <v/>
      </c>
      <c r="N261" s="25">
        <f>IF(K261=1,N('ORDENES'!$M257),0)</f>
        <v/>
      </c>
      <c r="O261" s="25">
        <f>IF('ORDENES'!$U257="preventiva",N261,0)</f>
        <v/>
      </c>
      <c r="P261" s="25">
        <f>IF('ORDENES'!$U257="correctiva",N261,0)</f>
        <v/>
      </c>
      <c r="Q261" s="24">
        <f>IF(AND(K261=1,'ORDENES'!$N257="Pendiente"),1,0)</f>
        <v/>
      </c>
      <c r="R261" s="24">
        <f>IF(Q261=1,100000-N261*1000+254*0.01,9000000000000+254)</f>
        <v/>
      </c>
      <c r="S261" s="24">
        <f>IF(Q261=1,SUMPRODUCT(--($R$8:$R$1207&lt;R261))+1,"")</f>
        <v/>
      </c>
      <c r="T261" s="30">
        <f>IF(K261=1,'ORDENES'!$J257,"")</f>
        <v/>
      </c>
    </row>
    <row r="262">
      <c r="K262" s="24">
        <f>IF(AND(IF($B$3="(todos)",TRUE,'ORDENES'!$O258=$B$3),IF($D$3="(todos)",TRUE,'ORDENES'!$AI258=$D$3),IF($F$3="(todos)",TRUE,'ORDENES'!$AA258=$F$3),IF($H$3="(todos)",TRUE,'ORDENES'!$Z258=$H$3),'ORDENES'!$AG258=TRUE,'ORDENES'!$A258&lt;&gt;""),1,0)</f>
        <v/>
      </c>
      <c r="L262" s="24">
        <f>IF(K262=1,IFERROR(MATCH('ORDENES'!$S258,lista_dias,0),9)*1000000000+IFERROR(MATCH('ORDENES'!$AI258,lista_turnos,0),9)*10000000+IFERROR(MATCH('ORDENES'!$AH258,'TECNICOS'!$B$4:$B$19,0),99)*100000+255,9000000000000+255)</f>
        <v/>
      </c>
      <c r="M262" s="24">
        <f>IF(K262=1,SUMPRODUCT(--($L$8:$L$1207&lt;L262))+1,"")</f>
        <v/>
      </c>
      <c r="N262" s="25">
        <f>IF(K262=1,N('ORDENES'!$M258),0)</f>
        <v/>
      </c>
      <c r="O262" s="25">
        <f>IF('ORDENES'!$U258="preventiva",N262,0)</f>
        <v/>
      </c>
      <c r="P262" s="25">
        <f>IF('ORDENES'!$U258="correctiva",N262,0)</f>
        <v/>
      </c>
      <c r="Q262" s="24">
        <f>IF(AND(K262=1,'ORDENES'!$N258="Pendiente"),1,0)</f>
        <v/>
      </c>
      <c r="R262" s="24">
        <f>IF(Q262=1,100000-N262*1000+255*0.01,9000000000000+255)</f>
        <v/>
      </c>
      <c r="S262" s="24">
        <f>IF(Q262=1,SUMPRODUCT(--($R$8:$R$1207&lt;R262))+1,"")</f>
        <v/>
      </c>
      <c r="T262" s="30">
        <f>IF(K262=1,'ORDENES'!$J258,"")</f>
        <v/>
      </c>
    </row>
    <row r="263">
      <c r="K263" s="24">
        <f>IF(AND(IF($B$3="(todos)",TRUE,'ORDENES'!$O259=$B$3),IF($D$3="(todos)",TRUE,'ORDENES'!$AI259=$D$3),IF($F$3="(todos)",TRUE,'ORDENES'!$AA259=$F$3),IF($H$3="(todos)",TRUE,'ORDENES'!$Z259=$H$3),'ORDENES'!$AG259=TRUE,'ORDENES'!$A259&lt;&gt;""),1,0)</f>
        <v/>
      </c>
      <c r="L263" s="24">
        <f>IF(K263=1,IFERROR(MATCH('ORDENES'!$S259,lista_dias,0),9)*1000000000+IFERROR(MATCH('ORDENES'!$AI259,lista_turnos,0),9)*10000000+IFERROR(MATCH('ORDENES'!$AH259,'TECNICOS'!$B$4:$B$19,0),99)*100000+256,9000000000000+256)</f>
        <v/>
      </c>
      <c r="M263" s="24">
        <f>IF(K263=1,SUMPRODUCT(--($L$8:$L$1207&lt;L263))+1,"")</f>
        <v/>
      </c>
      <c r="N263" s="25">
        <f>IF(K263=1,N('ORDENES'!$M259),0)</f>
        <v/>
      </c>
      <c r="O263" s="25">
        <f>IF('ORDENES'!$U259="preventiva",N263,0)</f>
        <v/>
      </c>
      <c r="P263" s="25">
        <f>IF('ORDENES'!$U259="correctiva",N263,0)</f>
        <v/>
      </c>
      <c r="Q263" s="24">
        <f>IF(AND(K263=1,'ORDENES'!$N259="Pendiente"),1,0)</f>
        <v/>
      </c>
      <c r="R263" s="24">
        <f>IF(Q263=1,100000-N263*1000+256*0.01,9000000000000+256)</f>
        <v/>
      </c>
      <c r="S263" s="24">
        <f>IF(Q263=1,SUMPRODUCT(--($R$8:$R$1207&lt;R263))+1,"")</f>
        <v/>
      </c>
      <c r="T263" s="30">
        <f>IF(K263=1,'ORDENES'!$J259,"")</f>
        <v/>
      </c>
    </row>
    <row r="264">
      <c r="K264" s="24">
        <f>IF(AND(IF($B$3="(todos)",TRUE,'ORDENES'!$O260=$B$3),IF($D$3="(todos)",TRUE,'ORDENES'!$AI260=$D$3),IF($F$3="(todos)",TRUE,'ORDENES'!$AA260=$F$3),IF($H$3="(todos)",TRUE,'ORDENES'!$Z260=$H$3),'ORDENES'!$AG260=TRUE,'ORDENES'!$A260&lt;&gt;""),1,0)</f>
        <v/>
      </c>
      <c r="L264" s="24">
        <f>IF(K264=1,IFERROR(MATCH('ORDENES'!$S260,lista_dias,0),9)*1000000000+IFERROR(MATCH('ORDENES'!$AI260,lista_turnos,0),9)*10000000+IFERROR(MATCH('ORDENES'!$AH260,'TECNICOS'!$B$4:$B$19,0),99)*100000+257,9000000000000+257)</f>
        <v/>
      </c>
      <c r="M264" s="24">
        <f>IF(K264=1,SUMPRODUCT(--($L$8:$L$1207&lt;L264))+1,"")</f>
        <v/>
      </c>
      <c r="N264" s="25">
        <f>IF(K264=1,N('ORDENES'!$M260),0)</f>
        <v/>
      </c>
      <c r="O264" s="25">
        <f>IF('ORDENES'!$U260="preventiva",N264,0)</f>
        <v/>
      </c>
      <c r="P264" s="25">
        <f>IF('ORDENES'!$U260="correctiva",N264,0)</f>
        <v/>
      </c>
      <c r="Q264" s="24">
        <f>IF(AND(K264=1,'ORDENES'!$N260="Pendiente"),1,0)</f>
        <v/>
      </c>
      <c r="R264" s="24">
        <f>IF(Q264=1,100000-N264*1000+257*0.01,9000000000000+257)</f>
        <v/>
      </c>
      <c r="S264" s="24">
        <f>IF(Q264=1,SUMPRODUCT(--($R$8:$R$1207&lt;R264))+1,"")</f>
        <v/>
      </c>
      <c r="T264" s="30">
        <f>IF(K264=1,'ORDENES'!$J260,"")</f>
        <v/>
      </c>
    </row>
    <row r="265">
      <c r="K265" s="24">
        <f>IF(AND(IF($B$3="(todos)",TRUE,'ORDENES'!$O261=$B$3),IF($D$3="(todos)",TRUE,'ORDENES'!$AI261=$D$3),IF($F$3="(todos)",TRUE,'ORDENES'!$AA261=$F$3),IF($H$3="(todos)",TRUE,'ORDENES'!$Z261=$H$3),'ORDENES'!$AG261=TRUE,'ORDENES'!$A261&lt;&gt;""),1,0)</f>
        <v/>
      </c>
      <c r="L265" s="24">
        <f>IF(K265=1,IFERROR(MATCH('ORDENES'!$S261,lista_dias,0),9)*1000000000+IFERROR(MATCH('ORDENES'!$AI261,lista_turnos,0),9)*10000000+IFERROR(MATCH('ORDENES'!$AH261,'TECNICOS'!$B$4:$B$19,0),99)*100000+258,9000000000000+258)</f>
        <v/>
      </c>
      <c r="M265" s="24">
        <f>IF(K265=1,SUMPRODUCT(--($L$8:$L$1207&lt;L265))+1,"")</f>
        <v/>
      </c>
      <c r="N265" s="25">
        <f>IF(K265=1,N('ORDENES'!$M261),0)</f>
        <v/>
      </c>
      <c r="O265" s="25">
        <f>IF('ORDENES'!$U261="preventiva",N265,0)</f>
        <v/>
      </c>
      <c r="P265" s="25">
        <f>IF('ORDENES'!$U261="correctiva",N265,0)</f>
        <v/>
      </c>
      <c r="Q265" s="24">
        <f>IF(AND(K265=1,'ORDENES'!$N261="Pendiente"),1,0)</f>
        <v/>
      </c>
      <c r="R265" s="24">
        <f>IF(Q265=1,100000-N265*1000+258*0.01,9000000000000+258)</f>
        <v/>
      </c>
      <c r="S265" s="24">
        <f>IF(Q265=1,SUMPRODUCT(--($R$8:$R$1207&lt;R265))+1,"")</f>
        <v/>
      </c>
      <c r="T265" s="30">
        <f>IF(K265=1,'ORDENES'!$J261,"")</f>
        <v/>
      </c>
    </row>
    <row r="266">
      <c r="K266" s="24">
        <f>IF(AND(IF($B$3="(todos)",TRUE,'ORDENES'!$O262=$B$3),IF($D$3="(todos)",TRUE,'ORDENES'!$AI262=$D$3),IF($F$3="(todos)",TRUE,'ORDENES'!$AA262=$F$3),IF($H$3="(todos)",TRUE,'ORDENES'!$Z262=$H$3),'ORDENES'!$AG262=TRUE,'ORDENES'!$A262&lt;&gt;""),1,0)</f>
        <v/>
      </c>
      <c r="L266" s="24">
        <f>IF(K266=1,IFERROR(MATCH('ORDENES'!$S262,lista_dias,0),9)*1000000000+IFERROR(MATCH('ORDENES'!$AI262,lista_turnos,0),9)*10000000+IFERROR(MATCH('ORDENES'!$AH262,'TECNICOS'!$B$4:$B$19,0),99)*100000+259,9000000000000+259)</f>
        <v/>
      </c>
      <c r="M266" s="24">
        <f>IF(K266=1,SUMPRODUCT(--($L$8:$L$1207&lt;L266))+1,"")</f>
        <v/>
      </c>
      <c r="N266" s="25">
        <f>IF(K266=1,N('ORDENES'!$M262),0)</f>
        <v/>
      </c>
      <c r="O266" s="25">
        <f>IF('ORDENES'!$U262="preventiva",N266,0)</f>
        <v/>
      </c>
      <c r="P266" s="25">
        <f>IF('ORDENES'!$U262="correctiva",N266,0)</f>
        <v/>
      </c>
      <c r="Q266" s="24">
        <f>IF(AND(K266=1,'ORDENES'!$N262="Pendiente"),1,0)</f>
        <v/>
      </c>
      <c r="R266" s="24">
        <f>IF(Q266=1,100000-N266*1000+259*0.01,9000000000000+259)</f>
        <v/>
      </c>
      <c r="S266" s="24">
        <f>IF(Q266=1,SUMPRODUCT(--($R$8:$R$1207&lt;R266))+1,"")</f>
        <v/>
      </c>
      <c r="T266" s="30">
        <f>IF(K266=1,'ORDENES'!$J262,"")</f>
        <v/>
      </c>
    </row>
    <row r="267">
      <c r="K267" s="24">
        <f>IF(AND(IF($B$3="(todos)",TRUE,'ORDENES'!$O263=$B$3),IF($D$3="(todos)",TRUE,'ORDENES'!$AI263=$D$3),IF($F$3="(todos)",TRUE,'ORDENES'!$AA263=$F$3),IF($H$3="(todos)",TRUE,'ORDENES'!$Z263=$H$3),'ORDENES'!$AG263=TRUE,'ORDENES'!$A263&lt;&gt;""),1,0)</f>
        <v/>
      </c>
      <c r="L267" s="24">
        <f>IF(K267=1,IFERROR(MATCH('ORDENES'!$S263,lista_dias,0),9)*1000000000+IFERROR(MATCH('ORDENES'!$AI263,lista_turnos,0),9)*10000000+IFERROR(MATCH('ORDENES'!$AH263,'TECNICOS'!$B$4:$B$19,0),99)*100000+260,9000000000000+260)</f>
        <v/>
      </c>
      <c r="M267" s="24">
        <f>IF(K267=1,SUMPRODUCT(--($L$8:$L$1207&lt;L267))+1,"")</f>
        <v/>
      </c>
      <c r="N267" s="25">
        <f>IF(K267=1,N('ORDENES'!$M263),0)</f>
        <v/>
      </c>
      <c r="O267" s="25">
        <f>IF('ORDENES'!$U263="preventiva",N267,0)</f>
        <v/>
      </c>
      <c r="P267" s="25">
        <f>IF('ORDENES'!$U263="correctiva",N267,0)</f>
        <v/>
      </c>
      <c r="Q267" s="24">
        <f>IF(AND(K267=1,'ORDENES'!$N263="Pendiente"),1,0)</f>
        <v/>
      </c>
      <c r="R267" s="24">
        <f>IF(Q267=1,100000-N267*1000+260*0.01,9000000000000+260)</f>
        <v/>
      </c>
      <c r="S267" s="24">
        <f>IF(Q267=1,SUMPRODUCT(--($R$8:$R$1207&lt;R267))+1,"")</f>
        <v/>
      </c>
      <c r="T267" s="30">
        <f>IF(K267=1,'ORDENES'!$J263,"")</f>
        <v/>
      </c>
    </row>
    <row r="268">
      <c r="K268" s="24">
        <f>IF(AND(IF($B$3="(todos)",TRUE,'ORDENES'!$O264=$B$3),IF($D$3="(todos)",TRUE,'ORDENES'!$AI264=$D$3),IF($F$3="(todos)",TRUE,'ORDENES'!$AA264=$F$3),IF($H$3="(todos)",TRUE,'ORDENES'!$Z264=$H$3),'ORDENES'!$AG264=TRUE,'ORDENES'!$A264&lt;&gt;""),1,0)</f>
        <v/>
      </c>
      <c r="L268" s="24">
        <f>IF(K268=1,IFERROR(MATCH('ORDENES'!$S264,lista_dias,0),9)*1000000000+IFERROR(MATCH('ORDENES'!$AI264,lista_turnos,0),9)*10000000+IFERROR(MATCH('ORDENES'!$AH264,'TECNICOS'!$B$4:$B$19,0),99)*100000+261,9000000000000+261)</f>
        <v/>
      </c>
      <c r="M268" s="24">
        <f>IF(K268=1,SUMPRODUCT(--($L$8:$L$1207&lt;L268))+1,"")</f>
        <v/>
      </c>
      <c r="N268" s="25">
        <f>IF(K268=1,N('ORDENES'!$M264),0)</f>
        <v/>
      </c>
      <c r="O268" s="25">
        <f>IF('ORDENES'!$U264="preventiva",N268,0)</f>
        <v/>
      </c>
      <c r="P268" s="25">
        <f>IF('ORDENES'!$U264="correctiva",N268,0)</f>
        <v/>
      </c>
      <c r="Q268" s="24">
        <f>IF(AND(K268=1,'ORDENES'!$N264="Pendiente"),1,0)</f>
        <v/>
      </c>
      <c r="R268" s="24">
        <f>IF(Q268=1,100000-N268*1000+261*0.01,9000000000000+261)</f>
        <v/>
      </c>
      <c r="S268" s="24">
        <f>IF(Q268=1,SUMPRODUCT(--($R$8:$R$1207&lt;R268))+1,"")</f>
        <v/>
      </c>
      <c r="T268" s="30">
        <f>IF(K268=1,'ORDENES'!$J264,"")</f>
        <v/>
      </c>
    </row>
    <row r="269">
      <c r="K269" s="24">
        <f>IF(AND(IF($B$3="(todos)",TRUE,'ORDENES'!$O265=$B$3),IF($D$3="(todos)",TRUE,'ORDENES'!$AI265=$D$3),IF($F$3="(todos)",TRUE,'ORDENES'!$AA265=$F$3),IF($H$3="(todos)",TRUE,'ORDENES'!$Z265=$H$3),'ORDENES'!$AG265=TRUE,'ORDENES'!$A265&lt;&gt;""),1,0)</f>
        <v/>
      </c>
      <c r="L269" s="24">
        <f>IF(K269=1,IFERROR(MATCH('ORDENES'!$S265,lista_dias,0),9)*1000000000+IFERROR(MATCH('ORDENES'!$AI265,lista_turnos,0),9)*10000000+IFERROR(MATCH('ORDENES'!$AH265,'TECNICOS'!$B$4:$B$19,0),99)*100000+262,9000000000000+262)</f>
        <v/>
      </c>
      <c r="M269" s="24">
        <f>IF(K269=1,SUMPRODUCT(--($L$8:$L$1207&lt;L269))+1,"")</f>
        <v/>
      </c>
      <c r="N269" s="25">
        <f>IF(K269=1,N('ORDENES'!$M265),0)</f>
        <v/>
      </c>
      <c r="O269" s="25">
        <f>IF('ORDENES'!$U265="preventiva",N269,0)</f>
        <v/>
      </c>
      <c r="P269" s="25">
        <f>IF('ORDENES'!$U265="correctiva",N269,0)</f>
        <v/>
      </c>
      <c r="Q269" s="24">
        <f>IF(AND(K269=1,'ORDENES'!$N265="Pendiente"),1,0)</f>
        <v/>
      </c>
      <c r="R269" s="24">
        <f>IF(Q269=1,100000-N269*1000+262*0.01,9000000000000+262)</f>
        <v/>
      </c>
      <c r="S269" s="24">
        <f>IF(Q269=1,SUMPRODUCT(--($R$8:$R$1207&lt;R269))+1,"")</f>
        <v/>
      </c>
      <c r="T269" s="30">
        <f>IF(K269=1,'ORDENES'!$J265,"")</f>
        <v/>
      </c>
    </row>
    <row r="270">
      <c r="K270" s="24">
        <f>IF(AND(IF($B$3="(todos)",TRUE,'ORDENES'!$O266=$B$3),IF($D$3="(todos)",TRUE,'ORDENES'!$AI266=$D$3),IF($F$3="(todos)",TRUE,'ORDENES'!$AA266=$F$3),IF($H$3="(todos)",TRUE,'ORDENES'!$Z266=$H$3),'ORDENES'!$AG266=TRUE,'ORDENES'!$A266&lt;&gt;""),1,0)</f>
        <v/>
      </c>
      <c r="L270" s="24">
        <f>IF(K270=1,IFERROR(MATCH('ORDENES'!$S266,lista_dias,0),9)*1000000000+IFERROR(MATCH('ORDENES'!$AI266,lista_turnos,0),9)*10000000+IFERROR(MATCH('ORDENES'!$AH266,'TECNICOS'!$B$4:$B$19,0),99)*100000+263,9000000000000+263)</f>
        <v/>
      </c>
      <c r="M270" s="24">
        <f>IF(K270=1,SUMPRODUCT(--($L$8:$L$1207&lt;L270))+1,"")</f>
        <v/>
      </c>
      <c r="N270" s="25">
        <f>IF(K270=1,N('ORDENES'!$M266),0)</f>
        <v/>
      </c>
      <c r="O270" s="25">
        <f>IF('ORDENES'!$U266="preventiva",N270,0)</f>
        <v/>
      </c>
      <c r="P270" s="25">
        <f>IF('ORDENES'!$U266="correctiva",N270,0)</f>
        <v/>
      </c>
      <c r="Q270" s="24">
        <f>IF(AND(K270=1,'ORDENES'!$N266="Pendiente"),1,0)</f>
        <v/>
      </c>
      <c r="R270" s="24">
        <f>IF(Q270=1,100000-N270*1000+263*0.01,9000000000000+263)</f>
        <v/>
      </c>
      <c r="S270" s="24">
        <f>IF(Q270=1,SUMPRODUCT(--($R$8:$R$1207&lt;R270))+1,"")</f>
        <v/>
      </c>
      <c r="T270" s="30">
        <f>IF(K270=1,'ORDENES'!$J266,"")</f>
        <v/>
      </c>
    </row>
    <row r="271">
      <c r="K271" s="24">
        <f>IF(AND(IF($B$3="(todos)",TRUE,'ORDENES'!$O267=$B$3),IF($D$3="(todos)",TRUE,'ORDENES'!$AI267=$D$3),IF($F$3="(todos)",TRUE,'ORDENES'!$AA267=$F$3),IF($H$3="(todos)",TRUE,'ORDENES'!$Z267=$H$3),'ORDENES'!$AG267=TRUE,'ORDENES'!$A267&lt;&gt;""),1,0)</f>
        <v/>
      </c>
      <c r="L271" s="24">
        <f>IF(K271=1,IFERROR(MATCH('ORDENES'!$S267,lista_dias,0),9)*1000000000+IFERROR(MATCH('ORDENES'!$AI267,lista_turnos,0),9)*10000000+IFERROR(MATCH('ORDENES'!$AH267,'TECNICOS'!$B$4:$B$19,0),99)*100000+264,9000000000000+264)</f>
        <v/>
      </c>
      <c r="M271" s="24">
        <f>IF(K271=1,SUMPRODUCT(--($L$8:$L$1207&lt;L271))+1,"")</f>
        <v/>
      </c>
      <c r="N271" s="25">
        <f>IF(K271=1,N('ORDENES'!$M267),0)</f>
        <v/>
      </c>
      <c r="O271" s="25">
        <f>IF('ORDENES'!$U267="preventiva",N271,0)</f>
        <v/>
      </c>
      <c r="P271" s="25">
        <f>IF('ORDENES'!$U267="correctiva",N271,0)</f>
        <v/>
      </c>
      <c r="Q271" s="24">
        <f>IF(AND(K271=1,'ORDENES'!$N267="Pendiente"),1,0)</f>
        <v/>
      </c>
      <c r="R271" s="24">
        <f>IF(Q271=1,100000-N271*1000+264*0.01,9000000000000+264)</f>
        <v/>
      </c>
      <c r="S271" s="24">
        <f>IF(Q271=1,SUMPRODUCT(--($R$8:$R$1207&lt;R271))+1,"")</f>
        <v/>
      </c>
      <c r="T271" s="30">
        <f>IF(K271=1,'ORDENES'!$J267,"")</f>
        <v/>
      </c>
    </row>
    <row r="272">
      <c r="K272" s="24">
        <f>IF(AND(IF($B$3="(todos)",TRUE,'ORDENES'!$O268=$B$3),IF($D$3="(todos)",TRUE,'ORDENES'!$AI268=$D$3),IF($F$3="(todos)",TRUE,'ORDENES'!$AA268=$F$3),IF($H$3="(todos)",TRUE,'ORDENES'!$Z268=$H$3),'ORDENES'!$AG268=TRUE,'ORDENES'!$A268&lt;&gt;""),1,0)</f>
        <v/>
      </c>
      <c r="L272" s="24">
        <f>IF(K272=1,IFERROR(MATCH('ORDENES'!$S268,lista_dias,0),9)*1000000000+IFERROR(MATCH('ORDENES'!$AI268,lista_turnos,0),9)*10000000+IFERROR(MATCH('ORDENES'!$AH268,'TECNICOS'!$B$4:$B$19,0),99)*100000+265,9000000000000+265)</f>
        <v/>
      </c>
      <c r="M272" s="24">
        <f>IF(K272=1,SUMPRODUCT(--($L$8:$L$1207&lt;L272))+1,"")</f>
        <v/>
      </c>
      <c r="N272" s="25">
        <f>IF(K272=1,N('ORDENES'!$M268),0)</f>
        <v/>
      </c>
      <c r="O272" s="25">
        <f>IF('ORDENES'!$U268="preventiva",N272,0)</f>
        <v/>
      </c>
      <c r="P272" s="25">
        <f>IF('ORDENES'!$U268="correctiva",N272,0)</f>
        <v/>
      </c>
      <c r="Q272" s="24">
        <f>IF(AND(K272=1,'ORDENES'!$N268="Pendiente"),1,0)</f>
        <v/>
      </c>
      <c r="R272" s="24">
        <f>IF(Q272=1,100000-N272*1000+265*0.01,9000000000000+265)</f>
        <v/>
      </c>
      <c r="S272" s="24">
        <f>IF(Q272=1,SUMPRODUCT(--($R$8:$R$1207&lt;R272))+1,"")</f>
        <v/>
      </c>
      <c r="T272" s="30">
        <f>IF(K272=1,'ORDENES'!$J268,"")</f>
        <v/>
      </c>
    </row>
    <row r="273">
      <c r="K273" s="24">
        <f>IF(AND(IF($B$3="(todos)",TRUE,'ORDENES'!$O269=$B$3),IF($D$3="(todos)",TRUE,'ORDENES'!$AI269=$D$3),IF($F$3="(todos)",TRUE,'ORDENES'!$AA269=$F$3),IF($H$3="(todos)",TRUE,'ORDENES'!$Z269=$H$3),'ORDENES'!$AG269=TRUE,'ORDENES'!$A269&lt;&gt;""),1,0)</f>
        <v/>
      </c>
      <c r="L273" s="24">
        <f>IF(K273=1,IFERROR(MATCH('ORDENES'!$S269,lista_dias,0),9)*1000000000+IFERROR(MATCH('ORDENES'!$AI269,lista_turnos,0),9)*10000000+IFERROR(MATCH('ORDENES'!$AH269,'TECNICOS'!$B$4:$B$19,0),99)*100000+266,9000000000000+266)</f>
        <v/>
      </c>
      <c r="M273" s="24">
        <f>IF(K273=1,SUMPRODUCT(--($L$8:$L$1207&lt;L273))+1,"")</f>
        <v/>
      </c>
      <c r="N273" s="25">
        <f>IF(K273=1,N('ORDENES'!$M269),0)</f>
        <v/>
      </c>
      <c r="O273" s="25">
        <f>IF('ORDENES'!$U269="preventiva",N273,0)</f>
        <v/>
      </c>
      <c r="P273" s="25">
        <f>IF('ORDENES'!$U269="correctiva",N273,0)</f>
        <v/>
      </c>
      <c r="Q273" s="24">
        <f>IF(AND(K273=1,'ORDENES'!$N269="Pendiente"),1,0)</f>
        <v/>
      </c>
      <c r="R273" s="24">
        <f>IF(Q273=1,100000-N273*1000+266*0.01,9000000000000+266)</f>
        <v/>
      </c>
      <c r="S273" s="24">
        <f>IF(Q273=1,SUMPRODUCT(--($R$8:$R$1207&lt;R273))+1,"")</f>
        <v/>
      </c>
      <c r="T273" s="30">
        <f>IF(K273=1,'ORDENES'!$J269,"")</f>
        <v/>
      </c>
    </row>
    <row r="274">
      <c r="K274" s="24">
        <f>IF(AND(IF($B$3="(todos)",TRUE,'ORDENES'!$O270=$B$3),IF($D$3="(todos)",TRUE,'ORDENES'!$AI270=$D$3),IF($F$3="(todos)",TRUE,'ORDENES'!$AA270=$F$3),IF($H$3="(todos)",TRUE,'ORDENES'!$Z270=$H$3),'ORDENES'!$AG270=TRUE,'ORDENES'!$A270&lt;&gt;""),1,0)</f>
        <v/>
      </c>
      <c r="L274" s="24">
        <f>IF(K274=1,IFERROR(MATCH('ORDENES'!$S270,lista_dias,0),9)*1000000000+IFERROR(MATCH('ORDENES'!$AI270,lista_turnos,0),9)*10000000+IFERROR(MATCH('ORDENES'!$AH270,'TECNICOS'!$B$4:$B$19,0),99)*100000+267,9000000000000+267)</f>
        <v/>
      </c>
      <c r="M274" s="24">
        <f>IF(K274=1,SUMPRODUCT(--($L$8:$L$1207&lt;L274))+1,"")</f>
        <v/>
      </c>
      <c r="N274" s="25">
        <f>IF(K274=1,N('ORDENES'!$M270),0)</f>
        <v/>
      </c>
      <c r="O274" s="25">
        <f>IF('ORDENES'!$U270="preventiva",N274,0)</f>
        <v/>
      </c>
      <c r="P274" s="25">
        <f>IF('ORDENES'!$U270="correctiva",N274,0)</f>
        <v/>
      </c>
      <c r="Q274" s="24">
        <f>IF(AND(K274=1,'ORDENES'!$N270="Pendiente"),1,0)</f>
        <v/>
      </c>
      <c r="R274" s="24">
        <f>IF(Q274=1,100000-N274*1000+267*0.01,9000000000000+267)</f>
        <v/>
      </c>
      <c r="S274" s="24">
        <f>IF(Q274=1,SUMPRODUCT(--($R$8:$R$1207&lt;R274))+1,"")</f>
        <v/>
      </c>
      <c r="T274" s="30">
        <f>IF(K274=1,'ORDENES'!$J270,"")</f>
        <v/>
      </c>
    </row>
    <row r="275">
      <c r="K275" s="24">
        <f>IF(AND(IF($B$3="(todos)",TRUE,'ORDENES'!$O271=$B$3),IF($D$3="(todos)",TRUE,'ORDENES'!$AI271=$D$3),IF($F$3="(todos)",TRUE,'ORDENES'!$AA271=$F$3),IF($H$3="(todos)",TRUE,'ORDENES'!$Z271=$H$3),'ORDENES'!$AG271=TRUE,'ORDENES'!$A271&lt;&gt;""),1,0)</f>
        <v/>
      </c>
      <c r="L275" s="24">
        <f>IF(K275=1,IFERROR(MATCH('ORDENES'!$S271,lista_dias,0),9)*1000000000+IFERROR(MATCH('ORDENES'!$AI271,lista_turnos,0),9)*10000000+IFERROR(MATCH('ORDENES'!$AH271,'TECNICOS'!$B$4:$B$19,0),99)*100000+268,9000000000000+268)</f>
        <v/>
      </c>
      <c r="M275" s="24">
        <f>IF(K275=1,SUMPRODUCT(--($L$8:$L$1207&lt;L275))+1,"")</f>
        <v/>
      </c>
      <c r="N275" s="25">
        <f>IF(K275=1,N('ORDENES'!$M271),0)</f>
        <v/>
      </c>
      <c r="O275" s="25">
        <f>IF('ORDENES'!$U271="preventiva",N275,0)</f>
        <v/>
      </c>
      <c r="P275" s="25">
        <f>IF('ORDENES'!$U271="correctiva",N275,0)</f>
        <v/>
      </c>
      <c r="Q275" s="24">
        <f>IF(AND(K275=1,'ORDENES'!$N271="Pendiente"),1,0)</f>
        <v/>
      </c>
      <c r="R275" s="24">
        <f>IF(Q275=1,100000-N275*1000+268*0.01,9000000000000+268)</f>
        <v/>
      </c>
      <c r="S275" s="24">
        <f>IF(Q275=1,SUMPRODUCT(--($R$8:$R$1207&lt;R275))+1,"")</f>
        <v/>
      </c>
      <c r="T275" s="30">
        <f>IF(K275=1,'ORDENES'!$J271,"")</f>
        <v/>
      </c>
    </row>
    <row r="276">
      <c r="K276" s="24">
        <f>IF(AND(IF($B$3="(todos)",TRUE,'ORDENES'!$O272=$B$3),IF($D$3="(todos)",TRUE,'ORDENES'!$AI272=$D$3),IF($F$3="(todos)",TRUE,'ORDENES'!$AA272=$F$3),IF($H$3="(todos)",TRUE,'ORDENES'!$Z272=$H$3),'ORDENES'!$AG272=TRUE,'ORDENES'!$A272&lt;&gt;""),1,0)</f>
        <v/>
      </c>
      <c r="L276" s="24">
        <f>IF(K276=1,IFERROR(MATCH('ORDENES'!$S272,lista_dias,0),9)*1000000000+IFERROR(MATCH('ORDENES'!$AI272,lista_turnos,0),9)*10000000+IFERROR(MATCH('ORDENES'!$AH272,'TECNICOS'!$B$4:$B$19,0),99)*100000+269,9000000000000+269)</f>
        <v/>
      </c>
      <c r="M276" s="24">
        <f>IF(K276=1,SUMPRODUCT(--($L$8:$L$1207&lt;L276))+1,"")</f>
        <v/>
      </c>
      <c r="N276" s="25">
        <f>IF(K276=1,N('ORDENES'!$M272),0)</f>
        <v/>
      </c>
      <c r="O276" s="25">
        <f>IF('ORDENES'!$U272="preventiva",N276,0)</f>
        <v/>
      </c>
      <c r="P276" s="25">
        <f>IF('ORDENES'!$U272="correctiva",N276,0)</f>
        <v/>
      </c>
      <c r="Q276" s="24">
        <f>IF(AND(K276=1,'ORDENES'!$N272="Pendiente"),1,0)</f>
        <v/>
      </c>
      <c r="R276" s="24">
        <f>IF(Q276=1,100000-N276*1000+269*0.01,9000000000000+269)</f>
        <v/>
      </c>
      <c r="S276" s="24">
        <f>IF(Q276=1,SUMPRODUCT(--($R$8:$R$1207&lt;R276))+1,"")</f>
        <v/>
      </c>
      <c r="T276" s="30">
        <f>IF(K276=1,'ORDENES'!$J272,"")</f>
        <v/>
      </c>
    </row>
    <row r="277">
      <c r="K277" s="24">
        <f>IF(AND(IF($B$3="(todos)",TRUE,'ORDENES'!$O273=$B$3),IF($D$3="(todos)",TRUE,'ORDENES'!$AI273=$D$3),IF($F$3="(todos)",TRUE,'ORDENES'!$AA273=$F$3),IF($H$3="(todos)",TRUE,'ORDENES'!$Z273=$H$3),'ORDENES'!$AG273=TRUE,'ORDENES'!$A273&lt;&gt;""),1,0)</f>
        <v/>
      </c>
      <c r="L277" s="24">
        <f>IF(K277=1,IFERROR(MATCH('ORDENES'!$S273,lista_dias,0),9)*1000000000+IFERROR(MATCH('ORDENES'!$AI273,lista_turnos,0),9)*10000000+IFERROR(MATCH('ORDENES'!$AH273,'TECNICOS'!$B$4:$B$19,0),99)*100000+270,9000000000000+270)</f>
        <v/>
      </c>
      <c r="M277" s="24">
        <f>IF(K277=1,SUMPRODUCT(--($L$8:$L$1207&lt;L277))+1,"")</f>
        <v/>
      </c>
      <c r="N277" s="25">
        <f>IF(K277=1,N('ORDENES'!$M273),0)</f>
        <v/>
      </c>
      <c r="O277" s="25">
        <f>IF('ORDENES'!$U273="preventiva",N277,0)</f>
        <v/>
      </c>
      <c r="P277" s="25">
        <f>IF('ORDENES'!$U273="correctiva",N277,0)</f>
        <v/>
      </c>
      <c r="Q277" s="24">
        <f>IF(AND(K277=1,'ORDENES'!$N273="Pendiente"),1,0)</f>
        <v/>
      </c>
      <c r="R277" s="24">
        <f>IF(Q277=1,100000-N277*1000+270*0.01,9000000000000+270)</f>
        <v/>
      </c>
      <c r="S277" s="24">
        <f>IF(Q277=1,SUMPRODUCT(--($R$8:$R$1207&lt;R277))+1,"")</f>
        <v/>
      </c>
      <c r="T277" s="30">
        <f>IF(K277=1,'ORDENES'!$J273,"")</f>
        <v/>
      </c>
    </row>
    <row r="278">
      <c r="K278" s="24">
        <f>IF(AND(IF($B$3="(todos)",TRUE,'ORDENES'!$O274=$B$3),IF($D$3="(todos)",TRUE,'ORDENES'!$AI274=$D$3),IF($F$3="(todos)",TRUE,'ORDENES'!$AA274=$F$3),IF($H$3="(todos)",TRUE,'ORDENES'!$Z274=$H$3),'ORDENES'!$AG274=TRUE,'ORDENES'!$A274&lt;&gt;""),1,0)</f>
        <v/>
      </c>
      <c r="L278" s="24">
        <f>IF(K278=1,IFERROR(MATCH('ORDENES'!$S274,lista_dias,0),9)*1000000000+IFERROR(MATCH('ORDENES'!$AI274,lista_turnos,0),9)*10000000+IFERROR(MATCH('ORDENES'!$AH274,'TECNICOS'!$B$4:$B$19,0),99)*100000+271,9000000000000+271)</f>
        <v/>
      </c>
      <c r="M278" s="24">
        <f>IF(K278=1,SUMPRODUCT(--($L$8:$L$1207&lt;L278))+1,"")</f>
        <v/>
      </c>
      <c r="N278" s="25">
        <f>IF(K278=1,N('ORDENES'!$M274),0)</f>
        <v/>
      </c>
      <c r="O278" s="25">
        <f>IF('ORDENES'!$U274="preventiva",N278,0)</f>
        <v/>
      </c>
      <c r="P278" s="25">
        <f>IF('ORDENES'!$U274="correctiva",N278,0)</f>
        <v/>
      </c>
      <c r="Q278" s="24">
        <f>IF(AND(K278=1,'ORDENES'!$N274="Pendiente"),1,0)</f>
        <v/>
      </c>
      <c r="R278" s="24">
        <f>IF(Q278=1,100000-N278*1000+271*0.01,9000000000000+271)</f>
        <v/>
      </c>
      <c r="S278" s="24">
        <f>IF(Q278=1,SUMPRODUCT(--($R$8:$R$1207&lt;R278))+1,"")</f>
        <v/>
      </c>
      <c r="T278" s="30">
        <f>IF(K278=1,'ORDENES'!$J274,"")</f>
        <v/>
      </c>
    </row>
    <row r="279">
      <c r="K279" s="24">
        <f>IF(AND(IF($B$3="(todos)",TRUE,'ORDENES'!$O275=$B$3),IF($D$3="(todos)",TRUE,'ORDENES'!$AI275=$D$3),IF($F$3="(todos)",TRUE,'ORDENES'!$AA275=$F$3),IF($H$3="(todos)",TRUE,'ORDENES'!$Z275=$H$3),'ORDENES'!$AG275=TRUE,'ORDENES'!$A275&lt;&gt;""),1,0)</f>
        <v/>
      </c>
      <c r="L279" s="24">
        <f>IF(K279=1,IFERROR(MATCH('ORDENES'!$S275,lista_dias,0),9)*1000000000+IFERROR(MATCH('ORDENES'!$AI275,lista_turnos,0),9)*10000000+IFERROR(MATCH('ORDENES'!$AH275,'TECNICOS'!$B$4:$B$19,0),99)*100000+272,9000000000000+272)</f>
        <v/>
      </c>
      <c r="M279" s="24">
        <f>IF(K279=1,SUMPRODUCT(--($L$8:$L$1207&lt;L279))+1,"")</f>
        <v/>
      </c>
      <c r="N279" s="25">
        <f>IF(K279=1,N('ORDENES'!$M275),0)</f>
        <v/>
      </c>
      <c r="O279" s="25">
        <f>IF('ORDENES'!$U275="preventiva",N279,0)</f>
        <v/>
      </c>
      <c r="P279" s="25">
        <f>IF('ORDENES'!$U275="correctiva",N279,0)</f>
        <v/>
      </c>
      <c r="Q279" s="24">
        <f>IF(AND(K279=1,'ORDENES'!$N275="Pendiente"),1,0)</f>
        <v/>
      </c>
      <c r="R279" s="24">
        <f>IF(Q279=1,100000-N279*1000+272*0.01,9000000000000+272)</f>
        <v/>
      </c>
      <c r="S279" s="24">
        <f>IF(Q279=1,SUMPRODUCT(--($R$8:$R$1207&lt;R279))+1,"")</f>
        <v/>
      </c>
      <c r="T279" s="30">
        <f>IF(K279=1,'ORDENES'!$J275,"")</f>
        <v/>
      </c>
    </row>
    <row r="280">
      <c r="K280" s="24">
        <f>IF(AND(IF($B$3="(todos)",TRUE,'ORDENES'!$O276=$B$3),IF($D$3="(todos)",TRUE,'ORDENES'!$AI276=$D$3),IF($F$3="(todos)",TRUE,'ORDENES'!$AA276=$F$3),IF($H$3="(todos)",TRUE,'ORDENES'!$Z276=$H$3),'ORDENES'!$AG276=TRUE,'ORDENES'!$A276&lt;&gt;""),1,0)</f>
        <v/>
      </c>
      <c r="L280" s="24">
        <f>IF(K280=1,IFERROR(MATCH('ORDENES'!$S276,lista_dias,0),9)*1000000000+IFERROR(MATCH('ORDENES'!$AI276,lista_turnos,0),9)*10000000+IFERROR(MATCH('ORDENES'!$AH276,'TECNICOS'!$B$4:$B$19,0),99)*100000+273,9000000000000+273)</f>
        <v/>
      </c>
      <c r="M280" s="24">
        <f>IF(K280=1,SUMPRODUCT(--($L$8:$L$1207&lt;L280))+1,"")</f>
        <v/>
      </c>
      <c r="N280" s="25">
        <f>IF(K280=1,N('ORDENES'!$M276),0)</f>
        <v/>
      </c>
      <c r="O280" s="25">
        <f>IF('ORDENES'!$U276="preventiva",N280,0)</f>
        <v/>
      </c>
      <c r="P280" s="25">
        <f>IF('ORDENES'!$U276="correctiva",N280,0)</f>
        <v/>
      </c>
      <c r="Q280" s="24">
        <f>IF(AND(K280=1,'ORDENES'!$N276="Pendiente"),1,0)</f>
        <v/>
      </c>
      <c r="R280" s="24">
        <f>IF(Q280=1,100000-N280*1000+273*0.01,9000000000000+273)</f>
        <v/>
      </c>
      <c r="S280" s="24">
        <f>IF(Q280=1,SUMPRODUCT(--($R$8:$R$1207&lt;R280))+1,"")</f>
        <v/>
      </c>
      <c r="T280" s="30">
        <f>IF(K280=1,'ORDENES'!$J276,"")</f>
        <v/>
      </c>
    </row>
    <row r="281">
      <c r="K281" s="24">
        <f>IF(AND(IF($B$3="(todos)",TRUE,'ORDENES'!$O277=$B$3),IF($D$3="(todos)",TRUE,'ORDENES'!$AI277=$D$3),IF($F$3="(todos)",TRUE,'ORDENES'!$AA277=$F$3),IF($H$3="(todos)",TRUE,'ORDENES'!$Z277=$H$3),'ORDENES'!$AG277=TRUE,'ORDENES'!$A277&lt;&gt;""),1,0)</f>
        <v/>
      </c>
      <c r="L281" s="24">
        <f>IF(K281=1,IFERROR(MATCH('ORDENES'!$S277,lista_dias,0),9)*1000000000+IFERROR(MATCH('ORDENES'!$AI277,lista_turnos,0),9)*10000000+IFERROR(MATCH('ORDENES'!$AH277,'TECNICOS'!$B$4:$B$19,0),99)*100000+274,9000000000000+274)</f>
        <v/>
      </c>
      <c r="M281" s="24">
        <f>IF(K281=1,SUMPRODUCT(--($L$8:$L$1207&lt;L281))+1,"")</f>
        <v/>
      </c>
      <c r="N281" s="25">
        <f>IF(K281=1,N('ORDENES'!$M277),0)</f>
        <v/>
      </c>
      <c r="O281" s="25">
        <f>IF('ORDENES'!$U277="preventiva",N281,0)</f>
        <v/>
      </c>
      <c r="P281" s="25">
        <f>IF('ORDENES'!$U277="correctiva",N281,0)</f>
        <v/>
      </c>
      <c r="Q281" s="24">
        <f>IF(AND(K281=1,'ORDENES'!$N277="Pendiente"),1,0)</f>
        <v/>
      </c>
      <c r="R281" s="24">
        <f>IF(Q281=1,100000-N281*1000+274*0.01,9000000000000+274)</f>
        <v/>
      </c>
      <c r="S281" s="24">
        <f>IF(Q281=1,SUMPRODUCT(--($R$8:$R$1207&lt;R281))+1,"")</f>
        <v/>
      </c>
      <c r="T281" s="30">
        <f>IF(K281=1,'ORDENES'!$J277,"")</f>
        <v/>
      </c>
    </row>
    <row r="282">
      <c r="K282" s="24">
        <f>IF(AND(IF($B$3="(todos)",TRUE,'ORDENES'!$O278=$B$3),IF($D$3="(todos)",TRUE,'ORDENES'!$AI278=$D$3),IF($F$3="(todos)",TRUE,'ORDENES'!$AA278=$F$3),IF($H$3="(todos)",TRUE,'ORDENES'!$Z278=$H$3),'ORDENES'!$AG278=TRUE,'ORDENES'!$A278&lt;&gt;""),1,0)</f>
        <v/>
      </c>
      <c r="L282" s="24">
        <f>IF(K282=1,IFERROR(MATCH('ORDENES'!$S278,lista_dias,0),9)*1000000000+IFERROR(MATCH('ORDENES'!$AI278,lista_turnos,0),9)*10000000+IFERROR(MATCH('ORDENES'!$AH278,'TECNICOS'!$B$4:$B$19,0),99)*100000+275,9000000000000+275)</f>
        <v/>
      </c>
      <c r="M282" s="24">
        <f>IF(K282=1,SUMPRODUCT(--($L$8:$L$1207&lt;L282))+1,"")</f>
        <v/>
      </c>
      <c r="N282" s="25">
        <f>IF(K282=1,N('ORDENES'!$M278),0)</f>
        <v/>
      </c>
      <c r="O282" s="25">
        <f>IF('ORDENES'!$U278="preventiva",N282,0)</f>
        <v/>
      </c>
      <c r="P282" s="25">
        <f>IF('ORDENES'!$U278="correctiva",N282,0)</f>
        <v/>
      </c>
      <c r="Q282" s="24">
        <f>IF(AND(K282=1,'ORDENES'!$N278="Pendiente"),1,0)</f>
        <v/>
      </c>
      <c r="R282" s="24">
        <f>IF(Q282=1,100000-N282*1000+275*0.01,9000000000000+275)</f>
        <v/>
      </c>
      <c r="S282" s="24">
        <f>IF(Q282=1,SUMPRODUCT(--($R$8:$R$1207&lt;R282))+1,"")</f>
        <v/>
      </c>
      <c r="T282" s="30">
        <f>IF(K282=1,'ORDENES'!$J278,"")</f>
        <v/>
      </c>
    </row>
    <row r="283">
      <c r="K283" s="24">
        <f>IF(AND(IF($B$3="(todos)",TRUE,'ORDENES'!$O279=$B$3),IF($D$3="(todos)",TRUE,'ORDENES'!$AI279=$D$3),IF($F$3="(todos)",TRUE,'ORDENES'!$AA279=$F$3),IF($H$3="(todos)",TRUE,'ORDENES'!$Z279=$H$3),'ORDENES'!$AG279=TRUE,'ORDENES'!$A279&lt;&gt;""),1,0)</f>
        <v/>
      </c>
      <c r="L283" s="24">
        <f>IF(K283=1,IFERROR(MATCH('ORDENES'!$S279,lista_dias,0),9)*1000000000+IFERROR(MATCH('ORDENES'!$AI279,lista_turnos,0),9)*10000000+IFERROR(MATCH('ORDENES'!$AH279,'TECNICOS'!$B$4:$B$19,0),99)*100000+276,9000000000000+276)</f>
        <v/>
      </c>
      <c r="M283" s="24">
        <f>IF(K283=1,SUMPRODUCT(--($L$8:$L$1207&lt;L283))+1,"")</f>
        <v/>
      </c>
      <c r="N283" s="25">
        <f>IF(K283=1,N('ORDENES'!$M279),0)</f>
        <v/>
      </c>
      <c r="O283" s="25">
        <f>IF('ORDENES'!$U279="preventiva",N283,0)</f>
        <v/>
      </c>
      <c r="P283" s="25">
        <f>IF('ORDENES'!$U279="correctiva",N283,0)</f>
        <v/>
      </c>
      <c r="Q283" s="24">
        <f>IF(AND(K283=1,'ORDENES'!$N279="Pendiente"),1,0)</f>
        <v/>
      </c>
      <c r="R283" s="24">
        <f>IF(Q283=1,100000-N283*1000+276*0.01,9000000000000+276)</f>
        <v/>
      </c>
      <c r="S283" s="24">
        <f>IF(Q283=1,SUMPRODUCT(--($R$8:$R$1207&lt;R283))+1,"")</f>
        <v/>
      </c>
      <c r="T283" s="30">
        <f>IF(K283=1,'ORDENES'!$J279,"")</f>
        <v/>
      </c>
    </row>
    <row r="284">
      <c r="K284" s="24">
        <f>IF(AND(IF($B$3="(todos)",TRUE,'ORDENES'!$O280=$B$3),IF($D$3="(todos)",TRUE,'ORDENES'!$AI280=$D$3),IF($F$3="(todos)",TRUE,'ORDENES'!$AA280=$F$3),IF($H$3="(todos)",TRUE,'ORDENES'!$Z280=$H$3),'ORDENES'!$AG280=TRUE,'ORDENES'!$A280&lt;&gt;""),1,0)</f>
        <v/>
      </c>
      <c r="L284" s="24">
        <f>IF(K284=1,IFERROR(MATCH('ORDENES'!$S280,lista_dias,0),9)*1000000000+IFERROR(MATCH('ORDENES'!$AI280,lista_turnos,0),9)*10000000+IFERROR(MATCH('ORDENES'!$AH280,'TECNICOS'!$B$4:$B$19,0),99)*100000+277,9000000000000+277)</f>
        <v/>
      </c>
      <c r="M284" s="24">
        <f>IF(K284=1,SUMPRODUCT(--($L$8:$L$1207&lt;L284))+1,"")</f>
        <v/>
      </c>
      <c r="N284" s="25">
        <f>IF(K284=1,N('ORDENES'!$M280),0)</f>
        <v/>
      </c>
      <c r="O284" s="25">
        <f>IF('ORDENES'!$U280="preventiva",N284,0)</f>
        <v/>
      </c>
      <c r="P284" s="25">
        <f>IF('ORDENES'!$U280="correctiva",N284,0)</f>
        <v/>
      </c>
      <c r="Q284" s="24">
        <f>IF(AND(K284=1,'ORDENES'!$N280="Pendiente"),1,0)</f>
        <v/>
      </c>
      <c r="R284" s="24">
        <f>IF(Q284=1,100000-N284*1000+277*0.01,9000000000000+277)</f>
        <v/>
      </c>
      <c r="S284" s="24">
        <f>IF(Q284=1,SUMPRODUCT(--($R$8:$R$1207&lt;R284))+1,"")</f>
        <v/>
      </c>
      <c r="T284" s="30">
        <f>IF(K284=1,'ORDENES'!$J280,"")</f>
        <v/>
      </c>
    </row>
    <row r="285">
      <c r="K285" s="24">
        <f>IF(AND(IF($B$3="(todos)",TRUE,'ORDENES'!$O281=$B$3),IF($D$3="(todos)",TRUE,'ORDENES'!$AI281=$D$3),IF($F$3="(todos)",TRUE,'ORDENES'!$AA281=$F$3),IF($H$3="(todos)",TRUE,'ORDENES'!$Z281=$H$3),'ORDENES'!$AG281=TRUE,'ORDENES'!$A281&lt;&gt;""),1,0)</f>
        <v/>
      </c>
      <c r="L285" s="24">
        <f>IF(K285=1,IFERROR(MATCH('ORDENES'!$S281,lista_dias,0),9)*1000000000+IFERROR(MATCH('ORDENES'!$AI281,lista_turnos,0),9)*10000000+IFERROR(MATCH('ORDENES'!$AH281,'TECNICOS'!$B$4:$B$19,0),99)*100000+278,9000000000000+278)</f>
        <v/>
      </c>
      <c r="M285" s="24">
        <f>IF(K285=1,SUMPRODUCT(--($L$8:$L$1207&lt;L285))+1,"")</f>
        <v/>
      </c>
      <c r="N285" s="25">
        <f>IF(K285=1,N('ORDENES'!$M281),0)</f>
        <v/>
      </c>
      <c r="O285" s="25">
        <f>IF('ORDENES'!$U281="preventiva",N285,0)</f>
        <v/>
      </c>
      <c r="P285" s="25">
        <f>IF('ORDENES'!$U281="correctiva",N285,0)</f>
        <v/>
      </c>
      <c r="Q285" s="24">
        <f>IF(AND(K285=1,'ORDENES'!$N281="Pendiente"),1,0)</f>
        <v/>
      </c>
      <c r="R285" s="24">
        <f>IF(Q285=1,100000-N285*1000+278*0.01,9000000000000+278)</f>
        <v/>
      </c>
      <c r="S285" s="24">
        <f>IF(Q285=1,SUMPRODUCT(--($R$8:$R$1207&lt;R285))+1,"")</f>
        <v/>
      </c>
      <c r="T285" s="30">
        <f>IF(K285=1,'ORDENES'!$J281,"")</f>
        <v/>
      </c>
    </row>
    <row r="286">
      <c r="K286" s="24">
        <f>IF(AND(IF($B$3="(todos)",TRUE,'ORDENES'!$O282=$B$3),IF($D$3="(todos)",TRUE,'ORDENES'!$AI282=$D$3),IF($F$3="(todos)",TRUE,'ORDENES'!$AA282=$F$3),IF($H$3="(todos)",TRUE,'ORDENES'!$Z282=$H$3),'ORDENES'!$AG282=TRUE,'ORDENES'!$A282&lt;&gt;""),1,0)</f>
        <v/>
      </c>
      <c r="L286" s="24">
        <f>IF(K286=1,IFERROR(MATCH('ORDENES'!$S282,lista_dias,0),9)*1000000000+IFERROR(MATCH('ORDENES'!$AI282,lista_turnos,0),9)*10000000+IFERROR(MATCH('ORDENES'!$AH282,'TECNICOS'!$B$4:$B$19,0),99)*100000+279,9000000000000+279)</f>
        <v/>
      </c>
      <c r="M286" s="24">
        <f>IF(K286=1,SUMPRODUCT(--($L$8:$L$1207&lt;L286))+1,"")</f>
        <v/>
      </c>
      <c r="N286" s="25">
        <f>IF(K286=1,N('ORDENES'!$M282),0)</f>
        <v/>
      </c>
      <c r="O286" s="25">
        <f>IF('ORDENES'!$U282="preventiva",N286,0)</f>
        <v/>
      </c>
      <c r="P286" s="25">
        <f>IF('ORDENES'!$U282="correctiva",N286,0)</f>
        <v/>
      </c>
      <c r="Q286" s="24">
        <f>IF(AND(K286=1,'ORDENES'!$N282="Pendiente"),1,0)</f>
        <v/>
      </c>
      <c r="R286" s="24">
        <f>IF(Q286=1,100000-N286*1000+279*0.01,9000000000000+279)</f>
        <v/>
      </c>
      <c r="S286" s="24">
        <f>IF(Q286=1,SUMPRODUCT(--($R$8:$R$1207&lt;R286))+1,"")</f>
        <v/>
      </c>
      <c r="T286" s="30">
        <f>IF(K286=1,'ORDENES'!$J282,"")</f>
        <v/>
      </c>
    </row>
    <row r="287">
      <c r="K287" s="24">
        <f>IF(AND(IF($B$3="(todos)",TRUE,'ORDENES'!$O283=$B$3),IF($D$3="(todos)",TRUE,'ORDENES'!$AI283=$D$3),IF($F$3="(todos)",TRUE,'ORDENES'!$AA283=$F$3),IF($H$3="(todos)",TRUE,'ORDENES'!$Z283=$H$3),'ORDENES'!$AG283=TRUE,'ORDENES'!$A283&lt;&gt;""),1,0)</f>
        <v/>
      </c>
      <c r="L287" s="24">
        <f>IF(K287=1,IFERROR(MATCH('ORDENES'!$S283,lista_dias,0),9)*1000000000+IFERROR(MATCH('ORDENES'!$AI283,lista_turnos,0),9)*10000000+IFERROR(MATCH('ORDENES'!$AH283,'TECNICOS'!$B$4:$B$19,0),99)*100000+280,9000000000000+280)</f>
        <v/>
      </c>
      <c r="M287" s="24">
        <f>IF(K287=1,SUMPRODUCT(--($L$8:$L$1207&lt;L287))+1,"")</f>
        <v/>
      </c>
      <c r="N287" s="25">
        <f>IF(K287=1,N('ORDENES'!$M283),0)</f>
        <v/>
      </c>
      <c r="O287" s="25">
        <f>IF('ORDENES'!$U283="preventiva",N287,0)</f>
        <v/>
      </c>
      <c r="P287" s="25">
        <f>IF('ORDENES'!$U283="correctiva",N287,0)</f>
        <v/>
      </c>
      <c r="Q287" s="24">
        <f>IF(AND(K287=1,'ORDENES'!$N283="Pendiente"),1,0)</f>
        <v/>
      </c>
      <c r="R287" s="24">
        <f>IF(Q287=1,100000-N287*1000+280*0.01,9000000000000+280)</f>
        <v/>
      </c>
      <c r="S287" s="24">
        <f>IF(Q287=1,SUMPRODUCT(--($R$8:$R$1207&lt;R287))+1,"")</f>
        <v/>
      </c>
      <c r="T287" s="30">
        <f>IF(K287=1,'ORDENES'!$J283,"")</f>
        <v/>
      </c>
    </row>
    <row r="288">
      <c r="K288" s="24">
        <f>IF(AND(IF($B$3="(todos)",TRUE,'ORDENES'!$O284=$B$3),IF($D$3="(todos)",TRUE,'ORDENES'!$AI284=$D$3),IF($F$3="(todos)",TRUE,'ORDENES'!$AA284=$F$3),IF($H$3="(todos)",TRUE,'ORDENES'!$Z284=$H$3),'ORDENES'!$AG284=TRUE,'ORDENES'!$A284&lt;&gt;""),1,0)</f>
        <v/>
      </c>
      <c r="L288" s="24">
        <f>IF(K288=1,IFERROR(MATCH('ORDENES'!$S284,lista_dias,0),9)*1000000000+IFERROR(MATCH('ORDENES'!$AI284,lista_turnos,0),9)*10000000+IFERROR(MATCH('ORDENES'!$AH284,'TECNICOS'!$B$4:$B$19,0),99)*100000+281,9000000000000+281)</f>
        <v/>
      </c>
      <c r="M288" s="24">
        <f>IF(K288=1,SUMPRODUCT(--($L$8:$L$1207&lt;L288))+1,"")</f>
        <v/>
      </c>
      <c r="N288" s="25">
        <f>IF(K288=1,N('ORDENES'!$M284),0)</f>
        <v/>
      </c>
      <c r="O288" s="25">
        <f>IF('ORDENES'!$U284="preventiva",N288,0)</f>
        <v/>
      </c>
      <c r="P288" s="25">
        <f>IF('ORDENES'!$U284="correctiva",N288,0)</f>
        <v/>
      </c>
      <c r="Q288" s="24">
        <f>IF(AND(K288=1,'ORDENES'!$N284="Pendiente"),1,0)</f>
        <v/>
      </c>
      <c r="R288" s="24">
        <f>IF(Q288=1,100000-N288*1000+281*0.01,9000000000000+281)</f>
        <v/>
      </c>
      <c r="S288" s="24">
        <f>IF(Q288=1,SUMPRODUCT(--($R$8:$R$1207&lt;R288))+1,"")</f>
        <v/>
      </c>
      <c r="T288" s="30">
        <f>IF(K288=1,'ORDENES'!$J284,"")</f>
        <v/>
      </c>
    </row>
    <row r="289">
      <c r="K289" s="24">
        <f>IF(AND(IF($B$3="(todos)",TRUE,'ORDENES'!$O285=$B$3),IF($D$3="(todos)",TRUE,'ORDENES'!$AI285=$D$3),IF($F$3="(todos)",TRUE,'ORDENES'!$AA285=$F$3),IF($H$3="(todos)",TRUE,'ORDENES'!$Z285=$H$3),'ORDENES'!$AG285=TRUE,'ORDENES'!$A285&lt;&gt;""),1,0)</f>
        <v/>
      </c>
      <c r="L289" s="24">
        <f>IF(K289=1,IFERROR(MATCH('ORDENES'!$S285,lista_dias,0),9)*1000000000+IFERROR(MATCH('ORDENES'!$AI285,lista_turnos,0),9)*10000000+IFERROR(MATCH('ORDENES'!$AH285,'TECNICOS'!$B$4:$B$19,0),99)*100000+282,9000000000000+282)</f>
        <v/>
      </c>
      <c r="M289" s="24">
        <f>IF(K289=1,SUMPRODUCT(--($L$8:$L$1207&lt;L289))+1,"")</f>
        <v/>
      </c>
      <c r="N289" s="25">
        <f>IF(K289=1,N('ORDENES'!$M285),0)</f>
        <v/>
      </c>
      <c r="O289" s="25">
        <f>IF('ORDENES'!$U285="preventiva",N289,0)</f>
        <v/>
      </c>
      <c r="P289" s="25">
        <f>IF('ORDENES'!$U285="correctiva",N289,0)</f>
        <v/>
      </c>
      <c r="Q289" s="24">
        <f>IF(AND(K289=1,'ORDENES'!$N285="Pendiente"),1,0)</f>
        <v/>
      </c>
      <c r="R289" s="24">
        <f>IF(Q289=1,100000-N289*1000+282*0.01,9000000000000+282)</f>
        <v/>
      </c>
      <c r="S289" s="24">
        <f>IF(Q289=1,SUMPRODUCT(--($R$8:$R$1207&lt;R289))+1,"")</f>
        <v/>
      </c>
      <c r="T289" s="30">
        <f>IF(K289=1,'ORDENES'!$J285,"")</f>
        <v/>
      </c>
    </row>
    <row r="290">
      <c r="K290" s="24">
        <f>IF(AND(IF($B$3="(todos)",TRUE,'ORDENES'!$O286=$B$3),IF($D$3="(todos)",TRUE,'ORDENES'!$AI286=$D$3),IF($F$3="(todos)",TRUE,'ORDENES'!$AA286=$F$3),IF($H$3="(todos)",TRUE,'ORDENES'!$Z286=$H$3),'ORDENES'!$AG286=TRUE,'ORDENES'!$A286&lt;&gt;""),1,0)</f>
        <v/>
      </c>
      <c r="L290" s="24">
        <f>IF(K290=1,IFERROR(MATCH('ORDENES'!$S286,lista_dias,0),9)*1000000000+IFERROR(MATCH('ORDENES'!$AI286,lista_turnos,0),9)*10000000+IFERROR(MATCH('ORDENES'!$AH286,'TECNICOS'!$B$4:$B$19,0),99)*100000+283,9000000000000+283)</f>
        <v/>
      </c>
      <c r="M290" s="24">
        <f>IF(K290=1,SUMPRODUCT(--($L$8:$L$1207&lt;L290))+1,"")</f>
        <v/>
      </c>
      <c r="N290" s="25">
        <f>IF(K290=1,N('ORDENES'!$M286),0)</f>
        <v/>
      </c>
      <c r="O290" s="25">
        <f>IF('ORDENES'!$U286="preventiva",N290,0)</f>
        <v/>
      </c>
      <c r="P290" s="25">
        <f>IF('ORDENES'!$U286="correctiva",N290,0)</f>
        <v/>
      </c>
      <c r="Q290" s="24">
        <f>IF(AND(K290=1,'ORDENES'!$N286="Pendiente"),1,0)</f>
        <v/>
      </c>
      <c r="R290" s="24">
        <f>IF(Q290=1,100000-N290*1000+283*0.01,9000000000000+283)</f>
        <v/>
      </c>
      <c r="S290" s="24">
        <f>IF(Q290=1,SUMPRODUCT(--($R$8:$R$1207&lt;R290))+1,"")</f>
        <v/>
      </c>
      <c r="T290" s="30">
        <f>IF(K290=1,'ORDENES'!$J286,"")</f>
        <v/>
      </c>
    </row>
    <row r="291">
      <c r="K291" s="24">
        <f>IF(AND(IF($B$3="(todos)",TRUE,'ORDENES'!$O287=$B$3),IF($D$3="(todos)",TRUE,'ORDENES'!$AI287=$D$3),IF($F$3="(todos)",TRUE,'ORDENES'!$AA287=$F$3),IF($H$3="(todos)",TRUE,'ORDENES'!$Z287=$H$3),'ORDENES'!$AG287=TRUE,'ORDENES'!$A287&lt;&gt;""),1,0)</f>
        <v/>
      </c>
      <c r="L291" s="24">
        <f>IF(K291=1,IFERROR(MATCH('ORDENES'!$S287,lista_dias,0),9)*1000000000+IFERROR(MATCH('ORDENES'!$AI287,lista_turnos,0),9)*10000000+IFERROR(MATCH('ORDENES'!$AH287,'TECNICOS'!$B$4:$B$19,0),99)*100000+284,9000000000000+284)</f>
        <v/>
      </c>
      <c r="M291" s="24">
        <f>IF(K291=1,SUMPRODUCT(--($L$8:$L$1207&lt;L291))+1,"")</f>
        <v/>
      </c>
      <c r="N291" s="25">
        <f>IF(K291=1,N('ORDENES'!$M287),0)</f>
        <v/>
      </c>
      <c r="O291" s="25">
        <f>IF('ORDENES'!$U287="preventiva",N291,0)</f>
        <v/>
      </c>
      <c r="P291" s="25">
        <f>IF('ORDENES'!$U287="correctiva",N291,0)</f>
        <v/>
      </c>
      <c r="Q291" s="24">
        <f>IF(AND(K291=1,'ORDENES'!$N287="Pendiente"),1,0)</f>
        <v/>
      </c>
      <c r="R291" s="24">
        <f>IF(Q291=1,100000-N291*1000+284*0.01,9000000000000+284)</f>
        <v/>
      </c>
      <c r="S291" s="24">
        <f>IF(Q291=1,SUMPRODUCT(--($R$8:$R$1207&lt;R291))+1,"")</f>
        <v/>
      </c>
      <c r="T291" s="30">
        <f>IF(K291=1,'ORDENES'!$J287,"")</f>
        <v/>
      </c>
    </row>
    <row r="292">
      <c r="K292" s="24">
        <f>IF(AND(IF($B$3="(todos)",TRUE,'ORDENES'!$O288=$B$3),IF($D$3="(todos)",TRUE,'ORDENES'!$AI288=$D$3),IF($F$3="(todos)",TRUE,'ORDENES'!$AA288=$F$3),IF($H$3="(todos)",TRUE,'ORDENES'!$Z288=$H$3),'ORDENES'!$AG288=TRUE,'ORDENES'!$A288&lt;&gt;""),1,0)</f>
        <v/>
      </c>
      <c r="L292" s="24">
        <f>IF(K292=1,IFERROR(MATCH('ORDENES'!$S288,lista_dias,0),9)*1000000000+IFERROR(MATCH('ORDENES'!$AI288,lista_turnos,0),9)*10000000+IFERROR(MATCH('ORDENES'!$AH288,'TECNICOS'!$B$4:$B$19,0),99)*100000+285,9000000000000+285)</f>
        <v/>
      </c>
      <c r="M292" s="24">
        <f>IF(K292=1,SUMPRODUCT(--($L$8:$L$1207&lt;L292))+1,"")</f>
        <v/>
      </c>
      <c r="N292" s="25">
        <f>IF(K292=1,N('ORDENES'!$M288),0)</f>
        <v/>
      </c>
      <c r="O292" s="25">
        <f>IF('ORDENES'!$U288="preventiva",N292,0)</f>
        <v/>
      </c>
      <c r="P292" s="25">
        <f>IF('ORDENES'!$U288="correctiva",N292,0)</f>
        <v/>
      </c>
      <c r="Q292" s="24">
        <f>IF(AND(K292=1,'ORDENES'!$N288="Pendiente"),1,0)</f>
        <v/>
      </c>
      <c r="R292" s="24">
        <f>IF(Q292=1,100000-N292*1000+285*0.01,9000000000000+285)</f>
        <v/>
      </c>
      <c r="S292" s="24">
        <f>IF(Q292=1,SUMPRODUCT(--($R$8:$R$1207&lt;R292))+1,"")</f>
        <v/>
      </c>
      <c r="T292" s="30">
        <f>IF(K292=1,'ORDENES'!$J288,"")</f>
        <v/>
      </c>
    </row>
    <row r="293">
      <c r="K293" s="24">
        <f>IF(AND(IF($B$3="(todos)",TRUE,'ORDENES'!$O289=$B$3),IF($D$3="(todos)",TRUE,'ORDENES'!$AI289=$D$3),IF($F$3="(todos)",TRUE,'ORDENES'!$AA289=$F$3),IF($H$3="(todos)",TRUE,'ORDENES'!$Z289=$H$3),'ORDENES'!$AG289=TRUE,'ORDENES'!$A289&lt;&gt;""),1,0)</f>
        <v/>
      </c>
      <c r="L293" s="24">
        <f>IF(K293=1,IFERROR(MATCH('ORDENES'!$S289,lista_dias,0),9)*1000000000+IFERROR(MATCH('ORDENES'!$AI289,lista_turnos,0),9)*10000000+IFERROR(MATCH('ORDENES'!$AH289,'TECNICOS'!$B$4:$B$19,0),99)*100000+286,9000000000000+286)</f>
        <v/>
      </c>
      <c r="M293" s="24">
        <f>IF(K293=1,SUMPRODUCT(--($L$8:$L$1207&lt;L293))+1,"")</f>
        <v/>
      </c>
      <c r="N293" s="25">
        <f>IF(K293=1,N('ORDENES'!$M289),0)</f>
        <v/>
      </c>
      <c r="O293" s="25">
        <f>IF('ORDENES'!$U289="preventiva",N293,0)</f>
        <v/>
      </c>
      <c r="P293" s="25">
        <f>IF('ORDENES'!$U289="correctiva",N293,0)</f>
        <v/>
      </c>
      <c r="Q293" s="24">
        <f>IF(AND(K293=1,'ORDENES'!$N289="Pendiente"),1,0)</f>
        <v/>
      </c>
      <c r="R293" s="24">
        <f>IF(Q293=1,100000-N293*1000+286*0.01,9000000000000+286)</f>
        <v/>
      </c>
      <c r="S293" s="24">
        <f>IF(Q293=1,SUMPRODUCT(--($R$8:$R$1207&lt;R293))+1,"")</f>
        <v/>
      </c>
      <c r="T293" s="30">
        <f>IF(K293=1,'ORDENES'!$J289,"")</f>
        <v/>
      </c>
    </row>
    <row r="294">
      <c r="K294" s="24">
        <f>IF(AND(IF($B$3="(todos)",TRUE,'ORDENES'!$O290=$B$3),IF($D$3="(todos)",TRUE,'ORDENES'!$AI290=$D$3),IF($F$3="(todos)",TRUE,'ORDENES'!$AA290=$F$3),IF($H$3="(todos)",TRUE,'ORDENES'!$Z290=$H$3),'ORDENES'!$AG290=TRUE,'ORDENES'!$A290&lt;&gt;""),1,0)</f>
        <v/>
      </c>
      <c r="L294" s="24">
        <f>IF(K294=1,IFERROR(MATCH('ORDENES'!$S290,lista_dias,0),9)*1000000000+IFERROR(MATCH('ORDENES'!$AI290,lista_turnos,0),9)*10000000+IFERROR(MATCH('ORDENES'!$AH290,'TECNICOS'!$B$4:$B$19,0),99)*100000+287,9000000000000+287)</f>
        <v/>
      </c>
      <c r="M294" s="24">
        <f>IF(K294=1,SUMPRODUCT(--($L$8:$L$1207&lt;L294))+1,"")</f>
        <v/>
      </c>
      <c r="N294" s="25">
        <f>IF(K294=1,N('ORDENES'!$M290),0)</f>
        <v/>
      </c>
      <c r="O294" s="25">
        <f>IF('ORDENES'!$U290="preventiva",N294,0)</f>
        <v/>
      </c>
      <c r="P294" s="25">
        <f>IF('ORDENES'!$U290="correctiva",N294,0)</f>
        <v/>
      </c>
      <c r="Q294" s="24">
        <f>IF(AND(K294=1,'ORDENES'!$N290="Pendiente"),1,0)</f>
        <v/>
      </c>
      <c r="R294" s="24">
        <f>IF(Q294=1,100000-N294*1000+287*0.01,9000000000000+287)</f>
        <v/>
      </c>
      <c r="S294" s="24">
        <f>IF(Q294=1,SUMPRODUCT(--($R$8:$R$1207&lt;R294))+1,"")</f>
        <v/>
      </c>
      <c r="T294" s="30">
        <f>IF(K294=1,'ORDENES'!$J290,"")</f>
        <v/>
      </c>
    </row>
    <row r="295">
      <c r="K295" s="24">
        <f>IF(AND(IF($B$3="(todos)",TRUE,'ORDENES'!$O291=$B$3),IF($D$3="(todos)",TRUE,'ORDENES'!$AI291=$D$3),IF($F$3="(todos)",TRUE,'ORDENES'!$AA291=$F$3),IF($H$3="(todos)",TRUE,'ORDENES'!$Z291=$H$3),'ORDENES'!$AG291=TRUE,'ORDENES'!$A291&lt;&gt;""),1,0)</f>
        <v/>
      </c>
      <c r="L295" s="24">
        <f>IF(K295=1,IFERROR(MATCH('ORDENES'!$S291,lista_dias,0),9)*1000000000+IFERROR(MATCH('ORDENES'!$AI291,lista_turnos,0),9)*10000000+IFERROR(MATCH('ORDENES'!$AH291,'TECNICOS'!$B$4:$B$19,0),99)*100000+288,9000000000000+288)</f>
        <v/>
      </c>
      <c r="M295" s="24">
        <f>IF(K295=1,SUMPRODUCT(--($L$8:$L$1207&lt;L295))+1,"")</f>
        <v/>
      </c>
      <c r="N295" s="25">
        <f>IF(K295=1,N('ORDENES'!$M291),0)</f>
        <v/>
      </c>
      <c r="O295" s="25">
        <f>IF('ORDENES'!$U291="preventiva",N295,0)</f>
        <v/>
      </c>
      <c r="P295" s="25">
        <f>IF('ORDENES'!$U291="correctiva",N295,0)</f>
        <v/>
      </c>
      <c r="Q295" s="24">
        <f>IF(AND(K295=1,'ORDENES'!$N291="Pendiente"),1,0)</f>
        <v/>
      </c>
      <c r="R295" s="24">
        <f>IF(Q295=1,100000-N295*1000+288*0.01,9000000000000+288)</f>
        <v/>
      </c>
      <c r="S295" s="24">
        <f>IF(Q295=1,SUMPRODUCT(--($R$8:$R$1207&lt;R295))+1,"")</f>
        <v/>
      </c>
      <c r="T295" s="30">
        <f>IF(K295=1,'ORDENES'!$J291,"")</f>
        <v/>
      </c>
    </row>
    <row r="296">
      <c r="K296" s="24">
        <f>IF(AND(IF($B$3="(todos)",TRUE,'ORDENES'!$O292=$B$3),IF($D$3="(todos)",TRUE,'ORDENES'!$AI292=$D$3),IF($F$3="(todos)",TRUE,'ORDENES'!$AA292=$F$3),IF($H$3="(todos)",TRUE,'ORDENES'!$Z292=$H$3),'ORDENES'!$AG292=TRUE,'ORDENES'!$A292&lt;&gt;""),1,0)</f>
        <v/>
      </c>
      <c r="L296" s="24">
        <f>IF(K296=1,IFERROR(MATCH('ORDENES'!$S292,lista_dias,0),9)*1000000000+IFERROR(MATCH('ORDENES'!$AI292,lista_turnos,0),9)*10000000+IFERROR(MATCH('ORDENES'!$AH292,'TECNICOS'!$B$4:$B$19,0),99)*100000+289,9000000000000+289)</f>
        <v/>
      </c>
      <c r="M296" s="24">
        <f>IF(K296=1,SUMPRODUCT(--($L$8:$L$1207&lt;L296))+1,"")</f>
        <v/>
      </c>
      <c r="N296" s="25">
        <f>IF(K296=1,N('ORDENES'!$M292),0)</f>
        <v/>
      </c>
      <c r="O296" s="25">
        <f>IF('ORDENES'!$U292="preventiva",N296,0)</f>
        <v/>
      </c>
      <c r="P296" s="25">
        <f>IF('ORDENES'!$U292="correctiva",N296,0)</f>
        <v/>
      </c>
      <c r="Q296" s="24">
        <f>IF(AND(K296=1,'ORDENES'!$N292="Pendiente"),1,0)</f>
        <v/>
      </c>
      <c r="R296" s="24">
        <f>IF(Q296=1,100000-N296*1000+289*0.01,9000000000000+289)</f>
        <v/>
      </c>
      <c r="S296" s="24">
        <f>IF(Q296=1,SUMPRODUCT(--($R$8:$R$1207&lt;R296))+1,"")</f>
        <v/>
      </c>
      <c r="T296" s="30">
        <f>IF(K296=1,'ORDENES'!$J292,"")</f>
        <v/>
      </c>
    </row>
    <row r="297">
      <c r="K297" s="24">
        <f>IF(AND(IF($B$3="(todos)",TRUE,'ORDENES'!$O293=$B$3),IF($D$3="(todos)",TRUE,'ORDENES'!$AI293=$D$3),IF($F$3="(todos)",TRUE,'ORDENES'!$AA293=$F$3),IF($H$3="(todos)",TRUE,'ORDENES'!$Z293=$H$3),'ORDENES'!$AG293=TRUE,'ORDENES'!$A293&lt;&gt;""),1,0)</f>
        <v/>
      </c>
      <c r="L297" s="24">
        <f>IF(K297=1,IFERROR(MATCH('ORDENES'!$S293,lista_dias,0),9)*1000000000+IFERROR(MATCH('ORDENES'!$AI293,lista_turnos,0),9)*10000000+IFERROR(MATCH('ORDENES'!$AH293,'TECNICOS'!$B$4:$B$19,0),99)*100000+290,9000000000000+290)</f>
        <v/>
      </c>
      <c r="M297" s="24">
        <f>IF(K297=1,SUMPRODUCT(--($L$8:$L$1207&lt;L297))+1,"")</f>
        <v/>
      </c>
      <c r="N297" s="25">
        <f>IF(K297=1,N('ORDENES'!$M293),0)</f>
        <v/>
      </c>
      <c r="O297" s="25">
        <f>IF('ORDENES'!$U293="preventiva",N297,0)</f>
        <v/>
      </c>
      <c r="P297" s="25">
        <f>IF('ORDENES'!$U293="correctiva",N297,0)</f>
        <v/>
      </c>
      <c r="Q297" s="24">
        <f>IF(AND(K297=1,'ORDENES'!$N293="Pendiente"),1,0)</f>
        <v/>
      </c>
      <c r="R297" s="24">
        <f>IF(Q297=1,100000-N297*1000+290*0.01,9000000000000+290)</f>
        <v/>
      </c>
      <c r="S297" s="24">
        <f>IF(Q297=1,SUMPRODUCT(--($R$8:$R$1207&lt;R297))+1,"")</f>
        <v/>
      </c>
      <c r="T297" s="30">
        <f>IF(K297=1,'ORDENES'!$J293,"")</f>
        <v/>
      </c>
    </row>
    <row r="298">
      <c r="K298" s="24">
        <f>IF(AND(IF($B$3="(todos)",TRUE,'ORDENES'!$O294=$B$3),IF($D$3="(todos)",TRUE,'ORDENES'!$AI294=$D$3),IF($F$3="(todos)",TRUE,'ORDENES'!$AA294=$F$3),IF($H$3="(todos)",TRUE,'ORDENES'!$Z294=$H$3),'ORDENES'!$AG294=TRUE,'ORDENES'!$A294&lt;&gt;""),1,0)</f>
        <v/>
      </c>
      <c r="L298" s="24">
        <f>IF(K298=1,IFERROR(MATCH('ORDENES'!$S294,lista_dias,0),9)*1000000000+IFERROR(MATCH('ORDENES'!$AI294,lista_turnos,0),9)*10000000+IFERROR(MATCH('ORDENES'!$AH294,'TECNICOS'!$B$4:$B$19,0),99)*100000+291,9000000000000+291)</f>
        <v/>
      </c>
      <c r="M298" s="24">
        <f>IF(K298=1,SUMPRODUCT(--($L$8:$L$1207&lt;L298))+1,"")</f>
        <v/>
      </c>
      <c r="N298" s="25">
        <f>IF(K298=1,N('ORDENES'!$M294),0)</f>
        <v/>
      </c>
      <c r="O298" s="25">
        <f>IF('ORDENES'!$U294="preventiva",N298,0)</f>
        <v/>
      </c>
      <c r="P298" s="25">
        <f>IF('ORDENES'!$U294="correctiva",N298,0)</f>
        <v/>
      </c>
      <c r="Q298" s="24">
        <f>IF(AND(K298=1,'ORDENES'!$N294="Pendiente"),1,0)</f>
        <v/>
      </c>
      <c r="R298" s="24">
        <f>IF(Q298=1,100000-N298*1000+291*0.01,9000000000000+291)</f>
        <v/>
      </c>
      <c r="S298" s="24">
        <f>IF(Q298=1,SUMPRODUCT(--($R$8:$R$1207&lt;R298))+1,"")</f>
        <v/>
      </c>
      <c r="T298" s="30">
        <f>IF(K298=1,'ORDENES'!$J294,"")</f>
        <v/>
      </c>
    </row>
    <row r="299">
      <c r="K299" s="24">
        <f>IF(AND(IF($B$3="(todos)",TRUE,'ORDENES'!$O295=$B$3),IF($D$3="(todos)",TRUE,'ORDENES'!$AI295=$D$3),IF($F$3="(todos)",TRUE,'ORDENES'!$AA295=$F$3),IF($H$3="(todos)",TRUE,'ORDENES'!$Z295=$H$3),'ORDENES'!$AG295=TRUE,'ORDENES'!$A295&lt;&gt;""),1,0)</f>
        <v/>
      </c>
      <c r="L299" s="24">
        <f>IF(K299=1,IFERROR(MATCH('ORDENES'!$S295,lista_dias,0),9)*1000000000+IFERROR(MATCH('ORDENES'!$AI295,lista_turnos,0),9)*10000000+IFERROR(MATCH('ORDENES'!$AH295,'TECNICOS'!$B$4:$B$19,0),99)*100000+292,9000000000000+292)</f>
        <v/>
      </c>
      <c r="M299" s="24">
        <f>IF(K299=1,SUMPRODUCT(--($L$8:$L$1207&lt;L299))+1,"")</f>
        <v/>
      </c>
      <c r="N299" s="25">
        <f>IF(K299=1,N('ORDENES'!$M295),0)</f>
        <v/>
      </c>
      <c r="O299" s="25">
        <f>IF('ORDENES'!$U295="preventiva",N299,0)</f>
        <v/>
      </c>
      <c r="P299" s="25">
        <f>IF('ORDENES'!$U295="correctiva",N299,0)</f>
        <v/>
      </c>
      <c r="Q299" s="24">
        <f>IF(AND(K299=1,'ORDENES'!$N295="Pendiente"),1,0)</f>
        <v/>
      </c>
      <c r="R299" s="24">
        <f>IF(Q299=1,100000-N299*1000+292*0.01,9000000000000+292)</f>
        <v/>
      </c>
      <c r="S299" s="24">
        <f>IF(Q299=1,SUMPRODUCT(--($R$8:$R$1207&lt;R299))+1,"")</f>
        <v/>
      </c>
      <c r="T299" s="30">
        <f>IF(K299=1,'ORDENES'!$J295,"")</f>
        <v/>
      </c>
    </row>
    <row r="300">
      <c r="K300" s="24">
        <f>IF(AND(IF($B$3="(todos)",TRUE,'ORDENES'!$O296=$B$3),IF($D$3="(todos)",TRUE,'ORDENES'!$AI296=$D$3),IF($F$3="(todos)",TRUE,'ORDENES'!$AA296=$F$3),IF($H$3="(todos)",TRUE,'ORDENES'!$Z296=$H$3),'ORDENES'!$AG296=TRUE,'ORDENES'!$A296&lt;&gt;""),1,0)</f>
        <v/>
      </c>
      <c r="L300" s="24">
        <f>IF(K300=1,IFERROR(MATCH('ORDENES'!$S296,lista_dias,0),9)*1000000000+IFERROR(MATCH('ORDENES'!$AI296,lista_turnos,0),9)*10000000+IFERROR(MATCH('ORDENES'!$AH296,'TECNICOS'!$B$4:$B$19,0),99)*100000+293,9000000000000+293)</f>
        <v/>
      </c>
      <c r="M300" s="24">
        <f>IF(K300=1,SUMPRODUCT(--($L$8:$L$1207&lt;L300))+1,"")</f>
        <v/>
      </c>
      <c r="N300" s="25">
        <f>IF(K300=1,N('ORDENES'!$M296),0)</f>
        <v/>
      </c>
      <c r="O300" s="25">
        <f>IF('ORDENES'!$U296="preventiva",N300,0)</f>
        <v/>
      </c>
      <c r="P300" s="25">
        <f>IF('ORDENES'!$U296="correctiva",N300,0)</f>
        <v/>
      </c>
      <c r="Q300" s="24">
        <f>IF(AND(K300=1,'ORDENES'!$N296="Pendiente"),1,0)</f>
        <v/>
      </c>
      <c r="R300" s="24">
        <f>IF(Q300=1,100000-N300*1000+293*0.01,9000000000000+293)</f>
        <v/>
      </c>
      <c r="S300" s="24">
        <f>IF(Q300=1,SUMPRODUCT(--($R$8:$R$1207&lt;R300))+1,"")</f>
        <v/>
      </c>
      <c r="T300" s="30">
        <f>IF(K300=1,'ORDENES'!$J296,"")</f>
        <v/>
      </c>
    </row>
    <row r="301">
      <c r="K301" s="24">
        <f>IF(AND(IF($B$3="(todos)",TRUE,'ORDENES'!$O297=$B$3),IF($D$3="(todos)",TRUE,'ORDENES'!$AI297=$D$3),IF($F$3="(todos)",TRUE,'ORDENES'!$AA297=$F$3),IF($H$3="(todos)",TRUE,'ORDENES'!$Z297=$H$3),'ORDENES'!$AG297=TRUE,'ORDENES'!$A297&lt;&gt;""),1,0)</f>
        <v/>
      </c>
      <c r="L301" s="24">
        <f>IF(K301=1,IFERROR(MATCH('ORDENES'!$S297,lista_dias,0),9)*1000000000+IFERROR(MATCH('ORDENES'!$AI297,lista_turnos,0),9)*10000000+IFERROR(MATCH('ORDENES'!$AH297,'TECNICOS'!$B$4:$B$19,0),99)*100000+294,9000000000000+294)</f>
        <v/>
      </c>
      <c r="M301" s="24">
        <f>IF(K301=1,SUMPRODUCT(--($L$8:$L$1207&lt;L301))+1,"")</f>
        <v/>
      </c>
      <c r="N301" s="25">
        <f>IF(K301=1,N('ORDENES'!$M297),0)</f>
        <v/>
      </c>
      <c r="O301" s="25">
        <f>IF('ORDENES'!$U297="preventiva",N301,0)</f>
        <v/>
      </c>
      <c r="P301" s="25">
        <f>IF('ORDENES'!$U297="correctiva",N301,0)</f>
        <v/>
      </c>
      <c r="Q301" s="24">
        <f>IF(AND(K301=1,'ORDENES'!$N297="Pendiente"),1,0)</f>
        <v/>
      </c>
      <c r="R301" s="24">
        <f>IF(Q301=1,100000-N301*1000+294*0.01,9000000000000+294)</f>
        <v/>
      </c>
      <c r="S301" s="24">
        <f>IF(Q301=1,SUMPRODUCT(--($R$8:$R$1207&lt;R301))+1,"")</f>
        <v/>
      </c>
      <c r="T301" s="30">
        <f>IF(K301=1,'ORDENES'!$J297,"")</f>
        <v/>
      </c>
    </row>
    <row r="302">
      <c r="K302" s="24">
        <f>IF(AND(IF($B$3="(todos)",TRUE,'ORDENES'!$O298=$B$3),IF($D$3="(todos)",TRUE,'ORDENES'!$AI298=$D$3),IF($F$3="(todos)",TRUE,'ORDENES'!$AA298=$F$3),IF($H$3="(todos)",TRUE,'ORDENES'!$Z298=$H$3),'ORDENES'!$AG298=TRUE,'ORDENES'!$A298&lt;&gt;""),1,0)</f>
        <v/>
      </c>
      <c r="L302" s="24">
        <f>IF(K302=1,IFERROR(MATCH('ORDENES'!$S298,lista_dias,0),9)*1000000000+IFERROR(MATCH('ORDENES'!$AI298,lista_turnos,0),9)*10000000+IFERROR(MATCH('ORDENES'!$AH298,'TECNICOS'!$B$4:$B$19,0),99)*100000+295,9000000000000+295)</f>
        <v/>
      </c>
      <c r="M302" s="24">
        <f>IF(K302=1,SUMPRODUCT(--($L$8:$L$1207&lt;L302))+1,"")</f>
        <v/>
      </c>
      <c r="N302" s="25">
        <f>IF(K302=1,N('ORDENES'!$M298),0)</f>
        <v/>
      </c>
      <c r="O302" s="25">
        <f>IF('ORDENES'!$U298="preventiva",N302,0)</f>
        <v/>
      </c>
      <c r="P302" s="25">
        <f>IF('ORDENES'!$U298="correctiva",N302,0)</f>
        <v/>
      </c>
      <c r="Q302" s="24">
        <f>IF(AND(K302=1,'ORDENES'!$N298="Pendiente"),1,0)</f>
        <v/>
      </c>
      <c r="R302" s="24">
        <f>IF(Q302=1,100000-N302*1000+295*0.01,9000000000000+295)</f>
        <v/>
      </c>
      <c r="S302" s="24">
        <f>IF(Q302=1,SUMPRODUCT(--($R$8:$R$1207&lt;R302))+1,"")</f>
        <v/>
      </c>
      <c r="T302" s="30">
        <f>IF(K302=1,'ORDENES'!$J298,"")</f>
        <v/>
      </c>
    </row>
    <row r="303">
      <c r="K303" s="24">
        <f>IF(AND(IF($B$3="(todos)",TRUE,'ORDENES'!$O299=$B$3),IF($D$3="(todos)",TRUE,'ORDENES'!$AI299=$D$3),IF($F$3="(todos)",TRUE,'ORDENES'!$AA299=$F$3),IF($H$3="(todos)",TRUE,'ORDENES'!$Z299=$H$3),'ORDENES'!$AG299=TRUE,'ORDENES'!$A299&lt;&gt;""),1,0)</f>
        <v/>
      </c>
      <c r="L303" s="24">
        <f>IF(K303=1,IFERROR(MATCH('ORDENES'!$S299,lista_dias,0),9)*1000000000+IFERROR(MATCH('ORDENES'!$AI299,lista_turnos,0),9)*10000000+IFERROR(MATCH('ORDENES'!$AH299,'TECNICOS'!$B$4:$B$19,0),99)*100000+296,9000000000000+296)</f>
        <v/>
      </c>
      <c r="M303" s="24">
        <f>IF(K303=1,SUMPRODUCT(--($L$8:$L$1207&lt;L303))+1,"")</f>
        <v/>
      </c>
      <c r="N303" s="25">
        <f>IF(K303=1,N('ORDENES'!$M299),0)</f>
        <v/>
      </c>
      <c r="O303" s="25">
        <f>IF('ORDENES'!$U299="preventiva",N303,0)</f>
        <v/>
      </c>
      <c r="P303" s="25">
        <f>IF('ORDENES'!$U299="correctiva",N303,0)</f>
        <v/>
      </c>
      <c r="Q303" s="24">
        <f>IF(AND(K303=1,'ORDENES'!$N299="Pendiente"),1,0)</f>
        <v/>
      </c>
      <c r="R303" s="24">
        <f>IF(Q303=1,100000-N303*1000+296*0.01,9000000000000+296)</f>
        <v/>
      </c>
      <c r="S303" s="24">
        <f>IF(Q303=1,SUMPRODUCT(--($R$8:$R$1207&lt;R303))+1,"")</f>
        <v/>
      </c>
      <c r="T303" s="30">
        <f>IF(K303=1,'ORDENES'!$J299,"")</f>
        <v/>
      </c>
    </row>
    <row r="304">
      <c r="K304" s="24">
        <f>IF(AND(IF($B$3="(todos)",TRUE,'ORDENES'!$O300=$B$3),IF($D$3="(todos)",TRUE,'ORDENES'!$AI300=$D$3),IF($F$3="(todos)",TRUE,'ORDENES'!$AA300=$F$3),IF($H$3="(todos)",TRUE,'ORDENES'!$Z300=$H$3),'ORDENES'!$AG300=TRUE,'ORDENES'!$A300&lt;&gt;""),1,0)</f>
        <v/>
      </c>
      <c r="L304" s="24">
        <f>IF(K304=1,IFERROR(MATCH('ORDENES'!$S300,lista_dias,0),9)*1000000000+IFERROR(MATCH('ORDENES'!$AI300,lista_turnos,0),9)*10000000+IFERROR(MATCH('ORDENES'!$AH300,'TECNICOS'!$B$4:$B$19,0),99)*100000+297,9000000000000+297)</f>
        <v/>
      </c>
      <c r="M304" s="24">
        <f>IF(K304=1,SUMPRODUCT(--($L$8:$L$1207&lt;L304))+1,"")</f>
        <v/>
      </c>
      <c r="N304" s="25">
        <f>IF(K304=1,N('ORDENES'!$M300),0)</f>
        <v/>
      </c>
      <c r="O304" s="25">
        <f>IF('ORDENES'!$U300="preventiva",N304,0)</f>
        <v/>
      </c>
      <c r="P304" s="25">
        <f>IF('ORDENES'!$U300="correctiva",N304,0)</f>
        <v/>
      </c>
      <c r="Q304" s="24">
        <f>IF(AND(K304=1,'ORDENES'!$N300="Pendiente"),1,0)</f>
        <v/>
      </c>
      <c r="R304" s="24">
        <f>IF(Q304=1,100000-N304*1000+297*0.01,9000000000000+297)</f>
        <v/>
      </c>
      <c r="S304" s="24">
        <f>IF(Q304=1,SUMPRODUCT(--($R$8:$R$1207&lt;R304))+1,"")</f>
        <v/>
      </c>
      <c r="T304" s="30">
        <f>IF(K304=1,'ORDENES'!$J300,"")</f>
        <v/>
      </c>
    </row>
    <row r="305">
      <c r="K305" s="24">
        <f>IF(AND(IF($B$3="(todos)",TRUE,'ORDENES'!$O301=$B$3),IF($D$3="(todos)",TRUE,'ORDENES'!$AI301=$D$3),IF($F$3="(todos)",TRUE,'ORDENES'!$AA301=$F$3),IF($H$3="(todos)",TRUE,'ORDENES'!$Z301=$H$3),'ORDENES'!$AG301=TRUE,'ORDENES'!$A301&lt;&gt;""),1,0)</f>
        <v/>
      </c>
      <c r="L305" s="24">
        <f>IF(K305=1,IFERROR(MATCH('ORDENES'!$S301,lista_dias,0),9)*1000000000+IFERROR(MATCH('ORDENES'!$AI301,lista_turnos,0),9)*10000000+IFERROR(MATCH('ORDENES'!$AH301,'TECNICOS'!$B$4:$B$19,0),99)*100000+298,9000000000000+298)</f>
        <v/>
      </c>
      <c r="M305" s="24">
        <f>IF(K305=1,SUMPRODUCT(--($L$8:$L$1207&lt;L305))+1,"")</f>
        <v/>
      </c>
      <c r="N305" s="25">
        <f>IF(K305=1,N('ORDENES'!$M301),0)</f>
        <v/>
      </c>
      <c r="O305" s="25">
        <f>IF('ORDENES'!$U301="preventiva",N305,0)</f>
        <v/>
      </c>
      <c r="P305" s="25">
        <f>IF('ORDENES'!$U301="correctiva",N305,0)</f>
        <v/>
      </c>
      <c r="Q305" s="24">
        <f>IF(AND(K305=1,'ORDENES'!$N301="Pendiente"),1,0)</f>
        <v/>
      </c>
      <c r="R305" s="24">
        <f>IF(Q305=1,100000-N305*1000+298*0.01,9000000000000+298)</f>
        <v/>
      </c>
      <c r="S305" s="24">
        <f>IF(Q305=1,SUMPRODUCT(--($R$8:$R$1207&lt;R305))+1,"")</f>
        <v/>
      </c>
      <c r="T305" s="30">
        <f>IF(K305=1,'ORDENES'!$J301,"")</f>
        <v/>
      </c>
    </row>
    <row r="306">
      <c r="K306" s="24">
        <f>IF(AND(IF($B$3="(todos)",TRUE,'ORDENES'!$O302=$B$3),IF($D$3="(todos)",TRUE,'ORDENES'!$AI302=$D$3),IF($F$3="(todos)",TRUE,'ORDENES'!$AA302=$F$3),IF($H$3="(todos)",TRUE,'ORDENES'!$Z302=$H$3),'ORDENES'!$AG302=TRUE,'ORDENES'!$A302&lt;&gt;""),1,0)</f>
        <v/>
      </c>
      <c r="L306" s="24">
        <f>IF(K306=1,IFERROR(MATCH('ORDENES'!$S302,lista_dias,0),9)*1000000000+IFERROR(MATCH('ORDENES'!$AI302,lista_turnos,0),9)*10000000+IFERROR(MATCH('ORDENES'!$AH302,'TECNICOS'!$B$4:$B$19,0),99)*100000+299,9000000000000+299)</f>
        <v/>
      </c>
      <c r="M306" s="24">
        <f>IF(K306=1,SUMPRODUCT(--($L$8:$L$1207&lt;L306))+1,"")</f>
        <v/>
      </c>
      <c r="N306" s="25">
        <f>IF(K306=1,N('ORDENES'!$M302),0)</f>
        <v/>
      </c>
      <c r="O306" s="25">
        <f>IF('ORDENES'!$U302="preventiva",N306,0)</f>
        <v/>
      </c>
      <c r="P306" s="25">
        <f>IF('ORDENES'!$U302="correctiva",N306,0)</f>
        <v/>
      </c>
      <c r="Q306" s="24">
        <f>IF(AND(K306=1,'ORDENES'!$N302="Pendiente"),1,0)</f>
        <v/>
      </c>
      <c r="R306" s="24">
        <f>IF(Q306=1,100000-N306*1000+299*0.01,9000000000000+299)</f>
        <v/>
      </c>
      <c r="S306" s="24">
        <f>IF(Q306=1,SUMPRODUCT(--($R$8:$R$1207&lt;R306))+1,"")</f>
        <v/>
      </c>
      <c r="T306" s="30">
        <f>IF(K306=1,'ORDENES'!$J302,"")</f>
        <v/>
      </c>
    </row>
    <row r="307">
      <c r="K307" s="24">
        <f>IF(AND(IF($B$3="(todos)",TRUE,'ORDENES'!$O303=$B$3),IF($D$3="(todos)",TRUE,'ORDENES'!$AI303=$D$3),IF($F$3="(todos)",TRUE,'ORDENES'!$AA303=$F$3),IF($H$3="(todos)",TRUE,'ORDENES'!$Z303=$H$3),'ORDENES'!$AG303=TRUE,'ORDENES'!$A303&lt;&gt;""),1,0)</f>
        <v/>
      </c>
      <c r="L307" s="24">
        <f>IF(K307=1,IFERROR(MATCH('ORDENES'!$S303,lista_dias,0),9)*1000000000+IFERROR(MATCH('ORDENES'!$AI303,lista_turnos,0),9)*10000000+IFERROR(MATCH('ORDENES'!$AH303,'TECNICOS'!$B$4:$B$19,0),99)*100000+300,9000000000000+300)</f>
        <v/>
      </c>
      <c r="M307" s="24">
        <f>IF(K307=1,SUMPRODUCT(--($L$8:$L$1207&lt;L307))+1,"")</f>
        <v/>
      </c>
      <c r="N307" s="25">
        <f>IF(K307=1,N('ORDENES'!$M303),0)</f>
        <v/>
      </c>
      <c r="O307" s="25">
        <f>IF('ORDENES'!$U303="preventiva",N307,0)</f>
        <v/>
      </c>
      <c r="P307" s="25">
        <f>IF('ORDENES'!$U303="correctiva",N307,0)</f>
        <v/>
      </c>
      <c r="Q307" s="24">
        <f>IF(AND(K307=1,'ORDENES'!$N303="Pendiente"),1,0)</f>
        <v/>
      </c>
      <c r="R307" s="24">
        <f>IF(Q307=1,100000-N307*1000+300*0.01,9000000000000+300)</f>
        <v/>
      </c>
      <c r="S307" s="24">
        <f>IF(Q307=1,SUMPRODUCT(--($R$8:$R$1207&lt;R307))+1,"")</f>
        <v/>
      </c>
      <c r="T307" s="30">
        <f>IF(K307=1,'ORDENES'!$J303,"")</f>
        <v/>
      </c>
    </row>
    <row r="308">
      <c r="K308" s="24">
        <f>IF(AND(IF($B$3="(todos)",TRUE,'ORDENES'!$O304=$B$3),IF($D$3="(todos)",TRUE,'ORDENES'!$AI304=$D$3),IF($F$3="(todos)",TRUE,'ORDENES'!$AA304=$F$3),IF($H$3="(todos)",TRUE,'ORDENES'!$Z304=$H$3),'ORDENES'!$AG304=TRUE,'ORDENES'!$A304&lt;&gt;""),1,0)</f>
        <v/>
      </c>
      <c r="L308" s="24">
        <f>IF(K308=1,IFERROR(MATCH('ORDENES'!$S304,lista_dias,0),9)*1000000000+IFERROR(MATCH('ORDENES'!$AI304,lista_turnos,0),9)*10000000+IFERROR(MATCH('ORDENES'!$AH304,'TECNICOS'!$B$4:$B$19,0),99)*100000+301,9000000000000+301)</f>
        <v/>
      </c>
      <c r="M308" s="24">
        <f>IF(K308=1,SUMPRODUCT(--($L$8:$L$1207&lt;L308))+1,"")</f>
        <v/>
      </c>
      <c r="N308" s="25">
        <f>IF(K308=1,N('ORDENES'!$M304),0)</f>
        <v/>
      </c>
      <c r="O308" s="25">
        <f>IF('ORDENES'!$U304="preventiva",N308,0)</f>
        <v/>
      </c>
      <c r="P308" s="25">
        <f>IF('ORDENES'!$U304="correctiva",N308,0)</f>
        <v/>
      </c>
      <c r="Q308" s="24">
        <f>IF(AND(K308=1,'ORDENES'!$N304="Pendiente"),1,0)</f>
        <v/>
      </c>
      <c r="R308" s="24">
        <f>IF(Q308=1,100000-N308*1000+301*0.01,9000000000000+301)</f>
        <v/>
      </c>
      <c r="S308" s="24">
        <f>IF(Q308=1,SUMPRODUCT(--($R$8:$R$1207&lt;R308))+1,"")</f>
        <v/>
      </c>
      <c r="T308" s="30">
        <f>IF(K308=1,'ORDENES'!$J304,"")</f>
        <v/>
      </c>
    </row>
    <row r="309">
      <c r="K309" s="24">
        <f>IF(AND(IF($B$3="(todos)",TRUE,'ORDENES'!$O305=$B$3),IF($D$3="(todos)",TRUE,'ORDENES'!$AI305=$D$3),IF($F$3="(todos)",TRUE,'ORDENES'!$AA305=$F$3),IF($H$3="(todos)",TRUE,'ORDENES'!$Z305=$H$3),'ORDENES'!$AG305=TRUE,'ORDENES'!$A305&lt;&gt;""),1,0)</f>
        <v/>
      </c>
      <c r="L309" s="24">
        <f>IF(K309=1,IFERROR(MATCH('ORDENES'!$S305,lista_dias,0),9)*1000000000+IFERROR(MATCH('ORDENES'!$AI305,lista_turnos,0),9)*10000000+IFERROR(MATCH('ORDENES'!$AH305,'TECNICOS'!$B$4:$B$19,0),99)*100000+302,9000000000000+302)</f>
        <v/>
      </c>
      <c r="M309" s="24">
        <f>IF(K309=1,SUMPRODUCT(--($L$8:$L$1207&lt;L309))+1,"")</f>
        <v/>
      </c>
      <c r="N309" s="25">
        <f>IF(K309=1,N('ORDENES'!$M305),0)</f>
        <v/>
      </c>
      <c r="O309" s="25">
        <f>IF('ORDENES'!$U305="preventiva",N309,0)</f>
        <v/>
      </c>
      <c r="P309" s="25">
        <f>IF('ORDENES'!$U305="correctiva",N309,0)</f>
        <v/>
      </c>
      <c r="Q309" s="24">
        <f>IF(AND(K309=1,'ORDENES'!$N305="Pendiente"),1,0)</f>
        <v/>
      </c>
      <c r="R309" s="24">
        <f>IF(Q309=1,100000-N309*1000+302*0.01,9000000000000+302)</f>
        <v/>
      </c>
      <c r="S309" s="24">
        <f>IF(Q309=1,SUMPRODUCT(--($R$8:$R$1207&lt;R309))+1,"")</f>
        <v/>
      </c>
      <c r="T309" s="30">
        <f>IF(K309=1,'ORDENES'!$J305,"")</f>
        <v/>
      </c>
    </row>
    <row r="310">
      <c r="K310" s="24">
        <f>IF(AND(IF($B$3="(todos)",TRUE,'ORDENES'!$O306=$B$3),IF($D$3="(todos)",TRUE,'ORDENES'!$AI306=$D$3),IF($F$3="(todos)",TRUE,'ORDENES'!$AA306=$F$3),IF($H$3="(todos)",TRUE,'ORDENES'!$Z306=$H$3),'ORDENES'!$AG306=TRUE,'ORDENES'!$A306&lt;&gt;""),1,0)</f>
        <v/>
      </c>
      <c r="L310" s="24">
        <f>IF(K310=1,IFERROR(MATCH('ORDENES'!$S306,lista_dias,0),9)*1000000000+IFERROR(MATCH('ORDENES'!$AI306,lista_turnos,0),9)*10000000+IFERROR(MATCH('ORDENES'!$AH306,'TECNICOS'!$B$4:$B$19,0),99)*100000+303,9000000000000+303)</f>
        <v/>
      </c>
      <c r="M310" s="24">
        <f>IF(K310=1,SUMPRODUCT(--($L$8:$L$1207&lt;L310))+1,"")</f>
        <v/>
      </c>
      <c r="N310" s="25">
        <f>IF(K310=1,N('ORDENES'!$M306),0)</f>
        <v/>
      </c>
      <c r="O310" s="25">
        <f>IF('ORDENES'!$U306="preventiva",N310,0)</f>
        <v/>
      </c>
      <c r="P310" s="25">
        <f>IF('ORDENES'!$U306="correctiva",N310,0)</f>
        <v/>
      </c>
      <c r="Q310" s="24">
        <f>IF(AND(K310=1,'ORDENES'!$N306="Pendiente"),1,0)</f>
        <v/>
      </c>
      <c r="R310" s="24">
        <f>IF(Q310=1,100000-N310*1000+303*0.01,9000000000000+303)</f>
        <v/>
      </c>
      <c r="S310" s="24">
        <f>IF(Q310=1,SUMPRODUCT(--($R$8:$R$1207&lt;R310))+1,"")</f>
        <v/>
      </c>
      <c r="T310" s="30">
        <f>IF(K310=1,'ORDENES'!$J306,"")</f>
        <v/>
      </c>
    </row>
    <row r="311">
      <c r="K311" s="24">
        <f>IF(AND(IF($B$3="(todos)",TRUE,'ORDENES'!$O307=$B$3),IF($D$3="(todos)",TRUE,'ORDENES'!$AI307=$D$3),IF($F$3="(todos)",TRUE,'ORDENES'!$AA307=$F$3),IF($H$3="(todos)",TRUE,'ORDENES'!$Z307=$H$3),'ORDENES'!$AG307=TRUE,'ORDENES'!$A307&lt;&gt;""),1,0)</f>
        <v/>
      </c>
      <c r="L311" s="24">
        <f>IF(K311=1,IFERROR(MATCH('ORDENES'!$S307,lista_dias,0),9)*1000000000+IFERROR(MATCH('ORDENES'!$AI307,lista_turnos,0),9)*10000000+IFERROR(MATCH('ORDENES'!$AH307,'TECNICOS'!$B$4:$B$19,0),99)*100000+304,9000000000000+304)</f>
        <v/>
      </c>
      <c r="M311" s="24">
        <f>IF(K311=1,SUMPRODUCT(--($L$8:$L$1207&lt;L311))+1,"")</f>
        <v/>
      </c>
      <c r="N311" s="25">
        <f>IF(K311=1,N('ORDENES'!$M307),0)</f>
        <v/>
      </c>
      <c r="O311" s="25">
        <f>IF('ORDENES'!$U307="preventiva",N311,0)</f>
        <v/>
      </c>
      <c r="P311" s="25">
        <f>IF('ORDENES'!$U307="correctiva",N311,0)</f>
        <v/>
      </c>
      <c r="Q311" s="24">
        <f>IF(AND(K311=1,'ORDENES'!$N307="Pendiente"),1,0)</f>
        <v/>
      </c>
      <c r="R311" s="24">
        <f>IF(Q311=1,100000-N311*1000+304*0.01,9000000000000+304)</f>
        <v/>
      </c>
      <c r="S311" s="24">
        <f>IF(Q311=1,SUMPRODUCT(--($R$8:$R$1207&lt;R311))+1,"")</f>
        <v/>
      </c>
      <c r="T311" s="30">
        <f>IF(K311=1,'ORDENES'!$J307,"")</f>
        <v/>
      </c>
    </row>
    <row r="312">
      <c r="K312" s="24">
        <f>IF(AND(IF($B$3="(todos)",TRUE,'ORDENES'!$O308=$B$3),IF($D$3="(todos)",TRUE,'ORDENES'!$AI308=$D$3),IF($F$3="(todos)",TRUE,'ORDENES'!$AA308=$F$3),IF($H$3="(todos)",TRUE,'ORDENES'!$Z308=$H$3),'ORDENES'!$AG308=TRUE,'ORDENES'!$A308&lt;&gt;""),1,0)</f>
        <v/>
      </c>
      <c r="L312" s="24">
        <f>IF(K312=1,IFERROR(MATCH('ORDENES'!$S308,lista_dias,0),9)*1000000000+IFERROR(MATCH('ORDENES'!$AI308,lista_turnos,0),9)*10000000+IFERROR(MATCH('ORDENES'!$AH308,'TECNICOS'!$B$4:$B$19,0),99)*100000+305,9000000000000+305)</f>
        <v/>
      </c>
      <c r="M312" s="24">
        <f>IF(K312=1,SUMPRODUCT(--($L$8:$L$1207&lt;L312))+1,"")</f>
        <v/>
      </c>
      <c r="N312" s="25">
        <f>IF(K312=1,N('ORDENES'!$M308),0)</f>
        <v/>
      </c>
      <c r="O312" s="25">
        <f>IF('ORDENES'!$U308="preventiva",N312,0)</f>
        <v/>
      </c>
      <c r="P312" s="25">
        <f>IF('ORDENES'!$U308="correctiva",N312,0)</f>
        <v/>
      </c>
      <c r="Q312" s="24">
        <f>IF(AND(K312=1,'ORDENES'!$N308="Pendiente"),1,0)</f>
        <v/>
      </c>
      <c r="R312" s="24">
        <f>IF(Q312=1,100000-N312*1000+305*0.01,9000000000000+305)</f>
        <v/>
      </c>
      <c r="S312" s="24">
        <f>IF(Q312=1,SUMPRODUCT(--($R$8:$R$1207&lt;R312))+1,"")</f>
        <v/>
      </c>
      <c r="T312" s="30">
        <f>IF(K312=1,'ORDENES'!$J308,"")</f>
        <v/>
      </c>
    </row>
    <row r="313">
      <c r="K313" s="24">
        <f>IF(AND(IF($B$3="(todos)",TRUE,'ORDENES'!$O309=$B$3),IF($D$3="(todos)",TRUE,'ORDENES'!$AI309=$D$3),IF($F$3="(todos)",TRUE,'ORDENES'!$AA309=$F$3),IF($H$3="(todos)",TRUE,'ORDENES'!$Z309=$H$3),'ORDENES'!$AG309=TRUE,'ORDENES'!$A309&lt;&gt;""),1,0)</f>
        <v/>
      </c>
      <c r="L313" s="24">
        <f>IF(K313=1,IFERROR(MATCH('ORDENES'!$S309,lista_dias,0),9)*1000000000+IFERROR(MATCH('ORDENES'!$AI309,lista_turnos,0),9)*10000000+IFERROR(MATCH('ORDENES'!$AH309,'TECNICOS'!$B$4:$B$19,0),99)*100000+306,9000000000000+306)</f>
        <v/>
      </c>
      <c r="M313" s="24">
        <f>IF(K313=1,SUMPRODUCT(--($L$8:$L$1207&lt;L313))+1,"")</f>
        <v/>
      </c>
      <c r="N313" s="25">
        <f>IF(K313=1,N('ORDENES'!$M309),0)</f>
        <v/>
      </c>
      <c r="O313" s="25">
        <f>IF('ORDENES'!$U309="preventiva",N313,0)</f>
        <v/>
      </c>
      <c r="P313" s="25">
        <f>IF('ORDENES'!$U309="correctiva",N313,0)</f>
        <v/>
      </c>
      <c r="Q313" s="24">
        <f>IF(AND(K313=1,'ORDENES'!$N309="Pendiente"),1,0)</f>
        <v/>
      </c>
      <c r="R313" s="24">
        <f>IF(Q313=1,100000-N313*1000+306*0.01,9000000000000+306)</f>
        <v/>
      </c>
      <c r="S313" s="24">
        <f>IF(Q313=1,SUMPRODUCT(--($R$8:$R$1207&lt;R313))+1,"")</f>
        <v/>
      </c>
      <c r="T313" s="30">
        <f>IF(K313=1,'ORDENES'!$J309,"")</f>
        <v/>
      </c>
    </row>
    <row r="314">
      <c r="K314" s="24">
        <f>IF(AND(IF($B$3="(todos)",TRUE,'ORDENES'!$O310=$B$3),IF($D$3="(todos)",TRUE,'ORDENES'!$AI310=$D$3),IF($F$3="(todos)",TRUE,'ORDENES'!$AA310=$F$3),IF($H$3="(todos)",TRUE,'ORDENES'!$Z310=$H$3),'ORDENES'!$AG310=TRUE,'ORDENES'!$A310&lt;&gt;""),1,0)</f>
        <v/>
      </c>
      <c r="L314" s="24">
        <f>IF(K314=1,IFERROR(MATCH('ORDENES'!$S310,lista_dias,0),9)*1000000000+IFERROR(MATCH('ORDENES'!$AI310,lista_turnos,0),9)*10000000+IFERROR(MATCH('ORDENES'!$AH310,'TECNICOS'!$B$4:$B$19,0),99)*100000+307,9000000000000+307)</f>
        <v/>
      </c>
      <c r="M314" s="24">
        <f>IF(K314=1,SUMPRODUCT(--($L$8:$L$1207&lt;L314))+1,"")</f>
        <v/>
      </c>
      <c r="N314" s="25">
        <f>IF(K314=1,N('ORDENES'!$M310),0)</f>
        <v/>
      </c>
      <c r="O314" s="25">
        <f>IF('ORDENES'!$U310="preventiva",N314,0)</f>
        <v/>
      </c>
      <c r="P314" s="25">
        <f>IF('ORDENES'!$U310="correctiva",N314,0)</f>
        <v/>
      </c>
      <c r="Q314" s="24">
        <f>IF(AND(K314=1,'ORDENES'!$N310="Pendiente"),1,0)</f>
        <v/>
      </c>
      <c r="R314" s="24">
        <f>IF(Q314=1,100000-N314*1000+307*0.01,9000000000000+307)</f>
        <v/>
      </c>
      <c r="S314" s="24">
        <f>IF(Q314=1,SUMPRODUCT(--($R$8:$R$1207&lt;R314))+1,"")</f>
        <v/>
      </c>
      <c r="T314" s="30">
        <f>IF(K314=1,'ORDENES'!$J310,"")</f>
        <v/>
      </c>
    </row>
    <row r="315">
      <c r="K315" s="24">
        <f>IF(AND(IF($B$3="(todos)",TRUE,'ORDENES'!$O311=$B$3),IF($D$3="(todos)",TRUE,'ORDENES'!$AI311=$D$3),IF($F$3="(todos)",TRUE,'ORDENES'!$AA311=$F$3),IF($H$3="(todos)",TRUE,'ORDENES'!$Z311=$H$3),'ORDENES'!$AG311=TRUE,'ORDENES'!$A311&lt;&gt;""),1,0)</f>
        <v/>
      </c>
      <c r="L315" s="24">
        <f>IF(K315=1,IFERROR(MATCH('ORDENES'!$S311,lista_dias,0),9)*1000000000+IFERROR(MATCH('ORDENES'!$AI311,lista_turnos,0),9)*10000000+IFERROR(MATCH('ORDENES'!$AH311,'TECNICOS'!$B$4:$B$19,0),99)*100000+308,9000000000000+308)</f>
        <v/>
      </c>
      <c r="M315" s="24">
        <f>IF(K315=1,SUMPRODUCT(--($L$8:$L$1207&lt;L315))+1,"")</f>
        <v/>
      </c>
      <c r="N315" s="25">
        <f>IF(K315=1,N('ORDENES'!$M311),0)</f>
        <v/>
      </c>
      <c r="O315" s="25">
        <f>IF('ORDENES'!$U311="preventiva",N315,0)</f>
        <v/>
      </c>
      <c r="P315" s="25">
        <f>IF('ORDENES'!$U311="correctiva",N315,0)</f>
        <v/>
      </c>
      <c r="Q315" s="24">
        <f>IF(AND(K315=1,'ORDENES'!$N311="Pendiente"),1,0)</f>
        <v/>
      </c>
      <c r="R315" s="24">
        <f>IF(Q315=1,100000-N315*1000+308*0.01,9000000000000+308)</f>
        <v/>
      </c>
      <c r="S315" s="24">
        <f>IF(Q315=1,SUMPRODUCT(--($R$8:$R$1207&lt;R315))+1,"")</f>
        <v/>
      </c>
      <c r="T315" s="30">
        <f>IF(K315=1,'ORDENES'!$J311,"")</f>
        <v/>
      </c>
    </row>
    <row r="316">
      <c r="K316" s="24">
        <f>IF(AND(IF($B$3="(todos)",TRUE,'ORDENES'!$O312=$B$3),IF($D$3="(todos)",TRUE,'ORDENES'!$AI312=$D$3),IF($F$3="(todos)",TRUE,'ORDENES'!$AA312=$F$3),IF($H$3="(todos)",TRUE,'ORDENES'!$Z312=$H$3),'ORDENES'!$AG312=TRUE,'ORDENES'!$A312&lt;&gt;""),1,0)</f>
        <v/>
      </c>
      <c r="L316" s="24">
        <f>IF(K316=1,IFERROR(MATCH('ORDENES'!$S312,lista_dias,0),9)*1000000000+IFERROR(MATCH('ORDENES'!$AI312,lista_turnos,0),9)*10000000+IFERROR(MATCH('ORDENES'!$AH312,'TECNICOS'!$B$4:$B$19,0),99)*100000+309,9000000000000+309)</f>
        <v/>
      </c>
      <c r="M316" s="24">
        <f>IF(K316=1,SUMPRODUCT(--($L$8:$L$1207&lt;L316))+1,"")</f>
        <v/>
      </c>
      <c r="N316" s="25">
        <f>IF(K316=1,N('ORDENES'!$M312),0)</f>
        <v/>
      </c>
      <c r="O316" s="25">
        <f>IF('ORDENES'!$U312="preventiva",N316,0)</f>
        <v/>
      </c>
      <c r="P316" s="25">
        <f>IF('ORDENES'!$U312="correctiva",N316,0)</f>
        <v/>
      </c>
      <c r="Q316" s="24">
        <f>IF(AND(K316=1,'ORDENES'!$N312="Pendiente"),1,0)</f>
        <v/>
      </c>
      <c r="R316" s="24">
        <f>IF(Q316=1,100000-N316*1000+309*0.01,9000000000000+309)</f>
        <v/>
      </c>
      <c r="S316" s="24">
        <f>IF(Q316=1,SUMPRODUCT(--($R$8:$R$1207&lt;R316))+1,"")</f>
        <v/>
      </c>
      <c r="T316" s="30">
        <f>IF(K316=1,'ORDENES'!$J312,"")</f>
        <v/>
      </c>
    </row>
    <row r="317">
      <c r="K317" s="24">
        <f>IF(AND(IF($B$3="(todos)",TRUE,'ORDENES'!$O313=$B$3),IF($D$3="(todos)",TRUE,'ORDENES'!$AI313=$D$3),IF($F$3="(todos)",TRUE,'ORDENES'!$AA313=$F$3),IF($H$3="(todos)",TRUE,'ORDENES'!$Z313=$H$3),'ORDENES'!$AG313=TRUE,'ORDENES'!$A313&lt;&gt;""),1,0)</f>
        <v/>
      </c>
      <c r="L317" s="24">
        <f>IF(K317=1,IFERROR(MATCH('ORDENES'!$S313,lista_dias,0),9)*1000000000+IFERROR(MATCH('ORDENES'!$AI313,lista_turnos,0),9)*10000000+IFERROR(MATCH('ORDENES'!$AH313,'TECNICOS'!$B$4:$B$19,0),99)*100000+310,9000000000000+310)</f>
        <v/>
      </c>
      <c r="M317" s="24">
        <f>IF(K317=1,SUMPRODUCT(--($L$8:$L$1207&lt;L317))+1,"")</f>
        <v/>
      </c>
      <c r="N317" s="25">
        <f>IF(K317=1,N('ORDENES'!$M313),0)</f>
        <v/>
      </c>
      <c r="O317" s="25">
        <f>IF('ORDENES'!$U313="preventiva",N317,0)</f>
        <v/>
      </c>
      <c r="P317" s="25">
        <f>IF('ORDENES'!$U313="correctiva",N317,0)</f>
        <v/>
      </c>
      <c r="Q317" s="24">
        <f>IF(AND(K317=1,'ORDENES'!$N313="Pendiente"),1,0)</f>
        <v/>
      </c>
      <c r="R317" s="24">
        <f>IF(Q317=1,100000-N317*1000+310*0.01,9000000000000+310)</f>
        <v/>
      </c>
      <c r="S317" s="24">
        <f>IF(Q317=1,SUMPRODUCT(--($R$8:$R$1207&lt;R317))+1,"")</f>
        <v/>
      </c>
      <c r="T317" s="30">
        <f>IF(K317=1,'ORDENES'!$J313,"")</f>
        <v/>
      </c>
    </row>
    <row r="318">
      <c r="K318" s="24">
        <f>IF(AND(IF($B$3="(todos)",TRUE,'ORDENES'!$O314=$B$3),IF($D$3="(todos)",TRUE,'ORDENES'!$AI314=$D$3),IF($F$3="(todos)",TRUE,'ORDENES'!$AA314=$F$3),IF($H$3="(todos)",TRUE,'ORDENES'!$Z314=$H$3),'ORDENES'!$AG314=TRUE,'ORDENES'!$A314&lt;&gt;""),1,0)</f>
        <v/>
      </c>
      <c r="L318" s="24">
        <f>IF(K318=1,IFERROR(MATCH('ORDENES'!$S314,lista_dias,0),9)*1000000000+IFERROR(MATCH('ORDENES'!$AI314,lista_turnos,0),9)*10000000+IFERROR(MATCH('ORDENES'!$AH314,'TECNICOS'!$B$4:$B$19,0),99)*100000+311,9000000000000+311)</f>
        <v/>
      </c>
      <c r="M318" s="24">
        <f>IF(K318=1,SUMPRODUCT(--($L$8:$L$1207&lt;L318))+1,"")</f>
        <v/>
      </c>
      <c r="N318" s="25">
        <f>IF(K318=1,N('ORDENES'!$M314),0)</f>
        <v/>
      </c>
      <c r="O318" s="25">
        <f>IF('ORDENES'!$U314="preventiva",N318,0)</f>
        <v/>
      </c>
      <c r="P318" s="25">
        <f>IF('ORDENES'!$U314="correctiva",N318,0)</f>
        <v/>
      </c>
      <c r="Q318" s="24">
        <f>IF(AND(K318=1,'ORDENES'!$N314="Pendiente"),1,0)</f>
        <v/>
      </c>
      <c r="R318" s="24">
        <f>IF(Q318=1,100000-N318*1000+311*0.01,9000000000000+311)</f>
        <v/>
      </c>
      <c r="S318" s="24">
        <f>IF(Q318=1,SUMPRODUCT(--($R$8:$R$1207&lt;R318))+1,"")</f>
        <v/>
      </c>
      <c r="T318" s="30">
        <f>IF(K318=1,'ORDENES'!$J314,"")</f>
        <v/>
      </c>
    </row>
    <row r="319">
      <c r="K319" s="24">
        <f>IF(AND(IF($B$3="(todos)",TRUE,'ORDENES'!$O315=$B$3),IF($D$3="(todos)",TRUE,'ORDENES'!$AI315=$D$3),IF($F$3="(todos)",TRUE,'ORDENES'!$AA315=$F$3),IF($H$3="(todos)",TRUE,'ORDENES'!$Z315=$H$3),'ORDENES'!$AG315=TRUE,'ORDENES'!$A315&lt;&gt;""),1,0)</f>
        <v/>
      </c>
      <c r="L319" s="24">
        <f>IF(K319=1,IFERROR(MATCH('ORDENES'!$S315,lista_dias,0),9)*1000000000+IFERROR(MATCH('ORDENES'!$AI315,lista_turnos,0),9)*10000000+IFERROR(MATCH('ORDENES'!$AH315,'TECNICOS'!$B$4:$B$19,0),99)*100000+312,9000000000000+312)</f>
        <v/>
      </c>
      <c r="M319" s="24">
        <f>IF(K319=1,SUMPRODUCT(--($L$8:$L$1207&lt;L319))+1,"")</f>
        <v/>
      </c>
      <c r="N319" s="25">
        <f>IF(K319=1,N('ORDENES'!$M315),0)</f>
        <v/>
      </c>
      <c r="O319" s="25">
        <f>IF('ORDENES'!$U315="preventiva",N319,0)</f>
        <v/>
      </c>
      <c r="P319" s="25">
        <f>IF('ORDENES'!$U315="correctiva",N319,0)</f>
        <v/>
      </c>
      <c r="Q319" s="24">
        <f>IF(AND(K319=1,'ORDENES'!$N315="Pendiente"),1,0)</f>
        <v/>
      </c>
      <c r="R319" s="24">
        <f>IF(Q319=1,100000-N319*1000+312*0.01,9000000000000+312)</f>
        <v/>
      </c>
      <c r="S319" s="24">
        <f>IF(Q319=1,SUMPRODUCT(--($R$8:$R$1207&lt;R319))+1,"")</f>
        <v/>
      </c>
      <c r="T319" s="30">
        <f>IF(K319=1,'ORDENES'!$J315,"")</f>
        <v/>
      </c>
    </row>
    <row r="320">
      <c r="K320" s="24">
        <f>IF(AND(IF($B$3="(todos)",TRUE,'ORDENES'!$O316=$B$3),IF($D$3="(todos)",TRUE,'ORDENES'!$AI316=$D$3),IF($F$3="(todos)",TRUE,'ORDENES'!$AA316=$F$3),IF($H$3="(todos)",TRUE,'ORDENES'!$Z316=$H$3),'ORDENES'!$AG316=TRUE,'ORDENES'!$A316&lt;&gt;""),1,0)</f>
        <v/>
      </c>
      <c r="L320" s="24">
        <f>IF(K320=1,IFERROR(MATCH('ORDENES'!$S316,lista_dias,0),9)*1000000000+IFERROR(MATCH('ORDENES'!$AI316,lista_turnos,0),9)*10000000+IFERROR(MATCH('ORDENES'!$AH316,'TECNICOS'!$B$4:$B$19,0),99)*100000+313,9000000000000+313)</f>
        <v/>
      </c>
      <c r="M320" s="24">
        <f>IF(K320=1,SUMPRODUCT(--($L$8:$L$1207&lt;L320))+1,"")</f>
        <v/>
      </c>
      <c r="N320" s="25">
        <f>IF(K320=1,N('ORDENES'!$M316),0)</f>
        <v/>
      </c>
      <c r="O320" s="25">
        <f>IF('ORDENES'!$U316="preventiva",N320,0)</f>
        <v/>
      </c>
      <c r="P320" s="25">
        <f>IF('ORDENES'!$U316="correctiva",N320,0)</f>
        <v/>
      </c>
      <c r="Q320" s="24">
        <f>IF(AND(K320=1,'ORDENES'!$N316="Pendiente"),1,0)</f>
        <v/>
      </c>
      <c r="R320" s="24">
        <f>IF(Q320=1,100000-N320*1000+313*0.01,9000000000000+313)</f>
        <v/>
      </c>
      <c r="S320" s="24">
        <f>IF(Q320=1,SUMPRODUCT(--($R$8:$R$1207&lt;R320))+1,"")</f>
        <v/>
      </c>
      <c r="T320" s="30">
        <f>IF(K320=1,'ORDENES'!$J316,"")</f>
        <v/>
      </c>
    </row>
    <row r="321">
      <c r="K321" s="24">
        <f>IF(AND(IF($B$3="(todos)",TRUE,'ORDENES'!$O317=$B$3),IF($D$3="(todos)",TRUE,'ORDENES'!$AI317=$D$3),IF($F$3="(todos)",TRUE,'ORDENES'!$AA317=$F$3),IF($H$3="(todos)",TRUE,'ORDENES'!$Z317=$H$3),'ORDENES'!$AG317=TRUE,'ORDENES'!$A317&lt;&gt;""),1,0)</f>
        <v/>
      </c>
      <c r="L321" s="24">
        <f>IF(K321=1,IFERROR(MATCH('ORDENES'!$S317,lista_dias,0),9)*1000000000+IFERROR(MATCH('ORDENES'!$AI317,lista_turnos,0),9)*10000000+IFERROR(MATCH('ORDENES'!$AH317,'TECNICOS'!$B$4:$B$19,0),99)*100000+314,9000000000000+314)</f>
        <v/>
      </c>
      <c r="M321" s="24">
        <f>IF(K321=1,SUMPRODUCT(--($L$8:$L$1207&lt;L321))+1,"")</f>
        <v/>
      </c>
      <c r="N321" s="25">
        <f>IF(K321=1,N('ORDENES'!$M317),0)</f>
        <v/>
      </c>
      <c r="O321" s="25">
        <f>IF('ORDENES'!$U317="preventiva",N321,0)</f>
        <v/>
      </c>
      <c r="P321" s="25">
        <f>IF('ORDENES'!$U317="correctiva",N321,0)</f>
        <v/>
      </c>
      <c r="Q321" s="24">
        <f>IF(AND(K321=1,'ORDENES'!$N317="Pendiente"),1,0)</f>
        <v/>
      </c>
      <c r="R321" s="24">
        <f>IF(Q321=1,100000-N321*1000+314*0.01,9000000000000+314)</f>
        <v/>
      </c>
      <c r="S321" s="24">
        <f>IF(Q321=1,SUMPRODUCT(--($R$8:$R$1207&lt;R321))+1,"")</f>
        <v/>
      </c>
      <c r="T321" s="30">
        <f>IF(K321=1,'ORDENES'!$J317,"")</f>
        <v/>
      </c>
    </row>
    <row r="322">
      <c r="K322" s="24">
        <f>IF(AND(IF($B$3="(todos)",TRUE,'ORDENES'!$O318=$B$3),IF($D$3="(todos)",TRUE,'ORDENES'!$AI318=$D$3),IF($F$3="(todos)",TRUE,'ORDENES'!$AA318=$F$3),IF($H$3="(todos)",TRUE,'ORDENES'!$Z318=$H$3),'ORDENES'!$AG318=TRUE,'ORDENES'!$A318&lt;&gt;""),1,0)</f>
        <v/>
      </c>
      <c r="L322" s="24">
        <f>IF(K322=1,IFERROR(MATCH('ORDENES'!$S318,lista_dias,0),9)*1000000000+IFERROR(MATCH('ORDENES'!$AI318,lista_turnos,0),9)*10000000+IFERROR(MATCH('ORDENES'!$AH318,'TECNICOS'!$B$4:$B$19,0),99)*100000+315,9000000000000+315)</f>
        <v/>
      </c>
      <c r="M322" s="24">
        <f>IF(K322=1,SUMPRODUCT(--($L$8:$L$1207&lt;L322))+1,"")</f>
        <v/>
      </c>
      <c r="N322" s="25">
        <f>IF(K322=1,N('ORDENES'!$M318),0)</f>
        <v/>
      </c>
      <c r="O322" s="25">
        <f>IF('ORDENES'!$U318="preventiva",N322,0)</f>
        <v/>
      </c>
      <c r="P322" s="25">
        <f>IF('ORDENES'!$U318="correctiva",N322,0)</f>
        <v/>
      </c>
      <c r="Q322" s="24">
        <f>IF(AND(K322=1,'ORDENES'!$N318="Pendiente"),1,0)</f>
        <v/>
      </c>
      <c r="R322" s="24">
        <f>IF(Q322=1,100000-N322*1000+315*0.01,9000000000000+315)</f>
        <v/>
      </c>
      <c r="S322" s="24">
        <f>IF(Q322=1,SUMPRODUCT(--($R$8:$R$1207&lt;R322))+1,"")</f>
        <v/>
      </c>
      <c r="T322" s="30">
        <f>IF(K322=1,'ORDENES'!$J318,"")</f>
        <v/>
      </c>
    </row>
    <row r="323">
      <c r="K323" s="24">
        <f>IF(AND(IF($B$3="(todos)",TRUE,'ORDENES'!$O319=$B$3),IF($D$3="(todos)",TRUE,'ORDENES'!$AI319=$D$3),IF($F$3="(todos)",TRUE,'ORDENES'!$AA319=$F$3),IF($H$3="(todos)",TRUE,'ORDENES'!$Z319=$H$3),'ORDENES'!$AG319=TRUE,'ORDENES'!$A319&lt;&gt;""),1,0)</f>
        <v/>
      </c>
      <c r="L323" s="24">
        <f>IF(K323=1,IFERROR(MATCH('ORDENES'!$S319,lista_dias,0),9)*1000000000+IFERROR(MATCH('ORDENES'!$AI319,lista_turnos,0),9)*10000000+IFERROR(MATCH('ORDENES'!$AH319,'TECNICOS'!$B$4:$B$19,0),99)*100000+316,9000000000000+316)</f>
        <v/>
      </c>
      <c r="M323" s="24">
        <f>IF(K323=1,SUMPRODUCT(--($L$8:$L$1207&lt;L323))+1,"")</f>
        <v/>
      </c>
      <c r="N323" s="25">
        <f>IF(K323=1,N('ORDENES'!$M319),0)</f>
        <v/>
      </c>
      <c r="O323" s="25">
        <f>IF('ORDENES'!$U319="preventiva",N323,0)</f>
        <v/>
      </c>
      <c r="P323" s="25">
        <f>IF('ORDENES'!$U319="correctiva",N323,0)</f>
        <v/>
      </c>
      <c r="Q323" s="24">
        <f>IF(AND(K323=1,'ORDENES'!$N319="Pendiente"),1,0)</f>
        <v/>
      </c>
      <c r="R323" s="24">
        <f>IF(Q323=1,100000-N323*1000+316*0.01,9000000000000+316)</f>
        <v/>
      </c>
      <c r="S323" s="24">
        <f>IF(Q323=1,SUMPRODUCT(--($R$8:$R$1207&lt;R323))+1,"")</f>
        <v/>
      </c>
      <c r="T323" s="30">
        <f>IF(K323=1,'ORDENES'!$J319,"")</f>
        <v/>
      </c>
    </row>
    <row r="324">
      <c r="K324" s="24">
        <f>IF(AND(IF($B$3="(todos)",TRUE,'ORDENES'!$O320=$B$3),IF($D$3="(todos)",TRUE,'ORDENES'!$AI320=$D$3),IF($F$3="(todos)",TRUE,'ORDENES'!$AA320=$F$3),IF($H$3="(todos)",TRUE,'ORDENES'!$Z320=$H$3),'ORDENES'!$AG320=TRUE,'ORDENES'!$A320&lt;&gt;""),1,0)</f>
        <v/>
      </c>
      <c r="L324" s="24">
        <f>IF(K324=1,IFERROR(MATCH('ORDENES'!$S320,lista_dias,0),9)*1000000000+IFERROR(MATCH('ORDENES'!$AI320,lista_turnos,0),9)*10000000+IFERROR(MATCH('ORDENES'!$AH320,'TECNICOS'!$B$4:$B$19,0),99)*100000+317,9000000000000+317)</f>
        <v/>
      </c>
      <c r="M324" s="24">
        <f>IF(K324=1,SUMPRODUCT(--($L$8:$L$1207&lt;L324))+1,"")</f>
        <v/>
      </c>
      <c r="N324" s="25">
        <f>IF(K324=1,N('ORDENES'!$M320),0)</f>
        <v/>
      </c>
      <c r="O324" s="25">
        <f>IF('ORDENES'!$U320="preventiva",N324,0)</f>
        <v/>
      </c>
      <c r="P324" s="25">
        <f>IF('ORDENES'!$U320="correctiva",N324,0)</f>
        <v/>
      </c>
      <c r="Q324" s="24">
        <f>IF(AND(K324=1,'ORDENES'!$N320="Pendiente"),1,0)</f>
        <v/>
      </c>
      <c r="R324" s="24">
        <f>IF(Q324=1,100000-N324*1000+317*0.01,9000000000000+317)</f>
        <v/>
      </c>
      <c r="S324" s="24">
        <f>IF(Q324=1,SUMPRODUCT(--($R$8:$R$1207&lt;R324))+1,"")</f>
        <v/>
      </c>
      <c r="T324" s="30">
        <f>IF(K324=1,'ORDENES'!$J320,"")</f>
        <v/>
      </c>
    </row>
    <row r="325">
      <c r="K325" s="24">
        <f>IF(AND(IF($B$3="(todos)",TRUE,'ORDENES'!$O321=$B$3),IF($D$3="(todos)",TRUE,'ORDENES'!$AI321=$D$3),IF($F$3="(todos)",TRUE,'ORDENES'!$AA321=$F$3),IF($H$3="(todos)",TRUE,'ORDENES'!$Z321=$H$3),'ORDENES'!$AG321=TRUE,'ORDENES'!$A321&lt;&gt;""),1,0)</f>
        <v/>
      </c>
      <c r="L325" s="24">
        <f>IF(K325=1,IFERROR(MATCH('ORDENES'!$S321,lista_dias,0),9)*1000000000+IFERROR(MATCH('ORDENES'!$AI321,lista_turnos,0),9)*10000000+IFERROR(MATCH('ORDENES'!$AH321,'TECNICOS'!$B$4:$B$19,0),99)*100000+318,9000000000000+318)</f>
        <v/>
      </c>
      <c r="M325" s="24">
        <f>IF(K325=1,SUMPRODUCT(--($L$8:$L$1207&lt;L325))+1,"")</f>
        <v/>
      </c>
      <c r="N325" s="25">
        <f>IF(K325=1,N('ORDENES'!$M321),0)</f>
        <v/>
      </c>
      <c r="O325" s="25">
        <f>IF('ORDENES'!$U321="preventiva",N325,0)</f>
        <v/>
      </c>
      <c r="P325" s="25">
        <f>IF('ORDENES'!$U321="correctiva",N325,0)</f>
        <v/>
      </c>
      <c r="Q325" s="24">
        <f>IF(AND(K325=1,'ORDENES'!$N321="Pendiente"),1,0)</f>
        <v/>
      </c>
      <c r="R325" s="24">
        <f>IF(Q325=1,100000-N325*1000+318*0.01,9000000000000+318)</f>
        <v/>
      </c>
      <c r="S325" s="24">
        <f>IF(Q325=1,SUMPRODUCT(--($R$8:$R$1207&lt;R325))+1,"")</f>
        <v/>
      </c>
      <c r="T325" s="30">
        <f>IF(K325=1,'ORDENES'!$J321,"")</f>
        <v/>
      </c>
    </row>
    <row r="326">
      <c r="K326" s="24">
        <f>IF(AND(IF($B$3="(todos)",TRUE,'ORDENES'!$O322=$B$3),IF($D$3="(todos)",TRUE,'ORDENES'!$AI322=$D$3),IF($F$3="(todos)",TRUE,'ORDENES'!$AA322=$F$3),IF($H$3="(todos)",TRUE,'ORDENES'!$Z322=$H$3),'ORDENES'!$AG322=TRUE,'ORDENES'!$A322&lt;&gt;""),1,0)</f>
        <v/>
      </c>
      <c r="L326" s="24">
        <f>IF(K326=1,IFERROR(MATCH('ORDENES'!$S322,lista_dias,0),9)*1000000000+IFERROR(MATCH('ORDENES'!$AI322,lista_turnos,0),9)*10000000+IFERROR(MATCH('ORDENES'!$AH322,'TECNICOS'!$B$4:$B$19,0),99)*100000+319,9000000000000+319)</f>
        <v/>
      </c>
      <c r="M326" s="24">
        <f>IF(K326=1,SUMPRODUCT(--($L$8:$L$1207&lt;L326))+1,"")</f>
        <v/>
      </c>
      <c r="N326" s="25">
        <f>IF(K326=1,N('ORDENES'!$M322),0)</f>
        <v/>
      </c>
      <c r="O326" s="25">
        <f>IF('ORDENES'!$U322="preventiva",N326,0)</f>
        <v/>
      </c>
      <c r="P326" s="25">
        <f>IF('ORDENES'!$U322="correctiva",N326,0)</f>
        <v/>
      </c>
      <c r="Q326" s="24">
        <f>IF(AND(K326=1,'ORDENES'!$N322="Pendiente"),1,0)</f>
        <v/>
      </c>
      <c r="R326" s="24">
        <f>IF(Q326=1,100000-N326*1000+319*0.01,9000000000000+319)</f>
        <v/>
      </c>
      <c r="S326" s="24">
        <f>IF(Q326=1,SUMPRODUCT(--($R$8:$R$1207&lt;R326))+1,"")</f>
        <v/>
      </c>
      <c r="T326" s="30">
        <f>IF(K326=1,'ORDENES'!$J322,"")</f>
        <v/>
      </c>
    </row>
    <row r="327">
      <c r="K327" s="24">
        <f>IF(AND(IF($B$3="(todos)",TRUE,'ORDENES'!$O323=$B$3),IF($D$3="(todos)",TRUE,'ORDENES'!$AI323=$D$3),IF($F$3="(todos)",TRUE,'ORDENES'!$AA323=$F$3),IF($H$3="(todos)",TRUE,'ORDENES'!$Z323=$H$3),'ORDENES'!$AG323=TRUE,'ORDENES'!$A323&lt;&gt;""),1,0)</f>
        <v/>
      </c>
      <c r="L327" s="24">
        <f>IF(K327=1,IFERROR(MATCH('ORDENES'!$S323,lista_dias,0),9)*1000000000+IFERROR(MATCH('ORDENES'!$AI323,lista_turnos,0),9)*10000000+IFERROR(MATCH('ORDENES'!$AH323,'TECNICOS'!$B$4:$B$19,0),99)*100000+320,9000000000000+320)</f>
        <v/>
      </c>
      <c r="M327" s="24">
        <f>IF(K327=1,SUMPRODUCT(--($L$8:$L$1207&lt;L327))+1,"")</f>
        <v/>
      </c>
      <c r="N327" s="25">
        <f>IF(K327=1,N('ORDENES'!$M323),0)</f>
        <v/>
      </c>
      <c r="O327" s="25">
        <f>IF('ORDENES'!$U323="preventiva",N327,0)</f>
        <v/>
      </c>
      <c r="P327" s="25">
        <f>IF('ORDENES'!$U323="correctiva",N327,0)</f>
        <v/>
      </c>
      <c r="Q327" s="24">
        <f>IF(AND(K327=1,'ORDENES'!$N323="Pendiente"),1,0)</f>
        <v/>
      </c>
      <c r="R327" s="24">
        <f>IF(Q327=1,100000-N327*1000+320*0.01,9000000000000+320)</f>
        <v/>
      </c>
      <c r="S327" s="24">
        <f>IF(Q327=1,SUMPRODUCT(--($R$8:$R$1207&lt;R327))+1,"")</f>
        <v/>
      </c>
      <c r="T327" s="30">
        <f>IF(K327=1,'ORDENES'!$J323,"")</f>
        <v/>
      </c>
    </row>
    <row r="328">
      <c r="K328" s="24">
        <f>IF(AND(IF($B$3="(todos)",TRUE,'ORDENES'!$O324=$B$3),IF($D$3="(todos)",TRUE,'ORDENES'!$AI324=$D$3),IF($F$3="(todos)",TRUE,'ORDENES'!$AA324=$F$3),IF($H$3="(todos)",TRUE,'ORDENES'!$Z324=$H$3),'ORDENES'!$AG324=TRUE,'ORDENES'!$A324&lt;&gt;""),1,0)</f>
        <v/>
      </c>
      <c r="L328" s="24">
        <f>IF(K328=1,IFERROR(MATCH('ORDENES'!$S324,lista_dias,0),9)*1000000000+IFERROR(MATCH('ORDENES'!$AI324,lista_turnos,0),9)*10000000+IFERROR(MATCH('ORDENES'!$AH324,'TECNICOS'!$B$4:$B$19,0),99)*100000+321,9000000000000+321)</f>
        <v/>
      </c>
      <c r="M328" s="24">
        <f>IF(K328=1,SUMPRODUCT(--($L$8:$L$1207&lt;L328))+1,"")</f>
        <v/>
      </c>
      <c r="N328" s="25">
        <f>IF(K328=1,N('ORDENES'!$M324),0)</f>
        <v/>
      </c>
      <c r="O328" s="25">
        <f>IF('ORDENES'!$U324="preventiva",N328,0)</f>
        <v/>
      </c>
      <c r="P328" s="25">
        <f>IF('ORDENES'!$U324="correctiva",N328,0)</f>
        <v/>
      </c>
      <c r="Q328" s="24">
        <f>IF(AND(K328=1,'ORDENES'!$N324="Pendiente"),1,0)</f>
        <v/>
      </c>
      <c r="R328" s="24">
        <f>IF(Q328=1,100000-N328*1000+321*0.01,9000000000000+321)</f>
        <v/>
      </c>
      <c r="S328" s="24">
        <f>IF(Q328=1,SUMPRODUCT(--($R$8:$R$1207&lt;R328))+1,"")</f>
        <v/>
      </c>
      <c r="T328" s="30">
        <f>IF(K328=1,'ORDENES'!$J324,"")</f>
        <v/>
      </c>
    </row>
    <row r="329">
      <c r="K329" s="24">
        <f>IF(AND(IF($B$3="(todos)",TRUE,'ORDENES'!$O325=$B$3),IF($D$3="(todos)",TRUE,'ORDENES'!$AI325=$D$3),IF($F$3="(todos)",TRUE,'ORDENES'!$AA325=$F$3),IF($H$3="(todos)",TRUE,'ORDENES'!$Z325=$H$3),'ORDENES'!$AG325=TRUE,'ORDENES'!$A325&lt;&gt;""),1,0)</f>
        <v/>
      </c>
      <c r="L329" s="24">
        <f>IF(K329=1,IFERROR(MATCH('ORDENES'!$S325,lista_dias,0),9)*1000000000+IFERROR(MATCH('ORDENES'!$AI325,lista_turnos,0),9)*10000000+IFERROR(MATCH('ORDENES'!$AH325,'TECNICOS'!$B$4:$B$19,0),99)*100000+322,9000000000000+322)</f>
        <v/>
      </c>
      <c r="M329" s="24">
        <f>IF(K329=1,SUMPRODUCT(--($L$8:$L$1207&lt;L329))+1,"")</f>
        <v/>
      </c>
      <c r="N329" s="25">
        <f>IF(K329=1,N('ORDENES'!$M325),0)</f>
        <v/>
      </c>
      <c r="O329" s="25">
        <f>IF('ORDENES'!$U325="preventiva",N329,0)</f>
        <v/>
      </c>
      <c r="P329" s="25">
        <f>IF('ORDENES'!$U325="correctiva",N329,0)</f>
        <v/>
      </c>
      <c r="Q329" s="24">
        <f>IF(AND(K329=1,'ORDENES'!$N325="Pendiente"),1,0)</f>
        <v/>
      </c>
      <c r="R329" s="24">
        <f>IF(Q329=1,100000-N329*1000+322*0.01,9000000000000+322)</f>
        <v/>
      </c>
      <c r="S329" s="24">
        <f>IF(Q329=1,SUMPRODUCT(--($R$8:$R$1207&lt;R329))+1,"")</f>
        <v/>
      </c>
      <c r="T329" s="30">
        <f>IF(K329=1,'ORDENES'!$J325,"")</f>
        <v/>
      </c>
    </row>
    <row r="330">
      <c r="K330" s="24">
        <f>IF(AND(IF($B$3="(todos)",TRUE,'ORDENES'!$O326=$B$3),IF($D$3="(todos)",TRUE,'ORDENES'!$AI326=$D$3),IF($F$3="(todos)",TRUE,'ORDENES'!$AA326=$F$3),IF($H$3="(todos)",TRUE,'ORDENES'!$Z326=$H$3),'ORDENES'!$AG326=TRUE,'ORDENES'!$A326&lt;&gt;""),1,0)</f>
        <v/>
      </c>
      <c r="L330" s="24">
        <f>IF(K330=1,IFERROR(MATCH('ORDENES'!$S326,lista_dias,0),9)*1000000000+IFERROR(MATCH('ORDENES'!$AI326,lista_turnos,0),9)*10000000+IFERROR(MATCH('ORDENES'!$AH326,'TECNICOS'!$B$4:$B$19,0),99)*100000+323,9000000000000+323)</f>
        <v/>
      </c>
      <c r="M330" s="24">
        <f>IF(K330=1,SUMPRODUCT(--($L$8:$L$1207&lt;L330))+1,"")</f>
        <v/>
      </c>
      <c r="N330" s="25">
        <f>IF(K330=1,N('ORDENES'!$M326),0)</f>
        <v/>
      </c>
      <c r="O330" s="25">
        <f>IF('ORDENES'!$U326="preventiva",N330,0)</f>
        <v/>
      </c>
      <c r="P330" s="25">
        <f>IF('ORDENES'!$U326="correctiva",N330,0)</f>
        <v/>
      </c>
      <c r="Q330" s="24">
        <f>IF(AND(K330=1,'ORDENES'!$N326="Pendiente"),1,0)</f>
        <v/>
      </c>
      <c r="R330" s="24">
        <f>IF(Q330=1,100000-N330*1000+323*0.01,9000000000000+323)</f>
        <v/>
      </c>
      <c r="S330" s="24">
        <f>IF(Q330=1,SUMPRODUCT(--($R$8:$R$1207&lt;R330))+1,"")</f>
        <v/>
      </c>
      <c r="T330" s="30">
        <f>IF(K330=1,'ORDENES'!$J326,"")</f>
        <v/>
      </c>
    </row>
    <row r="331">
      <c r="K331" s="24">
        <f>IF(AND(IF($B$3="(todos)",TRUE,'ORDENES'!$O327=$B$3),IF($D$3="(todos)",TRUE,'ORDENES'!$AI327=$D$3),IF($F$3="(todos)",TRUE,'ORDENES'!$AA327=$F$3),IF($H$3="(todos)",TRUE,'ORDENES'!$Z327=$H$3),'ORDENES'!$AG327=TRUE,'ORDENES'!$A327&lt;&gt;""),1,0)</f>
        <v/>
      </c>
      <c r="L331" s="24">
        <f>IF(K331=1,IFERROR(MATCH('ORDENES'!$S327,lista_dias,0),9)*1000000000+IFERROR(MATCH('ORDENES'!$AI327,lista_turnos,0),9)*10000000+IFERROR(MATCH('ORDENES'!$AH327,'TECNICOS'!$B$4:$B$19,0),99)*100000+324,9000000000000+324)</f>
        <v/>
      </c>
      <c r="M331" s="24">
        <f>IF(K331=1,SUMPRODUCT(--($L$8:$L$1207&lt;L331))+1,"")</f>
        <v/>
      </c>
      <c r="N331" s="25">
        <f>IF(K331=1,N('ORDENES'!$M327),0)</f>
        <v/>
      </c>
      <c r="O331" s="25">
        <f>IF('ORDENES'!$U327="preventiva",N331,0)</f>
        <v/>
      </c>
      <c r="P331" s="25">
        <f>IF('ORDENES'!$U327="correctiva",N331,0)</f>
        <v/>
      </c>
      <c r="Q331" s="24">
        <f>IF(AND(K331=1,'ORDENES'!$N327="Pendiente"),1,0)</f>
        <v/>
      </c>
      <c r="R331" s="24">
        <f>IF(Q331=1,100000-N331*1000+324*0.01,9000000000000+324)</f>
        <v/>
      </c>
      <c r="S331" s="24">
        <f>IF(Q331=1,SUMPRODUCT(--($R$8:$R$1207&lt;R331))+1,"")</f>
        <v/>
      </c>
      <c r="T331" s="30">
        <f>IF(K331=1,'ORDENES'!$J327,"")</f>
        <v/>
      </c>
    </row>
    <row r="332">
      <c r="K332" s="24">
        <f>IF(AND(IF($B$3="(todos)",TRUE,'ORDENES'!$O328=$B$3),IF($D$3="(todos)",TRUE,'ORDENES'!$AI328=$D$3),IF($F$3="(todos)",TRUE,'ORDENES'!$AA328=$F$3),IF($H$3="(todos)",TRUE,'ORDENES'!$Z328=$H$3),'ORDENES'!$AG328=TRUE,'ORDENES'!$A328&lt;&gt;""),1,0)</f>
        <v/>
      </c>
      <c r="L332" s="24">
        <f>IF(K332=1,IFERROR(MATCH('ORDENES'!$S328,lista_dias,0),9)*1000000000+IFERROR(MATCH('ORDENES'!$AI328,lista_turnos,0),9)*10000000+IFERROR(MATCH('ORDENES'!$AH328,'TECNICOS'!$B$4:$B$19,0),99)*100000+325,9000000000000+325)</f>
        <v/>
      </c>
      <c r="M332" s="24">
        <f>IF(K332=1,SUMPRODUCT(--($L$8:$L$1207&lt;L332))+1,"")</f>
        <v/>
      </c>
      <c r="N332" s="25">
        <f>IF(K332=1,N('ORDENES'!$M328),0)</f>
        <v/>
      </c>
      <c r="O332" s="25">
        <f>IF('ORDENES'!$U328="preventiva",N332,0)</f>
        <v/>
      </c>
      <c r="P332" s="25">
        <f>IF('ORDENES'!$U328="correctiva",N332,0)</f>
        <v/>
      </c>
      <c r="Q332" s="24">
        <f>IF(AND(K332=1,'ORDENES'!$N328="Pendiente"),1,0)</f>
        <v/>
      </c>
      <c r="R332" s="24">
        <f>IF(Q332=1,100000-N332*1000+325*0.01,9000000000000+325)</f>
        <v/>
      </c>
      <c r="S332" s="24">
        <f>IF(Q332=1,SUMPRODUCT(--($R$8:$R$1207&lt;R332))+1,"")</f>
        <v/>
      </c>
      <c r="T332" s="30">
        <f>IF(K332=1,'ORDENES'!$J328,"")</f>
        <v/>
      </c>
    </row>
    <row r="333">
      <c r="K333" s="24">
        <f>IF(AND(IF($B$3="(todos)",TRUE,'ORDENES'!$O329=$B$3),IF($D$3="(todos)",TRUE,'ORDENES'!$AI329=$D$3),IF($F$3="(todos)",TRUE,'ORDENES'!$AA329=$F$3),IF($H$3="(todos)",TRUE,'ORDENES'!$Z329=$H$3),'ORDENES'!$AG329=TRUE,'ORDENES'!$A329&lt;&gt;""),1,0)</f>
        <v/>
      </c>
      <c r="L333" s="24">
        <f>IF(K333=1,IFERROR(MATCH('ORDENES'!$S329,lista_dias,0),9)*1000000000+IFERROR(MATCH('ORDENES'!$AI329,lista_turnos,0),9)*10000000+IFERROR(MATCH('ORDENES'!$AH329,'TECNICOS'!$B$4:$B$19,0),99)*100000+326,9000000000000+326)</f>
        <v/>
      </c>
      <c r="M333" s="24">
        <f>IF(K333=1,SUMPRODUCT(--($L$8:$L$1207&lt;L333))+1,"")</f>
        <v/>
      </c>
      <c r="N333" s="25">
        <f>IF(K333=1,N('ORDENES'!$M329),0)</f>
        <v/>
      </c>
      <c r="O333" s="25">
        <f>IF('ORDENES'!$U329="preventiva",N333,0)</f>
        <v/>
      </c>
      <c r="P333" s="25">
        <f>IF('ORDENES'!$U329="correctiva",N333,0)</f>
        <v/>
      </c>
      <c r="Q333" s="24">
        <f>IF(AND(K333=1,'ORDENES'!$N329="Pendiente"),1,0)</f>
        <v/>
      </c>
      <c r="R333" s="24">
        <f>IF(Q333=1,100000-N333*1000+326*0.01,9000000000000+326)</f>
        <v/>
      </c>
      <c r="S333" s="24">
        <f>IF(Q333=1,SUMPRODUCT(--($R$8:$R$1207&lt;R333))+1,"")</f>
        <v/>
      </c>
      <c r="T333" s="30">
        <f>IF(K333=1,'ORDENES'!$J329,"")</f>
        <v/>
      </c>
    </row>
    <row r="334">
      <c r="K334" s="24">
        <f>IF(AND(IF($B$3="(todos)",TRUE,'ORDENES'!$O330=$B$3),IF($D$3="(todos)",TRUE,'ORDENES'!$AI330=$D$3),IF($F$3="(todos)",TRUE,'ORDENES'!$AA330=$F$3),IF($H$3="(todos)",TRUE,'ORDENES'!$Z330=$H$3),'ORDENES'!$AG330=TRUE,'ORDENES'!$A330&lt;&gt;""),1,0)</f>
        <v/>
      </c>
      <c r="L334" s="24">
        <f>IF(K334=1,IFERROR(MATCH('ORDENES'!$S330,lista_dias,0),9)*1000000000+IFERROR(MATCH('ORDENES'!$AI330,lista_turnos,0),9)*10000000+IFERROR(MATCH('ORDENES'!$AH330,'TECNICOS'!$B$4:$B$19,0),99)*100000+327,9000000000000+327)</f>
        <v/>
      </c>
      <c r="M334" s="24">
        <f>IF(K334=1,SUMPRODUCT(--($L$8:$L$1207&lt;L334))+1,"")</f>
        <v/>
      </c>
      <c r="N334" s="25">
        <f>IF(K334=1,N('ORDENES'!$M330),0)</f>
        <v/>
      </c>
      <c r="O334" s="25">
        <f>IF('ORDENES'!$U330="preventiva",N334,0)</f>
        <v/>
      </c>
      <c r="P334" s="25">
        <f>IF('ORDENES'!$U330="correctiva",N334,0)</f>
        <v/>
      </c>
      <c r="Q334" s="24">
        <f>IF(AND(K334=1,'ORDENES'!$N330="Pendiente"),1,0)</f>
        <v/>
      </c>
      <c r="R334" s="24">
        <f>IF(Q334=1,100000-N334*1000+327*0.01,9000000000000+327)</f>
        <v/>
      </c>
      <c r="S334" s="24">
        <f>IF(Q334=1,SUMPRODUCT(--($R$8:$R$1207&lt;R334))+1,"")</f>
        <v/>
      </c>
      <c r="T334" s="30">
        <f>IF(K334=1,'ORDENES'!$J330,"")</f>
        <v/>
      </c>
    </row>
    <row r="335">
      <c r="K335" s="24">
        <f>IF(AND(IF($B$3="(todos)",TRUE,'ORDENES'!$O331=$B$3),IF($D$3="(todos)",TRUE,'ORDENES'!$AI331=$D$3),IF($F$3="(todos)",TRUE,'ORDENES'!$AA331=$F$3),IF($H$3="(todos)",TRUE,'ORDENES'!$Z331=$H$3),'ORDENES'!$AG331=TRUE,'ORDENES'!$A331&lt;&gt;""),1,0)</f>
        <v/>
      </c>
      <c r="L335" s="24">
        <f>IF(K335=1,IFERROR(MATCH('ORDENES'!$S331,lista_dias,0),9)*1000000000+IFERROR(MATCH('ORDENES'!$AI331,lista_turnos,0),9)*10000000+IFERROR(MATCH('ORDENES'!$AH331,'TECNICOS'!$B$4:$B$19,0),99)*100000+328,9000000000000+328)</f>
        <v/>
      </c>
      <c r="M335" s="24">
        <f>IF(K335=1,SUMPRODUCT(--($L$8:$L$1207&lt;L335))+1,"")</f>
        <v/>
      </c>
      <c r="N335" s="25">
        <f>IF(K335=1,N('ORDENES'!$M331),0)</f>
        <v/>
      </c>
      <c r="O335" s="25">
        <f>IF('ORDENES'!$U331="preventiva",N335,0)</f>
        <v/>
      </c>
      <c r="P335" s="25">
        <f>IF('ORDENES'!$U331="correctiva",N335,0)</f>
        <v/>
      </c>
      <c r="Q335" s="24">
        <f>IF(AND(K335=1,'ORDENES'!$N331="Pendiente"),1,0)</f>
        <v/>
      </c>
      <c r="R335" s="24">
        <f>IF(Q335=1,100000-N335*1000+328*0.01,9000000000000+328)</f>
        <v/>
      </c>
      <c r="S335" s="24">
        <f>IF(Q335=1,SUMPRODUCT(--($R$8:$R$1207&lt;R335))+1,"")</f>
        <v/>
      </c>
      <c r="T335" s="30">
        <f>IF(K335=1,'ORDENES'!$J331,"")</f>
        <v/>
      </c>
    </row>
    <row r="336">
      <c r="K336" s="24">
        <f>IF(AND(IF($B$3="(todos)",TRUE,'ORDENES'!$O332=$B$3),IF($D$3="(todos)",TRUE,'ORDENES'!$AI332=$D$3),IF($F$3="(todos)",TRUE,'ORDENES'!$AA332=$F$3),IF($H$3="(todos)",TRUE,'ORDENES'!$Z332=$H$3),'ORDENES'!$AG332=TRUE,'ORDENES'!$A332&lt;&gt;""),1,0)</f>
        <v/>
      </c>
      <c r="L336" s="24">
        <f>IF(K336=1,IFERROR(MATCH('ORDENES'!$S332,lista_dias,0),9)*1000000000+IFERROR(MATCH('ORDENES'!$AI332,lista_turnos,0),9)*10000000+IFERROR(MATCH('ORDENES'!$AH332,'TECNICOS'!$B$4:$B$19,0),99)*100000+329,9000000000000+329)</f>
        <v/>
      </c>
      <c r="M336" s="24">
        <f>IF(K336=1,SUMPRODUCT(--($L$8:$L$1207&lt;L336))+1,"")</f>
        <v/>
      </c>
      <c r="N336" s="25">
        <f>IF(K336=1,N('ORDENES'!$M332),0)</f>
        <v/>
      </c>
      <c r="O336" s="25">
        <f>IF('ORDENES'!$U332="preventiva",N336,0)</f>
        <v/>
      </c>
      <c r="P336" s="25">
        <f>IF('ORDENES'!$U332="correctiva",N336,0)</f>
        <v/>
      </c>
      <c r="Q336" s="24">
        <f>IF(AND(K336=1,'ORDENES'!$N332="Pendiente"),1,0)</f>
        <v/>
      </c>
      <c r="R336" s="24">
        <f>IF(Q336=1,100000-N336*1000+329*0.01,9000000000000+329)</f>
        <v/>
      </c>
      <c r="S336" s="24">
        <f>IF(Q336=1,SUMPRODUCT(--($R$8:$R$1207&lt;R336))+1,"")</f>
        <v/>
      </c>
      <c r="T336" s="30">
        <f>IF(K336=1,'ORDENES'!$J332,"")</f>
        <v/>
      </c>
    </row>
    <row r="337">
      <c r="K337" s="24">
        <f>IF(AND(IF($B$3="(todos)",TRUE,'ORDENES'!$O333=$B$3),IF($D$3="(todos)",TRUE,'ORDENES'!$AI333=$D$3),IF($F$3="(todos)",TRUE,'ORDENES'!$AA333=$F$3),IF($H$3="(todos)",TRUE,'ORDENES'!$Z333=$H$3),'ORDENES'!$AG333=TRUE,'ORDENES'!$A333&lt;&gt;""),1,0)</f>
        <v/>
      </c>
      <c r="L337" s="24">
        <f>IF(K337=1,IFERROR(MATCH('ORDENES'!$S333,lista_dias,0),9)*1000000000+IFERROR(MATCH('ORDENES'!$AI333,lista_turnos,0),9)*10000000+IFERROR(MATCH('ORDENES'!$AH333,'TECNICOS'!$B$4:$B$19,0),99)*100000+330,9000000000000+330)</f>
        <v/>
      </c>
      <c r="M337" s="24">
        <f>IF(K337=1,SUMPRODUCT(--($L$8:$L$1207&lt;L337))+1,"")</f>
        <v/>
      </c>
      <c r="N337" s="25">
        <f>IF(K337=1,N('ORDENES'!$M333),0)</f>
        <v/>
      </c>
      <c r="O337" s="25">
        <f>IF('ORDENES'!$U333="preventiva",N337,0)</f>
        <v/>
      </c>
      <c r="P337" s="25">
        <f>IF('ORDENES'!$U333="correctiva",N337,0)</f>
        <v/>
      </c>
      <c r="Q337" s="24">
        <f>IF(AND(K337=1,'ORDENES'!$N333="Pendiente"),1,0)</f>
        <v/>
      </c>
      <c r="R337" s="24">
        <f>IF(Q337=1,100000-N337*1000+330*0.01,9000000000000+330)</f>
        <v/>
      </c>
      <c r="S337" s="24">
        <f>IF(Q337=1,SUMPRODUCT(--($R$8:$R$1207&lt;R337))+1,"")</f>
        <v/>
      </c>
      <c r="T337" s="30">
        <f>IF(K337=1,'ORDENES'!$J333,"")</f>
        <v/>
      </c>
    </row>
    <row r="338">
      <c r="K338" s="24">
        <f>IF(AND(IF($B$3="(todos)",TRUE,'ORDENES'!$O334=$B$3),IF($D$3="(todos)",TRUE,'ORDENES'!$AI334=$D$3),IF($F$3="(todos)",TRUE,'ORDENES'!$AA334=$F$3),IF($H$3="(todos)",TRUE,'ORDENES'!$Z334=$H$3),'ORDENES'!$AG334=TRUE,'ORDENES'!$A334&lt;&gt;""),1,0)</f>
        <v/>
      </c>
      <c r="L338" s="24">
        <f>IF(K338=1,IFERROR(MATCH('ORDENES'!$S334,lista_dias,0),9)*1000000000+IFERROR(MATCH('ORDENES'!$AI334,lista_turnos,0),9)*10000000+IFERROR(MATCH('ORDENES'!$AH334,'TECNICOS'!$B$4:$B$19,0),99)*100000+331,9000000000000+331)</f>
        <v/>
      </c>
      <c r="M338" s="24">
        <f>IF(K338=1,SUMPRODUCT(--($L$8:$L$1207&lt;L338))+1,"")</f>
        <v/>
      </c>
      <c r="N338" s="25">
        <f>IF(K338=1,N('ORDENES'!$M334),0)</f>
        <v/>
      </c>
      <c r="O338" s="25">
        <f>IF('ORDENES'!$U334="preventiva",N338,0)</f>
        <v/>
      </c>
      <c r="P338" s="25">
        <f>IF('ORDENES'!$U334="correctiva",N338,0)</f>
        <v/>
      </c>
      <c r="Q338" s="24">
        <f>IF(AND(K338=1,'ORDENES'!$N334="Pendiente"),1,0)</f>
        <v/>
      </c>
      <c r="R338" s="24">
        <f>IF(Q338=1,100000-N338*1000+331*0.01,9000000000000+331)</f>
        <v/>
      </c>
      <c r="S338" s="24">
        <f>IF(Q338=1,SUMPRODUCT(--($R$8:$R$1207&lt;R338))+1,"")</f>
        <v/>
      </c>
      <c r="T338" s="30">
        <f>IF(K338=1,'ORDENES'!$J334,"")</f>
        <v/>
      </c>
    </row>
    <row r="339">
      <c r="K339" s="24">
        <f>IF(AND(IF($B$3="(todos)",TRUE,'ORDENES'!$O335=$B$3),IF($D$3="(todos)",TRUE,'ORDENES'!$AI335=$D$3),IF($F$3="(todos)",TRUE,'ORDENES'!$AA335=$F$3),IF($H$3="(todos)",TRUE,'ORDENES'!$Z335=$H$3),'ORDENES'!$AG335=TRUE,'ORDENES'!$A335&lt;&gt;""),1,0)</f>
        <v/>
      </c>
      <c r="L339" s="24">
        <f>IF(K339=1,IFERROR(MATCH('ORDENES'!$S335,lista_dias,0),9)*1000000000+IFERROR(MATCH('ORDENES'!$AI335,lista_turnos,0),9)*10000000+IFERROR(MATCH('ORDENES'!$AH335,'TECNICOS'!$B$4:$B$19,0),99)*100000+332,9000000000000+332)</f>
        <v/>
      </c>
      <c r="M339" s="24">
        <f>IF(K339=1,SUMPRODUCT(--($L$8:$L$1207&lt;L339))+1,"")</f>
        <v/>
      </c>
      <c r="N339" s="25">
        <f>IF(K339=1,N('ORDENES'!$M335),0)</f>
        <v/>
      </c>
      <c r="O339" s="25">
        <f>IF('ORDENES'!$U335="preventiva",N339,0)</f>
        <v/>
      </c>
      <c r="P339" s="25">
        <f>IF('ORDENES'!$U335="correctiva",N339,0)</f>
        <v/>
      </c>
      <c r="Q339" s="24">
        <f>IF(AND(K339=1,'ORDENES'!$N335="Pendiente"),1,0)</f>
        <v/>
      </c>
      <c r="R339" s="24">
        <f>IF(Q339=1,100000-N339*1000+332*0.01,9000000000000+332)</f>
        <v/>
      </c>
      <c r="S339" s="24">
        <f>IF(Q339=1,SUMPRODUCT(--($R$8:$R$1207&lt;R339))+1,"")</f>
        <v/>
      </c>
      <c r="T339" s="30">
        <f>IF(K339=1,'ORDENES'!$J335,"")</f>
        <v/>
      </c>
    </row>
    <row r="340">
      <c r="K340" s="24">
        <f>IF(AND(IF($B$3="(todos)",TRUE,'ORDENES'!$O336=$B$3),IF($D$3="(todos)",TRUE,'ORDENES'!$AI336=$D$3),IF($F$3="(todos)",TRUE,'ORDENES'!$AA336=$F$3),IF($H$3="(todos)",TRUE,'ORDENES'!$Z336=$H$3),'ORDENES'!$AG336=TRUE,'ORDENES'!$A336&lt;&gt;""),1,0)</f>
        <v/>
      </c>
      <c r="L340" s="24">
        <f>IF(K340=1,IFERROR(MATCH('ORDENES'!$S336,lista_dias,0),9)*1000000000+IFERROR(MATCH('ORDENES'!$AI336,lista_turnos,0),9)*10000000+IFERROR(MATCH('ORDENES'!$AH336,'TECNICOS'!$B$4:$B$19,0),99)*100000+333,9000000000000+333)</f>
        <v/>
      </c>
      <c r="M340" s="24">
        <f>IF(K340=1,SUMPRODUCT(--($L$8:$L$1207&lt;L340))+1,"")</f>
        <v/>
      </c>
      <c r="N340" s="25">
        <f>IF(K340=1,N('ORDENES'!$M336),0)</f>
        <v/>
      </c>
      <c r="O340" s="25">
        <f>IF('ORDENES'!$U336="preventiva",N340,0)</f>
        <v/>
      </c>
      <c r="P340" s="25">
        <f>IF('ORDENES'!$U336="correctiva",N340,0)</f>
        <v/>
      </c>
      <c r="Q340" s="24">
        <f>IF(AND(K340=1,'ORDENES'!$N336="Pendiente"),1,0)</f>
        <v/>
      </c>
      <c r="R340" s="24">
        <f>IF(Q340=1,100000-N340*1000+333*0.01,9000000000000+333)</f>
        <v/>
      </c>
      <c r="S340" s="24">
        <f>IF(Q340=1,SUMPRODUCT(--($R$8:$R$1207&lt;R340))+1,"")</f>
        <v/>
      </c>
      <c r="T340" s="30">
        <f>IF(K340=1,'ORDENES'!$J336,"")</f>
        <v/>
      </c>
    </row>
    <row r="341">
      <c r="K341" s="24">
        <f>IF(AND(IF($B$3="(todos)",TRUE,'ORDENES'!$O337=$B$3),IF($D$3="(todos)",TRUE,'ORDENES'!$AI337=$D$3),IF($F$3="(todos)",TRUE,'ORDENES'!$AA337=$F$3),IF($H$3="(todos)",TRUE,'ORDENES'!$Z337=$H$3),'ORDENES'!$AG337=TRUE,'ORDENES'!$A337&lt;&gt;""),1,0)</f>
        <v/>
      </c>
      <c r="L341" s="24">
        <f>IF(K341=1,IFERROR(MATCH('ORDENES'!$S337,lista_dias,0),9)*1000000000+IFERROR(MATCH('ORDENES'!$AI337,lista_turnos,0),9)*10000000+IFERROR(MATCH('ORDENES'!$AH337,'TECNICOS'!$B$4:$B$19,0),99)*100000+334,9000000000000+334)</f>
        <v/>
      </c>
      <c r="M341" s="24">
        <f>IF(K341=1,SUMPRODUCT(--($L$8:$L$1207&lt;L341))+1,"")</f>
        <v/>
      </c>
      <c r="N341" s="25">
        <f>IF(K341=1,N('ORDENES'!$M337),0)</f>
        <v/>
      </c>
      <c r="O341" s="25">
        <f>IF('ORDENES'!$U337="preventiva",N341,0)</f>
        <v/>
      </c>
      <c r="P341" s="25">
        <f>IF('ORDENES'!$U337="correctiva",N341,0)</f>
        <v/>
      </c>
      <c r="Q341" s="24">
        <f>IF(AND(K341=1,'ORDENES'!$N337="Pendiente"),1,0)</f>
        <v/>
      </c>
      <c r="R341" s="24">
        <f>IF(Q341=1,100000-N341*1000+334*0.01,9000000000000+334)</f>
        <v/>
      </c>
      <c r="S341" s="24">
        <f>IF(Q341=1,SUMPRODUCT(--($R$8:$R$1207&lt;R341))+1,"")</f>
        <v/>
      </c>
      <c r="T341" s="30">
        <f>IF(K341=1,'ORDENES'!$J337,"")</f>
        <v/>
      </c>
    </row>
    <row r="342">
      <c r="K342" s="24">
        <f>IF(AND(IF($B$3="(todos)",TRUE,'ORDENES'!$O338=$B$3),IF($D$3="(todos)",TRUE,'ORDENES'!$AI338=$D$3),IF($F$3="(todos)",TRUE,'ORDENES'!$AA338=$F$3),IF($H$3="(todos)",TRUE,'ORDENES'!$Z338=$H$3),'ORDENES'!$AG338=TRUE,'ORDENES'!$A338&lt;&gt;""),1,0)</f>
        <v/>
      </c>
      <c r="L342" s="24">
        <f>IF(K342=1,IFERROR(MATCH('ORDENES'!$S338,lista_dias,0),9)*1000000000+IFERROR(MATCH('ORDENES'!$AI338,lista_turnos,0),9)*10000000+IFERROR(MATCH('ORDENES'!$AH338,'TECNICOS'!$B$4:$B$19,0),99)*100000+335,9000000000000+335)</f>
        <v/>
      </c>
      <c r="M342" s="24">
        <f>IF(K342=1,SUMPRODUCT(--($L$8:$L$1207&lt;L342))+1,"")</f>
        <v/>
      </c>
      <c r="N342" s="25">
        <f>IF(K342=1,N('ORDENES'!$M338),0)</f>
        <v/>
      </c>
      <c r="O342" s="25">
        <f>IF('ORDENES'!$U338="preventiva",N342,0)</f>
        <v/>
      </c>
      <c r="P342" s="25">
        <f>IF('ORDENES'!$U338="correctiva",N342,0)</f>
        <v/>
      </c>
      <c r="Q342" s="24">
        <f>IF(AND(K342=1,'ORDENES'!$N338="Pendiente"),1,0)</f>
        <v/>
      </c>
      <c r="R342" s="24">
        <f>IF(Q342=1,100000-N342*1000+335*0.01,9000000000000+335)</f>
        <v/>
      </c>
      <c r="S342" s="24">
        <f>IF(Q342=1,SUMPRODUCT(--($R$8:$R$1207&lt;R342))+1,"")</f>
        <v/>
      </c>
      <c r="T342" s="30">
        <f>IF(K342=1,'ORDENES'!$J338,"")</f>
        <v/>
      </c>
    </row>
    <row r="343">
      <c r="K343" s="24">
        <f>IF(AND(IF($B$3="(todos)",TRUE,'ORDENES'!$O339=$B$3),IF($D$3="(todos)",TRUE,'ORDENES'!$AI339=$D$3),IF($F$3="(todos)",TRUE,'ORDENES'!$AA339=$F$3),IF($H$3="(todos)",TRUE,'ORDENES'!$Z339=$H$3),'ORDENES'!$AG339=TRUE,'ORDENES'!$A339&lt;&gt;""),1,0)</f>
        <v/>
      </c>
      <c r="L343" s="24">
        <f>IF(K343=1,IFERROR(MATCH('ORDENES'!$S339,lista_dias,0),9)*1000000000+IFERROR(MATCH('ORDENES'!$AI339,lista_turnos,0),9)*10000000+IFERROR(MATCH('ORDENES'!$AH339,'TECNICOS'!$B$4:$B$19,0),99)*100000+336,9000000000000+336)</f>
        <v/>
      </c>
      <c r="M343" s="24">
        <f>IF(K343=1,SUMPRODUCT(--($L$8:$L$1207&lt;L343))+1,"")</f>
        <v/>
      </c>
      <c r="N343" s="25">
        <f>IF(K343=1,N('ORDENES'!$M339),0)</f>
        <v/>
      </c>
      <c r="O343" s="25">
        <f>IF('ORDENES'!$U339="preventiva",N343,0)</f>
        <v/>
      </c>
      <c r="P343" s="25">
        <f>IF('ORDENES'!$U339="correctiva",N343,0)</f>
        <v/>
      </c>
      <c r="Q343" s="24">
        <f>IF(AND(K343=1,'ORDENES'!$N339="Pendiente"),1,0)</f>
        <v/>
      </c>
      <c r="R343" s="24">
        <f>IF(Q343=1,100000-N343*1000+336*0.01,9000000000000+336)</f>
        <v/>
      </c>
      <c r="S343" s="24">
        <f>IF(Q343=1,SUMPRODUCT(--($R$8:$R$1207&lt;R343))+1,"")</f>
        <v/>
      </c>
      <c r="T343" s="30">
        <f>IF(K343=1,'ORDENES'!$J339,"")</f>
        <v/>
      </c>
    </row>
    <row r="344">
      <c r="K344" s="24">
        <f>IF(AND(IF($B$3="(todos)",TRUE,'ORDENES'!$O340=$B$3),IF($D$3="(todos)",TRUE,'ORDENES'!$AI340=$D$3),IF($F$3="(todos)",TRUE,'ORDENES'!$AA340=$F$3),IF($H$3="(todos)",TRUE,'ORDENES'!$Z340=$H$3),'ORDENES'!$AG340=TRUE,'ORDENES'!$A340&lt;&gt;""),1,0)</f>
        <v/>
      </c>
      <c r="L344" s="24">
        <f>IF(K344=1,IFERROR(MATCH('ORDENES'!$S340,lista_dias,0),9)*1000000000+IFERROR(MATCH('ORDENES'!$AI340,lista_turnos,0),9)*10000000+IFERROR(MATCH('ORDENES'!$AH340,'TECNICOS'!$B$4:$B$19,0),99)*100000+337,9000000000000+337)</f>
        <v/>
      </c>
      <c r="M344" s="24">
        <f>IF(K344=1,SUMPRODUCT(--($L$8:$L$1207&lt;L344))+1,"")</f>
        <v/>
      </c>
      <c r="N344" s="25">
        <f>IF(K344=1,N('ORDENES'!$M340),0)</f>
        <v/>
      </c>
      <c r="O344" s="25">
        <f>IF('ORDENES'!$U340="preventiva",N344,0)</f>
        <v/>
      </c>
      <c r="P344" s="25">
        <f>IF('ORDENES'!$U340="correctiva",N344,0)</f>
        <v/>
      </c>
      <c r="Q344" s="24">
        <f>IF(AND(K344=1,'ORDENES'!$N340="Pendiente"),1,0)</f>
        <v/>
      </c>
      <c r="R344" s="24">
        <f>IF(Q344=1,100000-N344*1000+337*0.01,9000000000000+337)</f>
        <v/>
      </c>
      <c r="S344" s="24">
        <f>IF(Q344=1,SUMPRODUCT(--($R$8:$R$1207&lt;R344))+1,"")</f>
        <v/>
      </c>
      <c r="T344" s="30">
        <f>IF(K344=1,'ORDENES'!$J340,"")</f>
        <v/>
      </c>
    </row>
    <row r="345">
      <c r="K345" s="24">
        <f>IF(AND(IF($B$3="(todos)",TRUE,'ORDENES'!$O341=$B$3),IF($D$3="(todos)",TRUE,'ORDENES'!$AI341=$D$3),IF($F$3="(todos)",TRUE,'ORDENES'!$AA341=$F$3),IF($H$3="(todos)",TRUE,'ORDENES'!$Z341=$H$3),'ORDENES'!$AG341=TRUE,'ORDENES'!$A341&lt;&gt;""),1,0)</f>
        <v/>
      </c>
      <c r="L345" s="24">
        <f>IF(K345=1,IFERROR(MATCH('ORDENES'!$S341,lista_dias,0),9)*1000000000+IFERROR(MATCH('ORDENES'!$AI341,lista_turnos,0),9)*10000000+IFERROR(MATCH('ORDENES'!$AH341,'TECNICOS'!$B$4:$B$19,0),99)*100000+338,9000000000000+338)</f>
        <v/>
      </c>
      <c r="M345" s="24">
        <f>IF(K345=1,SUMPRODUCT(--($L$8:$L$1207&lt;L345))+1,"")</f>
        <v/>
      </c>
      <c r="N345" s="25">
        <f>IF(K345=1,N('ORDENES'!$M341),0)</f>
        <v/>
      </c>
      <c r="O345" s="25">
        <f>IF('ORDENES'!$U341="preventiva",N345,0)</f>
        <v/>
      </c>
      <c r="P345" s="25">
        <f>IF('ORDENES'!$U341="correctiva",N345,0)</f>
        <v/>
      </c>
      <c r="Q345" s="24">
        <f>IF(AND(K345=1,'ORDENES'!$N341="Pendiente"),1,0)</f>
        <v/>
      </c>
      <c r="R345" s="24">
        <f>IF(Q345=1,100000-N345*1000+338*0.01,9000000000000+338)</f>
        <v/>
      </c>
      <c r="S345" s="24">
        <f>IF(Q345=1,SUMPRODUCT(--($R$8:$R$1207&lt;R345))+1,"")</f>
        <v/>
      </c>
      <c r="T345" s="30">
        <f>IF(K345=1,'ORDENES'!$J341,"")</f>
        <v/>
      </c>
    </row>
    <row r="346">
      <c r="K346" s="24">
        <f>IF(AND(IF($B$3="(todos)",TRUE,'ORDENES'!$O342=$B$3),IF($D$3="(todos)",TRUE,'ORDENES'!$AI342=$D$3),IF($F$3="(todos)",TRUE,'ORDENES'!$AA342=$F$3),IF($H$3="(todos)",TRUE,'ORDENES'!$Z342=$H$3),'ORDENES'!$AG342=TRUE,'ORDENES'!$A342&lt;&gt;""),1,0)</f>
        <v/>
      </c>
      <c r="L346" s="24">
        <f>IF(K346=1,IFERROR(MATCH('ORDENES'!$S342,lista_dias,0),9)*1000000000+IFERROR(MATCH('ORDENES'!$AI342,lista_turnos,0),9)*10000000+IFERROR(MATCH('ORDENES'!$AH342,'TECNICOS'!$B$4:$B$19,0),99)*100000+339,9000000000000+339)</f>
        <v/>
      </c>
      <c r="M346" s="24">
        <f>IF(K346=1,SUMPRODUCT(--($L$8:$L$1207&lt;L346))+1,"")</f>
        <v/>
      </c>
      <c r="N346" s="25">
        <f>IF(K346=1,N('ORDENES'!$M342),0)</f>
        <v/>
      </c>
      <c r="O346" s="25">
        <f>IF('ORDENES'!$U342="preventiva",N346,0)</f>
        <v/>
      </c>
      <c r="P346" s="25">
        <f>IF('ORDENES'!$U342="correctiva",N346,0)</f>
        <v/>
      </c>
      <c r="Q346" s="24">
        <f>IF(AND(K346=1,'ORDENES'!$N342="Pendiente"),1,0)</f>
        <v/>
      </c>
      <c r="R346" s="24">
        <f>IF(Q346=1,100000-N346*1000+339*0.01,9000000000000+339)</f>
        <v/>
      </c>
      <c r="S346" s="24">
        <f>IF(Q346=1,SUMPRODUCT(--($R$8:$R$1207&lt;R346))+1,"")</f>
        <v/>
      </c>
      <c r="T346" s="30">
        <f>IF(K346=1,'ORDENES'!$J342,"")</f>
        <v/>
      </c>
    </row>
    <row r="347">
      <c r="K347" s="24">
        <f>IF(AND(IF($B$3="(todos)",TRUE,'ORDENES'!$O343=$B$3),IF($D$3="(todos)",TRUE,'ORDENES'!$AI343=$D$3),IF($F$3="(todos)",TRUE,'ORDENES'!$AA343=$F$3),IF($H$3="(todos)",TRUE,'ORDENES'!$Z343=$H$3),'ORDENES'!$AG343=TRUE,'ORDENES'!$A343&lt;&gt;""),1,0)</f>
        <v/>
      </c>
      <c r="L347" s="24">
        <f>IF(K347=1,IFERROR(MATCH('ORDENES'!$S343,lista_dias,0),9)*1000000000+IFERROR(MATCH('ORDENES'!$AI343,lista_turnos,0),9)*10000000+IFERROR(MATCH('ORDENES'!$AH343,'TECNICOS'!$B$4:$B$19,0),99)*100000+340,9000000000000+340)</f>
        <v/>
      </c>
      <c r="M347" s="24">
        <f>IF(K347=1,SUMPRODUCT(--($L$8:$L$1207&lt;L347))+1,"")</f>
        <v/>
      </c>
      <c r="N347" s="25">
        <f>IF(K347=1,N('ORDENES'!$M343),0)</f>
        <v/>
      </c>
      <c r="O347" s="25">
        <f>IF('ORDENES'!$U343="preventiva",N347,0)</f>
        <v/>
      </c>
      <c r="P347" s="25">
        <f>IF('ORDENES'!$U343="correctiva",N347,0)</f>
        <v/>
      </c>
      <c r="Q347" s="24">
        <f>IF(AND(K347=1,'ORDENES'!$N343="Pendiente"),1,0)</f>
        <v/>
      </c>
      <c r="R347" s="24">
        <f>IF(Q347=1,100000-N347*1000+340*0.01,9000000000000+340)</f>
        <v/>
      </c>
      <c r="S347" s="24">
        <f>IF(Q347=1,SUMPRODUCT(--($R$8:$R$1207&lt;R347))+1,"")</f>
        <v/>
      </c>
      <c r="T347" s="30">
        <f>IF(K347=1,'ORDENES'!$J343,"")</f>
        <v/>
      </c>
    </row>
    <row r="348">
      <c r="K348" s="24">
        <f>IF(AND(IF($B$3="(todos)",TRUE,'ORDENES'!$O344=$B$3),IF($D$3="(todos)",TRUE,'ORDENES'!$AI344=$D$3),IF($F$3="(todos)",TRUE,'ORDENES'!$AA344=$F$3),IF($H$3="(todos)",TRUE,'ORDENES'!$Z344=$H$3),'ORDENES'!$AG344=TRUE,'ORDENES'!$A344&lt;&gt;""),1,0)</f>
        <v/>
      </c>
      <c r="L348" s="24">
        <f>IF(K348=1,IFERROR(MATCH('ORDENES'!$S344,lista_dias,0),9)*1000000000+IFERROR(MATCH('ORDENES'!$AI344,lista_turnos,0),9)*10000000+IFERROR(MATCH('ORDENES'!$AH344,'TECNICOS'!$B$4:$B$19,0),99)*100000+341,9000000000000+341)</f>
        <v/>
      </c>
      <c r="M348" s="24">
        <f>IF(K348=1,SUMPRODUCT(--($L$8:$L$1207&lt;L348))+1,"")</f>
        <v/>
      </c>
      <c r="N348" s="25">
        <f>IF(K348=1,N('ORDENES'!$M344),0)</f>
        <v/>
      </c>
      <c r="O348" s="25">
        <f>IF('ORDENES'!$U344="preventiva",N348,0)</f>
        <v/>
      </c>
      <c r="P348" s="25">
        <f>IF('ORDENES'!$U344="correctiva",N348,0)</f>
        <v/>
      </c>
      <c r="Q348" s="24">
        <f>IF(AND(K348=1,'ORDENES'!$N344="Pendiente"),1,0)</f>
        <v/>
      </c>
      <c r="R348" s="24">
        <f>IF(Q348=1,100000-N348*1000+341*0.01,9000000000000+341)</f>
        <v/>
      </c>
      <c r="S348" s="24">
        <f>IF(Q348=1,SUMPRODUCT(--($R$8:$R$1207&lt;R348))+1,"")</f>
        <v/>
      </c>
      <c r="T348" s="30">
        <f>IF(K348=1,'ORDENES'!$J344,"")</f>
        <v/>
      </c>
    </row>
    <row r="349">
      <c r="K349" s="24">
        <f>IF(AND(IF($B$3="(todos)",TRUE,'ORDENES'!$O345=$B$3),IF($D$3="(todos)",TRUE,'ORDENES'!$AI345=$D$3),IF($F$3="(todos)",TRUE,'ORDENES'!$AA345=$F$3),IF($H$3="(todos)",TRUE,'ORDENES'!$Z345=$H$3),'ORDENES'!$AG345=TRUE,'ORDENES'!$A345&lt;&gt;""),1,0)</f>
        <v/>
      </c>
      <c r="L349" s="24">
        <f>IF(K349=1,IFERROR(MATCH('ORDENES'!$S345,lista_dias,0),9)*1000000000+IFERROR(MATCH('ORDENES'!$AI345,lista_turnos,0),9)*10000000+IFERROR(MATCH('ORDENES'!$AH345,'TECNICOS'!$B$4:$B$19,0),99)*100000+342,9000000000000+342)</f>
        <v/>
      </c>
      <c r="M349" s="24">
        <f>IF(K349=1,SUMPRODUCT(--($L$8:$L$1207&lt;L349))+1,"")</f>
        <v/>
      </c>
      <c r="N349" s="25">
        <f>IF(K349=1,N('ORDENES'!$M345),0)</f>
        <v/>
      </c>
      <c r="O349" s="25">
        <f>IF('ORDENES'!$U345="preventiva",N349,0)</f>
        <v/>
      </c>
      <c r="P349" s="25">
        <f>IF('ORDENES'!$U345="correctiva",N349,0)</f>
        <v/>
      </c>
      <c r="Q349" s="24">
        <f>IF(AND(K349=1,'ORDENES'!$N345="Pendiente"),1,0)</f>
        <v/>
      </c>
      <c r="R349" s="24">
        <f>IF(Q349=1,100000-N349*1000+342*0.01,9000000000000+342)</f>
        <v/>
      </c>
      <c r="S349" s="24">
        <f>IF(Q349=1,SUMPRODUCT(--($R$8:$R$1207&lt;R349))+1,"")</f>
        <v/>
      </c>
      <c r="T349" s="30">
        <f>IF(K349=1,'ORDENES'!$J345,"")</f>
        <v/>
      </c>
    </row>
    <row r="350">
      <c r="K350" s="24">
        <f>IF(AND(IF($B$3="(todos)",TRUE,'ORDENES'!$O346=$B$3),IF($D$3="(todos)",TRUE,'ORDENES'!$AI346=$D$3),IF($F$3="(todos)",TRUE,'ORDENES'!$AA346=$F$3),IF($H$3="(todos)",TRUE,'ORDENES'!$Z346=$H$3),'ORDENES'!$AG346=TRUE,'ORDENES'!$A346&lt;&gt;""),1,0)</f>
        <v/>
      </c>
      <c r="L350" s="24">
        <f>IF(K350=1,IFERROR(MATCH('ORDENES'!$S346,lista_dias,0),9)*1000000000+IFERROR(MATCH('ORDENES'!$AI346,lista_turnos,0),9)*10000000+IFERROR(MATCH('ORDENES'!$AH346,'TECNICOS'!$B$4:$B$19,0),99)*100000+343,9000000000000+343)</f>
        <v/>
      </c>
      <c r="M350" s="24">
        <f>IF(K350=1,SUMPRODUCT(--($L$8:$L$1207&lt;L350))+1,"")</f>
        <v/>
      </c>
      <c r="N350" s="25">
        <f>IF(K350=1,N('ORDENES'!$M346),0)</f>
        <v/>
      </c>
      <c r="O350" s="25">
        <f>IF('ORDENES'!$U346="preventiva",N350,0)</f>
        <v/>
      </c>
      <c r="P350" s="25">
        <f>IF('ORDENES'!$U346="correctiva",N350,0)</f>
        <v/>
      </c>
      <c r="Q350" s="24">
        <f>IF(AND(K350=1,'ORDENES'!$N346="Pendiente"),1,0)</f>
        <v/>
      </c>
      <c r="R350" s="24">
        <f>IF(Q350=1,100000-N350*1000+343*0.01,9000000000000+343)</f>
        <v/>
      </c>
      <c r="S350" s="24">
        <f>IF(Q350=1,SUMPRODUCT(--($R$8:$R$1207&lt;R350))+1,"")</f>
        <v/>
      </c>
      <c r="T350" s="30">
        <f>IF(K350=1,'ORDENES'!$J346,"")</f>
        <v/>
      </c>
    </row>
    <row r="351">
      <c r="K351" s="24">
        <f>IF(AND(IF($B$3="(todos)",TRUE,'ORDENES'!$O347=$B$3),IF($D$3="(todos)",TRUE,'ORDENES'!$AI347=$D$3),IF($F$3="(todos)",TRUE,'ORDENES'!$AA347=$F$3),IF($H$3="(todos)",TRUE,'ORDENES'!$Z347=$H$3),'ORDENES'!$AG347=TRUE,'ORDENES'!$A347&lt;&gt;""),1,0)</f>
        <v/>
      </c>
      <c r="L351" s="24">
        <f>IF(K351=1,IFERROR(MATCH('ORDENES'!$S347,lista_dias,0),9)*1000000000+IFERROR(MATCH('ORDENES'!$AI347,lista_turnos,0),9)*10000000+IFERROR(MATCH('ORDENES'!$AH347,'TECNICOS'!$B$4:$B$19,0),99)*100000+344,9000000000000+344)</f>
        <v/>
      </c>
      <c r="M351" s="24">
        <f>IF(K351=1,SUMPRODUCT(--($L$8:$L$1207&lt;L351))+1,"")</f>
        <v/>
      </c>
      <c r="N351" s="25">
        <f>IF(K351=1,N('ORDENES'!$M347),0)</f>
        <v/>
      </c>
      <c r="O351" s="25">
        <f>IF('ORDENES'!$U347="preventiva",N351,0)</f>
        <v/>
      </c>
      <c r="P351" s="25">
        <f>IF('ORDENES'!$U347="correctiva",N351,0)</f>
        <v/>
      </c>
      <c r="Q351" s="24">
        <f>IF(AND(K351=1,'ORDENES'!$N347="Pendiente"),1,0)</f>
        <v/>
      </c>
      <c r="R351" s="24">
        <f>IF(Q351=1,100000-N351*1000+344*0.01,9000000000000+344)</f>
        <v/>
      </c>
      <c r="S351" s="24">
        <f>IF(Q351=1,SUMPRODUCT(--($R$8:$R$1207&lt;R351))+1,"")</f>
        <v/>
      </c>
      <c r="T351" s="30">
        <f>IF(K351=1,'ORDENES'!$J347,"")</f>
        <v/>
      </c>
    </row>
    <row r="352">
      <c r="K352" s="24">
        <f>IF(AND(IF($B$3="(todos)",TRUE,'ORDENES'!$O348=$B$3),IF($D$3="(todos)",TRUE,'ORDENES'!$AI348=$D$3),IF($F$3="(todos)",TRUE,'ORDENES'!$AA348=$F$3),IF($H$3="(todos)",TRUE,'ORDENES'!$Z348=$H$3),'ORDENES'!$AG348=TRUE,'ORDENES'!$A348&lt;&gt;""),1,0)</f>
        <v/>
      </c>
      <c r="L352" s="24">
        <f>IF(K352=1,IFERROR(MATCH('ORDENES'!$S348,lista_dias,0),9)*1000000000+IFERROR(MATCH('ORDENES'!$AI348,lista_turnos,0),9)*10000000+IFERROR(MATCH('ORDENES'!$AH348,'TECNICOS'!$B$4:$B$19,0),99)*100000+345,9000000000000+345)</f>
        <v/>
      </c>
      <c r="M352" s="24">
        <f>IF(K352=1,SUMPRODUCT(--($L$8:$L$1207&lt;L352))+1,"")</f>
        <v/>
      </c>
      <c r="N352" s="25">
        <f>IF(K352=1,N('ORDENES'!$M348),0)</f>
        <v/>
      </c>
      <c r="O352" s="25">
        <f>IF('ORDENES'!$U348="preventiva",N352,0)</f>
        <v/>
      </c>
      <c r="P352" s="25">
        <f>IF('ORDENES'!$U348="correctiva",N352,0)</f>
        <v/>
      </c>
      <c r="Q352" s="24">
        <f>IF(AND(K352=1,'ORDENES'!$N348="Pendiente"),1,0)</f>
        <v/>
      </c>
      <c r="R352" s="24">
        <f>IF(Q352=1,100000-N352*1000+345*0.01,9000000000000+345)</f>
        <v/>
      </c>
      <c r="S352" s="24">
        <f>IF(Q352=1,SUMPRODUCT(--($R$8:$R$1207&lt;R352))+1,"")</f>
        <v/>
      </c>
      <c r="T352" s="30">
        <f>IF(K352=1,'ORDENES'!$J348,"")</f>
        <v/>
      </c>
    </row>
    <row r="353">
      <c r="K353" s="24">
        <f>IF(AND(IF($B$3="(todos)",TRUE,'ORDENES'!$O349=$B$3),IF($D$3="(todos)",TRUE,'ORDENES'!$AI349=$D$3),IF($F$3="(todos)",TRUE,'ORDENES'!$AA349=$F$3),IF($H$3="(todos)",TRUE,'ORDENES'!$Z349=$H$3),'ORDENES'!$AG349=TRUE,'ORDENES'!$A349&lt;&gt;""),1,0)</f>
        <v/>
      </c>
      <c r="L353" s="24">
        <f>IF(K353=1,IFERROR(MATCH('ORDENES'!$S349,lista_dias,0),9)*1000000000+IFERROR(MATCH('ORDENES'!$AI349,lista_turnos,0),9)*10000000+IFERROR(MATCH('ORDENES'!$AH349,'TECNICOS'!$B$4:$B$19,0),99)*100000+346,9000000000000+346)</f>
        <v/>
      </c>
      <c r="M353" s="24">
        <f>IF(K353=1,SUMPRODUCT(--($L$8:$L$1207&lt;L353))+1,"")</f>
        <v/>
      </c>
      <c r="N353" s="25">
        <f>IF(K353=1,N('ORDENES'!$M349),0)</f>
        <v/>
      </c>
      <c r="O353" s="25">
        <f>IF('ORDENES'!$U349="preventiva",N353,0)</f>
        <v/>
      </c>
      <c r="P353" s="25">
        <f>IF('ORDENES'!$U349="correctiva",N353,0)</f>
        <v/>
      </c>
      <c r="Q353" s="24">
        <f>IF(AND(K353=1,'ORDENES'!$N349="Pendiente"),1,0)</f>
        <v/>
      </c>
      <c r="R353" s="24">
        <f>IF(Q353=1,100000-N353*1000+346*0.01,9000000000000+346)</f>
        <v/>
      </c>
      <c r="S353" s="24">
        <f>IF(Q353=1,SUMPRODUCT(--($R$8:$R$1207&lt;R353))+1,"")</f>
        <v/>
      </c>
      <c r="T353" s="30">
        <f>IF(K353=1,'ORDENES'!$J349,"")</f>
        <v/>
      </c>
    </row>
    <row r="354">
      <c r="K354" s="24">
        <f>IF(AND(IF($B$3="(todos)",TRUE,'ORDENES'!$O350=$B$3),IF($D$3="(todos)",TRUE,'ORDENES'!$AI350=$D$3),IF($F$3="(todos)",TRUE,'ORDENES'!$AA350=$F$3),IF($H$3="(todos)",TRUE,'ORDENES'!$Z350=$H$3),'ORDENES'!$AG350=TRUE,'ORDENES'!$A350&lt;&gt;""),1,0)</f>
        <v/>
      </c>
      <c r="L354" s="24">
        <f>IF(K354=1,IFERROR(MATCH('ORDENES'!$S350,lista_dias,0),9)*1000000000+IFERROR(MATCH('ORDENES'!$AI350,lista_turnos,0),9)*10000000+IFERROR(MATCH('ORDENES'!$AH350,'TECNICOS'!$B$4:$B$19,0),99)*100000+347,9000000000000+347)</f>
        <v/>
      </c>
      <c r="M354" s="24">
        <f>IF(K354=1,SUMPRODUCT(--($L$8:$L$1207&lt;L354))+1,"")</f>
        <v/>
      </c>
      <c r="N354" s="25">
        <f>IF(K354=1,N('ORDENES'!$M350),0)</f>
        <v/>
      </c>
      <c r="O354" s="25">
        <f>IF('ORDENES'!$U350="preventiva",N354,0)</f>
        <v/>
      </c>
      <c r="P354" s="25">
        <f>IF('ORDENES'!$U350="correctiva",N354,0)</f>
        <v/>
      </c>
      <c r="Q354" s="24">
        <f>IF(AND(K354=1,'ORDENES'!$N350="Pendiente"),1,0)</f>
        <v/>
      </c>
      <c r="R354" s="24">
        <f>IF(Q354=1,100000-N354*1000+347*0.01,9000000000000+347)</f>
        <v/>
      </c>
      <c r="S354" s="24">
        <f>IF(Q354=1,SUMPRODUCT(--($R$8:$R$1207&lt;R354))+1,"")</f>
        <v/>
      </c>
      <c r="T354" s="30">
        <f>IF(K354=1,'ORDENES'!$J350,"")</f>
        <v/>
      </c>
    </row>
    <row r="355">
      <c r="K355" s="24">
        <f>IF(AND(IF($B$3="(todos)",TRUE,'ORDENES'!$O351=$B$3),IF($D$3="(todos)",TRUE,'ORDENES'!$AI351=$D$3),IF($F$3="(todos)",TRUE,'ORDENES'!$AA351=$F$3),IF($H$3="(todos)",TRUE,'ORDENES'!$Z351=$H$3),'ORDENES'!$AG351=TRUE,'ORDENES'!$A351&lt;&gt;""),1,0)</f>
        <v/>
      </c>
      <c r="L355" s="24">
        <f>IF(K355=1,IFERROR(MATCH('ORDENES'!$S351,lista_dias,0),9)*1000000000+IFERROR(MATCH('ORDENES'!$AI351,lista_turnos,0),9)*10000000+IFERROR(MATCH('ORDENES'!$AH351,'TECNICOS'!$B$4:$B$19,0),99)*100000+348,9000000000000+348)</f>
        <v/>
      </c>
      <c r="M355" s="24">
        <f>IF(K355=1,SUMPRODUCT(--($L$8:$L$1207&lt;L355))+1,"")</f>
        <v/>
      </c>
      <c r="N355" s="25">
        <f>IF(K355=1,N('ORDENES'!$M351),0)</f>
        <v/>
      </c>
      <c r="O355" s="25">
        <f>IF('ORDENES'!$U351="preventiva",N355,0)</f>
        <v/>
      </c>
      <c r="P355" s="25">
        <f>IF('ORDENES'!$U351="correctiva",N355,0)</f>
        <v/>
      </c>
      <c r="Q355" s="24">
        <f>IF(AND(K355=1,'ORDENES'!$N351="Pendiente"),1,0)</f>
        <v/>
      </c>
      <c r="R355" s="24">
        <f>IF(Q355=1,100000-N355*1000+348*0.01,9000000000000+348)</f>
        <v/>
      </c>
      <c r="S355" s="24">
        <f>IF(Q355=1,SUMPRODUCT(--($R$8:$R$1207&lt;R355))+1,"")</f>
        <v/>
      </c>
      <c r="T355" s="30">
        <f>IF(K355=1,'ORDENES'!$J351,"")</f>
        <v/>
      </c>
    </row>
    <row r="356">
      <c r="K356" s="24">
        <f>IF(AND(IF($B$3="(todos)",TRUE,'ORDENES'!$O352=$B$3),IF($D$3="(todos)",TRUE,'ORDENES'!$AI352=$D$3),IF($F$3="(todos)",TRUE,'ORDENES'!$AA352=$F$3),IF($H$3="(todos)",TRUE,'ORDENES'!$Z352=$H$3),'ORDENES'!$AG352=TRUE,'ORDENES'!$A352&lt;&gt;""),1,0)</f>
        <v/>
      </c>
      <c r="L356" s="24">
        <f>IF(K356=1,IFERROR(MATCH('ORDENES'!$S352,lista_dias,0),9)*1000000000+IFERROR(MATCH('ORDENES'!$AI352,lista_turnos,0),9)*10000000+IFERROR(MATCH('ORDENES'!$AH352,'TECNICOS'!$B$4:$B$19,0),99)*100000+349,9000000000000+349)</f>
        <v/>
      </c>
      <c r="M356" s="24">
        <f>IF(K356=1,SUMPRODUCT(--($L$8:$L$1207&lt;L356))+1,"")</f>
        <v/>
      </c>
      <c r="N356" s="25">
        <f>IF(K356=1,N('ORDENES'!$M352),0)</f>
        <v/>
      </c>
      <c r="O356" s="25">
        <f>IF('ORDENES'!$U352="preventiva",N356,0)</f>
        <v/>
      </c>
      <c r="P356" s="25">
        <f>IF('ORDENES'!$U352="correctiva",N356,0)</f>
        <v/>
      </c>
      <c r="Q356" s="24">
        <f>IF(AND(K356=1,'ORDENES'!$N352="Pendiente"),1,0)</f>
        <v/>
      </c>
      <c r="R356" s="24">
        <f>IF(Q356=1,100000-N356*1000+349*0.01,9000000000000+349)</f>
        <v/>
      </c>
      <c r="S356" s="24">
        <f>IF(Q356=1,SUMPRODUCT(--($R$8:$R$1207&lt;R356))+1,"")</f>
        <v/>
      </c>
      <c r="T356" s="30">
        <f>IF(K356=1,'ORDENES'!$J352,"")</f>
        <v/>
      </c>
    </row>
    <row r="357">
      <c r="K357" s="24">
        <f>IF(AND(IF($B$3="(todos)",TRUE,'ORDENES'!$O353=$B$3),IF($D$3="(todos)",TRUE,'ORDENES'!$AI353=$D$3),IF($F$3="(todos)",TRUE,'ORDENES'!$AA353=$F$3),IF($H$3="(todos)",TRUE,'ORDENES'!$Z353=$H$3),'ORDENES'!$AG353=TRUE,'ORDENES'!$A353&lt;&gt;""),1,0)</f>
        <v/>
      </c>
      <c r="L357" s="24">
        <f>IF(K357=1,IFERROR(MATCH('ORDENES'!$S353,lista_dias,0),9)*1000000000+IFERROR(MATCH('ORDENES'!$AI353,lista_turnos,0),9)*10000000+IFERROR(MATCH('ORDENES'!$AH353,'TECNICOS'!$B$4:$B$19,0),99)*100000+350,9000000000000+350)</f>
        <v/>
      </c>
      <c r="M357" s="24">
        <f>IF(K357=1,SUMPRODUCT(--($L$8:$L$1207&lt;L357))+1,"")</f>
        <v/>
      </c>
      <c r="N357" s="25">
        <f>IF(K357=1,N('ORDENES'!$M353),0)</f>
        <v/>
      </c>
      <c r="O357" s="25">
        <f>IF('ORDENES'!$U353="preventiva",N357,0)</f>
        <v/>
      </c>
      <c r="P357" s="25">
        <f>IF('ORDENES'!$U353="correctiva",N357,0)</f>
        <v/>
      </c>
      <c r="Q357" s="24">
        <f>IF(AND(K357=1,'ORDENES'!$N353="Pendiente"),1,0)</f>
        <v/>
      </c>
      <c r="R357" s="24">
        <f>IF(Q357=1,100000-N357*1000+350*0.01,9000000000000+350)</f>
        <v/>
      </c>
      <c r="S357" s="24">
        <f>IF(Q357=1,SUMPRODUCT(--($R$8:$R$1207&lt;R357))+1,"")</f>
        <v/>
      </c>
      <c r="T357" s="30">
        <f>IF(K357=1,'ORDENES'!$J353,"")</f>
        <v/>
      </c>
    </row>
    <row r="358">
      <c r="K358" s="24">
        <f>IF(AND(IF($B$3="(todos)",TRUE,'ORDENES'!$O354=$B$3),IF($D$3="(todos)",TRUE,'ORDENES'!$AI354=$D$3),IF($F$3="(todos)",TRUE,'ORDENES'!$AA354=$F$3),IF($H$3="(todos)",TRUE,'ORDENES'!$Z354=$H$3),'ORDENES'!$AG354=TRUE,'ORDENES'!$A354&lt;&gt;""),1,0)</f>
        <v/>
      </c>
      <c r="L358" s="24">
        <f>IF(K358=1,IFERROR(MATCH('ORDENES'!$S354,lista_dias,0),9)*1000000000+IFERROR(MATCH('ORDENES'!$AI354,lista_turnos,0),9)*10000000+IFERROR(MATCH('ORDENES'!$AH354,'TECNICOS'!$B$4:$B$19,0),99)*100000+351,9000000000000+351)</f>
        <v/>
      </c>
      <c r="M358" s="24">
        <f>IF(K358=1,SUMPRODUCT(--($L$8:$L$1207&lt;L358))+1,"")</f>
        <v/>
      </c>
      <c r="N358" s="25">
        <f>IF(K358=1,N('ORDENES'!$M354),0)</f>
        <v/>
      </c>
      <c r="O358" s="25">
        <f>IF('ORDENES'!$U354="preventiva",N358,0)</f>
        <v/>
      </c>
      <c r="P358" s="25">
        <f>IF('ORDENES'!$U354="correctiva",N358,0)</f>
        <v/>
      </c>
      <c r="Q358" s="24">
        <f>IF(AND(K358=1,'ORDENES'!$N354="Pendiente"),1,0)</f>
        <v/>
      </c>
      <c r="R358" s="24">
        <f>IF(Q358=1,100000-N358*1000+351*0.01,9000000000000+351)</f>
        <v/>
      </c>
      <c r="S358" s="24">
        <f>IF(Q358=1,SUMPRODUCT(--($R$8:$R$1207&lt;R358))+1,"")</f>
        <v/>
      </c>
      <c r="T358" s="30">
        <f>IF(K358=1,'ORDENES'!$J354,"")</f>
        <v/>
      </c>
    </row>
    <row r="359">
      <c r="K359" s="24">
        <f>IF(AND(IF($B$3="(todos)",TRUE,'ORDENES'!$O355=$B$3),IF($D$3="(todos)",TRUE,'ORDENES'!$AI355=$D$3),IF($F$3="(todos)",TRUE,'ORDENES'!$AA355=$F$3),IF($H$3="(todos)",TRUE,'ORDENES'!$Z355=$H$3),'ORDENES'!$AG355=TRUE,'ORDENES'!$A355&lt;&gt;""),1,0)</f>
        <v/>
      </c>
      <c r="L359" s="24">
        <f>IF(K359=1,IFERROR(MATCH('ORDENES'!$S355,lista_dias,0),9)*1000000000+IFERROR(MATCH('ORDENES'!$AI355,lista_turnos,0),9)*10000000+IFERROR(MATCH('ORDENES'!$AH355,'TECNICOS'!$B$4:$B$19,0),99)*100000+352,9000000000000+352)</f>
        <v/>
      </c>
      <c r="M359" s="24">
        <f>IF(K359=1,SUMPRODUCT(--($L$8:$L$1207&lt;L359))+1,"")</f>
        <v/>
      </c>
      <c r="N359" s="25">
        <f>IF(K359=1,N('ORDENES'!$M355),0)</f>
        <v/>
      </c>
      <c r="O359" s="25">
        <f>IF('ORDENES'!$U355="preventiva",N359,0)</f>
        <v/>
      </c>
      <c r="P359" s="25">
        <f>IF('ORDENES'!$U355="correctiva",N359,0)</f>
        <v/>
      </c>
      <c r="Q359" s="24">
        <f>IF(AND(K359=1,'ORDENES'!$N355="Pendiente"),1,0)</f>
        <v/>
      </c>
      <c r="R359" s="24">
        <f>IF(Q359=1,100000-N359*1000+352*0.01,9000000000000+352)</f>
        <v/>
      </c>
      <c r="S359" s="24">
        <f>IF(Q359=1,SUMPRODUCT(--($R$8:$R$1207&lt;R359))+1,"")</f>
        <v/>
      </c>
      <c r="T359" s="30">
        <f>IF(K359=1,'ORDENES'!$J355,"")</f>
        <v/>
      </c>
    </row>
    <row r="360">
      <c r="K360" s="24">
        <f>IF(AND(IF($B$3="(todos)",TRUE,'ORDENES'!$O356=$B$3),IF($D$3="(todos)",TRUE,'ORDENES'!$AI356=$D$3),IF($F$3="(todos)",TRUE,'ORDENES'!$AA356=$F$3),IF($H$3="(todos)",TRUE,'ORDENES'!$Z356=$H$3),'ORDENES'!$AG356=TRUE,'ORDENES'!$A356&lt;&gt;""),1,0)</f>
        <v/>
      </c>
      <c r="L360" s="24">
        <f>IF(K360=1,IFERROR(MATCH('ORDENES'!$S356,lista_dias,0),9)*1000000000+IFERROR(MATCH('ORDENES'!$AI356,lista_turnos,0),9)*10000000+IFERROR(MATCH('ORDENES'!$AH356,'TECNICOS'!$B$4:$B$19,0),99)*100000+353,9000000000000+353)</f>
        <v/>
      </c>
      <c r="M360" s="24">
        <f>IF(K360=1,SUMPRODUCT(--($L$8:$L$1207&lt;L360))+1,"")</f>
        <v/>
      </c>
      <c r="N360" s="25">
        <f>IF(K360=1,N('ORDENES'!$M356),0)</f>
        <v/>
      </c>
      <c r="O360" s="25">
        <f>IF('ORDENES'!$U356="preventiva",N360,0)</f>
        <v/>
      </c>
      <c r="P360" s="25">
        <f>IF('ORDENES'!$U356="correctiva",N360,0)</f>
        <v/>
      </c>
      <c r="Q360" s="24">
        <f>IF(AND(K360=1,'ORDENES'!$N356="Pendiente"),1,0)</f>
        <v/>
      </c>
      <c r="R360" s="24">
        <f>IF(Q360=1,100000-N360*1000+353*0.01,9000000000000+353)</f>
        <v/>
      </c>
      <c r="S360" s="24">
        <f>IF(Q360=1,SUMPRODUCT(--($R$8:$R$1207&lt;R360))+1,"")</f>
        <v/>
      </c>
      <c r="T360" s="30">
        <f>IF(K360=1,'ORDENES'!$J356,"")</f>
        <v/>
      </c>
    </row>
    <row r="361">
      <c r="K361" s="24">
        <f>IF(AND(IF($B$3="(todos)",TRUE,'ORDENES'!$O357=$B$3),IF($D$3="(todos)",TRUE,'ORDENES'!$AI357=$D$3),IF($F$3="(todos)",TRUE,'ORDENES'!$AA357=$F$3),IF($H$3="(todos)",TRUE,'ORDENES'!$Z357=$H$3),'ORDENES'!$AG357=TRUE,'ORDENES'!$A357&lt;&gt;""),1,0)</f>
        <v/>
      </c>
      <c r="L361" s="24">
        <f>IF(K361=1,IFERROR(MATCH('ORDENES'!$S357,lista_dias,0),9)*1000000000+IFERROR(MATCH('ORDENES'!$AI357,lista_turnos,0),9)*10000000+IFERROR(MATCH('ORDENES'!$AH357,'TECNICOS'!$B$4:$B$19,0),99)*100000+354,9000000000000+354)</f>
        <v/>
      </c>
      <c r="M361" s="24">
        <f>IF(K361=1,SUMPRODUCT(--($L$8:$L$1207&lt;L361))+1,"")</f>
        <v/>
      </c>
      <c r="N361" s="25">
        <f>IF(K361=1,N('ORDENES'!$M357),0)</f>
        <v/>
      </c>
      <c r="O361" s="25">
        <f>IF('ORDENES'!$U357="preventiva",N361,0)</f>
        <v/>
      </c>
      <c r="P361" s="25">
        <f>IF('ORDENES'!$U357="correctiva",N361,0)</f>
        <v/>
      </c>
      <c r="Q361" s="24">
        <f>IF(AND(K361=1,'ORDENES'!$N357="Pendiente"),1,0)</f>
        <v/>
      </c>
      <c r="R361" s="24">
        <f>IF(Q361=1,100000-N361*1000+354*0.01,9000000000000+354)</f>
        <v/>
      </c>
      <c r="S361" s="24">
        <f>IF(Q361=1,SUMPRODUCT(--($R$8:$R$1207&lt;R361))+1,"")</f>
        <v/>
      </c>
      <c r="T361" s="30">
        <f>IF(K361=1,'ORDENES'!$J357,"")</f>
        <v/>
      </c>
    </row>
    <row r="362">
      <c r="K362" s="24">
        <f>IF(AND(IF($B$3="(todos)",TRUE,'ORDENES'!$O358=$B$3),IF($D$3="(todos)",TRUE,'ORDENES'!$AI358=$D$3),IF($F$3="(todos)",TRUE,'ORDENES'!$AA358=$F$3),IF($H$3="(todos)",TRUE,'ORDENES'!$Z358=$H$3),'ORDENES'!$AG358=TRUE,'ORDENES'!$A358&lt;&gt;""),1,0)</f>
        <v/>
      </c>
      <c r="L362" s="24">
        <f>IF(K362=1,IFERROR(MATCH('ORDENES'!$S358,lista_dias,0),9)*1000000000+IFERROR(MATCH('ORDENES'!$AI358,lista_turnos,0),9)*10000000+IFERROR(MATCH('ORDENES'!$AH358,'TECNICOS'!$B$4:$B$19,0),99)*100000+355,9000000000000+355)</f>
        <v/>
      </c>
      <c r="M362" s="24">
        <f>IF(K362=1,SUMPRODUCT(--($L$8:$L$1207&lt;L362))+1,"")</f>
        <v/>
      </c>
      <c r="N362" s="25">
        <f>IF(K362=1,N('ORDENES'!$M358),0)</f>
        <v/>
      </c>
      <c r="O362" s="25">
        <f>IF('ORDENES'!$U358="preventiva",N362,0)</f>
        <v/>
      </c>
      <c r="P362" s="25">
        <f>IF('ORDENES'!$U358="correctiva",N362,0)</f>
        <v/>
      </c>
      <c r="Q362" s="24">
        <f>IF(AND(K362=1,'ORDENES'!$N358="Pendiente"),1,0)</f>
        <v/>
      </c>
      <c r="R362" s="24">
        <f>IF(Q362=1,100000-N362*1000+355*0.01,9000000000000+355)</f>
        <v/>
      </c>
      <c r="S362" s="24">
        <f>IF(Q362=1,SUMPRODUCT(--($R$8:$R$1207&lt;R362))+1,"")</f>
        <v/>
      </c>
      <c r="T362" s="30">
        <f>IF(K362=1,'ORDENES'!$J358,"")</f>
        <v/>
      </c>
    </row>
    <row r="363">
      <c r="K363" s="24">
        <f>IF(AND(IF($B$3="(todos)",TRUE,'ORDENES'!$O359=$B$3),IF($D$3="(todos)",TRUE,'ORDENES'!$AI359=$D$3),IF($F$3="(todos)",TRUE,'ORDENES'!$AA359=$F$3),IF($H$3="(todos)",TRUE,'ORDENES'!$Z359=$H$3),'ORDENES'!$AG359=TRUE,'ORDENES'!$A359&lt;&gt;""),1,0)</f>
        <v/>
      </c>
      <c r="L363" s="24">
        <f>IF(K363=1,IFERROR(MATCH('ORDENES'!$S359,lista_dias,0),9)*1000000000+IFERROR(MATCH('ORDENES'!$AI359,lista_turnos,0),9)*10000000+IFERROR(MATCH('ORDENES'!$AH359,'TECNICOS'!$B$4:$B$19,0),99)*100000+356,9000000000000+356)</f>
        <v/>
      </c>
      <c r="M363" s="24">
        <f>IF(K363=1,SUMPRODUCT(--($L$8:$L$1207&lt;L363))+1,"")</f>
        <v/>
      </c>
      <c r="N363" s="25">
        <f>IF(K363=1,N('ORDENES'!$M359),0)</f>
        <v/>
      </c>
      <c r="O363" s="25">
        <f>IF('ORDENES'!$U359="preventiva",N363,0)</f>
        <v/>
      </c>
      <c r="P363" s="25">
        <f>IF('ORDENES'!$U359="correctiva",N363,0)</f>
        <v/>
      </c>
      <c r="Q363" s="24">
        <f>IF(AND(K363=1,'ORDENES'!$N359="Pendiente"),1,0)</f>
        <v/>
      </c>
      <c r="R363" s="24">
        <f>IF(Q363=1,100000-N363*1000+356*0.01,9000000000000+356)</f>
        <v/>
      </c>
      <c r="S363" s="24">
        <f>IF(Q363=1,SUMPRODUCT(--($R$8:$R$1207&lt;R363))+1,"")</f>
        <v/>
      </c>
      <c r="T363" s="30">
        <f>IF(K363=1,'ORDENES'!$J359,"")</f>
        <v/>
      </c>
    </row>
    <row r="364">
      <c r="K364" s="24">
        <f>IF(AND(IF($B$3="(todos)",TRUE,'ORDENES'!$O360=$B$3),IF($D$3="(todos)",TRUE,'ORDENES'!$AI360=$D$3),IF($F$3="(todos)",TRUE,'ORDENES'!$AA360=$F$3),IF($H$3="(todos)",TRUE,'ORDENES'!$Z360=$H$3),'ORDENES'!$AG360=TRUE,'ORDENES'!$A360&lt;&gt;""),1,0)</f>
        <v/>
      </c>
      <c r="L364" s="24">
        <f>IF(K364=1,IFERROR(MATCH('ORDENES'!$S360,lista_dias,0),9)*1000000000+IFERROR(MATCH('ORDENES'!$AI360,lista_turnos,0),9)*10000000+IFERROR(MATCH('ORDENES'!$AH360,'TECNICOS'!$B$4:$B$19,0),99)*100000+357,9000000000000+357)</f>
        <v/>
      </c>
      <c r="M364" s="24">
        <f>IF(K364=1,SUMPRODUCT(--($L$8:$L$1207&lt;L364))+1,"")</f>
        <v/>
      </c>
      <c r="N364" s="25">
        <f>IF(K364=1,N('ORDENES'!$M360),0)</f>
        <v/>
      </c>
      <c r="O364" s="25">
        <f>IF('ORDENES'!$U360="preventiva",N364,0)</f>
        <v/>
      </c>
      <c r="P364" s="25">
        <f>IF('ORDENES'!$U360="correctiva",N364,0)</f>
        <v/>
      </c>
      <c r="Q364" s="24">
        <f>IF(AND(K364=1,'ORDENES'!$N360="Pendiente"),1,0)</f>
        <v/>
      </c>
      <c r="R364" s="24">
        <f>IF(Q364=1,100000-N364*1000+357*0.01,9000000000000+357)</f>
        <v/>
      </c>
      <c r="S364" s="24">
        <f>IF(Q364=1,SUMPRODUCT(--($R$8:$R$1207&lt;R364))+1,"")</f>
        <v/>
      </c>
      <c r="T364" s="30">
        <f>IF(K364=1,'ORDENES'!$J360,"")</f>
        <v/>
      </c>
    </row>
    <row r="365">
      <c r="K365" s="24">
        <f>IF(AND(IF($B$3="(todos)",TRUE,'ORDENES'!$O361=$B$3),IF($D$3="(todos)",TRUE,'ORDENES'!$AI361=$D$3),IF($F$3="(todos)",TRUE,'ORDENES'!$AA361=$F$3),IF($H$3="(todos)",TRUE,'ORDENES'!$Z361=$H$3),'ORDENES'!$AG361=TRUE,'ORDENES'!$A361&lt;&gt;""),1,0)</f>
        <v/>
      </c>
      <c r="L365" s="24">
        <f>IF(K365=1,IFERROR(MATCH('ORDENES'!$S361,lista_dias,0),9)*1000000000+IFERROR(MATCH('ORDENES'!$AI361,lista_turnos,0),9)*10000000+IFERROR(MATCH('ORDENES'!$AH361,'TECNICOS'!$B$4:$B$19,0),99)*100000+358,9000000000000+358)</f>
        <v/>
      </c>
      <c r="M365" s="24">
        <f>IF(K365=1,SUMPRODUCT(--($L$8:$L$1207&lt;L365))+1,"")</f>
        <v/>
      </c>
      <c r="N365" s="25">
        <f>IF(K365=1,N('ORDENES'!$M361),0)</f>
        <v/>
      </c>
      <c r="O365" s="25">
        <f>IF('ORDENES'!$U361="preventiva",N365,0)</f>
        <v/>
      </c>
      <c r="P365" s="25">
        <f>IF('ORDENES'!$U361="correctiva",N365,0)</f>
        <v/>
      </c>
      <c r="Q365" s="24">
        <f>IF(AND(K365=1,'ORDENES'!$N361="Pendiente"),1,0)</f>
        <v/>
      </c>
      <c r="R365" s="24">
        <f>IF(Q365=1,100000-N365*1000+358*0.01,9000000000000+358)</f>
        <v/>
      </c>
      <c r="S365" s="24">
        <f>IF(Q365=1,SUMPRODUCT(--($R$8:$R$1207&lt;R365))+1,"")</f>
        <v/>
      </c>
      <c r="T365" s="30">
        <f>IF(K365=1,'ORDENES'!$J361,"")</f>
        <v/>
      </c>
    </row>
    <row r="366">
      <c r="K366" s="24">
        <f>IF(AND(IF($B$3="(todos)",TRUE,'ORDENES'!$O362=$B$3),IF($D$3="(todos)",TRUE,'ORDENES'!$AI362=$D$3),IF($F$3="(todos)",TRUE,'ORDENES'!$AA362=$F$3),IF($H$3="(todos)",TRUE,'ORDENES'!$Z362=$H$3),'ORDENES'!$AG362=TRUE,'ORDENES'!$A362&lt;&gt;""),1,0)</f>
        <v/>
      </c>
      <c r="L366" s="24">
        <f>IF(K366=1,IFERROR(MATCH('ORDENES'!$S362,lista_dias,0),9)*1000000000+IFERROR(MATCH('ORDENES'!$AI362,lista_turnos,0),9)*10000000+IFERROR(MATCH('ORDENES'!$AH362,'TECNICOS'!$B$4:$B$19,0),99)*100000+359,9000000000000+359)</f>
        <v/>
      </c>
      <c r="M366" s="24">
        <f>IF(K366=1,SUMPRODUCT(--($L$8:$L$1207&lt;L366))+1,"")</f>
        <v/>
      </c>
      <c r="N366" s="25">
        <f>IF(K366=1,N('ORDENES'!$M362),0)</f>
        <v/>
      </c>
      <c r="O366" s="25">
        <f>IF('ORDENES'!$U362="preventiva",N366,0)</f>
        <v/>
      </c>
      <c r="P366" s="25">
        <f>IF('ORDENES'!$U362="correctiva",N366,0)</f>
        <v/>
      </c>
      <c r="Q366" s="24">
        <f>IF(AND(K366=1,'ORDENES'!$N362="Pendiente"),1,0)</f>
        <v/>
      </c>
      <c r="R366" s="24">
        <f>IF(Q366=1,100000-N366*1000+359*0.01,9000000000000+359)</f>
        <v/>
      </c>
      <c r="S366" s="24">
        <f>IF(Q366=1,SUMPRODUCT(--($R$8:$R$1207&lt;R366))+1,"")</f>
        <v/>
      </c>
      <c r="T366" s="30">
        <f>IF(K366=1,'ORDENES'!$J362,"")</f>
        <v/>
      </c>
    </row>
    <row r="367">
      <c r="K367" s="24">
        <f>IF(AND(IF($B$3="(todos)",TRUE,'ORDENES'!$O363=$B$3),IF($D$3="(todos)",TRUE,'ORDENES'!$AI363=$D$3),IF($F$3="(todos)",TRUE,'ORDENES'!$AA363=$F$3),IF($H$3="(todos)",TRUE,'ORDENES'!$Z363=$H$3),'ORDENES'!$AG363=TRUE,'ORDENES'!$A363&lt;&gt;""),1,0)</f>
        <v/>
      </c>
      <c r="L367" s="24">
        <f>IF(K367=1,IFERROR(MATCH('ORDENES'!$S363,lista_dias,0),9)*1000000000+IFERROR(MATCH('ORDENES'!$AI363,lista_turnos,0),9)*10000000+IFERROR(MATCH('ORDENES'!$AH363,'TECNICOS'!$B$4:$B$19,0),99)*100000+360,9000000000000+360)</f>
        <v/>
      </c>
      <c r="M367" s="24">
        <f>IF(K367=1,SUMPRODUCT(--($L$8:$L$1207&lt;L367))+1,"")</f>
        <v/>
      </c>
      <c r="N367" s="25">
        <f>IF(K367=1,N('ORDENES'!$M363),0)</f>
        <v/>
      </c>
      <c r="O367" s="25">
        <f>IF('ORDENES'!$U363="preventiva",N367,0)</f>
        <v/>
      </c>
      <c r="P367" s="25">
        <f>IF('ORDENES'!$U363="correctiva",N367,0)</f>
        <v/>
      </c>
      <c r="Q367" s="24">
        <f>IF(AND(K367=1,'ORDENES'!$N363="Pendiente"),1,0)</f>
        <v/>
      </c>
      <c r="R367" s="24">
        <f>IF(Q367=1,100000-N367*1000+360*0.01,9000000000000+360)</f>
        <v/>
      </c>
      <c r="S367" s="24">
        <f>IF(Q367=1,SUMPRODUCT(--($R$8:$R$1207&lt;R367))+1,"")</f>
        <v/>
      </c>
      <c r="T367" s="30">
        <f>IF(K367=1,'ORDENES'!$J363,"")</f>
        <v/>
      </c>
    </row>
    <row r="368">
      <c r="K368" s="24">
        <f>IF(AND(IF($B$3="(todos)",TRUE,'ORDENES'!$O364=$B$3),IF($D$3="(todos)",TRUE,'ORDENES'!$AI364=$D$3),IF($F$3="(todos)",TRUE,'ORDENES'!$AA364=$F$3),IF($H$3="(todos)",TRUE,'ORDENES'!$Z364=$H$3),'ORDENES'!$AG364=TRUE,'ORDENES'!$A364&lt;&gt;""),1,0)</f>
        <v/>
      </c>
      <c r="L368" s="24">
        <f>IF(K368=1,IFERROR(MATCH('ORDENES'!$S364,lista_dias,0),9)*1000000000+IFERROR(MATCH('ORDENES'!$AI364,lista_turnos,0),9)*10000000+IFERROR(MATCH('ORDENES'!$AH364,'TECNICOS'!$B$4:$B$19,0),99)*100000+361,9000000000000+361)</f>
        <v/>
      </c>
      <c r="M368" s="24">
        <f>IF(K368=1,SUMPRODUCT(--($L$8:$L$1207&lt;L368))+1,"")</f>
        <v/>
      </c>
      <c r="N368" s="25">
        <f>IF(K368=1,N('ORDENES'!$M364),0)</f>
        <v/>
      </c>
      <c r="O368" s="25">
        <f>IF('ORDENES'!$U364="preventiva",N368,0)</f>
        <v/>
      </c>
      <c r="P368" s="25">
        <f>IF('ORDENES'!$U364="correctiva",N368,0)</f>
        <v/>
      </c>
      <c r="Q368" s="24">
        <f>IF(AND(K368=1,'ORDENES'!$N364="Pendiente"),1,0)</f>
        <v/>
      </c>
      <c r="R368" s="24">
        <f>IF(Q368=1,100000-N368*1000+361*0.01,9000000000000+361)</f>
        <v/>
      </c>
      <c r="S368" s="24">
        <f>IF(Q368=1,SUMPRODUCT(--($R$8:$R$1207&lt;R368))+1,"")</f>
        <v/>
      </c>
      <c r="T368" s="30">
        <f>IF(K368=1,'ORDENES'!$J364,"")</f>
        <v/>
      </c>
    </row>
    <row r="369">
      <c r="K369" s="24">
        <f>IF(AND(IF($B$3="(todos)",TRUE,'ORDENES'!$O365=$B$3),IF($D$3="(todos)",TRUE,'ORDENES'!$AI365=$D$3),IF($F$3="(todos)",TRUE,'ORDENES'!$AA365=$F$3),IF($H$3="(todos)",TRUE,'ORDENES'!$Z365=$H$3),'ORDENES'!$AG365=TRUE,'ORDENES'!$A365&lt;&gt;""),1,0)</f>
        <v/>
      </c>
      <c r="L369" s="24">
        <f>IF(K369=1,IFERROR(MATCH('ORDENES'!$S365,lista_dias,0),9)*1000000000+IFERROR(MATCH('ORDENES'!$AI365,lista_turnos,0),9)*10000000+IFERROR(MATCH('ORDENES'!$AH365,'TECNICOS'!$B$4:$B$19,0),99)*100000+362,9000000000000+362)</f>
        <v/>
      </c>
      <c r="M369" s="24">
        <f>IF(K369=1,SUMPRODUCT(--($L$8:$L$1207&lt;L369))+1,"")</f>
        <v/>
      </c>
      <c r="N369" s="25">
        <f>IF(K369=1,N('ORDENES'!$M365),0)</f>
        <v/>
      </c>
      <c r="O369" s="25">
        <f>IF('ORDENES'!$U365="preventiva",N369,0)</f>
        <v/>
      </c>
      <c r="P369" s="25">
        <f>IF('ORDENES'!$U365="correctiva",N369,0)</f>
        <v/>
      </c>
      <c r="Q369" s="24">
        <f>IF(AND(K369=1,'ORDENES'!$N365="Pendiente"),1,0)</f>
        <v/>
      </c>
      <c r="R369" s="24">
        <f>IF(Q369=1,100000-N369*1000+362*0.01,9000000000000+362)</f>
        <v/>
      </c>
      <c r="S369" s="24">
        <f>IF(Q369=1,SUMPRODUCT(--($R$8:$R$1207&lt;R369))+1,"")</f>
        <v/>
      </c>
      <c r="T369" s="30">
        <f>IF(K369=1,'ORDENES'!$J365,"")</f>
        <v/>
      </c>
    </row>
    <row r="370">
      <c r="K370" s="24">
        <f>IF(AND(IF($B$3="(todos)",TRUE,'ORDENES'!$O366=$B$3),IF($D$3="(todos)",TRUE,'ORDENES'!$AI366=$D$3),IF($F$3="(todos)",TRUE,'ORDENES'!$AA366=$F$3),IF($H$3="(todos)",TRUE,'ORDENES'!$Z366=$H$3),'ORDENES'!$AG366=TRUE,'ORDENES'!$A366&lt;&gt;""),1,0)</f>
        <v/>
      </c>
      <c r="L370" s="24">
        <f>IF(K370=1,IFERROR(MATCH('ORDENES'!$S366,lista_dias,0),9)*1000000000+IFERROR(MATCH('ORDENES'!$AI366,lista_turnos,0),9)*10000000+IFERROR(MATCH('ORDENES'!$AH366,'TECNICOS'!$B$4:$B$19,0),99)*100000+363,9000000000000+363)</f>
        <v/>
      </c>
      <c r="M370" s="24">
        <f>IF(K370=1,SUMPRODUCT(--($L$8:$L$1207&lt;L370))+1,"")</f>
        <v/>
      </c>
      <c r="N370" s="25">
        <f>IF(K370=1,N('ORDENES'!$M366),0)</f>
        <v/>
      </c>
      <c r="O370" s="25">
        <f>IF('ORDENES'!$U366="preventiva",N370,0)</f>
        <v/>
      </c>
      <c r="P370" s="25">
        <f>IF('ORDENES'!$U366="correctiva",N370,0)</f>
        <v/>
      </c>
      <c r="Q370" s="24">
        <f>IF(AND(K370=1,'ORDENES'!$N366="Pendiente"),1,0)</f>
        <v/>
      </c>
      <c r="R370" s="24">
        <f>IF(Q370=1,100000-N370*1000+363*0.01,9000000000000+363)</f>
        <v/>
      </c>
      <c r="S370" s="24">
        <f>IF(Q370=1,SUMPRODUCT(--($R$8:$R$1207&lt;R370))+1,"")</f>
        <v/>
      </c>
      <c r="T370" s="30">
        <f>IF(K370=1,'ORDENES'!$J366,"")</f>
        <v/>
      </c>
    </row>
    <row r="371">
      <c r="K371" s="24">
        <f>IF(AND(IF($B$3="(todos)",TRUE,'ORDENES'!$O367=$B$3),IF($D$3="(todos)",TRUE,'ORDENES'!$AI367=$D$3),IF($F$3="(todos)",TRUE,'ORDENES'!$AA367=$F$3),IF($H$3="(todos)",TRUE,'ORDENES'!$Z367=$H$3),'ORDENES'!$AG367=TRUE,'ORDENES'!$A367&lt;&gt;""),1,0)</f>
        <v/>
      </c>
      <c r="L371" s="24">
        <f>IF(K371=1,IFERROR(MATCH('ORDENES'!$S367,lista_dias,0),9)*1000000000+IFERROR(MATCH('ORDENES'!$AI367,lista_turnos,0),9)*10000000+IFERROR(MATCH('ORDENES'!$AH367,'TECNICOS'!$B$4:$B$19,0),99)*100000+364,9000000000000+364)</f>
        <v/>
      </c>
      <c r="M371" s="24">
        <f>IF(K371=1,SUMPRODUCT(--($L$8:$L$1207&lt;L371))+1,"")</f>
        <v/>
      </c>
      <c r="N371" s="25">
        <f>IF(K371=1,N('ORDENES'!$M367),0)</f>
        <v/>
      </c>
      <c r="O371" s="25">
        <f>IF('ORDENES'!$U367="preventiva",N371,0)</f>
        <v/>
      </c>
      <c r="P371" s="25">
        <f>IF('ORDENES'!$U367="correctiva",N371,0)</f>
        <v/>
      </c>
      <c r="Q371" s="24">
        <f>IF(AND(K371=1,'ORDENES'!$N367="Pendiente"),1,0)</f>
        <v/>
      </c>
      <c r="R371" s="24">
        <f>IF(Q371=1,100000-N371*1000+364*0.01,9000000000000+364)</f>
        <v/>
      </c>
      <c r="S371" s="24">
        <f>IF(Q371=1,SUMPRODUCT(--($R$8:$R$1207&lt;R371))+1,"")</f>
        <v/>
      </c>
      <c r="T371" s="30">
        <f>IF(K371=1,'ORDENES'!$J367,"")</f>
        <v/>
      </c>
    </row>
    <row r="372">
      <c r="K372" s="24">
        <f>IF(AND(IF($B$3="(todos)",TRUE,'ORDENES'!$O368=$B$3),IF($D$3="(todos)",TRUE,'ORDENES'!$AI368=$D$3),IF($F$3="(todos)",TRUE,'ORDENES'!$AA368=$F$3),IF($H$3="(todos)",TRUE,'ORDENES'!$Z368=$H$3),'ORDENES'!$AG368=TRUE,'ORDENES'!$A368&lt;&gt;""),1,0)</f>
        <v/>
      </c>
      <c r="L372" s="24">
        <f>IF(K372=1,IFERROR(MATCH('ORDENES'!$S368,lista_dias,0),9)*1000000000+IFERROR(MATCH('ORDENES'!$AI368,lista_turnos,0),9)*10000000+IFERROR(MATCH('ORDENES'!$AH368,'TECNICOS'!$B$4:$B$19,0),99)*100000+365,9000000000000+365)</f>
        <v/>
      </c>
      <c r="M372" s="24">
        <f>IF(K372=1,SUMPRODUCT(--($L$8:$L$1207&lt;L372))+1,"")</f>
        <v/>
      </c>
      <c r="N372" s="25">
        <f>IF(K372=1,N('ORDENES'!$M368),0)</f>
        <v/>
      </c>
      <c r="O372" s="25">
        <f>IF('ORDENES'!$U368="preventiva",N372,0)</f>
        <v/>
      </c>
      <c r="P372" s="25">
        <f>IF('ORDENES'!$U368="correctiva",N372,0)</f>
        <v/>
      </c>
      <c r="Q372" s="24">
        <f>IF(AND(K372=1,'ORDENES'!$N368="Pendiente"),1,0)</f>
        <v/>
      </c>
      <c r="R372" s="24">
        <f>IF(Q372=1,100000-N372*1000+365*0.01,9000000000000+365)</f>
        <v/>
      </c>
      <c r="S372" s="24">
        <f>IF(Q372=1,SUMPRODUCT(--($R$8:$R$1207&lt;R372))+1,"")</f>
        <v/>
      </c>
      <c r="T372" s="30">
        <f>IF(K372=1,'ORDENES'!$J368,"")</f>
        <v/>
      </c>
    </row>
    <row r="373">
      <c r="K373" s="24">
        <f>IF(AND(IF($B$3="(todos)",TRUE,'ORDENES'!$O369=$B$3),IF($D$3="(todos)",TRUE,'ORDENES'!$AI369=$D$3),IF($F$3="(todos)",TRUE,'ORDENES'!$AA369=$F$3),IF($H$3="(todos)",TRUE,'ORDENES'!$Z369=$H$3),'ORDENES'!$AG369=TRUE,'ORDENES'!$A369&lt;&gt;""),1,0)</f>
        <v/>
      </c>
      <c r="L373" s="24">
        <f>IF(K373=1,IFERROR(MATCH('ORDENES'!$S369,lista_dias,0),9)*1000000000+IFERROR(MATCH('ORDENES'!$AI369,lista_turnos,0),9)*10000000+IFERROR(MATCH('ORDENES'!$AH369,'TECNICOS'!$B$4:$B$19,0),99)*100000+366,9000000000000+366)</f>
        <v/>
      </c>
      <c r="M373" s="24">
        <f>IF(K373=1,SUMPRODUCT(--($L$8:$L$1207&lt;L373))+1,"")</f>
        <v/>
      </c>
      <c r="N373" s="25">
        <f>IF(K373=1,N('ORDENES'!$M369),0)</f>
        <v/>
      </c>
      <c r="O373" s="25">
        <f>IF('ORDENES'!$U369="preventiva",N373,0)</f>
        <v/>
      </c>
      <c r="P373" s="25">
        <f>IF('ORDENES'!$U369="correctiva",N373,0)</f>
        <v/>
      </c>
      <c r="Q373" s="24">
        <f>IF(AND(K373=1,'ORDENES'!$N369="Pendiente"),1,0)</f>
        <v/>
      </c>
      <c r="R373" s="24">
        <f>IF(Q373=1,100000-N373*1000+366*0.01,9000000000000+366)</f>
        <v/>
      </c>
      <c r="S373" s="24">
        <f>IF(Q373=1,SUMPRODUCT(--($R$8:$R$1207&lt;R373))+1,"")</f>
        <v/>
      </c>
      <c r="T373" s="30">
        <f>IF(K373=1,'ORDENES'!$J369,"")</f>
        <v/>
      </c>
    </row>
    <row r="374">
      <c r="K374" s="24">
        <f>IF(AND(IF($B$3="(todos)",TRUE,'ORDENES'!$O370=$B$3),IF($D$3="(todos)",TRUE,'ORDENES'!$AI370=$D$3),IF($F$3="(todos)",TRUE,'ORDENES'!$AA370=$F$3),IF($H$3="(todos)",TRUE,'ORDENES'!$Z370=$H$3),'ORDENES'!$AG370=TRUE,'ORDENES'!$A370&lt;&gt;""),1,0)</f>
        <v/>
      </c>
      <c r="L374" s="24">
        <f>IF(K374=1,IFERROR(MATCH('ORDENES'!$S370,lista_dias,0),9)*1000000000+IFERROR(MATCH('ORDENES'!$AI370,lista_turnos,0),9)*10000000+IFERROR(MATCH('ORDENES'!$AH370,'TECNICOS'!$B$4:$B$19,0),99)*100000+367,9000000000000+367)</f>
        <v/>
      </c>
      <c r="M374" s="24">
        <f>IF(K374=1,SUMPRODUCT(--($L$8:$L$1207&lt;L374))+1,"")</f>
        <v/>
      </c>
      <c r="N374" s="25">
        <f>IF(K374=1,N('ORDENES'!$M370),0)</f>
        <v/>
      </c>
      <c r="O374" s="25">
        <f>IF('ORDENES'!$U370="preventiva",N374,0)</f>
        <v/>
      </c>
      <c r="P374" s="25">
        <f>IF('ORDENES'!$U370="correctiva",N374,0)</f>
        <v/>
      </c>
      <c r="Q374" s="24">
        <f>IF(AND(K374=1,'ORDENES'!$N370="Pendiente"),1,0)</f>
        <v/>
      </c>
      <c r="R374" s="24">
        <f>IF(Q374=1,100000-N374*1000+367*0.01,9000000000000+367)</f>
        <v/>
      </c>
      <c r="S374" s="24">
        <f>IF(Q374=1,SUMPRODUCT(--($R$8:$R$1207&lt;R374))+1,"")</f>
        <v/>
      </c>
      <c r="T374" s="30">
        <f>IF(K374=1,'ORDENES'!$J370,"")</f>
        <v/>
      </c>
    </row>
    <row r="375">
      <c r="K375" s="24">
        <f>IF(AND(IF($B$3="(todos)",TRUE,'ORDENES'!$O371=$B$3),IF($D$3="(todos)",TRUE,'ORDENES'!$AI371=$D$3),IF($F$3="(todos)",TRUE,'ORDENES'!$AA371=$F$3),IF($H$3="(todos)",TRUE,'ORDENES'!$Z371=$H$3),'ORDENES'!$AG371=TRUE,'ORDENES'!$A371&lt;&gt;""),1,0)</f>
        <v/>
      </c>
      <c r="L375" s="24">
        <f>IF(K375=1,IFERROR(MATCH('ORDENES'!$S371,lista_dias,0),9)*1000000000+IFERROR(MATCH('ORDENES'!$AI371,lista_turnos,0),9)*10000000+IFERROR(MATCH('ORDENES'!$AH371,'TECNICOS'!$B$4:$B$19,0),99)*100000+368,9000000000000+368)</f>
        <v/>
      </c>
      <c r="M375" s="24">
        <f>IF(K375=1,SUMPRODUCT(--($L$8:$L$1207&lt;L375))+1,"")</f>
        <v/>
      </c>
      <c r="N375" s="25">
        <f>IF(K375=1,N('ORDENES'!$M371),0)</f>
        <v/>
      </c>
      <c r="O375" s="25">
        <f>IF('ORDENES'!$U371="preventiva",N375,0)</f>
        <v/>
      </c>
      <c r="P375" s="25">
        <f>IF('ORDENES'!$U371="correctiva",N375,0)</f>
        <v/>
      </c>
      <c r="Q375" s="24">
        <f>IF(AND(K375=1,'ORDENES'!$N371="Pendiente"),1,0)</f>
        <v/>
      </c>
      <c r="R375" s="24">
        <f>IF(Q375=1,100000-N375*1000+368*0.01,9000000000000+368)</f>
        <v/>
      </c>
      <c r="S375" s="24">
        <f>IF(Q375=1,SUMPRODUCT(--($R$8:$R$1207&lt;R375))+1,"")</f>
        <v/>
      </c>
      <c r="T375" s="30">
        <f>IF(K375=1,'ORDENES'!$J371,"")</f>
        <v/>
      </c>
    </row>
    <row r="376">
      <c r="K376" s="24">
        <f>IF(AND(IF($B$3="(todos)",TRUE,'ORDENES'!$O372=$B$3),IF($D$3="(todos)",TRUE,'ORDENES'!$AI372=$D$3),IF($F$3="(todos)",TRUE,'ORDENES'!$AA372=$F$3),IF($H$3="(todos)",TRUE,'ORDENES'!$Z372=$H$3),'ORDENES'!$AG372=TRUE,'ORDENES'!$A372&lt;&gt;""),1,0)</f>
        <v/>
      </c>
      <c r="L376" s="24">
        <f>IF(K376=1,IFERROR(MATCH('ORDENES'!$S372,lista_dias,0),9)*1000000000+IFERROR(MATCH('ORDENES'!$AI372,lista_turnos,0),9)*10000000+IFERROR(MATCH('ORDENES'!$AH372,'TECNICOS'!$B$4:$B$19,0),99)*100000+369,9000000000000+369)</f>
        <v/>
      </c>
      <c r="M376" s="24">
        <f>IF(K376=1,SUMPRODUCT(--($L$8:$L$1207&lt;L376))+1,"")</f>
        <v/>
      </c>
      <c r="N376" s="25">
        <f>IF(K376=1,N('ORDENES'!$M372),0)</f>
        <v/>
      </c>
      <c r="O376" s="25">
        <f>IF('ORDENES'!$U372="preventiva",N376,0)</f>
        <v/>
      </c>
      <c r="P376" s="25">
        <f>IF('ORDENES'!$U372="correctiva",N376,0)</f>
        <v/>
      </c>
      <c r="Q376" s="24">
        <f>IF(AND(K376=1,'ORDENES'!$N372="Pendiente"),1,0)</f>
        <v/>
      </c>
      <c r="R376" s="24">
        <f>IF(Q376=1,100000-N376*1000+369*0.01,9000000000000+369)</f>
        <v/>
      </c>
      <c r="S376" s="24">
        <f>IF(Q376=1,SUMPRODUCT(--($R$8:$R$1207&lt;R376))+1,"")</f>
        <v/>
      </c>
      <c r="T376" s="30">
        <f>IF(K376=1,'ORDENES'!$J372,"")</f>
        <v/>
      </c>
    </row>
    <row r="377">
      <c r="K377" s="24">
        <f>IF(AND(IF($B$3="(todos)",TRUE,'ORDENES'!$O373=$B$3),IF($D$3="(todos)",TRUE,'ORDENES'!$AI373=$D$3),IF($F$3="(todos)",TRUE,'ORDENES'!$AA373=$F$3),IF($H$3="(todos)",TRUE,'ORDENES'!$Z373=$H$3),'ORDENES'!$AG373=TRUE,'ORDENES'!$A373&lt;&gt;""),1,0)</f>
        <v/>
      </c>
      <c r="L377" s="24">
        <f>IF(K377=1,IFERROR(MATCH('ORDENES'!$S373,lista_dias,0),9)*1000000000+IFERROR(MATCH('ORDENES'!$AI373,lista_turnos,0),9)*10000000+IFERROR(MATCH('ORDENES'!$AH373,'TECNICOS'!$B$4:$B$19,0),99)*100000+370,9000000000000+370)</f>
        <v/>
      </c>
      <c r="M377" s="24">
        <f>IF(K377=1,SUMPRODUCT(--($L$8:$L$1207&lt;L377))+1,"")</f>
        <v/>
      </c>
      <c r="N377" s="25">
        <f>IF(K377=1,N('ORDENES'!$M373),0)</f>
        <v/>
      </c>
      <c r="O377" s="25">
        <f>IF('ORDENES'!$U373="preventiva",N377,0)</f>
        <v/>
      </c>
      <c r="P377" s="25">
        <f>IF('ORDENES'!$U373="correctiva",N377,0)</f>
        <v/>
      </c>
      <c r="Q377" s="24">
        <f>IF(AND(K377=1,'ORDENES'!$N373="Pendiente"),1,0)</f>
        <v/>
      </c>
      <c r="R377" s="24">
        <f>IF(Q377=1,100000-N377*1000+370*0.01,9000000000000+370)</f>
        <v/>
      </c>
      <c r="S377" s="24">
        <f>IF(Q377=1,SUMPRODUCT(--($R$8:$R$1207&lt;R377))+1,"")</f>
        <v/>
      </c>
      <c r="T377" s="30">
        <f>IF(K377=1,'ORDENES'!$J373,"")</f>
        <v/>
      </c>
    </row>
    <row r="378">
      <c r="K378" s="24">
        <f>IF(AND(IF($B$3="(todos)",TRUE,'ORDENES'!$O374=$B$3),IF($D$3="(todos)",TRUE,'ORDENES'!$AI374=$D$3),IF($F$3="(todos)",TRUE,'ORDENES'!$AA374=$F$3),IF($H$3="(todos)",TRUE,'ORDENES'!$Z374=$H$3),'ORDENES'!$AG374=TRUE,'ORDENES'!$A374&lt;&gt;""),1,0)</f>
        <v/>
      </c>
      <c r="L378" s="24">
        <f>IF(K378=1,IFERROR(MATCH('ORDENES'!$S374,lista_dias,0),9)*1000000000+IFERROR(MATCH('ORDENES'!$AI374,lista_turnos,0),9)*10000000+IFERROR(MATCH('ORDENES'!$AH374,'TECNICOS'!$B$4:$B$19,0),99)*100000+371,9000000000000+371)</f>
        <v/>
      </c>
      <c r="M378" s="24">
        <f>IF(K378=1,SUMPRODUCT(--($L$8:$L$1207&lt;L378))+1,"")</f>
        <v/>
      </c>
      <c r="N378" s="25">
        <f>IF(K378=1,N('ORDENES'!$M374),0)</f>
        <v/>
      </c>
      <c r="O378" s="25">
        <f>IF('ORDENES'!$U374="preventiva",N378,0)</f>
        <v/>
      </c>
      <c r="P378" s="25">
        <f>IF('ORDENES'!$U374="correctiva",N378,0)</f>
        <v/>
      </c>
      <c r="Q378" s="24">
        <f>IF(AND(K378=1,'ORDENES'!$N374="Pendiente"),1,0)</f>
        <v/>
      </c>
      <c r="R378" s="24">
        <f>IF(Q378=1,100000-N378*1000+371*0.01,9000000000000+371)</f>
        <v/>
      </c>
      <c r="S378" s="24">
        <f>IF(Q378=1,SUMPRODUCT(--($R$8:$R$1207&lt;R378))+1,"")</f>
        <v/>
      </c>
      <c r="T378" s="30">
        <f>IF(K378=1,'ORDENES'!$J374,"")</f>
        <v/>
      </c>
    </row>
    <row r="379">
      <c r="K379" s="24">
        <f>IF(AND(IF($B$3="(todos)",TRUE,'ORDENES'!$O375=$B$3),IF($D$3="(todos)",TRUE,'ORDENES'!$AI375=$D$3),IF($F$3="(todos)",TRUE,'ORDENES'!$AA375=$F$3),IF($H$3="(todos)",TRUE,'ORDENES'!$Z375=$H$3),'ORDENES'!$AG375=TRUE,'ORDENES'!$A375&lt;&gt;""),1,0)</f>
        <v/>
      </c>
      <c r="L379" s="24">
        <f>IF(K379=1,IFERROR(MATCH('ORDENES'!$S375,lista_dias,0),9)*1000000000+IFERROR(MATCH('ORDENES'!$AI375,lista_turnos,0),9)*10000000+IFERROR(MATCH('ORDENES'!$AH375,'TECNICOS'!$B$4:$B$19,0),99)*100000+372,9000000000000+372)</f>
        <v/>
      </c>
      <c r="M379" s="24">
        <f>IF(K379=1,SUMPRODUCT(--($L$8:$L$1207&lt;L379))+1,"")</f>
        <v/>
      </c>
      <c r="N379" s="25">
        <f>IF(K379=1,N('ORDENES'!$M375),0)</f>
        <v/>
      </c>
      <c r="O379" s="25">
        <f>IF('ORDENES'!$U375="preventiva",N379,0)</f>
        <v/>
      </c>
      <c r="P379" s="25">
        <f>IF('ORDENES'!$U375="correctiva",N379,0)</f>
        <v/>
      </c>
      <c r="Q379" s="24">
        <f>IF(AND(K379=1,'ORDENES'!$N375="Pendiente"),1,0)</f>
        <v/>
      </c>
      <c r="R379" s="24">
        <f>IF(Q379=1,100000-N379*1000+372*0.01,9000000000000+372)</f>
        <v/>
      </c>
      <c r="S379" s="24">
        <f>IF(Q379=1,SUMPRODUCT(--($R$8:$R$1207&lt;R379))+1,"")</f>
        <v/>
      </c>
      <c r="T379" s="30">
        <f>IF(K379=1,'ORDENES'!$J375,"")</f>
        <v/>
      </c>
    </row>
    <row r="380">
      <c r="K380" s="24">
        <f>IF(AND(IF($B$3="(todos)",TRUE,'ORDENES'!$O376=$B$3),IF($D$3="(todos)",TRUE,'ORDENES'!$AI376=$D$3),IF($F$3="(todos)",TRUE,'ORDENES'!$AA376=$F$3),IF($H$3="(todos)",TRUE,'ORDENES'!$Z376=$H$3),'ORDENES'!$AG376=TRUE,'ORDENES'!$A376&lt;&gt;""),1,0)</f>
        <v/>
      </c>
      <c r="L380" s="24">
        <f>IF(K380=1,IFERROR(MATCH('ORDENES'!$S376,lista_dias,0),9)*1000000000+IFERROR(MATCH('ORDENES'!$AI376,lista_turnos,0),9)*10000000+IFERROR(MATCH('ORDENES'!$AH376,'TECNICOS'!$B$4:$B$19,0),99)*100000+373,9000000000000+373)</f>
        <v/>
      </c>
      <c r="M380" s="24">
        <f>IF(K380=1,SUMPRODUCT(--($L$8:$L$1207&lt;L380))+1,"")</f>
        <v/>
      </c>
      <c r="N380" s="25">
        <f>IF(K380=1,N('ORDENES'!$M376),0)</f>
        <v/>
      </c>
      <c r="O380" s="25">
        <f>IF('ORDENES'!$U376="preventiva",N380,0)</f>
        <v/>
      </c>
      <c r="P380" s="25">
        <f>IF('ORDENES'!$U376="correctiva",N380,0)</f>
        <v/>
      </c>
      <c r="Q380" s="24">
        <f>IF(AND(K380=1,'ORDENES'!$N376="Pendiente"),1,0)</f>
        <v/>
      </c>
      <c r="R380" s="24">
        <f>IF(Q380=1,100000-N380*1000+373*0.01,9000000000000+373)</f>
        <v/>
      </c>
      <c r="S380" s="24">
        <f>IF(Q380=1,SUMPRODUCT(--($R$8:$R$1207&lt;R380))+1,"")</f>
        <v/>
      </c>
      <c r="T380" s="30">
        <f>IF(K380=1,'ORDENES'!$J376,"")</f>
        <v/>
      </c>
    </row>
    <row r="381">
      <c r="K381" s="24">
        <f>IF(AND(IF($B$3="(todos)",TRUE,'ORDENES'!$O377=$B$3),IF($D$3="(todos)",TRUE,'ORDENES'!$AI377=$D$3),IF($F$3="(todos)",TRUE,'ORDENES'!$AA377=$F$3),IF($H$3="(todos)",TRUE,'ORDENES'!$Z377=$H$3),'ORDENES'!$AG377=TRUE,'ORDENES'!$A377&lt;&gt;""),1,0)</f>
        <v/>
      </c>
      <c r="L381" s="24">
        <f>IF(K381=1,IFERROR(MATCH('ORDENES'!$S377,lista_dias,0),9)*1000000000+IFERROR(MATCH('ORDENES'!$AI377,lista_turnos,0),9)*10000000+IFERROR(MATCH('ORDENES'!$AH377,'TECNICOS'!$B$4:$B$19,0),99)*100000+374,9000000000000+374)</f>
        <v/>
      </c>
      <c r="M381" s="24">
        <f>IF(K381=1,SUMPRODUCT(--($L$8:$L$1207&lt;L381))+1,"")</f>
        <v/>
      </c>
      <c r="N381" s="25">
        <f>IF(K381=1,N('ORDENES'!$M377),0)</f>
        <v/>
      </c>
      <c r="O381" s="25">
        <f>IF('ORDENES'!$U377="preventiva",N381,0)</f>
        <v/>
      </c>
      <c r="P381" s="25">
        <f>IF('ORDENES'!$U377="correctiva",N381,0)</f>
        <v/>
      </c>
      <c r="Q381" s="24">
        <f>IF(AND(K381=1,'ORDENES'!$N377="Pendiente"),1,0)</f>
        <v/>
      </c>
      <c r="R381" s="24">
        <f>IF(Q381=1,100000-N381*1000+374*0.01,9000000000000+374)</f>
        <v/>
      </c>
      <c r="S381" s="24">
        <f>IF(Q381=1,SUMPRODUCT(--($R$8:$R$1207&lt;R381))+1,"")</f>
        <v/>
      </c>
      <c r="T381" s="30">
        <f>IF(K381=1,'ORDENES'!$J377,"")</f>
        <v/>
      </c>
    </row>
    <row r="382">
      <c r="K382" s="24">
        <f>IF(AND(IF($B$3="(todos)",TRUE,'ORDENES'!$O378=$B$3),IF($D$3="(todos)",TRUE,'ORDENES'!$AI378=$D$3),IF($F$3="(todos)",TRUE,'ORDENES'!$AA378=$F$3),IF($H$3="(todos)",TRUE,'ORDENES'!$Z378=$H$3),'ORDENES'!$AG378=TRUE,'ORDENES'!$A378&lt;&gt;""),1,0)</f>
        <v/>
      </c>
      <c r="L382" s="24">
        <f>IF(K382=1,IFERROR(MATCH('ORDENES'!$S378,lista_dias,0),9)*1000000000+IFERROR(MATCH('ORDENES'!$AI378,lista_turnos,0),9)*10000000+IFERROR(MATCH('ORDENES'!$AH378,'TECNICOS'!$B$4:$B$19,0),99)*100000+375,9000000000000+375)</f>
        <v/>
      </c>
      <c r="M382" s="24">
        <f>IF(K382=1,SUMPRODUCT(--($L$8:$L$1207&lt;L382))+1,"")</f>
        <v/>
      </c>
      <c r="N382" s="25">
        <f>IF(K382=1,N('ORDENES'!$M378),0)</f>
        <v/>
      </c>
      <c r="O382" s="25">
        <f>IF('ORDENES'!$U378="preventiva",N382,0)</f>
        <v/>
      </c>
      <c r="P382" s="25">
        <f>IF('ORDENES'!$U378="correctiva",N382,0)</f>
        <v/>
      </c>
      <c r="Q382" s="24">
        <f>IF(AND(K382=1,'ORDENES'!$N378="Pendiente"),1,0)</f>
        <v/>
      </c>
      <c r="R382" s="24">
        <f>IF(Q382=1,100000-N382*1000+375*0.01,9000000000000+375)</f>
        <v/>
      </c>
      <c r="S382" s="24">
        <f>IF(Q382=1,SUMPRODUCT(--($R$8:$R$1207&lt;R382))+1,"")</f>
        <v/>
      </c>
      <c r="T382" s="30">
        <f>IF(K382=1,'ORDENES'!$J378,"")</f>
        <v/>
      </c>
    </row>
    <row r="383">
      <c r="K383" s="24">
        <f>IF(AND(IF($B$3="(todos)",TRUE,'ORDENES'!$O379=$B$3),IF($D$3="(todos)",TRUE,'ORDENES'!$AI379=$D$3),IF($F$3="(todos)",TRUE,'ORDENES'!$AA379=$F$3),IF($H$3="(todos)",TRUE,'ORDENES'!$Z379=$H$3),'ORDENES'!$AG379=TRUE,'ORDENES'!$A379&lt;&gt;""),1,0)</f>
        <v/>
      </c>
      <c r="L383" s="24">
        <f>IF(K383=1,IFERROR(MATCH('ORDENES'!$S379,lista_dias,0),9)*1000000000+IFERROR(MATCH('ORDENES'!$AI379,lista_turnos,0),9)*10000000+IFERROR(MATCH('ORDENES'!$AH379,'TECNICOS'!$B$4:$B$19,0),99)*100000+376,9000000000000+376)</f>
        <v/>
      </c>
      <c r="M383" s="24">
        <f>IF(K383=1,SUMPRODUCT(--($L$8:$L$1207&lt;L383))+1,"")</f>
        <v/>
      </c>
      <c r="N383" s="25">
        <f>IF(K383=1,N('ORDENES'!$M379),0)</f>
        <v/>
      </c>
      <c r="O383" s="25">
        <f>IF('ORDENES'!$U379="preventiva",N383,0)</f>
        <v/>
      </c>
      <c r="P383" s="25">
        <f>IF('ORDENES'!$U379="correctiva",N383,0)</f>
        <v/>
      </c>
      <c r="Q383" s="24">
        <f>IF(AND(K383=1,'ORDENES'!$N379="Pendiente"),1,0)</f>
        <v/>
      </c>
      <c r="R383" s="24">
        <f>IF(Q383=1,100000-N383*1000+376*0.01,9000000000000+376)</f>
        <v/>
      </c>
      <c r="S383" s="24">
        <f>IF(Q383=1,SUMPRODUCT(--($R$8:$R$1207&lt;R383))+1,"")</f>
        <v/>
      </c>
      <c r="T383" s="30">
        <f>IF(K383=1,'ORDENES'!$J379,"")</f>
        <v/>
      </c>
    </row>
    <row r="384">
      <c r="K384" s="24">
        <f>IF(AND(IF($B$3="(todos)",TRUE,'ORDENES'!$O380=$B$3),IF($D$3="(todos)",TRUE,'ORDENES'!$AI380=$D$3),IF($F$3="(todos)",TRUE,'ORDENES'!$AA380=$F$3),IF($H$3="(todos)",TRUE,'ORDENES'!$Z380=$H$3),'ORDENES'!$AG380=TRUE,'ORDENES'!$A380&lt;&gt;""),1,0)</f>
        <v/>
      </c>
      <c r="L384" s="24">
        <f>IF(K384=1,IFERROR(MATCH('ORDENES'!$S380,lista_dias,0),9)*1000000000+IFERROR(MATCH('ORDENES'!$AI380,lista_turnos,0),9)*10000000+IFERROR(MATCH('ORDENES'!$AH380,'TECNICOS'!$B$4:$B$19,0),99)*100000+377,9000000000000+377)</f>
        <v/>
      </c>
      <c r="M384" s="24">
        <f>IF(K384=1,SUMPRODUCT(--($L$8:$L$1207&lt;L384))+1,"")</f>
        <v/>
      </c>
      <c r="N384" s="25">
        <f>IF(K384=1,N('ORDENES'!$M380),0)</f>
        <v/>
      </c>
      <c r="O384" s="25">
        <f>IF('ORDENES'!$U380="preventiva",N384,0)</f>
        <v/>
      </c>
      <c r="P384" s="25">
        <f>IF('ORDENES'!$U380="correctiva",N384,0)</f>
        <v/>
      </c>
      <c r="Q384" s="24">
        <f>IF(AND(K384=1,'ORDENES'!$N380="Pendiente"),1,0)</f>
        <v/>
      </c>
      <c r="R384" s="24">
        <f>IF(Q384=1,100000-N384*1000+377*0.01,9000000000000+377)</f>
        <v/>
      </c>
      <c r="S384" s="24">
        <f>IF(Q384=1,SUMPRODUCT(--($R$8:$R$1207&lt;R384))+1,"")</f>
        <v/>
      </c>
      <c r="T384" s="30">
        <f>IF(K384=1,'ORDENES'!$J380,"")</f>
        <v/>
      </c>
    </row>
    <row r="385">
      <c r="K385" s="24">
        <f>IF(AND(IF($B$3="(todos)",TRUE,'ORDENES'!$O381=$B$3),IF($D$3="(todos)",TRUE,'ORDENES'!$AI381=$D$3),IF($F$3="(todos)",TRUE,'ORDENES'!$AA381=$F$3),IF($H$3="(todos)",TRUE,'ORDENES'!$Z381=$H$3),'ORDENES'!$AG381=TRUE,'ORDENES'!$A381&lt;&gt;""),1,0)</f>
        <v/>
      </c>
      <c r="L385" s="24">
        <f>IF(K385=1,IFERROR(MATCH('ORDENES'!$S381,lista_dias,0),9)*1000000000+IFERROR(MATCH('ORDENES'!$AI381,lista_turnos,0),9)*10000000+IFERROR(MATCH('ORDENES'!$AH381,'TECNICOS'!$B$4:$B$19,0),99)*100000+378,9000000000000+378)</f>
        <v/>
      </c>
      <c r="M385" s="24">
        <f>IF(K385=1,SUMPRODUCT(--($L$8:$L$1207&lt;L385))+1,"")</f>
        <v/>
      </c>
      <c r="N385" s="25">
        <f>IF(K385=1,N('ORDENES'!$M381),0)</f>
        <v/>
      </c>
      <c r="O385" s="25">
        <f>IF('ORDENES'!$U381="preventiva",N385,0)</f>
        <v/>
      </c>
      <c r="P385" s="25">
        <f>IF('ORDENES'!$U381="correctiva",N385,0)</f>
        <v/>
      </c>
      <c r="Q385" s="24">
        <f>IF(AND(K385=1,'ORDENES'!$N381="Pendiente"),1,0)</f>
        <v/>
      </c>
      <c r="R385" s="24">
        <f>IF(Q385=1,100000-N385*1000+378*0.01,9000000000000+378)</f>
        <v/>
      </c>
      <c r="S385" s="24">
        <f>IF(Q385=1,SUMPRODUCT(--($R$8:$R$1207&lt;R385))+1,"")</f>
        <v/>
      </c>
      <c r="T385" s="30">
        <f>IF(K385=1,'ORDENES'!$J381,"")</f>
        <v/>
      </c>
    </row>
    <row r="386">
      <c r="K386" s="24">
        <f>IF(AND(IF($B$3="(todos)",TRUE,'ORDENES'!$O382=$B$3),IF($D$3="(todos)",TRUE,'ORDENES'!$AI382=$D$3),IF($F$3="(todos)",TRUE,'ORDENES'!$AA382=$F$3),IF($H$3="(todos)",TRUE,'ORDENES'!$Z382=$H$3),'ORDENES'!$AG382=TRUE,'ORDENES'!$A382&lt;&gt;""),1,0)</f>
        <v/>
      </c>
      <c r="L386" s="24">
        <f>IF(K386=1,IFERROR(MATCH('ORDENES'!$S382,lista_dias,0),9)*1000000000+IFERROR(MATCH('ORDENES'!$AI382,lista_turnos,0),9)*10000000+IFERROR(MATCH('ORDENES'!$AH382,'TECNICOS'!$B$4:$B$19,0),99)*100000+379,9000000000000+379)</f>
        <v/>
      </c>
      <c r="M386" s="24">
        <f>IF(K386=1,SUMPRODUCT(--($L$8:$L$1207&lt;L386))+1,"")</f>
        <v/>
      </c>
      <c r="N386" s="25">
        <f>IF(K386=1,N('ORDENES'!$M382),0)</f>
        <v/>
      </c>
      <c r="O386" s="25">
        <f>IF('ORDENES'!$U382="preventiva",N386,0)</f>
        <v/>
      </c>
      <c r="P386" s="25">
        <f>IF('ORDENES'!$U382="correctiva",N386,0)</f>
        <v/>
      </c>
      <c r="Q386" s="24">
        <f>IF(AND(K386=1,'ORDENES'!$N382="Pendiente"),1,0)</f>
        <v/>
      </c>
      <c r="R386" s="24">
        <f>IF(Q386=1,100000-N386*1000+379*0.01,9000000000000+379)</f>
        <v/>
      </c>
      <c r="S386" s="24">
        <f>IF(Q386=1,SUMPRODUCT(--($R$8:$R$1207&lt;R386))+1,"")</f>
        <v/>
      </c>
      <c r="T386" s="30">
        <f>IF(K386=1,'ORDENES'!$J382,"")</f>
        <v/>
      </c>
    </row>
    <row r="387">
      <c r="K387" s="24">
        <f>IF(AND(IF($B$3="(todos)",TRUE,'ORDENES'!$O383=$B$3),IF($D$3="(todos)",TRUE,'ORDENES'!$AI383=$D$3),IF($F$3="(todos)",TRUE,'ORDENES'!$AA383=$F$3),IF($H$3="(todos)",TRUE,'ORDENES'!$Z383=$H$3),'ORDENES'!$AG383=TRUE,'ORDENES'!$A383&lt;&gt;""),1,0)</f>
        <v/>
      </c>
      <c r="L387" s="24">
        <f>IF(K387=1,IFERROR(MATCH('ORDENES'!$S383,lista_dias,0),9)*1000000000+IFERROR(MATCH('ORDENES'!$AI383,lista_turnos,0),9)*10000000+IFERROR(MATCH('ORDENES'!$AH383,'TECNICOS'!$B$4:$B$19,0),99)*100000+380,9000000000000+380)</f>
        <v/>
      </c>
      <c r="M387" s="24">
        <f>IF(K387=1,SUMPRODUCT(--($L$8:$L$1207&lt;L387))+1,"")</f>
        <v/>
      </c>
      <c r="N387" s="25">
        <f>IF(K387=1,N('ORDENES'!$M383),0)</f>
        <v/>
      </c>
      <c r="O387" s="25">
        <f>IF('ORDENES'!$U383="preventiva",N387,0)</f>
        <v/>
      </c>
      <c r="P387" s="25">
        <f>IF('ORDENES'!$U383="correctiva",N387,0)</f>
        <v/>
      </c>
      <c r="Q387" s="24">
        <f>IF(AND(K387=1,'ORDENES'!$N383="Pendiente"),1,0)</f>
        <v/>
      </c>
      <c r="R387" s="24">
        <f>IF(Q387=1,100000-N387*1000+380*0.01,9000000000000+380)</f>
        <v/>
      </c>
      <c r="S387" s="24">
        <f>IF(Q387=1,SUMPRODUCT(--($R$8:$R$1207&lt;R387))+1,"")</f>
        <v/>
      </c>
      <c r="T387" s="30">
        <f>IF(K387=1,'ORDENES'!$J383,"")</f>
        <v/>
      </c>
    </row>
    <row r="388">
      <c r="K388" s="24">
        <f>IF(AND(IF($B$3="(todos)",TRUE,'ORDENES'!$O384=$B$3),IF($D$3="(todos)",TRUE,'ORDENES'!$AI384=$D$3),IF($F$3="(todos)",TRUE,'ORDENES'!$AA384=$F$3),IF($H$3="(todos)",TRUE,'ORDENES'!$Z384=$H$3),'ORDENES'!$AG384=TRUE,'ORDENES'!$A384&lt;&gt;""),1,0)</f>
        <v/>
      </c>
      <c r="L388" s="24">
        <f>IF(K388=1,IFERROR(MATCH('ORDENES'!$S384,lista_dias,0),9)*1000000000+IFERROR(MATCH('ORDENES'!$AI384,lista_turnos,0),9)*10000000+IFERROR(MATCH('ORDENES'!$AH384,'TECNICOS'!$B$4:$B$19,0),99)*100000+381,9000000000000+381)</f>
        <v/>
      </c>
      <c r="M388" s="24">
        <f>IF(K388=1,SUMPRODUCT(--($L$8:$L$1207&lt;L388))+1,"")</f>
        <v/>
      </c>
      <c r="N388" s="25">
        <f>IF(K388=1,N('ORDENES'!$M384),0)</f>
        <v/>
      </c>
      <c r="O388" s="25">
        <f>IF('ORDENES'!$U384="preventiva",N388,0)</f>
        <v/>
      </c>
      <c r="P388" s="25">
        <f>IF('ORDENES'!$U384="correctiva",N388,0)</f>
        <v/>
      </c>
      <c r="Q388" s="24">
        <f>IF(AND(K388=1,'ORDENES'!$N384="Pendiente"),1,0)</f>
        <v/>
      </c>
      <c r="R388" s="24">
        <f>IF(Q388=1,100000-N388*1000+381*0.01,9000000000000+381)</f>
        <v/>
      </c>
      <c r="S388" s="24">
        <f>IF(Q388=1,SUMPRODUCT(--($R$8:$R$1207&lt;R388))+1,"")</f>
        <v/>
      </c>
      <c r="T388" s="30">
        <f>IF(K388=1,'ORDENES'!$J384,"")</f>
        <v/>
      </c>
    </row>
    <row r="389">
      <c r="K389" s="24">
        <f>IF(AND(IF($B$3="(todos)",TRUE,'ORDENES'!$O385=$B$3),IF($D$3="(todos)",TRUE,'ORDENES'!$AI385=$D$3),IF($F$3="(todos)",TRUE,'ORDENES'!$AA385=$F$3),IF($H$3="(todos)",TRUE,'ORDENES'!$Z385=$H$3),'ORDENES'!$AG385=TRUE,'ORDENES'!$A385&lt;&gt;""),1,0)</f>
        <v/>
      </c>
      <c r="L389" s="24">
        <f>IF(K389=1,IFERROR(MATCH('ORDENES'!$S385,lista_dias,0),9)*1000000000+IFERROR(MATCH('ORDENES'!$AI385,lista_turnos,0),9)*10000000+IFERROR(MATCH('ORDENES'!$AH385,'TECNICOS'!$B$4:$B$19,0),99)*100000+382,9000000000000+382)</f>
        <v/>
      </c>
      <c r="M389" s="24">
        <f>IF(K389=1,SUMPRODUCT(--($L$8:$L$1207&lt;L389))+1,"")</f>
        <v/>
      </c>
      <c r="N389" s="25">
        <f>IF(K389=1,N('ORDENES'!$M385),0)</f>
        <v/>
      </c>
      <c r="O389" s="25">
        <f>IF('ORDENES'!$U385="preventiva",N389,0)</f>
        <v/>
      </c>
      <c r="P389" s="25">
        <f>IF('ORDENES'!$U385="correctiva",N389,0)</f>
        <v/>
      </c>
      <c r="Q389" s="24">
        <f>IF(AND(K389=1,'ORDENES'!$N385="Pendiente"),1,0)</f>
        <v/>
      </c>
      <c r="R389" s="24">
        <f>IF(Q389=1,100000-N389*1000+382*0.01,9000000000000+382)</f>
        <v/>
      </c>
      <c r="S389" s="24">
        <f>IF(Q389=1,SUMPRODUCT(--($R$8:$R$1207&lt;R389))+1,"")</f>
        <v/>
      </c>
      <c r="T389" s="30">
        <f>IF(K389=1,'ORDENES'!$J385,"")</f>
        <v/>
      </c>
    </row>
    <row r="390">
      <c r="K390" s="24">
        <f>IF(AND(IF($B$3="(todos)",TRUE,'ORDENES'!$O386=$B$3),IF($D$3="(todos)",TRUE,'ORDENES'!$AI386=$D$3),IF($F$3="(todos)",TRUE,'ORDENES'!$AA386=$F$3),IF($H$3="(todos)",TRUE,'ORDENES'!$Z386=$H$3),'ORDENES'!$AG386=TRUE,'ORDENES'!$A386&lt;&gt;""),1,0)</f>
        <v/>
      </c>
      <c r="L390" s="24">
        <f>IF(K390=1,IFERROR(MATCH('ORDENES'!$S386,lista_dias,0),9)*1000000000+IFERROR(MATCH('ORDENES'!$AI386,lista_turnos,0),9)*10000000+IFERROR(MATCH('ORDENES'!$AH386,'TECNICOS'!$B$4:$B$19,0),99)*100000+383,9000000000000+383)</f>
        <v/>
      </c>
      <c r="M390" s="24">
        <f>IF(K390=1,SUMPRODUCT(--($L$8:$L$1207&lt;L390))+1,"")</f>
        <v/>
      </c>
      <c r="N390" s="25">
        <f>IF(K390=1,N('ORDENES'!$M386),0)</f>
        <v/>
      </c>
      <c r="O390" s="25">
        <f>IF('ORDENES'!$U386="preventiva",N390,0)</f>
        <v/>
      </c>
      <c r="P390" s="25">
        <f>IF('ORDENES'!$U386="correctiva",N390,0)</f>
        <v/>
      </c>
      <c r="Q390" s="24">
        <f>IF(AND(K390=1,'ORDENES'!$N386="Pendiente"),1,0)</f>
        <v/>
      </c>
      <c r="R390" s="24">
        <f>IF(Q390=1,100000-N390*1000+383*0.01,9000000000000+383)</f>
        <v/>
      </c>
      <c r="S390" s="24">
        <f>IF(Q390=1,SUMPRODUCT(--($R$8:$R$1207&lt;R390))+1,"")</f>
        <v/>
      </c>
      <c r="T390" s="30">
        <f>IF(K390=1,'ORDENES'!$J386,"")</f>
        <v/>
      </c>
    </row>
    <row r="391">
      <c r="K391" s="24">
        <f>IF(AND(IF($B$3="(todos)",TRUE,'ORDENES'!$O387=$B$3),IF($D$3="(todos)",TRUE,'ORDENES'!$AI387=$D$3),IF($F$3="(todos)",TRUE,'ORDENES'!$AA387=$F$3),IF($H$3="(todos)",TRUE,'ORDENES'!$Z387=$H$3),'ORDENES'!$AG387=TRUE,'ORDENES'!$A387&lt;&gt;""),1,0)</f>
        <v/>
      </c>
      <c r="L391" s="24">
        <f>IF(K391=1,IFERROR(MATCH('ORDENES'!$S387,lista_dias,0),9)*1000000000+IFERROR(MATCH('ORDENES'!$AI387,lista_turnos,0),9)*10000000+IFERROR(MATCH('ORDENES'!$AH387,'TECNICOS'!$B$4:$B$19,0),99)*100000+384,9000000000000+384)</f>
        <v/>
      </c>
      <c r="M391" s="24">
        <f>IF(K391=1,SUMPRODUCT(--($L$8:$L$1207&lt;L391))+1,"")</f>
        <v/>
      </c>
      <c r="N391" s="25">
        <f>IF(K391=1,N('ORDENES'!$M387),0)</f>
        <v/>
      </c>
      <c r="O391" s="25">
        <f>IF('ORDENES'!$U387="preventiva",N391,0)</f>
        <v/>
      </c>
      <c r="P391" s="25">
        <f>IF('ORDENES'!$U387="correctiva",N391,0)</f>
        <v/>
      </c>
      <c r="Q391" s="24">
        <f>IF(AND(K391=1,'ORDENES'!$N387="Pendiente"),1,0)</f>
        <v/>
      </c>
      <c r="R391" s="24">
        <f>IF(Q391=1,100000-N391*1000+384*0.01,9000000000000+384)</f>
        <v/>
      </c>
      <c r="S391" s="24">
        <f>IF(Q391=1,SUMPRODUCT(--($R$8:$R$1207&lt;R391))+1,"")</f>
        <v/>
      </c>
      <c r="T391" s="30">
        <f>IF(K391=1,'ORDENES'!$J387,"")</f>
        <v/>
      </c>
    </row>
    <row r="392">
      <c r="K392" s="24">
        <f>IF(AND(IF($B$3="(todos)",TRUE,'ORDENES'!$O388=$B$3),IF($D$3="(todos)",TRUE,'ORDENES'!$AI388=$D$3),IF($F$3="(todos)",TRUE,'ORDENES'!$AA388=$F$3),IF($H$3="(todos)",TRUE,'ORDENES'!$Z388=$H$3),'ORDENES'!$AG388=TRUE,'ORDENES'!$A388&lt;&gt;""),1,0)</f>
        <v/>
      </c>
      <c r="L392" s="24">
        <f>IF(K392=1,IFERROR(MATCH('ORDENES'!$S388,lista_dias,0),9)*1000000000+IFERROR(MATCH('ORDENES'!$AI388,lista_turnos,0),9)*10000000+IFERROR(MATCH('ORDENES'!$AH388,'TECNICOS'!$B$4:$B$19,0),99)*100000+385,9000000000000+385)</f>
        <v/>
      </c>
      <c r="M392" s="24">
        <f>IF(K392=1,SUMPRODUCT(--($L$8:$L$1207&lt;L392))+1,"")</f>
        <v/>
      </c>
      <c r="N392" s="25">
        <f>IF(K392=1,N('ORDENES'!$M388),0)</f>
        <v/>
      </c>
      <c r="O392" s="25">
        <f>IF('ORDENES'!$U388="preventiva",N392,0)</f>
        <v/>
      </c>
      <c r="P392" s="25">
        <f>IF('ORDENES'!$U388="correctiva",N392,0)</f>
        <v/>
      </c>
      <c r="Q392" s="24">
        <f>IF(AND(K392=1,'ORDENES'!$N388="Pendiente"),1,0)</f>
        <v/>
      </c>
      <c r="R392" s="24">
        <f>IF(Q392=1,100000-N392*1000+385*0.01,9000000000000+385)</f>
        <v/>
      </c>
      <c r="S392" s="24">
        <f>IF(Q392=1,SUMPRODUCT(--($R$8:$R$1207&lt;R392))+1,"")</f>
        <v/>
      </c>
      <c r="T392" s="30">
        <f>IF(K392=1,'ORDENES'!$J388,"")</f>
        <v/>
      </c>
    </row>
    <row r="393">
      <c r="K393" s="24">
        <f>IF(AND(IF($B$3="(todos)",TRUE,'ORDENES'!$O389=$B$3),IF($D$3="(todos)",TRUE,'ORDENES'!$AI389=$D$3),IF($F$3="(todos)",TRUE,'ORDENES'!$AA389=$F$3),IF($H$3="(todos)",TRUE,'ORDENES'!$Z389=$H$3),'ORDENES'!$AG389=TRUE,'ORDENES'!$A389&lt;&gt;""),1,0)</f>
        <v/>
      </c>
      <c r="L393" s="24">
        <f>IF(K393=1,IFERROR(MATCH('ORDENES'!$S389,lista_dias,0),9)*1000000000+IFERROR(MATCH('ORDENES'!$AI389,lista_turnos,0),9)*10000000+IFERROR(MATCH('ORDENES'!$AH389,'TECNICOS'!$B$4:$B$19,0),99)*100000+386,9000000000000+386)</f>
        <v/>
      </c>
      <c r="M393" s="24">
        <f>IF(K393=1,SUMPRODUCT(--($L$8:$L$1207&lt;L393))+1,"")</f>
        <v/>
      </c>
      <c r="N393" s="25">
        <f>IF(K393=1,N('ORDENES'!$M389),0)</f>
        <v/>
      </c>
      <c r="O393" s="25">
        <f>IF('ORDENES'!$U389="preventiva",N393,0)</f>
        <v/>
      </c>
      <c r="P393" s="25">
        <f>IF('ORDENES'!$U389="correctiva",N393,0)</f>
        <v/>
      </c>
      <c r="Q393" s="24">
        <f>IF(AND(K393=1,'ORDENES'!$N389="Pendiente"),1,0)</f>
        <v/>
      </c>
      <c r="R393" s="24">
        <f>IF(Q393=1,100000-N393*1000+386*0.01,9000000000000+386)</f>
        <v/>
      </c>
      <c r="S393" s="24">
        <f>IF(Q393=1,SUMPRODUCT(--($R$8:$R$1207&lt;R393))+1,"")</f>
        <v/>
      </c>
      <c r="T393" s="30">
        <f>IF(K393=1,'ORDENES'!$J389,"")</f>
        <v/>
      </c>
    </row>
    <row r="394">
      <c r="K394" s="24">
        <f>IF(AND(IF($B$3="(todos)",TRUE,'ORDENES'!$O390=$B$3),IF($D$3="(todos)",TRUE,'ORDENES'!$AI390=$D$3),IF($F$3="(todos)",TRUE,'ORDENES'!$AA390=$F$3),IF($H$3="(todos)",TRUE,'ORDENES'!$Z390=$H$3),'ORDENES'!$AG390=TRUE,'ORDENES'!$A390&lt;&gt;""),1,0)</f>
        <v/>
      </c>
      <c r="L394" s="24">
        <f>IF(K394=1,IFERROR(MATCH('ORDENES'!$S390,lista_dias,0),9)*1000000000+IFERROR(MATCH('ORDENES'!$AI390,lista_turnos,0),9)*10000000+IFERROR(MATCH('ORDENES'!$AH390,'TECNICOS'!$B$4:$B$19,0),99)*100000+387,9000000000000+387)</f>
        <v/>
      </c>
      <c r="M394" s="24">
        <f>IF(K394=1,SUMPRODUCT(--($L$8:$L$1207&lt;L394))+1,"")</f>
        <v/>
      </c>
      <c r="N394" s="25">
        <f>IF(K394=1,N('ORDENES'!$M390),0)</f>
        <v/>
      </c>
      <c r="O394" s="25">
        <f>IF('ORDENES'!$U390="preventiva",N394,0)</f>
        <v/>
      </c>
      <c r="P394" s="25">
        <f>IF('ORDENES'!$U390="correctiva",N394,0)</f>
        <v/>
      </c>
      <c r="Q394" s="24">
        <f>IF(AND(K394=1,'ORDENES'!$N390="Pendiente"),1,0)</f>
        <v/>
      </c>
      <c r="R394" s="24">
        <f>IF(Q394=1,100000-N394*1000+387*0.01,9000000000000+387)</f>
        <v/>
      </c>
      <c r="S394" s="24">
        <f>IF(Q394=1,SUMPRODUCT(--($R$8:$R$1207&lt;R394))+1,"")</f>
        <v/>
      </c>
      <c r="T394" s="30">
        <f>IF(K394=1,'ORDENES'!$J390,"")</f>
        <v/>
      </c>
    </row>
    <row r="395">
      <c r="K395" s="24">
        <f>IF(AND(IF($B$3="(todos)",TRUE,'ORDENES'!$O391=$B$3),IF($D$3="(todos)",TRUE,'ORDENES'!$AI391=$D$3),IF($F$3="(todos)",TRUE,'ORDENES'!$AA391=$F$3),IF($H$3="(todos)",TRUE,'ORDENES'!$Z391=$H$3),'ORDENES'!$AG391=TRUE,'ORDENES'!$A391&lt;&gt;""),1,0)</f>
        <v/>
      </c>
      <c r="L395" s="24">
        <f>IF(K395=1,IFERROR(MATCH('ORDENES'!$S391,lista_dias,0),9)*1000000000+IFERROR(MATCH('ORDENES'!$AI391,lista_turnos,0),9)*10000000+IFERROR(MATCH('ORDENES'!$AH391,'TECNICOS'!$B$4:$B$19,0),99)*100000+388,9000000000000+388)</f>
        <v/>
      </c>
      <c r="M395" s="24">
        <f>IF(K395=1,SUMPRODUCT(--($L$8:$L$1207&lt;L395))+1,"")</f>
        <v/>
      </c>
      <c r="N395" s="25">
        <f>IF(K395=1,N('ORDENES'!$M391),0)</f>
        <v/>
      </c>
      <c r="O395" s="25">
        <f>IF('ORDENES'!$U391="preventiva",N395,0)</f>
        <v/>
      </c>
      <c r="P395" s="25">
        <f>IF('ORDENES'!$U391="correctiva",N395,0)</f>
        <v/>
      </c>
      <c r="Q395" s="24">
        <f>IF(AND(K395=1,'ORDENES'!$N391="Pendiente"),1,0)</f>
        <v/>
      </c>
      <c r="R395" s="24">
        <f>IF(Q395=1,100000-N395*1000+388*0.01,9000000000000+388)</f>
        <v/>
      </c>
      <c r="S395" s="24">
        <f>IF(Q395=1,SUMPRODUCT(--($R$8:$R$1207&lt;R395))+1,"")</f>
        <v/>
      </c>
      <c r="T395" s="30">
        <f>IF(K395=1,'ORDENES'!$J391,"")</f>
        <v/>
      </c>
    </row>
    <row r="396">
      <c r="K396" s="24">
        <f>IF(AND(IF($B$3="(todos)",TRUE,'ORDENES'!$O392=$B$3),IF($D$3="(todos)",TRUE,'ORDENES'!$AI392=$D$3),IF($F$3="(todos)",TRUE,'ORDENES'!$AA392=$F$3),IF($H$3="(todos)",TRUE,'ORDENES'!$Z392=$H$3),'ORDENES'!$AG392=TRUE,'ORDENES'!$A392&lt;&gt;""),1,0)</f>
        <v/>
      </c>
      <c r="L396" s="24">
        <f>IF(K396=1,IFERROR(MATCH('ORDENES'!$S392,lista_dias,0),9)*1000000000+IFERROR(MATCH('ORDENES'!$AI392,lista_turnos,0),9)*10000000+IFERROR(MATCH('ORDENES'!$AH392,'TECNICOS'!$B$4:$B$19,0),99)*100000+389,9000000000000+389)</f>
        <v/>
      </c>
      <c r="M396" s="24">
        <f>IF(K396=1,SUMPRODUCT(--($L$8:$L$1207&lt;L396))+1,"")</f>
        <v/>
      </c>
      <c r="N396" s="25">
        <f>IF(K396=1,N('ORDENES'!$M392),0)</f>
        <v/>
      </c>
      <c r="O396" s="25">
        <f>IF('ORDENES'!$U392="preventiva",N396,0)</f>
        <v/>
      </c>
      <c r="P396" s="25">
        <f>IF('ORDENES'!$U392="correctiva",N396,0)</f>
        <v/>
      </c>
      <c r="Q396" s="24">
        <f>IF(AND(K396=1,'ORDENES'!$N392="Pendiente"),1,0)</f>
        <v/>
      </c>
      <c r="R396" s="24">
        <f>IF(Q396=1,100000-N396*1000+389*0.01,9000000000000+389)</f>
        <v/>
      </c>
      <c r="S396" s="24">
        <f>IF(Q396=1,SUMPRODUCT(--($R$8:$R$1207&lt;R396))+1,"")</f>
        <v/>
      </c>
      <c r="T396" s="30">
        <f>IF(K396=1,'ORDENES'!$J392,"")</f>
        <v/>
      </c>
    </row>
    <row r="397">
      <c r="K397" s="24">
        <f>IF(AND(IF($B$3="(todos)",TRUE,'ORDENES'!$O393=$B$3),IF($D$3="(todos)",TRUE,'ORDENES'!$AI393=$D$3),IF($F$3="(todos)",TRUE,'ORDENES'!$AA393=$F$3),IF($H$3="(todos)",TRUE,'ORDENES'!$Z393=$H$3),'ORDENES'!$AG393=TRUE,'ORDENES'!$A393&lt;&gt;""),1,0)</f>
        <v/>
      </c>
      <c r="L397" s="24">
        <f>IF(K397=1,IFERROR(MATCH('ORDENES'!$S393,lista_dias,0),9)*1000000000+IFERROR(MATCH('ORDENES'!$AI393,lista_turnos,0),9)*10000000+IFERROR(MATCH('ORDENES'!$AH393,'TECNICOS'!$B$4:$B$19,0),99)*100000+390,9000000000000+390)</f>
        <v/>
      </c>
      <c r="M397" s="24">
        <f>IF(K397=1,SUMPRODUCT(--($L$8:$L$1207&lt;L397))+1,"")</f>
        <v/>
      </c>
      <c r="N397" s="25">
        <f>IF(K397=1,N('ORDENES'!$M393),0)</f>
        <v/>
      </c>
      <c r="O397" s="25">
        <f>IF('ORDENES'!$U393="preventiva",N397,0)</f>
        <v/>
      </c>
      <c r="P397" s="25">
        <f>IF('ORDENES'!$U393="correctiva",N397,0)</f>
        <v/>
      </c>
      <c r="Q397" s="24">
        <f>IF(AND(K397=1,'ORDENES'!$N393="Pendiente"),1,0)</f>
        <v/>
      </c>
      <c r="R397" s="24">
        <f>IF(Q397=1,100000-N397*1000+390*0.01,9000000000000+390)</f>
        <v/>
      </c>
      <c r="S397" s="24">
        <f>IF(Q397=1,SUMPRODUCT(--($R$8:$R$1207&lt;R397))+1,"")</f>
        <v/>
      </c>
      <c r="T397" s="30">
        <f>IF(K397=1,'ORDENES'!$J393,"")</f>
        <v/>
      </c>
    </row>
    <row r="398">
      <c r="K398" s="24">
        <f>IF(AND(IF($B$3="(todos)",TRUE,'ORDENES'!$O394=$B$3),IF($D$3="(todos)",TRUE,'ORDENES'!$AI394=$D$3),IF($F$3="(todos)",TRUE,'ORDENES'!$AA394=$F$3),IF($H$3="(todos)",TRUE,'ORDENES'!$Z394=$H$3),'ORDENES'!$AG394=TRUE,'ORDENES'!$A394&lt;&gt;""),1,0)</f>
        <v/>
      </c>
      <c r="L398" s="24">
        <f>IF(K398=1,IFERROR(MATCH('ORDENES'!$S394,lista_dias,0),9)*1000000000+IFERROR(MATCH('ORDENES'!$AI394,lista_turnos,0),9)*10000000+IFERROR(MATCH('ORDENES'!$AH394,'TECNICOS'!$B$4:$B$19,0),99)*100000+391,9000000000000+391)</f>
        <v/>
      </c>
      <c r="M398" s="24">
        <f>IF(K398=1,SUMPRODUCT(--($L$8:$L$1207&lt;L398))+1,"")</f>
        <v/>
      </c>
      <c r="N398" s="25">
        <f>IF(K398=1,N('ORDENES'!$M394),0)</f>
        <v/>
      </c>
      <c r="O398" s="25">
        <f>IF('ORDENES'!$U394="preventiva",N398,0)</f>
        <v/>
      </c>
      <c r="P398" s="25">
        <f>IF('ORDENES'!$U394="correctiva",N398,0)</f>
        <v/>
      </c>
      <c r="Q398" s="24">
        <f>IF(AND(K398=1,'ORDENES'!$N394="Pendiente"),1,0)</f>
        <v/>
      </c>
      <c r="R398" s="24">
        <f>IF(Q398=1,100000-N398*1000+391*0.01,9000000000000+391)</f>
        <v/>
      </c>
      <c r="S398" s="24">
        <f>IF(Q398=1,SUMPRODUCT(--($R$8:$R$1207&lt;R398))+1,"")</f>
        <v/>
      </c>
      <c r="T398" s="30">
        <f>IF(K398=1,'ORDENES'!$J394,"")</f>
        <v/>
      </c>
    </row>
    <row r="399">
      <c r="K399" s="24">
        <f>IF(AND(IF($B$3="(todos)",TRUE,'ORDENES'!$O395=$B$3),IF($D$3="(todos)",TRUE,'ORDENES'!$AI395=$D$3),IF($F$3="(todos)",TRUE,'ORDENES'!$AA395=$F$3),IF($H$3="(todos)",TRUE,'ORDENES'!$Z395=$H$3),'ORDENES'!$AG395=TRUE,'ORDENES'!$A395&lt;&gt;""),1,0)</f>
        <v/>
      </c>
      <c r="L399" s="24">
        <f>IF(K399=1,IFERROR(MATCH('ORDENES'!$S395,lista_dias,0),9)*1000000000+IFERROR(MATCH('ORDENES'!$AI395,lista_turnos,0),9)*10000000+IFERROR(MATCH('ORDENES'!$AH395,'TECNICOS'!$B$4:$B$19,0),99)*100000+392,9000000000000+392)</f>
        <v/>
      </c>
      <c r="M399" s="24">
        <f>IF(K399=1,SUMPRODUCT(--($L$8:$L$1207&lt;L399))+1,"")</f>
        <v/>
      </c>
      <c r="N399" s="25">
        <f>IF(K399=1,N('ORDENES'!$M395),0)</f>
        <v/>
      </c>
      <c r="O399" s="25">
        <f>IF('ORDENES'!$U395="preventiva",N399,0)</f>
        <v/>
      </c>
      <c r="P399" s="25">
        <f>IF('ORDENES'!$U395="correctiva",N399,0)</f>
        <v/>
      </c>
      <c r="Q399" s="24">
        <f>IF(AND(K399=1,'ORDENES'!$N395="Pendiente"),1,0)</f>
        <v/>
      </c>
      <c r="R399" s="24">
        <f>IF(Q399=1,100000-N399*1000+392*0.01,9000000000000+392)</f>
        <v/>
      </c>
      <c r="S399" s="24">
        <f>IF(Q399=1,SUMPRODUCT(--($R$8:$R$1207&lt;R399))+1,"")</f>
        <v/>
      </c>
      <c r="T399" s="30">
        <f>IF(K399=1,'ORDENES'!$J395,"")</f>
        <v/>
      </c>
    </row>
    <row r="400">
      <c r="K400" s="24">
        <f>IF(AND(IF($B$3="(todos)",TRUE,'ORDENES'!$O396=$B$3),IF($D$3="(todos)",TRUE,'ORDENES'!$AI396=$D$3),IF($F$3="(todos)",TRUE,'ORDENES'!$AA396=$F$3),IF($H$3="(todos)",TRUE,'ORDENES'!$Z396=$H$3),'ORDENES'!$AG396=TRUE,'ORDENES'!$A396&lt;&gt;""),1,0)</f>
        <v/>
      </c>
      <c r="L400" s="24">
        <f>IF(K400=1,IFERROR(MATCH('ORDENES'!$S396,lista_dias,0),9)*1000000000+IFERROR(MATCH('ORDENES'!$AI396,lista_turnos,0),9)*10000000+IFERROR(MATCH('ORDENES'!$AH396,'TECNICOS'!$B$4:$B$19,0),99)*100000+393,9000000000000+393)</f>
        <v/>
      </c>
      <c r="M400" s="24">
        <f>IF(K400=1,SUMPRODUCT(--($L$8:$L$1207&lt;L400))+1,"")</f>
        <v/>
      </c>
      <c r="N400" s="25">
        <f>IF(K400=1,N('ORDENES'!$M396),0)</f>
        <v/>
      </c>
      <c r="O400" s="25">
        <f>IF('ORDENES'!$U396="preventiva",N400,0)</f>
        <v/>
      </c>
      <c r="P400" s="25">
        <f>IF('ORDENES'!$U396="correctiva",N400,0)</f>
        <v/>
      </c>
      <c r="Q400" s="24">
        <f>IF(AND(K400=1,'ORDENES'!$N396="Pendiente"),1,0)</f>
        <v/>
      </c>
      <c r="R400" s="24">
        <f>IF(Q400=1,100000-N400*1000+393*0.01,9000000000000+393)</f>
        <v/>
      </c>
      <c r="S400" s="24">
        <f>IF(Q400=1,SUMPRODUCT(--($R$8:$R$1207&lt;R400))+1,"")</f>
        <v/>
      </c>
      <c r="T400" s="30">
        <f>IF(K400=1,'ORDENES'!$J396,"")</f>
        <v/>
      </c>
    </row>
    <row r="401">
      <c r="K401" s="24">
        <f>IF(AND(IF($B$3="(todos)",TRUE,'ORDENES'!$O397=$B$3),IF($D$3="(todos)",TRUE,'ORDENES'!$AI397=$D$3),IF($F$3="(todos)",TRUE,'ORDENES'!$AA397=$F$3),IF($H$3="(todos)",TRUE,'ORDENES'!$Z397=$H$3),'ORDENES'!$AG397=TRUE,'ORDENES'!$A397&lt;&gt;""),1,0)</f>
        <v/>
      </c>
      <c r="L401" s="24">
        <f>IF(K401=1,IFERROR(MATCH('ORDENES'!$S397,lista_dias,0),9)*1000000000+IFERROR(MATCH('ORDENES'!$AI397,lista_turnos,0),9)*10000000+IFERROR(MATCH('ORDENES'!$AH397,'TECNICOS'!$B$4:$B$19,0),99)*100000+394,9000000000000+394)</f>
        <v/>
      </c>
      <c r="M401" s="24">
        <f>IF(K401=1,SUMPRODUCT(--($L$8:$L$1207&lt;L401))+1,"")</f>
        <v/>
      </c>
      <c r="N401" s="25">
        <f>IF(K401=1,N('ORDENES'!$M397),0)</f>
        <v/>
      </c>
      <c r="O401" s="25">
        <f>IF('ORDENES'!$U397="preventiva",N401,0)</f>
        <v/>
      </c>
      <c r="P401" s="25">
        <f>IF('ORDENES'!$U397="correctiva",N401,0)</f>
        <v/>
      </c>
      <c r="Q401" s="24">
        <f>IF(AND(K401=1,'ORDENES'!$N397="Pendiente"),1,0)</f>
        <v/>
      </c>
      <c r="R401" s="24">
        <f>IF(Q401=1,100000-N401*1000+394*0.01,9000000000000+394)</f>
        <v/>
      </c>
      <c r="S401" s="24">
        <f>IF(Q401=1,SUMPRODUCT(--($R$8:$R$1207&lt;R401))+1,"")</f>
        <v/>
      </c>
      <c r="T401" s="30">
        <f>IF(K401=1,'ORDENES'!$J397,"")</f>
        <v/>
      </c>
    </row>
    <row r="402">
      <c r="K402" s="24">
        <f>IF(AND(IF($B$3="(todos)",TRUE,'ORDENES'!$O398=$B$3),IF($D$3="(todos)",TRUE,'ORDENES'!$AI398=$D$3),IF($F$3="(todos)",TRUE,'ORDENES'!$AA398=$F$3),IF($H$3="(todos)",TRUE,'ORDENES'!$Z398=$H$3),'ORDENES'!$AG398=TRUE,'ORDENES'!$A398&lt;&gt;""),1,0)</f>
        <v/>
      </c>
      <c r="L402" s="24">
        <f>IF(K402=1,IFERROR(MATCH('ORDENES'!$S398,lista_dias,0),9)*1000000000+IFERROR(MATCH('ORDENES'!$AI398,lista_turnos,0),9)*10000000+IFERROR(MATCH('ORDENES'!$AH398,'TECNICOS'!$B$4:$B$19,0),99)*100000+395,9000000000000+395)</f>
        <v/>
      </c>
      <c r="M402" s="24">
        <f>IF(K402=1,SUMPRODUCT(--($L$8:$L$1207&lt;L402))+1,"")</f>
        <v/>
      </c>
      <c r="N402" s="25">
        <f>IF(K402=1,N('ORDENES'!$M398),0)</f>
        <v/>
      </c>
      <c r="O402" s="25">
        <f>IF('ORDENES'!$U398="preventiva",N402,0)</f>
        <v/>
      </c>
      <c r="P402" s="25">
        <f>IF('ORDENES'!$U398="correctiva",N402,0)</f>
        <v/>
      </c>
      <c r="Q402" s="24">
        <f>IF(AND(K402=1,'ORDENES'!$N398="Pendiente"),1,0)</f>
        <v/>
      </c>
      <c r="R402" s="24">
        <f>IF(Q402=1,100000-N402*1000+395*0.01,9000000000000+395)</f>
        <v/>
      </c>
      <c r="S402" s="24">
        <f>IF(Q402=1,SUMPRODUCT(--($R$8:$R$1207&lt;R402))+1,"")</f>
        <v/>
      </c>
      <c r="T402" s="30">
        <f>IF(K402=1,'ORDENES'!$J398,"")</f>
        <v/>
      </c>
    </row>
    <row r="403">
      <c r="K403" s="24">
        <f>IF(AND(IF($B$3="(todos)",TRUE,'ORDENES'!$O399=$B$3),IF($D$3="(todos)",TRUE,'ORDENES'!$AI399=$D$3),IF($F$3="(todos)",TRUE,'ORDENES'!$AA399=$F$3),IF($H$3="(todos)",TRUE,'ORDENES'!$Z399=$H$3),'ORDENES'!$AG399=TRUE,'ORDENES'!$A399&lt;&gt;""),1,0)</f>
        <v/>
      </c>
      <c r="L403" s="24">
        <f>IF(K403=1,IFERROR(MATCH('ORDENES'!$S399,lista_dias,0),9)*1000000000+IFERROR(MATCH('ORDENES'!$AI399,lista_turnos,0),9)*10000000+IFERROR(MATCH('ORDENES'!$AH399,'TECNICOS'!$B$4:$B$19,0),99)*100000+396,9000000000000+396)</f>
        <v/>
      </c>
      <c r="M403" s="24">
        <f>IF(K403=1,SUMPRODUCT(--($L$8:$L$1207&lt;L403))+1,"")</f>
        <v/>
      </c>
      <c r="N403" s="25">
        <f>IF(K403=1,N('ORDENES'!$M399),0)</f>
        <v/>
      </c>
      <c r="O403" s="25">
        <f>IF('ORDENES'!$U399="preventiva",N403,0)</f>
        <v/>
      </c>
      <c r="P403" s="25">
        <f>IF('ORDENES'!$U399="correctiva",N403,0)</f>
        <v/>
      </c>
      <c r="Q403" s="24">
        <f>IF(AND(K403=1,'ORDENES'!$N399="Pendiente"),1,0)</f>
        <v/>
      </c>
      <c r="R403" s="24">
        <f>IF(Q403=1,100000-N403*1000+396*0.01,9000000000000+396)</f>
        <v/>
      </c>
      <c r="S403" s="24">
        <f>IF(Q403=1,SUMPRODUCT(--($R$8:$R$1207&lt;R403))+1,"")</f>
        <v/>
      </c>
      <c r="T403" s="30">
        <f>IF(K403=1,'ORDENES'!$J399,"")</f>
        <v/>
      </c>
    </row>
    <row r="404">
      <c r="K404" s="24">
        <f>IF(AND(IF($B$3="(todos)",TRUE,'ORDENES'!$O400=$B$3),IF($D$3="(todos)",TRUE,'ORDENES'!$AI400=$D$3),IF($F$3="(todos)",TRUE,'ORDENES'!$AA400=$F$3),IF($H$3="(todos)",TRUE,'ORDENES'!$Z400=$H$3),'ORDENES'!$AG400=TRUE,'ORDENES'!$A400&lt;&gt;""),1,0)</f>
        <v/>
      </c>
      <c r="L404" s="24">
        <f>IF(K404=1,IFERROR(MATCH('ORDENES'!$S400,lista_dias,0),9)*1000000000+IFERROR(MATCH('ORDENES'!$AI400,lista_turnos,0),9)*10000000+IFERROR(MATCH('ORDENES'!$AH400,'TECNICOS'!$B$4:$B$19,0),99)*100000+397,9000000000000+397)</f>
        <v/>
      </c>
      <c r="M404" s="24">
        <f>IF(K404=1,SUMPRODUCT(--($L$8:$L$1207&lt;L404))+1,"")</f>
        <v/>
      </c>
      <c r="N404" s="25">
        <f>IF(K404=1,N('ORDENES'!$M400),0)</f>
        <v/>
      </c>
      <c r="O404" s="25">
        <f>IF('ORDENES'!$U400="preventiva",N404,0)</f>
        <v/>
      </c>
      <c r="P404" s="25">
        <f>IF('ORDENES'!$U400="correctiva",N404,0)</f>
        <v/>
      </c>
      <c r="Q404" s="24">
        <f>IF(AND(K404=1,'ORDENES'!$N400="Pendiente"),1,0)</f>
        <v/>
      </c>
      <c r="R404" s="24">
        <f>IF(Q404=1,100000-N404*1000+397*0.01,9000000000000+397)</f>
        <v/>
      </c>
      <c r="S404" s="24">
        <f>IF(Q404=1,SUMPRODUCT(--($R$8:$R$1207&lt;R404))+1,"")</f>
        <v/>
      </c>
      <c r="T404" s="30">
        <f>IF(K404=1,'ORDENES'!$J400,"")</f>
        <v/>
      </c>
    </row>
    <row r="405">
      <c r="K405" s="24">
        <f>IF(AND(IF($B$3="(todos)",TRUE,'ORDENES'!$O401=$B$3),IF($D$3="(todos)",TRUE,'ORDENES'!$AI401=$D$3),IF($F$3="(todos)",TRUE,'ORDENES'!$AA401=$F$3),IF($H$3="(todos)",TRUE,'ORDENES'!$Z401=$H$3),'ORDENES'!$AG401=TRUE,'ORDENES'!$A401&lt;&gt;""),1,0)</f>
        <v/>
      </c>
      <c r="L405" s="24">
        <f>IF(K405=1,IFERROR(MATCH('ORDENES'!$S401,lista_dias,0),9)*1000000000+IFERROR(MATCH('ORDENES'!$AI401,lista_turnos,0),9)*10000000+IFERROR(MATCH('ORDENES'!$AH401,'TECNICOS'!$B$4:$B$19,0),99)*100000+398,9000000000000+398)</f>
        <v/>
      </c>
      <c r="M405" s="24">
        <f>IF(K405=1,SUMPRODUCT(--($L$8:$L$1207&lt;L405))+1,"")</f>
        <v/>
      </c>
      <c r="N405" s="25">
        <f>IF(K405=1,N('ORDENES'!$M401),0)</f>
        <v/>
      </c>
      <c r="O405" s="25">
        <f>IF('ORDENES'!$U401="preventiva",N405,0)</f>
        <v/>
      </c>
      <c r="P405" s="25">
        <f>IF('ORDENES'!$U401="correctiva",N405,0)</f>
        <v/>
      </c>
      <c r="Q405" s="24">
        <f>IF(AND(K405=1,'ORDENES'!$N401="Pendiente"),1,0)</f>
        <v/>
      </c>
      <c r="R405" s="24">
        <f>IF(Q405=1,100000-N405*1000+398*0.01,9000000000000+398)</f>
        <v/>
      </c>
      <c r="S405" s="24">
        <f>IF(Q405=1,SUMPRODUCT(--($R$8:$R$1207&lt;R405))+1,"")</f>
        <v/>
      </c>
      <c r="T405" s="30">
        <f>IF(K405=1,'ORDENES'!$J401,"")</f>
        <v/>
      </c>
    </row>
    <row r="406">
      <c r="K406" s="24">
        <f>IF(AND(IF($B$3="(todos)",TRUE,'ORDENES'!$O402=$B$3),IF($D$3="(todos)",TRUE,'ORDENES'!$AI402=$D$3),IF($F$3="(todos)",TRUE,'ORDENES'!$AA402=$F$3),IF($H$3="(todos)",TRUE,'ORDENES'!$Z402=$H$3),'ORDENES'!$AG402=TRUE,'ORDENES'!$A402&lt;&gt;""),1,0)</f>
        <v/>
      </c>
      <c r="L406" s="24">
        <f>IF(K406=1,IFERROR(MATCH('ORDENES'!$S402,lista_dias,0),9)*1000000000+IFERROR(MATCH('ORDENES'!$AI402,lista_turnos,0),9)*10000000+IFERROR(MATCH('ORDENES'!$AH402,'TECNICOS'!$B$4:$B$19,0),99)*100000+399,9000000000000+399)</f>
        <v/>
      </c>
      <c r="M406" s="24">
        <f>IF(K406=1,SUMPRODUCT(--($L$8:$L$1207&lt;L406))+1,"")</f>
        <v/>
      </c>
      <c r="N406" s="25">
        <f>IF(K406=1,N('ORDENES'!$M402),0)</f>
        <v/>
      </c>
      <c r="O406" s="25">
        <f>IF('ORDENES'!$U402="preventiva",N406,0)</f>
        <v/>
      </c>
      <c r="P406" s="25">
        <f>IF('ORDENES'!$U402="correctiva",N406,0)</f>
        <v/>
      </c>
      <c r="Q406" s="24">
        <f>IF(AND(K406=1,'ORDENES'!$N402="Pendiente"),1,0)</f>
        <v/>
      </c>
      <c r="R406" s="24">
        <f>IF(Q406=1,100000-N406*1000+399*0.01,9000000000000+399)</f>
        <v/>
      </c>
      <c r="S406" s="24">
        <f>IF(Q406=1,SUMPRODUCT(--($R$8:$R$1207&lt;R406))+1,"")</f>
        <v/>
      </c>
      <c r="T406" s="30">
        <f>IF(K406=1,'ORDENES'!$J402,"")</f>
        <v/>
      </c>
    </row>
    <row r="407">
      <c r="K407" s="24">
        <f>IF(AND(IF($B$3="(todos)",TRUE,'ORDENES'!$O403=$B$3),IF($D$3="(todos)",TRUE,'ORDENES'!$AI403=$D$3),IF($F$3="(todos)",TRUE,'ORDENES'!$AA403=$F$3),IF($H$3="(todos)",TRUE,'ORDENES'!$Z403=$H$3),'ORDENES'!$AG403=TRUE,'ORDENES'!$A403&lt;&gt;""),1,0)</f>
        <v/>
      </c>
      <c r="L407" s="24">
        <f>IF(K407=1,IFERROR(MATCH('ORDENES'!$S403,lista_dias,0),9)*1000000000+IFERROR(MATCH('ORDENES'!$AI403,lista_turnos,0),9)*10000000+IFERROR(MATCH('ORDENES'!$AH403,'TECNICOS'!$B$4:$B$19,0),99)*100000+400,9000000000000+400)</f>
        <v/>
      </c>
      <c r="M407" s="24">
        <f>IF(K407=1,SUMPRODUCT(--($L$8:$L$1207&lt;L407))+1,"")</f>
        <v/>
      </c>
      <c r="N407" s="25">
        <f>IF(K407=1,N('ORDENES'!$M403),0)</f>
        <v/>
      </c>
      <c r="O407" s="25">
        <f>IF('ORDENES'!$U403="preventiva",N407,0)</f>
        <v/>
      </c>
      <c r="P407" s="25">
        <f>IF('ORDENES'!$U403="correctiva",N407,0)</f>
        <v/>
      </c>
      <c r="Q407" s="24">
        <f>IF(AND(K407=1,'ORDENES'!$N403="Pendiente"),1,0)</f>
        <v/>
      </c>
      <c r="R407" s="24">
        <f>IF(Q407=1,100000-N407*1000+400*0.01,9000000000000+400)</f>
        <v/>
      </c>
      <c r="S407" s="24">
        <f>IF(Q407=1,SUMPRODUCT(--($R$8:$R$1207&lt;R407))+1,"")</f>
        <v/>
      </c>
      <c r="T407" s="30">
        <f>IF(K407=1,'ORDENES'!$J403,"")</f>
        <v/>
      </c>
    </row>
    <row r="408">
      <c r="K408" s="24">
        <f>IF(AND(IF($B$3="(todos)",TRUE,'ORDENES'!$O404=$B$3),IF($D$3="(todos)",TRUE,'ORDENES'!$AI404=$D$3),IF($F$3="(todos)",TRUE,'ORDENES'!$AA404=$F$3),IF($H$3="(todos)",TRUE,'ORDENES'!$Z404=$H$3),'ORDENES'!$AG404=TRUE,'ORDENES'!$A404&lt;&gt;""),1,0)</f>
        <v/>
      </c>
      <c r="L408" s="24">
        <f>IF(K408=1,IFERROR(MATCH('ORDENES'!$S404,lista_dias,0),9)*1000000000+IFERROR(MATCH('ORDENES'!$AI404,lista_turnos,0),9)*10000000+IFERROR(MATCH('ORDENES'!$AH404,'TECNICOS'!$B$4:$B$19,0),99)*100000+401,9000000000000+401)</f>
        <v/>
      </c>
      <c r="M408" s="24">
        <f>IF(K408=1,SUMPRODUCT(--($L$8:$L$1207&lt;L408))+1,"")</f>
        <v/>
      </c>
      <c r="N408" s="25">
        <f>IF(K408=1,N('ORDENES'!$M404),0)</f>
        <v/>
      </c>
      <c r="O408" s="25">
        <f>IF('ORDENES'!$U404="preventiva",N408,0)</f>
        <v/>
      </c>
      <c r="P408" s="25">
        <f>IF('ORDENES'!$U404="correctiva",N408,0)</f>
        <v/>
      </c>
      <c r="Q408" s="24">
        <f>IF(AND(K408=1,'ORDENES'!$N404="Pendiente"),1,0)</f>
        <v/>
      </c>
      <c r="R408" s="24">
        <f>IF(Q408=1,100000-N408*1000+401*0.01,9000000000000+401)</f>
        <v/>
      </c>
      <c r="S408" s="24">
        <f>IF(Q408=1,SUMPRODUCT(--($R$8:$R$1207&lt;R408))+1,"")</f>
        <v/>
      </c>
      <c r="T408" s="30">
        <f>IF(K408=1,'ORDENES'!$J404,"")</f>
        <v/>
      </c>
    </row>
    <row r="409">
      <c r="K409" s="24">
        <f>IF(AND(IF($B$3="(todos)",TRUE,'ORDENES'!$O405=$B$3),IF($D$3="(todos)",TRUE,'ORDENES'!$AI405=$D$3),IF($F$3="(todos)",TRUE,'ORDENES'!$AA405=$F$3),IF($H$3="(todos)",TRUE,'ORDENES'!$Z405=$H$3),'ORDENES'!$AG405=TRUE,'ORDENES'!$A405&lt;&gt;""),1,0)</f>
        <v/>
      </c>
      <c r="L409" s="24">
        <f>IF(K409=1,IFERROR(MATCH('ORDENES'!$S405,lista_dias,0),9)*1000000000+IFERROR(MATCH('ORDENES'!$AI405,lista_turnos,0),9)*10000000+IFERROR(MATCH('ORDENES'!$AH405,'TECNICOS'!$B$4:$B$19,0),99)*100000+402,9000000000000+402)</f>
        <v/>
      </c>
      <c r="M409" s="24">
        <f>IF(K409=1,SUMPRODUCT(--($L$8:$L$1207&lt;L409))+1,"")</f>
        <v/>
      </c>
      <c r="N409" s="25">
        <f>IF(K409=1,N('ORDENES'!$M405),0)</f>
        <v/>
      </c>
      <c r="O409" s="25">
        <f>IF('ORDENES'!$U405="preventiva",N409,0)</f>
        <v/>
      </c>
      <c r="P409" s="25">
        <f>IF('ORDENES'!$U405="correctiva",N409,0)</f>
        <v/>
      </c>
      <c r="Q409" s="24">
        <f>IF(AND(K409=1,'ORDENES'!$N405="Pendiente"),1,0)</f>
        <v/>
      </c>
      <c r="R409" s="24">
        <f>IF(Q409=1,100000-N409*1000+402*0.01,9000000000000+402)</f>
        <v/>
      </c>
      <c r="S409" s="24">
        <f>IF(Q409=1,SUMPRODUCT(--($R$8:$R$1207&lt;R409))+1,"")</f>
        <v/>
      </c>
      <c r="T409" s="30">
        <f>IF(K409=1,'ORDENES'!$J405,"")</f>
        <v/>
      </c>
    </row>
    <row r="410">
      <c r="K410" s="24">
        <f>IF(AND(IF($B$3="(todos)",TRUE,'ORDENES'!$O406=$B$3),IF($D$3="(todos)",TRUE,'ORDENES'!$AI406=$D$3),IF($F$3="(todos)",TRUE,'ORDENES'!$AA406=$F$3),IF($H$3="(todos)",TRUE,'ORDENES'!$Z406=$H$3),'ORDENES'!$AG406=TRUE,'ORDENES'!$A406&lt;&gt;""),1,0)</f>
        <v/>
      </c>
      <c r="L410" s="24">
        <f>IF(K410=1,IFERROR(MATCH('ORDENES'!$S406,lista_dias,0),9)*1000000000+IFERROR(MATCH('ORDENES'!$AI406,lista_turnos,0),9)*10000000+IFERROR(MATCH('ORDENES'!$AH406,'TECNICOS'!$B$4:$B$19,0),99)*100000+403,9000000000000+403)</f>
        <v/>
      </c>
      <c r="M410" s="24">
        <f>IF(K410=1,SUMPRODUCT(--($L$8:$L$1207&lt;L410))+1,"")</f>
        <v/>
      </c>
      <c r="N410" s="25">
        <f>IF(K410=1,N('ORDENES'!$M406),0)</f>
        <v/>
      </c>
      <c r="O410" s="25">
        <f>IF('ORDENES'!$U406="preventiva",N410,0)</f>
        <v/>
      </c>
      <c r="P410" s="25">
        <f>IF('ORDENES'!$U406="correctiva",N410,0)</f>
        <v/>
      </c>
      <c r="Q410" s="24">
        <f>IF(AND(K410=1,'ORDENES'!$N406="Pendiente"),1,0)</f>
        <v/>
      </c>
      <c r="R410" s="24">
        <f>IF(Q410=1,100000-N410*1000+403*0.01,9000000000000+403)</f>
        <v/>
      </c>
      <c r="S410" s="24">
        <f>IF(Q410=1,SUMPRODUCT(--($R$8:$R$1207&lt;R410))+1,"")</f>
        <v/>
      </c>
      <c r="T410" s="30">
        <f>IF(K410=1,'ORDENES'!$J406,"")</f>
        <v/>
      </c>
    </row>
    <row r="411">
      <c r="K411" s="24">
        <f>IF(AND(IF($B$3="(todos)",TRUE,'ORDENES'!$O407=$B$3),IF($D$3="(todos)",TRUE,'ORDENES'!$AI407=$D$3),IF($F$3="(todos)",TRUE,'ORDENES'!$AA407=$F$3),IF($H$3="(todos)",TRUE,'ORDENES'!$Z407=$H$3),'ORDENES'!$AG407=TRUE,'ORDENES'!$A407&lt;&gt;""),1,0)</f>
        <v/>
      </c>
      <c r="L411" s="24">
        <f>IF(K411=1,IFERROR(MATCH('ORDENES'!$S407,lista_dias,0),9)*1000000000+IFERROR(MATCH('ORDENES'!$AI407,lista_turnos,0),9)*10000000+IFERROR(MATCH('ORDENES'!$AH407,'TECNICOS'!$B$4:$B$19,0),99)*100000+404,9000000000000+404)</f>
        <v/>
      </c>
      <c r="M411" s="24">
        <f>IF(K411=1,SUMPRODUCT(--($L$8:$L$1207&lt;L411))+1,"")</f>
        <v/>
      </c>
      <c r="N411" s="25">
        <f>IF(K411=1,N('ORDENES'!$M407),0)</f>
        <v/>
      </c>
      <c r="O411" s="25">
        <f>IF('ORDENES'!$U407="preventiva",N411,0)</f>
        <v/>
      </c>
      <c r="P411" s="25">
        <f>IF('ORDENES'!$U407="correctiva",N411,0)</f>
        <v/>
      </c>
      <c r="Q411" s="24">
        <f>IF(AND(K411=1,'ORDENES'!$N407="Pendiente"),1,0)</f>
        <v/>
      </c>
      <c r="R411" s="24">
        <f>IF(Q411=1,100000-N411*1000+404*0.01,9000000000000+404)</f>
        <v/>
      </c>
      <c r="S411" s="24">
        <f>IF(Q411=1,SUMPRODUCT(--($R$8:$R$1207&lt;R411))+1,"")</f>
        <v/>
      </c>
      <c r="T411" s="30">
        <f>IF(K411=1,'ORDENES'!$J407,"")</f>
        <v/>
      </c>
    </row>
    <row r="412">
      <c r="K412" s="24">
        <f>IF(AND(IF($B$3="(todos)",TRUE,'ORDENES'!$O408=$B$3),IF($D$3="(todos)",TRUE,'ORDENES'!$AI408=$D$3),IF($F$3="(todos)",TRUE,'ORDENES'!$AA408=$F$3),IF($H$3="(todos)",TRUE,'ORDENES'!$Z408=$H$3),'ORDENES'!$AG408=TRUE,'ORDENES'!$A408&lt;&gt;""),1,0)</f>
        <v/>
      </c>
      <c r="L412" s="24">
        <f>IF(K412=1,IFERROR(MATCH('ORDENES'!$S408,lista_dias,0),9)*1000000000+IFERROR(MATCH('ORDENES'!$AI408,lista_turnos,0),9)*10000000+IFERROR(MATCH('ORDENES'!$AH408,'TECNICOS'!$B$4:$B$19,0),99)*100000+405,9000000000000+405)</f>
        <v/>
      </c>
      <c r="M412" s="24">
        <f>IF(K412=1,SUMPRODUCT(--($L$8:$L$1207&lt;L412))+1,"")</f>
        <v/>
      </c>
      <c r="N412" s="25">
        <f>IF(K412=1,N('ORDENES'!$M408),0)</f>
        <v/>
      </c>
      <c r="O412" s="25">
        <f>IF('ORDENES'!$U408="preventiva",N412,0)</f>
        <v/>
      </c>
      <c r="P412" s="25">
        <f>IF('ORDENES'!$U408="correctiva",N412,0)</f>
        <v/>
      </c>
      <c r="Q412" s="24">
        <f>IF(AND(K412=1,'ORDENES'!$N408="Pendiente"),1,0)</f>
        <v/>
      </c>
      <c r="R412" s="24">
        <f>IF(Q412=1,100000-N412*1000+405*0.01,9000000000000+405)</f>
        <v/>
      </c>
      <c r="S412" s="24">
        <f>IF(Q412=1,SUMPRODUCT(--($R$8:$R$1207&lt;R412))+1,"")</f>
        <v/>
      </c>
      <c r="T412" s="30">
        <f>IF(K412=1,'ORDENES'!$J408,"")</f>
        <v/>
      </c>
    </row>
    <row r="413">
      <c r="K413" s="24">
        <f>IF(AND(IF($B$3="(todos)",TRUE,'ORDENES'!$O409=$B$3),IF($D$3="(todos)",TRUE,'ORDENES'!$AI409=$D$3),IF($F$3="(todos)",TRUE,'ORDENES'!$AA409=$F$3),IF($H$3="(todos)",TRUE,'ORDENES'!$Z409=$H$3),'ORDENES'!$AG409=TRUE,'ORDENES'!$A409&lt;&gt;""),1,0)</f>
        <v/>
      </c>
      <c r="L413" s="24">
        <f>IF(K413=1,IFERROR(MATCH('ORDENES'!$S409,lista_dias,0),9)*1000000000+IFERROR(MATCH('ORDENES'!$AI409,lista_turnos,0),9)*10000000+IFERROR(MATCH('ORDENES'!$AH409,'TECNICOS'!$B$4:$B$19,0),99)*100000+406,9000000000000+406)</f>
        <v/>
      </c>
      <c r="M413" s="24">
        <f>IF(K413=1,SUMPRODUCT(--($L$8:$L$1207&lt;L413))+1,"")</f>
        <v/>
      </c>
      <c r="N413" s="25">
        <f>IF(K413=1,N('ORDENES'!$M409),0)</f>
        <v/>
      </c>
      <c r="O413" s="25">
        <f>IF('ORDENES'!$U409="preventiva",N413,0)</f>
        <v/>
      </c>
      <c r="P413" s="25">
        <f>IF('ORDENES'!$U409="correctiva",N413,0)</f>
        <v/>
      </c>
      <c r="Q413" s="24">
        <f>IF(AND(K413=1,'ORDENES'!$N409="Pendiente"),1,0)</f>
        <v/>
      </c>
      <c r="R413" s="24">
        <f>IF(Q413=1,100000-N413*1000+406*0.01,9000000000000+406)</f>
        <v/>
      </c>
      <c r="S413" s="24">
        <f>IF(Q413=1,SUMPRODUCT(--($R$8:$R$1207&lt;R413))+1,"")</f>
        <v/>
      </c>
      <c r="T413" s="30">
        <f>IF(K413=1,'ORDENES'!$J409,"")</f>
        <v/>
      </c>
    </row>
    <row r="414">
      <c r="K414" s="24">
        <f>IF(AND(IF($B$3="(todos)",TRUE,'ORDENES'!$O410=$B$3),IF($D$3="(todos)",TRUE,'ORDENES'!$AI410=$D$3),IF($F$3="(todos)",TRUE,'ORDENES'!$AA410=$F$3),IF($H$3="(todos)",TRUE,'ORDENES'!$Z410=$H$3),'ORDENES'!$AG410=TRUE,'ORDENES'!$A410&lt;&gt;""),1,0)</f>
        <v/>
      </c>
      <c r="L414" s="24">
        <f>IF(K414=1,IFERROR(MATCH('ORDENES'!$S410,lista_dias,0),9)*1000000000+IFERROR(MATCH('ORDENES'!$AI410,lista_turnos,0),9)*10000000+IFERROR(MATCH('ORDENES'!$AH410,'TECNICOS'!$B$4:$B$19,0),99)*100000+407,9000000000000+407)</f>
        <v/>
      </c>
      <c r="M414" s="24">
        <f>IF(K414=1,SUMPRODUCT(--($L$8:$L$1207&lt;L414))+1,"")</f>
        <v/>
      </c>
      <c r="N414" s="25">
        <f>IF(K414=1,N('ORDENES'!$M410),0)</f>
        <v/>
      </c>
      <c r="O414" s="25">
        <f>IF('ORDENES'!$U410="preventiva",N414,0)</f>
        <v/>
      </c>
      <c r="P414" s="25">
        <f>IF('ORDENES'!$U410="correctiva",N414,0)</f>
        <v/>
      </c>
      <c r="Q414" s="24">
        <f>IF(AND(K414=1,'ORDENES'!$N410="Pendiente"),1,0)</f>
        <v/>
      </c>
      <c r="R414" s="24">
        <f>IF(Q414=1,100000-N414*1000+407*0.01,9000000000000+407)</f>
        <v/>
      </c>
      <c r="S414" s="24">
        <f>IF(Q414=1,SUMPRODUCT(--($R$8:$R$1207&lt;R414))+1,"")</f>
        <v/>
      </c>
      <c r="T414" s="30">
        <f>IF(K414=1,'ORDENES'!$J410,"")</f>
        <v/>
      </c>
    </row>
    <row r="415">
      <c r="K415" s="24">
        <f>IF(AND(IF($B$3="(todos)",TRUE,'ORDENES'!$O411=$B$3),IF($D$3="(todos)",TRUE,'ORDENES'!$AI411=$D$3),IF($F$3="(todos)",TRUE,'ORDENES'!$AA411=$F$3),IF($H$3="(todos)",TRUE,'ORDENES'!$Z411=$H$3),'ORDENES'!$AG411=TRUE,'ORDENES'!$A411&lt;&gt;""),1,0)</f>
        <v/>
      </c>
      <c r="L415" s="24">
        <f>IF(K415=1,IFERROR(MATCH('ORDENES'!$S411,lista_dias,0),9)*1000000000+IFERROR(MATCH('ORDENES'!$AI411,lista_turnos,0),9)*10000000+IFERROR(MATCH('ORDENES'!$AH411,'TECNICOS'!$B$4:$B$19,0),99)*100000+408,9000000000000+408)</f>
        <v/>
      </c>
      <c r="M415" s="24">
        <f>IF(K415=1,SUMPRODUCT(--($L$8:$L$1207&lt;L415))+1,"")</f>
        <v/>
      </c>
      <c r="N415" s="25">
        <f>IF(K415=1,N('ORDENES'!$M411),0)</f>
        <v/>
      </c>
      <c r="O415" s="25">
        <f>IF('ORDENES'!$U411="preventiva",N415,0)</f>
        <v/>
      </c>
      <c r="P415" s="25">
        <f>IF('ORDENES'!$U411="correctiva",N415,0)</f>
        <v/>
      </c>
      <c r="Q415" s="24">
        <f>IF(AND(K415=1,'ORDENES'!$N411="Pendiente"),1,0)</f>
        <v/>
      </c>
      <c r="R415" s="24">
        <f>IF(Q415=1,100000-N415*1000+408*0.01,9000000000000+408)</f>
        <v/>
      </c>
      <c r="S415" s="24">
        <f>IF(Q415=1,SUMPRODUCT(--($R$8:$R$1207&lt;R415))+1,"")</f>
        <v/>
      </c>
      <c r="T415" s="30">
        <f>IF(K415=1,'ORDENES'!$J411,"")</f>
        <v/>
      </c>
    </row>
    <row r="416">
      <c r="K416" s="24">
        <f>IF(AND(IF($B$3="(todos)",TRUE,'ORDENES'!$O412=$B$3),IF($D$3="(todos)",TRUE,'ORDENES'!$AI412=$D$3),IF($F$3="(todos)",TRUE,'ORDENES'!$AA412=$F$3),IF($H$3="(todos)",TRUE,'ORDENES'!$Z412=$H$3),'ORDENES'!$AG412=TRUE,'ORDENES'!$A412&lt;&gt;""),1,0)</f>
        <v/>
      </c>
      <c r="L416" s="24">
        <f>IF(K416=1,IFERROR(MATCH('ORDENES'!$S412,lista_dias,0),9)*1000000000+IFERROR(MATCH('ORDENES'!$AI412,lista_turnos,0),9)*10000000+IFERROR(MATCH('ORDENES'!$AH412,'TECNICOS'!$B$4:$B$19,0),99)*100000+409,9000000000000+409)</f>
        <v/>
      </c>
      <c r="M416" s="24">
        <f>IF(K416=1,SUMPRODUCT(--($L$8:$L$1207&lt;L416))+1,"")</f>
        <v/>
      </c>
      <c r="N416" s="25">
        <f>IF(K416=1,N('ORDENES'!$M412),0)</f>
        <v/>
      </c>
      <c r="O416" s="25">
        <f>IF('ORDENES'!$U412="preventiva",N416,0)</f>
        <v/>
      </c>
      <c r="P416" s="25">
        <f>IF('ORDENES'!$U412="correctiva",N416,0)</f>
        <v/>
      </c>
      <c r="Q416" s="24">
        <f>IF(AND(K416=1,'ORDENES'!$N412="Pendiente"),1,0)</f>
        <v/>
      </c>
      <c r="R416" s="24">
        <f>IF(Q416=1,100000-N416*1000+409*0.01,9000000000000+409)</f>
        <v/>
      </c>
      <c r="S416" s="24">
        <f>IF(Q416=1,SUMPRODUCT(--($R$8:$R$1207&lt;R416))+1,"")</f>
        <v/>
      </c>
      <c r="T416" s="30">
        <f>IF(K416=1,'ORDENES'!$J412,"")</f>
        <v/>
      </c>
    </row>
    <row r="417">
      <c r="K417" s="24">
        <f>IF(AND(IF($B$3="(todos)",TRUE,'ORDENES'!$O413=$B$3),IF($D$3="(todos)",TRUE,'ORDENES'!$AI413=$D$3),IF($F$3="(todos)",TRUE,'ORDENES'!$AA413=$F$3),IF($H$3="(todos)",TRUE,'ORDENES'!$Z413=$H$3),'ORDENES'!$AG413=TRUE,'ORDENES'!$A413&lt;&gt;""),1,0)</f>
        <v/>
      </c>
      <c r="L417" s="24">
        <f>IF(K417=1,IFERROR(MATCH('ORDENES'!$S413,lista_dias,0),9)*1000000000+IFERROR(MATCH('ORDENES'!$AI413,lista_turnos,0),9)*10000000+IFERROR(MATCH('ORDENES'!$AH413,'TECNICOS'!$B$4:$B$19,0),99)*100000+410,9000000000000+410)</f>
        <v/>
      </c>
      <c r="M417" s="24">
        <f>IF(K417=1,SUMPRODUCT(--($L$8:$L$1207&lt;L417))+1,"")</f>
        <v/>
      </c>
      <c r="N417" s="25">
        <f>IF(K417=1,N('ORDENES'!$M413),0)</f>
        <v/>
      </c>
      <c r="O417" s="25">
        <f>IF('ORDENES'!$U413="preventiva",N417,0)</f>
        <v/>
      </c>
      <c r="P417" s="25">
        <f>IF('ORDENES'!$U413="correctiva",N417,0)</f>
        <v/>
      </c>
      <c r="Q417" s="24">
        <f>IF(AND(K417=1,'ORDENES'!$N413="Pendiente"),1,0)</f>
        <v/>
      </c>
      <c r="R417" s="24">
        <f>IF(Q417=1,100000-N417*1000+410*0.01,9000000000000+410)</f>
        <v/>
      </c>
      <c r="S417" s="24">
        <f>IF(Q417=1,SUMPRODUCT(--($R$8:$R$1207&lt;R417))+1,"")</f>
        <v/>
      </c>
      <c r="T417" s="30">
        <f>IF(K417=1,'ORDENES'!$J413,"")</f>
        <v/>
      </c>
    </row>
    <row r="418">
      <c r="K418" s="24">
        <f>IF(AND(IF($B$3="(todos)",TRUE,'ORDENES'!$O414=$B$3),IF($D$3="(todos)",TRUE,'ORDENES'!$AI414=$D$3),IF($F$3="(todos)",TRUE,'ORDENES'!$AA414=$F$3),IF($H$3="(todos)",TRUE,'ORDENES'!$Z414=$H$3),'ORDENES'!$AG414=TRUE,'ORDENES'!$A414&lt;&gt;""),1,0)</f>
        <v/>
      </c>
      <c r="L418" s="24">
        <f>IF(K418=1,IFERROR(MATCH('ORDENES'!$S414,lista_dias,0),9)*1000000000+IFERROR(MATCH('ORDENES'!$AI414,lista_turnos,0),9)*10000000+IFERROR(MATCH('ORDENES'!$AH414,'TECNICOS'!$B$4:$B$19,0),99)*100000+411,9000000000000+411)</f>
        <v/>
      </c>
      <c r="M418" s="24">
        <f>IF(K418=1,SUMPRODUCT(--($L$8:$L$1207&lt;L418))+1,"")</f>
        <v/>
      </c>
      <c r="N418" s="25">
        <f>IF(K418=1,N('ORDENES'!$M414),0)</f>
        <v/>
      </c>
      <c r="O418" s="25">
        <f>IF('ORDENES'!$U414="preventiva",N418,0)</f>
        <v/>
      </c>
      <c r="P418" s="25">
        <f>IF('ORDENES'!$U414="correctiva",N418,0)</f>
        <v/>
      </c>
      <c r="Q418" s="24">
        <f>IF(AND(K418=1,'ORDENES'!$N414="Pendiente"),1,0)</f>
        <v/>
      </c>
      <c r="R418" s="24">
        <f>IF(Q418=1,100000-N418*1000+411*0.01,9000000000000+411)</f>
        <v/>
      </c>
      <c r="S418" s="24">
        <f>IF(Q418=1,SUMPRODUCT(--($R$8:$R$1207&lt;R418))+1,"")</f>
        <v/>
      </c>
      <c r="T418" s="30">
        <f>IF(K418=1,'ORDENES'!$J414,"")</f>
        <v/>
      </c>
    </row>
    <row r="419">
      <c r="K419" s="24">
        <f>IF(AND(IF($B$3="(todos)",TRUE,'ORDENES'!$O415=$B$3),IF($D$3="(todos)",TRUE,'ORDENES'!$AI415=$D$3),IF($F$3="(todos)",TRUE,'ORDENES'!$AA415=$F$3),IF($H$3="(todos)",TRUE,'ORDENES'!$Z415=$H$3),'ORDENES'!$AG415=TRUE,'ORDENES'!$A415&lt;&gt;""),1,0)</f>
        <v/>
      </c>
      <c r="L419" s="24">
        <f>IF(K419=1,IFERROR(MATCH('ORDENES'!$S415,lista_dias,0),9)*1000000000+IFERROR(MATCH('ORDENES'!$AI415,lista_turnos,0),9)*10000000+IFERROR(MATCH('ORDENES'!$AH415,'TECNICOS'!$B$4:$B$19,0),99)*100000+412,9000000000000+412)</f>
        <v/>
      </c>
      <c r="M419" s="24">
        <f>IF(K419=1,SUMPRODUCT(--($L$8:$L$1207&lt;L419))+1,"")</f>
        <v/>
      </c>
      <c r="N419" s="25">
        <f>IF(K419=1,N('ORDENES'!$M415),0)</f>
        <v/>
      </c>
      <c r="O419" s="25">
        <f>IF('ORDENES'!$U415="preventiva",N419,0)</f>
        <v/>
      </c>
      <c r="P419" s="25">
        <f>IF('ORDENES'!$U415="correctiva",N419,0)</f>
        <v/>
      </c>
      <c r="Q419" s="24">
        <f>IF(AND(K419=1,'ORDENES'!$N415="Pendiente"),1,0)</f>
        <v/>
      </c>
      <c r="R419" s="24">
        <f>IF(Q419=1,100000-N419*1000+412*0.01,9000000000000+412)</f>
        <v/>
      </c>
      <c r="S419" s="24">
        <f>IF(Q419=1,SUMPRODUCT(--($R$8:$R$1207&lt;R419))+1,"")</f>
        <v/>
      </c>
      <c r="T419" s="30">
        <f>IF(K419=1,'ORDENES'!$J415,"")</f>
        <v/>
      </c>
    </row>
    <row r="420">
      <c r="K420" s="24">
        <f>IF(AND(IF($B$3="(todos)",TRUE,'ORDENES'!$O416=$B$3),IF($D$3="(todos)",TRUE,'ORDENES'!$AI416=$D$3),IF($F$3="(todos)",TRUE,'ORDENES'!$AA416=$F$3),IF($H$3="(todos)",TRUE,'ORDENES'!$Z416=$H$3),'ORDENES'!$AG416=TRUE,'ORDENES'!$A416&lt;&gt;""),1,0)</f>
        <v/>
      </c>
      <c r="L420" s="24">
        <f>IF(K420=1,IFERROR(MATCH('ORDENES'!$S416,lista_dias,0),9)*1000000000+IFERROR(MATCH('ORDENES'!$AI416,lista_turnos,0),9)*10000000+IFERROR(MATCH('ORDENES'!$AH416,'TECNICOS'!$B$4:$B$19,0),99)*100000+413,9000000000000+413)</f>
        <v/>
      </c>
      <c r="M420" s="24">
        <f>IF(K420=1,SUMPRODUCT(--($L$8:$L$1207&lt;L420))+1,"")</f>
        <v/>
      </c>
      <c r="N420" s="25">
        <f>IF(K420=1,N('ORDENES'!$M416),0)</f>
        <v/>
      </c>
      <c r="O420" s="25">
        <f>IF('ORDENES'!$U416="preventiva",N420,0)</f>
        <v/>
      </c>
      <c r="P420" s="25">
        <f>IF('ORDENES'!$U416="correctiva",N420,0)</f>
        <v/>
      </c>
      <c r="Q420" s="24">
        <f>IF(AND(K420=1,'ORDENES'!$N416="Pendiente"),1,0)</f>
        <v/>
      </c>
      <c r="R420" s="24">
        <f>IF(Q420=1,100000-N420*1000+413*0.01,9000000000000+413)</f>
        <v/>
      </c>
      <c r="S420" s="24">
        <f>IF(Q420=1,SUMPRODUCT(--($R$8:$R$1207&lt;R420))+1,"")</f>
        <v/>
      </c>
      <c r="T420" s="30">
        <f>IF(K420=1,'ORDENES'!$J416,"")</f>
        <v/>
      </c>
    </row>
    <row r="421">
      <c r="K421" s="24">
        <f>IF(AND(IF($B$3="(todos)",TRUE,'ORDENES'!$O417=$B$3),IF($D$3="(todos)",TRUE,'ORDENES'!$AI417=$D$3),IF($F$3="(todos)",TRUE,'ORDENES'!$AA417=$F$3),IF($H$3="(todos)",TRUE,'ORDENES'!$Z417=$H$3),'ORDENES'!$AG417=TRUE,'ORDENES'!$A417&lt;&gt;""),1,0)</f>
        <v/>
      </c>
      <c r="L421" s="24">
        <f>IF(K421=1,IFERROR(MATCH('ORDENES'!$S417,lista_dias,0),9)*1000000000+IFERROR(MATCH('ORDENES'!$AI417,lista_turnos,0),9)*10000000+IFERROR(MATCH('ORDENES'!$AH417,'TECNICOS'!$B$4:$B$19,0),99)*100000+414,9000000000000+414)</f>
        <v/>
      </c>
      <c r="M421" s="24">
        <f>IF(K421=1,SUMPRODUCT(--($L$8:$L$1207&lt;L421))+1,"")</f>
        <v/>
      </c>
      <c r="N421" s="25">
        <f>IF(K421=1,N('ORDENES'!$M417),0)</f>
        <v/>
      </c>
      <c r="O421" s="25">
        <f>IF('ORDENES'!$U417="preventiva",N421,0)</f>
        <v/>
      </c>
      <c r="P421" s="25">
        <f>IF('ORDENES'!$U417="correctiva",N421,0)</f>
        <v/>
      </c>
      <c r="Q421" s="24">
        <f>IF(AND(K421=1,'ORDENES'!$N417="Pendiente"),1,0)</f>
        <v/>
      </c>
      <c r="R421" s="24">
        <f>IF(Q421=1,100000-N421*1000+414*0.01,9000000000000+414)</f>
        <v/>
      </c>
      <c r="S421" s="24">
        <f>IF(Q421=1,SUMPRODUCT(--($R$8:$R$1207&lt;R421))+1,"")</f>
        <v/>
      </c>
      <c r="T421" s="30">
        <f>IF(K421=1,'ORDENES'!$J417,"")</f>
        <v/>
      </c>
    </row>
    <row r="422">
      <c r="K422" s="24">
        <f>IF(AND(IF($B$3="(todos)",TRUE,'ORDENES'!$O418=$B$3),IF($D$3="(todos)",TRUE,'ORDENES'!$AI418=$D$3),IF($F$3="(todos)",TRUE,'ORDENES'!$AA418=$F$3),IF($H$3="(todos)",TRUE,'ORDENES'!$Z418=$H$3),'ORDENES'!$AG418=TRUE,'ORDENES'!$A418&lt;&gt;""),1,0)</f>
        <v/>
      </c>
      <c r="L422" s="24">
        <f>IF(K422=1,IFERROR(MATCH('ORDENES'!$S418,lista_dias,0),9)*1000000000+IFERROR(MATCH('ORDENES'!$AI418,lista_turnos,0),9)*10000000+IFERROR(MATCH('ORDENES'!$AH418,'TECNICOS'!$B$4:$B$19,0),99)*100000+415,9000000000000+415)</f>
        <v/>
      </c>
      <c r="M422" s="24">
        <f>IF(K422=1,SUMPRODUCT(--($L$8:$L$1207&lt;L422))+1,"")</f>
        <v/>
      </c>
      <c r="N422" s="25">
        <f>IF(K422=1,N('ORDENES'!$M418),0)</f>
        <v/>
      </c>
      <c r="O422" s="25">
        <f>IF('ORDENES'!$U418="preventiva",N422,0)</f>
        <v/>
      </c>
      <c r="P422" s="25">
        <f>IF('ORDENES'!$U418="correctiva",N422,0)</f>
        <v/>
      </c>
      <c r="Q422" s="24">
        <f>IF(AND(K422=1,'ORDENES'!$N418="Pendiente"),1,0)</f>
        <v/>
      </c>
      <c r="R422" s="24">
        <f>IF(Q422=1,100000-N422*1000+415*0.01,9000000000000+415)</f>
        <v/>
      </c>
      <c r="S422" s="24">
        <f>IF(Q422=1,SUMPRODUCT(--($R$8:$R$1207&lt;R422))+1,"")</f>
        <v/>
      </c>
      <c r="T422" s="30">
        <f>IF(K422=1,'ORDENES'!$J418,"")</f>
        <v/>
      </c>
    </row>
    <row r="423">
      <c r="K423" s="24">
        <f>IF(AND(IF($B$3="(todos)",TRUE,'ORDENES'!$O419=$B$3),IF($D$3="(todos)",TRUE,'ORDENES'!$AI419=$D$3),IF($F$3="(todos)",TRUE,'ORDENES'!$AA419=$F$3),IF($H$3="(todos)",TRUE,'ORDENES'!$Z419=$H$3),'ORDENES'!$AG419=TRUE,'ORDENES'!$A419&lt;&gt;""),1,0)</f>
        <v/>
      </c>
      <c r="L423" s="24">
        <f>IF(K423=1,IFERROR(MATCH('ORDENES'!$S419,lista_dias,0),9)*1000000000+IFERROR(MATCH('ORDENES'!$AI419,lista_turnos,0),9)*10000000+IFERROR(MATCH('ORDENES'!$AH419,'TECNICOS'!$B$4:$B$19,0),99)*100000+416,9000000000000+416)</f>
        <v/>
      </c>
      <c r="M423" s="24">
        <f>IF(K423=1,SUMPRODUCT(--($L$8:$L$1207&lt;L423))+1,"")</f>
        <v/>
      </c>
      <c r="N423" s="25">
        <f>IF(K423=1,N('ORDENES'!$M419),0)</f>
        <v/>
      </c>
      <c r="O423" s="25">
        <f>IF('ORDENES'!$U419="preventiva",N423,0)</f>
        <v/>
      </c>
      <c r="P423" s="25">
        <f>IF('ORDENES'!$U419="correctiva",N423,0)</f>
        <v/>
      </c>
      <c r="Q423" s="24">
        <f>IF(AND(K423=1,'ORDENES'!$N419="Pendiente"),1,0)</f>
        <v/>
      </c>
      <c r="R423" s="24">
        <f>IF(Q423=1,100000-N423*1000+416*0.01,9000000000000+416)</f>
        <v/>
      </c>
      <c r="S423" s="24">
        <f>IF(Q423=1,SUMPRODUCT(--($R$8:$R$1207&lt;R423))+1,"")</f>
        <v/>
      </c>
      <c r="T423" s="30">
        <f>IF(K423=1,'ORDENES'!$J419,"")</f>
        <v/>
      </c>
    </row>
    <row r="424">
      <c r="K424" s="24">
        <f>IF(AND(IF($B$3="(todos)",TRUE,'ORDENES'!$O420=$B$3),IF($D$3="(todos)",TRUE,'ORDENES'!$AI420=$D$3),IF($F$3="(todos)",TRUE,'ORDENES'!$AA420=$F$3),IF($H$3="(todos)",TRUE,'ORDENES'!$Z420=$H$3),'ORDENES'!$AG420=TRUE,'ORDENES'!$A420&lt;&gt;""),1,0)</f>
        <v/>
      </c>
      <c r="L424" s="24">
        <f>IF(K424=1,IFERROR(MATCH('ORDENES'!$S420,lista_dias,0),9)*1000000000+IFERROR(MATCH('ORDENES'!$AI420,lista_turnos,0),9)*10000000+IFERROR(MATCH('ORDENES'!$AH420,'TECNICOS'!$B$4:$B$19,0),99)*100000+417,9000000000000+417)</f>
        <v/>
      </c>
      <c r="M424" s="24">
        <f>IF(K424=1,SUMPRODUCT(--($L$8:$L$1207&lt;L424))+1,"")</f>
        <v/>
      </c>
      <c r="N424" s="25">
        <f>IF(K424=1,N('ORDENES'!$M420),0)</f>
        <v/>
      </c>
      <c r="O424" s="25">
        <f>IF('ORDENES'!$U420="preventiva",N424,0)</f>
        <v/>
      </c>
      <c r="P424" s="25">
        <f>IF('ORDENES'!$U420="correctiva",N424,0)</f>
        <v/>
      </c>
      <c r="Q424" s="24">
        <f>IF(AND(K424=1,'ORDENES'!$N420="Pendiente"),1,0)</f>
        <v/>
      </c>
      <c r="R424" s="24">
        <f>IF(Q424=1,100000-N424*1000+417*0.01,9000000000000+417)</f>
        <v/>
      </c>
      <c r="S424" s="24">
        <f>IF(Q424=1,SUMPRODUCT(--($R$8:$R$1207&lt;R424))+1,"")</f>
        <v/>
      </c>
      <c r="T424" s="30">
        <f>IF(K424=1,'ORDENES'!$J420,"")</f>
        <v/>
      </c>
    </row>
    <row r="425">
      <c r="K425" s="24">
        <f>IF(AND(IF($B$3="(todos)",TRUE,'ORDENES'!$O421=$B$3),IF($D$3="(todos)",TRUE,'ORDENES'!$AI421=$D$3),IF($F$3="(todos)",TRUE,'ORDENES'!$AA421=$F$3),IF($H$3="(todos)",TRUE,'ORDENES'!$Z421=$H$3),'ORDENES'!$AG421=TRUE,'ORDENES'!$A421&lt;&gt;""),1,0)</f>
        <v/>
      </c>
      <c r="L425" s="24">
        <f>IF(K425=1,IFERROR(MATCH('ORDENES'!$S421,lista_dias,0),9)*1000000000+IFERROR(MATCH('ORDENES'!$AI421,lista_turnos,0),9)*10000000+IFERROR(MATCH('ORDENES'!$AH421,'TECNICOS'!$B$4:$B$19,0),99)*100000+418,9000000000000+418)</f>
        <v/>
      </c>
      <c r="M425" s="24">
        <f>IF(K425=1,SUMPRODUCT(--($L$8:$L$1207&lt;L425))+1,"")</f>
        <v/>
      </c>
      <c r="N425" s="25">
        <f>IF(K425=1,N('ORDENES'!$M421),0)</f>
        <v/>
      </c>
      <c r="O425" s="25">
        <f>IF('ORDENES'!$U421="preventiva",N425,0)</f>
        <v/>
      </c>
      <c r="P425" s="25">
        <f>IF('ORDENES'!$U421="correctiva",N425,0)</f>
        <v/>
      </c>
      <c r="Q425" s="24">
        <f>IF(AND(K425=1,'ORDENES'!$N421="Pendiente"),1,0)</f>
        <v/>
      </c>
      <c r="R425" s="24">
        <f>IF(Q425=1,100000-N425*1000+418*0.01,9000000000000+418)</f>
        <v/>
      </c>
      <c r="S425" s="24">
        <f>IF(Q425=1,SUMPRODUCT(--($R$8:$R$1207&lt;R425))+1,"")</f>
        <v/>
      </c>
      <c r="T425" s="30">
        <f>IF(K425=1,'ORDENES'!$J421,"")</f>
        <v/>
      </c>
    </row>
    <row r="426">
      <c r="K426" s="24">
        <f>IF(AND(IF($B$3="(todos)",TRUE,'ORDENES'!$O422=$B$3),IF($D$3="(todos)",TRUE,'ORDENES'!$AI422=$D$3),IF($F$3="(todos)",TRUE,'ORDENES'!$AA422=$F$3),IF($H$3="(todos)",TRUE,'ORDENES'!$Z422=$H$3),'ORDENES'!$AG422=TRUE,'ORDENES'!$A422&lt;&gt;""),1,0)</f>
        <v/>
      </c>
      <c r="L426" s="24">
        <f>IF(K426=1,IFERROR(MATCH('ORDENES'!$S422,lista_dias,0),9)*1000000000+IFERROR(MATCH('ORDENES'!$AI422,lista_turnos,0),9)*10000000+IFERROR(MATCH('ORDENES'!$AH422,'TECNICOS'!$B$4:$B$19,0),99)*100000+419,9000000000000+419)</f>
        <v/>
      </c>
      <c r="M426" s="24">
        <f>IF(K426=1,SUMPRODUCT(--($L$8:$L$1207&lt;L426))+1,"")</f>
        <v/>
      </c>
      <c r="N426" s="25">
        <f>IF(K426=1,N('ORDENES'!$M422),0)</f>
        <v/>
      </c>
      <c r="O426" s="25">
        <f>IF('ORDENES'!$U422="preventiva",N426,0)</f>
        <v/>
      </c>
      <c r="P426" s="25">
        <f>IF('ORDENES'!$U422="correctiva",N426,0)</f>
        <v/>
      </c>
      <c r="Q426" s="24">
        <f>IF(AND(K426=1,'ORDENES'!$N422="Pendiente"),1,0)</f>
        <v/>
      </c>
      <c r="R426" s="24">
        <f>IF(Q426=1,100000-N426*1000+419*0.01,9000000000000+419)</f>
        <v/>
      </c>
      <c r="S426" s="24">
        <f>IF(Q426=1,SUMPRODUCT(--($R$8:$R$1207&lt;R426))+1,"")</f>
        <v/>
      </c>
      <c r="T426" s="30">
        <f>IF(K426=1,'ORDENES'!$J422,"")</f>
        <v/>
      </c>
    </row>
    <row r="427">
      <c r="K427" s="24">
        <f>IF(AND(IF($B$3="(todos)",TRUE,'ORDENES'!$O423=$B$3),IF($D$3="(todos)",TRUE,'ORDENES'!$AI423=$D$3),IF($F$3="(todos)",TRUE,'ORDENES'!$AA423=$F$3),IF($H$3="(todos)",TRUE,'ORDENES'!$Z423=$H$3),'ORDENES'!$AG423=TRUE,'ORDENES'!$A423&lt;&gt;""),1,0)</f>
        <v/>
      </c>
      <c r="L427" s="24">
        <f>IF(K427=1,IFERROR(MATCH('ORDENES'!$S423,lista_dias,0),9)*1000000000+IFERROR(MATCH('ORDENES'!$AI423,lista_turnos,0),9)*10000000+IFERROR(MATCH('ORDENES'!$AH423,'TECNICOS'!$B$4:$B$19,0),99)*100000+420,9000000000000+420)</f>
        <v/>
      </c>
      <c r="M427" s="24">
        <f>IF(K427=1,SUMPRODUCT(--($L$8:$L$1207&lt;L427))+1,"")</f>
        <v/>
      </c>
      <c r="N427" s="25">
        <f>IF(K427=1,N('ORDENES'!$M423),0)</f>
        <v/>
      </c>
      <c r="O427" s="25">
        <f>IF('ORDENES'!$U423="preventiva",N427,0)</f>
        <v/>
      </c>
      <c r="P427" s="25">
        <f>IF('ORDENES'!$U423="correctiva",N427,0)</f>
        <v/>
      </c>
      <c r="Q427" s="24">
        <f>IF(AND(K427=1,'ORDENES'!$N423="Pendiente"),1,0)</f>
        <v/>
      </c>
      <c r="R427" s="24">
        <f>IF(Q427=1,100000-N427*1000+420*0.01,9000000000000+420)</f>
        <v/>
      </c>
      <c r="S427" s="24">
        <f>IF(Q427=1,SUMPRODUCT(--($R$8:$R$1207&lt;R427))+1,"")</f>
        <v/>
      </c>
      <c r="T427" s="30">
        <f>IF(K427=1,'ORDENES'!$J423,"")</f>
        <v/>
      </c>
    </row>
    <row r="428">
      <c r="K428" s="24">
        <f>IF(AND(IF($B$3="(todos)",TRUE,'ORDENES'!$O424=$B$3),IF($D$3="(todos)",TRUE,'ORDENES'!$AI424=$D$3),IF($F$3="(todos)",TRUE,'ORDENES'!$AA424=$F$3),IF($H$3="(todos)",TRUE,'ORDENES'!$Z424=$H$3),'ORDENES'!$AG424=TRUE,'ORDENES'!$A424&lt;&gt;""),1,0)</f>
        <v/>
      </c>
      <c r="L428" s="24">
        <f>IF(K428=1,IFERROR(MATCH('ORDENES'!$S424,lista_dias,0),9)*1000000000+IFERROR(MATCH('ORDENES'!$AI424,lista_turnos,0),9)*10000000+IFERROR(MATCH('ORDENES'!$AH424,'TECNICOS'!$B$4:$B$19,0),99)*100000+421,9000000000000+421)</f>
        <v/>
      </c>
      <c r="M428" s="24">
        <f>IF(K428=1,SUMPRODUCT(--($L$8:$L$1207&lt;L428))+1,"")</f>
        <v/>
      </c>
      <c r="N428" s="25">
        <f>IF(K428=1,N('ORDENES'!$M424),0)</f>
        <v/>
      </c>
      <c r="O428" s="25">
        <f>IF('ORDENES'!$U424="preventiva",N428,0)</f>
        <v/>
      </c>
      <c r="P428" s="25">
        <f>IF('ORDENES'!$U424="correctiva",N428,0)</f>
        <v/>
      </c>
      <c r="Q428" s="24">
        <f>IF(AND(K428=1,'ORDENES'!$N424="Pendiente"),1,0)</f>
        <v/>
      </c>
      <c r="R428" s="24">
        <f>IF(Q428=1,100000-N428*1000+421*0.01,9000000000000+421)</f>
        <v/>
      </c>
      <c r="S428" s="24">
        <f>IF(Q428=1,SUMPRODUCT(--($R$8:$R$1207&lt;R428))+1,"")</f>
        <v/>
      </c>
      <c r="T428" s="30">
        <f>IF(K428=1,'ORDENES'!$J424,"")</f>
        <v/>
      </c>
    </row>
    <row r="429">
      <c r="K429" s="24">
        <f>IF(AND(IF($B$3="(todos)",TRUE,'ORDENES'!$O425=$B$3),IF($D$3="(todos)",TRUE,'ORDENES'!$AI425=$D$3),IF($F$3="(todos)",TRUE,'ORDENES'!$AA425=$F$3),IF($H$3="(todos)",TRUE,'ORDENES'!$Z425=$H$3),'ORDENES'!$AG425=TRUE,'ORDENES'!$A425&lt;&gt;""),1,0)</f>
        <v/>
      </c>
      <c r="L429" s="24">
        <f>IF(K429=1,IFERROR(MATCH('ORDENES'!$S425,lista_dias,0),9)*1000000000+IFERROR(MATCH('ORDENES'!$AI425,lista_turnos,0),9)*10000000+IFERROR(MATCH('ORDENES'!$AH425,'TECNICOS'!$B$4:$B$19,0),99)*100000+422,9000000000000+422)</f>
        <v/>
      </c>
      <c r="M429" s="24">
        <f>IF(K429=1,SUMPRODUCT(--($L$8:$L$1207&lt;L429))+1,"")</f>
        <v/>
      </c>
      <c r="N429" s="25">
        <f>IF(K429=1,N('ORDENES'!$M425),0)</f>
        <v/>
      </c>
      <c r="O429" s="25">
        <f>IF('ORDENES'!$U425="preventiva",N429,0)</f>
        <v/>
      </c>
      <c r="P429" s="25">
        <f>IF('ORDENES'!$U425="correctiva",N429,0)</f>
        <v/>
      </c>
      <c r="Q429" s="24">
        <f>IF(AND(K429=1,'ORDENES'!$N425="Pendiente"),1,0)</f>
        <v/>
      </c>
      <c r="R429" s="24">
        <f>IF(Q429=1,100000-N429*1000+422*0.01,9000000000000+422)</f>
        <v/>
      </c>
      <c r="S429" s="24">
        <f>IF(Q429=1,SUMPRODUCT(--($R$8:$R$1207&lt;R429))+1,"")</f>
        <v/>
      </c>
      <c r="T429" s="30">
        <f>IF(K429=1,'ORDENES'!$J425,"")</f>
        <v/>
      </c>
    </row>
    <row r="430">
      <c r="K430" s="24">
        <f>IF(AND(IF($B$3="(todos)",TRUE,'ORDENES'!$O426=$B$3),IF($D$3="(todos)",TRUE,'ORDENES'!$AI426=$D$3),IF($F$3="(todos)",TRUE,'ORDENES'!$AA426=$F$3),IF($H$3="(todos)",TRUE,'ORDENES'!$Z426=$H$3),'ORDENES'!$AG426=TRUE,'ORDENES'!$A426&lt;&gt;""),1,0)</f>
        <v/>
      </c>
      <c r="L430" s="24">
        <f>IF(K430=1,IFERROR(MATCH('ORDENES'!$S426,lista_dias,0),9)*1000000000+IFERROR(MATCH('ORDENES'!$AI426,lista_turnos,0),9)*10000000+IFERROR(MATCH('ORDENES'!$AH426,'TECNICOS'!$B$4:$B$19,0),99)*100000+423,9000000000000+423)</f>
        <v/>
      </c>
      <c r="M430" s="24">
        <f>IF(K430=1,SUMPRODUCT(--($L$8:$L$1207&lt;L430))+1,"")</f>
        <v/>
      </c>
      <c r="N430" s="25">
        <f>IF(K430=1,N('ORDENES'!$M426),0)</f>
        <v/>
      </c>
      <c r="O430" s="25">
        <f>IF('ORDENES'!$U426="preventiva",N430,0)</f>
        <v/>
      </c>
      <c r="P430" s="25">
        <f>IF('ORDENES'!$U426="correctiva",N430,0)</f>
        <v/>
      </c>
      <c r="Q430" s="24">
        <f>IF(AND(K430=1,'ORDENES'!$N426="Pendiente"),1,0)</f>
        <v/>
      </c>
      <c r="R430" s="24">
        <f>IF(Q430=1,100000-N430*1000+423*0.01,9000000000000+423)</f>
        <v/>
      </c>
      <c r="S430" s="24">
        <f>IF(Q430=1,SUMPRODUCT(--($R$8:$R$1207&lt;R430))+1,"")</f>
        <v/>
      </c>
      <c r="T430" s="30">
        <f>IF(K430=1,'ORDENES'!$J426,"")</f>
        <v/>
      </c>
    </row>
    <row r="431">
      <c r="K431" s="24">
        <f>IF(AND(IF($B$3="(todos)",TRUE,'ORDENES'!$O427=$B$3),IF($D$3="(todos)",TRUE,'ORDENES'!$AI427=$D$3),IF($F$3="(todos)",TRUE,'ORDENES'!$AA427=$F$3),IF($H$3="(todos)",TRUE,'ORDENES'!$Z427=$H$3),'ORDENES'!$AG427=TRUE,'ORDENES'!$A427&lt;&gt;""),1,0)</f>
        <v/>
      </c>
      <c r="L431" s="24">
        <f>IF(K431=1,IFERROR(MATCH('ORDENES'!$S427,lista_dias,0),9)*1000000000+IFERROR(MATCH('ORDENES'!$AI427,lista_turnos,0),9)*10000000+IFERROR(MATCH('ORDENES'!$AH427,'TECNICOS'!$B$4:$B$19,0),99)*100000+424,9000000000000+424)</f>
        <v/>
      </c>
      <c r="M431" s="24">
        <f>IF(K431=1,SUMPRODUCT(--($L$8:$L$1207&lt;L431))+1,"")</f>
        <v/>
      </c>
      <c r="N431" s="25">
        <f>IF(K431=1,N('ORDENES'!$M427),0)</f>
        <v/>
      </c>
      <c r="O431" s="25">
        <f>IF('ORDENES'!$U427="preventiva",N431,0)</f>
        <v/>
      </c>
      <c r="P431" s="25">
        <f>IF('ORDENES'!$U427="correctiva",N431,0)</f>
        <v/>
      </c>
      <c r="Q431" s="24">
        <f>IF(AND(K431=1,'ORDENES'!$N427="Pendiente"),1,0)</f>
        <v/>
      </c>
      <c r="R431" s="24">
        <f>IF(Q431=1,100000-N431*1000+424*0.01,9000000000000+424)</f>
        <v/>
      </c>
      <c r="S431" s="24">
        <f>IF(Q431=1,SUMPRODUCT(--($R$8:$R$1207&lt;R431))+1,"")</f>
        <v/>
      </c>
      <c r="T431" s="30">
        <f>IF(K431=1,'ORDENES'!$J427,"")</f>
        <v/>
      </c>
    </row>
    <row r="432">
      <c r="K432" s="24">
        <f>IF(AND(IF($B$3="(todos)",TRUE,'ORDENES'!$O428=$B$3),IF($D$3="(todos)",TRUE,'ORDENES'!$AI428=$D$3),IF($F$3="(todos)",TRUE,'ORDENES'!$AA428=$F$3),IF($H$3="(todos)",TRUE,'ORDENES'!$Z428=$H$3),'ORDENES'!$AG428=TRUE,'ORDENES'!$A428&lt;&gt;""),1,0)</f>
        <v/>
      </c>
      <c r="L432" s="24">
        <f>IF(K432=1,IFERROR(MATCH('ORDENES'!$S428,lista_dias,0),9)*1000000000+IFERROR(MATCH('ORDENES'!$AI428,lista_turnos,0),9)*10000000+IFERROR(MATCH('ORDENES'!$AH428,'TECNICOS'!$B$4:$B$19,0),99)*100000+425,9000000000000+425)</f>
        <v/>
      </c>
      <c r="M432" s="24">
        <f>IF(K432=1,SUMPRODUCT(--($L$8:$L$1207&lt;L432))+1,"")</f>
        <v/>
      </c>
      <c r="N432" s="25">
        <f>IF(K432=1,N('ORDENES'!$M428),0)</f>
        <v/>
      </c>
      <c r="O432" s="25">
        <f>IF('ORDENES'!$U428="preventiva",N432,0)</f>
        <v/>
      </c>
      <c r="P432" s="25">
        <f>IF('ORDENES'!$U428="correctiva",N432,0)</f>
        <v/>
      </c>
      <c r="Q432" s="24">
        <f>IF(AND(K432=1,'ORDENES'!$N428="Pendiente"),1,0)</f>
        <v/>
      </c>
      <c r="R432" s="24">
        <f>IF(Q432=1,100000-N432*1000+425*0.01,9000000000000+425)</f>
        <v/>
      </c>
      <c r="S432" s="24">
        <f>IF(Q432=1,SUMPRODUCT(--($R$8:$R$1207&lt;R432))+1,"")</f>
        <v/>
      </c>
      <c r="T432" s="30">
        <f>IF(K432=1,'ORDENES'!$J428,"")</f>
        <v/>
      </c>
    </row>
    <row r="433">
      <c r="K433" s="24">
        <f>IF(AND(IF($B$3="(todos)",TRUE,'ORDENES'!$O429=$B$3),IF($D$3="(todos)",TRUE,'ORDENES'!$AI429=$D$3),IF($F$3="(todos)",TRUE,'ORDENES'!$AA429=$F$3),IF($H$3="(todos)",TRUE,'ORDENES'!$Z429=$H$3),'ORDENES'!$AG429=TRUE,'ORDENES'!$A429&lt;&gt;""),1,0)</f>
        <v/>
      </c>
      <c r="L433" s="24">
        <f>IF(K433=1,IFERROR(MATCH('ORDENES'!$S429,lista_dias,0),9)*1000000000+IFERROR(MATCH('ORDENES'!$AI429,lista_turnos,0),9)*10000000+IFERROR(MATCH('ORDENES'!$AH429,'TECNICOS'!$B$4:$B$19,0),99)*100000+426,9000000000000+426)</f>
        <v/>
      </c>
      <c r="M433" s="24">
        <f>IF(K433=1,SUMPRODUCT(--($L$8:$L$1207&lt;L433))+1,"")</f>
        <v/>
      </c>
      <c r="N433" s="25">
        <f>IF(K433=1,N('ORDENES'!$M429),0)</f>
        <v/>
      </c>
      <c r="O433" s="25">
        <f>IF('ORDENES'!$U429="preventiva",N433,0)</f>
        <v/>
      </c>
      <c r="P433" s="25">
        <f>IF('ORDENES'!$U429="correctiva",N433,0)</f>
        <v/>
      </c>
      <c r="Q433" s="24">
        <f>IF(AND(K433=1,'ORDENES'!$N429="Pendiente"),1,0)</f>
        <v/>
      </c>
      <c r="R433" s="24">
        <f>IF(Q433=1,100000-N433*1000+426*0.01,9000000000000+426)</f>
        <v/>
      </c>
      <c r="S433" s="24">
        <f>IF(Q433=1,SUMPRODUCT(--($R$8:$R$1207&lt;R433))+1,"")</f>
        <v/>
      </c>
      <c r="T433" s="30">
        <f>IF(K433=1,'ORDENES'!$J429,"")</f>
        <v/>
      </c>
    </row>
    <row r="434">
      <c r="K434" s="24">
        <f>IF(AND(IF($B$3="(todos)",TRUE,'ORDENES'!$O430=$B$3),IF($D$3="(todos)",TRUE,'ORDENES'!$AI430=$D$3),IF($F$3="(todos)",TRUE,'ORDENES'!$AA430=$F$3),IF($H$3="(todos)",TRUE,'ORDENES'!$Z430=$H$3),'ORDENES'!$AG430=TRUE,'ORDENES'!$A430&lt;&gt;""),1,0)</f>
        <v/>
      </c>
      <c r="L434" s="24">
        <f>IF(K434=1,IFERROR(MATCH('ORDENES'!$S430,lista_dias,0),9)*1000000000+IFERROR(MATCH('ORDENES'!$AI430,lista_turnos,0),9)*10000000+IFERROR(MATCH('ORDENES'!$AH430,'TECNICOS'!$B$4:$B$19,0),99)*100000+427,9000000000000+427)</f>
        <v/>
      </c>
      <c r="M434" s="24">
        <f>IF(K434=1,SUMPRODUCT(--($L$8:$L$1207&lt;L434))+1,"")</f>
        <v/>
      </c>
      <c r="N434" s="25">
        <f>IF(K434=1,N('ORDENES'!$M430),0)</f>
        <v/>
      </c>
      <c r="O434" s="25">
        <f>IF('ORDENES'!$U430="preventiva",N434,0)</f>
        <v/>
      </c>
      <c r="P434" s="25">
        <f>IF('ORDENES'!$U430="correctiva",N434,0)</f>
        <v/>
      </c>
      <c r="Q434" s="24">
        <f>IF(AND(K434=1,'ORDENES'!$N430="Pendiente"),1,0)</f>
        <v/>
      </c>
      <c r="R434" s="24">
        <f>IF(Q434=1,100000-N434*1000+427*0.01,9000000000000+427)</f>
        <v/>
      </c>
      <c r="S434" s="24">
        <f>IF(Q434=1,SUMPRODUCT(--($R$8:$R$1207&lt;R434))+1,"")</f>
        <v/>
      </c>
      <c r="T434" s="30">
        <f>IF(K434=1,'ORDENES'!$J430,"")</f>
        <v/>
      </c>
    </row>
    <row r="435">
      <c r="K435" s="24">
        <f>IF(AND(IF($B$3="(todos)",TRUE,'ORDENES'!$O431=$B$3),IF($D$3="(todos)",TRUE,'ORDENES'!$AI431=$D$3),IF($F$3="(todos)",TRUE,'ORDENES'!$AA431=$F$3),IF($H$3="(todos)",TRUE,'ORDENES'!$Z431=$H$3),'ORDENES'!$AG431=TRUE,'ORDENES'!$A431&lt;&gt;""),1,0)</f>
        <v/>
      </c>
      <c r="L435" s="24">
        <f>IF(K435=1,IFERROR(MATCH('ORDENES'!$S431,lista_dias,0),9)*1000000000+IFERROR(MATCH('ORDENES'!$AI431,lista_turnos,0),9)*10000000+IFERROR(MATCH('ORDENES'!$AH431,'TECNICOS'!$B$4:$B$19,0),99)*100000+428,9000000000000+428)</f>
        <v/>
      </c>
      <c r="M435" s="24">
        <f>IF(K435=1,SUMPRODUCT(--($L$8:$L$1207&lt;L435))+1,"")</f>
        <v/>
      </c>
      <c r="N435" s="25">
        <f>IF(K435=1,N('ORDENES'!$M431),0)</f>
        <v/>
      </c>
      <c r="O435" s="25">
        <f>IF('ORDENES'!$U431="preventiva",N435,0)</f>
        <v/>
      </c>
      <c r="P435" s="25">
        <f>IF('ORDENES'!$U431="correctiva",N435,0)</f>
        <v/>
      </c>
      <c r="Q435" s="24">
        <f>IF(AND(K435=1,'ORDENES'!$N431="Pendiente"),1,0)</f>
        <v/>
      </c>
      <c r="R435" s="24">
        <f>IF(Q435=1,100000-N435*1000+428*0.01,9000000000000+428)</f>
        <v/>
      </c>
      <c r="S435" s="24">
        <f>IF(Q435=1,SUMPRODUCT(--($R$8:$R$1207&lt;R435))+1,"")</f>
        <v/>
      </c>
      <c r="T435" s="30">
        <f>IF(K435=1,'ORDENES'!$J431,"")</f>
        <v/>
      </c>
    </row>
    <row r="436">
      <c r="K436" s="24">
        <f>IF(AND(IF($B$3="(todos)",TRUE,'ORDENES'!$O432=$B$3),IF($D$3="(todos)",TRUE,'ORDENES'!$AI432=$D$3),IF($F$3="(todos)",TRUE,'ORDENES'!$AA432=$F$3),IF($H$3="(todos)",TRUE,'ORDENES'!$Z432=$H$3),'ORDENES'!$AG432=TRUE,'ORDENES'!$A432&lt;&gt;""),1,0)</f>
        <v/>
      </c>
      <c r="L436" s="24">
        <f>IF(K436=1,IFERROR(MATCH('ORDENES'!$S432,lista_dias,0),9)*1000000000+IFERROR(MATCH('ORDENES'!$AI432,lista_turnos,0),9)*10000000+IFERROR(MATCH('ORDENES'!$AH432,'TECNICOS'!$B$4:$B$19,0),99)*100000+429,9000000000000+429)</f>
        <v/>
      </c>
      <c r="M436" s="24">
        <f>IF(K436=1,SUMPRODUCT(--($L$8:$L$1207&lt;L436))+1,"")</f>
        <v/>
      </c>
      <c r="N436" s="25">
        <f>IF(K436=1,N('ORDENES'!$M432),0)</f>
        <v/>
      </c>
      <c r="O436" s="25">
        <f>IF('ORDENES'!$U432="preventiva",N436,0)</f>
        <v/>
      </c>
      <c r="P436" s="25">
        <f>IF('ORDENES'!$U432="correctiva",N436,0)</f>
        <v/>
      </c>
      <c r="Q436" s="24">
        <f>IF(AND(K436=1,'ORDENES'!$N432="Pendiente"),1,0)</f>
        <v/>
      </c>
      <c r="R436" s="24">
        <f>IF(Q436=1,100000-N436*1000+429*0.01,9000000000000+429)</f>
        <v/>
      </c>
      <c r="S436" s="24">
        <f>IF(Q436=1,SUMPRODUCT(--($R$8:$R$1207&lt;R436))+1,"")</f>
        <v/>
      </c>
      <c r="T436" s="30">
        <f>IF(K436=1,'ORDENES'!$J432,"")</f>
        <v/>
      </c>
    </row>
    <row r="437">
      <c r="K437" s="24">
        <f>IF(AND(IF($B$3="(todos)",TRUE,'ORDENES'!$O433=$B$3),IF($D$3="(todos)",TRUE,'ORDENES'!$AI433=$D$3),IF($F$3="(todos)",TRUE,'ORDENES'!$AA433=$F$3),IF($H$3="(todos)",TRUE,'ORDENES'!$Z433=$H$3),'ORDENES'!$AG433=TRUE,'ORDENES'!$A433&lt;&gt;""),1,0)</f>
        <v/>
      </c>
      <c r="L437" s="24">
        <f>IF(K437=1,IFERROR(MATCH('ORDENES'!$S433,lista_dias,0),9)*1000000000+IFERROR(MATCH('ORDENES'!$AI433,lista_turnos,0),9)*10000000+IFERROR(MATCH('ORDENES'!$AH433,'TECNICOS'!$B$4:$B$19,0),99)*100000+430,9000000000000+430)</f>
        <v/>
      </c>
      <c r="M437" s="24">
        <f>IF(K437=1,SUMPRODUCT(--($L$8:$L$1207&lt;L437))+1,"")</f>
        <v/>
      </c>
      <c r="N437" s="25">
        <f>IF(K437=1,N('ORDENES'!$M433),0)</f>
        <v/>
      </c>
      <c r="O437" s="25">
        <f>IF('ORDENES'!$U433="preventiva",N437,0)</f>
        <v/>
      </c>
      <c r="P437" s="25">
        <f>IF('ORDENES'!$U433="correctiva",N437,0)</f>
        <v/>
      </c>
      <c r="Q437" s="24">
        <f>IF(AND(K437=1,'ORDENES'!$N433="Pendiente"),1,0)</f>
        <v/>
      </c>
      <c r="R437" s="24">
        <f>IF(Q437=1,100000-N437*1000+430*0.01,9000000000000+430)</f>
        <v/>
      </c>
      <c r="S437" s="24">
        <f>IF(Q437=1,SUMPRODUCT(--($R$8:$R$1207&lt;R437))+1,"")</f>
        <v/>
      </c>
      <c r="T437" s="30">
        <f>IF(K437=1,'ORDENES'!$J433,"")</f>
        <v/>
      </c>
    </row>
    <row r="438">
      <c r="K438" s="24">
        <f>IF(AND(IF($B$3="(todos)",TRUE,'ORDENES'!$O434=$B$3),IF($D$3="(todos)",TRUE,'ORDENES'!$AI434=$D$3),IF($F$3="(todos)",TRUE,'ORDENES'!$AA434=$F$3),IF($H$3="(todos)",TRUE,'ORDENES'!$Z434=$H$3),'ORDENES'!$AG434=TRUE,'ORDENES'!$A434&lt;&gt;""),1,0)</f>
        <v/>
      </c>
      <c r="L438" s="24">
        <f>IF(K438=1,IFERROR(MATCH('ORDENES'!$S434,lista_dias,0),9)*1000000000+IFERROR(MATCH('ORDENES'!$AI434,lista_turnos,0),9)*10000000+IFERROR(MATCH('ORDENES'!$AH434,'TECNICOS'!$B$4:$B$19,0),99)*100000+431,9000000000000+431)</f>
        <v/>
      </c>
      <c r="M438" s="24">
        <f>IF(K438=1,SUMPRODUCT(--($L$8:$L$1207&lt;L438))+1,"")</f>
        <v/>
      </c>
      <c r="N438" s="25">
        <f>IF(K438=1,N('ORDENES'!$M434),0)</f>
        <v/>
      </c>
      <c r="O438" s="25">
        <f>IF('ORDENES'!$U434="preventiva",N438,0)</f>
        <v/>
      </c>
      <c r="P438" s="25">
        <f>IF('ORDENES'!$U434="correctiva",N438,0)</f>
        <v/>
      </c>
      <c r="Q438" s="24">
        <f>IF(AND(K438=1,'ORDENES'!$N434="Pendiente"),1,0)</f>
        <v/>
      </c>
      <c r="R438" s="24">
        <f>IF(Q438=1,100000-N438*1000+431*0.01,9000000000000+431)</f>
        <v/>
      </c>
      <c r="S438" s="24">
        <f>IF(Q438=1,SUMPRODUCT(--($R$8:$R$1207&lt;R438))+1,"")</f>
        <v/>
      </c>
      <c r="T438" s="30">
        <f>IF(K438=1,'ORDENES'!$J434,"")</f>
        <v/>
      </c>
    </row>
    <row r="439">
      <c r="K439" s="24">
        <f>IF(AND(IF($B$3="(todos)",TRUE,'ORDENES'!$O435=$B$3),IF($D$3="(todos)",TRUE,'ORDENES'!$AI435=$D$3),IF($F$3="(todos)",TRUE,'ORDENES'!$AA435=$F$3),IF($H$3="(todos)",TRUE,'ORDENES'!$Z435=$H$3),'ORDENES'!$AG435=TRUE,'ORDENES'!$A435&lt;&gt;""),1,0)</f>
        <v/>
      </c>
      <c r="L439" s="24">
        <f>IF(K439=1,IFERROR(MATCH('ORDENES'!$S435,lista_dias,0),9)*1000000000+IFERROR(MATCH('ORDENES'!$AI435,lista_turnos,0),9)*10000000+IFERROR(MATCH('ORDENES'!$AH435,'TECNICOS'!$B$4:$B$19,0),99)*100000+432,9000000000000+432)</f>
        <v/>
      </c>
      <c r="M439" s="24">
        <f>IF(K439=1,SUMPRODUCT(--($L$8:$L$1207&lt;L439))+1,"")</f>
        <v/>
      </c>
      <c r="N439" s="25">
        <f>IF(K439=1,N('ORDENES'!$M435),0)</f>
        <v/>
      </c>
      <c r="O439" s="25">
        <f>IF('ORDENES'!$U435="preventiva",N439,0)</f>
        <v/>
      </c>
      <c r="P439" s="25">
        <f>IF('ORDENES'!$U435="correctiva",N439,0)</f>
        <v/>
      </c>
      <c r="Q439" s="24">
        <f>IF(AND(K439=1,'ORDENES'!$N435="Pendiente"),1,0)</f>
        <v/>
      </c>
      <c r="R439" s="24">
        <f>IF(Q439=1,100000-N439*1000+432*0.01,9000000000000+432)</f>
        <v/>
      </c>
      <c r="S439" s="24">
        <f>IF(Q439=1,SUMPRODUCT(--($R$8:$R$1207&lt;R439))+1,"")</f>
        <v/>
      </c>
      <c r="T439" s="30">
        <f>IF(K439=1,'ORDENES'!$J435,"")</f>
        <v/>
      </c>
    </row>
    <row r="440">
      <c r="K440" s="24">
        <f>IF(AND(IF($B$3="(todos)",TRUE,'ORDENES'!$O436=$B$3),IF($D$3="(todos)",TRUE,'ORDENES'!$AI436=$D$3),IF($F$3="(todos)",TRUE,'ORDENES'!$AA436=$F$3),IF($H$3="(todos)",TRUE,'ORDENES'!$Z436=$H$3),'ORDENES'!$AG436=TRUE,'ORDENES'!$A436&lt;&gt;""),1,0)</f>
        <v/>
      </c>
      <c r="L440" s="24">
        <f>IF(K440=1,IFERROR(MATCH('ORDENES'!$S436,lista_dias,0),9)*1000000000+IFERROR(MATCH('ORDENES'!$AI436,lista_turnos,0),9)*10000000+IFERROR(MATCH('ORDENES'!$AH436,'TECNICOS'!$B$4:$B$19,0),99)*100000+433,9000000000000+433)</f>
        <v/>
      </c>
      <c r="M440" s="24">
        <f>IF(K440=1,SUMPRODUCT(--($L$8:$L$1207&lt;L440))+1,"")</f>
        <v/>
      </c>
      <c r="N440" s="25">
        <f>IF(K440=1,N('ORDENES'!$M436),0)</f>
        <v/>
      </c>
      <c r="O440" s="25">
        <f>IF('ORDENES'!$U436="preventiva",N440,0)</f>
        <v/>
      </c>
      <c r="P440" s="25">
        <f>IF('ORDENES'!$U436="correctiva",N440,0)</f>
        <v/>
      </c>
      <c r="Q440" s="24">
        <f>IF(AND(K440=1,'ORDENES'!$N436="Pendiente"),1,0)</f>
        <v/>
      </c>
      <c r="R440" s="24">
        <f>IF(Q440=1,100000-N440*1000+433*0.01,9000000000000+433)</f>
        <v/>
      </c>
      <c r="S440" s="24">
        <f>IF(Q440=1,SUMPRODUCT(--($R$8:$R$1207&lt;R440))+1,"")</f>
        <v/>
      </c>
      <c r="T440" s="30">
        <f>IF(K440=1,'ORDENES'!$J436,"")</f>
        <v/>
      </c>
    </row>
    <row r="441">
      <c r="K441" s="24">
        <f>IF(AND(IF($B$3="(todos)",TRUE,'ORDENES'!$O437=$B$3),IF($D$3="(todos)",TRUE,'ORDENES'!$AI437=$D$3),IF($F$3="(todos)",TRUE,'ORDENES'!$AA437=$F$3),IF($H$3="(todos)",TRUE,'ORDENES'!$Z437=$H$3),'ORDENES'!$AG437=TRUE,'ORDENES'!$A437&lt;&gt;""),1,0)</f>
        <v/>
      </c>
      <c r="L441" s="24">
        <f>IF(K441=1,IFERROR(MATCH('ORDENES'!$S437,lista_dias,0),9)*1000000000+IFERROR(MATCH('ORDENES'!$AI437,lista_turnos,0),9)*10000000+IFERROR(MATCH('ORDENES'!$AH437,'TECNICOS'!$B$4:$B$19,0),99)*100000+434,9000000000000+434)</f>
        <v/>
      </c>
      <c r="M441" s="24">
        <f>IF(K441=1,SUMPRODUCT(--($L$8:$L$1207&lt;L441))+1,"")</f>
        <v/>
      </c>
      <c r="N441" s="25">
        <f>IF(K441=1,N('ORDENES'!$M437),0)</f>
        <v/>
      </c>
      <c r="O441" s="25">
        <f>IF('ORDENES'!$U437="preventiva",N441,0)</f>
        <v/>
      </c>
      <c r="P441" s="25">
        <f>IF('ORDENES'!$U437="correctiva",N441,0)</f>
        <v/>
      </c>
      <c r="Q441" s="24">
        <f>IF(AND(K441=1,'ORDENES'!$N437="Pendiente"),1,0)</f>
        <v/>
      </c>
      <c r="R441" s="24">
        <f>IF(Q441=1,100000-N441*1000+434*0.01,9000000000000+434)</f>
        <v/>
      </c>
      <c r="S441" s="24">
        <f>IF(Q441=1,SUMPRODUCT(--($R$8:$R$1207&lt;R441))+1,"")</f>
        <v/>
      </c>
      <c r="T441" s="30">
        <f>IF(K441=1,'ORDENES'!$J437,"")</f>
        <v/>
      </c>
    </row>
    <row r="442">
      <c r="K442" s="24">
        <f>IF(AND(IF($B$3="(todos)",TRUE,'ORDENES'!$O438=$B$3),IF($D$3="(todos)",TRUE,'ORDENES'!$AI438=$D$3),IF($F$3="(todos)",TRUE,'ORDENES'!$AA438=$F$3),IF($H$3="(todos)",TRUE,'ORDENES'!$Z438=$H$3),'ORDENES'!$AG438=TRUE,'ORDENES'!$A438&lt;&gt;""),1,0)</f>
        <v/>
      </c>
      <c r="L442" s="24">
        <f>IF(K442=1,IFERROR(MATCH('ORDENES'!$S438,lista_dias,0),9)*1000000000+IFERROR(MATCH('ORDENES'!$AI438,lista_turnos,0),9)*10000000+IFERROR(MATCH('ORDENES'!$AH438,'TECNICOS'!$B$4:$B$19,0),99)*100000+435,9000000000000+435)</f>
        <v/>
      </c>
      <c r="M442" s="24">
        <f>IF(K442=1,SUMPRODUCT(--($L$8:$L$1207&lt;L442))+1,"")</f>
        <v/>
      </c>
      <c r="N442" s="25">
        <f>IF(K442=1,N('ORDENES'!$M438),0)</f>
        <v/>
      </c>
      <c r="O442" s="25">
        <f>IF('ORDENES'!$U438="preventiva",N442,0)</f>
        <v/>
      </c>
      <c r="P442" s="25">
        <f>IF('ORDENES'!$U438="correctiva",N442,0)</f>
        <v/>
      </c>
      <c r="Q442" s="24">
        <f>IF(AND(K442=1,'ORDENES'!$N438="Pendiente"),1,0)</f>
        <v/>
      </c>
      <c r="R442" s="24">
        <f>IF(Q442=1,100000-N442*1000+435*0.01,9000000000000+435)</f>
        <v/>
      </c>
      <c r="S442" s="24">
        <f>IF(Q442=1,SUMPRODUCT(--($R$8:$R$1207&lt;R442))+1,"")</f>
        <v/>
      </c>
      <c r="T442" s="30">
        <f>IF(K442=1,'ORDENES'!$J438,"")</f>
        <v/>
      </c>
    </row>
    <row r="443">
      <c r="K443" s="24">
        <f>IF(AND(IF($B$3="(todos)",TRUE,'ORDENES'!$O439=$B$3),IF($D$3="(todos)",TRUE,'ORDENES'!$AI439=$D$3),IF($F$3="(todos)",TRUE,'ORDENES'!$AA439=$F$3),IF($H$3="(todos)",TRUE,'ORDENES'!$Z439=$H$3),'ORDENES'!$AG439=TRUE,'ORDENES'!$A439&lt;&gt;""),1,0)</f>
        <v/>
      </c>
      <c r="L443" s="24">
        <f>IF(K443=1,IFERROR(MATCH('ORDENES'!$S439,lista_dias,0),9)*1000000000+IFERROR(MATCH('ORDENES'!$AI439,lista_turnos,0),9)*10000000+IFERROR(MATCH('ORDENES'!$AH439,'TECNICOS'!$B$4:$B$19,0),99)*100000+436,9000000000000+436)</f>
        <v/>
      </c>
      <c r="M443" s="24">
        <f>IF(K443=1,SUMPRODUCT(--($L$8:$L$1207&lt;L443))+1,"")</f>
        <v/>
      </c>
      <c r="N443" s="25">
        <f>IF(K443=1,N('ORDENES'!$M439),0)</f>
        <v/>
      </c>
      <c r="O443" s="25">
        <f>IF('ORDENES'!$U439="preventiva",N443,0)</f>
        <v/>
      </c>
      <c r="P443" s="25">
        <f>IF('ORDENES'!$U439="correctiva",N443,0)</f>
        <v/>
      </c>
      <c r="Q443" s="24">
        <f>IF(AND(K443=1,'ORDENES'!$N439="Pendiente"),1,0)</f>
        <v/>
      </c>
      <c r="R443" s="24">
        <f>IF(Q443=1,100000-N443*1000+436*0.01,9000000000000+436)</f>
        <v/>
      </c>
      <c r="S443" s="24">
        <f>IF(Q443=1,SUMPRODUCT(--($R$8:$R$1207&lt;R443))+1,"")</f>
        <v/>
      </c>
      <c r="T443" s="30">
        <f>IF(K443=1,'ORDENES'!$J439,"")</f>
        <v/>
      </c>
    </row>
    <row r="444">
      <c r="K444" s="24">
        <f>IF(AND(IF($B$3="(todos)",TRUE,'ORDENES'!$O440=$B$3),IF($D$3="(todos)",TRUE,'ORDENES'!$AI440=$D$3),IF($F$3="(todos)",TRUE,'ORDENES'!$AA440=$F$3),IF($H$3="(todos)",TRUE,'ORDENES'!$Z440=$H$3),'ORDENES'!$AG440=TRUE,'ORDENES'!$A440&lt;&gt;""),1,0)</f>
        <v/>
      </c>
      <c r="L444" s="24">
        <f>IF(K444=1,IFERROR(MATCH('ORDENES'!$S440,lista_dias,0),9)*1000000000+IFERROR(MATCH('ORDENES'!$AI440,lista_turnos,0),9)*10000000+IFERROR(MATCH('ORDENES'!$AH440,'TECNICOS'!$B$4:$B$19,0),99)*100000+437,9000000000000+437)</f>
        <v/>
      </c>
      <c r="M444" s="24">
        <f>IF(K444=1,SUMPRODUCT(--($L$8:$L$1207&lt;L444))+1,"")</f>
        <v/>
      </c>
      <c r="N444" s="25">
        <f>IF(K444=1,N('ORDENES'!$M440),0)</f>
        <v/>
      </c>
      <c r="O444" s="25">
        <f>IF('ORDENES'!$U440="preventiva",N444,0)</f>
        <v/>
      </c>
      <c r="P444" s="25">
        <f>IF('ORDENES'!$U440="correctiva",N444,0)</f>
        <v/>
      </c>
      <c r="Q444" s="24">
        <f>IF(AND(K444=1,'ORDENES'!$N440="Pendiente"),1,0)</f>
        <v/>
      </c>
      <c r="R444" s="24">
        <f>IF(Q444=1,100000-N444*1000+437*0.01,9000000000000+437)</f>
        <v/>
      </c>
      <c r="S444" s="24">
        <f>IF(Q444=1,SUMPRODUCT(--($R$8:$R$1207&lt;R444))+1,"")</f>
        <v/>
      </c>
      <c r="T444" s="30">
        <f>IF(K444=1,'ORDENES'!$J440,"")</f>
        <v/>
      </c>
    </row>
    <row r="445">
      <c r="K445" s="24">
        <f>IF(AND(IF($B$3="(todos)",TRUE,'ORDENES'!$O441=$B$3),IF($D$3="(todos)",TRUE,'ORDENES'!$AI441=$D$3),IF($F$3="(todos)",TRUE,'ORDENES'!$AA441=$F$3),IF($H$3="(todos)",TRUE,'ORDENES'!$Z441=$H$3),'ORDENES'!$AG441=TRUE,'ORDENES'!$A441&lt;&gt;""),1,0)</f>
        <v/>
      </c>
      <c r="L445" s="24">
        <f>IF(K445=1,IFERROR(MATCH('ORDENES'!$S441,lista_dias,0),9)*1000000000+IFERROR(MATCH('ORDENES'!$AI441,lista_turnos,0),9)*10000000+IFERROR(MATCH('ORDENES'!$AH441,'TECNICOS'!$B$4:$B$19,0),99)*100000+438,9000000000000+438)</f>
        <v/>
      </c>
      <c r="M445" s="24">
        <f>IF(K445=1,SUMPRODUCT(--($L$8:$L$1207&lt;L445))+1,"")</f>
        <v/>
      </c>
      <c r="N445" s="25">
        <f>IF(K445=1,N('ORDENES'!$M441),0)</f>
        <v/>
      </c>
      <c r="O445" s="25">
        <f>IF('ORDENES'!$U441="preventiva",N445,0)</f>
        <v/>
      </c>
      <c r="P445" s="25">
        <f>IF('ORDENES'!$U441="correctiva",N445,0)</f>
        <v/>
      </c>
      <c r="Q445" s="24">
        <f>IF(AND(K445=1,'ORDENES'!$N441="Pendiente"),1,0)</f>
        <v/>
      </c>
      <c r="R445" s="24">
        <f>IF(Q445=1,100000-N445*1000+438*0.01,9000000000000+438)</f>
        <v/>
      </c>
      <c r="S445" s="24">
        <f>IF(Q445=1,SUMPRODUCT(--($R$8:$R$1207&lt;R445))+1,"")</f>
        <v/>
      </c>
      <c r="T445" s="30">
        <f>IF(K445=1,'ORDENES'!$J441,"")</f>
        <v/>
      </c>
    </row>
    <row r="446">
      <c r="K446" s="24">
        <f>IF(AND(IF($B$3="(todos)",TRUE,'ORDENES'!$O442=$B$3),IF($D$3="(todos)",TRUE,'ORDENES'!$AI442=$D$3),IF($F$3="(todos)",TRUE,'ORDENES'!$AA442=$F$3),IF($H$3="(todos)",TRUE,'ORDENES'!$Z442=$H$3),'ORDENES'!$AG442=TRUE,'ORDENES'!$A442&lt;&gt;""),1,0)</f>
        <v/>
      </c>
      <c r="L446" s="24">
        <f>IF(K446=1,IFERROR(MATCH('ORDENES'!$S442,lista_dias,0),9)*1000000000+IFERROR(MATCH('ORDENES'!$AI442,lista_turnos,0),9)*10000000+IFERROR(MATCH('ORDENES'!$AH442,'TECNICOS'!$B$4:$B$19,0),99)*100000+439,9000000000000+439)</f>
        <v/>
      </c>
      <c r="M446" s="24">
        <f>IF(K446=1,SUMPRODUCT(--($L$8:$L$1207&lt;L446))+1,"")</f>
        <v/>
      </c>
      <c r="N446" s="25">
        <f>IF(K446=1,N('ORDENES'!$M442),0)</f>
        <v/>
      </c>
      <c r="O446" s="25">
        <f>IF('ORDENES'!$U442="preventiva",N446,0)</f>
        <v/>
      </c>
      <c r="P446" s="25">
        <f>IF('ORDENES'!$U442="correctiva",N446,0)</f>
        <v/>
      </c>
      <c r="Q446" s="24">
        <f>IF(AND(K446=1,'ORDENES'!$N442="Pendiente"),1,0)</f>
        <v/>
      </c>
      <c r="R446" s="24">
        <f>IF(Q446=1,100000-N446*1000+439*0.01,9000000000000+439)</f>
        <v/>
      </c>
      <c r="S446" s="24">
        <f>IF(Q446=1,SUMPRODUCT(--($R$8:$R$1207&lt;R446))+1,"")</f>
        <v/>
      </c>
      <c r="T446" s="30">
        <f>IF(K446=1,'ORDENES'!$J442,"")</f>
        <v/>
      </c>
    </row>
    <row r="447">
      <c r="K447" s="24">
        <f>IF(AND(IF($B$3="(todos)",TRUE,'ORDENES'!$O443=$B$3),IF($D$3="(todos)",TRUE,'ORDENES'!$AI443=$D$3),IF($F$3="(todos)",TRUE,'ORDENES'!$AA443=$F$3),IF($H$3="(todos)",TRUE,'ORDENES'!$Z443=$H$3),'ORDENES'!$AG443=TRUE,'ORDENES'!$A443&lt;&gt;""),1,0)</f>
        <v/>
      </c>
      <c r="L447" s="24">
        <f>IF(K447=1,IFERROR(MATCH('ORDENES'!$S443,lista_dias,0),9)*1000000000+IFERROR(MATCH('ORDENES'!$AI443,lista_turnos,0),9)*10000000+IFERROR(MATCH('ORDENES'!$AH443,'TECNICOS'!$B$4:$B$19,0),99)*100000+440,9000000000000+440)</f>
        <v/>
      </c>
      <c r="M447" s="24">
        <f>IF(K447=1,SUMPRODUCT(--($L$8:$L$1207&lt;L447))+1,"")</f>
        <v/>
      </c>
      <c r="N447" s="25">
        <f>IF(K447=1,N('ORDENES'!$M443),0)</f>
        <v/>
      </c>
      <c r="O447" s="25">
        <f>IF('ORDENES'!$U443="preventiva",N447,0)</f>
        <v/>
      </c>
      <c r="P447" s="25">
        <f>IF('ORDENES'!$U443="correctiva",N447,0)</f>
        <v/>
      </c>
      <c r="Q447" s="24">
        <f>IF(AND(K447=1,'ORDENES'!$N443="Pendiente"),1,0)</f>
        <v/>
      </c>
      <c r="R447" s="24">
        <f>IF(Q447=1,100000-N447*1000+440*0.01,9000000000000+440)</f>
        <v/>
      </c>
      <c r="S447" s="24">
        <f>IF(Q447=1,SUMPRODUCT(--($R$8:$R$1207&lt;R447))+1,"")</f>
        <v/>
      </c>
      <c r="T447" s="30">
        <f>IF(K447=1,'ORDENES'!$J443,"")</f>
        <v/>
      </c>
    </row>
    <row r="448">
      <c r="K448" s="24">
        <f>IF(AND(IF($B$3="(todos)",TRUE,'ORDENES'!$O444=$B$3),IF($D$3="(todos)",TRUE,'ORDENES'!$AI444=$D$3),IF($F$3="(todos)",TRUE,'ORDENES'!$AA444=$F$3),IF($H$3="(todos)",TRUE,'ORDENES'!$Z444=$H$3),'ORDENES'!$AG444=TRUE,'ORDENES'!$A444&lt;&gt;""),1,0)</f>
        <v/>
      </c>
      <c r="L448" s="24">
        <f>IF(K448=1,IFERROR(MATCH('ORDENES'!$S444,lista_dias,0),9)*1000000000+IFERROR(MATCH('ORDENES'!$AI444,lista_turnos,0),9)*10000000+IFERROR(MATCH('ORDENES'!$AH444,'TECNICOS'!$B$4:$B$19,0),99)*100000+441,9000000000000+441)</f>
        <v/>
      </c>
      <c r="M448" s="24">
        <f>IF(K448=1,SUMPRODUCT(--($L$8:$L$1207&lt;L448))+1,"")</f>
        <v/>
      </c>
      <c r="N448" s="25">
        <f>IF(K448=1,N('ORDENES'!$M444),0)</f>
        <v/>
      </c>
      <c r="O448" s="25">
        <f>IF('ORDENES'!$U444="preventiva",N448,0)</f>
        <v/>
      </c>
      <c r="P448" s="25">
        <f>IF('ORDENES'!$U444="correctiva",N448,0)</f>
        <v/>
      </c>
      <c r="Q448" s="24">
        <f>IF(AND(K448=1,'ORDENES'!$N444="Pendiente"),1,0)</f>
        <v/>
      </c>
      <c r="R448" s="24">
        <f>IF(Q448=1,100000-N448*1000+441*0.01,9000000000000+441)</f>
        <v/>
      </c>
      <c r="S448" s="24">
        <f>IF(Q448=1,SUMPRODUCT(--($R$8:$R$1207&lt;R448))+1,"")</f>
        <v/>
      </c>
      <c r="T448" s="30">
        <f>IF(K448=1,'ORDENES'!$J444,"")</f>
        <v/>
      </c>
    </row>
    <row r="449">
      <c r="K449" s="24">
        <f>IF(AND(IF($B$3="(todos)",TRUE,'ORDENES'!$O445=$B$3),IF($D$3="(todos)",TRUE,'ORDENES'!$AI445=$D$3),IF($F$3="(todos)",TRUE,'ORDENES'!$AA445=$F$3),IF($H$3="(todos)",TRUE,'ORDENES'!$Z445=$H$3),'ORDENES'!$AG445=TRUE,'ORDENES'!$A445&lt;&gt;""),1,0)</f>
        <v/>
      </c>
      <c r="L449" s="24">
        <f>IF(K449=1,IFERROR(MATCH('ORDENES'!$S445,lista_dias,0),9)*1000000000+IFERROR(MATCH('ORDENES'!$AI445,lista_turnos,0),9)*10000000+IFERROR(MATCH('ORDENES'!$AH445,'TECNICOS'!$B$4:$B$19,0),99)*100000+442,9000000000000+442)</f>
        <v/>
      </c>
      <c r="M449" s="24">
        <f>IF(K449=1,SUMPRODUCT(--($L$8:$L$1207&lt;L449))+1,"")</f>
        <v/>
      </c>
      <c r="N449" s="25">
        <f>IF(K449=1,N('ORDENES'!$M445),0)</f>
        <v/>
      </c>
      <c r="O449" s="25">
        <f>IF('ORDENES'!$U445="preventiva",N449,0)</f>
        <v/>
      </c>
      <c r="P449" s="25">
        <f>IF('ORDENES'!$U445="correctiva",N449,0)</f>
        <v/>
      </c>
      <c r="Q449" s="24">
        <f>IF(AND(K449=1,'ORDENES'!$N445="Pendiente"),1,0)</f>
        <v/>
      </c>
      <c r="R449" s="24">
        <f>IF(Q449=1,100000-N449*1000+442*0.01,9000000000000+442)</f>
        <v/>
      </c>
      <c r="S449" s="24">
        <f>IF(Q449=1,SUMPRODUCT(--($R$8:$R$1207&lt;R449))+1,"")</f>
        <v/>
      </c>
      <c r="T449" s="30">
        <f>IF(K449=1,'ORDENES'!$J445,"")</f>
        <v/>
      </c>
    </row>
    <row r="450">
      <c r="K450" s="24">
        <f>IF(AND(IF($B$3="(todos)",TRUE,'ORDENES'!$O446=$B$3),IF($D$3="(todos)",TRUE,'ORDENES'!$AI446=$D$3),IF($F$3="(todos)",TRUE,'ORDENES'!$AA446=$F$3),IF($H$3="(todos)",TRUE,'ORDENES'!$Z446=$H$3),'ORDENES'!$AG446=TRUE,'ORDENES'!$A446&lt;&gt;""),1,0)</f>
        <v/>
      </c>
      <c r="L450" s="24">
        <f>IF(K450=1,IFERROR(MATCH('ORDENES'!$S446,lista_dias,0),9)*1000000000+IFERROR(MATCH('ORDENES'!$AI446,lista_turnos,0),9)*10000000+IFERROR(MATCH('ORDENES'!$AH446,'TECNICOS'!$B$4:$B$19,0),99)*100000+443,9000000000000+443)</f>
        <v/>
      </c>
      <c r="M450" s="24">
        <f>IF(K450=1,SUMPRODUCT(--($L$8:$L$1207&lt;L450))+1,"")</f>
        <v/>
      </c>
      <c r="N450" s="25">
        <f>IF(K450=1,N('ORDENES'!$M446),0)</f>
        <v/>
      </c>
      <c r="O450" s="25">
        <f>IF('ORDENES'!$U446="preventiva",N450,0)</f>
        <v/>
      </c>
      <c r="P450" s="25">
        <f>IF('ORDENES'!$U446="correctiva",N450,0)</f>
        <v/>
      </c>
      <c r="Q450" s="24">
        <f>IF(AND(K450=1,'ORDENES'!$N446="Pendiente"),1,0)</f>
        <v/>
      </c>
      <c r="R450" s="24">
        <f>IF(Q450=1,100000-N450*1000+443*0.01,9000000000000+443)</f>
        <v/>
      </c>
      <c r="S450" s="24">
        <f>IF(Q450=1,SUMPRODUCT(--($R$8:$R$1207&lt;R450))+1,"")</f>
        <v/>
      </c>
      <c r="T450" s="30">
        <f>IF(K450=1,'ORDENES'!$J446,"")</f>
        <v/>
      </c>
    </row>
    <row r="451">
      <c r="K451" s="24">
        <f>IF(AND(IF($B$3="(todos)",TRUE,'ORDENES'!$O447=$B$3),IF($D$3="(todos)",TRUE,'ORDENES'!$AI447=$D$3),IF($F$3="(todos)",TRUE,'ORDENES'!$AA447=$F$3),IF($H$3="(todos)",TRUE,'ORDENES'!$Z447=$H$3),'ORDENES'!$AG447=TRUE,'ORDENES'!$A447&lt;&gt;""),1,0)</f>
        <v/>
      </c>
      <c r="L451" s="24">
        <f>IF(K451=1,IFERROR(MATCH('ORDENES'!$S447,lista_dias,0),9)*1000000000+IFERROR(MATCH('ORDENES'!$AI447,lista_turnos,0),9)*10000000+IFERROR(MATCH('ORDENES'!$AH447,'TECNICOS'!$B$4:$B$19,0),99)*100000+444,9000000000000+444)</f>
        <v/>
      </c>
      <c r="M451" s="24">
        <f>IF(K451=1,SUMPRODUCT(--($L$8:$L$1207&lt;L451))+1,"")</f>
        <v/>
      </c>
      <c r="N451" s="25">
        <f>IF(K451=1,N('ORDENES'!$M447),0)</f>
        <v/>
      </c>
      <c r="O451" s="25">
        <f>IF('ORDENES'!$U447="preventiva",N451,0)</f>
        <v/>
      </c>
      <c r="P451" s="25">
        <f>IF('ORDENES'!$U447="correctiva",N451,0)</f>
        <v/>
      </c>
      <c r="Q451" s="24">
        <f>IF(AND(K451=1,'ORDENES'!$N447="Pendiente"),1,0)</f>
        <v/>
      </c>
      <c r="R451" s="24">
        <f>IF(Q451=1,100000-N451*1000+444*0.01,9000000000000+444)</f>
        <v/>
      </c>
      <c r="S451" s="24">
        <f>IF(Q451=1,SUMPRODUCT(--($R$8:$R$1207&lt;R451))+1,"")</f>
        <v/>
      </c>
      <c r="T451" s="30">
        <f>IF(K451=1,'ORDENES'!$J447,"")</f>
        <v/>
      </c>
    </row>
    <row r="452">
      <c r="K452" s="24">
        <f>IF(AND(IF($B$3="(todos)",TRUE,'ORDENES'!$O448=$B$3),IF($D$3="(todos)",TRUE,'ORDENES'!$AI448=$D$3),IF($F$3="(todos)",TRUE,'ORDENES'!$AA448=$F$3),IF($H$3="(todos)",TRUE,'ORDENES'!$Z448=$H$3),'ORDENES'!$AG448=TRUE,'ORDENES'!$A448&lt;&gt;""),1,0)</f>
        <v/>
      </c>
      <c r="L452" s="24">
        <f>IF(K452=1,IFERROR(MATCH('ORDENES'!$S448,lista_dias,0),9)*1000000000+IFERROR(MATCH('ORDENES'!$AI448,lista_turnos,0),9)*10000000+IFERROR(MATCH('ORDENES'!$AH448,'TECNICOS'!$B$4:$B$19,0),99)*100000+445,9000000000000+445)</f>
        <v/>
      </c>
      <c r="M452" s="24">
        <f>IF(K452=1,SUMPRODUCT(--($L$8:$L$1207&lt;L452))+1,"")</f>
        <v/>
      </c>
      <c r="N452" s="25">
        <f>IF(K452=1,N('ORDENES'!$M448),0)</f>
        <v/>
      </c>
      <c r="O452" s="25">
        <f>IF('ORDENES'!$U448="preventiva",N452,0)</f>
        <v/>
      </c>
      <c r="P452" s="25">
        <f>IF('ORDENES'!$U448="correctiva",N452,0)</f>
        <v/>
      </c>
      <c r="Q452" s="24">
        <f>IF(AND(K452=1,'ORDENES'!$N448="Pendiente"),1,0)</f>
        <v/>
      </c>
      <c r="R452" s="24">
        <f>IF(Q452=1,100000-N452*1000+445*0.01,9000000000000+445)</f>
        <v/>
      </c>
      <c r="S452" s="24">
        <f>IF(Q452=1,SUMPRODUCT(--($R$8:$R$1207&lt;R452))+1,"")</f>
        <v/>
      </c>
      <c r="T452" s="30">
        <f>IF(K452=1,'ORDENES'!$J448,"")</f>
        <v/>
      </c>
    </row>
    <row r="453">
      <c r="K453" s="24">
        <f>IF(AND(IF($B$3="(todos)",TRUE,'ORDENES'!$O449=$B$3),IF($D$3="(todos)",TRUE,'ORDENES'!$AI449=$D$3),IF($F$3="(todos)",TRUE,'ORDENES'!$AA449=$F$3),IF($H$3="(todos)",TRUE,'ORDENES'!$Z449=$H$3),'ORDENES'!$AG449=TRUE,'ORDENES'!$A449&lt;&gt;""),1,0)</f>
        <v/>
      </c>
      <c r="L453" s="24">
        <f>IF(K453=1,IFERROR(MATCH('ORDENES'!$S449,lista_dias,0),9)*1000000000+IFERROR(MATCH('ORDENES'!$AI449,lista_turnos,0),9)*10000000+IFERROR(MATCH('ORDENES'!$AH449,'TECNICOS'!$B$4:$B$19,0),99)*100000+446,9000000000000+446)</f>
        <v/>
      </c>
      <c r="M453" s="24">
        <f>IF(K453=1,SUMPRODUCT(--($L$8:$L$1207&lt;L453))+1,"")</f>
        <v/>
      </c>
      <c r="N453" s="25">
        <f>IF(K453=1,N('ORDENES'!$M449),0)</f>
        <v/>
      </c>
      <c r="O453" s="25">
        <f>IF('ORDENES'!$U449="preventiva",N453,0)</f>
        <v/>
      </c>
      <c r="P453" s="25">
        <f>IF('ORDENES'!$U449="correctiva",N453,0)</f>
        <v/>
      </c>
      <c r="Q453" s="24">
        <f>IF(AND(K453=1,'ORDENES'!$N449="Pendiente"),1,0)</f>
        <v/>
      </c>
      <c r="R453" s="24">
        <f>IF(Q453=1,100000-N453*1000+446*0.01,9000000000000+446)</f>
        <v/>
      </c>
      <c r="S453" s="24">
        <f>IF(Q453=1,SUMPRODUCT(--($R$8:$R$1207&lt;R453))+1,"")</f>
        <v/>
      </c>
      <c r="T453" s="30">
        <f>IF(K453=1,'ORDENES'!$J449,"")</f>
        <v/>
      </c>
    </row>
    <row r="454">
      <c r="K454" s="24">
        <f>IF(AND(IF($B$3="(todos)",TRUE,'ORDENES'!$O450=$B$3),IF($D$3="(todos)",TRUE,'ORDENES'!$AI450=$D$3),IF($F$3="(todos)",TRUE,'ORDENES'!$AA450=$F$3),IF($H$3="(todos)",TRUE,'ORDENES'!$Z450=$H$3),'ORDENES'!$AG450=TRUE,'ORDENES'!$A450&lt;&gt;""),1,0)</f>
        <v/>
      </c>
      <c r="L454" s="24">
        <f>IF(K454=1,IFERROR(MATCH('ORDENES'!$S450,lista_dias,0),9)*1000000000+IFERROR(MATCH('ORDENES'!$AI450,lista_turnos,0),9)*10000000+IFERROR(MATCH('ORDENES'!$AH450,'TECNICOS'!$B$4:$B$19,0),99)*100000+447,9000000000000+447)</f>
        <v/>
      </c>
      <c r="M454" s="24">
        <f>IF(K454=1,SUMPRODUCT(--($L$8:$L$1207&lt;L454))+1,"")</f>
        <v/>
      </c>
      <c r="N454" s="25">
        <f>IF(K454=1,N('ORDENES'!$M450),0)</f>
        <v/>
      </c>
      <c r="O454" s="25">
        <f>IF('ORDENES'!$U450="preventiva",N454,0)</f>
        <v/>
      </c>
      <c r="P454" s="25">
        <f>IF('ORDENES'!$U450="correctiva",N454,0)</f>
        <v/>
      </c>
      <c r="Q454" s="24">
        <f>IF(AND(K454=1,'ORDENES'!$N450="Pendiente"),1,0)</f>
        <v/>
      </c>
      <c r="R454" s="24">
        <f>IF(Q454=1,100000-N454*1000+447*0.01,9000000000000+447)</f>
        <v/>
      </c>
      <c r="S454" s="24">
        <f>IF(Q454=1,SUMPRODUCT(--($R$8:$R$1207&lt;R454))+1,"")</f>
        <v/>
      </c>
      <c r="T454" s="30">
        <f>IF(K454=1,'ORDENES'!$J450,"")</f>
        <v/>
      </c>
    </row>
    <row r="455">
      <c r="K455" s="24">
        <f>IF(AND(IF($B$3="(todos)",TRUE,'ORDENES'!$O451=$B$3),IF($D$3="(todos)",TRUE,'ORDENES'!$AI451=$D$3),IF($F$3="(todos)",TRUE,'ORDENES'!$AA451=$F$3),IF($H$3="(todos)",TRUE,'ORDENES'!$Z451=$H$3),'ORDENES'!$AG451=TRUE,'ORDENES'!$A451&lt;&gt;""),1,0)</f>
        <v/>
      </c>
      <c r="L455" s="24">
        <f>IF(K455=1,IFERROR(MATCH('ORDENES'!$S451,lista_dias,0),9)*1000000000+IFERROR(MATCH('ORDENES'!$AI451,lista_turnos,0),9)*10000000+IFERROR(MATCH('ORDENES'!$AH451,'TECNICOS'!$B$4:$B$19,0),99)*100000+448,9000000000000+448)</f>
        <v/>
      </c>
      <c r="M455" s="24">
        <f>IF(K455=1,SUMPRODUCT(--($L$8:$L$1207&lt;L455))+1,"")</f>
        <v/>
      </c>
      <c r="N455" s="25">
        <f>IF(K455=1,N('ORDENES'!$M451),0)</f>
        <v/>
      </c>
      <c r="O455" s="25">
        <f>IF('ORDENES'!$U451="preventiva",N455,0)</f>
        <v/>
      </c>
      <c r="P455" s="25">
        <f>IF('ORDENES'!$U451="correctiva",N455,0)</f>
        <v/>
      </c>
      <c r="Q455" s="24">
        <f>IF(AND(K455=1,'ORDENES'!$N451="Pendiente"),1,0)</f>
        <v/>
      </c>
      <c r="R455" s="24">
        <f>IF(Q455=1,100000-N455*1000+448*0.01,9000000000000+448)</f>
        <v/>
      </c>
      <c r="S455" s="24">
        <f>IF(Q455=1,SUMPRODUCT(--($R$8:$R$1207&lt;R455))+1,"")</f>
        <v/>
      </c>
      <c r="T455" s="30">
        <f>IF(K455=1,'ORDENES'!$J451,"")</f>
        <v/>
      </c>
    </row>
    <row r="456">
      <c r="K456" s="24">
        <f>IF(AND(IF($B$3="(todos)",TRUE,'ORDENES'!$O452=$B$3),IF($D$3="(todos)",TRUE,'ORDENES'!$AI452=$D$3),IF($F$3="(todos)",TRUE,'ORDENES'!$AA452=$F$3),IF($H$3="(todos)",TRUE,'ORDENES'!$Z452=$H$3),'ORDENES'!$AG452=TRUE,'ORDENES'!$A452&lt;&gt;""),1,0)</f>
        <v/>
      </c>
      <c r="L456" s="24">
        <f>IF(K456=1,IFERROR(MATCH('ORDENES'!$S452,lista_dias,0),9)*1000000000+IFERROR(MATCH('ORDENES'!$AI452,lista_turnos,0),9)*10000000+IFERROR(MATCH('ORDENES'!$AH452,'TECNICOS'!$B$4:$B$19,0),99)*100000+449,9000000000000+449)</f>
        <v/>
      </c>
      <c r="M456" s="24">
        <f>IF(K456=1,SUMPRODUCT(--($L$8:$L$1207&lt;L456))+1,"")</f>
        <v/>
      </c>
      <c r="N456" s="25">
        <f>IF(K456=1,N('ORDENES'!$M452),0)</f>
        <v/>
      </c>
      <c r="O456" s="25">
        <f>IF('ORDENES'!$U452="preventiva",N456,0)</f>
        <v/>
      </c>
      <c r="P456" s="25">
        <f>IF('ORDENES'!$U452="correctiva",N456,0)</f>
        <v/>
      </c>
      <c r="Q456" s="24">
        <f>IF(AND(K456=1,'ORDENES'!$N452="Pendiente"),1,0)</f>
        <v/>
      </c>
      <c r="R456" s="24">
        <f>IF(Q456=1,100000-N456*1000+449*0.01,9000000000000+449)</f>
        <v/>
      </c>
      <c r="S456" s="24">
        <f>IF(Q456=1,SUMPRODUCT(--($R$8:$R$1207&lt;R456))+1,"")</f>
        <v/>
      </c>
      <c r="T456" s="30">
        <f>IF(K456=1,'ORDENES'!$J452,"")</f>
        <v/>
      </c>
    </row>
    <row r="457">
      <c r="K457" s="24">
        <f>IF(AND(IF($B$3="(todos)",TRUE,'ORDENES'!$O453=$B$3),IF($D$3="(todos)",TRUE,'ORDENES'!$AI453=$D$3),IF($F$3="(todos)",TRUE,'ORDENES'!$AA453=$F$3),IF($H$3="(todos)",TRUE,'ORDENES'!$Z453=$H$3),'ORDENES'!$AG453=TRUE,'ORDENES'!$A453&lt;&gt;""),1,0)</f>
        <v/>
      </c>
      <c r="L457" s="24">
        <f>IF(K457=1,IFERROR(MATCH('ORDENES'!$S453,lista_dias,0),9)*1000000000+IFERROR(MATCH('ORDENES'!$AI453,lista_turnos,0),9)*10000000+IFERROR(MATCH('ORDENES'!$AH453,'TECNICOS'!$B$4:$B$19,0),99)*100000+450,9000000000000+450)</f>
        <v/>
      </c>
      <c r="M457" s="24">
        <f>IF(K457=1,SUMPRODUCT(--($L$8:$L$1207&lt;L457))+1,"")</f>
        <v/>
      </c>
      <c r="N457" s="25">
        <f>IF(K457=1,N('ORDENES'!$M453),0)</f>
        <v/>
      </c>
      <c r="O457" s="25">
        <f>IF('ORDENES'!$U453="preventiva",N457,0)</f>
        <v/>
      </c>
      <c r="P457" s="25">
        <f>IF('ORDENES'!$U453="correctiva",N457,0)</f>
        <v/>
      </c>
      <c r="Q457" s="24">
        <f>IF(AND(K457=1,'ORDENES'!$N453="Pendiente"),1,0)</f>
        <v/>
      </c>
      <c r="R457" s="24">
        <f>IF(Q457=1,100000-N457*1000+450*0.01,9000000000000+450)</f>
        <v/>
      </c>
      <c r="S457" s="24">
        <f>IF(Q457=1,SUMPRODUCT(--($R$8:$R$1207&lt;R457))+1,"")</f>
        <v/>
      </c>
      <c r="T457" s="30">
        <f>IF(K457=1,'ORDENES'!$J453,"")</f>
        <v/>
      </c>
    </row>
    <row r="458">
      <c r="K458" s="24">
        <f>IF(AND(IF($B$3="(todos)",TRUE,'ORDENES'!$O454=$B$3),IF($D$3="(todos)",TRUE,'ORDENES'!$AI454=$D$3),IF($F$3="(todos)",TRUE,'ORDENES'!$AA454=$F$3),IF($H$3="(todos)",TRUE,'ORDENES'!$Z454=$H$3),'ORDENES'!$AG454=TRUE,'ORDENES'!$A454&lt;&gt;""),1,0)</f>
        <v/>
      </c>
      <c r="L458" s="24">
        <f>IF(K458=1,IFERROR(MATCH('ORDENES'!$S454,lista_dias,0),9)*1000000000+IFERROR(MATCH('ORDENES'!$AI454,lista_turnos,0),9)*10000000+IFERROR(MATCH('ORDENES'!$AH454,'TECNICOS'!$B$4:$B$19,0),99)*100000+451,9000000000000+451)</f>
        <v/>
      </c>
      <c r="M458" s="24">
        <f>IF(K458=1,SUMPRODUCT(--($L$8:$L$1207&lt;L458))+1,"")</f>
        <v/>
      </c>
      <c r="N458" s="25">
        <f>IF(K458=1,N('ORDENES'!$M454),0)</f>
        <v/>
      </c>
      <c r="O458" s="25">
        <f>IF('ORDENES'!$U454="preventiva",N458,0)</f>
        <v/>
      </c>
      <c r="P458" s="25">
        <f>IF('ORDENES'!$U454="correctiva",N458,0)</f>
        <v/>
      </c>
      <c r="Q458" s="24">
        <f>IF(AND(K458=1,'ORDENES'!$N454="Pendiente"),1,0)</f>
        <v/>
      </c>
      <c r="R458" s="24">
        <f>IF(Q458=1,100000-N458*1000+451*0.01,9000000000000+451)</f>
        <v/>
      </c>
      <c r="S458" s="24">
        <f>IF(Q458=1,SUMPRODUCT(--($R$8:$R$1207&lt;R458))+1,"")</f>
        <v/>
      </c>
      <c r="T458" s="30">
        <f>IF(K458=1,'ORDENES'!$J454,"")</f>
        <v/>
      </c>
    </row>
    <row r="459">
      <c r="K459" s="24">
        <f>IF(AND(IF($B$3="(todos)",TRUE,'ORDENES'!$O455=$B$3),IF($D$3="(todos)",TRUE,'ORDENES'!$AI455=$D$3),IF($F$3="(todos)",TRUE,'ORDENES'!$AA455=$F$3),IF($H$3="(todos)",TRUE,'ORDENES'!$Z455=$H$3),'ORDENES'!$AG455=TRUE,'ORDENES'!$A455&lt;&gt;""),1,0)</f>
        <v/>
      </c>
      <c r="L459" s="24">
        <f>IF(K459=1,IFERROR(MATCH('ORDENES'!$S455,lista_dias,0),9)*1000000000+IFERROR(MATCH('ORDENES'!$AI455,lista_turnos,0),9)*10000000+IFERROR(MATCH('ORDENES'!$AH455,'TECNICOS'!$B$4:$B$19,0),99)*100000+452,9000000000000+452)</f>
        <v/>
      </c>
      <c r="M459" s="24">
        <f>IF(K459=1,SUMPRODUCT(--($L$8:$L$1207&lt;L459))+1,"")</f>
        <v/>
      </c>
      <c r="N459" s="25">
        <f>IF(K459=1,N('ORDENES'!$M455),0)</f>
        <v/>
      </c>
      <c r="O459" s="25">
        <f>IF('ORDENES'!$U455="preventiva",N459,0)</f>
        <v/>
      </c>
      <c r="P459" s="25">
        <f>IF('ORDENES'!$U455="correctiva",N459,0)</f>
        <v/>
      </c>
      <c r="Q459" s="24">
        <f>IF(AND(K459=1,'ORDENES'!$N455="Pendiente"),1,0)</f>
        <v/>
      </c>
      <c r="R459" s="24">
        <f>IF(Q459=1,100000-N459*1000+452*0.01,9000000000000+452)</f>
        <v/>
      </c>
      <c r="S459" s="24">
        <f>IF(Q459=1,SUMPRODUCT(--($R$8:$R$1207&lt;R459))+1,"")</f>
        <v/>
      </c>
      <c r="T459" s="30">
        <f>IF(K459=1,'ORDENES'!$J455,"")</f>
        <v/>
      </c>
    </row>
    <row r="460">
      <c r="K460" s="24">
        <f>IF(AND(IF($B$3="(todos)",TRUE,'ORDENES'!$O456=$B$3),IF($D$3="(todos)",TRUE,'ORDENES'!$AI456=$D$3),IF($F$3="(todos)",TRUE,'ORDENES'!$AA456=$F$3),IF($H$3="(todos)",TRUE,'ORDENES'!$Z456=$H$3),'ORDENES'!$AG456=TRUE,'ORDENES'!$A456&lt;&gt;""),1,0)</f>
        <v/>
      </c>
      <c r="L460" s="24">
        <f>IF(K460=1,IFERROR(MATCH('ORDENES'!$S456,lista_dias,0),9)*1000000000+IFERROR(MATCH('ORDENES'!$AI456,lista_turnos,0),9)*10000000+IFERROR(MATCH('ORDENES'!$AH456,'TECNICOS'!$B$4:$B$19,0),99)*100000+453,9000000000000+453)</f>
        <v/>
      </c>
      <c r="M460" s="24">
        <f>IF(K460=1,SUMPRODUCT(--($L$8:$L$1207&lt;L460))+1,"")</f>
        <v/>
      </c>
      <c r="N460" s="25">
        <f>IF(K460=1,N('ORDENES'!$M456),0)</f>
        <v/>
      </c>
      <c r="O460" s="25">
        <f>IF('ORDENES'!$U456="preventiva",N460,0)</f>
        <v/>
      </c>
      <c r="P460" s="25">
        <f>IF('ORDENES'!$U456="correctiva",N460,0)</f>
        <v/>
      </c>
      <c r="Q460" s="24">
        <f>IF(AND(K460=1,'ORDENES'!$N456="Pendiente"),1,0)</f>
        <v/>
      </c>
      <c r="R460" s="24">
        <f>IF(Q460=1,100000-N460*1000+453*0.01,9000000000000+453)</f>
        <v/>
      </c>
      <c r="S460" s="24">
        <f>IF(Q460=1,SUMPRODUCT(--($R$8:$R$1207&lt;R460))+1,"")</f>
        <v/>
      </c>
      <c r="T460" s="30">
        <f>IF(K460=1,'ORDENES'!$J456,"")</f>
        <v/>
      </c>
    </row>
    <row r="461">
      <c r="K461" s="24">
        <f>IF(AND(IF($B$3="(todos)",TRUE,'ORDENES'!$O457=$B$3),IF($D$3="(todos)",TRUE,'ORDENES'!$AI457=$D$3),IF($F$3="(todos)",TRUE,'ORDENES'!$AA457=$F$3),IF($H$3="(todos)",TRUE,'ORDENES'!$Z457=$H$3),'ORDENES'!$AG457=TRUE,'ORDENES'!$A457&lt;&gt;""),1,0)</f>
        <v/>
      </c>
      <c r="L461" s="24">
        <f>IF(K461=1,IFERROR(MATCH('ORDENES'!$S457,lista_dias,0),9)*1000000000+IFERROR(MATCH('ORDENES'!$AI457,lista_turnos,0),9)*10000000+IFERROR(MATCH('ORDENES'!$AH457,'TECNICOS'!$B$4:$B$19,0),99)*100000+454,9000000000000+454)</f>
        <v/>
      </c>
      <c r="M461" s="24">
        <f>IF(K461=1,SUMPRODUCT(--($L$8:$L$1207&lt;L461))+1,"")</f>
        <v/>
      </c>
      <c r="N461" s="25">
        <f>IF(K461=1,N('ORDENES'!$M457),0)</f>
        <v/>
      </c>
      <c r="O461" s="25">
        <f>IF('ORDENES'!$U457="preventiva",N461,0)</f>
        <v/>
      </c>
      <c r="P461" s="25">
        <f>IF('ORDENES'!$U457="correctiva",N461,0)</f>
        <v/>
      </c>
      <c r="Q461" s="24">
        <f>IF(AND(K461=1,'ORDENES'!$N457="Pendiente"),1,0)</f>
        <v/>
      </c>
      <c r="R461" s="24">
        <f>IF(Q461=1,100000-N461*1000+454*0.01,9000000000000+454)</f>
        <v/>
      </c>
      <c r="S461" s="24">
        <f>IF(Q461=1,SUMPRODUCT(--($R$8:$R$1207&lt;R461))+1,"")</f>
        <v/>
      </c>
      <c r="T461" s="30">
        <f>IF(K461=1,'ORDENES'!$J457,"")</f>
        <v/>
      </c>
    </row>
    <row r="462">
      <c r="K462" s="24">
        <f>IF(AND(IF($B$3="(todos)",TRUE,'ORDENES'!$O458=$B$3),IF($D$3="(todos)",TRUE,'ORDENES'!$AI458=$D$3),IF($F$3="(todos)",TRUE,'ORDENES'!$AA458=$F$3),IF($H$3="(todos)",TRUE,'ORDENES'!$Z458=$H$3),'ORDENES'!$AG458=TRUE,'ORDENES'!$A458&lt;&gt;""),1,0)</f>
        <v/>
      </c>
      <c r="L462" s="24">
        <f>IF(K462=1,IFERROR(MATCH('ORDENES'!$S458,lista_dias,0),9)*1000000000+IFERROR(MATCH('ORDENES'!$AI458,lista_turnos,0),9)*10000000+IFERROR(MATCH('ORDENES'!$AH458,'TECNICOS'!$B$4:$B$19,0),99)*100000+455,9000000000000+455)</f>
        <v/>
      </c>
      <c r="M462" s="24">
        <f>IF(K462=1,SUMPRODUCT(--($L$8:$L$1207&lt;L462))+1,"")</f>
        <v/>
      </c>
      <c r="N462" s="25">
        <f>IF(K462=1,N('ORDENES'!$M458),0)</f>
        <v/>
      </c>
      <c r="O462" s="25">
        <f>IF('ORDENES'!$U458="preventiva",N462,0)</f>
        <v/>
      </c>
      <c r="P462" s="25">
        <f>IF('ORDENES'!$U458="correctiva",N462,0)</f>
        <v/>
      </c>
      <c r="Q462" s="24">
        <f>IF(AND(K462=1,'ORDENES'!$N458="Pendiente"),1,0)</f>
        <v/>
      </c>
      <c r="R462" s="24">
        <f>IF(Q462=1,100000-N462*1000+455*0.01,9000000000000+455)</f>
        <v/>
      </c>
      <c r="S462" s="24">
        <f>IF(Q462=1,SUMPRODUCT(--($R$8:$R$1207&lt;R462))+1,"")</f>
        <v/>
      </c>
      <c r="T462" s="30">
        <f>IF(K462=1,'ORDENES'!$J458,"")</f>
        <v/>
      </c>
    </row>
    <row r="463">
      <c r="K463" s="24">
        <f>IF(AND(IF($B$3="(todos)",TRUE,'ORDENES'!$O459=$B$3),IF($D$3="(todos)",TRUE,'ORDENES'!$AI459=$D$3),IF($F$3="(todos)",TRUE,'ORDENES'!$AA459=$F$3),IF($H$3="(todos)",TRUE,'ORDENES'!$Z459=$H$3),'ORDENES'!$AG459=TRUE,'ORDENES'!$A459&lt;&gt;""),1,0)</f>
        <v/>
      </c>
      <c r="L463" s="24">
        <f>IF(K463=1,IFERROR(MATCH('ORDENES'!$S459,lista_dias,0),9)*1000000000+IFERROR(MATCH('ORDENES'!$AI459,lista_turnos,0),9)*10000000+IFERROR(MATCH('ORDENES'!$AH459,'TECNICOS'!$B$4:$B$19,0),99)*100000+456,9000000000000+456)</f>
        <v/>
      </c>
      <c r="M463" s="24">
        <f>IF(K463=1,SUMPRODUCT(--($L$8:$L$1207&lt;L463))+1,"")</f>
        <v/>
      </c>
      <c r="N463" s="25">
        <f>IF(K463=1,N('ORDENES'!$M459),0)</f>
        <v/>
      </c>
      <c r="O463" s="25">
        <f>IF('ORDENES'!$U459="preventiva",N463,0)</f>
        <v/>
      </c>
      <c r="P463" s="25">
        <f>IF('ORDENES'!$U459="correctiva",N463,0)</f>
        <v/>
      </c>
      <c r="Q463" s="24">
        <f>IF(AND(K463=1,'ORDENES'!$N459="Pendiente"),1,0)</f>
        <v/>
      </c>
      <c r="R463" s="24">
        <f>IF(Q463=1,100000-N463*1000+456*0.01,9000000000000+456)</f>
        <v/>
      </c>
      <c r="S463" s="24">
        <f>IF(Q463=1,SUMPRODUCT(--($R$8:$R$1207&lt;R463))+1,"")</f>
        <v/>
      </c>
      <c r="T463" s="30">
        <f>IF(K463=1,'ORDENES'!$J459,"")</f>
        <v/>
      </c>
    </row>
    <row r="464">
      <c r="K464" s="24">
        <f>IF(AND(IF($B$3="(todos)",TRUE,'ORDENES'!$O460=$B$3),IF($D$3="(todos)",TRUE,'ORDENES'!$AI460=$D$3),IF($F$3="(todos)",TRUE,'ORDENES'!$AA460=$F$3),IF($H$3="(todos)",TRUE,'ORDENES'!$Z460=$H$3),'ORDENES'!$AG460=TRUE,'ORDENES'!$A460&lt;&gt;""),1,0)</f>
        <v/>
      </c>
      <c r="L464" s="24">
        <f>IF(K464=1,IFERROR(MATCH('ORDENES'!$S460,lista_dias,0),9)*1000000000+IFERROR(MATCH('ORDENES'!$AI460,lista_turnos,0),9)*10000000+IFERROR(MATCH('ORDENES'!$AH460,'TECNICOS'!$B$4:$B$19,0),99)*100000+457,9000000000000+457)</f>
        <v/>
      </c>
      <c r="M464" s="24">
        <f>IF(K464=1,SUMPRODUCT(--($L$8:$L$1207&lt;L464))+1,"")</f>
        <v/>
      </c>
      <c r="N464" s="25">
        <f>IF(K464=1,N('ORDENES'!$M460),0)</f>
        <v/>
      </c>
      <c r="O464" s="25">
        <f>IF('ORDENES'!$U460="preventiva",N464,0)</f>
        <v/>
      </c>
      <c r="P464" s="25">
        <f>IF('ORDENES'!$U460="correctiva",N464,0)</f>
        <v/>
      </c>
      <c r="Q464" s="24">
        <f>IF(AND(K464=1,'ORDENES'!$N460="Pendiente"),1,0)</f>
        <v/>
      </c>
      <c r="R464" s="24">
        <f>IF(Q464=1,100000-N464*1000+457*0.01,9000000000000+457)</f>
        <v/>
      </c>
      <c r="S464" s="24">
        <f>IF(Q464=1,SUMPRODUCT(--($R$8:$R$1207&lt;R464))+1,"")</f>
        <v/>
      </c>
      <c r="T464" s="30">
        <f>IF(K464=1,'ORDENES'!$J460,"")</f>
        <v/>
      </c>
    </row>
    <row r="465">
      <c r="K465" s="24">
        <f>IF(AND(IF($B$3="(todos)",TRUE,'ORDENES'!$O461=$B$3),IF($D$3="(todos)",TRUE,'ORDENES'!$AI461=$D$3),IF($F$3="(todos)",TRUE,'ORDENES'!$AA461=$F$3),IF($H$3="(todos)",TRUE,'ORDENES'!$Z461=$H$3),'ORDENES'!$AG461=TRUE,'ORDENES'!$A461&lt;&gt;""),1,0)</f>
        <v/>
      </c>
      <c r="L465" s="24">
        <f>IF(K465=1,IFERROR(MATCH('ORDENES'!$S461,lista_dias,0),9)*1000000000+IFERROR(MATCH('ORDENES'!$AI461,lista_turnos,0),9)*10000000+IFERROR(MATCH('ORDENES'!$AH461,'TECNICOS'!$B$4:$B$19,0),99)*100000+458,9000000000000+458)</f>
        <v/>
      </c>
      <c r="M465" s="24">
        <f>IF(K465=1,SUMPRODUCT(--($L$8:$L$1207&lt;L465))+1,"")</f>
        <v/>
      </c>
      <c r="N465" s="25">
        <f>IF(K465=1,N('ORDENES'!$M461),0)</f>
        <v/>
      </c>
      <c r="O465" s="25">
        <f>IF('ORDENES'!$U461="preventiva",N465,0)</f>
        <v/>
      </c>
      <c r="P465" s="25">
        <f>IF('ORDENES'!$U461="correctiva",N465,0)</f>
        <v/>
      </c>
      <c r="Q465" s="24">
        <f>IF(AND(K465=1,'ORDENES'!$N461="Pendiente"),1,0)</f>
        <v/>
      </c>
      <c r="R465" s="24">
        <f>IF(Q465=1,100000-N465*1000+458*0.01,9000000000000+458)</f>
        <v/>
      </c>
      <c r="S465" s="24">
        <f>IF(Q465=1,SUMPRODUCT(--($R$8:$R$1207&lt;R465))+1,"")</f>
        <v/>
      </c>
      <c r="T465" s="30">
        <f>IF(K465=1,'ORDENES'!$J461,"")</f>
        <v/>
      </c>
    </row>
    <row r="466">
      <c r="K466" s="24">
        <f>IF(AND(IF($B$3="(todos)",TRUE,'ORDENES'!$O462=$B$3),IF($D$3="(todos)",TRUE,'ORDENES'!$AI462=$D$3),IF($F$3="(todos)",TRUE,'ORDENES'!$AA462=$F$3),IF($H$3="(todos)",TRUE,'ORDENES'!$Z462=$H$3),'ORDENES'!$AG462=TRUE,'ORDENES'!$A462&lt;&gt;""),1,0)</f>
        <v/>
      </c>
      <c r="L466" s="24">
        <f>IF(K466=1,IFERROR(MATCH('ORDENES'!$S462,lista_dias,0),9)*1000000000+IFERROR(MATCH('ORDENES'!$AI462,lista_turnos,0),9)*10000000+IFERROR(MATCH('ORDENES'!$AH462,'TECNICOS'!$B$4:$B$19,0),99)*100000+459,9000000000000+459)</f>
        <v/>
      </c>
      <c r="M466" s="24">
        <f>IF(K466=1,SUMPRODUCT(--($L$8:$L$1207&lt;L466))+1,"")</f>
        <v/>
      </c>
      <c r="N466" s="25">
        <f>IF(K466=1,N('ORDENES'!$M462),0)</f>
        <v/>
      </c>
      <c r="O466" s="25">
        <f>IF('ORDENES'!$U462="preventiva",N466,0)</f>
        <v/>
      </c>
      <c r="P466" s="25">
        <f>IF('ORDENES'!$U462="correctiva",N466,0)</f>
        <v/>
      </c>
      <c r="Q466" s="24">
        <f>IF(AND(K466=1,'ORDENES'!$N462="Pendiente"),1,0)</f>
        <v/>
      </c>
      <c r="R466" s="24">
        <f>IF(Q466=1,100000-N466*1000+459*0.01,9000000000000+459)</f>
        <v/>
      </c>
      <c r="S466" s="24">
        <f>IF(Q466=1,SUMPRODUCT(--($R$8:$R$1207&lt;R466))+1,"")</f>
        <v/>
      </c>
      <c r="T466" s="30">
        <f>IF(K466=1,'ORDENES'!$J462,"")</f>
        <v/>
      </c>
    </row>
    <row r="467">
      <c r="K467" s="24">
        <f>IF(AND(IF($B$3="(todos)",TRUE,'ORDENES'!$O463=$B$3),IF($D$3="(todos)",TRUE,'ORDENES'!$AI463=$D$3),IF($F$3="(todos)",TRUE,'ORDENES'!$AA463=$F$3),IF($H$3="(todos)",TRUE,'ORDENES'!$Z463=$H$3),'ORDENES'!$AG463=TRUE,'ORDENES'!$A463&lt;&gt;""),1,0)</f>
        <v/>
      </c>
      <c r="L467" s="24">
        <f>IF(K467=1,IFERROR(MATCH('ORDENES'!$S463,lista_dias,0),9)*1000000000+IFERROR(MATCH('ORDENES'!$AI463,lista_turnos,0),9)*10000000+IFERROR(MATCH('ORDENES'!$AH463,'TECNICOS'!$B$4:$B$19,0),99)*100000+460,9000000000000+460)</f>
        <v/>
      </c>
      <c r="M467" s="24">
        <f>IF(K467=1,SUMPRODUCT(--($L$8:$L$1207&lt;L467))+1,"")</f>
        <v/>
      </c>
      <c r="N467" s="25">
        <f>IF(K467=1,N('ORDENES'!$M463),0)</f>
        <v/>
      </c>
      <c r="O467" s="25">
        <f>IF('ORDENES'!$U463="preventiva",N467,0)</f>
        <v/>
      </c>
      <c r="P467" s="25">
        <f>IF('ORDENES'!$U463="correctiva",N467,0)</f>
        <v/>
      </c>
      <c r="Q467" s="24">
        <f>IF(AND(K467=1,'ORDENES'!$N463="Pendiente"),1,0)</f>
        <v/>
      </c>
      <c r="R467" s="24">
        <f>IF(Q467=1,100000-N467*1000+460*0.01,9000000000000+460)</f>
        <v/>
      </c>
      <c r="S467" s="24">
        <f>IF(Q467=1,SUMPRODUCT(--($R$8:$R$1207&lt;R467))+1,"")</f>
        <v/>
      </c>
      <c r="T467" s="30">
        <f>IF(K467=1,'ORDENES'!$J463,"")</f>
        <v/>
      </c>
    </row>
    <row r="468">
      <c r="K468" s="24">
        <f>IF(AND(IF($B$3="(todos)",TRUE,'ORDENES'!$O464=$B$3),IF($D$3="(todos)",TRUE,'ORDENES'!$AI464=$D$3),IF($F$3="(todos)",TRUE,'ORDENES'!$AA464=$F$3),IF($H$3="(todos)",TRUE,'ORDENES'!$Z464=$H$3),'ORDENES'!$AG464=TRUE,'ORDENES'!$A464&lt;&gt;""),1,0)</f>
        <v/>
      </c>
      <c r="L468" s="24">
        <f>IF(K468=1,IFERROR(MATCH('ORDENES'!$S464,lista_dias,0),9)*1000000000+IFERROR(MATCH('ORDENES'!$AI464,lista_turnos,0),9)*10000000+IFERROR(MATCH('ORDENES'!$AH464,'TECNICOS'!$B$4:$B$19,0),99)*100000+461,9000000000000+461)</f>
        <v/>
      </c>
      <c r="M468" s="24">
        <f>IF(K468=1,SUMPRODUCT(--($L$8:$L$1207&lt;L468))+1,"")</f>
        <v/>
      </c>
      <c r="N468" s="25">
        <f>IF(K468=1,N('ORDENES'!$M464),0)</f>
        <v/>
      </c>
      <c r="O468" s="25">
        <f>IF('ORDENES'!$U464="preventiva",N468,0)</f>
        <v/>
      </c>
      <c r="P468" s="25">
        <f>IF('ORDENES'!$U464="correctiva",N468,0)</f>
        <v/>
      </c>
      <c r="Q468" s="24">
        <f>IF(AND(K468=1,'ORDENES'!$N464="Pendiente"),1,0)</f>
        <v/>
      </c>
      <c r="R468" s="24">
        <f>IF(Q468=1,100000-N468*1000+461*0.01,9000000000000+461)</f>
        <v/>
      </c>
      <c r="S468" s="24">
        <f>IF(Q468=1,SUMPRODUCT(--($R$8:$R$1207&lt;R468))+1,"")</f>
        <v/>
      </c>
      <c r="T468" s="30">
        <f>IF(K468=1,'ORDENES'!$J464,"")</f>
        <v/>
      </c>
    </row>
    <row r="469">
      <c r="K469" s="24">
        <f>IF(AND(IF($B$3="(todos)",TRUE,'ORDENES'!$O465=$B$3),IF($D$3="(todos)",TRUE,'ORDENES'!$AI465=$D$3),IF($F$3="(todos)",TRUE,'ORDENES'!$AA465=$F$3),IF($H$3="(todos)",TRUE,'ORDENES'!$Z465=$H$3),'ORDENES'!$AG465=TRUE,'ORDENES'!$A465&lt;&gt;""),1,0)</f>
        <v/>
      </c>
      <c r="L469" s="24">
        <f>IF(K469=1,IFERROR(MATCH('ORDENES'!$S465,lista_dias,0),9)*1000000000+IFERROR(MATCH('ORDENES'!$AI465,lista_turnos,0),9)*10000000+IFERROR(MATCH('ORDENES'!$AH465,'TECNICOS'!$B$4:$B$19,0),99)*100000+462,9000000000000+462)</f>
        <v/>
      </c>
      <c r="M469" s="24">
        <f>IF(K469=1,SUMPRODUCT(--($L$8:$L$1207&lt;L469))+1,"")</f>
        <v/>
      </c>
      <c r="N469" s="25">
        <f>IF(K469=1,N('ORDENES'!$M465),0)</f>
        <v/>
      </c>
      <c r="O469" s="25">
        <f>IF('ORDENES'!$U465="preventiva",N469,0)</f>
        <v/>
      </c>
      <c r="P469" s="25">
        <f>IF('ORDENES'!$U465="correctiva",N469,0)</f>
        <v/>
      </c>
      <c r="Q469" s="24">
        <f>IF(AND(K469=1,'ORDENES'!$N465="Pendiente"),1,0)</f>
        <v/>
      </c>
      <c r="R469" s="24">
        <f>IF(Q469=1,100000-N469*1000+462*0.01,9000000000000+462)</f>
        <v/>
      </c>
      <c r="S469" s="24">
        <f>IF(Q469=1,SUMPRODUCT(--($R$8:$R$1207&lt;R469))+1,"")</f>
        <v/>
      </c>
      <c r="T469" s="30">
        <f>IF(K469=1,'ORDENES'!$J465,"")</f>
        <v/>
      </c>
    </row>
    <row r="470">
      <c r="K470" s="24">
        <f>IF(AND(IF($B$3="(todos)",TRUE,'ORDENES'!$O466=$B$3),IF($D$3="(todos)",TRUE,'ORDENES'!$AI466=$D$3),IF($F$3="(todos)",TRUE,'ORDENES'!$AA466=$F$3),IF($H$3="(todos)",TRUE,'ORDENES'!$Z466=$H$3),'ORDENES'!$AG466=TRUE,'ORDENES'!$A466&lt;&gt;""),1,0)</f>
        <v/>
      </c>
      <c r="L470" s="24">
        <f>IF(K470=1,IFERROR(MATCH('ORDENES'!$S466,lista_dias,0),9)*1000000000+IFERROR(MATCH('ORDENES'!$AI466,lista_turnos,0),9)*10000000+IFERROR(MATCH('ORDENES'!$AH466,'TECNICOS'!$B$4:$B$19,0),99)*100000+463,9000000000000+463)</f>
        <v/>
      </c>
      <c r="M470" s="24">
        <f>IF(K470=1,SUMPRODUCT(--($L$8:$L$1207&lt;L470))+1,"")</f>
        <v/>
      </c>
      <c r="N470" s="25">
        <f>IF(K470=1,N('ORDENES'!$M466),0)</f>
        <v/>
      </c>
      <c r="O470" s="25">
        <f>IF('ORDENES'!$U466="preventiva",N470,0)</f>
        <v/>
      </c>
      <c r="P470" s="25">
        <f>IF('ORDENES'!$U466="correctiva",N470,0)</f>
        <v/>
      </c>
      <c r="Q470" s="24">
        <f>IF(AND(K470=1,'ORDENES'!$N466="Pendiente"),1,0)</f>
        <v/>
      </c>
      <c r="R470" s="24">
        <f>IF(Q470=1,100000-N470*1000+463*0.01,9000000000000+463)</f>
        <v/>
      </c>
      <c r="S470" s="24">
        <f>IF(Q470=1,SUMPRODUCT(--($R$8:$R$1207&lt;R470))+1,"")</f>
        <v/>
      </c>
      <c r="T470" s="30">
        <f>IF(K470=1,'ORDENES'!$J466,"")</f>
        <v/>
      </c>
    </row>
    <row r="471">
      <c r="K471" s="24">
        <f>IF(AND(IF($B$3="(todos)",TRUE,'ORDENES'!$O467=$B$3),IF($D$3="(todos)",TRUE,'ORDENES'!$AI467=$D$3),IF($F$3="(todos)",TRUE,'ORDENES'!$AA467=$F$3),IF($H$3="(todos)",TRUE,'ORDENES'!$Z467=$H$3),'ORDENES'!$AG467=TRUE,'ORDENES'!$A467&lt;&gt;""),1,0)</f>
        <v/>
      </c>
      <c r="L471" s="24">
        <f>IF(K471=1,IFERROR(MATCH('ORDENES'!$S467,lista_dias,0),9)*1000000000+IFERROR(MATCH('ORDENES'!$AI467,lista_turnos,0),9)*10000000+IFERROR(MATCH('ORDENES'!$AH467,'TECNICOS'!$B$4:$B$19,0),99)*100000+464,9000000000000+464)</f>
        <v/>
      </c>
      <c r="M471" s="24">
        <f>IF(K471=1,SUMPRODUCT(--($L$8:$L$1207&lt;L471))+1,"")</f>
        <v/>
      </c>
      <c r="N471" s="25">
        <f>IF(K471=1,N('ORDENES'!$M467),0)</f>
        <v/>
      </c>
      <c r="O471" s="25">
        <f>IF('ORDENES'!$U467="preventiva",N471,0)</f>
        <v/>
      </c>
      <c r="P471" s="25">
        <f>IF('ORDENES'!$U467="correctiva",N471,0)</f>
        <v/>
      </c>
      <c r="Q471" s="24">
        <f>IF(AND(K471=1,'ORDENES'!$N467="Pendiente"),1,0)</f>
        <v/>
      </c>
      <c r="R471" s="24">
        <f>IF(Q471=1,100000-N471*1000+464*0.01,9000000000000+464)</f>
        <v/>
      </c>
      <c r="S471" s="24">
        <f>IF(Q471=1,SUMPRODUCT(--($R$8:$R$1207&lt;R471))+1,"")</f>
        <v/>
      </c>
      <c r="T471" s="30">
        <f>IF(K471=1,'ORDENES'!$J467,"")</f>
        <v/>
      </c>
    </row>
    <row r="472">
      <c r="K472" s="24">
        <f>IF(AND(IF($B$3="(todos)",TRUE,'ORDENES'!$O468=$B$3),IF($D$3="(todos)",TRUE,'ORDENES'!$AI468=$D$3),IF($F$3="(todos)",TRUE,'ORDENES'!$AA468=$F$3),IF($H$3="(todos)",TRUE,'ORDENES'!$Z468=$H$3),'ORDENES'!$AG468=TRUE,'ORDENES'!$A468&lt;&gt;""),1,0)</f>
        <v/>
      </c>
      <c r="L472" s="24">
        <f>IF(K472=1,IFERROR(MATCH('ORDENES'!$S468,lista_dias,0),9)*1000000000+IFERROR(MATCH('ORDENES'!$AI468,lista_turnos,0),9)*10000000+IFERROR(MATCH('ORDENES'!$AH468,'TECNICOS'!$B$4:$B$19,0),99)*100000+465,9000000000000+465)</f>
        <v/>
      </c>
      <c r="M472" s="24">
        <f>IF(K472=1,SUMPRODUCT(--($L$8:$L$1207&lt;L472))+1,"")</f>
        <v/>
      </c>
      <c r="N472" s="25">
        <f>IF(K472=1,N('ORDENES'!$M468),0)</f>
        <v/>
      </c>
      <c r="O472" s="25">
        <f>IF('ORDENES'!$U468="preventiva",N472,0)</f>
        <v/>
      </c>
      <c r="P472" s="25">
        <f>IF('ORDENES'!$U468="correctiva",N472,0)</f>
        <v/>
      </c>
      <c r="Q472" s="24">
        <f>IF(AND(K472=1,'ORDENES'!$N468="Pendiente"),1,0)</f>
        <v/>
      </c>
      <c r="R472" s="24">
        <f>IF(Q472=1,100000-N472*1000+465*0.01,9000000000000+465)</f>
        <v/>
      </c>
      <c r="S472" s="24">
        <f>IF(Q472=1,SUMPRODUCT(--($R$8:$R$1207&lt;R472))+1,"")</f>
        <v/>
      </c>
      <c r="T472" s="30">
        <f>IF(K472=1,'ORDENES'!$J468,"")</f>
        <v/>
      </c>
    </row>
    <row r="473">
      <c r="K473" s="24">
        <f>IF(AND(IF($B$3="(todos)",TRUE,'ORDENES'!$O469=$B$3),IF($D$3="(todos)",TRUE,'ORDENES'!$AI469=$D$3),IF($F$3="(todos)",TRUE,'ORDENES'!$AA469=$F$3),IF($H$3="(todos)",TRUE,'ORDENES'!$Z469=$H$3),'ORDENES'!$AG469=TRUE,'ORDENES'!$A469&lt;&gt;""),1,0)</f>
        <v/>
      </c>
      <c r="L473" s="24">
        <f>IF(K473=1,IFERROR(MATCH('ORDENES'!$S469,lista_dias,0),9)*1000000000+IFERROR(MATCH('ORDENES'!$AI469,lista_turnos,0),9)*10000000+IFERROR(MATCH('ORDENES'!$AH469,'TECNICOS'!$B$4:$B$19,0),99)*100000+466,9000000000000+466)</f>
        <v/>
      </c>
      <c r="M473" s="24">
        <f>IF(K473=1,SUMPRODUCT(--($L$8:$L$1207&lt;L473))+1,"")</f>
        <v/>
      </c>
      <c r="N473" s="25">
        <f>IF(K473=1,N('ORDENES'!$M469),0)</f>
        <v/>
      </c>
      <c r="O473" s="25">
        <f>IF('ORDENES'!$U469="preventiva",N473,0)</f>
        <v/>
      </c>
      <c r="P473" s="25">
        <f>IF('ORDENES'!$U469="correctiva",N473,0)</f>
        <v/>
      </c>
      <c r="Q473" s="24">
        <f>IF(AND(K473=1,'ORDENES'!$N469="Pendiente"),1,0)</f>
        <v/>
      </c>
      <c r="R473" s="24">
        <f>IF(Q473=1,100000-N473*1000+466*0.01,9000000000000+466)</f>
        <v/>
      </c>
      <c r="S473" s="24">
        <f>IF(Q473=1,SUMPRODUCT(--($R$8:$R$1207&lt;R473))+1,"")</f>
        <v/>
      </c>
      <c r="T473" s="30">
        <f>IF(K473=1,'ORDENES'!$J469,"")</f>
        <v/>
      </c>
    </row>
    <row r="474">
      <c r="K474" s="24">
        <f>IF(AND(IF($B$3="(todos)",TRUE,'ORDENES'!$O470=$B$3),IF($D$3="(todos)",TRUE,'ORDENES'!$AI470=$D$3),IF($F$3="(todos)",TRUE,'ORDENES'!$AA470=$F$3),IF($H$3="(todos)",TRUE,'ORDENES'!$Z470=$H$3),'ORDENES'!$AG470=TRUE,'ORDENES'!$A470&lt;&gt;""),1,0)</f>
        <v/>
      </c>
      <c r="L474" s="24">
        <f>IF(K474=1,IFERROR(MATCH('ORDENES'!$S470,lista_dias,0),9)*1000000000+IFERROR(MATCH('ORDENES'!$AI470,lista_turnos,0),9)*10000000+IFERROR(MATCH('ORDENES'!$AH470,'TECNICOS'!$B$4:$B$19,0),99)*100000+467,9000000000000+467)</f>
        <v/>
      </c>
      <c r="M474" s="24">
        <f>IF(K474=1,SUMPRODUCT(--($L$8:$L$1207&lt;L474))+1,"")</f>
        <v/>
      </c>
      <c r="N474" s="25">
        <f>IF(K474=1,N('ORDENES'!$M470),0)</f>
        <v/>
      </c>
      <c r="O474" s="25">
        <f>IF('ORDENES'!$U470="preventiva",N474,0)</f>
        <v/>
      </c>
      <c r="P474" s="25">
        <f>IF('ORDENES'!$U470="correctiva",N474,0)</f>
        <v/>
      </c>
      <c r="Q474" s="24">
        <f>IF(AND(K474=1,'ORDENES'!$N470="Pendiente"),1,0)</f>
        <v/>
      </c>
      <c r="R474" s="24">
        <f>IF(Q474=1,100000-N474*1000+467*0.01,9000000000000+467)</f>
        <v/>
      </c>
      <c r="S474" s="24">
        <f>IF(Q474=1,SUMPRODUCT(--($R$8:$R$1207&lt;R474))+1,"")</f>
        <v/>
      </c>
      <c r="T474" s="30">
        <f>IF(K474=1,'ORDENES'!$J470,"")</f>
        <v/>
      </c>
    </row>
    <row r="475">
      <c r="K475" s="24">
        <f>IF(AND(IF($B$3="(todos)",TRUE,'ORDENES'!$O471=$B$3),IF($D$3="(todos)",TRUE,'ORDENES'!$AI471=$D$3),IF($F$3="(todos)",TRUE,'ORDENES'!$AA471=$F$3),IF($H$3="(todos)",TRUE,'ORDENES'!$Z471=$H$3),'ORDENES'!$AG471=TRUE,'ORDENES'!$A471&lt;&gt;""),1,0)</f>
        <v/>
      </c>
      <c r="L475" s="24">
        <f>IF(K475=1,IFERROR(MATCH('ORDENES'!$S471,lista_dias,0),9)*1000000000+IFERROR(MATCH('ORDENES'!$AI471,lista_turnos,0),9)*10000000+IFERROR(MATCH('ORDENES'!$AH471,'TECNICOS'!$B$4:$B$19,0),99)*100000+468,9000000000000+468)</f>
        <v/>
      </c>
      <c r="M475" s="24">
        <f>IF(K475=1,SUMPRODUCT(--($L$8:$L$1207&lt;L475))+1,"")</f>
        <v/>
      </c>
      <c r="N475" s="25">
        <f>IF(K475=1,N('ORDENES'!$M471),0)</f>
        <v/>
      </c>
      <c r="O475" s="25">
        <f>IF('ORDENES'!$U471="preventiva",N475,0)</f>
        <v/>
      </c>
      <c r="P475" s="25">
        <f>IF('ORDENES'!$U471="correctiva",N475,0)</f>
        <v/>
      </c>
      <c r="Q475" s="24">
        <f>IF(AND(K475=1,'ORDENES'!$N471="Pendiente"),1,0)</f>
        <v/>
      </c>
      <c r="R475" s="24">
        <f>IF(Q475=1,100000-N475*1000+468*0.01,9000000000000+468)</f>
        <v/>
      </c>
      <c r="S475" s="24">
        <f>IF(Q475=1,SUMPRODUCT(--($R$8:$R$1207&lt;R475))+1,"")</f>
        <v/>
      </c>
      <c r="T475" s="30">
        <f>IF(K475=1,'ORDENES'!$J471,"")</f>
        <v/>
      </c>
    </row>
    <row r="476">
      <c r="K476" s="24">
        <f>IF(AND(IF($B$3="(todos)",TRUE,'ORDENES'!$O472=$B$3),IF($D$3="(todos)",TRUE,'ORDENES'!$AI472=$D$3),IF($F$3="(todos)",TRUE,'ORDENES'!$AA472=$F$3),IF($H$3="(todos)",TRUE,'ORDENES'!$Z472=$H$3),'ORDENES'!$AG472=TRUE,'ORDENES'!$A472&lt;&gt;""),1,0)</f>
        <v/>
      </c>
      <c r="L476" s="24">
        <f>IF(K476=1,IFERROR(MATCH('ORDENES'!$S472,lista_dias,0),9)*1000000000+IFERROR(MATCH('ORDENES'!$AI472,lista_turnos,0),9)*10000000+IFERROR(MATCH('ORDENES'!$AH472,'TECNICOS'!$B$4:$B$19,0),99)*100000+469,9000000000000+469)</f>
        <v/>
      </c>
      <c r="M476" s="24">
        <f>IF(K476=1,SUMPRODUCT(--($L$8:$L$1207&lt;L476))+1,"")</f>
        <v/>
      </c>
      <c r="N476" s="25">
        <f>IF(K476=1,N('ORDENES'!$M472),0)</f>
        <v/>
      </c>
      <c r="O476" s="25">
        <f>IF('ORDENES'!$U472="preventiva",N476,0)</f>
        <v/>
      </c>
      <c r="P476" s="25">
        <f>IF('ORDENES'!$U472="correctiva",N476,0)</f>
        <v/>
      </c>
      <c r="Q476" s="24">
        <f>IF(AND(K476=1,'ORDENES'!$N472="Pendiente"),1,0)</f>
        <v/>
      </c>
      <c r="R476" s="24">
        <f>IF(Q476=1,100000-N476*1000+469*0.01,9000000000000+469)</f>
        <v/>
      </c>
      <c r="S476" s="24">
        <f>IF(Q476=1,SUMPRODUCT(--($R$8:$R$1207&lt;R476))+1,"")</f>
        <v/>
      </c>
      <c r="T476" s="30">
        <f>IF(K476=1,'ORDENES'!$J472,"")</f>
        <v/>
      </c>
    </row>
    <row r="477">
      <c r="K477" s="24">
        <f>IF(AND(IF($B$3="(todos)",TRUE,'ORDENES'!$O473=$B$3),IF($D$3="(todos)",TRUE,'ORDENES'!$AI473=$D$3),IF($F$3="(todos)",TRUE,'ORDENES'!$AA473=$F$3),IF($H$3="(todos)",TRUE,'ORDENES'!$Z473=$H$3),'ORDENES'!$AG473=TRUE,'ORDENES'!$A473&lt;&gt;""),1,0)</f>
        <v/>
      </c>
      <c r="L477" s="24">
        <f>IF(K477=1,IFERROR(MATCH('ORDENES'!$S473,lista_dias,0),9)*1000000000+IFERROR(MATCH('ORDENES'!$AI473,lista_turnos,0),9)*10000000+IFERROR(MATCH('ORDENES'!$AH473,'TECNICOS'!$B$4:$B$19,0),99)*100000+470,9000000000000+470)</f>
        <v/>
      </c>
      <c r="M477" s="24">
        <f>IF(K477=1,SUMPRODUCT(--($L$8:$L$1207&lt;L477))+1,"")</f>
        <v/>
      </c>
      <c r="N477" s="25">
        <f>IF(K477=1,N('ORDENES'!$M473),0)</f>
        <v/>
      </c>
      <c r="O477" s="25">
        <f>IF('ORDENES'!$U473="preventiva",N477,0)</f>
        <v/>
      </c>
      <c r="P477" s="25">
        <f>IF('ORDENES'!$U473="correctiva",N477,0)</f>
        <v/>
      </c>
      <c r="Q477" s="24">
        <f>IF(AND(K477=1,'ORDENES'!$N473="Pendiente"),1,0)</f>
        <v/>
      </c>
      <c r="R477" s="24">
        <f>IF(Q477=1,100000-N477*1000+470*0.01,9000000000000+470)</f>
        <v/>
      </c>
      <c r="S477" s="24">
        <f>IF(Q477=1,SUMPRODUCT(--($R$8:$R$1207&lt;R477))+1,"")</f>
        <v/>
      </c>
      <c r="T477" s="30">
        <f>IF(K477=1,'ORDENES'!$J473,"")</f>
        <v/>
      </c>
    </row>
    <row r="478">
      <c r="K478" s="24">
        <f>IF(AND(IF($B$3="(todos)",TRUE,'ORDENES'!$O474=$B$3),IF($D$3="(todos)",TRUE,'ORDENES'!$AI474=$D$3),IF($F$3="(todos)",TRUE,'ORDENES'!$AA474=$F$3),IF($H$3="(todos)",TRUE,'ORDENES'!$Z474=$H$3),'ORDENES'!$AG474=TRUE,'ORDENES'!$A474&lt;&gt;""),1,0)</f>
        <v/>
      </c>
      <c r="L478" s="24">
        <f>IF(K478=1,IFERROR(MATCH('ORDENES'!$S474,lista_dias,0),9)*1000000000+IFERROR(MATCH('ORDENES'!$AI474,lista_turnos,0),9)*10000000+IFERROR(MATCH('ORDENES'!$AH474,'TECNICOS'!$B$4:$B$19,0),99)*100000+471,9000000000000+471)</f>
        <v/>
      </c>
      <c r="M478" s="24">
        <f>IF(K478=1,SUMPRODUCT(--($L$8:$L$1207&lt;L478))+1,"")</f>
        <v/>
      </c>
      <c r="N478" s="25">
        <f>IF(K478=1,N('ORDENES'!$M474),0)</f>
        <v/>
      </c>
      <c r="O478" s="25">
        <f>IF('ORDENES'!$U474="preventiva",N478,0)</f>
        <v/>
      </c>
      <c r="P478" s="25">
        <f>IF('ORDENES'!$U474="correctiva",N478,0)</f>
        <v/>
      </c>
      <c r="Q478" s="24">
        <f>IF(AND(K478=1,'ORDENES'!$N474="Pendiente"),1,0)</f>
        <v/>
      </c>
      <c r="R478" s="24">
        <f>IF(Q478=1,100000-N478*1000+471*0.01,9000000000000+471)</f>
        <v/>
      </c>
      <c r="S478" s="24">
        <f>IF(Q478=1,SUMPRODUCT(--($R$8:$R$1207&lt;R478))+1,"")</f>
        <v/>
      </c>
      <c r="T478" s="30">
        <f>IF(K478=1,'ORDENES'!$J474,"")</f>
        <v/>
      </c>
    </row>
    <row r="479">
      <c r="K479" s="24">
        <f>IF(AND(IF($B$3="(todos)",TRUE,'ORDENES'!$O475=$B$3),IF($D$3="(todos)",TRUE,'ORDENES'!$AI475=$D$3),IF($F$3="(todos)",TRUE,'ORDENES'!$AA475=$F$3),IF($H$3="(todos)",TRUE,'ORDENES'!$Z475=$H$3),'ORDENES'!$AG475=TRUE,'ORDENES'!$A475&lt;&gt;""),1,0)</f>
        <v/>
      </c>
      <c r="L479" s="24">
        <f>IF(K479=1,IFERROR(MATCH('ORDENES'!$S475,lista_dias,0),9)*1000000000+IFERROR(MATCH('ORDENES'!$AI475,lista_turnos,0),9)*10000000+IFERROR(MATCH('ORDENES'!$AH475,'TECNICOS'!$B$4:$B$19,0),99)*100000+472,9000000000000+472)</f>
        <v/>
      </c>
      <c r="M479" s="24">
        <f>IF(K479=1,SUMPRODUCT(--($L$8:$L$1207&lt;L479))+1,"")</f>
        <v/>
      </c>
      <c r="N479" s="25">
        <f>IF(K479=1,N('ORDENES'!$M475),0)</f>
        <v/>
      </c>
      <c r="O479" s="25">
        <f>IF('ORDENES'!$U475="preventiva",N479,0)</f>
        <v/>
      </c>
      <c r="P479" s="25">
        <f>IF('ORDENES'!$U475="correctiva",N479,0)</f>
        <v/>
      </c>
      <c r="Q479" s="24">
        <f>IF(AND(K479=1,'ORDENES'!$N475="Pendiente"),1,0)</f>
        <v/>
      </c>
      <c r="R479" s="24">
        <f>IF(Q479=1,100000-N479*1000+472*0.01,9000000000000+472)</f>
        <v/>
      </c>
      <c r="S479" s="24">
        <f>IF(Q479=1,SUMPRODUCT(--($R$8:$R$1207&lt;R479))+1,"")</f>
        <v/>
      </c>
      <c r="T479" s="30">
        <f>IF(K479=1,'ORDENES'!$J475,"")</f>
        <v/>
      </c>
    </row>
    <row r="480">
      <c r="K480" s="24">
        <f>IF(AND(IF($B$3="(todos)",TRUE,'ORDENES'!$O476=$B$3),IF($D$3="(todos)",TRUE,'ORDENES'!$AI476=$D$3),IF($F$3="(todos)",TRUE,'ORDENES'!$AA476=$F$3),IF($H$3="(todos)",TRUE,'ORDENES'!$Z476=$H$3),'ORDENES'!$AG476=TRUE,'ORDENES'!$A476&lt;&gt;""),1,0)</f>
        <v/>
      </c>
      <c r="L480" s="24">
        <f>IF(K480=1,IFERROR(MATCH('ORDENES'!$S476,lista_dias,0),9)*1000000000+IFERROR(MATCH('ORDENES'!$AI476,lista_turnos,0),9)*10000000+IFERROR(MATCH('ORDENES'!$AH476,'TECNICOS'!$B$4:$B$19,0),99)*100000+473,9000000000000+473)</f>
        <v/>
      </c>
      <c r="M480" s="24">
        <f>IF(K480=1,SUMPRODUCT(--($L$8:$L$1207&lt;L480))+1,"")</f>
        <v/>
      </c>
      <c r="N480" s="25">
        <f>IF(K480=1,N('ORDENES'!$M476),0)</f>
        <v/>
      </c>
      <c r="O480" s="25">
        <f>IF('ORDENES'!$U476="preventiva",N480,0)</f>
        <v/>
      </c>
      <c r="P480" s="25">
        <f>IF('ORDENES'!$U476="correctiva",N480,0)</f>
        <v/>
      </c>
      <c r="Q480" s="24">
        <f>IF(AND(K480=1,'ORDENES'!$N476="Pendiente"),1,0)</f>
        <v/>
      </c>
      <c r="R480" s="24">
        <f>IF(Q480=1,100000-N480*1000+473*0.01,9000000000000+473)</f>
        <v/>
      </c>
      <c r="S480" s="24">
        <f>IF(Q480=1,SUMPRODUCT(--($R$8:$R$1207&lt;R480))+1,"")</f>
        <v/>
      </c>
      <c r="T480" s="30">
        <f>IF(K480=1,'ORDENES'!$J476,"")</f>
        <v/>
      </c>
    </row>
    <row r="481">
      <c r="K481" s="24">
        <f>IF(AND(IF($B$3="(todos)",TRUE,'ORDENES'!$O477=$B$3),IF($D$3="(todos)",TRUE,'ORDENES'!$AI477=$D$3),IF($F$3="(todos)",TRUE,'ORDENES'!$AA477=$F$3),IF($H$3="(todos)",TRUE,'ORDENES'!$Z477=$H$3),'ORDENES'!$AG477=TRUE,'ORDENES'!$A477&lt;&gt;""),1,0)</f>
        <v/>
      </c>
      <c r="L481" s="24">
        <f>IF(K481=1,IFERROR(MATCH('ORDENES'!$S477,lista_dias,0),9)*1000000000+IFERROR(MATCH('ORDENES'!$AI477,lista_turnos,0),9)*10000000+IFERROR(MATCH('ORDENES'!$AH477,'TECNICOS'!$B$4:$B$19,0),99)*100000+474,9000000000000+474)</f>
        <v/>
      </c>
      <c r="M481" s="24">
        <f>IF(K481=1,SUMPRODUCT(--($L$8:$L$1207&lt;L481))+1,"")</f>
        <v/>
      </c>
      <c r="N481" s="25">
        <f>IF(K481=1,N('ORDENES'!$M477),0)</f>
        <v/>
      </c>
      <c r="O481" s="25">
        <f>IF('ORDENES'!$U477="preventiva",N481,0)</f>
        <v/>
      </c>
      <c r="P481" s="25">
        <f>IF('ORDENES'!$U477="correctiva",N481,0)</f>
        <v/>
      </c>
      <c r="Q481" s="24">
        <f>IF(AND(K481=1,'ORDENES'!$N477="Pendiente"),1,0)</f>
        <v/>
      </c>
      <c r="R481" s="24">
        <f>IF(Q481=1,100000-N481*1000+474*0.01,9000000000000+474)</f>
        <v/>
      </c>
      <c r="S481" s="24">
        <f>IF(Q481=1,SUMPRODUCT(--($R$8:$R$1207&lt;R481))+1,"")</f>
        <v/>
      </c>
      <c r="T481" s="30">
        <f>IF(K481=1,'ORDENES'!$J477,"")</f>
        <v/>
      </c>
    </row>
    <row r="482">
      <c r="K482" s="24">
        <f>IF(AND(IF($B$3="(todos)",TRUE,'ORDENES'!$O478=$B$3),IF($D$3="(todos)",TRUE,'ORDENES'!$AI478=$D$3),IF($F$3="(todos)",TRUE,'ORDENES'!$AA478=$F$3),IF($H$3="(todos)",TRUE,'ORDENES'!$Z478=$H$3),'ORDENES'!$AG478=TRUE,'ORDENES'!$A478&lt;&gt;""),1,0)</f>
        <v/>
      </c>
      <c r="L482" s="24">
        <f>IF(K482=1,IFERROR(MATCH('ORDENES'!$S478,lista_dias,0),9)*1000000000+IFERROR(MATCH('ORDENES'!$AI478,lista_turnos,0),9)*10000000+IFERROR(MATCH('ORDENES'!$AH478,'TECNICOS'!$B$4:$B$19,0),99)*100000+475,9000000000000+475)</f>
        <v/>
      </c>
      <c r="M482" s="24">
        <f>IF(K482=1,SUMPRODUCT(--($L$8:$L$1207&lt;L482))+1,"")</f>
        <v/>
      </c>
      <c r="N482" s="25">
        <f>IF(K482=1,N('ORDENES'!$M478),0)</f>
        <v/>
      </c>
      <c r="O482" s="25">
        <f>IF('ORDENES'!$U478="preventiva",N482,0)</f>
        <v/>
      </c>
      <c r="P482" s="25">
        <f>IF('ORDENES'!$U478="correctiva",N482,0)</f>
        <v/>
      </c>
      <c r="Q482" s="24">
        <f>IF(AND(K482=1,'ORDENES'!$N478="Pendiente"),1,0)</f>
        <v/>
      </c>
      <c r="R482" s="24">
        <f>IF(Q482=1,100000-N482*1000+475*0.01,9000000000000+475)</f>
        <v/>
      </c>
      <c r="S482" s="24">
        <f>IF(Q482=1,SUMPRODUCT(--($R$8:$R$1207&lt;R482))+1,"")</f>
        <v/>
      </c>
      <c r="T482" s="30">
        <f>IF(K482=1,'ORDENES'!$J478,"")</f>
        <v/>
      </c>
    </row>
    <row r="483">
      <c r="K483" s="24">
        <f>IF(AND(IF($B$3="(todos)",TRUE,'ORDENES'!$O479=$B$3),IF($D$3="(todos)",TRUE,'ORDENES'!$AI479=$D$3),IF($F$3="(todos)",TRUE,'ORDENES'!$AA479=$F$3),IF($H$3="(todos)",TRUE,'ORDENES'!$Z479=$H$3),'ORDENES'!$AG479=TRUE,'ORDENES'!$A479&lt;&gt;""),1,0)</f>
        <v/>
      </c>
      <c r="L483" s="24">
        <f>IF(K483=1,IFERROR(MATCH('ORDENES'!$S479,lista_dias,0),9)*1000000000+IFERROR(MATCH('ORDENES'!$AI479,lista_turnos,0),9)*10000000+IFERROR(MATCH('ORDENES'!$AH479,'TECNICOS'!$B$4:$B$19,0),99)*100000+476,9000000000000+476)</f>
        <v/>
      </c>
      <c r="M483" s="24">
        <f>IF(K483=1,SUMPRODUCT(--($L$8:$L$1207&lt;L483))+1,"")</f>
        <v/>
      </c>
      <c r="N483" s="25">
        <f>IF(K483=1,N('ORDENES'!$M479),0)</f>
        <v/>
      </c>
      <c r="O483" s="25">
        <f>IF('ORDENES'!$U479="preventiva",N483,0)</f>
        <v/>
      </c>
      <c r="P483" s="25">
        <f>IF('ORDENES'!$U479="correctiva",N483,0)</f>
        <v/>
      </c>
      <c r="Q483" s="24">
        <f>IF(AND(K483=1,'ORDENES'!$N479="Pendiente"),1,0)</f>
        <v/>
      </c>
      <c r="R483" s="24">
        <f>IF(Q483=1,100000-N483*1000+476*0.01,9000000000000+476)</f>
        <v/>
      </c>
      <c r="S483" s="24">
        <f>IF(Q483=1,SUMPRODUCT(--($R$8:$R$1207&lt;R483))+1,"")</f>
        <v/>
      </c>
      <c r="T483" s="30">
        <f>IF(K483=1,'ORDENES'!$J479,"")</f>
        <v/>
      </c>
    </row>
    <row r="484">
      <c r="K484" s="24">
        <f>IF(AND(IF($B$3="(todos)",TRUE,'ORDENES'!$O480=$B$3),IF($D$3="(todos)",TRUE,'ORDENES'!$AI480=$D$3),IF($F$3="(todos)",TRUE,'ORDENES'!$AA480=$F$3),IF($H$3="(todos)",TRUE,'ORDENES'!$Z480=$H$3),'ORDENES'!$AG480=TRUE,'ORDENES'!$A480&lt;&gt;""),1,0)</f>
        <v/>
      </c>
      <c r="L484" s="24">
        <f>IF(K484=1,IFERROR(MATCH('ORDENES'!$S480,lista_dias,0),9)*1000000000+IFERROR(MATCH('ORDENES'!$AI480,lista_turnos,0),9)*10000000+IFERROR(MATCH('ORDENES'!$AH480,'TECNICOS'!$B$4:$B$19,0),99)*100000+477,9000000000000+477)</f>
        <v/>
      </c>
      <c r="M484" s="24">
        <f>IF(K484=1,SUMPRODUCT(--($L$8:$L$1207&lt;L484))+1,"")</f>
        <v/>
      </c>
      <c r="N484" s="25">
        <f>IF(K484=1,N('ORDENES'!$M480),0)</f>
        <v/>
      </c>
      <c r="O484" s="25">
        <f>IF('ORDENES'!$U480="preventiva",N484,0)</f>
        <v/>
      </c>
      <c r="P484" s="25">
        <f>IF('ORDENES'!$U480="correctiva",N484,0)</f>
        <v/>
      </c>
      <c r="Q484" s="24">
        <f>IF(AND(K484=1,'ORDENES'!$N480="Pendiente"),1,0)</f>
        <v/>
      </c>
      <c r="R484" s="24">
        <f>IF(Q484=1,100000-N484*1000+477*0.01,9000000000000+477)</f>
        <v/>
      </c>
      <c r="S484" s="24">
        <f>IF(Q484=1,SUMPRODUCT(--($R$8:$R$1207&lt;R484))+1,"")</f>
        <v/>
      </c>
      <c r="T484" s="30">
        <f>IF(K484=1,'ORDENES'!$J480,"")</f>
        <v/>
      </c>
    </row>
    <row r="485">
      <c r="K485" s="24">
        <f>IF(AND(IF($B$3="(todos)",TRUE,'ORDENES'!$O481=$B$3),IF($D$3="(todos)",TRUE,'ORDENES'!$AI481=$D$3),IF($F$3="(todos)",TRUE,'ORDENES'!$AA481=$F$3),IF($H$3="(todos)",TRUE,'ORDENES'!$Z481=$H$3),'ORDENES'!$AG481=TRUE,'ORDENES'!$A481&lt;&gt;""),1,0)</f>
        <v/>
      </c>
      <c r="L485" s="24">
        <f>IF(K485=1,IFERROR(MATCH('ORDENES'!$S481,lista_dias,0),9)*1000000000+IFERROR(MATCH('ORDENES'!$AI481,lista_turnos,0),9)*10000000+IFERROR(MATCH('ORDENES'!$AH481,'TECNICOS'!$B$4:$B$19,0),99)*100000+478,9000000000000+478)</f>
        <v/>
      </c>
      <c r="M485" s="24">
        <f>IF(K485=1,SUMPRODUCT(--($L$8:$L$1207&lt;L485))+1,"")</f>
        <v/>
      </c>
      <c r="N485" s="25">
        <f>IF(K485=1,N('ORDENES'!$M481),0)</f>
        <v/>
      </c>
      <c r="O485" s="25">
        <f>IF('ORDENES'!$U481="preventiva",N485,0)</f>
        <v/>
      </c>
      <c r="P485" s="25">
        <f>IF('ORDENES'!$U481="correctiva",N485,0)</f>
        <v/>
      </c>
      <c r="Q485" s="24">
        <f>IF(AND(K485=1,'ORDENES'!$N481="Pendiente"),1,0)</f>
        <v/>
      </c>
      <c r="R485" s="24">
        <f>IF(Q485=1,100000-N485*1000+478*0.01,9000000000000+478)</f>
        <v/>
      </c>
      <c r="S485" s="24">
        <f>IF(Q485=1,SUMPRODUCT(--($R$8:$R$1207&lt;R485))+1,"")</f>
        <v/>
      </c>
      <c r="T485" s="30">
        <f>IF(K485=1,'ORDENES'!$J481,"")</f>
        <v/>
      </c>
    </row>
    <row r="486">
      <c r="K486" s="24">
        <f>IF(AND(IF($B$3="(todos)",TRUE,'ORDENES'!$O482=$B$3),IF($D$3="(todos)",TRUE,'ORDENES'!$AI482=$D$3),IF($F$3="(todos)",TRUE,'ORDENES'!$AA482=$F$3),IF($H$3="(todos)",TRUE,'ORDENES'!$Z482=$H$3),'ORDENES'!$AG482=TRUE,'ORDENES'!$A482&lt;&gt;""),1,0)</f>
        <v/>
      </c>
      <c r="L486" s="24">
        <f>IF(K486=1,IFERROR(MATCH('ORDENES'!$S482,lista_dias,0),9)*1000000000+IFERROR(MATCH('ORDENES'!$AI482,lista_turnos,0),9)*10000000+IFERROR(MATCH('ORDENES'!$AH482,'TECNICOS'!$B$4:$B$19,0),99)*100000+479,9000000000000+479)</f>
        <v/>
      </c>
      <c r="M486" s="24">
        <f>IF(K486=1,SUMPRODUCT(--($L$8:$L$1207&lt;L486))+1,"")</f>
        <v/>
      </c>
      <c r="N486" s="25">
        <f>IF(K486=1,N('ORDENES'!$M482),0)</f>
        <v/>
      </c>
      <c r="O486" s="25">
        <f>IF('ORDENES'!$U482="preventiva",N486,0)</f>
        <v/>
      </c>
      <c r="P486" s="25">
        <f>IF('ORDENES'!$U482="correctiva",N486,0)</f>
        <v/>
      </c>
      <c r="Q486" s="24">
        <f>IF(AND(K486=1,'ORDENES'!$N482="Pendiente"),1,0)</f>
        <v/>
      </c>
      <c r="R486" s="24">
        <f>IF(Q486=1,100000-N486*1000+479*0.01,9000000000000+479)</f>
        <v/>
      </c>
      <c r="S486" s="24">
        <f>IF(Q486=1,SUMPRODUCT(--($R$8:$R$1207&lt;R486))+1,"")</f>
        <v/>
      </c>
      <c r="T486" s="30">
        <f>IF(K486=1,'ORDENES'!$J482,"")</f>
        <v/>
      </c>
    </row>
    <row r="487">
      <c r="K487" s="24">
        <f>IF(AND(IF($B$3="(todos)",TRUE,'ORDENES'!$O483=$B$3),IF($D$3="(todos)",TRUE,'ORDENES'!$AI483=$D$3),IF($F$3="(todos)",TRUE,'ORDENES'!$AA483=$F$3),IF($H$3="(todos)",TRUE,'ORDENES'!$Z483=$H$3),'ORDENES'!$AG483=TRUE,'ORDENES'!$A483&lt;&gt;""),1,0)</f>
        <v/>
      </c>
      <c r="L487" s="24">
        <f>IF(K487=1,IFERROR(MATCH('ORDENES'!$S483,lista_dias,0),9)*1000000000+IFERROR(MATCH('ORDENES'!$AI483,lista_turnos,0),9)*10000000+IFERROR(MATCH('ORDENES'!$AH483,'TECNICOS'!$B$4:$B$19,0),99)*100000+480,9000000000000+480)</f>
        <v/>
      </c>
      <c r="M487" s="24">
        <f>IF(K487=1,SUMPRODUCT(--($L$8:$L$1207&lt;L487))+1,"")</f>
        <v/>
      </c>
      <c r="N487" s="25">
        <f>IF(K487=1,N('ORDENES'!$M483),0)</f>
        <v/>
      </c>
      <c r="O487" s="25">
        <f>IF('ORDENES'!$U483="preventiva",N487,0)</f>
        <v/>
      </c>
      <c r="P487" s="25">
        <f>IF('ORDENES'!$U483="correctiva",N487,0)</f>
        <v/>
      </c>
      <c r="Q487" s="24">
        <f>IF(AND(K487=1,'ORDENES'!$N483="Pendiente"),1,0)</f>
        <v/>
      </c>
      <c r="R487" s="24">
        <f>IF(Q487=1,100000-N487*1000+480*0.01,9000000000000+480)</f>
        <v/>
      </c>
      <c r="S487" s="24">
        <f>IF(Q487=1,SUMPRODUCT(--($R$8:$R$1207&lt;R487))+1,"")</f>
        <v/>
      </c>
      <c r="T487" s="30">
        <f>IF(K487=1,'ORDENES'!$J483,"")</f>
        <v/>
      </c>
    </row>
    <row r="488">
      <c r="K488" s="24">
        <f>IF(AND(IF($B$3="(todos)",TRUE,'ORDENES'!$O484=$B$3),IF($D$3="(todos)",TRUE,'ORDENES'!$AI484=$D$3),IF($F$3="(todos)",TRUE,'ORDENES'!$AA484=$F$3),IF($H$3="(todos)",TRUE,'ORDENES'!$Z484=$H$3),'ORDENES'!$AG484=TRUE,'ORDENES'!$A484&lt;&gt;""),1,0)</f>
        <v/>
      </c>
      <c r="L488" s="24">
        <f>IF(K488=1,IFERROR(MATCH('ORDENES'!$S484,lista_dias,0),9)*1000000000+IFERROR(MATCH('ORDENES'!$AI484,lista_turnos,0),9)*10000000+IFERROR(MATCH('ORDENES'!$AH484,'TECNICOS'!$B$4:$B$19,0),99)*100000+481,9000000000000+481)</f>
        <v/>
      </c>
      <c r="M488" s="24">
        <f>IF(K488=1,SUMPRODUCT(--($L$8:$L$1207&lt;L488))+1,"")</f>
        <v/>
      </c>
      <c r="N488" s="25">
        <f>IF(K488=1,N('ORDENES'!$M484),0)</f>
        <v/>
      </c>
      <c r="O488" s="25">
        <f>IF('ORDENES'!$U484="preventiva",N488,0)</f>
        <v/>
      </c>
      <c r="P488" s="25">
        <f>IF('ORDENES'!$U484="correctiva",N488,0)</f>
        <v/>
      </c>
      <c r="Q488" s="24">
        <f>IF(AND(K488=1,'ORDENES'!$N484="Pendiente"),1,0)</f>
        <v/>
      </c>
      <c r="R488" s="24">
        <f>IF(Q488=1,100000-N488*1000+481*0.01,9000000000000+481)</f>
        <v/>
      </c>
      <c r="S488" s="24">
        <f>IF(Q488=1,SUMPRODUCT(--($R$8:$R$1207&lt;R488))+1,"")</f>
        <v/>
      </c>
      <c r="T488" s="30">
        <f>IF(K488=1,'ORDENES'!$J484,"")</f>
        <v/>
      </c>
    </row>
    <row r="489">
      <c r="K489" s="24">
        <f>IF(AND(IF($B$3="(todos)",TRUE,'ORDENES'!$O485=$B$3),IF($D$3="(todos)",TRUE,'ORDENES'!$AI485=$D$3),IF($F$3="(todos)",TRUE,'ORDENES'!$AA485=$F$3),IF($H$3="(todos)",TRUE,'ORDENES'!$Z485=$H$3),'ORDENES'!$AG485=TRUE,'ORDENES'!$A485&lt;&gt;""),1,0)</f>
        <v/>
      </c>
      <c r="L489" s="24">
        <f>IF(K489=1,IFERROR(MATCH('ORDENES'!$S485,lista_dias,0),9)*1000000000+IFERROR(MATCH('ORDENES'!$AI485,lista_turnos,0),9)*10000000+IFERROR(MATCH('ORDENES'!$AH485,'TECNICOS'!$B$4:$B$19,0),99)*100000+482,9000000000000+482)</f>
        <v/>
      </c>
      <c r="M489" s="24">
        <f>IF(K489=1,SUMPRODUCT(--($L$8:$L$1207&lt;L489))+1,"")</f>
        <v/>
      </c>
      <c r="N489" s="25">
        <f>IF(K489=1,N('ORDENES'!$M485),0)</f>
        <v/>
      </c>
      <c r="O489" s="25">
        <f>IF('ORDENES'!$U485="preventiva",N489,0)</f>
        <v/>
      </c>
      <c r="P489" s="25">
        <f>IF('ORDENES'!$U485="correctiva",N489,0)</f>
        <v/>
      </c>
      <c r="Q489" s="24">
        <f>IF(AND(K489=1,'ORDENES'!$N485="Pendiente"),1,0)</f>
        <v/>
      </c>
      <c r="R489" s="24">
        <f>IF(Q489=1,100000-N489*1000+482*0.01,9000000000000+482)</f>
        <v/>
      </c>
      <c r="S489" s="24">
        <f>IF(Q489=1,SUMPRODUCT(--($R$8:$R$1207&lt;R489))+1,"")</f>
        <v/>
      </c>
      <c r="T489" s="30">
        <f>IF(K489=1,'ORDENES'!$J485,"")</f>
        <v/>
      </c>
    </row>
    <row r="490">
      <c r="K490" s="24">
        <f>IF(AND(IF($B$3="(todos)",TRUE,'ORDENES'!$O486=$B$3),IF($D$3="(todos)",TRUE,'ORDENES'!$AI486=$D$3),IF($F$3="(todos)",TRUE,'ORDENES'!$AA486=$F$3),IF($H$3="(todos)",TRUE,'ORDENES'!$Z486=$H$3),'ORDENES'!$AG486=TRUE,'ORDENES'!$A486&lt;&gt;""),1,0)</f>
        <v/>
      </c>
      <c r="L490" s="24">
        <f>IF(K490=1,IFERROR(MATCH('ORDENES'!$S486,lista_dias,0),9)*1000000000+IFERROR(MATCH('ORDENES'!$AI486,lista_turnos,0),9)*10000000+IFERROR(MATCH('ORDENES'!$AH486,'TECNICOS'!$B$4:$B$19,0),99)*100000+483,9000000000000+483)</f>
        <v/>
      </c>
      <c r="M490" s="24">
        <f>IF(K490=1,SUMPRODUCT(--($L$8:$L$1207&lt;L490))+1,"")</f>
        <v/>
      </c>
      <c r="N490" s="25">
        <f>IF(K490=1,N('ORDENES'!$M486),0)</f>
        <v/>
      </c>
      <c r="O490" s="25">
        <f>IF('ORDENES'!$U486="preventiva",N490,0)</f>
        <v/>
      </c>
      <c r="P490" s="25">
        <f>IF('ORDENES'!$U486="correctiva",N490,0)</f>
        <v/>
      </c>
      <c r="Q490" s="24">
        <f>IF(AND(K490=1,'ORDENES'!$N486="Pendiente"),1,0)</f>
        <v/>
      </c>
      <c r="R490" s="24">
        <f>IF(Q490=1,100000-N490*1000+483*0.01,9000000000000+483)</f>
        <v/>
      </c>
      <c r="S490" s="24">
        <f>IF(Q490=1,SUMPRODUCT(--($R$8:$R$1207&lt;R490))+1,"")</f>
        <v/>
      </c>
      <c r="T490" s="30">
        <f>IF(K490=1,'ORDENES'!$J486,"")</f>
        <v/>
      </c>
    </row>
    <row r="491">
      <c r="K491" s="24">
        <f>IF(AND(IF($B$3="(todos)",TRUE,'ORDENES'!$O487=$B$3),IF($D$3="(todos)",TRUE,'ORDENES'!$AI487=$D$3),IF($F$3="(todos)",TRUE,'ORDENES'!$AA487=$F$3),IF($H$3="(todos)",TRUE,'ORDENES'!$Z487=$H$3),'ORDENES'!$AG487=TRUE,'ORDENES'!$A487&lt;&gt;""),1,0)</f>
        <v/>
      </c>
      <c r="L491" s="24">
        <f>IF(K491=1,IFERROR(MATCH('ORDENES'!$S487,lista_dias,0),9)*1000000000+IFERROR(MATCH('ORDENES'!$AI487,lista_turnos,0),9)*10000000+IFERROR(MATCH('ORDENES'!$AH487,'TECNICOS'!$B$4:$B$19,0),99)*100000+484,9000000000000+484)</f>
        <v/>
      </c>
      <c r="M491" s="24">
        <f>IF(K491=1,SUMPRODUCT(--($L$8:$L$1207&lt;L491))+1,"")</f>
        <v/>
      </c>
      <c r="N491" s="25">
        <f>IF(K491=1,N('ORDENES'!$M487),0)</f>
        <v/>
      </c>
      <c r="O491" s="25">
        <f>IF('ORDENES'!$U487="preventiva",N491,0)</f>
        <v/>
      </c>
      <c r="P491" s="25">
        <f>IF('ORDENES'!$U487="correctiva",N491,0)</f>
        <v/>
      </c>
      <c r="Q491" s="24">
        <f>IF(AND(K491=1,'ORDENES'!$N487="Pendiente"),1,0)</f>
        <v/>
      </c>
      <c r="R491" s="24">
        <f>IF(Q491=1,100000-N491*1000+484*0.01,9000000000000+484)</f>
        <v/>
      </c>
      <c r="S491" s="24">
        <f>IF(Q491=1,SUMPRODUCT(--($R$8:$R$1207&lt;R491))+1,"")</f>
        <v/>
      </c>
      <c r="T491" s="30">
        <f>IF(K491=1,'ORDENES'!$J487,"")</f>
        <v/>
      </c>
    </row>
    <row r="492">
      <c r="K492" s="24">
        <f>IF(AND(IF($B$3="(todos)",TRUE,'ORDENES'!$O488=$B$3),IF($D$3="(todos)",TRUE,'ORDENES'!$AI488=$D$3),IF($F$3="(todos)",TRUE,'ORDENES'!$AA488=$F$3),IF($H$3="(todos)",TRUE,'ORDENES'!$Z488=$H$3),'ORDENES'!$AG488=TRUE,'ORDENES'!$A488&lt;&gt;""),1,0)</f>
        <v/>
      </c>
      <c r="L492" s="24">
        <f>IF(K492=1,IFERROR(MATCH('ORDENES'!$S488,lista_dias,0),9)*1000000000+IFERROR(MATCH('ORDENES'!$AI488,lista_turnos,0),9)*10000000+IFERROR(MATCH('ORDENES'!$AH488,'TECNICOS'!$B$4:$B$19,0),99)*100000+485,9000000000000+485)</f>
        <v/>
      </c>
      <c r="M492" s="24">
        <f>IF(K492=1,SUMPRODUCT(--($L$8:$L$1207&lt;L492))+1,"")</f>
        <v/>
      </c>
      <c r="N492" s="25">
        <f>IF(K492=1,N('ORDENES'!$M488),0)</f>
        <v/>
      </c>
      <c r="O492" s="25">
        <f>IF('ORDENES'!$U488="preventiva",N492,0)</f>
        <v/>
      </c>
      <c r="P492" s="25">
        <f>IF('ORDENES'!$U488="correctiva",N492,0)</f>
        <v/>
      </c>
      <c r="Q492" s="24">
        <f>IF(AND(K492=1,'ORDENES'!$N488="Pendiente"),1,0)</f>
        <v/>
      </c>
      <c r="R492" s="24">
        <f>IF(Q492=1,100000-N492*1000+485*0.01,9000000000000+485)</f>
        <v/>
      </c>
      <c r="S492" s="24">
        <f>IF(Q492=1,SUMPRODUCT(--($R$8:$R$1207&lt;R492))+1,"")</f>
        <v/>
      </c>
      <c r="T492" s="30">
        <f>IF(K492=1,'ORDENES'!$J488,"")</f>
        <v/>
      </c>
    </row>
    <row r="493">
      <c r="K493" s="24">
        <f>IF(AND(IF($B$3="(todos)",TRUE,'ORDENES'!$O489=$B$3),IF($D$3="(todos)",TRUE,'ORDENES'!$AI489=$D$3),IF($F$3="(todos)",TRUE,'ORDENES'!$AA489=$F$3),IF($H$3="(todos)",TRUE,'ORDENES'!$Z489=$H$3),'ORDENES'!$AG489=TRUE,'ORDENES'!$A489&lt;&gt;""),1,0)</f>
        <v/>
      </c>
      <c r="L493" s="24">
        <f>IF(K493=1,IFERROR(MATCH('ORDENES'!$S489,lista_dias,0),9)*1000000000+IFERROR(MATCH('ORDENES'!$AI489,lista_turnos,0),9)*10000000+IFERROR(MATCH('ORDENES'!$AH489,'TECNICOS'!$B$4:$B$19,0),99)*100000+486,9000000000000+486)</f>
        <v/>
      </c>
      <c r="M493" s="24">
        <f>IF(K493=1,SUMPRODUCT(--($L$8:$L$1207&lt;L493))+1,"")</f>
        <v/>
      </c>
      <c r="N493" s="25">
        <f>IF(K493=1,N('ORDENES'!$M489),0)</f>
        <v/>
      </c>
      <c r="O493" s="25">
        <f>IF('ORDENES'!$U489="preventiva",N493,0)</f>
        <v/>
      </c>
      <c r="P493" s="25">
        <f>IF('ORDENES'!$U489="correctiva",N493,0)</f>
        <v/>
      </c>
      <c r="Q493" s="24">
        <f>IF(AND(K493=1,'ORDENES'!$N489="Pendiente"),1,0)</f>
        <v/>
      </c>
      <c r="R493" s="24">
        <f>IF(Q493=1,100000-N493*1000+486*0.01,9000000000000+486)</f>
        <v/>
      </c>
      <c r="S493" s="24">
        <f>IF(Q493=1,SUMPRODUCT(--($R$8:$R$1207&lt;R493))+1,"")</f>
        <v/>
      </c>
      <c r="T493" s="30">
        <f>IF(K493=1,'ORDENES'!$J489,"")</f>
        <v/>
      </c>
    </row>
    <row r="494">
      <c r="K494" s="24">
        <f>IF(AND(IF($B$3="(todos)",TRUE,'ORDENES'!$O490=$B$3),IF($D$3="(todos)",TRUE,'ORDENES'!$AI490=$D$3),IF($F$3="(todos)",TRUE,'ORDENES'!$AA490=$F$3),IF($H$3="(todos)",TRUE,'ORDENES'!$Z490=$H$3),'ORDENES'!$AG490=TRUE,'ORDENES'!$A490&lt;&gt;""),1,0)</f>
        <v/>
      </c>
      <c r="L494" s="24">
        <f>IF(K494=1,IFERROR(MATCH('ORDENES'!$S490,lista_dias,0),9)*1000000000+IFERROR(MATCH('ORDENES'!$AI490,lista_turnos,0),9)*10000000+IFERROR(MATCH('ORDENES'!$AH490,'TECNICOS'!$B$4:$B$19,0),99)*100000+487,9000000000000+487)</f>
        <v/>
      </c>
      <c r="M494" s="24">
        <f>IF(K494=1,SUMPRODUCT(--($L$8:$L$1207&lt;L494))+1,"")</f>
        <v/>
      </c>
      <c r="N494" s="25">
        <f>IF(K494=1,N('ORDENES'!$M490),0)</f>
        <v/>
      </c>
      <c r="O494" s="25">
        <f>IF('ORDENES'!$U490="preventiva",N494,0)</f>
        <v/>
      </c>
      <c r="P494" s="25">
        <f>IF('ORDENES'!$U490="correctiva",N494,0)</f>
        <v/>
      </c>
      <c r="Q494" s="24">
        <f>IF(AND(K494=1,'ORDENES'!$N490="Pendiente"),1,0)</f>
        <v/>
      </c>
      <c r="R494" s="24">
        <f>IF(Q494=1,100000-N494*1000+487*0.01,9000000000000+487)</f>
        <v/>
      </c>
      <c r="S494" s="24">
        <f>IF(Q494=1,SUMPRODUCT(--($R$8:$R$1207&lt;R494))+1,"")</f>
        <v/>
      </c>
      <c r="T494" s="30">
        <f>IF(K494=1,'ORDENES'!$J490,"")</f>
        <v/>
      </c>
    </row>
    <row r="495">
      <c r="K495" s="24">
        <f>IF(AND(IF($B$3="(todos)",TRUE,'ORDENES'!$O491=$B$3),IF($D$3="(todos)",TRUE,'ORDENES'!$AI491=$D$3),IF($F$3="(todos)",TRUE,'ORDENES'!$AA491=$F$3),IF($H$3="(todos)",TRUE,'ORDENES'!$Z491=$H$3),'ORDENES'!$AG491=TRUE,'ORDENES'!$A491&lt;&gt;""),1,0)</f>
        <v/>
      </c>
      <c r="L495" s="24">
        <f>IF(K495=1,IFERROR(MATCH('ORDENES'!$S491,lista_dias,0),9)*1000000000+IFERROR(MATCH('ORDENES'!$AI491,lista_turnos,0),9)*10000000+IFERROR(MATCH('ORDENES'!$AH491,'TECNICOS'!$B$4:$B$19,0),99)*100000+488,9000000000000+488)</f>
        <v/>
      </c>
      <c r="M495" s="24">
        <f>IF(K495=1,SUMPRODUCT(--($L$8:$L$1207&lt;L495))+1,"")</f>
        <v/>
      </c>
      <c r="N495" s="25">
        <f>IF(K495=1,N('ORDENES'!$M491),0)</f>
        <v/>
      </c>
      <c r="O495" s="25">
        <f>IF('ORDENES'!$U491="preventiva",N495,0)</f>
        <v/>
      </c>
      <c r="P495" s="25">
        <f>IF('ORDENES'!$U491="correctiva",N495,0)</f>
        <v/>
      </c>
      <c r="Q495" s="24">
        <f>IF(AND(K495=1,'ORDENES'!$N491="Pendiente"),1,0)</f>
        <v/>
      </c>
      <c r="R495" s="24">
        <f>IF(Q495=1,100000-N495*1000+488*0.01,9000000000000+488)</f>
        <v/>
      </c>
      <c r="S495" s="24">
        <f>IF(Q495=1,SUMPRODUCT(--($R$8:$R$1207&lt;R495))+1,"")</f>
        <v/>
      </c>
      <c r="T495" s="30">
        <f>IF(K495=1,'ORDENES'!$J491,"")</f>
        <v/>
      </c>
    </row>
    <row r="496">
      <c r="K496" s="24">
        <f>IF(AND(IF($B$3="(todos)",TRUE,'ORDENES'!$O492=$B$3),IF($D$3="(todos)",TRUE,'ORDENES'!$AI492=$D$3),IF($F$3="(todos)",TRUE,'ORDENES'!$AA492=$F$3),IF($H$3="(todos)",TRUE,'ORDENES'!$Z492=$H$3),'ORDENES'!$AG492=TRUE,'ORDENES'!$A492&lt;&gt;""),1,0)</f>
        <v/>
      </c>
      <c r="L496" s="24">
        <f>IF(K496=1,IFERROR(MATCH('ORDENES'!$S492,lista_dias,0),9)*1000000000+IFERROR(MATCH('ORDENES'!$AI492,lista_turnos,0),9)*10000000+IFERROR(MATCH('ORDENES'!$AH492,'TECNICOS'!$B$4:$B$19,0),99)*100000+489,9000000000000+489)</f>
        <v/>
      </c>
      <c r="M496" s="24">
        <f>IF(K496=1,SUMPRODUCT(--($L$8:$L$1207&lt;L496))+1,"")</f>
        <v/>
      </c>
      <c r="N496" s="25">
        <f>IF(K496=1,N('ORDENES'!$M492),0)</f>
        <v/>
      </c>
      <c r="O496" s="25">
        <f>IF('ORDENES'!$U492="preventiva",N496,0)</f>
        <v/>
      </c>
      <c r="P496" s="25">
        <f>IF('ORDENES'!$U492="correctiva",N496,0)</f>
        <v/>
      </c>
      <c r="Q496" s="24">
        <f>IF(AND(K496=1,'ORDENES'!$N492="Pendiente"),1,0)</f>
        <v/>
      </c>
      <c r="R496" s="24">
        <f>IF(Q496=1,100000-N496*1000+489*0.01,9000000000000+489)</f>
        <v/>
      </c>
      <c r="S496" s="24">
        <f>IF(Q496=1,SUMPRODUCT(--($R$8:$R$1207&lt;R496))+1,"")</f>
        <v/>
      </c>
      <c r="T496" s="30">
        <f>IF(K496=1,'ORDENES'!$J492,"")</f>
        <v/>
      </c>
    </row>
    <row r="497">
      <c r="K497" s="24">
        <f>IF(AND(IF($B$3="(todos)",TRUE,'ORDENES'!$O493=$B$3),IF($D$3="(todos)",TRUE,'ORDENES'!$AI493=$D$3),IF($F$3="(todos)",TRUE,'ORDENES'!$AA493=$F$3),IF($H$3="(todos)",TRUE,'ORDENES'!$Z493=$H$3),'ORDENES'!$AG493=TRUE,'ORDENES'!$A493&lt;&gt;""),1,0)</f>
        <v/>
      </c>
      <c r="L497" s="24">
        <f>IF(K497=1,IFERROR(MATCH('ORDENES'!$S493,lista_dias,0),9)*1000000000+IFERROR(MATCH('ORDENES'!$AI493,lista_turnos,0),9)*10000000+IFERROR(MATCH('ORDENES'!$AH493,'TECNICOS'!$B$4:$B$19,0),99)*100000+490,9000000000000+490)</f>
        <v/>
      </c>
      <c r="M497" s="24">
        <f>IF(K497=1,SUMPRODUCT(--($L$8:$L$1207&lt;L497))+1,"")</f>
        <v/>
      </c>
      <c r="N497" s="25">
        <f>IF(K497=1,N('ORDENES'!$M493),0)</f>
        <v/>
      </c>
      <c r="O497" s="25">
        <f>IF('ORDENES'!$U493="preventiva",N497,0)</f>
        <v/>
      </c>
      <c r="P497" s="25">
        <f>IF('ORDENES'!$U493="correctiva",N497,0)</f>
        <v/>
      </c>
      <c r="Q497" s="24">
        <f>IF(AND(K497=1,'ORDENES'!$N493="Pendiente"),1,0)</f>
        <v/>
      </c>
      <c r="R497" s="24">
        <f>IF(Q497=1,100000-N497*1000+490*0.01,9000000000000+490)</f>
        <v/>
      </c>
      <c r="S497" s="24">
        <f>IF(Q497=1,SUMPRODUCT(--($R$8:$R$1207&lt;R497))+1,"")</f>
        <v/>
      </c>
      <c r="T497" s="30">
        <f>IF(K497=1,'ORDENES'!$J493,"")</f>
        <v/>
      </c>
    </row>
    <row r="498">
      <c r="K498" s="24">
        <f>IF(AND(IF($B$3="(todos)",TRUE,'ORDENES'!$O494=$B$3),IF($D$3="(todos)",TRUE,'ORDENES'!$AI494=$D$3),IF($F$3="(todos)",TRUE,'ORDENES'!$AA494=$F$3),IF($H$3="(todos)",TRUE,'ORDENES'!$Z494=$H$3),'ORDENES'!$AG494=TRUE,'ORDENES'!$A494&lt;&gt;""),1,0)</f>
        <v/>
      </c>
      <c r="L498" s="24">
        <f>IF(K498=1,IFERROR(MATCH('ORDENES'!$S494,lista_dias,0),9)*1000000000+IFERROR(MATCH('ORDENES'!$AI494,lista_turnos,0),9)*10000000+IFERROR(MATCH('ORDENES'!$AH494,'TECNICOS'!$B$4:$B$19,0),99)*100000+491,9000000000000+491)</f>
        <v/>
      </c>
      <c r="M498" s="24">
        <f>IF(K498=1,SUMPRODUCT(--($L$8:$L$1207&lt;L498))+1,"")</f>
        <v/>
      </c>
      <c r="N498" s="25">
        <f>IF(K498=1,N('ORDENES'!$M494),0)</f>
        <v/>
      </c>
      <c r="O498" s="25">
        <f>IF('ORDENES'!$U494="preventiva",N498,0)</f>
        <v/>
      </c>
      <c r="P498" s="25">
        <f>IF('ORDENES'!$U494="correctiva",N498,0)</f>
        <v/>
      </c>
      <c r="Q498" s="24">
        <f>IF(AND(K498=1,'ORDENES'!$N494="Pendiente"),1,0)</f>
        <v/>
      </c>
      <c r="R498" s="24">
        <f>IF(Q498=1,100000-N498*1000+491*0.01,9000000000000+491)</f>
        <v/>
      </c>
      <c r="S498" s="24">
        <f>IF(Q498=1,SUMPRODUCT(--($R$8:$R$1207&lt;R498))+1,"")</f>
        <v/>
      </c>
      <c r="T498" s="30">
        <f>IF(K498=1,'ORDENES'!$J494,"")</f>
        <v/>
      </c>
    </row>
    <row r="499">
      <c r="K499" s="24">
        <f>IF(AND(IF($B$3="(todos)",TRUE,'ORDENES'!$O495=$B$3),IF($D$3="(todos)",TRUE,'ORDENES'!$AI495=$D$3),IF($F$3="(todos)",TRUE,'ORDENES'!$AA495=$F$3),IF($H$3="(todos)",TRUE,'ORDENES'!$Z495=$H$3),'ORDENES'!$AG495=TRUE,'ORDENES'!$A495&lt;&gt;""),1,0)</f>
        <v/>
      </c>
      <c r="L499" s="24">
        <f>IF(K499=1,IFERROR(MATCH('ORDENES'!$S495,lista_dias,0),9)*1000000000+IFERROR(MATCH('ORDENES'!$AI495,lista_turnos,0),9)*10000000+IFERROR(MATCH('ORDENES'!$AH495,'TECNICOS'!$B$4:$B$19,0),99)*100000+492,9000000000000+492)</f>
        <v/>
      </c>
      <c r="M499" s="24">
        <f>IF(K499=1,SUMPRODUCT(--($L$8:$L$1207&lt;L499))+1,"")</f>
        <v/>
      </c>
      <c r="N499" s="25">
        <f>IF(K499=1,N('ORDENES'!$M495),0)</f>
        <v/>
      </c>
      <c r="O499" s="25">
        <f>IF('ORDENES'!$U495="preventiva",N499,0)</f>
        <v/>
      </c>
      <c r="P499" s="25">
        <f>IF('ORDENES'!$U495="correctiva",N499,0)</f>
        <v/>
      </c>
      <c r="Q499" s="24">
        <f>IF(AND(K499=1,'ORDENES'!$N495="Pendiente"),1,0)</f>
        <v/>
      </c>
      <c r="R499" s="24">
        <f>IF(Q499=1,100000-N499*1000+492*0.01,9000000000000+492)</f>
        <v/>
      </c>
      <c r="S499" s="24">
        <f>IF(Q499=1,SUMPRODUCT(--($R$8:$R$1207&lt;R499))+1,"")</f>
        <v/>
      </c>
      <c r="T499" s="30">
        <f>IF(K499=1,'ORDENES'!$J495,"")</f>
        <v/>
      </c>
    </row>
    <row r="500">
      <c r="K500" s="24">
        <f>IF(AND(IF($B$3="(todos)",TRUE,'ORDENES'!$O496=$B$3),IF($D$3="(todos)",TRUE,'ORDENES'!$AI496=$D$3),IF($F$3="(todos)",TRUE,'ORDENES'!$AA496=$F$3),IF($H$3="(todos)",TRUE,'ORDENES'!$Z496=$H$3),'ORDENES'!$AG496=TRUE,'ORDENES'!$A496&lt;&gt;""),1,0)</f>
        <v/>
      </c>
      <c r="L500" s="24">
        <f>IF(K500=1,IFERROR(MATCH('ORDENES'!$S496,lista_dias,0),9)*1000000000+IFERROR(MATCH('ORDENES'!$AI496,lista_turnos,0),9)*10000000+IFERROR(MATCH('ORDENES'!$AH496,'TECNICOS'!$B$4:$B$19,0),99)*100000+493,9000000000000+493)</f>
        <v/>
      </c>
      <c r="M500" s="24">
        <f>IF(K500=1,SUMPRODUCT(--($L$8:$L$1207&lt;L500))+1,"")</f>
        <v/>
      </c>
      <c r="N500" s="25">
        <f>IF(K500=1,N('ORDENES'!$M496),0)</f>
        <v/>
      </c>
      <c r="O500" s="25">
        <f>IF('ORDENES'!$U496="preventiva",N500,0)</f>
        <v/>
      </c>
      <c r="P500" s="25">
        <f>IF('ORDENES'!$U496="correctiva",N500,0)</f>
        <v/>
      </c>
      <c r="Q500" s="24">
        <f>IF(AND(K500=1,'ORDENES'!$N496="Pendiente"),1,0)</f>
        <v/>
      </c>
      <c r="R500" s="24">
        <f>IF(Q500=1,100000-N500*1000+493*0.01,9000000000000+493)</f>
        <v/>
      </c>
      <c r="S500" s="24">
        <f>IF(Q500=1,SUMPRODUCT(--($R$8:$R$1207&lt;R500))+1,"")</f>
        <v/>
      </c>
      <c r="T500" s="30">
        <f>IF(K500=1,'ORDENES'!$J496,"")</f>
        <v/>
      </c>
    </row>
    <row r="501">
      <c r="K501" s="24">
        <f>IF(AND(IF($B$3="(todos)",TRUE,'ORDENES'!$O497=$B$3),IF($D$3="(todos)",TRUE,'ORDENES'!$AI497=$D$3),IF($F$3="(todos)",TRUE,'ORDENES'!$AA497=$F$3),IF($H$3="(todos)",TRUE,'ORDENES'!$Z497=$H$3),'ORDENES'!$AG497=TRUE,'ORDENES'!$A497&lt;&gt;""),1,0)</f>
        <v/>
      </c>
      <c r="L501" s="24">
        <f>IF(K501=1,IFERROR(MATCH('ORDENES'!$S497,lista_dias,0),9)*1000000000+IFERROR(MATCH('ORDENES'!$AI497,lista_turnos,0),9)*10000000+IFERROR(MATCH('ORDENES'!$AH497,'TECNICOS'!$B$4:$B$19,0),99)*100000+494,9000000000000+494)</f>
        <v/>
      </c>
      <c r="M501" s="24">
        <f>IF(K501=1,SUMPRODUCT(--($L$8:$L$1207&lt;L501))+1,"")</f>
        <v/>
      </c>
      <c r="N501" s="25">
        <f>IF(K501=1,N('ORDENES'!$M497),0)</f>
        <v/>
      </c>
      <c r="O501" s="25">
        <f>IF('ORDENES'!$U497="preventiva",N501,0)</f>
        <v/>
      </c>
      <c r="P501" s="25">
        <f>IF('ORDENES'!$U497="correctiva",N501,0)</f>
        <v/>
      </c>
      <c r="Q501" s="24">
        <f>IF(AND(K501=1,'ORDENES'!$N497="Pendiente"),1,0)</f>
        <v/>
      </c>
      <c r="R501" s="24">
        <f>IF(Q501=1,100000-N501*1000+494*0.01,9000000000000+494)</f>
        <v/>
      </c>
      <c r="S501" s="24">
        <f>IF(Q501=1,SUMPRODUCT(--($R$8:$R$1207&lt;R501))+1,"")</f>
        <v/>
      </c>
      <c r="T501" s="30">
        <f>IF(K501=1,'ORDENES'!$J497,"")</f>
        <v/>
      </c>
    </row>
    <row r="502">
      <c r="K502" s="24">
        <f>IF(AND(IF($B$3="(todos)",TRUE,'ORDENES'!$O498=$B$3),IF($D$3="(todos)",TRUE,'ORDENES'!$AI498=$D$3),IF($F$3="(todos)",TRUE,'ORDENES'!$AA498=$F$3),IF($H$3="(todos)",TRUE,'ORDENES'!$Z498=$H$3),'ORDENES'!$AG498=TRUE,'ORDENES'!$A498&lt;&gt;""),1,0)</f>
        <v/>
      </c>
      <c r="L502" s="24">
        <f>IF(K502=1,IFERROR(MATCH('ORDENES'!$S498,lista_dias,0),9)*1000000000+IFERROR(MATCH('ORDENES'!$AI498,lista_turnos,0),9)*10000000+IFERROR(MATCH('ORDENES'!$AH498,'TECNICOS'!$B$4:$B$19,0),99)*100000+495,9000000000000+495)</f>
        <v/>
      </c>
      <c r="M502" s="24">
        <f>IF(K502=1,SUMPRODUCT(--($L$8:$L$1207&lt;L502))+1,"")</f>
        <v/>
      </c>
      <c r="N502" s="25">
        <f>IF(K502=1,N('ORDENES'!$M498),0)</f>
        <v/>
      </c>
      <c r="O502" s="25">
        <f>IF('ORDENES'!$U498="preventiva",N502,0)</f>
        <v/>
      </c>
      <c r="P502" s="25">
        <f>IF('ORDENES'!$U498="correctiva",N502,0)</f>
        <v/>
      </c>
      <c r="Q502" s="24">
        <f>IF(AND(K502=1,'ORDENES'!$N498="Pendiente"),1,0)</f>
        <v/>
      </c>
      <c r="R502" s="24">
        <f>IF(Q502=1,100000-N502*1000+495*0.01,9000000000000+495)</f>
        <v/>
      </c>
      <c r="S502" s="24">
        <f>IF(Q502=1,SUMPRODUCT(--($R$8:$R$1207&lt;R502))+1,"")</f>
        <v/>
      </c>
      <c r="T502" s="30">
        <f>IF(K502=1,'ORDENES'!$J498,"")</f>
        <v/>
      </c>
    </row>
    <row r="503">
      <c r="K503" s="24">
        <f>IF(AND(IF($B$3="(todos)",TRUE,'ORDENES'!$O499=$B$3),IF($D$3="(todos)",TRUE,'ORDENES'!$AI499=$D$3),IF($F$3="(todos)",TRUE,'ORDENES'!$AA499=$F$3),IF($H$3="(todos)",TRUE,'ORDENES'!$Z499=$H$3),'ORDENES'!$AG499=TRUE,'ORDENES'!$A499&lt;&gt;""),1,0)</f>
        <v/>
      </c>
      <c r="L503" s="24">
        <f>IF(K503=1,IFERROR(MATCH('ORDENES'!$S499,lista_dias,0),9)*1000000000+IFERROR(MATCH('ORDENES'!$AI499,lista_turnos,0),9)*10000000+IFERROR(MATCH('ORDENES'!$AH499,'TECNICOS'!$B$4:$B$19,0),99)*100000+496,9000000000000+496)</f>
        <v/>
      </c>
      <c r="M503" s="24">
        <f>IF(K503=1,SUMPRODUCT(--($L$8:$L$1207&lt;L503))+1,"")</f>
        <v/>
      </c>
      <c r="N503" s="25">
        <f>IF(K503=1,N('ORDENES'!$M499),0)</f>
        <v/>
      </c>
      <c r="O503" s="25">
        <f>IF('ORDENES'!$U499="preventiva",N503,0)</f>
        <v/>
      </c>
      <c r="P503" s="25">
        <f>IF('ORDENES'!$U499="correctiva",N503,0)</f>
        <v/>
      </c>
      <c r="Q503" s="24">
        <f>IF(AND(K503=1,'ORDENES'!$N499="Pendiente"),1,0)</f>
        <v/>
      </c>
      <c r="R503" s="24">
        <f>IF(Q503=1,100000-N503*1000+496*0.01,9000000000000+496)</f>
        <v/>
      </c>
      <c r="S503" s="24">
        <f>IF(Q503=1,SUMPRODUCT(--($R$8:$R$1207&lt;R503))+1,"")</f>
        <v/>
      </c>
      <c r="T503" s="30">
        <f>IF(K503=1,'ORDENES'!$J499,"")</f>
        <v/>
      </c>
    </row>
    <row r="504">
      <c r="K504" s="24">
        <f>IF(AND(IF($B$3="(todos)",TRUE,'ORDENES'!$O500=$B$3),IF($D$3="(todos)",TRUE,'ORDENES'!$AI500=$D$3),IF($F$3="(todos)",TRUE,'ORDENES'!$AA500=$F$3),IF($H$3="(todos)",TRUE,'ORDENES'!$Z500=$H$3),'ORDENES'!$AG500=TRUE,'ORDENES'!$A500&lt;&gt;""),1,0)</f>
        <v/>
      </c>
      <c r="L504" s="24">
        <f>IF(K504=1,IFERROR(MATCH('ORDENES'!$S500,lista_dias,0),9)*1000000000+IFERROR(MATCH('ORDENES'!$AI500,lista_turnos,0),9)*10000000+IFERROR(MATCH('ORDENES'!$AH500,'TECNICOS'!$B$4:$B$19,0),99)*100000+497,9000000000000+497)</f>
        <v/>
      </c>
      <c r="M504" s="24">
        <f>IF(K504=1,SUMPRODUCT(--($L$8:$L$1207&lt;L504))+1,"")</f>
        <v/>
      </c>
      <c r="N504" s="25">
        <f>IF(K504=1,N('ORDENES'!$M500),0)</f>
        <v/>
      </c>
      <c r="O504" s="25">
        <f>IF('ORDENES'!$U500="preventiva",N504,0)</f>
        <v/>
      </c>
      <c r="P504" s="25">
        <f>IF('ORDENES'!$U500="correctiva",N504,0)</f>
        <v/>
      </c>
      <c r="Q504" s="24">
        <f>IF(AND(K504=1,'ORDENES'!$N500="Pendiente"),1,0)</f>
        <v/>
      </c>
      <c r="R504" s="24">
        <f>IF(Q504=1,100000-N504*1000+497*0.01,9000000000000+497)</f>
        <v/>
      </c>
      <c r="S504" s="24">
        <f>IF(Q504=1,SUMPRODUCT(--($R$8:$R$1207&lt;R504))+1,"")</f>
        <v/>
      </c>
      <c r="T504" s="30">
        <f>IF(K504=1,'ORDENES'!$J500,"")</f>
        <v/>
      </c>
    </row>
    <row r="505">
      <c r="K505" s="24">
        <f>IF(AND(IF($B$3="(todos)",TRUE,'ORDENES'!$O501=$B$3),IF($D$3="(todos)",TRUE,'ORDENES'!$AI501=$D$3),IF($F$3="(todos)",TRUE,'ORDENES'!$AA501=$F$3),IF($H$3="(todos)",TRUE,'ORDENES'!$Z501=$H$3),'ORDENES'!$AG501=TRUE,'ORDENES'!$A501&lt;&gt;""),1,0)</f>
        <v/>
      </c>
      <c r="L505" s="24">
        <f>IF(K505=1,IFERROR(MATCH('ORDENES'!$S501,lista_dias,0),9)*1000000000+IFERROR(MATCH('ORDENES'!$AI501,lista_turnos,0),9)*10000000+IFERROR(MATCH('ORDENES'!$AH501,'TECNICOS'!$B$4:$B$19,0),99)*100000+498,9000000000000+498)</f>
        <v/>
      </c>
      <c r="M505" s="24">
        <f>IF(K505=1,SUMPRODUCT(--($L$8:$L$1207&lt;L505))+1,"")</f>
        <v/>
      </c>
      <c r="N505" s="25">
        <f>IF(K505=1,N('ORDENES'!$M501),0)</f>
        <v/>
      </c>
      <c r="O505" s="25">
        <f>IF('ORDENES'!$U501="preventiva",N505,0)</f>
        <v/>
      </c>
      <c r="P505" s="25">
        <f>IF('ORDENES'!$U501="correctiva",N505,0)</f>
        <v/>
      </c>
      <c r="Q505" s="24">
        <f>IF(AND(K505=1,'ORDENES'!$N501="Pendiente"),1,0)</f>
        <v/>
      </c>
      <c r="R505" s="24">
        <f>IF(Q505=1,100000-N505*1000+498*0.01,9000000000000+498)</f>
        <v/>
      </c>
      <c r="S505" s="24">
        <f>IF(Q505=1,SUMPRODUCT(--($R$8:$R$1207&lt;R505))+1,"")</f>
        <v/>
      </c>
      <c r="T505" s="30">
        <f>IF(K505=1,'ORDENES'!$J501,"")</f>
        <v/>
      </c>
    </row>
    <row r="506">
      <c r="K506" s="24">
        <f>IF(AND(IF($B$3="(todos)",TRUE,'ORDENES'!$O502=$B$3),IF($D$3="(todos)",TRUE,'ORDENES'!$AI502=$D$3),IF($F$3="(todos)",TRUE,'ORDENES'!$AA502=$F$3),IF($H$3="(todos)",TRUE,'ORDENES'!$Z502=$H$3),'ORDENES'!$AG502=TRUE,'ORDENES'!$A502&lt;&gt;""),1,0)</f>
        <v/>
      </c>
      <c r="L506" s="24">
        <f>IF(K506=1,IFERROR(MATCH('ORDENES'!$S502,lista_dias,0),9)*1000000000+IFERROR(MATCH('ORDENES'!$AI502,lista_turnos,0),9)*10000000+IFERROR(MATCH('ORDENES'!$AH502,'TECNICOS'!$B$4:$B$19,0),99)*100000+499,9000000000000+499)</f>
        <v/>
      </c>
      <c r="M506" s="24">
        <f>IF(K506=1,SUMPRODUCT(--($L$8:$L$1207&lt;L506))+1,"")</f>
        <v/>
      </c>
      <c r="N506" s="25">
        <f>IF(K506=1,N('ORDENES'!$M502),0)</f>
        <v/>
      </c>
      <c r="O506" s="25">
        <f>IF('ORDENES'!$U502="preventiva",N506,0)</f>
        <v/>
      </c>
      <c r="P506" s="25">
        <f>IF('ORDENES'!$U502="correctiva",N506,0)</f>
        <v/>
      </c>
      <c r="Q506" s="24">
        <f>IF(AND(K506=1,'ORDENES'!$N502="Pendiente"),1,0)</f>
        <v/>
      </c>
      <c r="R506" s="24">
        <f>IF(Q506=1,100000-N506*1000+499*0.01,9000000000000+499)</f>
        <v/>
      </c>
      <c r="S506" s="24">
        <f>IF(Q506=1,SUMPRODUCT(--($R$8:$R$1207&lt;R506))+1,"")</f>
        <v/>
      </c>
      <c r="T506" s="30">
        <f>IF(K506=1,'ORDENES'!$J502,"")</f>
        <v/>
      </c>
    </row>
    <row r="507">
      <c r="K507" s="24">
        <f>IF(AND(IF($B$3="(todos)",TRUE,'ORDENES'!$O503=$B$3),IF($D$3="(todos)",TRUE,'ORDENES'!$AI503=$D$3),IF($F$3="(todos)",TRUE,'ORDENES'!$AA503=$F$3),IF($H$3="(todos)",TRUE,'ORDENES'!$Z503=$H$3),'ORDENES'!$AG503=TRUE,'ORDENES'!$A503&lt;&gt;""),1,0)</f>
        <v/>
      </c>
      <c r="L507" s="24">
        <f>IF(K507=1,IFERROR(MATCH('ORDENES'!$S503,lista_dias,0),9)*1000000000+IFERROR(MATCH('ORDENES'!$AI503,lista_turnos,0),9)*10000000+IFERROR(MATCH('ORDENES'!$AH503,'TECNICOS'!$B$4:$B$19,0),99)*100000+500,9000000000000+500)</f>
        <v/>
      </c>
      <c r="M507" s="24">
        <f>IF(K507=1,SUMPRODUCT(--($L$8:$L$1207&lt;L507))+1,"")</f>
        <v/>
      </c>
      <c r="N507" s="25">
        <f>IF(K507=1,N('ORDENES'!$M503),0)</f>
        <v/>
      </c>
      <c r="O507" s="25">
        <f>IF('ORDENES'!$U503="preventiva",N507,0)</f>
        <v/>
      </c>
      <c r="P507" s="25">
        <f>IF('ORDENES'!$U503="correctiva",N507,0)</f>
        <v/>
      </c>
      <c r="Q507" s="24">
        <f>IF(AND(K507=1,'ORDENES'!$N503="Pendiente"),1,0)</f>
        <v/>
      </c>
      <c r="R507" s="24">
        <f>IF(Q507=1,100000-N507*1000+500*0.01,9000000000000+500)</f>
        <v/>
      </c>
      <c r="S507" s="24">
        <f>IF(Q507=1,SUMPRODUCT(--($R$8:$R$1207&lt;R507))+1,"")</f>
        <v/>
      </c>
      <c r="T507" s="30">
        <f>IF(K507=1,'ORDENES'!$J503,"")</f>
        <v/>
      </c>
    </row>
    <row r="508">
      <c r="K508" s="24">
        <f>IF(AND(IF($B$3="(todos)",TRUE,'ORDENES'!$O504=$B$3),IF($D$3="(todos)",TRUE,'ORDENES'!$AI504=$D$3),IF($F$3="(todos)",TRUE,'ORDENES'!$AA504=$F$3),IF($H$3="(todos)",TRUE,'ORDENES'!$Z504=$H$3),'ORDENES'!$AG504=TRUE,'ORDENES'!$A504&lt;&gt;""),1,0)</f>
        <v/>
      </c>
      <c r="L508" s="24">
        <f>IF(K508=1,IFERROR(MATCH('ORDENES'!$S504,lista_dias,0),9)*1000000000+IFERROR(MATCH('ORDENES'!$AI504,lista_turnos,0),9)*10000000+IFERROR(MATCH('ORDENES'!$AH504,'TECNICOS'!$B$4:$B$19,0),99)*100000+501,9000000000000+501)</f>
        <v/>
      </c>
      <c r="M508" s="24">
        <f>IF(K508=1,SUMPRODUCT(--($L$8:$L$1207&lt;L508))+1,"")</f>
        <v/>
      </c>
      <c r="N508" s="25">
        <f>IF(K508=1,N('ORDENES'!$M504),0)</f>
        <v/>
      </c>
      <c r="O508" s="25">
        <f>IF('ORDENES'!$U504="preventiva",N508,0)</f>
        <v/>
      </c>
      <c r="P508" s="25">
        <f>IF('ORDENES'!$U504="correctiva",N508,0)</f>
        <v/>
      </c>
      <c r="Q508" s="24">
        <f>IF(AND(K508=1,'ORDENES'!$N504="Pendiente"),1,0)</f>
        <v/>
      </c>
      <c r="R508" s="24">
        <f>IF(Q508=1,100000-N508*1000+501*0.01,9000000000000+501)</f>
        <v/>
      </c>
      <c r="S508" s="24">
        <f>IF(Q508=1,SUMPRODUCT(--($R$8:$R$1207&lt;R508))+1,"")</f>
        <v/>
      </c>
      <c r="T508" s="30">
        <f>IF(K508=1,'ORDENES'!$J504,"")</f>
        <v/>
      </c>
    </row>
    <row r="509">
      <c r="K509" s="24">
        <f>IF(AND(IF($B$3="(todos)",TRUE,'ORDENES'!$O505=$B$3),IF($D$3="(todos)",TRUE,'ORDENES'!$AI505=$D$3),IF($F$3="(todos)",TRUE,'ORDENES'!$AA505=$F$3),IF($H$3="(todos)",TRUE,'ORDENES'!$Z505=$H$3),'ORDENES'!$AG505=TRUE,'ORDENES'!$A505&lt;&gt;""),1,0)</f>
        <v/>
      </c>
      <c r="L509" s="24">
        <f>IF(K509=1,IFERROR(MATCH('ORDENES'!$S505,lista_dias,0),9)*1000000000+IFERROR(MATCH('ORDENES'!$AI505,lista_turnos,0),9)*10000000+IFERROR(MATCH('ORDENES'!$AH505,'TECNICOS'!$B$4:$B$19,0),99)*100000+502,9000000000000+502)</f>
        <v/>
      </c>
      <c r="M509" s="24">
        <f>IF(K509=1,SUMPRODUCT(--($L$8:$L$1207&lt;L509))+1,"")</f>
        <v/>
      </c>
      <c r="N509" s="25">
        <f>IF(K509=1,N('ORDENES'!$M505),0)</f>
        <v/>
      </c>
      <c r="O509" s="25">
        <f>IF('ORDENES'!$U505="preventiva",N509,0)</f>
        <v/>
      </c>
      <c r="P509" s="25">
        <f>IF('ORDENES'!$U505="correctiva",N509,0)</f>
        <v/>
      </c>
      <c r="Q509" s="24">
        <f>IF(AND(K509=1,'ORDENES'!$N505="Pendiente"),1,0)</f>
        <v/>
      </c>
      <c r="R509" s="24">
        <f>IF(Q509=1,100000-N509*1000+502*0.01,9000000000000+502)</f>
        <v/>
      </c>
      <c r="S509" s="24">
        <f>IF(Q509=1,SUMPRODUCT(--($R$8:$R$1207&lt;R509))+1,"")</f>
        <v/>
      </c>
      <c r="T509" s="30">
        <f>IF(K509=1,'ORDENES'!$J505,"")</f>
        <v/>
      </c>
    </row>
    <row r="510">
      <c r="K510" s="24">
        <f>IF(AND(IF($B$3="(todos)",TRUE,'ORDENES'!$O506=$B$3),IF($D$3="(todos)",TRUE,'ORDENES'!$AI506=$D$3),IF($F$3="(todos)",TRUE,'ORDENES'!$AA506=$F$3),IF($H$3="(todos)",TRUE,'ORDENES'!$Z506=$H$3),'ORDENES'!$AG506=TRUE,'ORDENES'!$A506&lt;&gt;""),1,0)</f>
        <v/>
      </c>
      <c r="L510" s="24">
        <f>IF(K510=1,IFERROR(MATCH('ORDENES'!$S506,lista_dias,0),9)*1000000000+IFERROR(MATCH('ORDENES'!$AI506,lista_turnos,0),9)*10000000+IFERROR(MATCH('ORDENES'!$AH506,'TECNICOS'!$B$4:$B$19,0),99)*100000+503,9000000000000+503)</f>
        <v/>
      </c>
      <c r="M510" s="24">
        <f>IF(K510=1,SUMPRODUCT(--($L$8:$L$1207&lt;L510))+1,"")</f>
        <v/>
      </c>
      <c r="N510" s="25">
        <f>IF(K510=1,N('ORDENES'!$M506),0)</f>
        <v/>
      </c>
      <c r="O510" s="25">
        <f>IF('ORDENES'!$U506="preventiva",N510,0)</f>
        <v/>
      </c>
      <c r="P510" s="25">
        <f>IF('ORDENES'!$U506="correctiva",N510,0)</f>
        <v/>
      </c>
      <c r="Q510" s="24">
        <f>IF(AND(K510=1,'ORDENES'!$N506="Pendiente"),1,0)</f>
        <v/>
      </c>
      <c r="R510" s="24">
        <f>IF(Q510=1,100000-N510*1000+503*0.01,9000000000000+503)</f>
        <v/>
      </c>
      <c r="S510" s="24">
        <f>IF(Q510=1,SUMPRODUCT(--($R$8:$R$1207&lt;R510))+1,"")</f>
        <v/>
      </c>
      <c r="T510" s="30">
        <f>IF(K510=1,'ORDENES'!$J506,"")</f>
        <v/>
      </c>
    </row>
    <row r="511">
      <c r="K511" s="24">
        <f>IF(AND(IF($B$3="(todos)",TRUE,'ORDENES'!$O507=$B$3),IF($D$3="(todos)",TRUE,'ORDENES'!$AI507=$D$3),IF($F$3="(todos)",TRUE,'ORDENES'!$AA507=$F$3),IF($H$3="(todos)",TRUE,'ORDENES'!$Z507=$H$3),'ORDENES'!$AG507=TRUE,'ORDENES'!$A507&lt;&gt;""),1,0)</f>
        <v/>
      </c>
      <c r="L511" s="24">
        <f>IF(K511=1,IFERROR(MATCH('ORDENES'!$S507,lista_dias,0),9)*1000000000+IFERROR(MATCH('ORDENES'!$AI507,lista_turnos,0),9)*10000000+IFERROR(MATCH('ORDENES'!$AH507,'TECNICOS'!$B$4:$B$19,0),99)*100000+504,9000000000000+504)</f>
        <v/>
      </c>
      <c r="M511" s="24">
        <f>IF(K511=1,SUMPRODUCT(--($L$8:$L$1207&lt;L511))+1,"")</f>
        <v/>
      </c>
      <c r="N511" s="25">
        <f>IF(K511=1,N('ORDENES'!$M507),0)</f>
        <v/>
      </c>
      <c r="O511" s="25">
        <f>IF('ORDENES'!$U507="preventiva",N511,0)</f>
        <v/>
      </c>
      <c r="P511" s="25">
        <f>IF('ORDENES'!$U507="correctiva",N511,0)</f>
        <v/>
      </c>
      <c r="Q511" s="24">
        <f>IF(AND(K511=1,'ORDENES'!$N507="Pendiente"),1,0)</f>
        <v/>
      </c>
      <c r="R511" s="24">
        <f>IF(Q511=1,100000-N511*1000+504*0.01,9000000000000+504)</f>
        <v/>
      </c>
      <c r="S511" s="24">
        <f>IF(Q511=1,SUMPRODUCT(--($R$8:$R$1207&lt;R511))+1,"")</f>
        <v/>
      </c>
      <c r="T511" s="30">
        <f>IF(K511=1,'ORDENES'!$J507,"")</f>
        <v/>
      </c>
    </row>
    <row r="512">
      <c r="K512" s="24">
        <f>IF(AND(IF($B$3="(todos)",TRUE,'ORDENES'!$O508=$B$3),IF($D$3="(todos)",TRUE,'ORDENES'!$AI508=$D$3),IF($F$3="(todos)",TRUE,'ORDENES'!$AA508=$F$3),IF($H$3="(todos)",TRUE,'ORDENES'!$Z508=$H$3),'ORDENES'!$AG508=TRUE,'ORDENES'!$A508&lt;&gt;""),1,0)</f>
        <v/>
      </c>
      <c r="L512" s="24">
        <f>IF(K512=1,IFERROR(MATCH('ORDENES'!$S508,lista_dias,0),9)*1000000000+IFERROR(MATCH('ORDENES'!$AI508,lista_turnos,0),9)*10000000+IFERROR(MATCH('ORDENES'!$AH508,'TECNICOS'!$B$4:$B$19,0),99)*100000+505,9000000000000+505)</f>
        <v/>
      </c>
      <c r="M512" s="24">
        <f>IF(K512=1,SUMPRODUCT(--($L$8:$L$1207&lt;L512))+1,"")</f>
        <v/>
      </c>
      <c r="N512" s="25">
        <f>IF(K512=1,N('ORDENES'!$M508),0)</f>
        <v/>
      </c>
      <c r="O512" s="25">
        <f>IF('ORDENES'!$U508="preventiva",N512,0)</f>
        <v/>
      </c>
      <c r="P512" s="25">
        <f>IF('ORDENES'!$U508="correctiva",N512,0)</f>
        <v/>
      </c>
      <c r="Q512" s="24">
        <f>IF(AND(K512=1,'ORDENES'!$N508="Pendiente"),1,0)</f>
        <v/>
      </c>
      <c r="R512" s="24">
        <f>IF(Q512=1,100000-N512*1000+505*0.01,9000000000000+505)</f>
        <v/>
      </c>
      <c r="S512" s="24">
        <f>IF(Q512=1,SUMPRODUCT(--($R$8:$R$1207&lt;R512))+1,"")</f>
        <v/>
      </c>
      <c r="T512" s="30">
        <f>IF(K512=1,'ORDENES'!$J508,"")</f>
        <v/>
      </c>
    </row>
    <row r="513">
      <c r="K513" s="24">
        <f>IF(AND(IF($B$3="(todos)",TRUE,'ORDENES'!$O509=$B$3),IF($D$3="(todos)",TRUE,'ORDENES'!$AI509=$D$3),IF($F$3="(todos)",TRUE,'ORDENES'!$AA509=$F$3),IF($H$3="(todos)",TRUE,'ORDENES'!$Z509=$H$3),'ORDENES'!$AG509=TRUE,'ORDENES'!$A509&lt;&gt;""),1,0)</f>
        <v/>
      </c>
      <c r="L513" s="24">
        <f>IF(K513=1,IFERROR(MATCH('ORDENES'!$S509,lista_dias,0),9)*1000000000+IFERROR(MATCH('ORDENES'!$AI509,lista_turnos,0),9)*10000000+IFERROR(MATCH('ORDENES'!$AH509,'TECNICOS'!$B$4:$B$19,0),99)*100000+506,9000000000000+506)</f>
        <v/>
      </c>
      <c r="M513" s="24">
        <f>IF(K513=1,SUMPRODUCT(--($L$8:$L$1207&lt;L513))+1,"")</f>
        <v/>
      </c>
      <c r="N513" s="25">
        <f>IF(K513=1,N('ORDENES'!$M509),0)</f>
        <v/>
      </c>
      <c r="O513" s="25">
        <f>IF('ORDENES'!$U509="preventiva",N513,0)</f>
        <v/>
      </c>
      <c r="P513" s="25">
        <f>IF('ORDENES'!$U509="correctiva",N513,0)</f>
        <v/>
      </c>
      <c r="Q513" s="24">
        <f>IF(AND(K513=1,'ORDENES'!$N509="Pendiente"),1,0)</f>
        <v/>
      </c>
      <c r="R513" s="24">
        <f>IF(Q513=1,100000-N513*1000+506*0.01,9000000000000+506)</f>
        <v/>
      </c>
      <c r="S513" s="24">
        <f>IF(Q513=1,SUMPRODUCT(--($R$8:$R$1207&lt;R513))+1,"")</f>
        <v/>
      </c>
      <c r="T513" s="30">
        <f>IF(K513=1,'ORDENES'!$J509,"")</f>
        <v/>
      </c>
    </row>
    <row r="514">
      <c r="K514" s="24">
        <f>IF(AND(IF($B$3="(todos)",TRUE,'ORDENES'!$O510=$B$3),IF($D$3="(todos)",TRUE,'ORDENES'!$AI510=$D$3),IF($F$3="(todos)",TRUE,'ORDENES'!$AA510=$F$3),IF($H$3="(todos)",TRUE,'ORDENES'!$Z510=$H$3),'ORDENES'!$AG510=TRUE,'ORDENES'!$A510&lt;&gt;""),1,0)</f>
        <v/>
      </c>
      <c r="L514" s="24">
        <f>IF(K514=1,IFERROR(MATCH('ORDENES'!$S510,lista_dias,0),9)*1000000000+IFERROR(MATCH('ORDENES'!$AI510,lista_turnos,0),9)*10000000+IFERROR(MATCH('ORDENES'!$AH510,'TECNICOS'!$B$4:$B$19,0),99)*100000+507,9000000000000+507)</f>
        <v/>
      </c>
      <c r="M514" s="24">
        <f>IF(K514=1,SUMPRODUCT(--($L$8:$L$1207&lt;L514))+1,"")</f>
        <v/>
      </c>
      <c r="N514" s="25">
        <f>IF(K514=1,N('ORDENES'!$M510),0)</f>
        <v/>
      </c>
      <c r="O514" s="25">
        <f>IF('ORDENES'!$U510="preventiva",N514,0)</f>
        <v/>
      </c>
      <c r="P514" s="25">
        <f>IF('ORDENES'!$U510="correctiva",N514,0)</f>
        <v/>
      </c>
      <c r="Q514" s="24">
        <f>IF(AND(K514=1,'ORDENES'!$N510="Pendiente"),1,0)</f>
        <v/>
      </c>
      <c r="R514" s="24">
        <f>IF(Q514=1,100000-N514*1000+507*0.01,9000000000000+507)</f>
        <v/>
      </c>
      <c r="S514" s="24">
        <f>IF(Q514=1,SUMPRODUCT(--($R$8:$R$1207&lt;R514))+1,"")</f>
        <v/>
      </c>
      <c r="T514" s="30">
        <f>IF(K514=1,'ORDENES'!$J510,"")</f>
        <v/>
      </c>
    </row>
    <row r="515">
      <c r="K515" s="24">
        <f>IF(AND(IF($B$3="(todos)",TRUE,'ORDENES'!$O511=$B$3),IF($D$3="(todos)",TRUE,'ORDENES'!$AI511=$D$3),IF($F$3="(todos)",TRUE,'ORDENES'!$AA511=$F$3),IF($H$3="(todos)",TRUE,'ORDENES'!$Z511=$H$3),'ORDENES'!$AG511=TRUE,'ORDENES'!$A511&lt;&gt;""),1,0)</f>
        <v/>
      </c>
      <c r="L515" s="24">
        <f>IF(K515=1,IFERROR(MATCH('ORDENES'!$S511,lista_dias,0),9)*1000000000+IFERROR(MATCH('ORDENES'!$AI511,lista_turnos,0),9)*10000000+IFERROR(MATCH('ORDENES'!$AH511,'TECNICOS'!$B$4:$B$19,0),99)*100000+508,9000000000000+508)</f>
        <v/>
      </c>
      <c r="M515" s="24">
        <f>IF(K515=1,SUMPRODUCT(--($L$8:$L$1207&lt;L515))+1,"")</f>
        <v/>
      </c>
      <c r="N515" s="25">
        <f>IF(K515=1,N('ORDENES'!$M511),0)</f>
        <v/>
      </c>
      <c r="O515" s="25">
        <f>IF('ORDENES'!$U511="preventiva",N515,0)</f>
        <v/>
      </c>
      <c r="P515" s="25">
        <f>IF('ORDENES'!$U511="correctiva",N515,0)</f>
        <v/>
      </c>
      <c r="Q515" s="24">
        <f>IF(AND(K515=1,'ORDENES'!$N511="Pendiente"),1,0)</f>
        <v/>
      </c>
      <c r="R515" s="24">
        <f>IF(Q515=1,100000-N515*1000+508*0.01,9000000000000+508)</f>
        <v/>
      </c>
      <c r="S515" s="24">
        <f>IF(Q515=1,SUMPRODUCT(--($R$8:$R$1207&lt;R515))+1,"")</f>
        <v/>
      </c>
      <c r="T515" s="30">
        <f>IF(K515=1,'ORDENES'!$J511,"")</f>
        <v/>
      </c>
    </row>
    <row r="516">
      <c r="K516" s="24">
        <f>IF(AND(IF($B$3="(todos)",TRUE,'ORDENES'!$O512=$B$3),IF($D$3="(todos)",TRUE,'ORDENES'!$AI512=$D$3),IF($F$3="(todos)",TRUE,'ORDENES'!$AA512=$F$3),IF($H$3="(todos)",TRUE,'ORDENES'!$Z512=$H$3),'ORDENES'!$AG512=TRUE,'ORDENES'!$A512&lt;&gt;""),1,0)</f>
        <v/>
      </c>
      <c r="L516" s="24">
        <f>IF(K516=1,IFERROR(MATCH('ORDENES'!$S512,lista_dias,0),9)*1000000000+IFERROR(MATCH('ORDENES'!$AI512,lista_turnos,0),9)*10000000+IFERROR(MATCH('ORDENES'!$AH512,'TECNICOS'!$B$4:$B$19,0),99)*100000+509,9000000000000+509)</f>
        <v/>
      </c>
      <c r="M516" s="24">
        <f>IF(K516=1,SUMPRODUCT(--($L$8:$L$1207&lt;L516))+1,"")</f>
        <v/>
      </c>
      <c r="N516" s="25">
        <f>IF(K516=1,N('ORDENES'!$M512),0)</f>
        <v/>
      </c>
      <c r="O516" s="25">
        <f>IF('ORDENES'!$U512="preventiva",N516,0)</f>
        <v/>
      </c>
      <c r="P516" s="25">
        <f>IF('ORDENES'!$U512="correctiva",N516,0)</f>
        <v/>
      </c>
      <c r="Q516" s="24">
        <f>IF(AND(K516=1,'ORDENES'!$N512="Pendiente"),1,0)</f>
        <v/>
      </c>
      <c r="R516" s="24">
        <f>IF(Q516=1,100000-N516*1000+509*0.01,9000000000000+509)</f>
        <v/>
      </c>
      <c r="S516" s="24">
        <f>IF(Q516=1,SUMPRODUCT(--($R$8:$R$1207&lt;R516))+1,"")</f>
        <v/>
      </c>
      <c r="T516" s="30">
        <f>IF(K516=1,'ORDENES'!$J512,"")</f>
        <v/>
      </c>
    </row>
    <row r="517">
      <c r="K517" s="24">
        <f>IF(AND(IF($B$3="(todos)",TRUE,'ORDENES'!$O513=$B$3),IF($D$3="(todos)",TRUE,'ORDENES'!$AI513=$D$3),IF($F$3="(todos)",TRUE,'ORDENES'!$AA513=$F$3),IF($H$3="(todos)",TRUE,'ORDENES'!$Z513=$H$3),'ORDENES'!$AG513=TRUE,'ORDENES'!$A513&lt;&gt;""),1,0)</f>
        <v/>
      </c>
      <c r="L517" s="24">
        <f>IF(K517=1,IFERROR(MATCH('ORDENES'!$S513,lista_dias,0),9)*1000000000+IFERROR(MATCH('ORDENES'!$AI513,lista_turnos,0),9)*10000000+IFERROR(MATCH('ORDENES'!$AH513,'TECNICOS'!$B$4:$B$19,0),99)*100000+510,9000000000000+510)</f>
        <v/>
      </c>
      <c r="M517" s="24">
        <f>IF(K517=1,SUMPRODUCT(--($L$8:$L$1207&lt;L517))+1,"")</f>
        <v/>
      </c>
      <c r="N517" s="25">
        <f>IF(K517=1,N('ORDENES'!$M513),0)</f>
        <v/>
      </c>
      <c r="O517" s="25">
        <f>IF('ORDENES'!$U513="preventiva",N517,0)</f>
        <v/>
      </c>
      <c r="P517" s="25">
        <f>IF('ORDENES'!$U513="correctiva",N517,0)</f>
        <v/>
      </c>
      <c r="Q517" s="24">
        <f>IF(AND(K517=1,'ORDENES'!$N513="Pendiente"),1,0)</f>
        <v/>
      </c>
      <c r="R517" s="24">
        <f>IF(Q517=1,100000-N517*1000+510*0.01,9000000000000+510)</f>
        <v/>
      </c>
      <c r="S517" s="24">
        <f>IF(Q517=1,SUMPRODUCT(--($R$8:$R$1207&lt;R517))+1,"")</f>
        <v/>
      </c>
      <c r="T517" s="30">
        <f>IF(K517=1,'ORDENES'!$J513,"")</f>
        <v/>
      </c>
    </row>
    <row r="518">
      <c r="K518" s="24">
        <f>IF(AND(IF($B$3="(todos)",TRUE,'ORDENES'!$O514=$B$3),IF($D$3="(todos)",TRUE,'ORDENES'!$AI514=$D$3),IF($F$3="(todos)",TRUE,'ORDENES'!$AA514=$F$3),IF($H$3="(todos)",TRUE,'ORDENES'!$Z514=$H$3),'ORDENES'!$AG514=TRUE,'ORDENES'!$A514&lt;&gt;""),1,0)</f>
        <v/>
      </c>
      <c r="L518" s="24">
        <f>IF(K518=1,IFERROR(MATCH('ORDENES'!$S514,lista_dias,0),9)*1000000000+IFERROR(MATCH('ORDENES'!$AI514,lista_turnos,0),9)*10000000+IFERROR(MATCH('ORDENES'!$AH514,'TECNICOS'!$B$4:$B$19,0),99)*100000+511,9000000000000+511)</f>
        <v/>
      </c>
      <c r="M518" s="24">
        <f>IF(K518=1,SUMPRODUCT(--($L$8:$L$1207&lt;L518))+1,"")</f>
        <v/>
      </c>
      <c r="N518" s="25">
        <f>IF(K518=1,N('ORDENES'!$M514),0)</f>
        <v/>
      </c>
      <c r="O518" s="25">
        <f>IF('ORDENES'!$U514="preventiva",N518,0)</f>
        <v/>
      </c>
      <c r="P518" s="25">
        <f>IF('ORDENES'!$U514="correctiva",N518,0)</f>
        <v/>
      </c>
      <c r="Q518" s="24">
        <f>IF(AND(K518=1,'ORDENES'!$N514="Pendiente"),1,0)</f>
        <v/>
      </c>
      <c r="R518" s="24">
        <f>IF(Q518=1,100000-N518*1000+511*0.01,9000000000000+511)</f>
        <v/>
      </c>
      <c r="S518" s="24">
        <f>IF(Q518=1,SUMPRODUCT(--($R$8:$R$1207&lt;R518))+1,"")</f>
        <v/>
      </c>
      <c r="T518" s="30">
        <f>IF(K518=1,'ORDENES'!$J514,"")</f>
        <v/>
      </c>
    </row>
    <row r="519">
      <c r="K519" s="24">
        <f>IF(AND(IF($B$3="(todos)",TRUE,'ORDENES'!$O515=$B$3),IF($D$3="(todos)",TRUE,'ORDENES'!$AI515=$D$3),IF($F$3="(todos)",TRUE,'ORDENES'!$AA515=$F$3),IF($H$3="(todos)",TRUE,'ORDENES'!$Z515=$H$3),'ORDENES'!$AG515=TRUE,'ORDENES'!$A515&lt;&gt;""),1,0)</f>
        <v/>
      </c>
      <c r="L519" s="24">
        <f>IF(K519=1,IFERROR(MATCH('ORDENES'!$S515,lista_dias,0),9)*1000000000+IFERROR(MATCH('ORDENES'!$AI515,lista_turnos,0),9)*10000000+IFERROR(MATCH('ORDENES'!$AH515,'TECNICOS'!$B$4:$B$19,0),99)*100000+512,9000000000000+512)</f>
        <v/>
      </c>
      <c r="M519" s="24">
        <f>IF(K519=1,SUMPRODUCT(--($L$8:$L$1207&lt;L519))+1,"")</f>
        <v/>
      </c>
      <c r="N519" s="25">
        <f>IF(K519=1,N('ORDENES'!$M515),0)</f>
        <v/>
      </c>
      <c r="O519" s="25">
        <f>IF('ORDENES'!$U515="preventiva",N519,0)</f>
        <v/>
      </c>
      <c r="P519" s="25">
        <f>IF('ORDENES'!$U515="correctiva",N519,0)</f>
        <v/>
      </c>
      <c r="Q519" s="24">
        <f>IF(AND(K519=1,'ORDENES'!$N515="Pendiente"),1,0)</f>
        <v/>
      </c>
      <c r="R519" s="24">
        <f>IF(Q519=1,100000-N519*1000+512*0.01,9000000000000+512)</f>
        <v/>
      </c>
      <c r="S519" s="24">
        <f>IF(Q519=1,SUMPRODUCT(--($R$8:$R$1207&lt;R519))+1,"")</f>
        <v/>
      </c>
      <c r="T519" s="30">
        <f>IF(K519=1,'ORDENES'!$J515,"")</f>
        <v/>
      </c>
    </row>
    <row r="520">
      <c r="K520" s="24">
        <f>IF(AND(IF($B$3="(todos)",TRUE,'ORDENES'!$O516=$B$3),IF($D$3="(todos)",TRUE,'ORDENES'!$AI516=$D$3),IF($F$3="(todos)",TRUE,'ORDENES'!$AA516=$F$3),IF($H$3="(todos)",TRUE,'ORDENES'!$Z516=$H$3),'ORDENES'!$AG516=TRUE,'ORDENES'!$A516&lt;&gt;""),1,0)</f>
        <v/>
      </c>
      <c r="L520" s="24">
        <f>IF(K520=1,IFERROR(MATCH('ORDENES'!$S516,lista_dias,0),9)*1000000000+IFERROR(MATCH('ORDENES'!$AI516,lista_turnos,0),9)*10000000+IFERROR(MATCH('ORDENES'!$AH516,'TECNICOS'!$B$4:$B$19,0),99)*100000+513,9000000000000+513)</f>
        <v/>
      </c>
      <c r="M520" s="24">
        <f>IF(K520=1,SUMPRODUCT(--($L$8:$L$1207&lt;L520))+1,"")</f>
        <v/>
      </c>
      <c r="N520" s="25">
        <f>IF(K520=1,N('ORDENES'!$M516),0)</f>
        <v/>
      </c>
      <c r="O520" s="25">
        <f>IF('ORDENES'!$U516="preventiva",N520,0)</f>
        <v/>
      </c>
      <c r="P520" s="25">
        <f>IF('ORDENES'!$U516="correctiva",N520,0)</f>
        <v/>
      </c>
      <c r="Q520" s="24">
        <f>IF(AND(K520=1,'ORDENES'!$N516="Pendiente"),1,0)</f>
        <v/>
      </c>
      <c r="R520" s="24">
        <f>IF(Q520=1,100000-N520*1000+513*0.01,9000000000000+513)</f>
        <v/>
      </c>
      <c r="S520" s="24">
        <f>IF(Q520=1,SUMPRODUCT(--($R$8:$R$1207&lt;R520))+1,"")</f>
        <v/>
      </c>
      <c r="T520" s="30">
        <f>IF(K520=1,'ORDENES'!$J516,"")</f>
        <v/>
      </c>
    </row>
    <row r="521">
      <c r="K521" s="24">
        <f>IF(AND(IF($B$3="(todos)",TRUE,'ORDENES'!$O517=$B$3),IF($D$3="(todos)",TRUE,'ORDENES'!$AI517=$D$3),IF($F$3="(todos)",TRUE,'ORDENES'!$AA517=$F$3),IF($H$3="(todos)",TRUE,'ORDENES'!$Z517=$H$3),'ORDENES'!$AG517=TRUE,'ORDENES'!$A517&lt;&gt;""),1,0)</f>
        <v/>
      </c>
      <c r="L521" s="24">
        <f>IF(K521=1,IFERROR(MATCH('ORDENES'!$S517,lista_dias,0),9)*1000000000+IFERROR(MATCH('ORDENES'!$AI517,lista_turnos,0),9)*10000000+IFERROR(MATCH('ORDENES'!$AH517,'TECNICOS'!$B$4:$B$19,0),99)*100000+514,9000000000000+514)</f>
        <v/>
      </c>
      <c r="M521" s="24">
        <f>IF(K521=1,SUMPRODUCT(--($L$8:$L$1207&lt;L521))+1,"")</f>
        <v/>
      </c>
      <c r="N521" s="25">
        <f>IF(K521=1,N('ORDENES'!$M517),0)</f>
        <v/>
      </c>
      <c r="O521" s="25">
        <f>IF('ORDENES'!$U517="preventiva",N521,0)</f>
        <v/>
      </c>
      <c r="P521" s="25">
        <f>IF('ORDENES'!$U517="correctiva",N521,0)</f>
        <v/>
      </c>
      <c r="Q521" s="24">
        <f>IF(AND(K521=1,'ORDENES'!$N517="Pendiente"),1,0)</f>
        <v/>
      </c>
      <c r="R521" s="24">
        <f>IF(Q521=1,100000-N521*1000+514*0.01,9000000000000+514)</f>
        <v/>
      </c>
      <c r="S521" s="24">
        <f>IF(Q521=1,SUMPRODUCT(--($R$8:$R$1207&lt;R521))+1,"")</f>
        <v/>
      </c>
      <c r="T521" s="30">
        <f>IF(K521=1,'ORDENES'!$J517,"")</f>
        <v/>
      </c>
    </row>
    <row r="522">
      <c r="K522" s="24">
        <f>IF(AND(IF($B$3="(todos)",TRUE,'ORDENES'!$O518=$B$3),IF($D$3="(todos)",TRUE,'ORDENES'!$AI518=$D$3),IF($F$3="(todos)",TRUE,'ORDENES'!$AA518=$F$3),IF($H$3="(todos)",TRUE,'ORDENES'!$Z518=$H$3),'ORDENES'!$AG518=TRUE,'ORDENES'!$A518&lt;&gt;""),1,0)</f>
        <v/>
      </c>
      <c r="L522" s="24">
        <f>IF(K522=1,IFERROR(MATCH('ORDENES'!$S518,lista_dias,0),9)*1000000000+IFERROR(MATCH('ORDENES'!$AI518,lista_turnos,0),9)*10000000+IFERROR(MATCH('ORDENES'!$AH518,'TECNICOS'!$B$4:$B$19,0),99)*100000+515,9000000000000+515)</f>
        <v/>
      </c>
      <c r="M522" s="24">
        <f>IF(K522=1,SUMPRODUCT(--($L$8:$L$1207&lt;L522))+1,"")</f>
        <v/>
      </c>
      <c r="N522" s="25">
        <f>IF(K522=1,N('ORDENES'!$M518),0)</f>
        <v/>
      </c>
      <c r="O522" s="25">
        <f>IF('ORDENES'!$U518="preventiva",N522,0)</f>
        <v/>
      </c>
      <c r="P522" s="25">
        <f>IF('ORDENES'!$U518="correctiva",N522,0)</f>
        <v/>
      </c>
      <c r="Q522" s="24">
        <f>IF(AND(K522=1,'ORDENES'!$N518="Pendiente"),1,0)</f>
        <v/>
      </c>
      <c r="R522" s="24">
        <f>IF(Q522=1,100000-N522*1000+515*0.01,9000000000000+515)</f>
        <v/>
      </c>
      <c r="S522" s="24">
        <f>IF(Q522=1,SUMPRODUCT(--($R$8:$R$1207&lt;R522))+1,"")</f>
        <v/>
      </c>
      <c r="T522" s="30">
        <f>IF(K522=1,'ORDENES'!$J518,"")</f>
        <v/>
      </c>
    </row>
    <row r="523">
      <c r="K523" s="24">
        <f>IF(AND(IF($B$3="(todos)",TRUE,'ORDENES'!$O519=$B$3),IF($D$3="(todos)",TRUE,'ORDENES'!$AI519=$D$3),IF($F$3="(todos)",TRUE,'ORDENES'!$AA519=$F$3),IF($H$3="(todos)",TRUE,'ORDENES'!$Z519=$H$3),'ORDENES'!$AG519=TRUE,'ORDENES'!$A519&lt;&gt;""),1,0)</f>
        <v/>
      </c>
      <c r="L523" s="24">
        <f>IF(K523=1,IFERROR(MATCH('ORDENES'!$S519,lista_dias,0),9)*1000000000+IFERROR(MATCH('ORDENES'!$AI519,lista_turnos,0),9)*10000000+IFERROR(MATCH('ORDENES'!$AH519,'TECNICOS'!$B$4:$B$19,0),99)*100000+516,9000000000000+516)</f>
        <v/>
      </c>
      <c r="M523" s="24">
        <f>IF(K523=1,SUMPRODUCT(--($L$8:$L$1207&lt;L523))+1,"")</f>
        <v/>
      </c>
      <c r="N523" s="25">
        <f>IF(K523=1,N('ORDENES'!$M519),0)</f>
        <v/>
      </c>
      <c r="O523" s="25">
        <f>IF('ORDENES'!$U519="preventiva",N523,0)</f>
        <v/>
      </c>
      <c r="P523" s="25">
        <f>IF('ORDENES'!$U519="correctiva",N523,0)</f>
        <v/>
      </c>
      <c r="Q523" s="24">
        <f>IF(AND(K523=1,'ORDENES'!$N519="Pendiente"),1,0)</f>
        <v/>
      </c>
      <c r="R523" s="24">
        <f>IF(Q523=1,100000-N523*1000+516*0.01,9000000000000+516)</f>
        <v/>
      </c>
      <c r="S523" s="24">
        <f>IF(Q523=1,SUMPRODUCT(--($R$8:$R$1207&lt;R523))+1,"")</f>
        <v/>
      </c>
      <c r="T523" s="30">
        <f>IF(K523=1,'ORDENES'!$J519,"")</f>
        <v/>
      </c>
    </row>
    <row r="524">
      <c r="K524" s="24">
        <f>IF(AND(IF($B$3="(todos)",TRUE,'ORDENES'!$O520=$B$3),IF($D$3="(todos)",TRUE,'ORDENES'!$AI520=$D$3),IF($F$3="(todos)",TRUE,'ORDENES'!$AA520=$F$3),IF($H$3="(todos)",TRUE,'ORDENES'!$Z520=$H$3),'ORDENES'!$AG520=TRUE,'ORDENES'!$A520&lt;&gt;""),1,0)</f>
        <v/>
      </c>
      <c r="L524" s="24">
        <f>IF(K524=1,IFERROR(MATCH('ORDENES'!$S520,lista_dias,0),9)*1000000000+IFERROR(MATCH('ORDENES'!$AI520,lista_turnos,0),9)*10000000+IFERROR(MATCH('ORDENES'!$AH520,'TECNICOS'!$B$4:$B$19,0),99)*100000+517,9000000000000+517)</f>
        <v/>
      </c>
      <c r="M524" s="24">
        <f>IF(K524=1,SUMPRODUCT(--($L$8:$L$1207&lt;L524))+1,"")</f>
        <v/>
      </c>
      <c r="N524" s="25">
        <f>IF(K524=1,N('ORDENES'!$M520),0)</f>
        <v/>
      </c>
      <c r="O524" s="25">
        <f>IF('ORDENES'!$U520="preventiva",N524,0)</f>
        <v/>
      </c>
      <c r="P524" s="25">
        <f>IF('ORDENES'!$U520="correctiva",N524,0)</f>
        <v/>
      </c>
      <c r="Q524" s="24">
        <f>IF(AND(K524=1,'ORDENES'!$N520="Pendiente"),1,0)</f>
        <v/>
      </c>
      <c r="R524" s="24">
        <f>IF(Q524=1,100000-N524*1000+517*0.01,9000000000000+517)</f>
        <v/>
      </c>
      <c r="S524" s="24">
        <f>IF(Q524=1,SUMPRODUCT(--($R$8:$R$1207&lt;R524))+1,"")</f>
        <v/>
      </c>
      <c r="T524" s="30">
        <f>IF(K524=1,'ORDENES'!$J520,"")</f>
        <v/>
      </c>
    </row>
    <row r="525">
      <c r="K525" s="24">
        <f>IF(AND(IF($B$3="(todos)",TRUE,'ORDENES'!$O521=$B$3),IF($D$3="(todos)",TRUE,'ORDENES'!$AI521=$D$3),IF($F$3="(todos)",TRUE,'ORDENES'!$AA521=$F$3),IF($H$3="(todos)",TRUE,'ORDENES'!$Z521=$H$3),'ORDENES'!$AG521=TRUE,'ORDENES'!$A521&lt;&gt;""),1,0)</f>
        <v/>
      </c>
      <c r="L525" s="24">
        <f>IF(K525=1,IFERROR(MATCH('ORDENES'!$S521,lista_dias,0),9)*1000000000+IFERROR(MATCH('ORDENES'!$AI521,lista_turnos,0),9)*10000000+IFERROR(MATCH('ORDENES'!$AH521,'TECNICOS'!$B$4:$B$19,0),99)*100000+518,9000000000000+518)</f>
        <v/>
      </c>
      <c r="M525" s="24">
        <f>IF(K525=1,SUMPRODUCT(--($L$8:$L$1207&lt;L525))+1,"")</f>
        <v/>
      </c>
      <c r="N525" s="25">
        <f>IF(K525=1,N('ORDENES'!$M521),0)</f>
        <v/>
      </c>
      <c r="O525" s="25">
        <f>IF('ORDENES'!$U521="preventiva",N525,0)</f>
        <v/>
      </c>
      <c r="P525" s="25">
        <f>IF('ORDENES'!$U521="correctiva",N525,0)</f>
        <v/>
      </c>
      <c r="Q525" s="24">
        <f>IF(AND(K525=1,'ORDENES'!$N521="Pendiente"),1,0)</f>
        <v/>
      </c>
      <c r="R525" s="24">
        <f>IF(Q525=1,100000-N525*1000+518*0.01,9000000000000+518)</f>
        <v/>
      </c>
      <c r="S525" s="24">
        <f>IF(Q525=1,SUMPRODUCT(--($R$8:$R$1207&lt;R525))+1,"")</f>
        <v/>
      </c>
      <c r="T525" s="30">
        <f>IF(K525=1,'ORDENES'!$J521,"")</f>
        <v/>
      </c>
    </row>
    <row r="526">
      <c r="K526" s="24">
        <f>IF(AND(IF($B$3="(todos)",TRUE,'ORDENES'!$O522=$B$3),IF($D$3="(todos)",TRUE,'ORDENES'!$AI522=$D$3),IF($F$3="(todos)",TRUE,'ORDENES'!$AA522=$F$3),IF($H$3="(todos)",TRUE,'ORDENES'!$Z522=$H$3),'ORDENES'!$AG522=TRUE,'ORDENES'!$A522&lt;&gt;""),1,0)</f>
        <v/>
      </c>
      <c r="L526" s="24">
        <f>IF(K526=1,IFERROR(MATCH('ORDENES'!$S522,lista_dias,0),9)*1000000000+IFERROR(MATCH('ORDENES'!$AI522,lista_turnos,0),9)*10000000+IFERROR(MATCH('ORDENES'!$AH522,'TECNICOS'!$B$4:$B$19,0),99)*100000+519,9000000000000+519)</f>
        <v/>
      </c>
      <c r="M526" s="24">
        <f>IF(K526=1,SUMPRODUCT(--($L$8:$L$1207&lt;L526))+1,"")</f>
        <v/>
      </c>
      <c r="N526" s="25">
        <f>IF(K526=1,N('ORDENES'!$M522),0)</f>
        <v/>
      </c>
      <c r="O526" s="25">
        <f>IF('ORDENES'!$U522="preventiva",N526,0)</f>
        <v/>
      </c>
      <c r="P526" s="25">
        <f>IF('ORDENES'!$U522="correctiva",N526,0)</f>
        <v/>
      </c>
      <c r="Q526" s="24">
        <f>IF(AND(K526=1,'ORDENES'!$N522="Pendiente"),1,0)</f>
        <v/>
      </c>
      <c r="R526" s="24">
        <f>IF(Q526=1,100000-N526*1000+519*0.01,9000000000000+519)</f>
        <v/>
      </c>
      <c r="S526" s="24">
        <f>IF(Q526=1,SUMPRODUCT(--($R$8:$R$1207&lt;R526))+1,"")</f>
        <v/>
      </c>
      <c r="T526" s="30">
        <f>IF(K526=1,'ORDENES'!$J522,"")</f>
        <v/>
      </c>
    </row>
    <row r="527">
      <c r="K527" s="24">
        <f>IF(AND(IF($B$3="(todos)",TRUE,'ORDENES'!$O523=$B$3),IF($D$3="(todos)",TRUE,'ORDENES'!$AI523=$D$3),IF($F$3="(todos)",TRUE,'ORDENES'!$AA523=$F$3),IF($H$3="(todos)",TRUE,'ORDENES'!$Z523=$H$3),'ORDENES'!$AG523=TRUE,'ORDENES'!$A523&lt;&gt;""),1,0)</f>
        <v/>
      </c>
      <c r="L527" s="24">
        <f>IF(K527=1,IFERROR(MATCH('ORDENES'!$S523,lista_dias,0),9)*1000000000+IFERROR(MATCH('ORDENES'!$AI523,lista_turnos,0),9)*10000000+IFERROR(MATCH('ORDENES'!$AH523,'TECNICOS'!$B$4:$B$19,0),99)*100000+520,9000000000000+520)</f>
        <v/>
      </c>
      <c r="M527" s="24">
        <f>IF(K527=1,SUMPRODUCT(--($L$8:$L$1207&lt;L527))+1,"")</f>
        <v/>
      </c>
      <c r="N527" s="25">
        <f>IF(K527=1,N('ORDENES'!$M523),0)</f>
        <v/>
      </c>
      <c r="O527" s="25">
        <f>IF('ORDENES'!$U523="preventiva",N527,0)</f>
        <v/>
      </c>
      <c r="P527" s="25">
        <f>IF('ORDENES'!$U523="correctiva",N527,0)</f>
        <v/>
      </c>
      <c r="Q527" s="24">
        <f>IF(AND(K527=1,'ORDENES'!$N523="Pendiente"),1,0)</f>
        <v/>
      </c>
      <c r="R527" s="24">
        <f>IF(Q527=1,100000-N527*1000+520*0.01,9000000000000+520)</f>
        <v/>
      </c>
      <c r="S527" s="24">
        <f>IF(Q527=1,SUMPRODUCT(--($R$8:$R$1207&lt;R527))+1,"")</f>
        <v/>
      </c>
      <c r="T527" s="30">
        <f>IF(K527=1,'ORDENES'!$J523,"")</f>
        <v/>
      </c>
    </row>
    <row r="528">
      <c r="K528" s="24">
        <f>IF(AND(IF($B$3="(todos)",TRUE,'ORDENES'!$O524=$B$3),IF($D$3="(todos)",TRUE,'ORDENES'!$AI524=$D$3),IF($F$3="(todos)",TRUE,'ORDENES'!$AA524=$F$3),IF($H$3="(todos)",TRUE,'ORDENES'!$Z524=$H$3),'ORDENES'!$AG524=TRUE,'ORDENES'!$A524&lt;&gt;""),1,0)</f>
        <v/>
      </c>
      <c r="L528" s="24">
        <f>IF(K528=1,IFERROR(MATCH('ORDENES'!$S524,lista_dias,0),9)*1000000000+IFERROR(MATCH('ORDENES'!$AI524,lista_turnos,0),9)*10000000+IFERROR(MATCH('ORDENES'!$AH524,'TECNICOS'!$B$4:$B$19,0),99)*100000+521,9000000000000+521)</f>
        <v/>
      </c>
      <c r="M528" s="24">
        <f>IF(K528=1,SUMPRODUCT(--($L$8:$L$1207&lt;L528))+1,"")</f>
        <v/>
      </c>
      <c r="N528" s="25">
        <f>IF(K528=1,N('ORDENES'!$M524),0)</f>
        <v/>
      </c>
      <c r="O528" s="25">
        <f>IF('ORDENES'!$U524="preventiva",N528,0)</f>
        <v/>
      </c>
      <c r="P528" s="25">
        <f>IF('ORDENES'!$U524="correctiva",N528,0)</f>
        <v/>
      </c>
      <c r="Q528" s="24">
        <f>IF(AND(K528=1,'ORDENES'!$N524="Pendiente"),1,0)</f>
        <v/>
      </c>
      <c r="R528" s="24">
        <f>IF(Q528=1,100000-N528*1000+521*0.01,9000000000000+521)</f>
        <v/>
      </c>
      <c r="S528" s="24">
        <f>IF(Q528=1,SUMPRODUCT(--($R$8:$R$1207&lt;R528))+1,"")</f>
        <v/>
      </c>
      <c r="T528" s="30">
        <f>IF(K528=1,'ORDENES'!$J524,"")</f>
        <v/>
      </c>
    </row>
    <row r="529">
      <c r="K529" s="24">
        <f>IF(AND(IF($B$3="(todos)",TRUE,'ORDENES'!$O525=$B$3),IF($D$3="(todos)",TRUE,'ORDENES'!$AI525=$D$3),IF($F$3="(todos)",TRUE,'ORDENES'!$AA525=$F$3),IF($H$3="(todos)",TRUE,'ORDENES'!$Z525=$H$3),'ORDENES'!$AG525=TRUE,'ORDENES'!$A525&lt;&gt;""),1,0)</f>
        <v/>
      </c>
      <c r="L529" s="24">
        <f>IF(K529=1,IFERROR(MATCH('ORDENES'!$S525,lista_dias,0),9)*1000000000+IFERROR(MATCH('ORDENES'!$AI525,lista_turnos,0),9)*10000000+IFERROR(MATCH('ORDENES'!$AH525,'TECNICOS'!$B$4:$B$19,0),99)*100000+522,9000000000000+522)</f>
        <v/>
      </c>
      <c r="M529" s="24">
        <f>IF(K529=1,SUMPRODUCT(--($L$8:$L$1207&lt;L529))+1,"")</f>
        <v/>
      </c>
      <c r="N529" s="25">
        <f>IF(K529=1,N('ORDENES'!$M525),0)</f>
        <v/>
      </c>
      <c r="O529" s="25">
        <f>IF('ORDENES'!$U525="preventiva",N529,0)</f>
        <v/>
      </c>
      <c r="P529" s="25">
        <f>IF('ORDENES'!$U525="correctiva",N529,0)</f>
        <v/>
      </c>
      <c r="Q529" s="24">
        <f>IF(AND(K529=1,'ORDENES'!$N525="Pendiente"),1,0)</f>
        <v/>
      </c>
      <c r="R529" s="24">
        <f>IF(Q529=1,100000-N529*1000+522*0.01,9000000000000+522)</f>
        <v/>
      </c>
      <c r="S529" s="24">
        <f>IF(Q529=1,SUMPRODUCT(--($R$8:$R$1207&lt;R529))+1,"")</f>
        <v/>
      </c>
      <c r="T529" s="30">
        <f>IF(K529=1,'ORDENES'!$J525,"")</f>
        <v/>
      </c>
    </row>
    <row r="530">
      <c r="K530" s="24">
        <f>IF(AND(IF($B$3="(todos)",TRUE,'ORDENES'!$O526=$B$3),IF($D$3="(todos)",TRUE,'ORDENES'!$AI526=$D$3),IF($F$3="(todos)",TRUE,'ORDENES'!$AA526=$F$3),IF($H$3="(todos)",TRUE,'ORDENES'!$Z526=$H$3),'ORDENES'!$AG526=TRUE,'ORDENES'!$A526&lt;&gt;""),1,0)</f>
        <v/>
      </c>
      <c r="L530" s="24">
        <f>IF(K530=1,IFERROR(MATCH('ORDENES'!$S526,lista_dias,0),9)*1000000000+IFERROR(MATCH('ORDENES'!$AI526,lista_turnos,0),9)*10000000+IFERROR(MATCH('ORDENES'!$AH526,'TECNICOS'!$B$4:$B$19,0),99)*100000+523,9000000000000+523)</f>
        <v/>
      </c>
      <c r="M530" s="24">
        <f>IF(K530=1,SUMPRODUCT(--($L$8:$L$1207&lt;L530))+1,"")</f>
        <v/>
      </c>
      <c r="N530" s="25">
        <f>IF(K530=1,N('ORDENES'!$M526),0)</f>
        <v/>
      </c>
      <c r="O530" s="25">
        <f>IF('ORDENES'!$U526="preventiva",N530,0)</f>
        <v/>
      </c>
      <c r="P530" s="25">
        <f>IF('ORDENES'!$U526="correctiva",N530,0)</f>
        <v/>
      </c>
      <c r="Q530" s="24">
        <f>IF(AND(K530=1,'ORDENES'!$N526="Pendiente"),1,0)</f>
        <v/>
      </c>
      <c r="R530" s="24">
        <f>IF(Q530=1,100000-N530*1000+523*0.01,9000000000000+523)</f>
        <v/>
      </c>
      <c r="S530" s="24">
        <f>IF(Q530=1,SUMPRODUCT(--($R$8:$R$1207&lt;R530))+1,"")</f>
        <v/>
      </c>
      <c r="T530" s="30">
        <f>IF(K530=1,'ORDENES'!$J526,"")</f>
        <v/>
      </c>
    </row>
    <row r="531">
      <c r="K531" s="24">
        <f>IF(AND(IF($B$3="(todos)",TRUE,'ORDENES'!$O527=$B$3),IF($D$3="(todos)",TRUE,'ORDENES'!$AI527=$D$3),IF($F$3="(todos)",TRUE,'ORDENES'!$AA527=$F$3),IF($H$3="(todos)",TRUE,'ORDENES'!$Z527=$H$3),'ORDENES'!$AG527=TRUE,'ORDENES'!$A527&lt;&gt;""),1,0)</f>
        <v/>
      </c>
      <c r="L531" s="24">
        <f>IF(K531=1,IFERROR(MATCH('ORDENES'!$S527,lista_dias,0),9)*1000000000+IFERROR(MATCH('ORDENES'!$AI527,lista_turnos,0),9)*10000000+IFERROR(MATCH('ORDENES'!$AH527,'TECNICOS'!$B$4:$B$19,0),99)*100000+524,9000000000000+524)</f>
        <v/>
      </c>
      <c r="M531" s="24">
        <f>IF(K531=1,SUMPRODUCT(--($L$8:$L$1207&lt;L531))+1,"")</f>
        <v/>
      </c>
      <c r="N531" s="25">
        <f>IF(K531=1,N('ORDENES'!$M527),0)</f>
        <v/>
      </c>
      <c r="O531" s="25">
        <f>IF('ORDENES'!$U527="preventiva",N531,0)</f>
        <v/>
      </c>
      <c r="P531" s="25">
        <f>IF('ORDENES'!$U527="correctiva",N531,0)</f>
        <v/>
      </c>
      <c r="Q531" s="24">
        <f>IF(AND(K531=1,'ORDENES'!$N527="Pendiente"),1,0)</f>
        <v/>
      </c>
      <c r="R531" s="24">
        <f>IF(Q531=1,100000-N531*1000+524*0.01,9000000000000+524)</f>
        <v/>
      </c>
      <c r="S531" s="24">
        <f>IF(Q531=1,SUMPRODUCT(--($R$8:$R$1207&lt;R531))+1,"")</f>
        <v/>
      </c>
      <c r="T531" s="30">
        <f>IF(K531=1,'ORDENES'!$J527,"")</f>
        <v/>
      </c>
    </row>
    <row r="532">
      <c r="K532" s="24">
        <f>IF(AND(IF($B$3="(todos)",TRUE,'ORDENES'!$O528=$B$3),IF($D$3="(todos)",TRUE,'ORDENES'!$AI528=$D$3),IF($F$3="(todos)",TRUE,'ORDENES'!$AA528=$F$3),IF($H$3="(todos)",TRUE,'ORDENES'!$Z528=$H$3),'ORDENES'!$AG528=TRUE,'ORDENES'!$A528&lt;&gt;""),1,0)</f>
        <v/>
      </c>
      <c r="L532" s="24">
        <f>IF(K532=1,IFERROR(MATCH('ORDENES'!$S528,lista_dias,0),9)*1000000000+IFERROR(MATCH('ORDENES'!$AI528,lista_turnos,0),9)*10000000+IFERROR(MATCH('ORDENES'!$AH528,'TECNICOS'!$B$4:$B$19,0),99)*100000+525,9000000000000+525)</f>
        <v/>
      </c>
      <c r="M532" s="24">
        <f>IF(K532=1,SUMPRODUCT(--($L$8:$L$1207&lt;L532))+1,"")</f>
        <v/>
      </c>
      <c r="N532" s="25">
        <f>IF(K532=1,N('ORDENES'!$M528),0)</f>
        <v/>
      </c>
      <c r="O532" s="25">
        <f>IF('ORDENES'!$U528="preventiva",N532,0)</f>
        <v/>
      </c>
      <c r="P532" s="25">
        <f>IF('ORDENES'!$U528="correctiva",N532,0)</f>
        <v/>
      </c>
      <c r="Q532" s="24">
        <f>IF(AND(K532=1,'ORDENES'!$N528="Pendiente"),1,0)</f>
        <v/>
      </c>
      <c r="R532" s="24">
        <f>IF(Q532=1,100000-N532*1000+525*0.01,9000000000000+525)</f>
        <v/>
      </c>
      <c r="S532" s="24">
        <f>IF(Q532=1,SUMPRODUCT(--($R$8:$R$1207&lt;R532))+1,"")</f>
        <v/>
      </c>
      <c r="T532" s="30">
        <f>IF(K532=1,'ORDENES'!$J528,"")</f>
        <v/>
      </c>
    </row>
    <row r="533">
      <c r="K533" s="24">
        <f>IF(AND(IF($B$3="(todos)",TRUE,'ORDENES'!$O529=$B$3),IF($D$3="(todos)",TRUE,'ORDENES'!$AI529=$D$3),IF($F$3="(todos)",TRUE,'ORDENES'!$AA529=$F$3),IF($H$3="(todos)",TRUE,'ORDENES'!$Z529=$H$3),'ORDENES'!$AG529=TRUE,'ORDENES'!$A529&lt;&gt;""),1,0)</f>
        <v/>
      </c>
      <c r="L533" s="24">
        <f>IF(K533=1,IFERROR(MATCH('ORDENES'!$S529,lista_dias,0),9)*1000000000+IFERROR(MATCH('ORDENES'!$AI529,lista_turnos,0),9)*10000000+IFERROR(MATCH('ORDENES'!$AH529,'TECNICOS'!$B$4:$B$19,0),99)*100000+526,9000000000000+526)</f>
        <v/>
      </c>
      <c r="M533" s="24">
        <f>IF(K533=1,SUMPRODUCT(--($L$8:$L$1207&lt;L533))+1,"")</f>
        <v/>
      </c>
      <c r="N533" s="25">
        <f>IF(K533=1,N('ORDENES'!$M529),0)</f>
        <v/>
      </c>
      <c r="O533" s="25">
        <f>IF('ORDENES'!$U529="preventiva",N533,0)</f>
        <v/>
      </c>
      <c r="P533" s="25">
        <f>IF('ORDENES'!$U529="correctiva",N533,0)</f>
        <v/>
      </c>
      <c r="Q533" s="24">
        <f>IF(AND(K533=1,'ORDENES'!$N529="Pendiente"),1,0)</f>
        <v/>
      </c>
      <c r="R533" s="24">
        <f>IF(Q533=1,100000-N533*1000+526*0.01,9000000000000+526)</f>
        <v/>
      </c>
      <c r="S533" s="24">
        <f>IF(Q533=1,SUMPRODUCT(--($R$8:$R$1207&lt;R533))+1,"")</f>
        <v/>
      </c>
      <c r="T533" s="30">
        <f>IF(K533=1,'ORDENES'!$J529,"")</f>
        <v/>
      </c>
    </row>
    <row r="534">
      <c r="K534" s="24">
        <f>IF(AND(IF($B$3="(todos)",TRUE,'ORDENES'!$O530=$B$3),IF($D$3="(todos)",TRUE,'ORDENES'!$AI530=$D$3),IF($F$3="(todos)",TRUE,'ORDENES'!$AA530=$F$3),IF($H$3="(todos)",TRUE,'ORDENES'!$Z530=$H$3),'ORDENES'!$AG530=TRUE,'ORDENES'!$A530&lt;&gt;""),1,0)</f>
        <v/>
      </c>
      <c r="L534" s="24">
        <f>IF(K534=1,IFERROR(MATCH('ORDENES'!$S530,lista_dias,0),9)*1000000000+IFERROR(MATCH('ORDENES'!$AI530,lista_turnos,0),9)*10000000+IFERROR(MATCH('ORDENES'!$AH530,'TECNICOS'!$B$4:$B$19,0),99)*100000+527,9000000000000+527)</f>
        <v/>
      </c>
      <c r="M534" s="24">
        <f>IF(K534=1,SUMPRODUCT(--($L$8:$L$1207&lt;L534))+1,"")</f>
        <v/>
      </c>
      <c r="N534" s="25">
        <f>IF(K534=1,N('ORDENES'!$M530),0)</f>
        <v/>
      </c>
      <c r="O534" s="25">
        <f>IF('ORDENES'!$U530="preventiva",N534,0)</f>
        <v/>
      </c>
      <c r="P534" s="25">
        <f>IF('ORDENES'!$U530="correctiva",N534,0)</f>
        <v/>
      </c>
      <c r="Q534" s="24">
        <f>IF(AND(K534=1,'ORDENES'!$N530="Pendiente"),1,0)</f>
        <v/>
      </c>
      <c r="R534" s="24">
        <f>IF(Q534=1,100000-N534*1000+527*0.01,9000000000000+527)</f>
        <v/>
      </c>
      <c r="S534" s="24">
        <f>IF(Q534=1,SUMPRODUCT(--($R$8:$R$1207&lt;R534))+1,"")</f>
        <v/>
      </c>
      <c r="T534" s="30">
        <f>IF(K534=1,'ORDENES'!$J530,"")</f>
        <v/>
      </c>
    </row>
    <row r="535">
      <c r="K535" s="24">
        <f>IF(AND(IF($B$3="(todos)",TRUE,'ORDENES'!$O531=$B$3),IF($D$3="(todos)",TRUE,'ORDENES'!$AI531=$D$3),IF($F$3="(todos)",TRUE,'ORDENES'!$AA531=$F$3),IF($H$3="(todos)",TRUE,'ORDENES'!$Z531=$H$3),'ORDENES'!$AG531=TRUE,'ORDENES'!$A531&lt;&gt;""),1,0)</f>
        <v/>
      </c>
      <c r="L535" s="24">
        <f>IF(K535=1,IFERROR(MATCH('ORDENES'!$S531,lista_dias,0),9)*1000000000+IFERROR(MATCH('ORDENES'!$AI531,lista_turnos,0),9)*10000000+IFERROR(MATCH('ORDENES'!$AH531,'TECNICOS'!$B$4:$B$19,0),99)*100000+528,9000000000000+528)</f>
        <v/>
      </c>
      <c r="M535" s="24">
        <f>IF(K535=1,SUMPRODUCT(--($L$8:$L$1207&lt;L535))+1,"")</f>
        <v/>
      </c>
      <c r="N535" s="25">
        <f>IF(K535=1,N('ORDENES'!$M531),0)</f>
        <v/>
      </c>
      <c r="O535" s="25">
        <f>IF('ORDENES'!$U531="preventiva",N535,0)</f>
        <v/>
      </c>
      <c r="P535" s="25">
        <f>IF('ORDENES'!$U531="correctiva",N535,0)</f>
        <v/>
      </c>
      <c r="Q535" s="24">
        <f>IF(AND(K535=1,'ORDENES'!$N531="Pendiente"),1,0)</f>
        <v/>
      </c>
      <c r="R535" s="24">
        <f>IF(Q535=1,100000-N535*1000+528*0.01,9000000000000+528)</f>
        <v/>
      </c>
      <c r="S535" s="24">
        <f>IF(Q535=1,SUMPRODUCT(--($R$8:$R$1207&lt;R535))+1,"")</f>
        <v/>
      </c>
      <c r="T535" s="30">
        <f>IF(K535=1,'ORDENES'!$J531,"")</f>
        <v/>
      </c>
    </row>
    <row r="536">
      <c r="K536" s="24">
        <f>IF(AND(IF($B$3="(todos)",TRUE,'ORDENES'!$O532=$B$3),IF($D$3="(todos)",TRUE,'ORDENES'!$AI532=$D$3),IF($F$3="(todos)",TRUE,'ORDENES'!$AA532=$F$3),IF($H$3="(todos)",TRUE,'ORDENES'!$Z532=$H$3),'ORDENES'!$AG532=TRUE,'ORDENES'!$A532&lt;&gt;""),1,0)</f>
        <v/>
      </c>
      <c r="L536" s="24">
        <f>IF(K536=1,IFERROR(MATCH('ORDENES'!$S532,lista_dias,0),9)*1000000000+IFERROR(MATCH('ORDENES'!$AI532,lista_turnos,0),9)*10000000+IFERROR(MATCH('ORDENES'!$AH532,'TECNICOS'!$B$4:$B$19,0),99)*100000+529,9000000000000+529)</f>
        <v/>
      </c>
      <c r="M536" s="24">
        <f>IF(K536=1,SUMPRODUCT(--($L$8:$L$1207&lt;L536))+1,"")</f>
        <v/>
      </c>
      <c r="N536" s="25">
        <f>IF(K536=1,N('ORDENES'!$M532),0)</f>
        <v/>
      </c>
      <c r="O536" s="25">
        <f>IF('ORDENES'!$U532="preventiva",N536,0)</f>
        <v/>
      </c>
      <c r="P536" s="25">
        <f>IF('ORDENES'!$U532="correctiva",N536,0)</f>
        <v/>
      </c>
      <c r="Q536" s="24">
        <f>IF(AND(K536=1,'ORDENES'!$N532="Pendiente"),1,0)</f>
        <v/>
      </c>
      <c r="R536" s="24">
        <f>IF(Q536=1,100000-N536*1000+529*0.01,9000000000000+529)</f>
        <v/>
      </c>
      <c r="S536" s="24">
        <f>IF(Q536=1,SUMPRODUCT(--($R$8:$R$1207&lt;R536))+1,"")</f>
        <v/>
      </c>
      <c r="T536" s="30">
        <f>IF(K536=1,'ORDENES'!$J532,"")</f>
        <v/>
      </c>
    </row>
    <row r="537">
      <c r="K537" s="24">
        <f>IF(AND(IF($B$3="(todos)",TRUE,'ORDENES'!$O533=$B$3),IF($D$3="(todos)",TRUE,'ORDENES'!$AI533=$D$3),IF($F$3="(todos)",TRUE,'ORDENES'!$AA533=$F$3),IF($H$3="(todos)",TRUE,'ORDENES'!$Z533=$H$3),'ORDENES'!$AG533=TRUE,'ORDENES'!$A533&lt;&gt;""),1,0)</f>
        <v/>
      </c>
      <c r="L537" s="24">
        <f>IF(K537=1,IFERROR(MATCH('ORDENES'!$S533,lista_dias,0),9)*1000000000+IFERROR(MATCH('ORDENES'!$AI533,lista_turnos,0),9)*10000000+IFERROR(MATCH('ORDENES'!$AH533,'TECNICOS'!$B$4:$B$19,0),99)*100000+530,9000000000000+530)</f>
        <v/>
      </c>
      <c r="M537" s="24">
        <f>IF(K537=1,SUMPRODUCT(--($L$8:$L$1207&lt;L537))+1,"")</f>
        <v/>
      </c>
      <c r="N537" s="25">
        <f>IF(K537=1,N('ORDENES'!$M533),0)</f>
        <v/>
      </c>
      <c r="O537" s="25">
        <f>IF('ORDENES'!$U533="preventiva",N537,0)</f>
        <v/>
      </c>
      <c r="P537" s="25">
        <f>IF('ORDENES'!$U533="correctiva",N537,0)</f>
        <v/>
      </c>
      <c r="Q537" s="24">
        <f>IF(AND(K537=1,'ORDENES'!$N533="Pendiente"),1,0)</f>
        <v/>
      </c>
      <c r="R537" s="24">
        <f>IF(Q537=1,100000-N537*1000+530*0.01,9000000000000+530)</f>
        <v/>
      </c>
      <c r="S537" s="24">
        <f>IF(Q537=1,SUMPRODUCT(--($R$8:$R$1207&lt;R537))+1,"")</f>
        <v/>
      </c>
      <c r="T537" s="30">
        <f>IF(K537=1,'ORDENES'!$J533,"")</f>
        <v/>
      </c>
    </row>
    <row r="538">
      <c r="K538" s="24">
        <f>IF(AND(IF($B$3="(todos)",TRUE,'ORDENES'!$O534=$B$3),IF($D$3="(todos)",TRUE,'ORDENES'!$AI534=$D$3),IF($F$3="(todos)",TRUE,'ORDENES'!$AA534=$F$3),IF($H$3="(todos)",TRUE,'ORDENES'!$Z534=$H$3),'ORDENES'!$AG534=TRUE,'ORDENES'!$A534&lt;&gt;""),1,0)</f>
        <v/>
      </c>
      <c r="L538" s="24">
        <f>IF(K538=1,IFERROR(MATCH('ORDENES'!$S534,lista_dias,0),9)*1000000000+IFERROR(MATCH('ORDENES'!$AI534,lista_turnos,0),9)*10000000+IFERROR(MATCH('ORDENES'!$AH534,'TECNICOS'!$B$4:$B$19,0),99)*100000+531,9000000000000+531)</f>
        <v/>
      </c>
      <c r="M538" s="24">
        <f>IF(K538=1,SUMPRODUCT(--($L$8:$L$1207&lt;L538))+1,"")</f>
        <v/>
      </c>
      <c r="N538" s="25">
        <f>IF(K538=1,N('ORDENES'!$M534),0)</f>
        <v/>
      </c>
      <c r="O538" s="25">
        <f>IF('ORDENES'!$U534="preventiva",N538,0)</f>
        <v/>
      </c>
      <c r="P538" s="25">
        <f>IF('ORDENES'!$U534="correctiva",N538,0)</f>
        <v/>
      </c>
      <c r="Q538" s="24">
        <f>IF(AND(K538=1,'ORDENES'!$N534="Pendiente"),1,0)</f>
        <v/>
      </c>
      <c r="R538" s="24">
        <f>IF(Q538=1,100000-N538*1000+531*0.01,9000000000000+531)</f>
        <v/>
      </c>
      <c r="S538" s="24">
        <f>IF(Q538=1,SUMPRODUCT(--($R$8:$R$1207&lt;R538))+1,"")</f>
        <v/>
      </c>
      <c r="T538" s="30">
        <f>IF(K538=1,'ORDENES'!$J534,"")</f>
        <v/>
      </c>
    </row>
    <row r="539">
      <c r="K539" s="24">
        <f>IF(AND(IF($B$3="(todos)",TRUE,'ORDENES'!$O535=$B$3),IF($D$3="(todos)",TRUE,'ORDENES'!$AI535=$D$3),IF($F$3="(todos)",TRUE,'ORDENES'!$AA535=$F$3),IF($H$3="(todos)",TRUE,'ORDENES'!$Z535=$H$3),'ORDENES'!$AG535=TRUE,'ORDENES'!$A535&lt;&gt;""),1,0)</f>
        <v/>
      </c>
      <c r="L539" s="24">
        <f>IF(K539=1,IFERROR(MATCH('ORDENES'!$S535,lista_dias,0),9)*1000000000+IFERROR(MATCH('ORDENES'!$AI535,lista_turnos,0),9)*10000000+IFERROR(MATCH('ORDENES'!$AH535,'TECNICOS'!$B$4:$B$19,0),99)*100000+532,9000000000000+532)</f>
        <v/>
      </c>
      <c r="M539" s="24">
        <f>IF(K539=1,SUMPRODUCT(--($L$8:$L$1207&lt;L539))+1,"")</f>
        <v/>
      </c>
      <c r="N539" s="25">
        <f>IF(K539=1,N('ORDENES'!$M535),0)</f>
        <v/>
      </c>
      <c r="O539" s="25">
        <f>IF('ORDENES'!$U535="preventiva",N539,0)</f>
        <v/>
      </c>
      <c r="P539" s="25">
        <f>IF('ORDENES'!$U535="correctiva",N539,0)</f>
        <v/>
      </c>
      <c r="Q539" s="24">
        <f>IF(AND(K539=1,'ORDENES'!$N535="Pendiente"),1,0)</f>
        <v/>
      </c>
      <c r="R539" s="24">
        <f>IF(Q539=1,100000-N539*1000+532*0.01,9000000000000+532)</f>
        <v/>
      </c>
      <c r="S539" s="24">
        <f>IF(Q539=1,SUMPRODUCT(--($R$8:$R$1207&lt;R539))+1,"")</f>
        <v/>
      </c>
      <c r="T539" s="30">
        <f>IF(K539=1,'ORDENES'!$J535,"")</f>
        <v/>
      </c>
    </row>
    <row r="540">
      <c r="K540" s="24">
        <f>IF(AND(IF($B$3="(todos)",TRUE,'ORDENES'!$O536=$B$3),IF($D$3="(todos)",TRUE,'ORDENES'!$AI536=$D$3),IF($F$3="(todos)",TRUE,'ORDENES'!$AA536=$F$3),IF($H$3="(todos)",TRUE,'ORDENES'!$Z536=$H$3),'ORDENES'!$AG536=TRUE,'ORDENES'!$A536&lt;&gt;""),1,0)</f>
        <v/>
      </c>
      <c r="L540" s="24">
        <f>IF(K540=1,IFERROR(MATCH('ORDENES'!$S536,lista_dias,0),9)*1000000000+IFERROR(MATCH('ORDENES'!$AI536,lista_turnos,0),9)*10000000+IFERROR(MATCH('ORDENES'!$AH536,'TECNICOS'!$B$4:$B$19,0),99)*100000+533,9000000000000+533)</f>
        <v/>
      </c>
      <c r="M540" s="24">
        <f>IF(K540=1,SUMPRODUCT(--($L$8:$L$1207&lt;L540))+1,"")</f>
        <v/>
      </c>
      <c r="N540" s="25">
        <f>IF(K540=1,N('ORDENES'!$M536),0)</f>
        <v/>
      </c>
      <c r="O540" s="25">
        <f>IF('ORDENES'!$U536="preventiva",N540,0)</f>
        <v/>
      </c>
      <c r="P540" s="25">
        <f>IF('ORDENES'!$U536="correctiva",N540,0)</f>
        <v/>
      </c>
      <c r="Q540" s="24">
        <f>IF(AND(K540=1,'ORDENES'!$N536="Pendiente"),1,0)</f>
        <v/>
      </c>
      <c r="R540" s="24">
        <f>IF(Q540=1,100000-N540*1000+533*0.01,9000000000000+533)</f>
        <v/>
      </c>
      <c r="S540" s="24">
        <f>IF(Q540=1,SUMPRODUCT(--($R$8:$R$1207&lt;R540))+1,"")</f>
        <v/>
      </c>
      <c r="T540" s="30">
        <f>IF(K540=1,'ORDENES'!$J536,"")</f>
        <v/>
      </c>
    </row>
    <row r="541">
      <c r="K541" s="24">
        <f>IF(AND(IF($B$3="(todos)",TRUE,'ORDENES'!$O537=$B$3),IF($D$3="(todos)",TRUE,'ORDENES'!$AI537=$D$3),IF($F$3="(todos)",TRUE,'ORDENES'!$AA537=$F$3),IF($H$3="(todos)",TRUE,'ORDENES'!$Z537=$H$3),'ORDENES'!$AG537=TRUE,'ORDENES'!$A537&lt;&gt;""),1,0)</f>
        <v/>
      </c>
      <c r="L541" s="24">
        <f>IF(K541=1,IFERROR(MATCH('ORDENES'!$S537,lista_dias,0),9)*1000000000+IFERROR(MATCH('ORDENES'!$AI537,lista_turnos,0),9)*10000000+IFERROR(MATCH('ORDENES'!$AH537,'TECNICOS'!$B$4:$B$19,0),99)*100000+534,9000000000000+534)</f>
        <v/>
      </c>
      <c r="M541" s="24">
        <f>IF(K541=1,SUMPRODUCT(--($L$8:$L$1207&lt;L541))+1,"")</f>
        <v/>
      </c>
      <c r="N541" s="25">
        <f>IF(K541=1,N('ORDENES'!$M537),0)</f>
        <v/>
      </c>
      <c r="O541" s="25">
        <f>IF('ORDENES'!$U537="preventiva",N541,0)</f>
        <v/>
      </c>
      <c r="P541" s="25">
        <f>IF('ORDENES'!$U537="correctiva",N541,0)</f>
        <v/>
      </c>
      <c r="Q541" s="24">
        <f>IF(AND(K541=1,'ORDENES'!$N537="Pendiente"),1,0)</f>
        <v/>
      </c>
      <c r="R541" s="24">
        <f>IF(Q541=1,100000-N541*1000+534*0.01,9000000000000+534)</f>
        <v/>
      </c>
      <c r="S541" s="24">
        <f>IF(Q541=1,SUMPRODUCT(--($R$8:$R$1207&lt;R541))+1,"")</f>
        <v/>
      </c>
      <c r="T541" s="30">
        <f>IF(K541=1,'ORDENES'!$J537,"")</f>
        <v/>
      </c>
    </row>
    <row r="542">
      <c r="K542" s="24">
        <f>IF(AND(IF($B$3="(todos)",TRUE,'ORDENES'!$O538=$B$3),IF($D$3="(todos)",TRUE,'ORDENES'!$AI538=$D$3),IF($F$3="(todos)",TRUE,'ORDENES'!$AA538=$F$3),IF($H$3="(todos)",TRUE,'ORDENES'!$Z538=$H$3),'ORDENES'!$AG538=TRUE,'ORDENES'!$A538&lt;&gt;""),1,0)</f>
        <v/>
      </c>
      <c r="L542" s="24">
        <f>IF(K542=1,IFERROR(MATCH('ORDENES'!$S538,lista_dias,0),9)*1000000000+IFERROR(MATCH('ORDENES'!$AI538,lista_turnos,0),9)*10000000+IFERROR(MATCH('ORDENES'!$AH538,'TECNICOS'!$B$4:$B$19,0),99)*100000+535,9000000000000+535)</f>
        <v/>
      </c>
      <c r="M542" s="24">
        <f>IF(K542=1,SUMPRODUCT(--($L$8:$L$1207&lt;L542))+1,"")</f>
        <v/>
      </c>
      <c r="N542" s="25">
        <f>IF(K542=1,N('ORDENES'!$M538),0)</f>
        <v/>
      </c>
      <c r="O542" s="25">
        <f>IF('ORDENES'!$U538="preventiva",N542,0)</f>
        <v/>
      </c>
      <c r="P542" s="25">
        <f>IF('ORDENES'!$U538="correctiva",N542,0)</f>
        <v/>
      </c>
      <c r="Q542" s="24">
        <f>IF(AND(K542=1,'ORDENES'!$N538="Pendiente"),1,0)</f>
        <v/>
      </c>
      <c r="R542" s="24">
        <f>IF(Q542=1,100000-N542*1000+535*0.01,9000000000000+535)</f>
        <v/>
      </c>
      <c r="S542" s="24">
        <f>IF(Q542=1,SUMPRODUCT(--($R$8:$R$1207&lt;R542))+1,"")</f>
        <v/>
      </c>
      <c r="T542" s="30">
        <f>IF(K542=1,'ORDENES'!$J538,"")</f>
        <v/>
      </c>
    </row>
    <row r="543">
      <c r="K543" s="24">
        <f>IF(AND(IF($B$3="(todos)",TRUE,'ORDENES'!$O539=$B$3),IF($D$3="(todos)",TRUE,'ORDENES'!$AI539=$D$3),IF($F$3="(todos)",TRUE,'ORDENES'!$AA539=$F$3),IF($H$3="(todos)",TRUE,'ORDENES'!$Z539=$H$3),'ORDENES'!$AG539=TRUE,'ORDENES'!$A539&lt;&gt;""),1,0)</f>
        <v/>
      </c>
      <c r="L543" s="24">
        <f>IF(K543=1,IFERROR(MATCH('ORDENES'!$S539,lista_dias,0),9)*1000000000+IFERROR(MATCH('ORDENES'!$AI539,lista_turnos,0),9)*10000000+IFERROR(MATCH('ORDENES'!$AH539,'TECNICOS'!$B$4:$B$19,0),99)*100000+536,9000000000000+536)</f>
        <v/>
      </c>
      <c r="M543" s="24">
        <f>IF(K543=1,SUMPRODUCT(--($L$8:$L$1207&lt;L543))+1,"")</f>
        <v/>
      </c>
      <c r="N543" s="25">
        <f>IF(K543=1,N('ORDENES'!$M539),0)</f>
        <v/>
      </c>
      <c r="O543" s="25">
        <f>IF('ORDENES'!$U539="preventiva",N543,0)</f>
        <v/>
      </c>
      <c r="P543" s="25">
        <f>IF('ORDENES'!$U539="correctiva",N543,0)</f>
        <v/>
      </c>
      <c r="Q543" s="24">
        <f>IF(AND(K543=1,'ORDENES'!$N539="Pendiente"),1,0)</f>
        <v/>
      </c>
      <c r="R543" s="24">
        <f>IF(Q543=1,100000-N543*1000+536*0.01,9000000000000+536)</f>
        <v/>
      </c>
      <c r="S543" s="24">
        <f>IF(Q543=1,SUMPRODUCT(--($R$8:$R$1207&lt;R543))+1,"")</f>
        <v/>
      </c>
      <c r="T543" s="30">
        <f>IF(K543=1,'ORDENES'!$J539,"")</f>
        <v/>
      </c>
    </row>
    <row r="544">
      <c r="K544" s="24">
        <f>IF(AND(IF($B$3="(todos)",TRUE,'ORDENES'!$O540=$B$3),IF($D$3="(todos)",TRUE,'ORDENES'!$AI540=$D$3),IF($F$3="(todos)",TRUE,'ORDENES'!$AA540=$F$3),IF($H$3="(todos)",TRUE,'ORDENES'!$Z540=$H$3),'ORDENES'!$AG540=TRUE,'ORDENES'!$A540&lt;&gt;""),1,0)</f>
        <v/>
      </c>
      <c r="L544" s="24">
        <f>IF(K544=1,IFERROR(MATCH('ORDENES'!$S540,lista_dias,0),9)*1000000000+IFERROR(MATCH('ORDENES'!$AI540,lista_turnos,0),9)*10000000+IFERROR(MATCH('ORDENES'!$AH540,'TECNICOS'!$B$4:$B$19,0),99)*100000+537,9000000000000+537)</f>
        <v/>
      </c>
      <c r="M544" s="24">
        <f>IF(K544=1,SUMPRODUCT(--($L$8:$L$1207&lt;L544))+1,"")</f>
        <v/>
      </c>
      <c r="N544" s="25">
        <f>IF(K544=1,N('ORDENES'!$M540),0)</f>
        <v/>
      </c>
      <c r="O544" s="25">
        <f>IF('ORDENES'!$U540="preventiva",N544,0)</f>
        <v/>
      </c>
      <c r="P544" s="25">
        <f>IF('ORDENES'!$U540="correctiva",N544,0)</f>
        <v/>
      </c>
      <c r="Q544" s="24">
        <f>IF(AND(K544=1,'ORDENES'!$N540="Pendiente"),1,0)</f>
        <v/>
      </c>
      <c r="R544" s="24">
        <f>IF(Q544=1,100000-N544*1000+537*0.01,9000000000000+537)</f>
        <v/>
      </c>
      <c r="S544" s="24">
        <f>IF(Q544=1,SUMPRODUCT(--($R$8:$R$1207&lt;R544))+1,"")</f>
        <v/>
      </c>
      <c r="T544" s="30">
        <f>IF(K544=1,'ORDENES'!$J540,"")</f>
        <v/>
      </c>
    </row>
    <row r="545">
      <c r="K545" s="24">
        <f>IF(AND(IF($B$3="(todos)",TRUE,'ORDENES'!$O541=$B$3),IF($D$3="(todos)",TRUE,'ORDENES'!$AI541=$D$3),IF($F$3="(todos)",TRUE,'ORDENES'!$AA541=$F$3),IF($H$3="(todos)",TRUE,'ORDENES'!$Z541=$H$3),'ORDENES'!$AG541=TRUE,'ORDENES'!$A541&lt;&gt;""),1,0)</f>
        <v/>
      </c>
      <c r="L545" s="24">
        <f>IF(K545=1,IFERROR(MATCH('ORDENES'!$S541,lista_dias,0),9)*1000000000+IFERROR(MATCH('ORDENES'!$AI541,lista_turnos,0),9)*10000000+IFERROR(MATCH('ORDENES'!$AH541,'TECNICOS'!$B$4:$B$19,0),99)*100000+538,9000000000000+538)</f>
        <v/>
      </c>
      <c r="M545" s="24">
        <f>IF(K545=1,SUMPRODUCT(--($L$8:$L$1207&lt;L545))+1,"")</f>
        <v/>
      </c>
      <c r="N545" s="25">
        <f>IF(K545=1,N('ORDENES'!$M541),0)</f>
        <v/>
      </c>
      <c r="O545" s="25">
        <f>IF('ORDENES'!$U541="preventiva",N545,0)</f>
        <v/>
      </c>
      <c r="P545" s="25">
        <f>IF('ORDENES'!$U541="correctiva",N545,0)</f>
        <v/>
      </c>
      <c r="Q545" s="24">
        <f>IF(AND(K545=1,'ORDENES'!$N541="Pendiente"),1,0)</f>
        <v/>
      </c>
      <c r="R545" s="24">
        <f>IF(Q545=1,100000-N545*1000+538*0.01,9000000000000+538)</f>
        <v/>
      </c>
      <c r="S545" s="24">
        <f>IF(Q545=1,SUMPRODUCT(--($R$8:$R$1207&lt;R545))+1,"")</f>
        <v/>
      </c>
      <c r="T545" s="30">
        <f>IF(K545=1,'ORDENES'!$J541,"")</f>
        <v/>
      </c>
    </row>
    <row r="546">
      <c r="K546" s="24">
        <f>IF(AND(IF($B$3="(todos)",TRUE,'ORDENES'!$O542=$B$3),IF($D$3="(todos)",TRUE,'ORDENES'!$AI542=$D$3),IF($F$3="(todos)",TRUE,'ORDENES'!$AA542=$F$3),IF($H$3="(todos)",TRUE,'ORDENES'!$Z542=$H$3),'ORDENES'!$AG542=TRUE,'ORDENES'!$A542&lt;&gt;""),1,0)</f>
        <v/>
      </c>
      <c r="L546" s="24">
        <f>IF(K546=1,IFERROR(MATCH('ORDENES'!$S542,lista_dias,0),9)*1000000000+IFERROR(MATCH('ORDENES'!$AI542,lista_turnos,0),9)*10000000+IFERROR(MATCH('ORDENES'!$AH542,'TECNICOS'!$B$4:$B$19,0),99)*100000+539,9000000000000+539)</f>
        <v/>
      </c>
      <c r="M546" s="24">
        <f>IF(K546=1,SUMPRODUCT(--($L$8:$L$1207&lt;L546))+1,"")</f>
        <v/>
      </c>
      <c r="N546" s="25">
        <f>IF(K546=1,N('ORDENES'!$M542),0)</f>
        <v/>
      </c>
      <c r="O546" s="25">
        <f>IF('ORDENES'!$U542="preventiva",N546,0)</f>
        <v/>
      </c>
      <c r="P546" s="25">
        <f>IF('ORDENES'!$U542="correctiva",N546,0)</f>
        <v/>
      </c>
      <c r="Q546" s="24">
        <f>IF(AND(K546=1,'ORDENES'!$N542="Pendiente"),1,0)</f>
        <v/>
      </c>
      <c r="R546" s="24">
        <f>IF(Q546=1,100000-N546*1000+539*0.01,9000000000000+539)</f>
        <v/>
      </c>
      <c r="S546" s="24">
        <f>IF(Q546=1,SUMPRODUCT(--($R$8:$R$1207&lt;R546))+1,"")</f>
        <v/>
      </c>
      <c r="T546" s="30">
        <f>IF(K546=1,'ORDENES'!$J542,"")</f>
        <v/>
      </c>
    </row>
    <row r="547">
      <c r="K547" s="24">
        <f>IF(AND(IF($B$3="(todos)",TRUE,'ORDENES'!$O543=$B$3),IF($D$3="(todos)",TRUE,'ORDENES'!$AI543=$D$3),IF($F$3="(todos)",TRUE,'ORDENES'!$AA543=$F$3),IF($H$3="(todos)",TRUE,'ORDENES'!$Z543=$H$3),'ORDENES'!$AG543=TRUE,'ORDENES'!$A543&lt;&gt;""),1,0)</f>
        <v/>
      </c>
      <c r="L547" s="24">
        <f>IF(K547=1,IFERROR(MATCH('ORDENES'!$S543,lista_dias,0),9)*1000000000+IFERROR(MATCH('ORDENES'!$AI543,lista_turnos,0),9)*10000000+IFERROR(MATCH('ORDENES'!$AH543,'TECNICOS'!$B$4:$B$19,0),99)*100000+540,9000000000000+540)</f>
        <v/>
      </c>
      <c r="M547" s="24">
        <f>IF(K547=1,SUMPRODUCT(--($L$8:$L$1207&lt;L547))+1,"")</f>
        <v/>
      </c>
      <c r="N547" s="25">
        <f>IF(K547=1,N('ORDENES'!$M543),0)</f>
        <v/>
      </c>
      <c r="O547" s="25">
        <f>IF('ORDENES'!$U543="preventiva",N547,0)</f>
        <v/>
      </c>
      <c r="P547" s="25">
        <f>IF('ORDENES'!$U543="correctiva",N547,0)</f>
        <v/>
      </c>
      <c r="Q547" s="24">
        <f>IF(AND(K547=1,'ORDENES'!$N543="Pendiente"),1,0)</f>
        <v/>
      </c>
      <c r="R547" s="24">
        <f>IF(Q547=1,100000-N547*1000+540*0.01,9000000000000+540)</f>
        <v/>
      </c>
      <c r="S547" s="24">
        <f>IF(Q547=1,SUMPRODUCT(--($R$8:$R$1207&lt;R547))+1,"")</f>
        <v/>
      </c>
      <c r="T547" s="30">
        <f>IF(K547=1,'ORDENES'!$J543,"")</f>
        <v/>
      </c>
    </row>
    <row r="548">
      <c r="K548" s="24">
        <f>IF(AND(IF($B$3="(todos)",TRUE,'ORDENES'!$O544=$B$3),IF($D$3="(todos)",TRUE,'ORDENES'!$AI544=$D$3),IF($F$3="(todos)",TRUE,'ORDENES'!$AA544=$F$3),IF($H$3="(todos)",TRUE,'ORDENES'!$Z544=$H$3),'ORDENES'!$AG544=TRUE,'ORDENES'!$A544&lt;&gt;""),1,0)</f>
        <v/>
      </c>
      <c r="L548" s="24">
        <f>IF(K548=1,IFERROR(MATCH('ORDENES'!$S544,lista_dias,0),9)*1000000000+IFERROR(MATCH('ORDENES'!$AI544,lista_turnos,0),9)*10000000+IFERROR(MATCH('ORDENES'!$AH544,'TECNICOS'!$B$4:$B$19,0),99)*100000+541,9000000000000+541)</f>
        <v/>
      </c>
      <c r="M548" s="24">
        <f>IF(K548=1,SUMPRODUCT(--($L$8:$L$1207&lt;L548))+1,"")</f>
        <v/>
      </c>
      <c r="N548" s="25">
        <f>IF(K548=1,N('ORDENES'!$M544),0)</f>
        <v/>
      </c>
      <c r="O548" s="25">
        <f>IF('ORDENES'!$U544="preventiva",N548,0)</f>
        <v/>
      </c>
      <c r="P548" s="25">
        <f>IF('ORDENES'!$U544="correctiva",N548,0)</f>
        <v/>
      </c>
      <c r="Q548" s="24">
        <f>IF(AND(K548=1,'ORDENES'!$N544="Pendiente"),1,0)</f>
        <v/>
      </c>
      <c r="R548" s="24">
        <f>IF(Q548=1,100000-N548*1000+541*0.01,9000000000000+541)</f>
        <v/>
      </c>
      <c r="S548" s="24">
        <f>IF(Q548=1,SUMPRODUCT(--($R$8:$R$1207&lt;R548))+1,"")</f>
        <v/>
      </c>
      <c r="T548" s="30">
        <f>IF(K548=1,'ORDENES'!$J544,"")</f>
        <v/>
      </c>
    </row>
    <row r="549">
      <c r="K549" s="24">
        <f>IF(AND(IF($B$3="(todos)",TRUE,'ORDENES'!$O545=$B$3),IF($D$3="(todos)",TRUE,'ORDENES'!$AI545=$D$3),IF($F$3="(todos)",TRUE,'ORDENES'!$AA545=$F$3),IF($H$3="(todos)",TRUE,'ORDENES'!$Z545=$H$3),'ORDENES'!$AG545=TRUE,'ORDENES'!$A545&lt;&gt;""),1,0)</f>
        <v/>
      </c>
      <c r="L549" s="24">
        <f>IF(K549=1,IFERROR(MATCH('ORDENES'!$S545,lista_dias,0),9)*1000000000+IFERROR(MATCH('ORDENES'!$AI545,lista_turnos,0),9)*10000000+IFERROR(MATCH('ORDENES'!$AH545,'TECNICOS'!$B$4:$B$19,0),99)*100000+542,9000000000000+542)</f>
        <v/>
      </c>
      <c r="M549" s="24">
        <f>IF(K549=1,SUMPRODUCT(--($L$8:$L$1207&lt;L549))+1,"")</f>
        <v/>
      </c>
      <c r="N549" s="25">
        <f>IF(K549=1,N('ORDENES'!$M545),0)</f>
        <v/>
      </c>
      <c r="O549" s="25">
        <f>IF('ORDENES'!$U545="preventiva",N549,0)</f>
        <v/>
      </c>
      <c r="P549" s="25">
        <f>IF('ORDENES'!$U545="correctiva",N549,0)</f>
        <v/>
      </c>
      <c r="Q549" s="24">
        <f>IF(AND(K549=1,'ORDENES'!$N545="Pendiente"),1,0)</f>
        <v/>
      </c>
      <c r="R549" s="24">
        <f>IF(Q549=1,100000-N549*1000+542*0.01,9000000000000+542)</f>
        <v/>
      </c>
      <c r="S549" s="24">
        <f>IF(Q549=1,SUMPRODUCT(--($R$8:$R$1207&lt;R549))+1,"")</f>
        <v/>
      </c>
      <c r="T549" s="30">
        <f>IF(K549=1,'ORDENES'!$J545,"")</f>
        <v/>
      </c>
    </row>
    <row r="550">
      <c r="K550" s="24">
        <f>IF(AND(IF($B$3="(todos)",TRUE,'ORDENES'!$O546=$B$3),IF($D$3="(todos)",TRUE,'ORDENES'!$AI546=$D$3),IF($F$3="(todos)",TRUE,'ORDENES'!$AA546=$F$3),IF($H$3="(todos)",TRUE,'ORDENES'!$Z546=$H$3),'ORDENES'!$AG546=TRUE,'ORDENES'!$A546&lt;&gt;""),1,0)</f>
        <v/>
      </c>
      <c r="L550" s="24">
        <f>IF(K550=1,IFERROR(MATCH('ORDENES'!$S546,lista_dias,0),9)*1000000000+IFERROR(MATCH('ORDENES'!$AI546,lista_turnos,0),9)*10000000+IFERROR(MATCH('ORDENES'!$AH546,'TECNICOS'!$B$4:$B$19,0),99)*100000+543,9000000000000+543)</f>
        <v/>
      </c>
      <c r="M550" s="24">
        <f>IF(K550=1,SUMPRODUCT(--($L$8:$L$1207&lt;L550))+1,"")</f>
        <v/>
      </c>
      <c r="N550" s="25">
        <f>IF(K550=1,N('ORDENES'!$M546),0)</f>
        <v/>
      </c>
      <c r="O550" s="25">
        <f>IF('ORDENES'!$U546="preventiva",N550,0)</f>
        <v/>
      </c>
      <c r="P550" s="25">
        <f>IF('ORDENES'!$U546="correctiva",N550,0)</f>
        <v/>
      </c>
      <c r="Q550" s="24">
        <f>IF(AND(K550=1,'ORDENES'!$N546="Pendiente"),1,0)</f>
        <v/>
      </c>
      <c r="R550" s="24">
        <f>IF(Q550=1,100000-N550*1000+543*0.01,9000000000000+543)</f>
        <v/>
      </c>
      <c r="S550" s="24">
        <f>IF(Q550=1,SUMPRODUCT(--($R$8:$R$1207&lt;R550))+1,"")</f>
        <v/>
      </c>
      <c r="T550" s="30">
        <f>IF(K550=1,'ORDENES'!$J546,"")</f>
        <v/>
      </c>
    </row>
    <row r="551">
      <c r="K551" s="24">
        <f>IF(AND(IF($B$3="(todos)",TRUE,'ORDENES'!$O547=$B$3),IF($D$3="(todos)",TRUE,'ORDENES'!$AI547=$D$3),IF($F$3="(todos)",TRUE,'ORDENES'!$AA547=$F$3),IF($H$3="(todos)",TRUE,'ORDENES'!$Z547=$H$3),'ORDENES'!$AG547=TRUE,'ORDENES'!$A547&lt;&gt;""),1,0)</f>
        <v/>
      </c>
      <c r="L551" s="24">
        <f>IF(K551=1,IFERROR(MATCH('ORDENES'!$S547,lista_dias,0),9)*1000000000+IFERROR(MATCH('ORDENES'!$AI547,lista_turnos,0),9)*10000000+IFERROR(MATCH('ORDENES'!$AH547,'TECNICOS'!$B$4:$B$19,0),99)*100000+544,9000000000000+544)</f>
        <v/>
      </c>
      <c r="M551" s="24">
        <f>IF(K551=1,SUMPRODUCT(--($L$8:$L$1207&lt;L551))+1,"")</f>
        <v/>
      </c>
      <c r="N551" s="25">
        <f>IF(K551=1,N('ORDENES'!$M547),0)</f>
        <v/>
      </c>
      <c r="O551" s="25">
        <f>IF('ORDENES'!$U547="preventiva",N551,0)</f>
        <v/>
      </c>
      <c r="P551" s="25">
        <f>IF('ORDENES'!$U547="correctiva",N551,0)</f>
        <v/>
      </c>
      <c r="Q551" s="24">
        <f>IF(AND(K551=1,'ORDENES'!$N547="Pendiente"),1,0)</f>
        <v/>
      </c>
      <c r="R551" s="24">
        <f>IF(Q551=1,100000-N551*1000+544*0.01,9000000000000+544)</f>
        <v/>
      </c>
      <c r="S551" s="24">
        <f>IF(Q551=1,SUMPRODUCT(--($R$8:$R$1207&lt;R551))+1,"")</f>
        <v/>
      </c>
      <c r="T551" s="30">
        <f>IF(K551=1,'ORDENES'!$J547,"")</f>
        <v/>
      </c>
    </row>
    <row r="552">
      <c r="K552" s="24">
        <f>IF(AND(IF($B$3="(todos)",TRUE,'ORDENES'!$O548=$B$3),IF($D$3="(todos)",TRUE,'ORDENES'!$AI548=$D$3),IF($F$3="(todos)",TRUE,'ORDENES'!$AA548=$F$3),IF($H$3="(todos)",TRUE,'ORDENES'!$Z548=$H$3),'ORDENES'!$AG548=TRUE,'ORDENES'!$A548&lt;&gt;""),1,0)</f>
        <v/>
      </c>
      <c r="L552" s="24">
        <f>IF(K552=1,IFERROR(MATCH('ORDENES'!$S548,lista_dias,0),9)*1000000000+IFERROR(MATCH('ORDENES'!$AI548,lista_turnos,0),9)*10000000+IFERROR(MATCH('ORDENES'!$AH548,'TECNICOS'!$B$4:$B$19,0),99)*100000+545,9000000000000+545)</f>
        <v/>
      </c>
      <c r="M552" s="24">
        <f>IF(K552=1,SUMPRODUCT(--($L$8:$L$1207&lt;L552))+1,"")</f>
        <v/>
      </c>
      <c r="N552" s="25">
        <f>IF(K552=1,N('ORDENES'!$M548),0)</f>
        <v/>
      </c>
      <c r="O552" s="25">
        <f>IF('ORDENES'!$U548="preventiva",N552,0)</f>
        <v/>
      </c>
      <c r="P552" s="25">
        <f>IF('ORDENES'!$U548="correctiva",N552,0)</f>
        <v/>
      </c>
      <c r="Q552" s="24">
        <f>IF(AND(K552=1,'ORDENES'!$N548="Pendiente"),1,0)</f>
        <v/>
      </c>
      <c r="R552" s="24">
        <f>IF(Q552=1,100000-N552*1000+545*0.01,9000000000000+545)</f>
        <v/>
      </c>
      <c r="S552" s="24">
        <f>IF(Q552=1,SUMPRODUCT(--($R$8:$R$1207&lt;R552))+1,"")</f>
        <v/>
      </c>
      <c r="T552" s="30">
        <f>IF(K552=1,'ORDENES'!$J548,"")</f>
        <v/>
      </c>
    </row>
    <row r="553">
      <c r="K553" s="24">
        <f>IF(AND(IF($B$3="(todos)",TRUE,'ORDENES'!$O549=$B$3),IF($D$3="(todos)",TRUE,'ORDENES'!$AI549=$D$3),IF($F$3="(todos)",TRUE,'ORDENES'!$AA549=$F$3),IF($H$3="(todos)",TRUE,'ORDENES'!$Z549=$H$3),'ORDENES'!$AG549=TRUE,'ORDENES'!$A549&lt;&gt;""),1,0)</f>
        <v/>
      </c>
      <c r="L553" s="24">
        <f>IF(K553=1,IFERROR(MATCH('ORDENES'!$S549,lista_dias,0),9)*1000000000+IFERROR(MATCH('ORDENES'!$AI549,lista_turnos,0),9)*10000000+IFERROR(MATCH('ORDENES'!$AH549,'TECNICOS'!$B$4:$B$19,0),99)*100000+546,9000000000000+546)</f>
        <v/>
      </c>
      <c r="M553" s="24">
        <f>IF(K553=1,SUMPRODUCT(--($L$8:$L$1207&lt;L553))+1,"")</f>
        <v/>
      </c>
      <c r="N553" s="25">
        <f>IF(K553=1,N('ORDENES'!$M549),0)</f>
        <v/>
      </c>
      <c r="O553" s="25">
        <f>IF('ORDENES'!$U549="preventiva",N553,0)</f>
        <v/>
      </c>
      <c r="P553" s="25">
        <f>IF('ORDENES'!$U549="correctiva",N553,0)</f>
        <v/>
      </c>
      <c r="Q553" s="24">
        <f>IF(AND(K553=1,'ORDENES'!$N549="Pendiente"),1,0)</f>
        <v/>
      </c>
      <c r="R553" s="24">
        <f>IF(Q553=1,100000-N553*1000+546*0.01,9000000000000+546)</f>
        <v/>
      </c>
      <c r="S553" s="24">
        <f>IF(Q553=1,SUMPRODUCT(--($R$8:$R$1207&lt;R553))+1,"")</f>
        <v/>
      </c>
      <c r="T553" s="30">
        <f>IF(K553=1,'ORDENES'!$J549,"")</f>
        <v/>
      </c>
    </row>
    <row r="554">
      <c r="K554" s="24">
        <f>IF(AND(IF($B$3="(todos)",TRUE,'ORDENES'!$O550=$B$3),IF($D$3="(todos)",TRUE,'ORDENES'!$AI550=$D$3),IF($F$3="(todos)",TRUE,'ORDENES'!$AA550=$F$3),IF($H$3="(todos)",TRUE,'ORDENES'!$Z550=$H$3),'ORDENES'!$AG550=TRUE,'ORDENES'!$A550&lt;&gt;""),1,0)</f>
        <v/>
      </c>
      <c r="L554" s="24">
        <f>IF(K554=1,IFERROR(MATCH('ORDENES'!$S550,lista_dias,0),9)*1000000000+IFERROR(MATCH('ORDENES'!$AI550,lista_turnos,0),9)*10000000+IFERROR(MATCH('ORDENES'!$AH550,'TECNICOS'!$B$4:$B$19,0),99)*100000+547,9000000000000+547)</f>
        <v/>
      </c>
      <c r="M554" s="24">
        <f>IF(K554=1,SUMPRODUCT(--($L$8:$L$1207&lt;L554))+1,"")</f>
        <v/>
      </c>
      <c r="N554" s="25">
        <f>IF(K554=1,N('ORDENES'!$M550),0)</f>
        <v/>
      </c>
      <c r="O554" s="25">
        <f>IF('ORDENES'!$U550="preventiva",N554,0)</f>
        <v/>
      </c>
      <c r="P554" s="25">
        <f>IF('ORDENES'!$U550="correctiva",N554,0)</f>
        <v/>
      </c>
      <c r="Q554" s="24">
        <f>IF(AND(K554=1,'ORDENES'!$N550="Pendiente"),1,0)</f>
        <v/>
      </c>
      <c r="R554" s="24">
        <f>IF(Q554=1,100000-N554*1000+547*0.01,9000000000000+547)</f>
        <v/>
      </c>
      <c r="S554" s="24">
        <f>IF(Q554=1,SUMPRODUCT(--($R$8:$R$1207&lt;R554))+1,"")</f>
        <v/>
      </c>
      <c r="T554" s="30">
        <f>IF(K554=1,'ORDENES'!$J550,"")</f>
        <v/>
      </c>
    </row>
    <row r="555">
      <c r="K555" s="24">
        <f>IF(AND(IF($B$3="(todos)",TRUE,'ORDENES'!$O551=$B$3),IF($D$3="(todos)",TRUE,'ORDENES'!$AI551=$D$3),IF($F$3="(todos)",TRUE,'ORDENES'!$AA551=$F$3),IF($H$3="(todos)",TRUE,'ORDENES'!$Z551=$H$3),'ORDENES'!$AG551=TRUE,'ORDENES'!$A551&lt;&gt;""),1,0)</f>
        <v/>
      </c>
      <c r="L555" s="24">
        <f>IF(K555=1,IFERROR(MATCH('ORDENES'!$S551,lista_dias,0),9)*1000000000+IFERROR(MATCH('ORDENES'!$AI551,lista_turnos,0),9)*10000000+IFERROR(MATCH('ORDENES'!$AH551,'TECNICOS'!$B$4:$B$19,0),99)*100000+548,9000000000000+548)</f>
        <v/>
      </c>
      <c r="M555" s="24">
        <f>IF(K555=1,SUMPRODUCT(--($L$8:$L$1207&lt;L555))+1,"")</f>
        <v/>
      </c>
      <c r="N555" s="25">
        <f>IF(K555=1,N('ORDENES'!$M551),0)</f>
        <v/>
      </c>
      <c r="O555" s="25">
        <f>IF('ORDENES'!$U551="preventiva",N555,0)</f>
        <v/>
      </c>
      <c r="P555" s="25">
        <f>IF('ORDENES'!$U551="correctiva",N555,0)</f>
        <v/>
      </c>
      <c r="Q555" s="24">
        <f>IF(AND(K555=1,'ORDENES'!$N551="Pendiente"),1,0)</f>
        <v/>
      </c>
      <c r="R555" s="24">
        <f>IF(Q555=1,100000-N555*1000+548*0.01,9000000000000+548)</f>
        <v/>
      </c>
      <c r="S555" s="24">
        <f>IF(Q555=1,SUMPRODUCT(--($R$8:$R$1207&lt;R555))+1,"")</f>
        <v/>
      </c>
      <c r="T555" s="30">
        <f>IF(K555=1,'ORDENES'!$J551,"")</f>
        <v/>
      </c>
    </row>
    <row r="556">
      <c r="K556" s="24">
        <f>IF(AND(IF($B$3="(todos)",TRUE,'ORDENES'!$O552=$B$3),IF($D$3="(todos)",TRUE,'ORDENES'!$AI552=$D$3),IF($F$3="(todos)",TRUE,'ORDENES'!$AA552=$F$3),IF($H$3="(todos)",TRUE,'ORDENES'!$Z552=$H$3),'ORDENES'!$AG552=TRUE,'ORDENES'!$A552&lt;&gt;""),1,0)</f>
        <v/>
      </c>
      <c r="L556" s="24">
        <f>IF(K556=1,IFERROR(MATCH('ORDENES'!$S552,lista_dias,0),9)*1000000000+IFERROR(MATCH('ORDENES'!$AI552,lista_turnos,0),9)*10000000+IFERROR(MATCH('ORDENES'!$AH552,'TECNICOS'!$B$4:$B$19,0),99)*100000+549,9000000000000+549)</f>
        <v/>
      </c>
      <c r="M556" s="24">
        <f>IF(K556=1,SUMPRODUCT(--($L$8:$L$1207&lt;L556))+1,"")</f>
        <v/>
      </c>
      <c r="N556" s="25">
        <f>IF(K556=1,N('ORDENES'!$M552),0)</f>
        <v/>
      </c>
      <c r="O556" s="25">
        <f>IF('ORDENES'!$U552="preventiva",N556,0)</f>
        <v/>
      </c>
      <c r="P556" s="25">
        <f>IF('ORDENES'!$U552="correctiva",N556,0)</f>
        <v/>
      </c>
      <c r="Q556" s="24">
        <f>IF(AND(K556=1,'ORDENES'!$N552="Pendiente"),1,0)</f>
        <v/>
      </c>
      <c r="R556" s="24">
        <f>IF(Q556=1,100000-N556*1000+549*0.01,9000000000000+549)</f>
        <v/>
      </c>
      <c r="S556" s="24">
        <f>IF(Q556=1,SUMPRODUCT(--($R$8:$R$1207&lt;R556))+1,"")</f>
        <v/>
      </c>
      <c r="T556" s="30">
        <f>IF(K556=1,'ORDENES'!$J552,"")</f>
        <v/>
      </c>
    </row>
    <row r="557">
      <c r="K557" s="24">
        <f>IF(AND(IF($B$3="(todos)",TRUE,'ORDENES'!$O553=$B$3),IF($D$3="(todos)",TRUE,'ORDENES'!$AI553=$D$3),IF($F$3="(todos)",TRUE,'ORDENES'!$AA553=$F$3),IF($H$3="(todos)",TRUE,'ORDENES'!$Z553=$H$3),'ORDENES'!$AG553=TRUE,'ORDENES'!$A553&lt;&gt;""),1,0)</f>
        <v/>
      </c>
      <c r="L557" s="24">
        <f>IF(K557=1,IFERROR(MATCH('ORDENES'!$S553,lista_dias,0),9)*1000000000+IFERROR(MATCH('ORDENES'!$AI553,lista_turnos,0),9)*10000000+IFERROR(MATCH('ORDENES'!$AH553,'TECNICOS'!$B$4:$B$19,0),99)*100000+550,9000000000000+550)</f>
        <v/>
      </c>
      <c r="M557" s="24">
        <f>IF(K557=1,SUMPRODUCT(--($L$8:$L$1207&lt;L557))+1,"")</f>
        <v/>
      </c>
      <c r="N557" s="25">
        <f>IF(K557=1,N('ORDENES'!$M553),0)</f>
        <v/>
      </c>
      <c r="O557" s="25">
        <f>IF('ORDENES'!$U553="preventiva",N557,0)</f>
        <v/>
      </c>
      <c r="P557" s="25">
        <f>IF('ORDENES'!$U553="correctiva",N557,0)</f>
        <v/>
      </c>
      <c r="Q557" s="24">
        <f>IF(AND(K557=1,'ORDENES'!$N553="Pendiente"),1,0)</f>
        <v/>
      </c>
      <c r="R557" s="24">
        <f>IF(Q557=1,100000-N557*1000+550*0.01,9000000000000+550)</f>
        <v/>
      </c>
      <c r="S557" s="24">
        <f>IF(Q557=1,SUMPRODUCT(--($R$8:$R$1207&lt;R557))+1,"")</f>
        <v/>
      </c>
      <c r="T557" s="30">
        <f>IF(K557=1,'ORDENES'!$J553,"")</f>
        <v/>
      </c>
    </row>
    <row r="558">
      <c r="K558" s="24">
        <f>IF(AND(IF($B$3="(todos)",TRUE,'ORDENES'!$O554=$B$3),IF($D$3="(todos)",TRUE,'ORDENES'!$AI554=$D$3),IF($F$3="(todos)",TRUE,'ORDENES'!$AA554=$F$3),IF($H$3="(todos)",TRUE,'ORDENES'!$Z554=$H$3),'ORDENES'!$AG554=TRUE,'ORDENES'!$A554&lt;&gt;""),1,0)</f>
        <v/>
      </c>
      <c r="L558" s="24">
        <f>IF(K558=1,IFERROR(MATCH('ORDENES'!$S554,lista_dias,0),9)*1000000000+IFERROR(MATCH('ORDENES'!$AI554,lista_turnos,0),9)*10000000+IFERROR(MATCH('ORDENES'!$AH554,'TECNICOS'!$B$4:$B$19,0),99)*100000+551,9000000000000+551)</f>
        <v/>
      </c>
      <c r="M558" s="24">
        <f>IF(K558=1,SUMPRODUCT(--($L$8:$L$1207&lt;L558))+1,"")</f>
        <v/>
      </c>
      <c r="N558" s="25">
        <f>IF(K558=1,N('ORDENES'!$M554),0)</f>
        <v/>
      </c>
      <c r="O558" s="25">
        <f>IF('ORDENES'!$U554="preventiva",N558,0)</f>
        <v/>
      </c>
      <c r="P558" s="25">
        <f>IF('ORDENES'!$U554="correctiva",N558,0)</f>
        <v/>
      </c>
      <c r="Q558" s="24">
        <f>IF(AND(K558=1,'ORDENES'!$N554="Pendiente"),1,0)</f>
        <v/>
      </c>
      <c r="R558" s="24">
        <f>IF(Q558=1,100000-N558*1000+551*0.01,9000000000000+551)</f>
        <v/>
      </c>
      <c r="S558" s="24">
        <f>IF(Q558=1,SUMPRODUCT(--($R$8:$R$1207&lt;R558))+1,"")</f>
        <v/>
      </c>
      <c r="T558" s="30">
        <f>IF(K558=1,'ORDENES'!$J554,"")</f>
        <v/>
      </c>
    </row>
    <row r="559">
      <c r="K559" s="24">
        <f>IF(AND(IF($B$3="(todos)",TRUE,'ORDENES'!$O555=$B$3),IF($D$3="(todos)",TRUE,'ORDENES'!$AI555=$D$3),IF($F$3="(todos)",TRUE,'ORDENES'!$AA555=$F$3),IF($H$3="(todos)",TRUE,'ORDENES'!$Z555=$H$3),'ORDENES'!$AG555=TRUE,'ORDENES'!$A555&lt;&gt;""),1,0)</f>
        <v/>
      </c>
      <c r="L559" s="24">
        <f>IF(K559=1,IFERROR(MATCH('ORDENES'!$S555,lista_dias,0),9)*1000000000+IFERROR(MATCH('ORDENES'!$AI555,lista_turnos,0),9)*10000000+IFERROR(MATCH('ORDENES'!$AH555,'TECNICOS'!$B$4:$B$19,0),99)*100000+552,9000000000000+552)</f>
        <v/>
      </c>
      <c r="M559" s="24">
        <f>IF(K559=1,SUMPRODUCT(--($L$8:$L$1207&lt;L559))+1,"")</f>
        <v/>
      </c>
      <c r="N559" s="25">
        <f>IF(K559=1,N('ORDENES'!$M555),0)</f>
        <v/>
      </c>
      <c r="O559" s="25">
        <f>IF('ORDENES'!$U555="preventiva",N559,0)</f>
        <v/>
      </c>
      <c r="P559" s="25">
        <f>IF('ORDENES'!$U555="correctiva",N559,0)</f>
        <v/>
      </c>
      <c r="Q559" s="24">
        <f>IF(AND(K559=1,'ORDENES'!$N555="Pendiente"),1,0)</f>
        <v/>
      </c>
      <c r="R559" s="24">
        <f>IF(Q559=1,100000-N559*1000+552*0.01,9000000000000+552)</f>
        <v/>
      </c>
      <c r="S559" s="24">
        <f>IF(Q559=1,SUMPRODUCT(--($R$8:$R$1207&lt;R559))+1,"")</f>
        <v/>
      </c>
      <c r="T559" s="30">
        <f>IF(K559=1,'ORDENES'!$J555,"")</f>
        <v/>
      </c>
    </row>
    <row r="560">
      <c r="K560" s="24">
        <f>IF(AND(IF($B$3="(todos)",TRUE,'ORDENES'!$O556=$B$3),IF($D$3="(todos)",TRUE,'ORDENES'!$AI556=$D$3),IF($F$3="(todos)",TRUE,'ORDENES'!$AA556=$F$3),IF($H$3="(todos)",TRUE,'ORDENES'!$Z556=$H$3),'ORDENES'!$AG556=TRUE,'ORDENES'!$A556&lt;&gt;""),1,0)</f>
        <v/>
      </c>
      <c r="L560" s="24">
        <f>IF(K560=1,IFERROR(MATCH('ORDENES'!$S556,lista_dias,0),9)*1000000000+IFERROR(MATCH('ORDENES'!$AI556,lista_turnos,0),9)*10000000+IFERROR(MATCH('ORDENES'!$AH556,'TECNICOS'!$B$4:$B$19,0),99)*100000+553,9000000000000+553)</f>
        <v/>
      </c>
      <c r="M560" s="24">
        <f>IF(K560=1,SUMPRODUCT(--($L$8:$L$1207&lt;L560))+1,"")</f>
        <v/>
      </c>
      <c r="N560" s="25">
        <f>IF(K560=1,N('ORDENES'!$M556),0)</f>
        <v/>
      </c>
      <c r="O560" s="25">
        <f>IF('ORDENES'!$U556="preventiva",N560,0)</f>
        <v/>
      </c>
      <c r="P560" s="25">
        <f>IF('ORDENES'!$U556="correctiva",N560,0)</f>
        <v/>
      </c>
      <c r="Q560" s="24">
        <f>IF(AND(K560=1,'ORDENES'!$N556="Pendiente"),1,0)</f>
        <v/>
      </c>
      <c r="R560" s="24">
        <f>IF(Q560=1,100000-N560*1000+553*0.01,9000000000000+553)</f>
        <v/>
      </c>
      <c r="S560" s="24">
        <f>IF(Q560=1,SUMPRODUCT(--($R$8:$R$1207&lt;R560))+1,"")</f>
        <v/>
      </c>
      <c r="T560" s="30">
        <f>IF(K560=1,'ORDENES'!$J556,"")</f>
        <v/>
      </c>
    </row>
    <row r="561">
      <c r="K561" s="24">
        <f>IF(AND(IF($B$3="(todos)",TRUE,'ORDENES'!$O557=$B$3),IF($D$3="(todos)",TRUE,'ORDENES'!$AI557=$D$3),IF($F$3="(todos)",TRUE,'ORDENES'!$AA557=$F$3),IF($H$3="(todos)",TRUE,'ORDENES'!$Z557=$H$3),'ORDENES'!$AG557=TRUE,'ORDENES'!$A557&lt;&gt;""),1,0)</f>
        <v/>
      </c>
      <c r="L561" s="24">
        <f>IF(K561=1,IFERROR(MATCH('ORDENES'!$S557,lista_dias,0),9)*1000000000+IFERROR(MATCH('ORDENES'!$AI557,lista_turnos,0),9)*10000000+IFERROR(MATCH('ORDENES'!$AH557,'TECNICOS'!$B$4:$B$19,0),99)*100000+554,9000000000000+554)</f>
        <v/>
      </c>
      <c r="M561" s="24">
        <f>IF(K561=1,SUMPRODUCT(--($L$8:$L$1207&lt;L561))+1,"")</f>
        <v/>
      </c>
      <c r="N561" s="25">
        <f>IF(K561=1,N('ORDENES'!$M557),0)</f>
        <v/>
      </c>
      <c r="O561" s="25">
        <f>IF('ORDENES'!$U557="preventiva",N561,0)</f>
        <v/>
      </c>
      <c r="P561" s="25">
        <f>IF('ORDENES'!$U557="correctiva",N561,0)</f>
        <v/>
      </c>
      <c r="Q561" s="24">
        <f>IF(AND(K561=1,'ORDENES'!$N557="Pendiente"),1,0)</f>
        <v/>
      </c>
      <c r="R561" s="24">
        <f>IF(Q561=1,100000-N561*1000+554*0.01,9000000000000+554)</f>
        <v/>
      </c>
      <c r="S561" s="24">
        <f>IF(Q561=1,SUMPRODUCT(--($R$8:$R$1207&lt;R561))+1,"")</f>
        <v/>
      </c>
      <c r="T561" s="30">
        <f>IF(K561=1,'ORDENES'!$J557,"")</f>
        <v/>
      </c>
    </row>
    <row r="562">
      <c r="K562" s="24">
        <f>IF(AND(IF($B$3="(todos)",TRUE,'ORDENES'!$O558=$B$3),IF($D$3="(todos)",TRUE,'ORDENES'!$AI558=$D$3),IF($F$3="(todos)",TRUE,'ORDENES'!$AA558=$F$3),IF($H$3="(todos)",TRUE,'ORDENES'!$Z558=$H$3),'ORDENES'!$AG558=TRUE,'ORDENES'!$A558&lt;&gt;""),1,0)</f>
        <v/>
      </c>
      <c r="L562" s="24">
        <f>IF(K562=1,IFERROR(MATCH('ORDENES'!$S558,lista_dias,0),9)*1000000000+IFERROR(MATCH('ORDENES'!$AI558,lista_turnos,0),9)*10000000+IFERROR(MATCH('ORDENES'!$AH558,'TECNICOS'!$B$4:$B$19,0),99)*100000+555,9000000000000+555)</f>
        <v/>
      </c>
      <c r="M562" s="24">
        <f>IF(K562=1,SUMPRODUCT(--($L$8:$L$1207&lt;L562))+1,"")</f>
        <v/>
      </c>
      <c r="N562" s="25">
        <f>IF(K562=1,N('ORDENES'!$M558),0)</f>
        <v/>
      </c>
      <c r="O562" s="25">
        <f>IF('ORDENES'!$U558="preventiva",N562,0)</f>
        <v/>
      </c>
      <c r="P562" s="25">
        <f>IF('ORDENES'!$U558="correctiva",N562,0)</f>
        <v/>
      </c>
      <c r="Q562" s="24">
        <f>IF(AND(K562=1,'ORDENES'!$N558="Pendiente"),1,0)</f>
        <v/>
      </c>
      <c r="R562" s="24">
        <f>IF(Q562=1,100000-N562*1000+555*0.01,9000000000000+555)</f>
        <v/>
      </c>
      <c r="S562" s="24">
        <f>IF(Q562=1,SUMPRODUCT(--($R$8:$R$1207&lt;R562))+1,"")</f>
        <v/>
      </c>
      <c r="T562" s="30">
        <f>IF(K562=1,'ORDENES'!$J558,"")</f>
        <v/>
      </c>
    </row>
    <row r="563">
      <c r="K563" s="24">
        <f>IF(AND(IF($B$3="(todos)",TRUE,'ORDENES'!$O559=$B$3),IF($D$3="(todos)",TRUE,'ORDENES'!$AI559=$D$3),IF($F$3="(todos)",TRUE,'ORDENES'!$AA559=$F$3),IF($H$3="(todos)",TRUE,'ORDENES'!$Z559=$H$3),'ORDENES'!$AG559=TRUE,'ORDENES'!$A559&lt;&gt;""),1,0)</f>
        <v/>
      </c>
      <c r="L563" s="24">
        <f>IF(K563=1,IFERROR(MATCH('ORDENES'!$S559,lista_dias,0),9)*1000000000+IFERROR(MATCH('ORDENES'!$AI559,lista_turnos,0),9)*10000000+IFERROR(MATCH('ORDENES'!$AH559,'TECNICOS'!$B$4:$B$19,0),99)*100000+556,9000000000000+556)</f>
        <v/>
      </c>
      <c r="M563" s="24">
        <f>IF(K563=1,SUMPRODUCT(--($L$8:$L$1207&lt;L563))+1,"")</f>
        <v/>
      </c>
      <c r="N563" s="25">
        <f>IF(K563=1,N('ORDENES'!$M559),0)</f>
        <v/>
      </c>
      <c r="O563" s="25">
        <f>IF('ORDENES'!$U559="preventiva",N563,0)</f>
        <v/>
      </c>
      <c r="P563" s="25">
        <f>IF('ORDENES'!$U559="correctiva",N563,0)</f>
        <v/>
      </c>
      <c r="Q563" s="24">
        <f>IF(AND(K563=1,'ORDENES'!$N559="Pendiente"),1,0)</f>
        <v/>
      </c>
      <c r="R563" s="24">
        <f>IF(Q563=1,100000-N563*1000+556*0.01,9000000000000+556)</f>
        <v/>
      </c>
      <c r="S563" s="24">
        <f>IF(Q563=1,SUMPRODUCT(--($R$8:$R$1207&lt;R563))+1,"")</f>
        <v/>
      </c>
      <c r="T563" s="30">
        <f>IF(K563=1,'ORDENES'!$J559,"")</f>
        <v/>
      </c>
    </row>
    <row r="564">
      <c r="K564" s="24">
        <f>IF(AND(IF($B$3="(todos)",TRUE,'ORDENES'!$O560=$B$3),IF($D$3="(todos)",TRUE,'ORDENES'!$AI560=$D$3),IF($F$3="(todos)",TRUE,'ORDENES'!$AA560=$F$3),IF($H$3="(todos)",TRUE,'ORDENES'!$Z560=$H$3),'ORDENES'!$AG560=TRUE,'ORDENES'!$A560&lt;&gt;""),1,0)</f>
        <v/>
      </c>
      <c r="L564" s="24">
        <f>IF(K564=1,IFERROR(MATCH('ORDENES'!$S560,lista_dias,0),9)*1000000000+IFERROR(MATCH('ORDENES'!$AI560,lista_turnos,0),9)*10000000+IFERROR(MATCH('ORDENES'!$AH560,'TECNICOS'!$B$4:$B$19,0),99)*100000+557,9000000000000+557)</f>
        <v/>
      </c>
      <c r="M564" s="24">
        <f>IF(K564=1,SUMPRODUCT(--($L$8:$L$1207&lt;L564))+1,"")</f>
        <v/>
      </c>
      <c r="N564" s="25">
        <f>IF(K564=1,N('ORDENES'!$M560),0)</f>
        <v/>
      </c>
      <c r="O564" s="25">
        <f>IF('ORDENES'!$U560="preventiva",N564,0)</f>
        <v/>
      </c>
      <c r="P564" s="25">
        <f>IF('ORDENES'!$U560="correctiva",N564,0)</f>
        <v/>
      </c>
      <c r="Q564" s="24">
        <f>IF(AND(K564=1,'ORDENES'!$N560="Pendiente"),1,0)</f>
        <v/>
      </c>
      <c r="R564" s="24">
        <f>IF(Q564=1,100000-N564*1000+557*0.01,9000000000000+557)</f>
        <v/>
      </c>
      <c r="S564" s="24">
        <f>IF(Q564=1,SUMPRODUCT(--($R$8:$R$1207&lt;R564))+1,"")</f>
        <v/>
      </c>
      <c r="T564" s="30">
        <f>IF(K564=1,'ORDENES'!$J560,"")</f>
        <v/>
      </c>
    </row>
    <row r="565">
      <c r="K565" s="24">
        <f>IF(AND(IF($B$3="(todos)",TRUE,'ORDENES'!$O561=$B$3),IF($D$3="(todos)",TRUE,'ORDENES'!$AI561=$D$3),IF($F$3="(todos)",TRUE,'ORDENES'!$AA561=$F$3),IF($H$3="(todos)",TRUE,'ORDENES'!$Z561=$H$3),'ORDENES'!$AG561=TRUE,'ORDENES'!$A561&lt;&gt;""),1,0)</f>
        <v/>
      </c>
      <c r="L565" s="24">
        <f>IF(K565=1,IFERROR(MATCH('ORDENES'!$S561,lista_dias,0),9)*1000000000+IFERROR(MATCH('ORDENES'!$AI561,lista_turnos,0),9)*10000000+IFERROR(MATCH('ORDENES'!$AH561,'TECNICOS'!$B$4:$B$19,0),99)*100000+558,9000000000000+558)</f>
        <v/>
      </c>
      <c r="M565" s="24">
        <f>IF(K565=1,SUMPRODUCT(--($L$8:$L$1207&lt;L565))+1,"")</f>
        <v/>
      </c>
      <c r="N565" s="25">
        <f>IF(K565=1,N('ORDENES'!$M561),0)</f>
        <v/>
      </c>
      <c r="O565" s="25">
        <f>IF('ORDENES'!$U561="preventiva",N565,0)</f>
        <v/>
      </c>
      <c r="P565" s="25">
        <f>IF('ORDENES'!$U561="correctiva",N565,0)</f>
        <v/>
      </c>
      <c r="Q565" s="24">
        <f>IF(AND(K565=1,'ORDENES'!$N561="Pendiente"),1,0)</f>
        <v/>
      </c>
      <c r="R565" s="24">
        <f>IF(Q565=1,100000-N565*1000+558*0.01,9000000000000+558)</f>
        <v/>
      </c>
      <c r="S565" s="24">
        <f>IF(Q565=1,SUMPRODUCT(--($R$8:$R$1207&lt;R565))+1,"")</f>
        <v/>
      </c>
      <c r="T565" s="30">
        <f>IF(K565=1,'ORDENES'!$J561,"")</f>
        <v/>
      </c>
    </row>
    <row r="566">
      <c r="K566" s="24">
        <f>IF(AND(IF($B$3="(todos)",TRUE,'ORDENES'!$O562=$B$3),IF($D$3="(todos)",TRUE,'ORDENES'!$AI562=$D$3),IF($F$3="(todos)",TRUE,'ORDENES'!$AA562=$F$3),IF($H$3="(todos)",TRUE,'ORDENES'!$Z562=$H$3),'ORDENES'!$AG562=TRUE,'ORDENES'!$A562&lt;&gt;""),1,0)</f>
        <v/>
      </c>
      <c r="L566" s="24">
        <f>IF(K566=1,IFERROR(MATCH('ORDENES'!$S562,lista_dias,0),9)*1000000000+IFERROR(MATCH('ORDENES'!$AI562,lista_turnos,0),9)*10000000+IFERROR(MATCH('ORDENES'!$AH562,'TECNICOS'!$B$4:$B$19,0),99)*100000+559,9000000000000+559)</f>
        <v/>
      </c>
      <c r="M566" s="24">
        <f>IF(K566=1,SUMPRODUCT(--($L$8:$L$1207&lt;L566))+1,"")</f>
        <v/>
      </c>
      <c r="N566" s="25">
        <f>IF(K566=1,N('ORDENES'!$M562),0)</f>
        <v/>
      </c>
      <c r="O566" s="25">
        <f>IF('ORDENES'!$U562="preventiva",N566,0)</f>
        <v/>
      </c>
      <c r="P566" s="25">
        <f>IF('ORDENES'!$U562="correctiva",N566,0)</f>
        <v/>
      </c>
      <c r="Q566" s="24">
        <f>IF(AND(K566=1,'ORDENES'!$N562="Pendiente"),1,0)</f>
        <v/>
      </c>
      <c r="R566" s="24">
        <f>IF(Q566=1,100000-N566*1000+559*0.01,9000000000000+559)</f>
        <v/>
      </c>
      <c r="S566" s="24">
        <f>IF(Q566=1,SUMPRODUCT(--($R$8:$R$1207&lt;R566))+1,"")</f>
        <v/>
      </c>
      <c r="T566" s="30">
        <f>IF(K566=1,'ORDENES'!$J562,"")</f>
        <v/>
      </c>
    </row>
    <row r="567">
      <c r="K567" s="24">
        <f>IF(AND(IF($B$3="(todos)",TRUE,'ORDENES'!$O563=$B$3),IF($D$3="(todos)",TRUE,'ORDENES'!$AI563=$D$3),IF($F$3="(todos)",TRUE,'ORDENES'!$AA563=$F$3),IF($H$3="(todos)",TRUE,'ORDENES'!$Z563=$H$3),'ORDENES'!$AG563=TRUE,'ORDENES'!$A563&lt;&gt;""),1,0)</f>
        <v/>
      </c>
      <c r="L567" s="24">
        <f>IF(K567=1,IFERROR(MATCH('ORDENES'!$S563,lista_dias,0),9)*1000000000+IFERROR(MATCH('ORDENES'!$AI563,lista_turnos,0),9)*10000000+IFERROR(MATCH('ORDENES'!$AH563,'TECNICOS'!$B$4:$B$19,0),99)*100000+560,9000000000000+560)</f>
        <v/>
      </c>
      <c r="M567" s="24">
        <f>IF(K567=1,SUMPRODUCT(--($L$8:$L$1207&lt;L567))+1,"")</f>
        <v/>
      </c>
      <c r="N567" s="25">
        <f>IF(K567=1,N('ORDENES'!$M563),0)</f>
        <v/>
      </c>
      <c r="O567" s="25">
        <f>IF('ORDENES'!$U563="preventiva",N567,0)</f>
        <v/>
      </c>
      <c r="P567" s="25">
        <f>IF('ORDENES'!$U563="correctiva",N567,0)</f>
        <v/>
      </c>
      <c r="Q567" s="24">
        <f>IF(AND(K567=1,'ORDENES'!$N563="Pendiente"),1,0)</f>
        <v/>
      </c>
      <c r="R567" s="24">
        <f>IF(Q567=1,100000-N567*1000+560*0.01,9000000000000+560)</f>
        <v/>
      </c>
      <c r="S567" s="24">
        <f>IF(Q567=1,SUMPRODUCT(--($R$8:$R$1207&lt;R567))+1,"")</f>
        <v/>
      </c>
      <c r="T567" s="30">
        <f>IF(K567=1,'ORDENES'!$J563,"")</f>
        <v/>
      </c>
    </row>
    <row r="568">
      <c r="K568" s="24">
        <f>IF(AND(IF($B$3="(todos)",TRUE,'ORDENES'!$O564=$B$3),IF($D$3="(todos)",TRUE,'ORDENES'!$AI564=$D$3),IF($F$3="(todos)",TRUE,'ORDENES'!$AA564=$F$3),IF($H$3="(todos)",TRUE,'ORDENES'!$Z564=$H$3),'ORDENES'!$AG564=TRUE,'ORDENES'!$A564&lt;&gt;""),1,0)</f>
        <v/>
      </c>
      <c r="L568" s="24">
        <f>IF(K568=1,IFERROR(MATCH('ORDENES'!$S564,lista_dias,0),9)*1000000000+IFERROR(MATCH('ORDENES'!$AI564,lista_turnos,0),9)*10000000+IFERROR(MATCH('ORDENES'!$AH564,'TECNICOS'!$B$4:$B$19,0),99)*100000+561,9000000000000+561)</f>
        <v/>
      </c>
      <c r="M568" s="24">
        <f>IF(K568=1,SUMPRODUCT(--($L$8:$L$1207&lt;L568))+1,"")</f>
        <v/>
      </c>
      <c r="N568" s="25">
        <f>IF(K568=1,N('ORDENES'!$M564),0)</f>
        <v/>
      </c>
      <c r="O568" s="25">
        <f>IF('ORDENES'!$U564="preventiva",N568,0)</f>
        <v/>
      </c>
      <c r="P568" s="25">
        <f>IF('ORDENES'!$U564="correctiva",N568,0)</f>
        <v/>
      </c>
      <c r="Q568" s="24">
        <f>IF(AND(K568=1,'ORDENES'!$N564="Pendiente"),1,0)</f>
        <v/>
      </c>
      <c r="R568" s="24">
        <f>IF(Q568=1,100000-N568*1000+561*0.01,9000000000000+561)</f>
        <v/>
      </c>
      <c r="S568" s="24">
        <f>IF(Q568=1,SUMPRODUCT(--($R$8:$R$1207&lt;R568))+1,"")</f>
        <v/>
      </c>
      <c r="T568" s="30">
        <f>IF(K568=1,'ORDENES'!$J564,"")</f>
        <v/>
      </c>
    </row>
    <row r="569">
      <c r="K569" s="24">
        <f>IF(AND(IF($B$3="(todos)",TRUE,'ORDENES'!$O565=$B$3),IF($D$3="(todos)",TRUE,'ORDENES'!$AI565=$D$3),IF($F$3="(todos)",TRUE,'ORDENES'!$AA565=$F$3),IF($H$3="(todos)",TRUE,'ORDENES'!$Z565=$H$3),'ORDENES'!$AG565=TRUE,'ORDENES'!$A565&lt;&gt;""),1,0)</f>
        <v/>
      </c>
      <c r="L569" s="24">
        <f>IF(K569=1,IFERROR(MATCH('ORDENES'!$S565,lista_dias,0),9)*1000000000+IFERROR(MATCH('ORDENES'!$AI565,lista_turnos,0),9)*10000000+IFERROR(MATCH('ORDENES'!$AH565,'TECNICOS'!$B$4:$B$19,0),99)*100000+562,9000000000000+562)</f>
        <v/>
      </c>
      <c r="M569" s="24">
        <f>IF(K569=1,SUMPRODUCT(--($L$8:$L$1207&lt;L569))+1,"")</f>
        <v/>
      </c>
      <c r="N569" s="25">
        <f>IF(K569=1,N('ORDENES'!$M565),0)</f>
        <v/>
      </c>
      <c r="O569" s="25">
        <f>IF('ORDENES'!$U565="preventiva",N569,0)</f>
        <v/>
      </c>
      <c r="P569" s="25">
        <f>IF('ORDENES'!$U565="correctiva",N569,0)</f>
        <v/>
      </c>
      <c r="Q569" s="24">
        <f>IF(AND(K569=1,'ORDENES'!$N565="Pendiente"),1,0)</f>
        <v/>
      </c>
      <c r="R569" s="24">
        <f>IF(Q569=1,100000-N569*1000+562*0.01,9000000000000+562)</f>
        <v/>
      </c>
      <c r="S569" s="24">
        <f>IF(Q569=1,SUMPRODUCT(--($R$8:$R$1207&lt;R569))+1,"")</f>
        <v/>
      </c>
      <c r="T569" s="30">
        <f>IF(K569=1,'ORDENES'!$J565,"")</f>
        <v/>
      </c>
    </row>
    <row r="570">
      <c r="K570" s="24">
        <f>IF(AND(IF($B$3="(todos)",TRUE,'ORDENES'!$O566=$B$3),IF($D$3="(todos)",TRUE,'ORDENES'!$AI566=$D$3),IF($F$3="(todos)",TRUE,'ORDENES'!$AA566=$F$3),IF($H$3="(todos)",TRUE,'ORDENES'!$Z566=$H$3),'ORDENES'!$AG566=TRUE,'ORDENES'!$A566&lt;&gt;""),1,0)</f>
        <v/>
      </c>
      <c r="L570" s="24">
        <f>IF(K570=1,IFERROR(MATCH('ORDENES'!$S566,lista_dias,0),9)*1000000000+IFERROR(MATCH('ORDENES'!$AI566,lista_turnos,0),9)*10000000+IFERROR(MATCH('ORDENES'!$AH566,'TECNICOS'!$B$4:$B$19,0),99)*100000+563,9000000000000+563)</f>
        <v/>
      </c>
      <c r="M570" s="24">
        <f>IF(K570=1,SUMPRODUCT(--($L$8:$L$1207&lt;L570))+1,"")</f>
        <v/>
      </c>
      <c r="N570" s="25">
        <f>IF(K570=1,N('ORDENES'!$M566),0)</f>
        <v/>
      </c>
      <c r="O570" s="25">
        <f>IF('ORDENES'!$U566="preventiva",N570,0)</f>
        <v/>
      </c>
      <c r="P570" s="25">
        <f>IF('ORDENES'!$U566="correctiva",N570,0)</f>
        <v/>
      </c>
      <c r="Q570" s="24">
        <f>IF(AND(K570=1,'ORDENES'!$N566="Pendiente"),1,0)</f>
        <v/>
      </c>
      <c r="R570" s="24">
        <f>IF(Q570=1,100000-N570*1000+563*0.01,9000000000000+563)</f>
        <v/>
      </c>
      <c r="S570" s="24">
        <f>IF(Q570=1,SUMPRODUCT(--($R$8:$R$1207&lt;R570))+1,"")</f>
        <v/>
      </c>
      <c r="T570" s="30">
        <f>IF(K570=1,'ORDENES'!$J566,"")</f>
        <v/>
      </c>
    </row>
    <row r="571">
      <c r="K571" s="24">
        <f>IF(AND(IF($B$3="(todos)",TRUE,'ORDENES'!$O567=$B$3),IF($D$3="(todos)",TRUE,'ORDENES'!$AI567=$D$3),IF($F$3="(todos)",TRUE,'ORDENES'!$AA567=$F$3),IF($H$3="(todos)",TRUE,'ORDENES'!$Z567=$H$3),'ORDENES'!$AG567=TRUE,'ORDENES'!$A567&lt;&gt;""),1,0)</f>
        <v/>
      </c>
      <c r="L571" s="24">
        <f>IF(K571=1,IFERROR(MATCH('ORDENES'!$S567,lista_dias,0),9)*1000000000+IFERROR(MATCH('ORDENES'!$AI567,lista_turnos,0),9)*10000000+IFERROR(MATCH('ORDENES'!$AH567,'TECNICOS'!$B$4:$B$19,0),99)*100000+564,9000000000000+564)</f>
        <v/>
      </c>
      <c r="M571" s="24">
        <f>IF(K571=1,SUMPRODUCT(--($L$8:$L$1207&lt;L571))+1,"")</f>
        <v/>
      </c>
      <c r="N571" s="25">
        <f>IF(K571=1,N('ORDENES'!$M567),0)</f>
        <v/>
      </c>
      <c r="O571" s="25">
        <f>IF('ORDENES'!$U567="preventiva",N571,0)</f>
        <v/>
      </c>
      <c r="P571" s="25">
        <f>IF('ORDENES'!$U567="correctiva",N571,0)</f>
        <v/>
      </c>
      <c r="Q571" s="24">
        <f>IF(AND(K571=1,'ORDENES'!$N567="Pendiente"),1,0)</f>
        <v/>
      </c>
      <c r="R571" s="24">
        <f>IF(Q571=1,100000-N571*1000+564*0.01,9000000000000+564)</f>
        <v/>
      </c>
      <c r="S571" s="24">
        <f>IF(Q571=1,SUMPRODUCT(--($R$8:$R$1207&lt;R571))+1,"")</f>
        <v/>
      </c>
      <c r="T571" s="30">
        <f>IF(K571=1,'ORDENES'!$J567,"")</f>
        <v/>
      </c>
    </row>
    <row r="572">
      <c r="K572" s="24">
        <f>IF(AND(IF($B$3="(todos)",TRUE,'ORDENES'!$O568=$B$3),IF($D$3="(todos)",TRUE,'ORDENES'!$AI568=$D$3),IF($F$3="(todos)",TRUE,'ORDENES'!$AA568=$F$3),IF($H$3="(todos)",TRUE,'ORDENES'!$Z568=$H$3),'ORDENES'!$AG568=TRUE,'ORDENES'!$A568&lt;&gt;""),1,0)</f>
        <v/>
      </c>
      <c r="L572" s="24">
        <f>IF(K572=1,IFERROR(MATCH('ORDENES'!$S568,lista_dias,0),9)*1000000000+IFERROR(MATCH('ORDENES'!$AI568,lista_turnos,0),9)*10000000+IFERROR(MATCH('ORDENES'!$AH568,'TECNICOS'!$B$4:$B$19,0),99)*100000+565,9000000000000+565)</f>
        <v/>
      </c>
      <c r="M572" s="24">
        <f>IF(K572=1,SUMPRODUCT(--($L$8:$L$1207&lt;L572))+1,"")</f>
        <v/>
      </c>
      <c r="N572" s="25">
        <f>IF(K572=1,N('ORDENES'!$M568),0)</f>
        <v/>
      </c>
      <c r="O572" s="25">
        <f>IF('ORDENES'!$U568="preventiva",N572,0)</f>
        <v/>
      </c>
      <c r="P572" s="25">
        <f>IF('ORDENES'!$U568="correctiva",N572,0)</f>
        <v/>
      </c>
      <c r="Q572" s="24">
        <f>IF(AND(K572=1,'ORDENES'!$N568="Pendiente"),1,0)</f>
        <v/>
      </c>
      <c r="R572" s="24">
        <f>IF(Q572=1,100000-N572*1000+565*0.01,9000000000000+565)</f>
        <v/>
      </c>
      <c r="S572" s="24">
        <f>IF(Q572=1,SUMPRODUCT(--($R$8:$R$1207&lt;R572))+1,"")</f>
        <v/>
      </c>
      <c r="T572" s="30">
        <f>IF(K572=1,'ORDENES'!$J568,"")</f>
        <v/>
      </c>
    </row>
    <row r="573">
      <c r="K573" s="24">
        <f>IF(AND(IF($B$3="(todos)",TRUE,'ORDENES'!$O569=$B$3),IF($D$3="(todos)",TRUE,'ORDENES'!$AI569=$D$3),IF($F$3="(todos)",TRUE,'ORDENES'!$AA569=$F$3),IF($H$3="(todos)",TRUE,'ORDENES'!$Z569=$H$3),'ORDENES'!$AG569=TRUE,'ORDENES'!$A569&lt;&gt;""),1,0)</f>
        <v/>
      </c>
      <c r="L573" s="24">
        <f>IF(K573=1,IFERROR(MATCH('ORDENES'!$S569,lista_dias,0),9)*1000000000+IFERROR(MATCH('ORDENES'!$AI569,lista_turnos,0),9)*10000000+IFERROR(MATCH('ORDENES'!$AH569,'TECNICOS'!$B$4:$B$19,0),99)*100000+566,9000000000000+566)</f>
        <v/>
      </c>
      <c r="M573" s="24">
        <f>IF(K573=1,SUMPRODUCT(--($L$8:$L$1207&lt;L573))+1,"")</f>
        <v/>
      </c>
      <c r="N573" s="25">
        <f>IF(K573=1,N('ORDENES'!$M569),0)</f>
        <v/>
      </c>
      <c r="O573" s="25">
        <f>IF('ORDENES'!$U569="preventiva",N573,0)</f>
        <v/>
      </c>
      <c r="P573" s="25">
        <f>IF('ORDENES'!$U569="correctiva",N573,0)</f>
        <v/>
      </c>
      <c r="Q573" s="24">
        <f>IF(AND(K573=1,'ORDENES'!$N569="Pendiente"),1,0)</f>
        <v/>
      </c>
      <c r="R573" s="24">
        <f>IF(Q573=1,100000-N573*1000+566*0.01,9000000000000+566)</f>
        <v/>
      </c>
      <c r="S573" s="24">
        <f>IF(Q573=1,SUMPRODUCT(--($R$8:$R$1207&lt;R573))+1,"")</f>
        <v/>
      </c>
      <c r="T573" s="30">
        <f>IF(K573=1,'ORDENES'!$J569,"")</f>
        <v/>
      </c>
    </row>
    <row r="574">
      <c r="K574" s="24">
        <f>IF(AND(IF($B$3="(todos)",TRUE,'ORDENES'!$O570=$B$3),IF($D$3="(todos)",TRUE,'ORDENES'!$AI570=$D$3),IF($F$3="(todos)",TRUE,'ORDENES'!$AA570=$F$3),IF($H$3="(todos)",TRUE,'ORDENES'!$Z570=$H$3),'ORDENES'!$AG570=TRUE,'ORDENES'!$A570&lt;&gt;""),1,0)</f>
        <v/>
      </c>
      <c r="L574" s="24">
        <f>IF(K574=1,IFERROR(MATCH('ORDENES'!$S570,lista_dias,0),9)*1000000000+IFERROR(MATCH('ORDENES'!$AI570,lista_turnos,0),9)*10000000+IFERROR(MATCH('ORDENES'!$AH570,'TECNICOS'!$B$4:$B$19,0),99)*100000+567,9000000000000+567)</f>
        <v/>
      </c>
      <c r="M574" s="24">
        <f>IF(K574=1,SUMPRODUCT(--($L$8:$L$1207&lt;L574))+1,"")</f>
        <v/>
      </c>
      <c r="N574" s="25">
        <f>IF(K574=1,N('ORDENES'!$M570),0)</f>
        <v/>
      </c>
      <c r="O574" s="25">
        <f>IF('ORDENES'!$U570="preventiva",N574,0)</f>
        <v/>
      </c>
      <c r="P574" s="25">
        <f>IF('ORDENES'!$U570="correctiva",N574,0)</f>
        <v/>
      </c>
      <c r="Q574" s="24">
        <f>IF(AND(K574=1,'ORDENES'!$N570="Pendiente"),1,0)</f>
        <v/>
      </c>
      <c r="R574" s="24">
        <f>IF(Q574=1,100000-N574*1000+567*0.01,9000000000000+567)</f>
        <v/>
      </c>
      <c r="S574" s="24">
        <f>IF(Q574=1,SUMPRODUCT(--($R$8:$R$1207&lt;R574))+1,"")</f>
        <v/>
      </c>
      <c r="T574" s="30">
        <f>IF(K574=1,'ORDENES'!$J570,"")</f>
        <v/>
      </c>
    </row>
    <row r="575">
      <c r="K575" s="24">
        <f>IF(AND(IF($B$3="(todos)",TRUE,'ORDENES'!$O571=$B$3),IF($D$3="(todos)",TRUE,'ORDENES'!$AI571=$D$3),IF($F$3="(todos)",TRUE,'ORDENES'!$AA571=$F$3),IF($H$3="(todos)",TRUE,'ORDENES'!$Z571=$H$3),'ORDENES'!$AG571=TRUE,'ORDENES'!$A571&lt;&gt;""),1,0)</f>
        <v/>
      </c>
      <c r="L575" s="24">
        <f>IF(K575=1,IFERROR(MATCH('ORDENES'!$S571,lista_dias,0),9)*1000000000+IFERROR(MATCH('ORDENES'!$AI571,lista_turnos,0),9)*10000000+IFERROR(MATCH('ORDENES'!$AH571,'TECNICOS'!$B$4:$B$19,0),99)*100000+568,9000000000000+568)</f>
        <v/>
      </c>
      <c r="M575" s="24">
        <f>IF(K575=1,SUMPRODUCT(--($L$8:$L$1207&lt;L575))+1,"")</f>
        <v/>
      </c>
      <c r="N575" s="25">
        <f>IF(K575=1,N('ORDENES'!$M571),0)</f>
        <v/>
      </c>
      <c r="O575" s="25">
        <f>IF('ORDENES'!$U571="preventiva",N575,0)</f>
        <v/>
      </c>
      <c r="P575" s="25">
        <f>IF('ORDENES'!$U571="correctiva",N575,0)</f>
        <v/>
      </c>
      <c r="Q575" s="24">
        <f>IF(AND(K575=1,'ORDENES'!$N571="Pendiente"),1,0)</f>
        <v/>
      </c>
      <c r="R575" s="24">
        <f>IF(Q575=1,100000-N575*1000+568*0.01,9000000000000+568)</f>
        <v/>
      </c>
      <c r="S575" s="24">
        <f>IF(Q575=1,SUMPRODUCT(--($R$8:$R$1207&lt;R575))+1,"")</f>
        <v/>
      </c>
      <c r="T575" s="30">
        <f>IF(K575=1,'ORDENES'!$J571,"")</f>
        <v/>
      </c>
    </row>
    <row r="576">
      <c r="K576" s="24">
        <f>IF(AND(IF($B$3="(todos)",TRUE,'ORDENES'!$O572=$B$3),IF($D$3="(todos)",TRUE,'ORDENES'!$AI572=$D$3),IF($F$3="(todos)",TRUE,'ORDENES'!$AA572=$F$3),IF($H$3="(todos)",TRUE,'ORDENES'!$Z572=$H$3),'ORDENES'!$AG572=TRUE,'ORDENES'!$A572&lt;&gt;""),1,0)</f>
        <v/>
      </c>
      <c r="L576" s="24">
        <f>IF(K576=1,IFERROR(MATCH('ORDENES'!$S572,lista_dias,0),9)*1000000000+IFERROR(MATCH('ORDENES'!$AI572,lista_turnos,0),9)*10000000+IFERROR(MATCH('ORDENES'!$AH572,'TECNICOS'!$B$4:$B$19,0),99)*100000+569,9000000000000+569)</f>
        <v/>
      </c>
      <c r="M576" s="24">
        <f>IF(K576=1,SUMPRODUCT(--($L$8:$L$1207&lt;L576))+1,"")</f>
        <v/>
      </c>
      <c r="N576" s="25">
        <f>IF(K576=1,N('ORDENES'!$M572),0)</f>
        <v/>
      </c>
      <c r="O576" s="25">
        <f>IF('ORDENES'!$U572="preventiva",N576,0)</f>
        <v/>
      </c>
      <c r="P576" s="25">
        <f>IF('ORDENES'!$U572="correctiva",N576,0)</f>
        <v/>
      </c>
      <c r="Q576" s="24">
        <f>IF(AND(K576=1,'ORDENES'!$N572="Pendiente"),1,0)</f>
        <v/>
      </c>
      <c r="R576" s="24">
        <f>IF(Q576=1,100000-N576*1000+569*0.01,9000000000000+569)</f>
        <v/>
      </c>
      <c r="S576" s="24">
        <f>IF(Q576=1,SUMPRODUCT(--($R$8:$R$1207&lt;R576))+1,"")</f>
        <v/>
      </c>
      <c r="T576" s="30">
        <f>IF(K576=1,'ORDENES'!$J572,"")</f>
        <v/>
      </c>
    </row>
    <row r="577">
      <c r="K577" s="24">
        <f>IF(AND(IF($B$3="(todos)",TRUE,'ORDENES'!$O573=$B$3),IF($D$3="(todos)",TRUE,'ORDENES'!$AI573=$D$3),IF($F$3="(todos)",TRUE,'ORDENES'!$AA573=$F$3),IF($H$3="(todos)",TRUE,'ORDENES'!$Z573=$H$3),'ORDENES'!$AG573=TRUE,'ORDENES'!$A573&lt;&gt;""),1,0)</f>
        <v/>
      </c>
      <c r="L577" s="24">
        <f>IF(K577=1,IFERROR(MATCH('ORDENES'!$S573,lista_dias,0),9)*1000000000+IFERROR(MATCH('ORDENES'!$AI573,lista_turnos,0),9)*10000000+IFERROR(MATCH('ORDENES'!$AH573,'TECNICOS'!$B$4:$B$19,0),99)*100000+570,9000000000000+570)</f>
        <v/>
      </c>
      <c r="M577" s="24">
        <f>IF(K577=1,SUMPRODUCT(--($L$8:$L$1207&lt;L577))+1,"")</f>
        <v/>
      </c>
      <c r="N577" s="25">
        <f>IF(K577=1,N('ORDENES'!$M573),0)</f>
        <v/>
      </c>
      <c r="O577" s="25">
        <f>IF('ORDENES'!$U573="preventiva",N577,0)</f>
        <v/>
      </c>
      <c r="P577" s="25">
        <f>IF('ORDENES'!$U573="correctiva",N577,0)</f>
        <v/>
      </c>
      <c r="Q577" s="24">
        <f>IF(AND(K577=1,'ORDENES'!$N573="Pendiente"),1,0)</f>
        <v/>
      </c>
      <c r="R577" s="24">
        <f>IF(Q577=1,100000-N577*1000+570*0.01,9000000000000+570)</f>
        <v/>
      </c>
      <c r="S577" s="24">
        <f>IF(Q577=1,SUMPRODUCT(--($R$8:$R$1207&lt;R577))+1,"")</f>
        <v/>
      </c>
      <c r="T577" s="30">
        <f>IF(K577=1,'ORDENES'!$J573,"")</f>
        <v/>
      </c>
    </row>
    <row r="578">
      <c r="K578" s="24">
        <f>IF(AND(IF($B$3="(todos)",TRUE,'ORDENES'!$O574=$B$3),IF($D$3="(todos)",TRUE,'ORDENES'!$AI574=$D$3),IF($F$3="(todos)",TRUE,'ORDENES'!$AA574=$F$3),IF($H$3="(todos)",TRUE,'ORDENES'!$Z574=$H$3),'ORDENES'!$AG574=TRUE,'ORDENES'!$A574&lt;&gt;""),1,0)</f>
        <v/>
      </c>
      <c r="L578" s="24">
        <f>IF(K578=1,IFERROR(MATCH('ORDENES'!$S574,lista_dias,0),9)*1000000000+IFERROR(MATCH('ORDENES'!$AI574,lista_turnos,0),9)*10000000+IFERROR(MATCH('ORDENES'!$AH574,'TECNICOS'!$B$4:$B$19,0),99)*100000+571,9000000000000+571)</f>
        <v/>
      </c>
      <c r="M578" s="24">
        <f>IF(K578=1,SUMPRODUCT(--($L$8:$L$1207&lt;L578))+1,"")</f>
        <v/>
      </c>
      <c r="N578" s="25">
        <f>IF(K578=1,N('ORDENES'!$M574),0)</f>
        <v/>
      </c>
      <c r="O578" s="25">
        <f>IF('ORDENES'!$U574="preventiva",N578,0)</f>
        <v/>
      </c>
      <c r="P578" s="25">
        <f>IF('ORDENES'!$U574="correctiva",N578,0)</f>
        <v/>
      </c>
      <c r="Q578" s="24">
        <f>IF(AND(K578=1,'ORDENES'!$N574="Pendiente"),1,0)</f>
        <v/>
      </c>
      <c r="R578" s="24">
        <f>IF(Q578=1,100000-N578*1000+571*0.01,9000000000000+571)</f>
        <v/>
      </c>
      <c r="S578" s="24">
        <f>IF(Q578=1,SUMPRODUCT(--($R$8:$R$1207&lt;R578))+1,"")</f>
        <v/>
      </c>
      <c r="T578" s="30">
        <f>IF(K578=1,'ORDENES'!$J574,"")</f>
        <v/>
      </c>
    </row>
    <row r="579">
      <c r="K579" s="24">
        <f>IF(AND(IF($B$3="(todos)",TRUE,'ORDENES'!$O575=$B$3),IF($D$3="(todos)",TRUE,'ORDENES'!$AI575=$D$3),IF($F$3="(todos)",TRUE,'ORDENES'!$AA575=$F$3),IF($H$3="(todos)",TRUE,'ORDENES'!$Z575=$H$3),'ORDENES'!$AG575=TRUE,'ORDENES'!$A575&lt;&gt;""),1,0)</f>
        <v/>
      </c>
      <c r="L579" s="24">
        <f>IF(K579=1,IFERROR(MATCH('ORDENES'!$S575,lista_dias,0),9)*1000000000+IFERROR(MATCH('ORDENES'!$AI575,lista_turnos,0),9)*10000000+IFERROR(MATCH('ORDENES'!$AH575,'TECNICOS'!$B$4:$B$19,0),99)*100000+572,9000000000000+572)</f>
        <v/>
      </c>
      <c r="M579" s="24">
        <f>IF(K579=1,SUMPRODUCT(--($L$8:$L$1207&lt;L579))+1,"")</f>
        <v/>
      </c>
      <c r="N579" s="25">
        <f>IF(K579=1,N('ORDENES'!$M575),0)</f>
        <v/>
      </c>
      <c r="O579" s="25">
        <f>IF('ORDENES'!$U575="preventiva",N579,0)</f>
        <v/>
      </c>
      <c r="P579" s="25">
        <f>IF('ORDENES'!$U575="correctiva",N579,0)</f>
        <v/>
      </c>
      <c r="Q579" s="24">
        <f>IF(AND(K579=1,'ORDENES'!$N575="Pendiente"),1,0)</f>
        <v/>
      </c>
      <c r="R579" s="24">
        <f>IF(Q579=1,100000-N579*1000+572*0.01,9000000000000+572)</f>
        <v/>
      </c>
      <c r="S579" s="24">
        <f>IF(Q579=1,SUMPRODUCT(--($R$8:$R$1207&lt;R579))+1,"")</f>
        <v/>
      </c>
      <c r="T579" s="30">
        <f>IF(K579=1,'ORDENES'!$J575,"")</f>
        <v/>
      </c>
    </row>
    <row r="580">
      <c r="K580" s="24">
        <f>IF(AND(IF($B$3="(todos)",TRUE,'ORDENES'!$O576=$B$3),IF($D$3="(todos)",TRUE,'ORDENES'!$AI576=$D$3),IF($F$3="(todos)",TRUE,'ORDENES'!$AA576=$F$3),IF($H$3="(todos)",TRUE,'ORDENES'!$Z576=$H$3),'ORDENES'!$AG576=TRUE,'ORDENES'!$A576&lt;&gt;""),1,0)</f>
        <v/>
      </c>
      <c r="L580" s="24">
        <f>IF(K580=1,IFERROR(MATCH('ORDENES'!$S576,lista_dias,0),9)*1000000000+IFERROR(MATCH('ORDENES'!$AI576,lista_turnos,0),9)*10000000+IFERROR(MATCH('ORDENES'!$AH576,'TECNICOS'!$B$4:$B$19,0),99)*100000+573,9000000000000+573)</f>
        <v/>
      </c>
      <c r="M580" s="24">
        <f>IF(K580=1,SUMPRODUCT(--($L$8:$L$1207&lt;L580))+1,"")</f>
        <v/>
      </c>
      <c r="N580" s="25">
        <f>IF(K580=1,N('ORDENES'!$M576),0)</f>
        <v/>
      </c>
      <c r="O580" s="25">
        <f>IF('ORDENES'!$U576="preventiva",N580,0)</f>
        <v/>
      </c>
      <c r="P580" s="25">
        <f>IF('ORDENES'!$U576="correctiva",N580,0)</f>
        <v/>
      </c>
      <c r="Q580" s="24">
        <f>IF(AND(K580=1,'ORDENES'!$N576="Pendiente"),1,0)</f>
        <v/>
      </c>
      <c r="R580" s="24">
        <f>IF(Q580=1,100000-N580*1000+573*0.01,9000000000000+573)</f>
        <v/>
      </c>
      <c r="S580" s="24">
        <f>IF(Q580=1,SUMPRODUCT(--($R$8:$R$1207&lt;R580))+1,"")</f>
        <v/>
      </c>
      <c r="T580" s="30">
        <f>IF(K580=1,'ORDENES'!$J576,"")</f>
        <v/>
      </c>
    </row>
    <row r="581">
      <c r="K581" s="24">
        <f>IF(AND(IF($B$3="(todos)",TRUE,'ORDENES'!$O577=$B$3),IF($D$3="(todos)",TRUE,'ORDENES'!$AI577=$D$3),IF($F$3="(todos)",TRUE,'ORDENES'!$AA577=$F$3),IF($H$3="(todos)",TRUE,'ORDENES'!$Z577=$H$3),'ORDENES'!$AG577=TRUE,'ORDENES'!$A577&lt;&gt;""),1,0)</f>
        <v/>
      </c>
      <c r="L581" s="24">
        <f>IF(K581=1,IFERROR(MATCH('ORDENES'!$S577,lista_dias,0),9)*1000000000+IFERROR(MATCH('ORDENES'!$AI577,lista_turnos,0),9)*10000000+IFERROR(MATCH('ORDENES'!$AH577,'TECNICOS'!$B$4:$B$19,0),99)*100000+574,9000000000000+574)</f>
        <v/>
      </c>
      <c r="M581" s="24">
        <f>IF(K581=1,SUMPRODUCT(--($L$8:$L$1207&lt;L581))+1,"")</f>
        <v/>
      </c>
      <c r="N581" s="25">
        <f>IF(K581=1,N('ORDENES'!$M577),0)</f>
        <v/>
      </c>
      <c r="O581" s="25">
        <f>IF('ORDENES'!$U577="preventiva",N581,0)</f>
        <v/>
      </c>
      <c r="P581" s="25">
        <f>IF('ORDENES'!$U577="correctiva",N581,0)</f>
        <v/>
      </c>
      <c r="Q581" s="24">
        <f>IF(AND(K581=1,'ORDENES'!$N577="Pendiente"),1,0)</f>
        <v/>
      </c>
      <c r="R581" s="24">
        <f>IF(Q581=1,100000-N581*1000+574*0.01,9000000000000+574)</f>
        <v/>
      </c>
      <c r="S581" s="24">
        <f>IF(Q581=1,SUMPRODUCT(--($R$8:$R$1207&lt;R581))+1,"")</f>
        <v/>
      </c>
      <c r="T581" s="30">
        <f>IF(K581=1,'ORDENES'!$J577,"")</f>
        <v/>
      </c>
    </row>
    <row r="582">
      <c r="K582" s="24">
        <f>IF(AND(IF($B$3="(todos)",TRUE,'ORDENES'!$O578=$B$3),IF($D$3="(todos)",TRUE,'ORDENES'!$AI578=$D$3),IF($F$3="(todos)",TRUE,'ORDENES'!$AA578=$F$3),IF($H$3="(todos)",TRUE,'ORDENES'!$Z578=$H$3),'ORDENES'!$AG578=TRUE,'ORDENES'!$A578&lt;&gt;""),1,0)</f>
        <v/>
      </c>
      <c r="L582" s="24">
        <f>IF(K582=1,IFERROR(MATCH('ORDENES'!$S578,lista_dias,0),9)*1000000000+IFERROR(MATCH('ORDENES'!$AI578,lista_turnos,0),9)*10000000+IFERROR(MATCH('ORDENES'!$AH578,'TECNICOS'!$B$4:$B$19,0),99)*100000+575,9000000000000+575)</f>
        <v/>
      </c>
      <c r="M582" s="24">
        <f>IF(K582=1,SUMPRODUCT(--($L$8:$L$1207&lt;L582))+1,"")</f>
        <v/>
      </c>
      <c r="N582" s="25">
        <f>IF(K582=1,N('ORDENES'!$M578),0)</f>
        <v/>
      </c>
      <c r="O582" s="25">
        <f>IF('ORDENES'!$U578="preventiva",N582,0)</f>
        <v/>
      </c>
      <c r="P582" s="25">
        <f>IF('ORDENES'!$U578="correctiva",N582,0)</f>
        <v/>
      </c>
      <c r="Q582" s="24">
        <f>IF(AND(K582=1,'ORDENES'!$N578="Pendiente"),1,0)</f>
        <v/>
      </c>
      <c r="R582" s="24">
        <f>IF(Q582=1,100000-N582*1000+575*0.01,9000000000000+575)</f>
        <v/>
      </c>
      <c r="S582" s="24">
        <f>IF(Q582=1,SUMPRODUCT(--($R$8:$R$1207&lt;R582))+1,"")</f>
        <v/>
      </c>
      <c r="T582" s="30">
        <f>IF(K582=1,'ORDENES'!$J578,"")</f>
        <v/>
      </c>
    </row>
    <row r="583">
      <c r="K583" s="24">
        <f>IF(AND(IF($B$3="(todos)",TRUE,'ORDENES'!$O579=$B$3),IF($D$3="(todos)",TRUE,'ORDENES'!$AI579=$D$3),IF($F$3="(todos)",TRUE,'ORDENES'!$AA579=$F$3),IF($H$3="(todos)",TRUE,'ORDENES'!$Z579=$H$3),'ORDENES'!$AG579=TRUE,'ORDENES'!$A579&lt;&gt;""),1,0)</f>
        <v/>
      </c>
      <c r="L583" s="24">
        <f>IF(K583=1,IFERROR(MATCH('ORDENES'!$S579,lista_dias,0),9)*1000000000+IFERROR(MATCH('ORDENES'!$AI579,lista_turnos,0),9)*10000000+IFERROR(MATCH('ORDENES'!$AH579,'TECNICOS'!$B$4:$B$19,0),99)*100000+576,9000000000000+576)</f>
        <v/>
      </c>
      <c r="M583" s="24">
        <f>IF(K583=1,SUMPRODUCT(--($L$8:$L$1207&lt;L583))+1,"")</f>
        <v/>
      </c>
      <c r="N583" s="25">
        <f>IF(K583=1,N('ORDENES'!$M579),0)</f>
        <v/>
      </c>
      <c r="O583" s="25">
        <f>IF('ORDENES'!$U579="preventiva",N583,0)</f>
        <v/>
      </c>
      <c r="P583" s="25">
        <f>IF('ORDENES'!$U579="correctiva",N583,0)</f>
        <v/>
      </c>
      <c r="Q583" s="24">
        <f>IF(AND(K583=1,'ORDENES'!$N579="Pendiente"),1,0)</f>
        <v/>
      </c>
      <c r="R583" s="24">
        <f>IF(Q583=1,100000-N583*1000+576*0.01,9000000000000+576)</f>
        <v/>
      </c>
      <c r="S583" s="24">
        <f>IF(Q583=1,SUMPRODUCT(--($R$8:$R$1207&lt;R583))+1,"")</f>
        <v/>
      </c>
      <c r="T583" s="30">
        <f>IF(K583=1,'ORDENES'!$J579,"")</f>
        <v/>
      </c>
    </row>
    <row r="584">
      <c r="K584" s="24">
        <f>IF(AND(IF($B$3="(todos)",TRUE,'ORDENES'!$O580=$B$3),IF($D$3="(todos)",TRUE,'ORDENES'!$AI580=$D$3),IF($F$3="(todos)",TRUE,'ORDENES'!$AA580=$F$3),IF($H$3="(todos)",TRUE,'ORDENES'!$Z580=$H$3),'ORDENES'!$AG580=TRUE,'ORDENES'!$A580&lt;&gt;""),1,0)</f>
        <v/>
      </c>
      <c r="L584" s="24">
        <f>IF(K584=1,IFERROR(MATCH('ORDENES'!$S580,lista_dias,0),9)*1000000000+IFERROR(MATCH('ORDENES'!$AI580,lista_turnos,0),9)*10000000+IFERROR(MATCH('ORDENES'!$AH580,'TECNICOS'!$B$4:$B$19,0),99)*100000+577,9000000000000+577)</f>
        <v/>
      </c>
      <c r="M584" s="24">
        <f>IF(K584=1,SUMPRODUCT(--($L$8:$L$1207&lt;L584))+1,"")</f>
        <v/>
      </c>
      <c r="N584" s="25">
        <f>IF(K584=1,N('ORDENES'!$M580),0)</f>
        <v/>
      </c>
      <c r="O584" s="25">
        <f>IF('ORDENES'!$U580="preventiva",N584,0)</f>
        <v/>
      </c>
      <c r="P584" s="25">
        <f>IF('ORDENES'!$U580="correctiva",N584,0)</f>
        <v/>
      </c>
      <c r="Q584" s="24">
        <f>IF(AND(K584=1,'ORDENES'!$N580="Pendiente"),1,0)</f>
        <v/>
      </c>
      <c r="R584" s="24">
        <f>IF(Q584=1,100000-N584*1000+577*0.01,9000000000000+577)</f>
        <v/>
      </c>
      <c r="S584" s="24">
        <f>IF(Q584=1,SUMPRODUCT(--($R$8:$R$1207&lt;R584))+1,"")</f>
        <v/>
      </c>
      <c r="T584" s="30">
        <f>IF(K584=1,'ORDENES'!$J580,"")</f>
        <v/>
      </c>
    </row>
    <row r="585">
      <c r="K585" s="24">
        <f>IF(AND(IF($B$3="(todos)",TRUE,'ORDENES'!$O581=$B$3),IF($D$3="(todos)",TRUE,'ORDENES'!$AI581=$D$3),IF($F$3="(todos)",TRUE,'ORDENES'!$AA581=$F$3),IF($H$3="(todos)",TRUE,'ORDENES'!$Z581=$H$3),'ORDENES'!$AG581=TRUE,'ORDENES'!$A581&lt;&gt;""),1,0)</f>
        <v/>
      </c>
      <c r="L585" s="24">
        <f>IF(K585=1,IFERROR(MATCH('ORDENES'!$S581,lista_dias,0),9)*1000000000+IFERROR(MATCH('ORDENES'!$AI581,lista_turnos,0),9)*10000000+IFERROR(MATCH('ORDENES'!$AH581,'TECNICOS'!$B$4:$B$19,0),99)*100000+578,9000000000000+578)</f>
        <v/>
      </c>
      <c r="M585" s="24">
        <f>IF(K585=1,SUMPRODUCT(--($L$8:$L$1207&lt;L585))+1,"")</f>
        <v/>
      </c>
      <c r="N585" s="25">
        <f>IF(K585=1,N('ORDENES'!$M581),0)</f>
        <v/>
      </c>
      <c r="O585" s="25">
        <f>IF('ORDENES'!$U581="preventiva",N585,0)</f>
        <v/>
      </c>
      <c r="P585" s="25">
        <f>IF('ORDENES'!$U581="correctiva",N585,0)</f>
        <v/>
      </c>
      <c r="Q585" s="24">
        <f>IF(AND(K585=1,'ORDENES'!$N581="Pendiente"),1,0)</f>
        <v/>
      </c>
      <c r="R585" s="24">
        <f>IF(Q585=1,100000-N585*1000+578*0.01,9000000000000+578)</f>
        <v/>
      </c>
      <c r="S585" s="24">
        <f>IF(Q585=1,SUMPRODUCT(--($R$8:$R$1207&lt;R585))+1,"")</f>
        <v/>
      </c>
      <c r="T585" s="30">
        <f>IF(K585=1,'ORDENES'!$J581,"")</f>
        <v/>
      </c>
    </row>
    <row r="586">
      <c r="K586" s="24">
        <f>IF(AND(IF($B$3="(todos)",TRUE,'ORDENES'!$O582=$B$3),IF($D$3="(todos)",TRUE,'ORDENES'!$AI582=$D$3),IF($F$3="(todos)",TRUE,'ORDENES'!$AA582=$F$3),IF($H$3="(todos)",TRUE,'ORDENES'!$Z582=$H$3),'ORDENES'!$AG582=TRUE,'ORDENES'!$A582&lt;&gt;""),1,0)</f>
        <v/>
      </c>
      <c r="L586" s="24">
        <f>IF(K586=1,IFERROR(MATCH('ORDENES'!$S582,lista_dias,0),9)*1000000000+IFERROR(MATCH('ORDENES'!$AI582,lista_turnos,0),9)*10000000+IFERROR(MATCH('ORDENES'!$AH582,'TECNICOS'!$B$4:$B$19,0),99)*100000+579,9000000000000+579)</f>
        <v/>
      </c>
      <c r="M586" s="24">
        <f>IF(K586=1,SUMPRODUCT(--($L$8:$L$1207&lt;L586))+1,"")</f>
        <v/>
      </c>
      <c r="N586" s="25">
        <f>IF(K586=1,N('ORDENES'!$M582),0)</f>
        <v/>
      </c>
      <c r="O586" s="25">
        <f>IF('ORDENES'!$U582="preventiva",N586,0)</f>
        <v/>
      </c>
      <c r="P586" s="25">
        <f>IF('ORDENES'!$U582="correctiva",N586,0)</f>
        <v/>
      </c>
      <c r="Q586" s="24">
        <f>IF(AND(K586=1,'ORDENES'!$N582="Pendiente"),1,0)</f>
        <v/>
      </c>
      <c r="R586" s="24">
        <f>IF(Q586=1,100000-N586*1000+579*0.01,9000000000000+579)</f>
        <v/>
      </c>
      <c r="S586" s="24">
        <f>IF(Q586=1,SUMPRODUCT(--($R$8:$R$1207&lt;R586))+1,"")</f>
        <v/>
      </c>
      <c r="T586" s="30">
        <f>IF(K586=1,'ORDENES'!$J582,"")</f>
        <v/>
      </c>
    </row>
    <row r="587">
      <c r="K587" s="24">
        <f>IF(AND(IF($B$3="(todos)",TRUE,'ORDENES'!$O583=$B$3),IF($D$3="(todos)",TRUE,'ORDENES'!$AI583=$D$3),IF($F$3="(todos)",TRUE,'ORDENES'!$AA583=$F$3),IF($H$3="(todos)",TRUE,'ORDENES'!$Z583=$H$3),'ORDENES'!$AG583=TRUE,'ORDENES'!$A583&lt;&gt;""),1,0)</f>
        <v/>
      </c>
      <c r="L587" s="24">
        <f>IF(K587=1,IFERROR(MATCH('ORDENES'!$S583,lista_dias,0),9)*1000000000+IFERROR(MATCH('ORDENES'!$AI583,lista_turnos,0),9)*10000000+IFERROR(MATCH('ORDENES'!$AH583,'TECNICOS'!$B$4:$B$19,0),99)*100000+580,9000000000000+580)</f>
        <v/>
      </c>
      <c r="M587" s="24">
        <f>IF(K587=1,SUMPRODUCT(--($L$8:$L$1207&lt;L587))+1,"")</f>
        <v/>
      </c>
      <c r="N587" s="25">
        <f>IF(K587=1,N('ORDENES'!$M583),0)</f>
        <v/>
      </c>
      <c r="O587" s="25">
        <f>IF('ORDENES'!$U583="preventiva",N587,0)</f>
        <v/>
      </c>
      <c r="P587" s="25">
        <f>IF('ORDENES'!$U583="correctiva",N587,0)</f>
        <v/>
      </c>
      <c r="Q587" s="24">
        <f>IF(AND(K587=1,'ORDENES'!$N583="Pendiente"),1,0)</f>
        <v/>
      </c>
      <c r="R587" s="24">
        <f>IF(Q587=1,100000-N587*1000+580*0.01,9000000000000+580)</f>
        <v/>
      </c>
      <c r="S587" s="24">
        <f>IF(Q587=1,SUMPRODUCT(--($R$8:$R$1207&lt;R587))+1,"")</f>
        <v/>
      </c>
      <c r="T587" s="30">
        <f>IF(K587=1,'ORDENES'!$J583,"")</f>
        <v/>
      </c>
    </row>
    <row r="588">
      <c r="K588" s="24">
        <f>IF(AND(IF($B$3="(todos)",TRUE,'ORDENES'!$O584=$B$3),IF($D$3="(todos)",TRUE,'ORDENES'!$AI584=$D$3),IF($F$3="(todos)",TRUE,'ORDENES'!$AA584=$F$3),IF($H$3="(todos)",TRUE,'ORDENES'!$Z584=$H$3),'ORDENES'!$AG584=TRUE,'ORDENES'!$A584&lt;&gt;""),1,0)</f>
        <v/>
      </c>
      <c r="L588" s="24">
        <f>IF(K588=1,IFERROR(MATCH('ORDENES'!$S584,lista_dias,0),9)*1000000000+IFERROR(MATCH('ORDENES'!$AI584,lista_turnos,0),9)*10000000+IFERROR(MATCH('ORDENES'!$AH584,'TECNICOS'!$B$4:$B$19,0),99)*100000+581,9000000000000+581)</f>
        <v/>
      </c>
      <c r="M588" s="24">
        <f>IF(K588=1,SUMPRODUCT(--($L$8:$L$1207&lt;L588))+1,"")</f>
        <v/>
      </c>
      <c r="N588" s="25">
        <f>IF(K588=1,N('ORDENES'!$M584),0)</f>
        <v/>
      </c>
      <c r="O588" s="25">
        <f>IF('ORDENES'!$U584="preventiva",N588,0)</f>
        <v/>
      </c>
      <c r="P588" s="25">
        <f>IF('ORDENES'!$U584="correctiva",N588,0)</f>
        <v/>
      </c>
      <c r="Q588" s="24">
        <f>IF(AND(K588=1,'ORDENES'!$N584="Pendiente"),1,0)</f>
        <v/>
      </c>
      <c r="R588" s="24">
        <f>IF(Q588=1,100000-N588*1000+581*0.01,9000000000000+581)</f>
        <v/>
      </c>
      <c r="S588" s="24">
        <f>IF(Q588=1,SUMPRODUCT(--($R$8:$R$1207&lt;R588))+1,"")</f>
        <v/>
      </c>
      <c r="T588" s="30">
        <f>IF(K588=1,'ORDENES'!$J584,"")</f>
        <v/>
      </c>
    </row>
    <row r="589">
      <c r="K589" s="24">
        <f>IF(AND(IF($B$3="(todos)",TRUE,'ORDENES'!$O585=$B$3),IF($D$3="(todos)",TRUE,'ORDENES'!$AI585=$D$3),IF($F$3="(todos)",TRUE,'ORDENES'!$AA585=$F$3),IF($H$3="(todos)",TRUE,'ORDENES'!$Z585=$H$3),'ORDENES'!$AG585=TRUE,'ORDENES'!$A585&lt;&gt;""),1,0)</f>
        <v/>
      </c>
      <c r="L589" s="24">
        <f>IF(K589=1,IFERROR(MATCH('ORDENES'!$S585,lista_dias,0),9)*1000000000+IFERROR(MATCH('ORDENES'!$AI585,lista_turnos,0),9)*10000000+IFERROR(MATCH('ORDENES'!$AH585,'TECNICOS'!$B$4:$B$19,0),99)*100000+582,9000000000000+582)</f>
        <v/>
      </c>
      <c r="M589" s="24">
        <f>IF(K589=1,SUMPRODUCT(--($L$8:$L$1207&lt;L589))+1,"")</f>
        <v/>
      </c>
      <c r="N589" s="25">
        <f>IF(K589=1,N('ORDENES'!$M585),0)</f>
        <v/>
      </c>
      <c r="O589" s="25">
        <f>IF('ORDENES'!$U585="preventiva",N589,0)</f>
        <v/>
      </c>
      <c r="P589" s="25">
        <f>IF('ORDENES'!$U585="correctiva",N589,0)</f>
        <v/>
      </c>
      <c r="Q589" s="24">
        <f>IF(AND(K589=1,'ORDENES'!$N585="Pendiente"),1,0)</f>
        <v/>
      </c>
      <c r="R589" s="24">
        <f>IF(Q589=1,100000-N589*1000+582*0.01,9000000000000+582)</f>
        <v/>
      </c>
      <c r="S589" s="24">
        <f>IF(Q589=1,SUMPRODUCT(--($R$8:$R$1207&lt;R589))+1,"")</f>
        <v/>
      </c>
      <c r="T589" s="30">
        <f>IF(K589=1,'ORDENES'!$J585,"")</f>
        <v/>
      </c>
    </row>
    <row r="590">
      <c r="K590" s="24">
        <f>IF(AND(IF($B$3="(todos)",TRUE,'ORDENES'!$O586=$B$3),IF($D$3="(todos)",TRUE,'ORDENES'!$AI586=$D$3),IF($F$3="(todos)",TRUE,'ORDENES'!$AA586=$F$3),IF($H$3="(todos)",TRUE,'ORDENES'!$Z586=$H$3),'ORDENES'!$AG586=TRUE,'ORDENES'!$A586&lt;&gt;""),1,0)</f>
        <v/>
      </c>
      <c r="L590" s="24">
        <f>IF(K590=1,IFERROR(MATCH('ORDENES'!$S586,lista_dias,0),9)*1000000000+IFERROR(MATCH('ORDENES'!$AI586,lista_turnos,0),9)*10000000+IFERROR(MATCH('ORDENES'!$AH586,'TECNICOS'!$B$4:$B$19,0),99)*100000+583,9000000000000+583)</f>
        <v/>
      </c>
      <c r="M590" s="24">
        <f>IF(K590=1,SUMPRODUCT(--($L$8:$L$1207&lt;L590))+1,"")</f>
        <v/>
      </c>
      <c r="N590" s="25">
        <f>IF(K590=1,N('ORDENES'!$M586),0)</f>
        <v/>
      </c>
      <c r="O590" s="25">
        <f>IF('ORDENES'!$U586="preventiva",N590,0)</f>
        <v/>
      </c>
      <c r="P590" s="25">
        <f>IF('ORDENES'!$U586="correctiva",N590,0)</f>
        <v/>
      </c>
      <c r="Q590" s="24">
        <f>IF(AND(K590=1,'ORDENES'!$N586="Pendiente"),1,0)</f>
        <v/>
      </c>
      <c r="R590" s="24">
        <f>IF(Q590=1,100000-N590*1000+583*0.01,9000000000000+583)</f>
        <v/>
      </c>
      <c r="S590" s="24">
        <f>IF(Q590=1,SUMPRODUCT(--($R$8:$R$1207&lt;R590))+1,"")</f>
        <v/>
      </c>
      <c r="T590" s="30">
        <f>IF(K590=1,'ORDENES'!$J586,"")</f>
        <v/>
      </c>
    </row>
    <row r="591">
      <c r="K591" s="24">
        <f>IF(AND(IF($B$3="(todos)",TRUE,'ORDENES'!$O587=$B$3),IF($D$3="(todos)",TRUE,'ORDENES'!$AI587=$D$3),IF($F$3="(todos)",TRUE,'ORDENES'!$AA587=$F$3),IF($H$3="(todos)",TRUE,'ORDENES'!$Z587=$H$3),'ORDENES'!$AG587=TRUE,'ORDENES'!$A587&lt;&gt;""),1,0)</f>
        <v/>
      </c>
      <c r="L591" s="24">
        <f>IF(K591=1,IFERROR(MATCH('ORDENES'!$S587,lista_dias,0),9)*1000000000+IFERROR(MATCH('ORDENES'!$AI587,lista_turnos,0),9)*10000000+IFERROR(MATCH('ORDENES'!$AH587,'TECNICOS'!$B$4:$B$19,0),99)*100000+584,9000000000000+584)</f>
        <v/>
      </c>
      <c r="M591" s="24">
        <f>IF(K591=1,SUMPRODUCT(--($L$8:$L$1207&lt;L591))+1,"")</f>
        <v/>
      </c>
      <c r="N591" s="25">
        <f>IF(K591=1,N('ORDENES'!$M587),0)</f>
        <v/>
      </c>
      <c r="O591" s="25">
        <f>IF('ORDENES'!$U587="preventiva",N591,0)</f>
        <v/>
      </c>
      <c r="P591" s="25">
        <f>IF('ORDENES'!$U587="correctiva",N591,0)</f>
        <v/>
      </c>
      <c r="Q591" s="24">
        <f>IF(AND(K591=1,'ORDENES'!$N587="Pendiente"),1,0)</f>
        <v/>
      </c>
      <c r="R591" s="24">
        <f>IF(Q591=1,100000-N591*1000+584*0.01,9000000000000+584)</f>
        <v/>
      </c>
      <c r="S591" s="24">
        <f>IF(Q591=1,SUMPRODUCT(--($R$8:$R$1207&lt;R591))+1,"")</f>
        <v/>
      </c>
      <c r="T591" s="30">
        <f>IF(K591=1,'ORDENES'!$J587,"")</f>
        <v/>
      </c>
    </row>
    <row r="592">
      <c r="K592" s="24">
        <f>IF(AND(IF($B$3="(todos)",TRUE,'ORDENES'!$O588=$B$3),IF($D$3="(todos)",TRUE,'ORDENES'!$AI588=$D$3),IF($F$3="(todos)",TRUE,'ORDENES'!$AA588=$F$3),IF($H$3="(todos)",TRUE,'ORDENES'!$Z588=$H$3),'ORDENES'!$AG588=TRUE,'ORDENES'!$A588&lt;&gt;""),1,0)</f>
        <v/>
      </c>
      <c r="L592" s="24">
        <f>IF(K592=1,IFERROR(MATCH('ORDENES'!$S588,lista_dias,0),9)*1000000000+IFERROR(MATCH('ORDENES'!$AI588,lista_turnos,0),9)*10000000+IFERROR(MATCH('ORDENES'!$AH588,'TECNICOS'!$B$4:$B$19,0),99)*100000+585,9000000000000+585)</f>
        <v/>
      </c>
      <c r="M592" s="24">
        <f>IF(K592=1,SUMPRODUCT(--($L$8:$L$1207&lt;L592))+1,"")</f>
        <v/>
      </c>
      <c r="N592" s="25">
        <f>IF(K592=1,N('ORDENES'!$M588),0)</f>
        <v/>
      </c>
      <c r="O592" s="25">
        <f>IF('ORDENES'!$U588="preventiva",N592,0)</f>
        <v/>
      </c>
      <c r="P592" s="25">
        <f>IF('ORDENES'!$U588="correctiva",N592,0)</f>
        <v/>
      </c>
      <c r="Q592" s="24">
        <f>IF(AND(K592=1,'ORDENES'!$N588="Pendiente"),1,0)</f>
        <v/>
      </c>
      <c r="R592" s="24">
        <f>IF(Q592=1,100000-N592*1000+585*0.01,9000000000000+585)</f>
        <v/>
      </c>
      <c r="S592" s="24">
        <f>IF(Q592=1,SUMPRODUCT(--($R$8:$R$1207&lt;R592))+1,"")</f>
        <v/>
      </c>
      <c r="T592" s="30">
        <f>IF(K592=1,'ORDENES'!$J588,"")</f>
        <v/>
      </c>
    </row>
    <row r="593">
      <c r="K593" s="24">
        <f>IF(AND(IF($B$3="(todos)",TRUE,'ORDENES'!$O589=$B$3),IF($D$3="(todos)",TRUE,'ORDENES'!$AI589=$D$3),IF($F$3="(todos)",TRUE,'ORDENES'!$AA589=$F$3),IF($H$3="(todos)",TRUE,'ORDENES'!$Z589=$H$3),'ORDENES'!$AG589=TRUE,'ORDENES'!$A589&lt;&gt;""),1,0)</f>
        <v/>
      </c>
      <c r="L593" s="24">
        <f>IF(K593=1,IFERROR(MATCH('ORDENES'!$S589,lista_dias,0),9)*1000000000+IFERROR(MATCH('ORDENES'!$AI589,lista_turnos,0),9)*10000000+IFERROR(MATCH('ORDENES'!$AH589,'TECNICOS'!$B$4:$B$19,0),99)*100000+586,9000000000000+586)</f>
        <v/>
      </c>
      <c r="M593" s="24">
        <f>IF(K593=1,SUMPRODUCT(--($L$8:$L$1207&lt;L593))+1,"")</f>
        <v/>
      </c>
      <c r="N593" s="25">
        <f>IF(K593=1,N('ORDENES'!$M589),0)</f>
        <v/>
      </c>
      <c r="O593" s="25">
        <f>IF('ORDENES'!$U589="preventiva",N593,0)</f>
        <v/>
      </c>
      <c r="P593" s="25">
        <f>IF('ORDENES'!$U589="correctiva",N593,0)</f>
        <v/>
      </c>
      <c r="Q593" s="24">
        <f>IF(AND(K593=1,'ORDENES'!$N589="Pendiente"),1,0)</f>
        <v/>
      </c>
      <c r="R593" s="24">
        <f>IF(Q593=1,100000-N593*1000+586*0.01,9000000000000+586)</f>
        <v/>
      </c>
      <c r="S593" s="24">
        <f>IF(Q593=1,SUMPRODUCT(--($R$8:$R$1207&lt;R593))+1,"")</f>
        <v/>
      </c>
      <c r="T593" s="30">
        <f>IF(K593=1,'ORDENES'!$J589,"")</f>
        <v/>
      </c>
    </row>
    <row r="594">
      <c r="K594" s="24">
        <f>IF(AND(IF($B$3="(todos)",TRUE,'ORDENES'!$O590=$B$3),IF($D$3="(todos)",TRUE,'ORDENES'!$AI590=$D$3),IF($F$3="(todos)",TRUE,'ORDENES'!$AA590=$F$3),IF($H$3="(todos)",TRUE,'ORDENES'!$Z590=$H$3),'ORDENES'!$AG590=TRUE,'ORDENES'!$A590&lt;&gt;""),1,0)</f>
        <v/>
      </c>
      <c r="L594" s="24">
        <f>IF(K594=1,IFERROR(MATCH('ORDENES'!$S590,lista_dias,0),9)*1000000000+IFERROR(MATCH('ORDENES'!$AI590,lista_turnos,0),9)*10000000+IFERROR(MATCH('ORDENES'!$AH590,'TECNICOS'!$B$4:$B$19,0),99)*100000+587,9000000000000+587)</f>
        <v/>
      </c>
      <c r="M594" s="24">
        <f>IF(K594=1,SUMPRODUCT(--($L$8:$L$1207&lt;L594))+1,"")</f>
        <v/>
      </c>
      <c r="N594" s="25">
        <f>IF(K594=1,N('ORDENES'!$M590),0)</f>
        <v/>
      </c>
      <c r="O594" s="25">
        <f>IF('ORDENES'!$U590="preventiva",N594,0)</f>
        <v/>
      </c>
      <c r="P594" s="25">
        <f>IF('ORDENES'!$U590="correctiva",N594,0)</f>
        <v/>
      </c>
      <c r="Q594" s="24">
        <f>IF(AND(K594=1,'ORDENES'!$N590="Pendiente"),1,0)</f>
        <v/>
      </c>
      <c r="R594" s="24">
        <f>IF(Q594=1,100000-N594*1000+587*0.01,9000000000000+587)</f>
        <v/>
      </c>
      <c r="S594" s="24">
        <f>IF(Q594=1,SUMPRODUCT(--($R$8:$R$1207&lt;R594))+1,"")</f>
        <v/>
      </c>
      <c r="T594" s="30">
        <f>IF(K594=1,'ORDENES'!$J590,"")</f>
        <v/>
      </c>
    </row>
    <row r="595">
      <c r="K595" s="24">
        <f>IF(AND(IF($B$3="(todos)",TRUE,'ORDENES'!$O591=$B$3),IF($D$3="(todos)",TRUE,'ORDENES'!$AI591=$D$3),IF($F$3="(todos)",TRUE,'ORDENES'!$AA591=$F$3),IF($H$3="(todos)",TRUE,'ORDENES'!$Z591=$H$3),'ORDENES'!$AG591=TRUE,'ORDENES'!$A591&lt;&gt;""),1,0)</f>
        <v/>
      </c>
      <c r="L595" s="24">
        <f>IF(K595=1,IFERROR(MATCH('ORDENES'!$S591,lista_dias,0),9)*1000000000+IFERROR(MATCH('ORDENES'!$AI591,lista_turnos,0),9)*10000000+IFERROR(MATCH('ORDENES'!$AH591,'TECNICOS'!$B$4:$B$19,0),99)*100000+588,9000000000000+588)</f>
        <v/>
      </c>
      <c r="M595" s="24">
        <f>IF(K595=1,SUMPRODUCT(--($L$8:$L$1207&lt;L595))+1,"")</f>
        <v/>
      </c>
      <c r="N595" s="25">
        <f>IF(K595=1,N('ORDENES'!$M591),0)</f>
        <v/>
      </c>
      <c r="O595" s="25">
        <f>IF('ORDENES'!$U591="preventiva",N595,0)</f>
        <v/>
      </c>
      <c r="P595" s="25">
        <f>IF('ORDENES'!$U591="correctiva",N595,0)</f>
        <v/>
      </c>
      <c r="Q595" s="24">
        <f>IF(AND(K595=1,'ORDENES'!$N591="Pendiente"),1,0)</f>
        <v/>
      </c>
      <c r="R595" s="24">
        <f>IF(Q595=1,100000-N595*1000+588*0.01,9000000000000+588)</f>
        <v/>
      </c>
      <c r="S595" s="24">
        <f>IF(Q595=1,SUMPRODUCT(--($R$8:$R$1207&lt;R595))+1,"")</f>
        <v/>
      </c>
      <c r="T595" s="30">
        <f>IF(K595=1,'ORDENES'!$J591,"")</f>
        <v/>
      </c>
    </row>
    <row r="596">
      <c r="K596" s="24">
        <f>IF(AND(IF($B$3="(todos)",TRUE,'ORDENES'!$O592=$B$3),IF($D$3="(todos)",TRUE,'ORDENES'!$AI592=$D$3),IF($F$3="(todos)",TRUE,'ORDENES'!$AA592=$F$3),IF($H$3="(todos)",TRUE,'ORDENES'!$Z592=$H$3),'ORDENES'!$AG592=TRUE,'ORDENES'!$A592&lt;&gt;""),1,0)</f>
        <v/>
      </c>
      <c r="L596" s="24">
        <f>IF(K596=1,IFERROR(MATCH('ORDENES'!$S592,lista_dias,0),9)*1000000000+IFERROR(MATCH('ORDENES'!$AI592,lista_turnos,0),9)*10000000+IFERROR(MATCH('ORDENES'!$AH592,'TECNICOS'!$B$4:$B$19,0),99)*100000+589,9000000000000+589)</f>
        <v/>
      </c>
      <c r="M596" s="24">
        <f>IF(K596=1,SUMPRODUCT(--($L$8:$L$1207&lt;L596))+1,"")</f>
        <v/>
      </c>
      <c r="N596" s="25">
        <f>IF(K596=1,N('ORDENES'!$M592),0)</f>
        <v/>
      </c>
      <c r="O596" s="25">
        <f>IF('ORDENES'!$U592="preventiva",N596,0)</f>
        <v/>
      </c>
      <c r="P596" s="25">
        <f>IF('ORDENES'!$U592="correctiva",N596,0)</f>
        <v/>
      </c>
      <c r="Q596" s="24">
        <f>IF(AND(K596=1,'ORDENES'!$N592="Pendiente"),1,0)</f>
        <v/>
      </c>
      <c r="R596" s="24">
        <f>IF(Q596=1,100000-N596*1000+589*0.01,9000000000000+589)</f>
        <v/>
      </c>
      <c r="S596" s="24">
        <f>IF(Q596=1,SUMPRODUCT(--($R$8:$R$1207&lt;R596))+1,"")</f>
        <v/>
      </c>
      <c r="T596" s="30">
        <f>IF(K596=1,'ORDENES'!$J592,"")</f>
        <v/>
      </c>
    </row>
    <row r="597">
      <c r="K597" s="24">
        <f>IF(AND(IF($B$3="(todos)",TRUE,'ORDENES'!$O593=$B$3),IF($D$3="(todos)",TRUE,'ORDENES'!$AI593=$D$3),IF($F$3="(todos)",TRUE,'ORDENES'!$AA593=$F$3),IF($H$3="(todos)",TRUE,'ORDENES'!$Z593=$H$3),'ORDENES'!$AG593=TRUE,'ORDENES'!$A593&lt;&gt;""),1,0)</f>
        <v/>
      </c>
      <c r="L597" s="24">
        <f>IF(K597=1,IFERROR(MATCH('ORDENES'!$S593,lista_dias,0),9)*1000000000+IFERROR(MATCH('ORDENES'!$AI593,lista_turnos,0),9)*10000000+IFERROR(MATCH('ORDENES'!$AH593,'TECNICOS'!$B$4:$B$19,0),99)*100000+590,9000000000000+590)</f>
        <v/>
      </c>
      <c r="M597" s="24">
        <f>IF(K597=1,SUMPRODUCT(--($L$8:$L$1207&lt;L597))+1,"")</f>
        <v/>
      </c>
      <c r="N597" s="25">
        <f>IF(K597=1,N('ORDENES'!$M593),0)</f>
        <v/>
      </c>
      <c r="O597" s="25">
        <f>IF('ORDENES'!$U593="preventiva",N597,0)</f>
        <v/>
      </c>
      <c r="P597" s="25">
        <f>IF('ORDENES'!$U593="correctiva",N597,0)</f>
        <v/>
      </c>
      <c r="Q597" s="24">
        <f>IF(AND(K597=1,'ORDENES'!$N593="Pendiente"),1,0)</f>
        <v/>
      </c>
      <c r="R597" s="24">
        <f>IF(Q597=1,100000-N597*1000+590*0.01,9000000000000+590)</f>
        <v/>
      </c>
      <c r="S597" s="24">
        <f>IF(Q597=1,SUMPRODUCT(--($R$8:$R$1207&lt;R597))+1,"")</f>
        <v/>
      </c>
      <c r="T597" s="30">
        <f>IF(K597=1,'ORDENES'!$J593,"")</f>
        <v/>
      </c>
    </row>
    <row r="598">
      <c r="K598" s="24">
        <f>IF(AND(IF($B$3="(todos)",TRUE,'ORDENES'!$O594=$B$3),IF($D$3="(todos)",TRUE,'ORDENES'!$AI594=$D$3),IF($F$3="(todos)",TRUE,'ORDENES'!$AA594=$F$3),IF($H$3="(todos)",TRUE,'ORDENES'!$Z594=$H$3),'ORDENES'!$AG594=TRUE,'ORDENES'!$A594&lt;&gt;""),1,0)</f>
        <v/>
      </c>
      <c r="L598" s="24">
        <f>IF(K598=1,IFERROR(MATCH('ORDENES'!$S594,lista_dias,0),9)*1000000000+IFERROR(MATCH('ORDENES'!$AI594,lista_turnos,0),9)*10000000+IFERROR(MATCH('ORDENES'!$AH594,'TECNICOS'!$B$4:$B$19,0),99)*100000+591,9000000000000+591)</f>
        <v/>
      </c>
      <c r="M598" s="24">
        <f>IF(K598=1,SUMPRODUCT(--($L$8:$L$1207&lt;L598))+1,"")</f>
        <v/>
      </c>
      <c r="N598" s="25">
        <f>IF(K598=1,N('ORDENES'!$M594),0)</f>
        <v/>
      </c>
      <c r="O598" s="25">
        <f>IF('ORDENES'!$U594="preventiva",N598,0)</f>
        <v/>
      </c>
      <c r="P598" s="25">
        <f>IF('ORDENES'!$U594="correctiva",N598,0)</f>
        <v/>
      </c>
      <c r="Q598" s="24">
        <f>IF(AND(K598=1,'ORDENES'!$N594="Pendiente"),1,0)</f>
        <v/>
      </c>
      <c r="R598" s="24">
        <f>IF(Q598=1,100000-N598*1000+591*0.01,9000000000000+591)</f>
        <v/>
      </c>
      <c r="S598" s="24">
        <f>IF(Q598=1,SUMPRODUCT(--($R$8:$R$1207&lt;R598))+1,"")</f>
        <v/>
      </c>
      <c r="T598" s="30">
        <f>IF(K598=1,'ORDENES'!$J594,"")</f>
        <v/>
      </c>
    </row>
    <row r="599">
      <c r="K599" s="24">
        <f>IF(AND(IF($B$3="(todos)",TRUE,'ORDENES'!$O595=$B$3),IF($D$3="(todos)",TRUE,'ORDENES'!$AI595=$D$3),IF($F$3="(todos)",TRUE,'ORDENES'!$AA595=$F$3),IF($H$3="(todos)",TRUE,'ORDENES'!$Z595=$H$3),'ORDENES'!$AG595=TRUE,'ORDENES'!$A595&lt;&gt;""),1,0)</f>
        <v/>
      </c>
      <c r="L599" s="24">
        <f>IF(K599=1,IFERROR(MATCH('ORDENES'!$S595,lista_dias,0),9)*1000000000+IFERROR(MATCH('ORDENES'!$AI595,lista_turnos,0),9)*10000000+IFERROR(MATCH('ORDENES'!$AH595,'TECNICOS'!$B$4:$B$19,0),99)*100000+592,9000000000000+592)</f>
        <v/>
      </c>
      <c r="M599" s="24">
        <f>IF(K599=1,SUMPRODUCT(--($L$8:$L$1207&lt;L599))+1,"")</f>
        <v/>
      </c>
      <c r="N599" s="25">
        <f>IF(K599=1,N('ORDENES'!$M595),0)</f>
        <v/>
      </c>
      <c r="O599" s="25">
        <f>IF('ORDENES'!$U595="preventiva",N599,0)</f>
        <v/>
      </c>
      <c r="P599" s="25">
        <f>IF('ORDENES'!$U595="correctiva",N599,0)</f>
        <v/>
      </c>
      <c r="Q599" s="24">
        <f>IF(AND(K599=1,'ORDENES'!$N595="Pendiente"),1,0)</f>
        <v/>
      </c>
      <c r="R599" s="24">
        <f>IF(Q599=1,100000-N599*1000+592*0.01,9000000000000+592)</f>
        <v/>
      </c>
      <c r="S599" s="24">
        <f>IF(Q599=1,SUMPRODUCT(--($R$8:$R$1207&lt;R599))+1,"")</f>
        <v/>
      </c>
      <c r="T599" s="30">
        <f>IF(K599=1,'ORDENES'!$J595,"")</f>
        <v/>
      </c>
    </row>
    <row r="600">
      <c r="K600" s="24">
        <f>IF(AND(IF($B$3="(todos)",TRUE,'ORDENES'!$O596=$B$3),IF($D$3="(todos)",TRUE,'ORDENES'!$AI596=$D$3),IF($F$3="(todos)",TRUE,'ORDENES'!$AA596=$F$3),IF($H$3="(todos)",TRUE,'ORDENES'!$Z596=$H$3),'ORDENES'!$AG596=TRUE,'ORDENES'!$A596&lt;&gt;""),1,0)</f>
        <v/>
      </c>
      <c r="L600" s="24">
        <f>IF(K600=1,IFERROR(MATCH('ORDENES'!$S596,lista_dias,0),9)*1000000000+IFERROR(MATCH('ORDENES'!$AI596,lista_turnos,0),9)*10000000+IFERROR(MATCH('ORDENES'!$AH596,'TECNICOS'!$B$4:$B$19,0),99)*100000+593,9000000000000+593)</f>
        <v/>
      </c>
      <c r="M600" s="24">
        <f>IF(K600=1,SUMPRODUCT(--($L$8:$L$1207&lt;L600))+1,"")</f>
        <v/>
      </c>
      <c r="N600" s="25">
        <f>IF(K600=1,N('ORDENES'!$M596),0)</f>
        <v/>
      </c>
      <c r="O600" s="25">
        <f>IF('ORDENES'!$U596="preventiva",N600,0)</f>
        <v/>
      </c>
      <c r="P600" s="25">
        <f>IF('ORDENES'!$U596="correctiva",N600,0)</f>
        <v/>
      </c>
      <c r="Q600" s="24">
        <f>IF(AND(K600=1,'ORDENES'!$N596="Pendiente"),1,0)</f>
        <v/>
      </c>
      <c r="R600" s="24">
        <f>IF(Q600=1,100000-N600*1000+593*0.01,9000000000000+593)</f>
        <v/>
      </c>
      <c r="S600" s="24">
        <f>IF(Q600=1,SUMPRODUCT(--($R$8:$R$1207&lt;R600))+1,"")</f>
        <v/>
      </c>
      <c r="T600" s="30">
        <f>IF(K600=1,'ORDENES'!$J596,"")</f>
        <v/>
      </c>
    </row>
    <row r="601">
      <c r="K601" s="24">
        <f>IF(AND(IF($B$3="(todos)",TRUE,'ORDENES'!$O597=$B$3),IF($D$3="(todos)",TRUE,'ORDENES'!$AI597=$D$3),IF($F$3="(todos)",TRUE,'ORDENES'!$AA597=$F$3),IF($H$3="(todos)",TRUE,'ORDENES'!$Z597=$H$3),'ORDENES'!$AG597=TRUE,'ORDENES'!$A597&lt;&gt;""),1,0)</f>
        <v/>
      </c>
      <c r="L601" s="24">
        <f>IF(K601=1,IFERROR(MATCH('ORDENES'!$S597,lista_dias,0),9)*1000000000+IFERROR(MATCH('ORDENES'!$AI597,lista_turnos,0),9)*10000000+IFERROR(MATCH('ORDENES'!$AH597,'TECNICOS'!$B$4:$B$19,0),99)*100000+594,9000000000000+594)</f>
        <v/>
      </c>
      <c r="M601" s="24">
        <f>IF(K601=1,SUMPRODUCT(--($L$8:$L$1207&lt;L601))+1,"")</f>
        <v/>
      </c>
      <c r="N601" s="25">
        <f>IF(K601=1,N('ORDENES'!$M597),0)</f>
        <v/>
      </c>
      <c r="O601" s="25">
        <f>IF('ORDENES'!$U597="preventiva",N601,0)</f>
        <v/>
      </c>
      <c r="P601" s="25">
        <f>IF('ORDENES'!$U597="correctiva",N601,0)</f>
        <v/>
      </c>
      <c r="Q601" s="24">
        <f>IF(AND(K601=1,'ORDENES'!$N597="Pendiente"),1,0)</f>
        <v/>
      </c>
      <c r="R601" s="24">
        <f>IF(Q601=1,100000-N601*1000+594*0.01,9000000000000+594)</f>
        <v/>
      </c>
      <c r="S601" s="24">
        <f>IF(Q601=1,SUMPRODUCT(--($R$8:$R$1207&lt;R601))+1,"")</f>
        <v/>
      </c>
      <c r="T601" s="30">
        <f>IF(K601=1,'ORDENES'!$J597,"")</f>
        <v/>
      </c>
    </row>
    <row r="602">
      <c r="K602" s="24">
        <f>IF(AND(IF($B$3="(todos)",TRUE,'ORDENES'!$O598=$B$3),IF($D$3="(todos)",TRUE,'ORDENES'!$AI598=$D$3),IF($F$3="(todos)",TRUE,'ORDENES'!$AA598=$F$3),IF($H$3="(todos)",TRUE,'ORDENES'!$Z598=$H$3),'ORDENES'!$AG598=TRUE,'ORDENES'!$A598&lt;&gt;""),1,0)</f>
        <v/>
      </c>
      <c r="L602" s="24">
        <f>IF(K602=1,IFERROR(MATCH('ORDENES'!$S598,lista_dias,0),9)*1000000000+IFERROR(MATCH('ORDENES'!$AI598,lista_turnos,0),9)*10000000+IFERROR(MATCH('ORDENES'!$AH598,'TECNICOS'!$B$4:$B$19,0),99)*100000+595,9000000000000+595)</f>
        <v/>
      </c>
      <c r="M602" s="24">
        <f>IF(K602=1,SUMPRODUCT(--($L$8:$L$1207&lt;L602))+1,"")</f>
        <v/>
      </c>
      <c r="N602" s="25">
        <f>IF(K602=1,N('ORDENES'!$M598),0)</f>
        <v/>
      </c>
      <c r="O602" s="25">
        <f>IF('ORDENES'!$U598="preventiva",N602,0)</f>
        <v/>
      </c>
      <c r="P602" s="25">
        <f>IF('ORDENES'!$U598="correctiva",N602,0)</f>
        <v/>
      </c>
      <c r="Q602" s="24">
        <f>IF(AND(K602=1,'ORDENES'!$N598="Pendiente"),1,0)</f>
        <v/>
      </c>
      <c r="R602" s="24">
        <f>IF(Q602=1,100000-N602*1000+595*0.01,9000000000000+595)</f>
        <v/>
      </c>
      <c r="S602" s="24">
        <f>IF(Q602=1,SUMPRODUCT(--($R$8:$R$1207&lt;R602))+1,"")</f>
        <v/>
      </c>
      <c r="T602" s="30">
        <f>IF(K602=1,'ORDENES'!$J598,"")</f>
        <v/>
      </c>
    </row>
    <row r="603">
      <c r="K603" s="24">
        <f>IF(AND(IF($B$3="(todos)",TRUE,'ORDENES'!$O599=$B$3),IF($D$3="(todos)",TRUE,'ORDENES'!$AI599=$D$3),IF($F$3="(todos)",TRUE,'ORDENES'!$AA599=$F$3),IF($H$3="(todos)",TRUE,'ORDENES'!$Z599=$H$3),'ORDENES'!$AG599=TRUE,'ORDENES'!$A599&lt;&gt;""),1,0)</f>
        <v/>
      </c>
      <c r="L603" s="24">
        <f>IF(K603=1,IFERROR(MATCH('ORDENES'!$S599,lista_dias,0),9)*1000000000+IFERROR(MATCH('ORDENES'!$AI599,lista_turnos,0),9)*10000000+IFERROR(MATCH('ORDENES'!$AH599,'TECNICOS'!$B$4:$B$19,0),99)*100000+596,9000000000000+596)</f>
        <v/>
      </c>
      <c r="M603" s="24">
        <f>IF(K603=1,SUMPRODUCT(--($L$8:$L$1207&lt;L603))+1,"")</f>
        <v/>
      </c>
      <c r="N603" s="25">
        <f>IF(K603=1,N('ORDENES'!$M599),0)</f>
        <v/>
      </c>
      <c r="O603" s="25">
        <f>IF('ORDENES'!$U599="preventiva",N603,0)</f>
        <v/>
      </c>
      <c r="P603" s="25">
        <f>IF('ORDENES'!$U599="correctiva",N603,0)</f>
        <v/>
      </c>
      <c r="Q603" s="24">
        <f>IF(AND(K603=1,'ORDENES'!$N599="Pendiente"),1,0)</f>
        <v/>
      </c>
      <c r="R603" s="24">
        <f>IF(Q603=1,100000-N603*1000+596*0.01,9000000000000+596)</f>
        <v/>
      </c>
      <c r="S603" s="24">
        <f>IF(Q603=1,SUMPRODUCT(--($R$8:$R$1207&lt;R603))+1,"")</f>
        <v/>
      </c>
      <c r="T603" s="30">
        <f>IF(K603=1,'ORDENES'!$J599,"")</f>
        <v/>
      </c>
    </row>
    <row r="604">
      <c r="K604" s="24">
        <f>IF(AND(IF($B$3="(todos)",TRUE,'ORDENES'!$O600=$B$3),IF($D$3="(todos)",TRUE,'ORDENES'!$AI600=$D$3),IF($F$3="(todos)",TRUE,'ORDENES'!$AA600=$F$3),IF($H$3="(todos)",TRUE,'ORDENES'!$Z600=$H$3),'ORDENES'!$AG600=TRUE,'ORDENES'!$A600&lt;&gt;""),1,0)</f>
        <v/>
      </c>
      <c r="L604" s="24">
        <f>IF(K604=1,IFERROR(MATCH('ORDENES'!$S600,lista_dias,0),9)*1000000000+IFERROR(MATCH('ORDENES'!$AI600,lista_turnos,0),9)*10000000+IFERROR(MATCH('ORDENES'!$AH600,'TECNICOS'!$B$4:$B$19,0),99)*100000+597,9000000000000+597)</f>
        <v/>
      </c>
      <c r="M604" s="24">
        <f>IF(K604=1,SUMPRODUCT(--($L$8:$L$1207&lt;L604))+1,"")</f>
        <v/>
      </c>
      <c r="N604" s="25">
        <f>IF(K604=1,N('ORDENES'!$M600),0)</f>
        <v/>
      </c>
      <c r="O604" s="25">
        <f>IF('ORDENES'!$U600="preventiva",N604,0)</f>
        <v/>
      </c>
      <c r="P604" s="25">
        <f>IF('ORDENES'!$U600="correctiva",N604,0)</f>
        <v/>
      </c>
      <c r="Q604" s="24">
        <f>IF(AND(K604=1,'ORDENES'!$N600="Pendiente"),1,0)</f>
        <v/>
      </c>
      <c r="R604" s="24">
        <f>IF(Q604=1,100000-N604*1000+597*0.01,9000000000000+597)</f>
        <v/>
      </c>
      <c r="S604" s="24">
        <f>IF(Q604=1,SUMPRODUCT(--($R$8:$R$1207&lt;R604))+1,"")</f>
        <v/>
      </c>
      <c r="T604" s="30">
        <f>IF(K604=1,'ORDENES'!$J600,"")</f>
        <v/>
      </c>
    </row>
    <row r="605">
      <c r="K605" s="24">
        <f>IF(AND(IF($B$3="(todos)",TRUE,'ORDENES'!$O601=$B$3),IF($D$3="(todos)",TRUE,'ORDENES'!$AI601=$D$3),IF($F$3="(todos)",TRUE,'ORDENES'!$AA601=$F$3),IF($H$3="(todos)",TRUE,'ORDENES'!$Z601=$H$3),'ORDENES'!$AG601=TRUE,'ORDENES'!$A601&lt;&gt;""),1,0)</f>
        <v/>
      </c>
      <c r="L605" s="24">
        <f>IF(K605=1,IFERROR(MATCH('ORDENES'!$S601,lista_dias,0),9)*1000000000+IFERROR(MATCH('ORDENES'!$AI601,lista_turnos,0),9)*10000000+IFERROR(MATCH('ORDENES'!$AH601,'TECNICOS'!$B$4:$B$19,0),99)*100000+598,9000000000000+598)</f>
        <v/>
      </c>
      <c r="M605" s="24">
        <f>IF(K605=1,SUMPRODUCT(--($L$8:$L$1207&lt;L605))+1,"")</f>
        <v/>
      </c>
      <c r="N605" s="25">
        <f>IF(K605=1,N('ORDENES'!$M601),0)</f>
        <v/>
      </c>
      <c r="O605" s="25">
        <f>IF('ORDENES'!$U601="preventiva",N605,0)</f>
        <v/>
      </c>
      <c r="P605" s="25">
        <f>IF('ORDENES'!$U601="correctiva",N605,0)</f>
        <v/>
      </c>
      <c r="Q605" s="24">
        <f>IF(AND(K605=1,'ORDENES'!$N601="Pendiente"),1,0)</f>
        <v/>
      </c>
      <c r="R605" s="24">
        <f>IF(Q605=1,100000-N605*1000+598*0.01,9000000000000+598)</f>
        <v/>
      </c>
      <c r="S605" s="24">
        <f>IF(Q605=1,SUMPRODUCT(--($R$8:$R$1207&lt;R605))+1,"")</f>
        <v/>
      </c>
      <c r="T605" s="30">
        <f>IF(K605=1,'ORDENES'!$J601,"")</f>
        <v/>
      </c>
    </row>
    <row r="606">
      <c r="K606" s="24">
        <f>IF(AND(IF($B$3="(todos)",TRUE,'ORDENES'!$O602=$B$3),IF($D$3="(todos)",TRUE,'ORDENES'!$AI602=$D$3),IF($F$3="(todos)",TRUE,'ORDENES'!$AA602=$F$3),IF($H$3="(todos)",TRUE,'ORDENES'!$Z602=$H$3),'ORDENES'!$AG602=TRUE,'ORDENES'!$A602&lt;&gt;""),1,0)</f>
        <v/>
      </c>
      <c r="L606" s="24">
        <f>IF(K606=1,IFERROR(MATCH('ORDENES'!$S602,lista_dias,0),9)*1000000000+IFERROR(MATCH('ORDENES'!$AI602,lista_turnos,0),9)*10000000+IFERROR(MATCH('ORDENES'!$AH602,'TECNICOS'!$B$4:$B$19,0),99)*100000+599,9000000000000+599)</f>
        <v/>
      </c>
      <c r="M606" s="24">
        <f>IF(K606=1,SUMPRODUCT(--($L$8:$L$1207&lt;L606))+1,"")</f>
        <v/>
      </c>
      <c r="N606" s="25">
        <f>IF(K606=1,N('ORDENES'!$M602),0)</f>
        <v/>
      </c>
      <c r="O606" s="25">
        <f>IF('ORDENES'!$U602="preventiva",N606,0)</f>
        <v/>
      </c>
      <c r="P606" s="25">
        <f>IF('ORDENES'!$U602="correctiva",N606,0)</f>
        <v/>
      </c>
      <c r="Q606" s="24">
        <f>IF(AND(K606=1,'ORDENES'!$N602="Pendiente"),1,0)</f>
        <v/>
      </c>
      <c r="R606" s="24">
        <f>IF(Q606=1,100000-N606*1000+599*0.01,9000000000000+599)</f>
        <v/>
      </c>
      <c r="S606" s="24">
        <f>IF(Q606=1,SUMPRODUCT(--($R$8:$R$1207&lt;R606))+1,"")</f>
        <v/>
      </c>
      <c r="T606" s="30">
        <f>IF(K606=1,'ORDENES'!$J602,"")</f>
        <v/>
      </c>
    </row>
    <row r="607">
      <c r="K607" s="24">
        <f>IF(AND(IF($B$3="(todos)",TRUE,'ORDENES'!$O603=$B$3),IF($D$3="(todos)",TRUE,'ORDENES'!$AI603=$D$3),IF($F$3="(todos)",TRUE,'ORDENES'!$AA603=$F$3),IF($H$3="(todos)",TRUE,'ORDENES'!$Z603=$H$3),'ORDENES'!$AG603=TRUE,'ORDENES'!$A603&lt;&gt;""),1,0)</f>
        <v/>
      </c>
      <c r="L607" s="24">
        <f>IF(K607=1,IFERROR(MATCH('ORDENES'!$S603,lista_dias,0),9)*1000000000+IFERROR(MATCH('ORDENES'!$AI603,lista_turnos,0),9)*10000000+IFERROR(MATCH('ORDENES'!$AH603,'TECNICOS'!$B$4:$B$19,0),99)*100000+600,9000000000000+600)</f>
        <v/>
      </c>
      <c r="M607" s="24">
        <f>IF(K607=1,SUMPRODUCT(--($L$8:$L$1207&lt;L607))+1,"")</f>
        <v/>
      </c>
      <c r="N607" s="25">
        <f>IF(K607=1,N('ORDENES'!$M603),0)</f>
        <v/>
      </c>
      <c r="O607" s="25">
        <f>IF('ORDENES'!$U603="preventiva",N607,0)</f>
        <v/>
      </c>
      <c r="P607" s="25">
        <f>IF('ORDENES'!$U603="correctiva",N607,0)</f>
        <v/>
      </c>
      <c r="Q607" s="24">
        <f>IF(AND(K607=1,'ORDENES'!$N603="Pendiente"),1,0)</f>
        <v/>
      </c>
      <c r="R607" s="24">
        <f>IF(Q607=1,100000-N607*1000+600*0.01,9000000000000+600)</f>
        <v/>
      </c>
      <c r="S607" s="24">
        <f>IF(Q607=1,SUMPRODUCT(--($R$8:$R$1207&lt;R607))+1,"")</f>
        <v/>
      </c>
      <c r="T607" s="30">
        <f>IF(K607=1,'ORDENES'!$J603,"")</f>
        <v/>
      </c>
    </row>
    <row r="608">
      <c r="K608" s="24">
        <f>IF(AND(IF($B$3="(todos)",TRUE,'ORDENES'!$O604=$B$3),IF($D$3="(todos)",TRUE,'ORDENES'!$AI604=$D$3),IF($F$3="(todos)",TRUE,'ORDENES'!$AA604=$F$3),IF($H$3="(todos)",TRUE,'ORDENES'!$Z604=$H$3),'ORDENES'!$AG604=TRUE,'ORDENES'!$A604&lt;&gt;""),1,0)</f>
        <v/>
      </c>
      <c r="L608" s="24">
        <f>IF(K608=1,IFERROR(MATCH('ORDENES'!$S604,lista_dias,0),9)*1000000000+IFERROR(MATCH('ORDENES'!$AI604,lista_turnos,0),9)*10000000+IFERROR(MATCH('ORDENES'!$AH604,'TECNICOS'!$B$4:$B$19,0),99)*100000+601,9000000000000+601)</f>
        <v/>
      </c>
      <c r="M608" s="24">
        <f>IF(K608=1,SUMPRODUCT(--($L$8:$L$1207&lt;L608))+1,"")</f>
        <v/>
      </c>
      <c r="N608" s="25">
        <f>IF(K608=1,N('ORDENES'!$M604),0)</f>
        <v/>
      </c>
      <c r="O608" s="25">
        <f>IF('ORDENES'!$U604="preventiva",N608,0)</f>
        <v/>
      </c>
      <c r="P608" s="25">
        <f>IF('ORDENES'!$U604="correctiva",N608,0)</f>
        <v/>
      </c>
      <c r="Q608" s="24">
        <f>IF(AND(K608=1,'ORDENES'!$N604="Pendiente"),1,0)</f>
        <v/>
      </c>
      <c r="R608" s="24">
        <f>IF(Q608=1,100000-N608*1000+601*0.01,9000000000000+601)</f>
        <v/>
      </c>
      <c r="S608" s="24">
        <f>IF(Q608=1,SUMPRODUCT(--($R$8:$R$1207&lt;R608))+1,"")</f>
        <v/>
      </c>
      <c r="T608" s="30">
        <f>IF(K608=1,'ORDENES'!$J604,"")</f>
        <v/>
      </c>
    </row>
    <row r="609">
      <c r="K609" s="24">
        <f>IF(AND(IF($B$3="(todos)",TRUE,'ORDENES'!$O605=$B$3),IF($D$3="(todos)",TRUE,'ORDENES'!$AI605=$D$3),IF($F$3="(todos)",TRUE,'ORDENES'!$AA605=$F$3),IF($H$3="(todos)",TRUE,'ORDENES'!$Z605=$H$3),'ORDENES'!$AG605=TRUE,'ORDENES'!$A605&lt;&gt;""),1,0)</f>
        <v/>
      </c>
      <c r="L609" s="24">
        <f>IF(K609=1,IFERROR(MATCH('ORDENES'!$S605,lista_dias,0),9)*1000000000+IFERROR(MATCH('ORDENES'!$AI605,lista_turnos,0),9)*10000000+IFERROR(MATCH('ORDENES'!$AH605,'TECNICOS'!$B$4:$B$19,0),99)*100000+602,9000000000000+602)</f>
        <v/>
      </c>
      <c r="M609" s="24">
        <f>IF(K609=1,SUMPRODUCT(--($L$8:$L$1207&lt;L609))+1,"")</f>
        <v/>
      </c>
      <c r="N609" s="25">
        <f>IF(K609=1,N('ORDENES'!$M605),0)</f>
        <v/>
      </c>
      <c r="O609" s="25">
        <f>IF('ORDENES'!$U605="preventiva",N609,0)</f>
        <v/>
      </c>
      <c r="P609" s="25">
        <f>IF('ORDENES'!$U605="correctiva",N609,0)</f>
        <v/>
      </c>
      <c r="Q609" s="24">
        <f>IF(AND(K609=1,'ORDENES'!$N605="Pendiente"),1,0)</f>
        <v/>
      </c>
      <c r="R609" s="24">
        <f>IF(Q609=1,100000-N609*1000+602*0.01,9000000000000+602)</f>
        <v/>
      </c>
      <c r="S609" s="24">
        <f>IF(Q609=1,SUMPRODUCT(--($R$8:$R$1207&lt;R609))+1,"")</f>
        <v/>
      </c>
      <c r="T609" s="30">
        <f>IF(K609=1,'ORDENES'!$J605,"")</f>
        <v/>
      </c>
    </row>
    <row r="610">
      <c r="K610" s="24">
        <f>IF(AND(IF($B$3="(todos)",TRUE,'ORDENES'!$O606=$B$3),IF($D$3="(todos)",TRUE,'ORDENES'!$AI606=$D$3),IF($F$3="(todos)",TRUE,'ORDENES'!$AA606=$F$3),IF($H$3="(todos)",TRUE,'ORDENES'!$Z606=$H$3),'ORDENES'!$AG606=TRUE,'ORDENES'!$A606&lt;&gt;""),1,0)</f>
        <v/>
      </c>
      <c r="L610" s="24">
        <f>IF(K610=1,IFERROR(MATCH('ORDENES'!$S606,lista_dias,0),9)*1000000000+IFERROR(MATCH('ORDENES'!$AI606,lista_turnos,0),9)*10000000+IFERROR(MATCH('ORDENES'!$AH606,'TECNICOS'!$B$4:$B$19,0),99)*100000+603,9000000000000+603)</f>
        <v/>
      </c>
      <c r="M610" s="24">
        <f>IF(K610=1,SUMPRODUCT(--($L$8:$L$1207&lt;L610))+1,"")</f>
        <v/>
      </c>
      <c r="N610" s="25">
        <f>IF(K610=1,N('ORDENES'!$M606),0)</f>
        <v/>
      </c>
      <c r="O610" s="25">
        <f>IF('ORDENES'!$U606="preventiva",N610,0)</f>
        <v/>
      </c>
      <c r="P610" s="25">
        <f>IF('ORDENES'!$U606="correctiva",N610,0)</f>
        <v/>
      </c>
      <c r="Q610" s="24">
        <f>IF(AND(K610=1,'ORDENES'!$N606="Pendiente"),1,0)</f>
        <v/>
      </c>
      <c r="R610" s="24">
        <f>IF(Q610=1,100000-N610*1000+603*0.01,9000000000000+603)</f>
        <v/>
      </c>
      <c r="S610" s="24">
        <f>IF(Q610=1,SUMPRODUCT(--($R$8:$R$1207&lt;R610))+1,"")</f>
        <v/>
      </c>
      <c r="T610" s="30">
        <f>IF(K610=1,'ORDENES'!$J606,"")</f>
        <v/>
      </c>
    </row>
    <row r="611">
      <c r="K611" s="24">
        <f>IF(AND(IF($B$3="(todos)",TRUE,'ORDENES'!$O607=$B$3),IF($D$3="(todos)",TRUE,'ORDENES'!$AI607=$D$3),IF($F$3="(todos)",TRUE,'ORDENES'!$AA607=$F$3),IF($H$3="(todos)",TRUE,'ORDENES'!$Z607=$H$3),'ORDENES'!$AG607=TRUE,'ORDENES'!$A607&lt;&gt;""),1,0)</f>
        <v/>
      </c>
      <c r="L611" s="24">
        <f>IF(K611=1,IFERROR(MATCH('ORDENES'!$S607,lista_dias,0),9)*1000000000+IFERROR(MATCH('ORDENES'!$AI607,lista_turnos,0),9)*10000000+IFERROR(MATCH('ORDENES'!$AH607,'TECNICOS'!$B$4:$B$19,0),99)*100000+604,9000000000000+604)</f>
        <v/>
      </c>
      <c r="M611" s="24">
        <f>IF(K611=1,SUMPRODUCT(--($L$8:$L$1207&lt;L611))+1,"")</f>
        <v/>
      </c>
      <c r="N611" s="25">
        <f>IF(K611=1,N('ORDENES'!$M607),0)</f>
        <v/>
      </c>
      <c r="O611" s="25">
        <f>IF('ORDENES'!$U607="preventiva",N611,0)</f>
        <v/>
      </c>
      <c r="P611" s="25">
        <f>IF('ORDENES'!$U607="correctiva",N611,0)</f>
        <v/>
      </c>
      <c r="Q611" s="24">
        <f>IF(AND(K611=1,'ORDENES'!$N607="Pendiente"),1,0)</f>
        <v/>
      </c>
      <c r="R611" s="24">
        <f>IF(Q611=1,100000-N611*1000+604*0.01,9000000000000+604)</f>
        <v/>
      </c>
      <c r="S611" s="24">
        <f>IF(Q611=1,SUMPRODUCT(--($R$8:$R$1207&lt;R611))+1,"")</f>
        <v/>
      </c>
      <c r="T611" s="30">
        <f>IF(K611=1,'ORDENES'!$J607,"")</f>
        <v/>
      </c>
    </row>
    <row r="612">
      <c r="K612" s="24">
        <f>IF(AND(IF($B$3="(todos)",TRUE,'ORDENES'!$O608=$B$3),IF($D$3="(todos)",TRUE,'ORDENES'!$AI608=$D$3),IF($F$3="(todos)",TRUE,'ORDENES'!$AA608=$F$3),IF($H$3="(todos)",TRUE,'ORDENES'!$Z608=$H$3),'ORDENES'!$AG608=TRUE,'ORDENES'!$A608&lt;&gt;""),1,0)</f>
        <v/>
      </c>
      <c r="L612" s="24">
        <f>IF(K612=1,IFERROR(MATCH('ORDENES'!$S608,lista_dias,0),9)*1000000000+IFERROR(MATCH('ORDENES'!$AI608,lista_turnos,0),9)*10000000+IFERROR(MATCH('ORDENES'!$AH608,'TECNICOS'!$B$4:$B$19,0),99)*100000+605,9000000000000+605)</f>
        <v/>
      </c>
      <c r="M612" s="24">
        <f>IF(K612=1,SUMPRODUCT(--($L$8:$L$1207&lt;L612))+1,"")</f>
        <v/>
      </c>
      <c r="N612" s="25">
        <f>IF(K612=1,N('ORDENES'!$M608),0)</f>
        <v/>
      </c>
      <c r="O612" s="25">
        <f>IF('ORDENES'!$U608="preventiva",N612,0)</f>
        <v/>
      </c>
      <c r="P612" s="25">
        <f>IF('ORDENES'!$U608="correctiva",N612,0)</f>
        <v/>
      </c>
      <c r="Q612" s="24">
        <f>IF(AND(K612=1,'ORDENES'!$N608="Pendiente"),1,0)</f>
        <v/>
      </c>
      <c r="R612" s="24">
        <f>IF(Q612=1,100000-N612*1000+605*0.01,9000000000000+605)</f>
        <v/>
      </c>
      <c r="S612" s="24">
        <f>IF(Q612=1,SUMPRODUCT(--($R$8:$R$1207&lt;R612))+1,"")</f>
        <v/>
      </c>
      <c r="T612" s="30">
        <f>IF(K612=1,'ORDENES'!$J608,"")</f>
        <v/>
      </c>
    </row>
    <row r="613">
      <c r="K613" s="24">
        <f>IF(AND(IF($B$3="(todos)",TRUE,'ORDENES'!$O609=$B$3),IF($D$3="(todos)",TRUE,'ORDENES'!$AI609=$D$3),IF($F$3="(todos)",TRUE,'ORDENES'!$AA609=$F$3),IF($H$3="(todos)",TRUE,'ORDENES'!$Z609=$H$3),'ORDENES'!$AG609=TRUE,'ORDENES'!$A609&lt;&gt;""),1,0)</f>
        <v/>
      </c>
      <c r="L613" s="24">
        <f>IF(K613=1,IFERROR(MATCH('ORDENES'!$S609,lista_dias,0),9)*1000000000+IFERROR(MATCH('ORDENES'!$AI609,lista_turnos,0),9)*10000000+IFERROR(MATCH('ORDENES'!$AH609,'TECNICOS'!$B$4:$B$19,0),99)*100000+606,9000000000000+606)</f>
        <v/>
      </c>
      <c r="M613" s="24">
        <f>IF(K613=1,SUMPRODUCT(--($L$8:$L$1207&lt;L613))+1,"")</f>
        <v/>
      </c>
      <c r="N613" s="25">
        <f>IF(K613=1,N('ORDENES'!$M609),0)</f>
        <v/>
      </c>
      <c r="O613" s="25">
        <f>IF('ORDENES'!$U609="preventiva",N613,0)</f>
        <v/>
      </c>
      <c r="P613" s="25">
        <f>IF('ORDENES'!$U609="correctiva",N613,0)</f>
        <v/>
      </c>
      <c r="Q613" s="24">
        <f>IF(AND(K613=1,'ORDENES'!$N609="Pendiente"),1,0)</f>
        <v/>
      </c>
      <c r="R613" s="24">
        <f>IF(Q613=1,100000-N613*1000+606*0.01,9000000000000+606)</f>
        <v/>
      </c>
      <c r="S613" s="24">
        <f>IF(Q613=1,SUMPRODUCT(--($R$8:$R$1207&lt;R613))+1,"")</f>
        <v/>
      </c>
      <c r="T613" s="30">
        <f>IF(K613=1,'ORDENES'!$J609,"")</f>
        <v/>
      </c>
    </row>
    <row r="614">
      <c r="K614" s="24">
        <f>IF(AND(IF($B$3="(todos)",TRUE,'ORDENES'!$O610=$B$3),IF($D$3="(todos)",TRUE,'ORDENES'!$AI610=$D$3),IF($F$3="(todos)",TRUE,'ORDENES'!$AA610=$F$3),IF($H$3="(todos)",TRUE,'ORDENES'!$Z610=$H$3),'ORDENES'!$AG610=TRUE,'ORDENES'!$A610&lt;&gt;""),1,0)</f>
        <v/>
      </c>
      <c r="L614" s="24">
        <f>IF(K614=1,IFERROR(MATCH('ORDENES'!$S610,lista_dias,0),9)*1000000000+IFERROR(MATCH('ORDENES'!$AI610,lista_turnos,0),9)*10000000+IFERROR(MATCH('ORDENES'!$AH610,'TECNICOS'!$B$4:$B$19,0),99)*100000+607,9000000000000+607)</f>
        <v/>
      </c>
      <c r="M614" s="24">
        <f>IF(K614=1,SUMPRODUCT(--($L$8:$L$1207&lt;L614))+1,"")</f>
        <v/>
      </c>
      <c r="N614" s="25">
        <f>IF(K614=1,N('ORDENES'!$M610),0)</f>
        <v/>
      </c>
      <c r="O614" s="25">
        <f>IF('ORDENES'!$U610="preventiva",N614,0)</f>
        <v/>
      </c>
      <c r="P614" s="25">
        <f>IF('ORDENES'!$U610="correctiva",N614,0)</f>
        <v/>
      </c>
      <c r="Q614" s="24">
        <f>IF(AND(K614=1,'ORDENES'!$N610="Pendiente"),1,0)</f>
        <v/>
      </c>
      <c r="R614" s="24">
        <f>IF(Q614=1,100000-N614*1000+607*0.01,9000000000000+607)</f>
        <v/>
      </c>
      <c r="S614" s="24">
        <f>IF(Q614=1,SUMPRODUCT(--($R$8:$R$1207&lt;R614))+1,"")</f>
        <v/>
      </c>
      <c r="T614" s="30">
        <f>IF(K614=1,'ORDENES'!$J610,"")</f>
        <v/>
      </c>
    </row>
    <row r="615">
      <c r="K615" s="24">
        <f>IF(AND(IF($B$3="(todos)",TRUE,'ORDENES'!$O611=$B$3),IF($D$3="(todos)",TRUE,'ORDENES'!$AI611=$D$3),IF($F$3="(todos)",TRUE,'ORDENES'!$AA611=$F$3),IF($H$3="(todos)",TRUE,'ORDENES'!$Z611=$H$3),'ORDENES'!$AG611=TRUE,'ORDENES'!$A611&lt;&gt;""),1,0)</f>
        <v/>
      </c>
      <c r="L615" s="24">
        <f>IF(K615=1,IFERROR(MATCH('ORDENES'!$S611,lista_dias,0),9)*1000000000+IFERROR(MATCH('ORDENES'!$AI611,lista_turnos,0),9)*10000000+IFERROR(MATCH('ORDENES'!$AH611,'TECNICOS'!$B$4:$B$19,0),99)*100000+608,9000000000000+608)</f>
        <v/>
      </c>
      <c r="M615" s="24">
        <f>IF(K615=1,SUMPRODUCT(--($L$8:$L$1207&lt;L615))+1,"")</f>
        <v/>
      </c>
      <c r="N615" s="25">
        <f>IF(K615=1,N('ORDENES'!$M611),0)</f>
        <v/>
      </c>
      <c r="O615" s="25">
        <f>IF('ORDENES'!$U611="preventiva",N615,0)</f>
        <v/>
      </c>
      <c r="P615" s="25">
        <f>IF('ORDENES'!$U611="correctiva",N615,0)</f>
        <v/>
      </c>
      <c r="Q615" s="24">
        <f>IF(AND(K615=1,'ORDENES'!$N611="Pendiente"),1,0)</f>
        <v/>
      </c>
      <c r="R615" s="24">
        <f>IF(Q615=1,100000-N615*1000+608*0.01,9000000000000+608)</f>
        <v/>
      </c>
      <c r="S615" s="24">
        <f>IF(Q615=1,SUMPRODUCT(--($R$8:$R$1207&lt;R615))+1,"")</f>
        <v/>
      </c>
      <c r="T615" s="30">
        <f>IF(K615=1,'ORDENES'!$J611,"")</f>
        <v/>
      </c>
    </row>
    <row r="616">
      <c r="K616" s="24">
        <f>IF(AND(IF($B$3="(todos)",TRUE,'ORDENES'!$O612=$B$3),IF($D$3="(todos)",TRUE,'ORDENES'!$AI612=$D$3),IF($F$3="(todos)",TRUE,'ORDENES'!$AA612=$F$3),IF($H$3="(todos)",TRUE,'ORDENES'!$Z612=$H$3),'ORDENES'!$AG612=TRUE,'ORDENES'!$A612&lt;&gt;""),1,0)</f>
        <v/>
      </c>
      <c r="L616" s="24">
        <f>IF(K616=1,IFERROR(MATCH('ORDENES'!$S612,lista_dias,0),9)*1000000000+IFERROR(MATCH('ORDENES'!$AI612,lista_turnos,0),9)*10000000+IFERROR(MATCH('ORDENES'!$AH612,'TECNICOS'!$B$4:$B$19,0),99)*100000+609,9000000000000+609)</f>
        <v/>
      </c>
      <c r="M616" s="24">
        <f>IF(K616=1,SUMPRODUCT(--($L$8:$L$1207&lt;L616))+1,"")</f>
        <v/>
      </c>
      <c r="N616" s="25">
        <f>IF(K616=1,N('ORDENES'!$M612),0)</f>
        <v/>
      </c>
      <c r="O616" s="25">
        <f>IF('ORDENES'!$U612="preventiva",N616,0)</f>
        <v/>
      </c>
      <c r="P616" s="25">
        <f>IF('ORDENES'!$U612="correctiva",N616,0)</f>
        <v/>
      </c>
      <c r="Q616" s="24">
        <f>IF(AND(K616=1,'ORDENES'!$N612="Pendiente"),1,0)</f>
        <v/>
      </c>
      <c r="R616" s="24">
        <f>IF(Q616=1,100000-N616*1000+609*0.01,9000000000000+609)</f>
        <v/>
      </c>
      <c r="S616" s="24">
        <f>IF(Q616=1,SUMPRODUCT(--($R$8:$R$1207&lt;R616))+1,"")</f>
        <v/>
      </c>
      <c r="T616" s="30">
        <f>IF(K616=1,'ORDENES'!$J612,"")</f>
        <v/>
      </c>
    </row>
    <row r="617">
      <c r="K617" s="24">
        <f>IF(AND(IF($B$3="(todos)",TRUE,'ORDENES'!$O613=$B$3),IF($D$3="(todos)",TRUE,'ORDENES'!$AI613=$D$3),IF($F$3="(todos)",TRUE,'ORDENES'!$AA613=$F$3),IF($H$3="(todos)",TRUE,'ORDENES'!$Z613=$H$3),'ORDENES'!$AG613=TRUE,'ORDENES'!$A613&lt;&gt;""),1,0)</f>
        <v/>
      </c>
      <c r="L617" s="24">
        <f>IF(K617=1,IFERROR(MATCH('ORDENES'!$S613,lista_dias,0),9)*1000000000+IFERROR(MATCH('ORDENES'!$AI613,lista_turnos,0),9)*10000000+IFERROR(MATCH('ORDENES'!$AH613,'TECNICOS'!$B$4:$B$19,0),99)*100000+610,9000000000000+610)</f>
        <v/>
      </c>
      <c r="M617" s="24">
        <f>IF(K617=1,SUMPRODUCT(--($L$8:$L$1207&lt;L617))+1,"")</f>
        <v/>
      </c>
      <c r="N617" s="25">
        <f>IF(K617=1,N('ORDENES'!$M613),0)</f>
        <v/>
      </c>
      <c r="O617" s="25">
        <f>IF('ORDENES'!$U613="preventiva",N617,0)</f>
        <v/>
      </c>
      <c r="P617" s="25">
        <f>IF('ORDENES'!$U613="correctiva",N617,0)</f>
        <v/>
      </c>
      <c r="Q617" s="24">
        <f>IF(AND(K617=1,'ORDENES'!$N613="Pendiente"),1,0)</f>
        <v/>
      </c>
      <c r="R617" s="24">
        <f>IF(Q617=1,100000-N617*1000+610*0.01,9000000000000+610)</f>
        <v/>
      </c>
      <c r="S617" s="24">
        <f>IF(Q617=1,SUMPRODUCT(--($R$8:$R$1207&lt;R617))+1,"")</f>
        <v/>
      </c>
      <c r="T617" s="30">
        <f>IF(K617=1,'ORDENES'!$J613,"")</f>
        <v/>
      </c>
    </row>
    <row r="618">
      <c r="K618" s="24">
        <f>IF(AND(IF($B$3="(todos)",TRUE,'ORDENES'!$O614=$B$3),IF($D$3="(todos)",TRUE,'ORDENES'!$AI614=$D$3),IF($F$3="(todos)",TRUE,'ORDENES'!$AA614=$F$3),IF($H$3="(todos)",TRUE,'ORDENES'!$Z614=$H$3),'ORDENES'!$AG614=TRUE,'ORDENES'!$A614&lt;&gt;""),1,0)</f>
        <v/>
      </c>
      <c r="L618" s="24">
        <f>IF(K618=1,IFERROR(MATCH('ORDENES'!$S614,lista_dias,0),9)*1000000000+IFERROR(MATCH('ORDENES'!$AI614,lista_turnos,0),9)*10000000+IFERROR(MATCH('ORDENES'!$AH614,'TECNICOS'!$B$4:$B$19,0),99)*100000+611,9000000000000+611)</f>
        <v/>
      </c>
      <c r="M618" s="24">
        <f>IF(K618=1,SUMPRODUCT(--($L$8:$L$1207&lt;L618))+1,"")</f>
        <v/>
      </c>
      <c r="N618" s="25">
        <f>IF(K618=1,N('ORDENES'!$M614),0)</f>
        <v/>
      </c>
      <c r="O618" s="25">
        <f>IF('ORDENES'!$U614="preventiva",N618,0)</f>
        <v/>
      </c>
      <c r="P618" s="25">
        <f>IF('ORDENES'!$U614="correctiva",N618,0)</f>
        <v/>
      </c>
      <c r="Q618" s="24">
        <f>IF(AND(K618=1,'ORDENES'!$N614="Pendiente"),1,0)</f>
        <v/>
      </c>
      <c r="R618" s="24">
        <f>IF(Q618=1,100000-N618*1000+611*0.01,9000000000000+611)</f>
        <v/>
      </c>
      <c r="S618" s="24">
        <f>IF(Q618=1,SUMPRODUCT(--($R$8:$R$1207&lt;R618))+1,"")</f>
        <v/>
      </c>
      <c r="T618" s="30">
        <f>IF(K618=1,'ORDENES'!$J614,"")</f>
        <v/>
      </c>
    </row>
    <row r="619">
      <c r="K619" s="24">
        <f>IF(AND(IF($B$3="(todos)",TRUE,'ORDENES'!$O615=$B$3),IF($D$3="(todos)",TRUE,'ORDENES'!$AI615=$D$3),IF($F$3="(todos)",TRUE,'ORDENES'!$AA615=$F$3),IF($H$3="(todos)",TRUE,'ORDENES'!$Z615=$H$3),'ORDENES'!$AG615=TRUE,'ORDENES'!$A615&lt;&gt;""),1,0)</f>
        <v/>
      </c>
      <c r="L619" s="24">
        <f>IF(K619=1,IFERROR(MATCH('ORDENES'!$S615,lista_dias,0),9)*1000000000+IFERROR(MATCH('ORDENES'!$AI615,lista_turnos,0),9)*10000000+IFERROR(MATCH('ORDENES'!$AH615,'TECNICOS'!$B$4:$B$19,0),99)*100000+612,9000000000000+612)</f>
        <v/>
      </c>
      <c r="M619" s="24">
        <f>IF(K619=1,SUMPRODUCT(--($L$8:$L$1207&lt;L619))+1,"")</f>
        <v/>
      </c>
      <c r="N619" s="25">
        <f>IF(K619=1,N('ORDENES'!$M615),0)</f>
        <v/>
      </c>
      <c r="O619" s="25">
        <f>IF('ORDENES'!$U615="preventiva",N619,0)</f>
        <v/>
      </c>
      <c r="P619" s="25">
        <f>IF('ORDENES'!$U615="correctiva",N619,0)</f>
        <v/>
      </c>
      <c r="Q619" s="24">
        <f>IF(AND(K619=1,'ORDENES'!$N615="Pendiente"),1,0)</f>
        <v/>
      </c>
      <c r="R619" s="24">
        <f>IF(Q619=1,100000-N619*1000+612*0.01,9000000000000+612)</f>
        <v/>
      </c>
      <c r="S619" s="24">
        <f>IF(Q619=1,SUMPRODUCT(--($R$8:$R$1207&lt;R619))+1,"")</f>
        <v/>
      </c>
      <c r="T619" s="30">
        <f>IF(K619=1,'ORDENES'!$J615,"")</f>
        <v/>
      </c>
    </row>
    <row r="620">
      <c r="K620" s="24">
        <f>IF(AND(IF($B$3="(todos)",TRUE,'ORDENES'!$O616=$B$3),IF($D$3="(todos)",TRUE,'ORDENES'!$AI616=$D$3),IF($F$3="(todos)",TRUE,'ORDENES'!$AA616=$F$3),IF($H$3="(todos)",TRUE,'ORDENES'!$Z616=$H$3),'ORDENES'!$AG616=TRUE,'ORDENES'!$A616&lt;&gt;""),1,0)</f>
        <v/>
      </c>
      <c r="L620" s="24">
        <f>IF(K620=1,IFERROR(MATCH('ORDENES'!$S616,lista_dias,0),9)*1000000000+IFERROR(MATCH('ORDENES'!$AI616,lista_turnos,0),9)*10000000+IFERROR(MATCH('ORDENES'!$AH616,'TECNICOS'!$B$4:$B$19,0),99)*100000+613,9000000000000+613)</f>
        <v/>
      </c>
      <c r="M620" s="24">
        <f>IF(K620=1,SUMPRODUCT(--($L$8:$L$1207&lt;L620))+1,"")</f>
        <v/>
      </c>
      <c r="N620" s="25">
        <f>IF(K620=1,N('ORDENES'!$M616),0)</f>
        <v/>
      </c>
      <c r="O620" s="25">
        <f>IF('ORDENES'!$U616="preventiva",N620,0)</f>
        <v/>
      </c>
      <c r="P620" s="25">
        <f>IF('ORDENES'!$U616="correctiva",N620,0)</f>
        <v/>
      </c>
      <c r="Q620" s="24">
        <f>IF(AND(K620=1,'ORDENES'!$N616="Pendiente"),1,0)</f>
        <v/>
      </c>
      <c r="R620" s="24">
        <f>IF(Q620=1,100000-N620*1000+613*0.01,9000000000000+613)</f>
        <v/>
      </c>
      <c r="S620" s="24">
        <f>IF(Q620=1,SUMPRODUCT(--($R$8:$R$1207&lt;R620))+1,"")</f>
        <v/>
      </c>
      <c r="T620" s="30">
        <f>IF(K620=1,'ORDENES'!$J616,"")</f>
        <v/>
      </c>
    </row>
    <row r="621">
      <c r="K621" s="24">
        <f>IF(AND(IF($B$3="(todos)",TRUE,'ORDENES'!$O617=$B$3),IF($D$3="(todos)",TRUE,'ORDENES'!$AI617=$D$3),IF($F$3="(todos)",TRUE,'ORDENES'!$AA617=$F$3),IF($H$3="(todos)",TRUE,'ORDENES'!$Z617=$H$3),'ORDENES'!$AG617=TRUE,'ORDENES'!$A617&lt;&gt;""),1,0)</f>
        <v/>
      </c>
      <c r="L621" s="24">
        <f>IF(K621=1,IFERROR(MATCH('ORDENES'!$S617,lista_dias,0),9)*1000000000+IFERROR(MATCH('ORDENES'!$AI617,lista_turnos,0),9)*10000000+IFERROR(MATCH('ORDENES'!$AH617,'TECNICOS'!$B$4:$B$19,0),99)*100000+614,9000000000000+614)</f>
        <v/>
      </c>
      <c r="M621" s="24">
        <f>IF(K621=1,SUMPRODUCT(--($L$8:$L$1207&lt;L621))+1,"")</f>
        <v/>
      </c>
      <c r="N621" s="25">
        <f>IF(K621=1,N('ORDENES'!$M617),0)</f>
        <v/>
      </c>
      <c r="O621" s="25">
        <f>IF('ORDENES'!$U617="preventiva",N621,0)</f>
        <v/>
      </c>
      <c r="P621" s="25">
        <f>IF('ORDENES'!$U617="correctiva",N621,0)</f>
        <v/>
      </c>
      <c r="Q621" s="24">
        <f>IF(AND(K621=1,'ORDENES'!$N617="Pendiente"),1,0)</f>
        <v/>
      </c>
      <c r="R621" s="24">
        <f>IF(Q621=1,100000-N621*1000+614*0.01,9000000000000+614)</f>
        <v/>
      </c>
      <c r="S621" s="24">
        <f>IF(Q621=1,SUMPRODUCT(--($R$8:$R$1207&lt;R621))+1,"")</f>
        <v/>
      </c>
      <c r="T621" s="30">
        <f>IF(K621=1,'ORDENES'!$J617,"")</f>
        <v/>
      </c>
    </row>
    <row r="622">
      <c r="K622" s="24">
        <f>IF(AND(IF($B$3="(todos)",TRUE,'ORDENES'!$O618=$B$3),IF($D$3="(todos)",TRUE,'ORDENES'!$AI618=$D$3),IF($F$3="(todos)",TRUE,'ORDENES'!$AA618=$F$3),IF($H$3="(todos)",TRUE,'ORDENES'!$Z618=$H$3),'ORDENES'!$AG618=TRUE,'ORDENES'!$A618&lt;&gt;""),1,0)</f>
        <v/>
      </c>
      <c r="L622" s="24">
        <f>IF(K622=1,IFERROR(MATCH('ORDENES'!$S618,lista_dias,0),9)*1000000000+IFERROR(MATCH('ORDENES'!$AI618,lista_turnos,0),9)*10000000+IFERROR(MATCH('ORDENES'!$AH618,'TECNICOS'!$B$4:$B$19,0),99)*100000+615,9000000000000+615)</f>
        <v/>
      </c>
      <c r="M622" s="24">
        <f>IF(K622=1,SUMPRODUCT(--($L$8:$L$1207&lt;L622))+1,"")</f>
        <v/>
      </c>
      <c r="N622" s="25">
        <f>IF(K622=1,N('ORDENES'!$M618),0)</f>
        <v/>
      </c>
      <c r="O622" s="25">
        <f>IF('ORDENES'!$U618="preventiva",N622,0)</f>
        <v/>
      </c>
      <c r="P622" s="25">
        <f>IF('ORDENES'!$U618="correctiva",N622,0)</f>
        <v/>
      </c>
      <c r="Q622" s="24">
        <f>IF(AND(K622=1,'ORDENES'!$N618="Pendiente"),1,0)</f>
        <v/>
      </c>
      <c r="R622" s="24">
        <f>IF(Q622=1,100000-N622*1000+615*0.01,9000000000000+615)</f>
        <v/>
      </c>
      <c r="S622" s="24">
        <f>IF(Q622=1,SUMPRODUCT(--($R$8:$R$1207&lt;R622))+1,"")</f>
        <v/>
      </c>
      <c r="T622" s="30">
        <f>IF(K622=1,'ORDENES'!$J618,"")</f>
        <v/>
      </c>
    </row>
    <row r="623">
      <c r="K623" s="24">
        <f>IF(AND(IF($B$3="(todos)",TRUE,'ORDENES'!$O619=$B$3),IF($D$3="(todos)",TRUE,'ORDENES'!$AI619=$D$3),IF($F$3="(todos)",TRUE,'ORDENES'!$AA619=$F$3),IF($H$3="(todos)",TRUE,'ORDENES'!$Z619=$H$3),'ORDENES'!$AG619=TRUE,'ORDENES'!$A619&lt;&gt;""),1,0)</f>
        <v/>
      </c>
      <c r="L623" s="24">
        <f>IF(K623=1,IFERROR(MATCH('ORDENES'!$S619,lista_dias,0),9)*1000000000+IFERROR(MATCH('ORDENES'!$AI619,lista_turnos,0),9)*10000000+IFERROR(MATCH('ORDENES'!$AH619,'TECNICOS'!$B$4:$B$19,0),99)*100000+616,9000000000000+616)</f>
        <v/>
      </c>
      <c r="M623" s="24">
        <f>IF(K623=1,SUMPRODUCT(--($L$8:$L$1207&lt;L623))+1,"")</f>
        <v/>
      </c>
      <c r="N623" s="25">
        <f>IF(K623=1,N('ORDENES'!$M619),0)</f>
        <v/>
      </c>
      <c r="O623" s="25">
        <f>IF('ORDENES'!$U619="preventiva",N623,0)</f>
        <v/>
      </c>
      <c r="P623" s="25">
        <f>IF('ORDENES'!$U619="correctiva",N623,0)</f>
        <v/>
      </c>
      <c r="Q623" s="24">
        <f>IF(AND(K623=1,'ORDENES'!$N619="Pendiente"),1,0)</f>
        <v/>
      </c>
      <c r="R623" s="24">
        <f>IF(Q623=1,100000-N623*1000+616*0.01,9000000000000+616)</f>
        <v/>
      </c>
      <c r="S623" s="24">
        <f>IF(Q623=1,SUMPRODUCT(--($R$8:$R$1207&lt;R623))+1,"")</f>
        <v/>
      </c>
      <c r="T623" s="30">
        <f>IF(K623=1,'ORDENES'!$J619,"")</f>
        <v/>
      </c>
    </row>
    <row r="624">
      <c r="K624" s="24">
        <f>IF(AND(IF($B$3="(todos)",TRUE,'ORDENES'!$O620=$B$3),IF($D$3="(todos)",TRUE,'ORDENES'!$AI620=$D$3),IF($F$3="(todos)",TRUE,'ORDENES'!$AA620=$F$3),IF($H$3="(todos)",TRUE,'ORDENES'!$Z620=$H$3),'ORDENES'!$AG620=TRUE,'ORDENES'!$A620&lt;&gt;""),1,0)</f>
        <v/>
      </c>
      <c r="L624" s="24">
        <f>IF(K624=1,IFERROR(MATCH('ORDENES'!$S620,lista_dias,0),9)*1000000000+IFERROR(MATCH('ORDENES'!$AI620,lista_turnos,0),9)*10000000+IFERROR(MATCH('ORDENES'!$AH620,'TECNICOS'!$B$4:$B$19,0),99)*100000+617,9000000000000+617)</f>
        <v/>
      </c>
      <c r="M624" s="24">
        <f>IF(K624=1,SUMPRODUCT(--($L$8:$L$1207&lt;L624))+1,"")</f>
        <v/>
      </c>
      <c r="N624" s="25">
        <f>IF(K624=1,N('ORDENES'!$M620),0)</f>
        <v/>
      </c>
      <c r="O624" s="25">
        <f>IF('ORDENES'!$U620="preventiva",N624,0)</f>
        <v/>
      </c>
      <c r="P624" s="25">
        <f>IF('ORDENES'!$U620="correctiva",N624,0)</f>
        <v/>
      </c>
      <c r="Q624" s="24">
        <f>IF(AND(K624=1,'ORDENES'!$N620="Pendiente"),1,0)</f>
        <v/>
      </c>
      <c r="R624" s="24">
        <f>IF(Q624=1,100000-N624*1000+617*0.01,9000000000000+617)</f>
        <v/>
      </c>
      <c r="S624" s="24">
        <f>IF(Q624=1,SUMPRODUCT(--($R$8:$R$1207&lt;R624))+1,"")</f>
        <v/>
      </c>
      <c r="T624" s="30">
        <f>IF(K624=1,'ORDENES'!$J620,"")</f>
        <v/>
      </c>
    </row>
    <row r="625">
      <c r="K625" s="24">
        <f>IF(AND(IF($B$3="(todos)",TRUE,'ORDENES'!$O621=$B$3),IF($D$3="(todos)",TRUE,'ORDENES'!$AI621=$D$3),IF($F$3="(todos)",TRUE,'ORDENES'!$AA621=$F$3),IF($H$3="(todos)",TRUE,'ORDENES'!$Z621=$H$3),'ORDENES'!$AG621=TRUE,'ORDENES'!$A621&lt;&gt;""),1,0)</f>
        <v/>
      </c>
      <c r="L625" s="24">
        <f>IF(K625=1,IFERROR(MATCH('ORDENES'!$S621,lista_dias,0),9)*1000000000+IFERROR(MATCH('ORDENES'!$AI621,lista_turnos,0),9)*10000000+IFERROR(MATCH('ORDENES'!$AH621,'TECNICOS'!$B$4:$B$19,0),99)*100000+618,9000000000000+618)</f>
        <v/>
      </c>
      <c r="M625" s="24">
        <f>IF(K625=1,SUMPRODUCT(--($L$8:$L$1207&lt;L625))+1,"")</f>
        <v/>
      </c>
      <c r="N625" s="25">
        <f>IF(K625=1,N('ORDENES'!$M621),0)</f>
        <v/>
      </c>
      <c r="O625" s="25">
        <f>IF('ORDENES'!$U621="preventiva",N625,0)</f>
        <v/>
      </c>
      <c r="P625" s="25">
        <f>IF('ORDENES'!$U621="correctiva",N625,0)</f>
        <v/>
      </c>
      <c r="Q625" s="24">
        <f>IF(AND(K625=1,'ORDENES'!$N621="Pendiente"),1,0)</f>
        <v/>
      </c>
      <c r="R625" s="24">
        <f>IF(Q625=1,100000-N625*1000+618*0.01,9000000000000+618)</f>
        <v/>
      </c>
      <c r="S625" s="24">
        <f>IF(Q625=1,SUMPRODUCT(--($R$8:$R$1207&lt;R625))+1,"")</f>
        <v/>
      </c>
      <c r="T625" s="30">
        <f>IF(K625=1,'ORDENES'!$J621,"")</f>
        <v/>
      </c>
    </row>
    <row r="626">
      <c r="K626" s="24">
        <f>IF(AND(IF($B$3="(todos)",TRUE,'ORDENES'!$O622=$B$3),IF($D$3="(todos)",TRUE,'ORDENES'!$AI622=$D$3),IF($F$3="(todos)",TRUE,'ORDENES'!$AA622=$F$3),IF($H$3="(todos)",TRUE,'ORDENES'!$Z622=$H$3),'ORDENES'!$AG622=TRUE,'ORDENES'!$A622&lt;&gt;""),1,0)</f>
        <v/>
      </c>
      <c r="L626" s="24">
        <f>IF(K626=1,IFERROR(MATCH('ORDENES'!$S622,lista_dias,0),9)*1000000000+IFERROR(MATCH('ORDENES'!$AI622,lista_turnos,0),9)*10000000+IFERROR(MATCH('ORDENES'!$AH622,'TECNICOS'!$B$4:$B$19,0),99)*100000+619,9000000000000+619)</f>
        <v/>
      </c>
      <c r="M626" s="24">
        <f>IF(K626=1,SUMPRODUCT(--($L$8:$L$1207&lt;L626))+1,"")</f>
        <v/>
      </c>
      <c r="N626" s="25">
        <f>IF(K626=1,N('ORDENES'!$M622),0)</f>
        <v/>
      </c>
      <c r="O626" s="25">
        <f>IF('ORDENES'!$U622="preventiva",N626,0)</f>
        <v/>
      </c>
      <c r="P626" s="25">
        <f>IF('ORDENES'!$U622="correctiva",N626,0)</f>
        <v/>
      </c>
      <c r="Q626" s="24">
        <f>IF(AND(K626=1,'ORDENES'!$N622="Pendiente"),1,0)</f>
        <v/>
      </c>
      <c r="R626" s="24">
        <f>IF(Q626=1,100000-N626*1000+619*0.01,9000000000000+619)</f>
        <v/>
      </c>
      <c r="S626" s="24">
        <f>IF(Q626=1,SUMPRODUCT(--($R$8:$R$1207&lt;R626))+1,"")</f>
        <v/>
      </c>
      <c r="T626" s="30">
        <f>IF(K626=1,'ORDENES'!$J622,"")</f>
        <v/>
      </c>
    </row>
    <row r="627">
      <c r="K627" s="24">
        <f>IF(AND(IF($B$3="(todos)",TRUE,'ORDENES'!$O623=$B$3),IF($D$3="(todos)",TRUE,'ORDENES'!$AI623=$D$3),IF($F$3="(todos)",TRUE,'ORDENES'!$AA623=$F$3),IF($H$3="(todos)",TRUE,'ORDENES'!$Z623=$H$3),'ORDENES'!$AG623=TRUE,'ORDENES'!$A623&lt;&gt;""),1,0)</f>
        <v/>
      </c>
      <c r="L627" s="24">
        <f>IF(K627=1,IFERROR(MATCH('ORDENES'!$S623,lista_dias,0),9)*1000000000+IFERROR(MATCH('ORDENES'!$AI623,lista_turnos,0),9)*10000000+IFERROR(MATCH('ORDENES'!$AH623,'TECNICOS'!$B$4:$B$19,0),99)*100000+620,9000000000000+620)</f>
        <v/>
      </c>
      <c r="M627" s="24">
        <f>IF(K627=1,SUMPRODUCT(--($L$8:$L$1207&lt;L627))+1,"")</f>
        <v/>
      </c>
      <c r="N627" s="25">
        <f>IF(K627=1,N('ORDENES'!$M623),0)</f>
        <v/>
      </c>
      <c r="O627" s="25">
        <f>IF('ORDENES'!$U623="preventiva",N627,0)</f>
        <v/>
      </c>
      <c r="P627" s="25">
        <f>IF('ORDENES'!$U623="correctiva",N627,0)</f>
        <v/>
      </c>
      <c r="Q627" s="24">
        <f>IF(AND(K627=1,'ORDENES'!$N623="Pendiente"),1,0)</f>
        <v/>
      </c>
      <c r="R627" s="24">
        <f>IF(Q627=1,100000-N627*1000+620*0.01,9000000000000+620)</f>
        <v/>
      </c>
      <c r="S627" s="24">
        <f>IF(Q627=1,SUMPRODUCT(--($R$8:$R$1207&lt;R627))+1,"")</f>
        <v/>
      </c>
      <c r="T627" s="30">
        <f>IF(K627=1,'ORDENES'!$J623,"")</f>
        <v/>
      </c>
    </row>
    <row r="628">
      <c r="K628" s="24">
        <f>IF(AND(IF($B$3="(todos)",TRUE,'ORDENES'!$O624=$B$3),IF($D$3="(todos)",TRUE,'ORDENES'!$AI624=$D$3),IF($F$3="(todos)",TRUE,'ORDENES'!$AA624=$F$3),IF($H$3="(todos)",TRUE,'ORDENES'!$Z624=$H$3),'ORDENES'!$AG624=TRUE,'ORDENES'!$A624&lt;&gt;""),1,0)</f>
        <v/>
      </c>
      <c r="L628" s="24">
        <f>IF(K628=1,IFERROR(MATCH('ORDENES'!$S624,lista_dias,0),9)*1000000000+IFERROR(MATCH('ORDENES'!$AI624,lista_turnos,0),9)*10000000+IFERROR(MATCH('ORDENES'!$AH624,'TECNICOS'!$B$4:$B$19,0),99)*100000+621,9000000000000+621)</f>
        <v/>
      </c>
      <c r="M628" s="24">
        <f>IF(K628=1,SUMPRODUCT(--($L$8:$L$1207&lt;L628))+1,"")</f>
        <v/>
      </c>
      <c r="N628" s="25">
        <f>IF(K628=1,N('ORDENES'!$M624),0)</f>
        <v/>
      </c>
      <c r="O628" s="25">
        <f>IF('ORDENES'!$U624="preventiva",N628,0)</f>
        <v/>
      </c>
      <c r="P628" s="25">
        <f>IF('ORDENES'!$U624="correctiva",N628,0)</f>
        <v/>
      </c>
      <c r="Q628" s="24">
        <f>IF(AND(K628=1,'ORDENES'!$N624="Pendiente"),1,0)</f>
        <v/>
      </c>
      <c r="R628" s="24">
        <f>IF(Q628=1,100000-N628*1000+621*0.01,9000000000000+621)</f>
        <v/>
      </c>
      <c r="S628" s="24">
        <f>IF(Q628=1,SUMPRODUCT(--($R$8:$R$1207&lt;R628))+1,"")</f>
        <v/>
      </c>
      <c r="T628" s="30">
        <f>IF(K628=1,'ORDENES'!$J624,"")</f>
        <v/>
      </c>
    </row>
    <row r="629">
      <c r="K629" s="24">
        <f>IF(AND(IF($B$3="(todos)",TRUE,'ORDENES'!$O625=$B$3),IF($D$3="(todos)",TRUE,'ORDENES'!$AI625=$D$3),IF($F$3="(todos)",TRUE,'ORDENES'!$AA625=$F$3),IF($H$3="(todos)",TRUE,'ORDENES'!$Z625=$H$3),'ORDENES'!$AG625=TRUE,'ORDENES'!$A625&lt;&gt;""),1,0)</f>
        <v/>
      </c>
      <c r="L629" s="24">
        <f>IF(K629=1,IFERROR(MATCH('ORDENES'!$S625,lista_dias,0),9)*1000000000+IFERROR(MATCH('ORDENES'!$AI625,lista_turnos,0),9)*10000000+IFERROR(MATCH('ORDENES'!$AH625,'TECNICOS'!$B$4:$B$19,0),99)*100000+622,9000000000000+622)</f>
        <v/>
      </c>
      <c r="M629" s="24">
        <f>IF(K629=1,SUMPRODUCT(--($L$8:$L$1207&lt;L629))+1,"")</f>
        <v/>
      </c>
      <c r="N629" s="25">
        <f>IF(K629=1,N('ORDENES'!$M625),0)</f>
        <v/>
      </c>
      <c r="O629" s="25">
        <f>IF('ORDENES'!$U625="preventiva",N629,0)</f>
        <v/>
      </c>
      <c r="P629" s="25">
        <f>IF('ORDENES'!$U625="correctiva",N629,0)</f>
        <v/>
      </c>
      <c r="Q629" s="24">
        <f>IF(AND(K629=1,'ORDENES'!$N625="Pendiente"),1,0)</f>
        <v/>
      </c>
      <c r="R629" s="24">
        <f>IF(Q629=1,100000-N629*1000+622*0.01,9000000000000+622)</f>
        <v/>
      </c>
      <c r="S629" s="24">
        <f>IF(Q629=1,SUMPRODUCT(--($R$8:$R$1207&lt;R629))+1,"")</f>
        <v/>
      </c>
      <c r="T629" s="30">
        <f>IF(K629=1,'ORDENES'!$J625,"")</f>
        <v/>
      </c>
    </row>
    <row r="630">
      <c r="K630" s="24">
        <f>IF(AND(IF($B$3="(todos)",TRUE,'ORDENES'!$O626=$B$3),IF($D$3="(todos)",TRUE,'ORDENES'!$AI626=$D$3),IF($F$3="(todos)",TRUE,'ORDENES'!$AA626=$F$3),IF($H$3="(todos)",TRUE,'ORDENES'!$Z626=$H$3),'ORDENES'!$AG626=TRUE,'ORDENES'!$A626&lt;&gt;""),1,0)</f>
        <v/>
      </c>
      <c r="L630" s="24">
        <f>IF(K630=1,IFERROR(MATCH('ORDENES'!$S626,lista_dias,0),9)*1000000000+IFERROR(MATCH('ORDENES'!$AI626,lista_turnos,0),9)*10000000+IFERROR(MATCH('ORDENES'!$AH626,'TECNICOS'!$B$4:$B$19,0),99)*100000+623,9000000000000+623)</f>
        <v/>
      </c>
      <c r="M630" s="24">
        <f>IF(K630=1,SUMPRODUCT(--($L$8:$L$1207&lt;L630))+1,"")</f>
        <v/>
      </c>
      <c r="N630" s="25">
        <f>IF(K630=1,N('ORDENES'!$M626),0)</f>
        <v/>
      </c>
      <c r="O630" s="25">
        <f>IF('ORDENES'!$U626="preventiva",N630,0)</f>
        <v/>
      </c>
      <c r="P630" s="25">
        <f>IF('ORDENES'!$U626="correctiva",N630,0)</f>
        <v/>
      </c>
      <c r="Q630" s="24">
        <f>IF(AND(K630=1,'ORDENES'!$N626="Pendiente"),1,0)</f>
        <v/>
      </c>
      <c r="R630" s="24">
        <f>IF(Q630=1,100000-N630*1000+623*0.01,9000000000000+623)</f>
        <v/>
      </c>
      <c r="S630" s="24">
        <f>IF(Q630=1,SUMPRODUCT(--($R$8:$R$1207&lt;R630))+1,"")</f>
        <v/>
      </c>
      <c r="T630" s="30">
        <f>IF(K630=1,'ORDENES'!$J626,"")</f>
        <v/>
      </c>
    </row>
    <row r="631">
      <c r="K631" s="24">
        <f>IF(AND(IF($B$3="(todos)",TRUE,'ORDENES'!$O627=$B$3),IF($D$3="(todos)",TRUE,'ORDENES'!$AI627=$D$3),IF($F$3="(todos)",TRUE,'ORDENES'!$AA627=$F$3),IF($H$3="(todos)",TRUE,'ORDENES'!$Z627=$H$3),'ORDENES'!$AG627=TRUE,'ORDENES'!$A627&lt;&gt;""),1,0)</f>
        <v/>
      </c>
      <c r="L631" s="24">
        <f>IF(K631=1,IFERROR(MATCH('ORDENES'!$S627,lista_dias,0),9)*1000000000+IFERROR(MATCH('ORDENES'!$AI627,lista_turnos,0),9)*10000000+IFERROR(MATCH('ORDENES'!$AH627,'TECNICOS'!$B$4:$B$19,0),99)*100000+624,9000000000000+624)</f>
        <v/>
      </c>
      <c r="M631" s="24">
        <f>IF(K631=1,SUMPRODUCT(--($L$8:$L$1207&lt;L631))+1,"")</f>
        <v/>
      </c>
      <c r="N631" s="25">
        <f>IF(K631=1,N('ORDENES'!$M627),0)</f>
        <v/>
      </c>
      <c r="O631" s="25">
        <f>IF('ORDENES'!$U627="preventiva",N631,0)</f>
        <v/>
      </c>
      <c r="P631" s="25">
        <f>IF('ORDENES'!$U627="correctiva",N631,0)</f>
        <v/>
      </c>
      <c r="Q631" s="24">
        <f>IF(AND(K631=1,'ORDENES'!$N627="Pendiente"),1,0)</f>
        <v/>
      </c>
      <c r="R631" s="24">
        <f>IF(Q631=1,100000-N631*1000+624*0.01,9000000000000+624)</f>
        <v/>
      </c>
      <c r="S631" s="24">
        <f>IF(Q631=1,SUMPRODUCT(--($R$8:$R$1207&lt;R631))+1,"")</f>
        <v/>
      </c>
      <c r="T631" s="30">
        <f>IF(K631=1,'ORDENES'!$J627,"")</f>
        <v/>
      </c>
    </row>
    <row r="632">
      <c r="K632" s="24">
        <f>IF(AND(IF($B$3="(todos)",TRUE,'ORDENES'!$O628=$B$3),IF($D$3="(todos)",TRUE,'ORDENES'!$AI628=$D$3),IF($F$3="(todos)",TRUE,'ORDENES'!$AA628=$F$3),IF($H$3="(todos)",TRUE,'ORDENES'!$Z628=$H$3),'ORDENES'!$AG628=TRUE,'ORDENES'!$A628&lt;&gt;""),1,0)</f>
        <v/>
      </c>
      <c r="L632" s="24">
        <f>IF(K632=1,IFERROR(MATCH('ORDENES'!$S628,lista_dias,0),9)*1000000000+IFERROR(MATCH('ORDENES'!$AI628,lista_turnos,0),9)*10000000+IFERROR(MATCH('ORDENES'!$AH628,'TECNICOS'!$B$4:$B$19,0),99)*100000+625,9000000000000+625)</f>
        <v/>
      </c>
      <c r="M632" s="24">
        <f>IF(K632=1,SUMPRODUCT(--($L$8:$L$1207&lt;L632))+1,"")</f>
        <v/>
      </c>
      <c r="N632" s="25">
        <f>IF(K632=1,N('ORDENES'!$M628),0)</f>
        <v/>
      </c>
      <c r="O632" s="25">
        <f>IF('ORDENES'!$U628="preventiva",N632,0)</f>
        <v/>
      </c>
      <c r="P632" s="25">
        <f>IF('ORDENES'!$U628="correctiva",N632,0)</f>
        <v/>
      </c>
      <c r="Q632" s="24">
        <f>IF(AND(K632=1,'ORDENES'!$N628="Pendiente"),1,0)</f>
        <v/>
      </c>
      <c r="R632" s="24">
        <f>IF(Q632=1,100000-N632*1000+625*0.01,9000000000000+625)</f>
        <v/>
      </c>
      <c r="S632" s="24">
        <f>IF(Q632=1,SUMPRODUCT(--($R$8:$R$1207&lt;R632))+1,"")</f>
        <v/>
      </c>
      <c r="T632" s="30">
        <f>IF(K632=1,'ORDENES'!$J628,"")</f>
        <v/>
      </c>
    </row>
    <row r="633">
      <c r="K633" s="24">
        <f>IF(AND(IF($B$3="(todos)",TRUE,'ORDENES'!$O629=$B$3),IF($D$3="(todos)",TRUE,'ORDENES'!$AI629=$D$3),IF($F$3="(todos)",TRUE,'ORDENES'!$AA629=$F$3),IF($H$3="(todos)",TRUE,'ORDENES'!$Z629=$H$3),'ORDENES'!$AG629=TRUE,'ORDENES'!$A629&lt;&gt;""),1,0)</f>
        <v/>
      </c>
      <c r="L633" s="24">
        <f>IF(K633=1,IFERROR(MATCH('ORDENES'!$S629,lista_dias,0),9)*1000000000+IFERROR(MATCH('ORDENES'!$AI629,lista_turnos,0),9)*10000000+IFERROR(MATCH('ORDENES'!$AH629,'TECNICOS'!$B$4:$B$19,0),99)*100000+626,9000000000000+626)</f>
        <v/>
      </c>
      <c r="M633" s="24">
        <f>IF(K633=1,SUMPRODUCT(--($L$8:$L$1207&lt;L633))+1,"")</f>
        <v/>
      </c>
      <c r="N633" s="25">
        <f>IF(K633=1,N('ORDENES'!$M629),0)</f>
        <v/>
      </c>
      <c r="O633" s="25">
        <f>IF('ORDENES'!$U629="preventiva",N633,0)</f>
        <v/>
      </c>
      <c r="P633" s="25">
        <f>IF('ORDENES'!$U629="correctiva",N633,0)</f>
        <v/>
      </c>
      <c r="Q633" s="24">
        <f>IF(AND(K633=1,'ORDENES'!$N629="Pendiente"),1,0)</f>
        <v/>
      </c>
      <c r="R633" s="24">
        <f>IF(Q633=1,100000-N633*1000+626*0.01,9000000000000+626)</f>
        <v/>
      </c>
      <c r="S633" s="24">
        <f>IF(Q633=1,SUMPRODUCT(--($R$8:$R$1207&lt;R633))+1,"")</f>
        <v/>
      </c>
      <c r="T633" s="30">
        <f>IF(K633=1,'ORDENES'!$J629,"")</f>
        <v/>
      </c>
    </row>
    <row r="634">
      <c r="K634" s="24">
        <f>IF(AND(IF($B$3="(todos)",TRUE,'ORDENES'!$O630=$B$3),IF($D$3="(todos)",TRUE,'ORDENES'!$AI630=$D$3),IF($F$3="(todos)",TRUE,'ORDENES'!$AA630=$F$3),IF($H$3="(todos)",TRUE,'ORDENES'!$Z630=$H$3),'ORDENES'!$AG630=TRUE,'ORDENES'!$A630&lt;&gt;""),1,0)</f>
        <v/>
      </c>
      <c r="L634" s="24">
        <f>IF(K634=1,IFERROR(MATCH('ORDENES'!$S630,lista_dias,0),9)*1000000000+IFERROR(MATCH('ORDENES'!$AI630,lista_turnos,0),9)*10000000+IFERROR(MATCH('ORDENES'!$AH630,'TECNICOS'!$B$4:$B$19,0),99)*100000+627,9000000000000+627)</f>
        <v/>
      </c>
      <c r="M634" s="24">
        <f>IF(K634=1,SUMPRODUCT(--($L$8:$L$1207&lt;L634))+1,"")</f>
        <v/>
      </c>
      <c r="N634" s="25">
        <f>IF(K634=1,N('ORDENES'!$M630),0)</f>
        <v/>
      </c>
      <c r="O634" s="25">
        <f>IF('ORDENES'!$U630="preventiva",N634,0)</f>
        <v/>
      </c>
      <c r="P634" s="25">
        <f>IF('ORDENES'!$U630="correctiva",N634,0)</f>
        <v/>
      </c>
      <c r="Q634" s="24">
        <f>IF(AND(K634=1,'ORDENES'!$N630="Pendiente"),1,0)</f>
        <v/>
      </c>
      <c r="R634" s="24">
        <f>IF(Q634=1,100000-N634*1000+627*0.01,9000000000000+627)</f>
        <v/>
      </c>
      <c r="S634" s="24">
        <f>IF(Q634=1,SUMPRODUCT(--($R$8:$R$1207&lt;R634))+1,"")</f>
        <v/>
      </c>
      <c r="T634" s="30">
        <f>IF(K634=1,'ORDENES'!$J630,"")</f>
        <v/>
      </c>
    </row>
    <row r="635">
      <c r="K635" s="24">
        <f>IF(AND(IF($B$3="(todos)",TRUE,'ORDENES'!$O631=$B$3),IF($D$3="(todos)",TRUE,'ORDENES'!$AI631=$D$3),IF($F$3="(todos)",TRUE,'ORDENES'!$AA631=$F$3),IF($H$3="(todos)",TRUE,'ORDENES'!$Z631=$H$3),'ORDENES'!$AG631=TRUE,'ORDENES'!$A631&lt;&gt;""),1,0)</f>
        <v/>
      </c>
      <c r="L635" s="24">
        <f>IF(K635=1,IFERROR(MATCH('ORDENES'!$S631,lista_dias,0),9)*1000000000+IFERROR(MATCH('ORDENES'!$AI631,lista_turnos,0),9)*10000000+IFERROR(MATCH('ORDENES'!$AH631,'TECNICOS'!$B$4:$B$19,0),99)*100000+628,9000000000000+628)</f>
        <v/>
      </c>
      <c r="M635" s="24">
        <f>IF(K635=1,SUMPRODUCT(--($L$8:$L$1207&lt;L635))+1,"")</f>
        <v/>
      </c>
      <c r="N635" s="25">
        <f>IF(K635=1,N('ORDENES'!$M631),0)</f>
        <v/>
      </c>
      <c r="O635" s="25">
        <f>IF('ORDENES'!$U631="preventiva",N635,0)</f>
        <v/>
      </c>
      <c r="P635" s="25">
        <f>IF('ORDENES'!$U631="correctiva",N635,0)</f>
        <v/>
      </c>
      <c r="Q635" s="24">
        <f>IF(AND(K635=1,'ORDENES'!$N631="Pendiente"),1,0)</f>
        <v/>
      </c>
      <c r="R635" s="24">
        <f>IF(Q635=1,100000-N635*1000+628*0.01,9000000000000+628)</f>
        <v/>
      </c>
      <c r="S635" s="24">
        <f>IF(Q635=1,SUMPRODUCT(--($R$8:$R$1207&lt;R635))+1,"")</f>
        <v/>
      </c>
      <c r="T635" s="30">
        <f>IF(K635=1,'ORDENES'!$J631,"")</f>
        <v/>
      </c>
    </row>
    <row r="636">
      <c r="K636" s="24">
        <f>IF(AND(IF($B$3="(todos)",TRUE,'ORDENES'!$O632=$B$3),IF($D$3="(todos)",TRUE,'ORDENES'!$AI632=$D$3),IF($F$3="(todos)",TRUE,'ORDENES'!$AA632=$F$3),IF($H$3="(todos)",TRUE,'ORDENES'!$Z632=$H$3),'ORDENES'!$AG632=TRUE,'ORDENES'!$A632&lt;&gt;""),1,0)</f>
        <v/>
      </c>
      <c r="L636" s="24">
        <f>IF(K636=1,IFERROR(MATCH('ORDENES'!$S632,lista_dias,0),9)*1000000000+IFERROR(MATCH('ORDENES'!$AI632,lista_turnos,0),9)*10000000+IFERROR(MATCH('ORDENES'!$AH632,'TECNICOS'!$B$4:$B$19,0),99)*100000+629,9000000000000+629)</f>
        <v/>
      </c>
      <c r="M636" s="24">
        <f>IF(K636=1,SUMPRODUCT(--($L$8:$L$1207&lt;L636))+1,"")</f>
        <v/>
      </c>
      <c r="N636" s="25">
        <f>IF(K636=1,N('ORDENES'!$M632),0)</f>
        <v/>
      </c>
      <c r="O636" s="25">
        <f>IF('ORDENES'!$U632="preventiva",N636,0)</f>
        <v/>
      </c>
      <c r="P636" s="25">
        <f>IF('ORDENES'!$U632="correctiva",N636,0)</f>
        <v/>
      </c>
      <c r="Q636" s="24">
        <f>IF(AND(K636=1,'ORDENES'!$N632="Pendiente"),1,0)</f>
        <v/>
      </c>
      <c r="R636" s="24">
        <f>IF(Q636=1,100000-N636*1000+629*0.01,9000000000000+629)</f>
        <v/>
      </c>
      <c r="S636" s="24">
        <f>IF(Q636=1,SUMPRODUCT(--($R$8:$R$1207&lt;R636))+1,"")</f>
        <v/>
      </c>
      <c r="T636" s="30">
        <f>IF(K636=1,'ORDENES'!$J632,"")</f>
        <v/>
      </c>
    </row>
    <row r="637">
      <c r="K637" s="24">
        <f>IF(AND(IF($B$3="(todos)",TRUE,'ORDENES'!$O633=$B$3),IF($D$3="(todos)",TRUE,'ORDENES'!$AI633=$D$3),IF($F$3="(todos)",TRUE,'ORDENES'!$AA633=$F$3),IF($H$3="(todos)",TRUE,'ORDENES'!$Z633=$H$3),'ORDENES'!$AG633=TRUE,'ORDENES'!$A633&lt;&gt;""),1,0)</f>
        <v/>
      </c>
      <c r="L637" s="24">
        <f>IF(K637=1,IFERROR(MATCH('ORDENES'!$S633,lista_dias,0),9)*1000000000+IFERROR(MATCH('ORDENES'!$AI633,lista_turnos,0),9)*10000000+IFERROR(MATCH('ORDENES'!$AH633,'TECNICOS'!$B$4:$B$19,0),99)*100000+630,9000000000000+630)</f>
        <v/>
      </c>
      <c r="M637" s="24">
        <f>IF(K637=1,SUMPRODUCT(--($L$8:$L$1207&lt;L637))+1,"")</f>
        <v/>
      </c>
      <c r="N637" s="25">
        <f>IF(K637=1,N('ORDENES'!$M633),0)</f>
        <v/>
      </c>
      <c r="O637" s="25">
        <f>IF('ORDENES'!$U633="preventiva",N637,0)</f>
        <v/>
      </c>
      <c r="P637" s="25">
        <f>IF('ORDENES'!$U633="correctiva",N637,0)</f>
        <v/>
      </c>
      <c r="Q637" s="24">
        <f>IF(AND(K637=1,'ORDENES'!$N633="Pendiente"),1,0)</f>
        <v/>
      </c>
      <c r="R637" s="24">
        <f>IF(Q637=1,100000-N637*1000+630*0.01,9000000000000+630)</f>
        <v/>
      </c>
      <c r="S637" s="24">
        <f>IF(Q637=1,SUMPRODUCT(--($R$8:$R$1207&lt;R637))+1,"")</f>
        <v/>
      </c>
      <c r="T637" s="30">
        <f>IF(K637=1,'ORDENES'!$J633,"")</f>
        <v/>
      </c>
    </row>
    <row r="638">
      <c r="K638" s="24">
        <f>IF(AND(IF($B$3="(todos)",TRUE,'ORDENES'!$O634=$B$3),IF($D$3="(todos)",TRUE,'ORDENES'!$AI634=$D$3),IF($F$3="(todos)",TRUE,'ORDENES'!$AA634=$F$3),IF($H$3="(todos)",TRUE,'ORDENES'!$Z634=$H$3),'ORDENES'!$AG634=TRUE,'ORDENES'!$A634&lt;&gt;""),1,0)</f>
        <v/>
      </c>
      <c r="L638" s="24">
        <f>IF(K638=1,IFERROR(MATCH('ORDENES'!$S634,lista_dias,0),9)*1000000000+IFERROR(MATCH('ORDENES'!$AI634,lista_turnos,0),9)*10000000+IFERROR(MATCH('ORDENES'!$AH634,'TECNICOS'!$B$4:$B$19,0),99)*100000+631,9000000000000+631)</f>
        <v/>
      </c>
      <c r="M638" s="24">
        <f>IF(K638=1,SUMPRODUCT(--($L$8:$L$1207&lt;L638))+1,"")</f>
        <v/>
      </c>
      <c r="N638" s="25">
        <f>IF(K638=1,N('ORDENES'!$M634),0)</f>
        <v/>
      </c>
      <c r="O638" s="25">
        <f>IF('ORDENES'!$U634="preventiva",N638,0)</f>
        <v/>
      </c>
      <c r="P638" s="25">
        <f>IF('ORDENES'!$U634="correctiva",N638,0)</f>
        <v/>
      </c>
      <c r="Q638" s="24">
        <f>IF(AND(K638=1,'ORDENES'!$N634="Pendiente"),1,0)</f>
        <v/>
      </c>
      <c r="R638" s="24">
        <f>IF(Q638=1,100000-N638*1000+631*0.01,9000000000000+631)</f>
        <v/>
      </c>
      <c r="S638" s="24">
        <f>IF(Q638=1,SUMPRODUCT(--($R$8:$R$1207&lt;R638))+1,"")</f>
        <v/>
      </c>
      <c r="T638" s="30">
        <f>IF(K638=1,'ORDENES'!$J634,"")</f>
        <v/>
      </c>
    </row>
    <row r="639">
      <c r="K639" s="24">
        <f>IF(AND(IF($B$3="(todos)",TRUE,'ORDENES'!$O635=$B$3),IF($D$3="(todos)",TRUE,'ORDENES'!$AI635=$D$3),IF($F$3="(todos)",TRUE,'ORDENES'!$AA635=$F$3),IF($H$3="(todos)",TRUE,'ORDENES'!$Z635=$H$3),'ORDENES'!$AG635=TRUE,'ORDENES'!$A635&lt;&gt;""),1,0)</f>
        <v/>
      </c>
      <c r="L639" s="24">
        <f>IF(K639=1,IFERROR(MATCH('ORDENES'!$S635,lista_dias,0),9)*1000000000+IFERROR(MATCH('ORDENES'!$AI635,lista_turnos,0),9)*10000000+IFERROR(MATCH('ORDENES'!$AH635,'TECNICOS'!$B$4:$B$19,0),99)*100000+632,9000000000000+632)</f>
        <v/>
      </c>
      <c r="M639" s="24">
        <f>IF(K639=1,SUMPRODUCT(--($L$8:$L$1207&lt;L639))+1,"")</f>
        <v/>
      </c>
      <c r="N639" s="25">
        <f>IF(K639=1,N('ORDENES'!$M635),0)</f>
        <v/>
      </c>
      <c r="O639" s="25">
        <f>IF('ORDENES'!$U635="preventiva",N639,0)</f>
        <v/>
      </c>
      <c r="P639" s="25">
        <f>IF('ORDENES'!$U635="correctiva",N639,0)</f>
        <v/>
      </c>
      <c r="Q639" s="24">
        <f>IF(AND(K639=1,'ORDENES'!$N635="Pendiente"),1,0)</f>
        <v/>
      </c>
      <c r="R639" s="24">
        <f>IF(Q639=1,100000-N639*1000+632*0.01,9000000000000+632)</f>
        <v/>
      </c>
      <c r="S639" s="24">
        <f>IF(Q639=1,SUMPRODUCT(--($R$8:$R$1207&lt;R639))+1,"")</f>
        <v/>
      </c>
      <c r="T639" s="30">
        <f>IF(K639=1,'ORDENES'!$J635,"")</f>
        <v/>
      </c>
    </row>
    <row r="640">
      <c r="K640" s="24">
        <f>IF(AND(IF($B$3="(todos)",TRUE,'ORDENES'!$O636=$B$3),IF($D$3="(todos)",TRUE,'ORDENES'!$AI636=$D$3),IF($F$3="(todos)",TRUE,'ORDENES'!$AA636=$F$3),IF($H$3="(todos)",TRUE,'ORDENES'!$Z636=$H$3),'ORDENES'!$AG636=TRUE,'ORDENES'!$A636&lt;&gt;""),1,0)</f>
        <v/>
      </c>
      <c r="L640" s="24">
        <f>IF(K640=1,IFERROR(MATCH('ORDENES'!$S636,lista_dias,0),9)*1000000000+IFERROR(MATCH('ORDENES'!$AI636,lista_turnos,0),9)*10000000+IFERROR(MATCH('ORDENES'!$AH636,'TECNICOS'!$B$4:$B$19,0),99)*100000+633,9000000000000+633)</f>
        <v/>
      </c>
      <c r="M640" s="24">
        <f>IF(K640=1,SUMPRODUCT(--($L$8:$L$1207&lt;L640))+1,"")</f>
        <v/>
      </c>
      <c r="N640" s="25">
        <f>IF(K640=1,N('ORDENES'!$M636),0)</f>
        <v/>
      </c>
      <c r="O640" s="25">
        <f>IF('ORDENES'!$U636="preventiva",N640,0)</f>
        <v/>
      </c>
      <c r="P640" s="25">
        <f>IF('ORDENES'!$U636="correctiva",N640,0)</f>
        <v/>
      </c>
      <c r="Q640" s="24">
        <f>IF(AND(K640=1,'ORDENES'!$N636="Pendiente"),1,0)</f>
        <v/>
      </c>
      <c r="R640" s="24">
        <f>IF(Q640=1,100000-N640*1000+633*0.01,9000000000000+633)</f>
        <v/>
      </c>
      <c r="S640" s="24">
        <f>IF(Q640=1,SUMPRODUCT(--($R$8:$R$1207&lt;R640))+1,"")</f>
        <v/>
      </c>
      <c r="T640" s="30">
        <f>IF(K640=1,'ORDENES'!$J636,"")</f>
        <v/>
      </c>
    </row>
    <row r="641">
      <c r="K641" s="24">
        <f>IF(AND(IF($B$3="(todos)",TRUE,'ORDENES'!$O637=$B$3),IF($D$3="(todos)",TRUE,'ORDENES'!$AI637=$D$3),IF($F$3="(todos)",TRUE,'ORDENES'!$AA637=$F$3),IF($H$3="(todos)",TRUE,'ORDENES'!$Z637=$H$3),'ORDENES'!$AG637=TRUE,'ORDENES'!$A637&lt;&gt;""),1,0)</f>
        <v/>
      </c>
      <c r="L641" s="24">
        <f>IF(K641=1,IFERROR(MATCH('ORDENES'!$S637,lista_dias,0),9)*1000000000+IFERROR(MATCH('ORDENES'!$AI637,lista_turnos,0),9)*10000000+IFERROR(MATCH('ORDENES'!$AH637,'TECNICOS'!$B$4:$B$19,0),99)*100000+634,9000000000000+634)</f>
        <v/>
      </c>
      <c r="M641" s="24">
        <f>IF(K641=1,SUMPRODUCT(--($L$8:$L$1207&lt;L641))+1,"")</f>
        <v/>
      </c>
      <c r="N641" s="25">
        <f>IF(K641=1,N('ORDENES'!$M637),0)</f>
        <v/>
      </c>
      <c r="O641" s="25">
        <f>IF('ORDENES'!$U637="preventiva",N641,0)</f>
        <v/>
      </c>
      <c r="P641" s="25">
        <f>IF('ORDENES'!$U637="correctiva",N641,0)</f>
        <v/>
      </c>
      <c r="Q641" s="24">
        <f>IF(AND(K641=1,'ORDENES'!$N637="Pendiente"),1,0)</f>
        <v/>
      </c>
      <c r="R641" s="24">
        <f>IF(Q641=1,100000-N641*1000+634*0.01,9000000000000+634)</f>
        <v/>
      </c>
      <c r="S641" s="24">
        <f>IF(Q641=1,SUMPRODUCT(--($R$8:$R$1207&lt;R641))+1,"")</f>
        <v/>
      </c>
      <c r="T641" s="30">
        <f>IF(K641=1,'ORDENES'!$J637,"")</f>
        <v/>
      </c>
    </row>
    <row r="642">
      <c r="K642" s="24">
        <f>IF(AND(IF($B$3="(todos)",TRUE,'ORDENES'!$O638=$B$3),IF($D$3="(todos)",TRUE,'ORDENES'!$AI638=$D$3),IF($F$3="(todos)",TRUE,'ORDENES'!$AA638=$F$3),IF($H$3="(todos)",TRUE,'ORDENES'!$Z638=$H$3),'ORDENES'!$AG638=TRUE,'ORDENES'!$A638&lt;&gt;""),1,0)</f>
        <v/>
      </c>
      <c r="L642" s="24">
        <f>IF(K642=1,IFERROR(MATCH('ORDENES'!$S638,lista_dias,0),9)*1000000000+IFERROR(MATCH('ORDENES'!$AI638,lista_turnos,0),9)*10000000+IFERROR(MATCH('ORDENES'!$AH638,'TECNICOS'!$B$4:$B$19,0),99)*100000+635,9000000000000+635)</f>
        <v/>
      </c>
      <c r="M642" s="24">
        <f>IF(K642=1,SUMPRODUCT(--($L$8:$L$1207&lt;L642))+1,"")</f>
        <v/>
      </c>
      <c r="N642" s="25">
        <f>IF(K642=1,N('ORDENES'!$M638),0)</f>
        <v/>
      </c>
      <c r="O642" s="25">
        <f>IF('ORDENES'!$U638="preventiva",N642,0)</f>
        <v/>
      </c>
      <c r="P642" s="25">
        <f>IF('ORDENES'!$U638="correctiva",N642,0)</f>
        <v/>
      </c>
      <c r="Q642" s="24">
        <f>IF(AND(K642=1,'ORDENES'!$N638="Pendiente"),1,0)</f>
        <v/>
      </c>
      <c r="R642" s="24">
        <f>IF(Q642=1,100000-N642*1000+635*0.01,9000000000000+635)</f>
        <v/>
      </c>
      <c r="S642" s="24">
        <f>IF(Q642=1,SUMPRODUCT(--($R$8:$R$1207&lt;R642))+1,"")</f>
        <v/>
      </c>
      <c r="T642" s="30">
        <f>IF(K642=1,'ORDENES'!$J638,"")</f>
        <v/>
      </c>
    </row>
    <row r="643">
      <c r="K643" s="24">
        <f>IF(AND(IF($B$3="(todos)",TRUE,'ORDENES'!$O639=$B$3),IF($D$3="(todos)",TRUE,'ORDENES'!$AI639=$D$3),IF($F$3="(todos)",TRUE,'ORDENES'!$AA639=$F$3),IF($H$3="(todos)",TRUE,'ORDENES'!$Z639=$H$3),'ORDENES'!$AG639=TRUE,'ORDENES'!$A639&lt;&gt;""),1,0)</f>
        <v/>
      </c>
      <c r="L643" s="24">
        <f>IF(K643=1,IFERROR(MATCH('ORDENES'!$S639,lista_dias,0),9)*1000000000+IFERROR(MATCH('ORDENES'!$AI639,lista_turnos,0),9)*10000000+IFERROR(MATCH('ORDENES'!$AH639,'TECNICOS'!$B$4:$B$19,0),99)*100000+636,9000000000000+636)</f>
        <v/>
      </c>
      <c r="M643" s="24">
        <f>IF(K643=1,SUMPRODUCT(--($L$8:$L$1207&lt;L643))+1,"")</f>
        <v/>
      </c>
      <c r="N643" s="25">
        <f>IF(K643=1,N('ORDENES'!$M639),0)</f>
        <v/>
      </c>
      <c r="O643" s="25">
        <f>IF('ORDENES'!$U639="preventiva",N643,0)</f>
        <v/>
      </c>
      <c r="P643" s="25">
        <f>IF('ORDENES'!$U639="correctiva",N643,0)</f>
        <v/>
      </c>
      <c r="Q643" s="24">
        <f>IF(AND(K643=1,'ORDENES'!$N639="Pendiente"),1,0)</f>
        <v/>
      </c>
      <c r="R643" s="24">
        <f>IF(Q643=1,100000-N643*1000+636*0.01,9000000000000+636)</f>
        <v/>
      </c>
      <c r="S643" s="24">
        <f>IF(Q643=1,SUMPRODUCT(--($R$8:$R$1207&lt;R643))+1,"")</f>
        <v/>
      </c>
      <c r="T643" s="30">
        <f>IF(K643=1,'ORDENES'!$J639,"")</f>
        <v/>
      </c>
    </row>
    <row r="644">
      <c r="K644" s="24">
        <f>IF(AND(IF($B$3="(todos)",TRUE,'ORDENES'!$O640=$B$3),IF($D$3="(todos)",TRUE,'ORDENES'!$AI640=$D$3),IF($F$3="(todos)",TRUE,'ORDENES'!$AA640=$F$3),IF($H$3="(todos)",TRUE,'ORDENES'!$Z640=$H$3),'ORDENES'!$AG640=TRUE,'ORDENES'!$A640&lt;&gt;""),1,0)</f>
        <v/>
      </c>
      <c r="L644" s="24">
        <f>IF(K644=1,IFERROR(MATCH('ORDENES'!$S640,lista_dias,0),9)*1000000000+IFERROR(MATCH('ORDENES'!$AI640,lista_turnos,0),9)*10000000+IFERROR(MATCH('ORDENES'!$AH640,'TECNICOS'!$B$4:$B$19,0),99)*100000+637,9000000000000+637)</f>
        <v/>
      </c>
      <c r="M644" s="24">
        <f>IF(K644=1,SUMPRODUCT(--($L$8:$L$1207&lt;L644))+1,"")</f>
        <v/>
      </c>
      <c r="N644" s="25">
        <f>IF(K644=1,N('ORDENES'!$M640),0)</f>
        <v/>
      </c>
      <c r="O644" s="25">
        <f>IF('ORDENES'!$U640="preventiva",N644,0)</f>
        <v/>
      </c>
      <c r="P644" s="25">
        <f>IF('ORDENES'!$U640="correctiva",N644,0)</f>
        <v/>
      </c>
      <c r="Q644" s="24">
        <f>IF(AND(K644=1,'ORDENES'!$N640="Pendiente"),1,0)</f>
        <v/>
      </c>
      <c r="R644" s="24">
        <f>IF(Q644=1,100000-N644*1000+637*0.01,9000000000000+637)</f>
        <v/>
      </c>
      <c r="S644" s="24">
        <f>IF(Q644=1,SUMPRODUCT(--($R$8:$R$1207&lt;R644))+1,"")</f>
        <v/>
      </c>
      <c r="T644" s="30">
        <f>IF(K644=1,'ORDENES'!$J640,"")</f>
        <v/>
      </c>
    </row>
    <row r="645">
      <c r="K645" s="24">
        <f>IF(AND(IF($B$3="(todos)",TRUE,'ORDENES'!$O641=$B$3),IF($D$3="(todos)",TRUE,'ORDENES'!$AI641=$D$3),IF($F$3="(todos)",TRUE,'ORDENES'!$AA641=$F$3),IF($H$3="(todos)",TRUE,'ORDENES'!$Z641=$H$3),'ORDENES'!$AG641=TRUE,'ORDENES'!$A641&lt;&gt;""),1,0)</f>
        <v/>
      </c>
      <c r="L645" s="24">
        <f>IF(K645=1,IFERROR(MATCH('ORDENES'!$S641,lista_dias,0),9)*1000000000+IFERROR(MATCH('ORDENES'!$AI641,lista_turnos,0),9)*10000000+IFERROR(MATCH('ORDENES'!$AH641,'TECNICOS'!$B$4:$B$19,0),99)*100000+638,9000000000000+638)</f>
        <v/>
      </c>
      <c r="M645" s="24">
        <f>IF(K645=1,SUMPRODUCT(--($L$8:$L$1207&lt;L645))+1,"")</f>
        <v/>
      </c>
      <c r="N645" s="25">
        <f>IF(K645=1,N('ORDENES'!$M641),0)</f>
        <v/>
      </c>
      <c r="O645" s="25">
        <f>IF('ORDENES'!$U641="preventiva",N645,0)</f>
        <v/>
      </c>
      <c r="P645" s="25">
        <f>IF('ORDENES'!$U641="correctiva",N645,0)</f>
        <v/>
      </c>
      <c r="Q645" s="24">
        <f>IF(AND(K645=1,'ORDENES'!$N641="Pendiente"),1,0)</f>
        <v/>
      </c>
      <c r="R645" s="24">
        <f>IF(Q645=1,100000-N645*1000+638*0.01,9000000000000+638)</f>
        <v/>
      </c>
      <c r="S645" s="24">
        <f>IF(Q645=1,SUMPRODUCT(--($R$8:$R$1207&lt;R645))+1,"")</f>
        <v/>
      </c>
      <c r="T645" s="30">
        <f>IF(K645=1,'ORDENES'!$J641,"")</f>
        <v/>
      </c>
    </row>
    <row r="646">
      <c r="K646" s="24">
        <f>IF(AND(IF($B$3="(todos)",TRUE,'ORDENES'!$O642=$B$3),IF($D$3="(todos)",TRUE,'ORDENES'!$AI642=$D$3),IF($F$3="(todos)",TRUE,'ORDENES'!$AA642=$F$3),IF($H$3="(todos)",TRUE,'ORDENES'!$Z642=$H$3),'ORDENES'!$AG642=TRUE,'ORDENES'!$A642&lt;&gt;""),1,0)</f>
        <v/>
      </c>
      <c r="L646" s="24">
        <f>IF(K646=1,IFERROR(MATCH('ORDENES'!$S642,lista_dias,0),9)*1000000000+IFERROR(MATCH('ORDENES'!$AI642,lista_turnos,0),9)*10000000+IFERROR(MATCH('ORDENES'!$AH642,'TECNICOS'!$B$4:$B$19,0),99)*100000+639,9000000000000+639)</f>
        <v/>
      </c>
      <c r="M646" s="24">
        <f>IF(K646=1,SUMPRODUCT(--($L$8:$L$1207&lt;L646))+1,"")</f>
        <v/>
      </c>
      <c r="N646" s="25">
        <f>IF(K646=1,N('ORDENES'!$M642),0)</f>
        <v/>
      </c>
      <c r="O646" s="25">
        <f>IF('ORDENES'!$U642="preventiva",N646,0)</f>
        <v/>
      </c>
      <c r="P646" s="25">
        <f>IF('ORDENES'!$U642="correctiva",N646,0)</f>
        <v/>
      </c>
      <c r="Q646" s="24">
        <f>IF(AND(K646=1,'ORDENES'!$N642="Pendiente"),1,0)</f>
        <v/>
      </c>
      <c r="R646" s="24">
        <f>IF(Q646=1,100000-N646*1000+639*0.01,9000000000000+639)</f>
        <v/>
      </c>
      <c r="S646" s="24">
        <f>IF(Q646=1,SUMPRODUCT(--($R$8:$R$1207&lt;R646))+1,"")</f>
        <v/>
      </c>
      <c r="T646" s="30">
        <f>IF(K646=1,'ORDENES'!$J642,"")</f>
        <v/>
      </c>
    </row>
    <row r="647">
      <c r="K647" s="24">
        <f>IF(AND(IF($B$3="(todos)",TRUE,'ORDENES'!$O643=$B$3),IF($D$3="(todos)",TRUE,'ORDENES'!$AI643=$D$3),IF($F$3="(todos)",TRUE,'ORDENES'!$AA643=$F$3),IF($H$3="(todos)",TRUE,'ORDENES'!$Z643=$H$3),'ORDENES'!$AG643=TRUE,'ORDENES'!$A643&lt;&gt;""),1,0)</f>
        <v/>
      </c>
      <c r="L647" s="24">
        <f>IF(K647=1,IFERROR(MATCH('ORDENES'!$S643,lista_dias,0),9)*1000000000+IFERROR(MATCH('ORDENES'!$AI643,lista_turnos,0),9)*10000000+IFERROR(MATCH('ORDENES'!$AH643,'TECNICOS'!$B$4:$B$19,0),99)*100000+640,9000000000000+640)</f>
        <v/>
      </c>
      <c r="M647" s="24">
        <f>IF(K647=1,SUMPRODUCT(--($L$8:$L$1207&lt;L647))+1,"")</f>
        <v/>
      </c>
      <c r="N647" s="25">
        <f>IF(K647=1,N('ORDENES'!$M643),0)</f>
        <v/>
      </c>
      <c r="O647" s="25">
        <f>IF('ORDENES'!$U643="preventiva",N647,0)</f>
        <v/>
      </c>
      <c r="P647" s="25">
        <f>IF('ORDENES'!$U643="correctiva",N647,0)</f>
        <v/>
      </c>
      <c r="Q647" s="24">
        <f>IF(AND(K647=1,'ORDENES'!$N643="Pendiente"),1,0)</f>
        <v/>
      </c>
      <c r="R647" s="24">
        <f>IF(Q647=1,100000-N647*1000+640*0.01,9000000000000+640)</f>
        <v/>
      </c>
      <c r="S647" s="24">
        <f>IF(Q647=1,SUMPRODUCT(--($R$8:$R$1207&lt;R647))+1,"")</f>
        <v/>
      </c>
      <c r="T647" s="30">
        <f>IF(K647=1,'ORDENES'!$J643,"")</f>
        <v/>
      </c>
    </row>
    <row r="648">
      <c r="K648" s="24">
        <f>IF(AND(IF($B$3="(todos)",TRUE,'ORDENES'!$O644=$B$3),IF($D$3="(todos)",TRUE,'ORDENES'!$AI644=$D$3),IF($F$3="(todos)",TRUE,'ORDENES'!$AA644=$F$3),IF($H$3="(todos)",TRUE,'ORDENES'!$Z644=$H$3),'ORDENES'!$AG644=TRUE,'ORDENES'!$A644&lt;&gt;""),1,0)</f>
        <v/>
      </c>
      <c r="L648" s="24">
        <f>IF(K648=1,IFERROR(MATCH('ORDENES'!$S644,lista_dias,0),9)*1000000000+IFERROR(MATCH('ORDENES'!$AI644,lista_turnos,0),9)*10000000+IFERROR(MATCH('ORDENES'!$AH644,'TECNICOS'!$B$4:$B$19,0),99)*100000+641,9000000000000+641)</f>
        <v/>
      </c>
      <c r="M648" s="24">
        <f>IF(K648=1,SUMPRODUCT(--($L$8:$L$1207&lt;L648))+1,"")</f>
        <v/>
      </c>
      <c r="N648" s="25">
        <f>IF(K648=1,N('ORDENES'!$M644),0)</f>
        <v/>
      </c>
      <c r="O648" s="25">
        <f>IF('ORDENES'!$U644="preventiva",N648,0)</f>
        <v/>
      </c>
      <c r="P648" s="25">
        <f>IF('ORDENES'!$U644="correctiva",N648,0)</f>
        <v/>
      </c>
      <c r="Q648" s="24">
        <f>IF(AND(K648=1,'ORDENES'!$N644="Pendiente"),1,0)</f>
        <v/>
      </c>
      <c r="R648" s="24">
        <f>IF(Q648=1,100000-N648*1000+641*0.01,9000000000000+641)</f>
        <v/>
      </c>
      <c r="S648" s="24">
        <f>IF(Q648=1,SUMPRODUCT(--($R$8:$R$1207&lt;R648))+1,"")</f>
        <v/>
      </c>
      <c r="T648" s="30">
        <f>IF(K648=1,'ORDENES'!$J644,"")</f>
        <v/>
      </c>
    </row>
    <row r="649">
      <c r="K649" s="24">
        <f>IF(AND(IF($B$3="(todos)",TRUE,'ORDENES'!$O645=$B$3),IF($D$3="(todos)",TRUE,'ORDENES'!$AI645=$D$3),IF($F$3="(todos)",TRUE,'ORDENES'!$AA645=$F$3),IF($H$3="(todos)",TRUE,'ORDENES'!$Z645=$H$3),'ORDENES'!$AG645=TRUE,'ORDENES'!$A645&lt;&gt;""),1,0)</f>
        <v/>
      </c>
      <c r="L649" s="24">
        <f>IF(K649=1,IFERROR(MATCH('ORDENES'!$S645,lista_dias,0),9)*1000000000+IFERROR(MATCH('ORDENES'!$AI645,lista_turnos,0),9)*10000000+IFERROR(MATCH('ORDENES'!$AH645,'TECNICOS'!$B$4:$B$19,0),99)*100000+642,9000000000000+642)</f>
        <v/>
      </c>
      <c r="M649" s="24">
        <f>IF(K649=1,SUMPRODUCT(--($L$8:$L$1207&lt;L649))+1,"")</f>
        <v/>
      </c>
      <c r="N649" s="25">
        <f>IF(K649=1,N('ORDENES'!$M645),0)</f>
        <v/>
      </c>
      <c r="O649" s="25">
        <f>IF('ORDENES'!$U645="preventiva",N649,0)</f>
        <v/>
      </c>
      <c r="P649" s="25">
        <f>IF('ORDENES'!$U645="correctiva",N649,0)</f>
        <v/>
      </c>
      <c r="Q649" s="24">
        <f>IF(AND(K649=1,'ORDENES'!$N645="Pendiente"),1,0)</f>
        <v/>
      </c>
      <c r="R649" s="24">
        <f>IF(Q649=1,100000-N649*1000+642*0.01,9000000000000+642)</f>
        <v/>
      </c>
      <c r="S649" s="24">
        <f>IF(Q649=1,SUMPRODUCT(--($R$8:$R$1207&lt;R649))+1,"")</f>
        <v/>
      </c>
      <c r="T649" s="30">
        <f>IF(K649=1,'ORDENES'!$J645,"")</f>
        <v/>
      </c>
    </row>
    <row r="650">
      <c r="K650" s="24">
        <f>IF(AND(IF($B$3="(todos)",TRUE,'ORDENES'!$O646=$B$3),IF($D$3="(todos)",TRUE,'ORDENES'!$AI646=$D$3),IF($F$3="(todos)",TRUE,'ORDENES'!$AA646=$F$3),IF($H$3="(todos)",TRUE,'ORDENES'!$Z646=$H$3),'ORDENES'!$AG646=TRUE,'ORDENES'!$A646&lt;&gt;""),1,0)</f>
        <v/>
      </c>
      <c r="L650" s="24">
        <f>IF(K650=1,IFERROR(MATCH('ORDENES'!$S646,lista_dias,0),9)*1000000000+IFERROR(MATCH('ORDENES'!$AI646,lista_turnos,0),9)*10000000+IFERROR(MATCH('ORDENES'!$AH646,'TECNICOS'!$B$4:$B$19,0),99)*100000+643,9000000000000+643)</f>
        <v/>
      </c>
      <c r="M650" s="24">
        <f>IF(K650=1,SUMPRODUCT(--($L$8:$L$1207&lt;L650))+1,"")</f>
        <v/>
      </c>
      <c r="N650" s="25">
        <f>IF(K650=1,N('ORDENES'!$M646),0)</f>
        <v/>
      </c>
      <c r="O650" s="25">
        <f>IF('ORDENES'!$U646="preventiva",N650,0)</f>
        <v/>
      </c>
      <c r="P650" s="25">
        <f>IF('ORDENES'!$U646="correctiva",N650,0)</f>
        <v/>
      </c>
      <c r="Q650" s="24">
        <f>IF(AND(K650=1,'ORDENES'!$N646="Pendiente"),1,0)</f>
        <v/>
      </c>
      <c r="R650" s="24">
        <f>IF(Q650=1,100000-N650*1000+643*0.01,9000000000000+643)</f>
        <v/>
      </c>
      <c r="S650" s="24">
        <f>IF(Q650=1,SUMPRODUCT(--($R$8:$R$1207&lt;R650))+1,"")</f>
        <v/>
      </c>
      <c r="T650" s="30">
        <f>IF(K650=1,'ORDENES'!$J646,"")</f>
        <v/>
      </c>
    </row>
    <row r="651">
      <c r="K651" s="24">
        <f>IF(AND(IF($B$3="(todos)",TRUE,'ORDENES'!$O647=$B$3),IF($D$3="(todos)",TRUE,'ORDENES'!$AI647=$D$3),IF($F$3="(todos)",TRUE,'ORDENES'!$AA647=$F$3),IF($H$3="(todos)",TRUE,'ORDENES'!$Z647=$H$3),'ORDENES'!$AG647=TRUE,'ORDENES'!$A647&lt;&gt;""),1,0)</f>
        <v/>
      </c>
      <c r="L651" s="24">
        <f>IF(K651=1,IFERROR(MATCH('ORDENES'!$S647,lista_dias,0),9)*1000000000+IFERROR(MATCH('ORDENES'!$AI647,lista_turnos,0),9)*10000000+IFERROR(MATCH('ORDENES'!$AH647,'TECNICOS'!$B$4:$B$19,0),99)*100000+644,9000000000000+644)</f>
        <v/>
      </c>
      <c r="M651" s="24">
        <f>IF(K651=1,SUMPRODUCT(--($L$8:$L$1207&lt;L651))+1,"")</f>
        <v/>
      </c>
      <c r="N651" s="25">
        <f>IF(K651=1,N('ORDENES'!$M647),0)</f>
        <v/>
      </c>
      <c r="O651" s="25">
        <f>IF('ORDENES'!$U647="preventiva",N651,0)</f>
        <v/>
      </c>
      <c r="P651" s="25">
        <f>IF('ORDENES'!$U647="correctiva",N651,0)</f>
        <v/>
      </c>
      <c r="Q651" s="24">
        <f>IF(AND(K651=1,'ORDENES'!$N647="Pendiente"),1,0)</f>
        <v/>
      </c>
      <c r="R651" s="24">
        <f>IF(Q651=1,100000-N651*1000+644*0.01,9000000000000+644)</f>
        <v/>
      </c>
      <c r="S651" s="24">
        <f>IF(Q651=1,SUMPRODUCT(--($R$8:$R$1207&lt;R651))+1,"")</f>
        <v/>
      </c>
      <c r="T651" s="30">
        <f>IF(K651=1,'ORDENES'!$J647,"")</f>
        <v/>
      </c>
    </row>
    <row r="652">
      <c r="K652" s="24">
        <f>IF(AND(IF($B$3="(todos)",TRUE,'ORDENES'!$O648=$B$3),IF($D$3="(todos)",TRUE,'ORDENES'!$AI648=$D$3),IF($F$3="(todos)",TRUE,'ORDENES'!$AA648=$F$3),IF($H$3="(todos)",TRUE,'ORDENES'!$Z648=$H$3),'ORDENES'!$AG648=TRUE,'ORDENES'!$A648&lt;&gt;""),1,0)</f>
        <v/>
      </c>
      <c r="L652" s="24">
        <f>IF(K652=1,IFERROR(MATCH('ORDENES'!$S648,lista_dias,0),9)*1000000000+IFERROR(MATCH('ORDENES'!$AI648,lista_turnos,0),9)*10000000+IFERROR(MATCH('ORDENES'!$AH648,'TECNICOS'!$B$4:$B$19,0),99)*100000+645,9000000000000+645)</f>
        <v/>
      </c>
      <c r="M652" s="24">
        <f>IF(K652=1,SUMPRODUCT(--($L$8:$L$1207&lt;L652))+1,"")</f>
        <v/>
      </c>
      <c r="N652" s="25">
        <f>IF(K652=1,N('ORDENES'!$M648),0)</f>
        <v/>
      </c>
      <c r="O652" s="25">
        <f>IF('ORDENES'!$U648="preventiva",N652,0)</f>
        <v/>
      </c>
      <c r="P652" s="25">
        <f>IF('ORDENES'!$U648="correctiva",N652,0)</f>
        <v/>
      </c>
      <c r="Q652" s="24">
        <f>IF(AND(K652=1,'ORDENES'!$N648="Pendiente"),1,0)</f>
        <v/>
      </c>
      <c r="R652" s="24">
        <f>IF(Q652=1,100000-N652*1000+645*0.01,9000000000000+645)</f>
        <v/>
      </c>
      <c r="S652" s="24">
        <f>IF(Q652=1,SUMPRODUCT(--($R$8:$R$1207&lt;R652))+1,"")</f>
        <v/>
      </c>
      <c r="T652" s="30">
        <f>IF(K652=1,'ORDENES'!$J648,"")</f>
        <v/>
      </c>
    </row>
    <row r="653">
      <c r="K653" s="24">
        <f>IF(AND(IF($B$3="(todos)",TRUE,'ORDENES'!$O649=$B$3),IF($D$3="(todos)",TRUE,'ORDENES'!$AI649=$D$3),IF($F$3="(todos)",TRUE,'ORDENES'!$AA649=$F$3),IF($H$3="(todos)",TRUE,'ORDENES'!$Z649=$H$3),'ORDENES'!$AG649=TRUE,'ORDENES'!$A649&lt;&gt;""),1,0)</f>
        <v/>
      </c>
      <c r="L653" s="24">
        <f>IF(K653=1,IFERROR(MATCH('ORDENES'!$S649,lista_dias,0),9)*1000000000+IFERROR(MATCH('ORDENES'!$AI649,lista_turnos,0),9)*10000000+IFERROR(MATCH('ORDENES'!$AH649,'TECNICOS'!$B$4:$B$19,0),99)*100000+646,9000000000000+646)</f>
        <v/>
      </c>
      <c r="M653" s="24">
        <f>IF(K653=1,SUMPRODUCT(--($L$8:$L$1207&lt;L653))+1,"")</f>
        <v/>
      </c>
      <c r="N653" s="25">
        <f>IF(K653=1,N('ORDENES'!$M649),0)</f>
        <v/>
      </c>
      <c r="O653" s="25">
        <f>IF('ORDENES'!$U649="preventiva",N653,0)</f>
        <v/>
      </c>
      <c r="P653" s="25">
        <f>IF('ORDENES'!$U649="correctiva",N653,0)</f>
        <v/>
      </c>
      <c r="Q653" s="24">
        <f>IF(AND(K653=1,'ORDENES'!$N649="Pendiente"),1,0)</f>
        <v/>
      </c>
      <c r="R653" s="24">
        <f>IF(Q653=1,100000-N653*1000+646*0.01,9000000000000+646)</f>
        <v/>
      </c>
      <c r="S653" s="24">
        <f>IF(Q653=1,SUMPRODUCT(--($R$8:$R$1207&lt;R653))+1,"")</f>
        <v/>
      </c>
      <c r="T653" s="30">
        <f>IF(K653=1,'ORDENES'!$J649,"")</f>
        <v/>
      </c>
    </row>
    <row r="654">
      <c r="K654" s="24">
        <f>IF(AND(IF($B$3="(todos)",TRUE,'ORDENES'!$O650=$B$3),IF($D$3="(todos)",TRUE,'ORDENES'!$AI650=$D$3),IF($F$3="(todos)",TRUE,'ORDENES'!$AA650=$F$3),IF($H$3="(todos)",TRUE,'ORDENES'!$Z650=$H$3),'ORDENES'!$AG650=TRUE,'ORDENES'!$A650&lt;&gt;""),1,0)</f>
        <v/>
      </c>
      <c r="L654" s="24">
        <f>IF(K654=1,IFERROR(MATCH('ORDENES'!$S650,lista_dias,0),9)*1000000000+IFERROR(MATCH('ORDENES'!$AI650,lista_turnos,0),9)*10000000+IFERROR(MATCH('ORDENES'!$AH650,'TECNICOS'!$B$4:$B$19,0),99)*100000+647,9000000000000+647)</f>
        <v/>
      </c>
      <c r="M654" s="24">
        <f>IF(K654=1,SUMPRODUCT(--($L$8:$L$1207&lt;L654))+1,"")</f>
        <v/>
      </c>
      <c r="N654" s="25">
        <f>IF(K654=1,N('ORDENES'!$M650),0)</f>
        <v/>
      </c>
      <c r="O654" s="25">
        <f>IF('ORDENES'!$U650="preventiva",N654,0)</f>
        <v/>
      </c>
      <c r="P654" s="25">
        <f>IF('ORDENES'!$U650="correctiva",N654,0)</f>
        <v/>
      </c>
      <c r="Q654" s="24">
        <f>IF(AND(K654=1,'ORDENES'!$N650="Pendiente"),1,0)</f>
        <v/>
      </c>
      <c r="R654" s="24">
        <f>IF(Q654=1,100000-N654*1000+647*0.01,9000000000000+647)</f>
        <v/>
      </c>
      <c r="S654" s="24">
        <f>IF(Q654=1,SUMPRODUCT(--($R$8:$R$1207&lt;R654))+1,"")</f>
        <v/>
      </c>
      <c r="T654" s="30">
        <f>IF(K654=1,'ORDENES'!$J650,"")</f>
        <v/>
      </c>
    </row>
    <row r="655">
      <c r="K655" s="24">
        <f>IF(AND(IF($B$3="(todos)",TRUE,'ORDENES'!$O651=$B$3),IF($D$3="(todos)",TRUE,'ORDENES'!$AI651=$D$3),IF($F$3="(todos)",TRUE,'ORDENES'!$AA651=$F$3),IF($H$3="(todos)",TRUE,'ORDENES'!$Z651=$H$3),'ORDENES'!$AG651=TRUE,'ORDENES'!$A651&lt;&gt;""),1,0)</f>
        <v/>
      </c>
      <c r="L655" s="24">
        <f>IF(K655=1,IFERROR(MATCH('ORDENES'!$S651,lista_dias,0),9)*1000000000+IFERROR(MATCH('ORDENES'!$AI651,lista_turnos,0),9)*10000000+IFERROR(MATCH('ORDENES'!$AH651,'TECNICOS'!$B$4:$B$19,0),99)*100000+648,9000000000000+648)</f>
        <v/>
      </c>
      <c r="M655" s="24">
        <f>IF(K655=1,SUMPRODUCT(--($L$8:$L$1207&lt;L655))+1,"")</f>
        <v/>
      </c>
      <c r="N655" s="25">
        <f>IF(K655=1,N('ORDENES'!$M651),0)</f>
        <v/>
      </c>
      <c r="O655" s="25">
        <f>IF('ORDENES'!$U651="preventiva",N655,0)</f>
        <v/>
      </c>
      <c r="P655" s="25">
        <f>IF('ORDENES'!$U651="correctiva",N655,0)</f>
        <v/>
      </c>
      <c r="Q655" s="24">
        <f>IF(AND(K655=1,'ORDENES'!$N651="Pendiente"),1,0)</f>
        <v/>
      </c>
      <c r="R655" s="24">
        <f>IF(Q655=1,100000-N655*1000+648*0.01,9000000000000+648)</f>
        <v/>
      </c>
      <c r="S655" s="24">
        <f>IF(Q655=1,SUMPRODUCT(--($R$8:$R$1207&lt;R655))+1,"")</f>
        <v/>
      </c>
      <c r="T655" s="30">
        <f>IF(K655=1,'ORDENES'!$J651,"")</f>
        <v/>
      </c>
    </row>
    <row r="656">
      <c r="K656" s="24">
        <f>IF(AND(IF($B$3="(todos)",TRUE,'ORDENES'!$O652=$B$3),IF($D$3="(todos)",TRUE,'ORDENES'!$AI652=$D$3),IF($F$3="(todos)",TRUE,'ORDENES'!$AA652=$F$3),IF($H$3="(todos)",TRUE,'ORDENES'!$Z652=$H$3),'ORDENES'!$AG652=TRUE,'ORDENES'!$A652&lt;&gt;""),1,0)</f>
        <v/>
      </c>
      <c r="L656" s="24">
        <f>IF(K656=1,IFERROR(MATCH('ORDENES'!$S652,lista_dias,0),9)*1000000000+IFERROR(MATCH('ORDENES'!$AI652,lista_turnos,0),9)*10000000+IFERROR(MATCH('ORDENES'!$AH652,'TECNICOS'!$B$4:$B$19,0),99)*100000+649,9000000000000+649)</f>
        <v/>
      </c>
      <c r="M656" s="24">
        <f>IF(K656=1,SUMPRODUCT(--($L$8:$L$1207&lt;L656))+1,"")</f>
        <v/>
      </c>
      <c r="N656" s="25">
        <f>IF(K656=1,N('ORDENES'!$M652),0)</f>
        <v/>
      </c>
      <c r="O656" s="25">
        <f>IF('ORDENES'!$U652="preventiva",N656,0)</f>
        <v/>
      </c>
      <c r="P656" s="25">
        <f>IF('ORDENES'!$U652="correctiva",N656,0)</f>
        <v/>
      </c>
      <c r="Q656" s="24">
        <f>IF(AND(K656=1,'ORDENES'!$N652="Pendiente"),1,0)</f>
        <v/>
      </c>
      <c r="R656" s="24">
        <f>IF(Q656=1,100000-N656*1000+649*0.01,9000000000000+649)</f>
        <v/>
      </c>
      <c r="S656" s="24">
        <f>IF(Q656=1,SUMPRODUCT(--($R$8:$R$1207&lt;R656))+1,"")</f>
        <v/>
      </c>
      <c r="T656" s="30">
        <f>IF(K656=1,'ORDENES'!$J652,"")</f>
        <v/>
      </c>
    </row>
    <row r="657">
      <c r="K657" s="24">
        <f>IF(AND(IF($B$3="(todos)",TRUE,'ORDENES'!$O653=$B$3),IF($D$3="(todos)",TRUE,'ORDENES'!$AI653=$D$3),IF($F$3="(todos)",TRUE,'ORDENES'!$AA653=$F$3),IF($H$3="(todos)",TRUE,'ORDENES'!$Z653=$H$3),'ORDENES'!$AG653=TRUE,'ORDENES'!$A653&lt;&gt;""),1,0)</f>
        <v/>
      </c>
      <c r="L657" s="24">
        <f>IF(K657=1,IFERROR(MATCH('ORDENES'!$S653,lista_dias,0),9)*1000000000+IFERROR(MATCH('ORDENES'!$AI653,lista_turnos,0),9)*10000000+IFERROR(MATCH('ORDENES'!$AH653,'TECNICOS'!$B$4:$B$19,0),99)*100000+650,9000000000000+650)</f>
        <v/>
      </c>
      <c r="M657" s="24">
        <f>IF(K657=1,SUMPRODUCT(--($L$8:$L$1207&lt;L657))+1,"")</f>
        <v/>
      </c>
      <c r="N657" s="25">
        <f>IF(K657=1,N('ORDENES'!$M653),0)</f>
        <v/>
      </c>
      <c r="O657" s="25">
        <f>IF('ORDENES'!$U653="preventiva",N657,0)</f>
        <v/>
      </c>
      <c r="P657" s="25">
        <f>IF('ORDENES'!$U653="correctiva",N657,0)</f>
        <v/>
      </c>
      <c r="Q657" s="24">
        <f>IF(AND(K657=1,'ORDENES'!$N653="Pendiente"),1,0)</f>
        <v/>
      </c>
      <c r="R657" s="24">
        <f>IF(Q657=1,100000-N657*1000+650*0.01,9000000000000+650)</f>
        <v/>
      </c>
      <c r="S657" s="24">
        <f>IF(Q657=1,SUMPRODUCT(--($R$8:$R$1207&lt;R657))+1,"")</f>
        <v/>
      </c>
      <c r="T657" s="30">
        <f>IF(K657=1,'ORDENES'!$J653,"")</f>
        <v/>
      </c>
    </row>
    <row r="658">
      <c r="K658" s="24">
        <f>IF(AND(IF($B$3="(todos)",TRUE,'ORDENES'!$O654=$B$3),IF($D$3="(todos)",TRUE,'ORDENES'!$AI654=$D$3),IF($F$3="(todos)",TRUE,'ORDENES'!$AA654=$F$3),IF($H$3="(todos)",TRUE,'ORDENES'!$Z654=$H$3),'ORDENES'!$AG654=TRUE,'ORDENES'!$A654&lt;&gt;""),1,0)</f>
        <v/>
      </c>
      <c r="L658" s="24">
        <f>IF(K658=1,IFERROR(MATCH('ORDENES'!$S654,lista_dias,0),9)*1000000000+IFERROR(MATCH('ORDENES'!$AI654,lista_turnos,0),9)*10000000+IFERROR(MATCH('ORDENES'!$AH654,'TECNICOS'!$B$4:$B$19,0),99)*100000+651,9000000000000+651)</f>
        <v/>
      </c>
      <c r="M658" s="24">
        <f>IF(K658=1,SUMPRODUCT(--($L$8:$L$1207&lt;L658))+1,"")</f>
        <v/>
      </c>
      <c r="N658" s="25">
        <f>IF(K658=1,N('ORDENES'!$M654),0)</f>
        <v/>
      </c>
      <c r="O658" s="25">
        <f>IF('ORDENES'!$U654="preventiva",N658,0)</f>
        <v/>
      </c>
      <c r="P658" s="25">
        <f>IF('ORDENES'!$U654="correctiva",N658,0)</f>
        <v/>
      </c>
      <c r="Q658" s="24">
        <f>IF(AND(K658=1,'ORDENES'!$N654="Pendiente"),1,0)</f>
        <v/>
      </c>
      <c r="R658" s="24">
        <f>IF(Q658=1,100000-N658*1000+651*0.01,9000000000000+651)</f>
        <v/>
      </c>
      <c r="S658" s="24">
        <f>IF(Q658=1,SUMPRODUCT(--($R$8:$R$1207&lt;R658))+1,"")</f>
        <v/>
      </c>
      <c r="T658" s="30">
        <f>IF(K658=1,'ORDENES'!$J654,"")</f>
        <v/>
      </c>
    </row>
    <row r="659">
      <c r="K659" s="24">
        <f>IF(AND(IF($B$3="(todos)",TRUE,'ORDENES'!$O655=$B$3),IF($D$3="(todos)",TRUE,'ORDENES'!$AI655=$D$3),IF($F$3="(todos)",TRUE,'ORDENES'!$AA655=$F$3),IF($H$3="(todos)",TRUE,'ORDENES'!$Z655=$H$3),'ORDENES'!$AG655=TRUE,'ORDENES'!$A655&lt;&gt;""),1,0)</f>
        <v/>
      </c>
      <c r="L659" s="24">
        <f>IF(K659=1,IFERROR(MATCH('ORDENES'!$S655,lista_dias,0),9)*1000000000+IFERROR(MATCH('ORDENES'!$AI655,lista_turnos,0),9)*10000000+IFERROR(MATCH('ORDENES'!$AH655,'TECNICOS'!$B$4:$B$19,0),99)*100000+652,9000000000000+652)</f>
        <v/>
      </c>
      <c r="M659" s="24">
        <f>IF(K659=1,SUMPRODUCT(--($L$8:$L$1207&lt;L659))+1,"")</f>
        <v/>
      </c>
      <c r="N659" s="25">
        <f>IF(K659=1,N('ORDENES'!$M655),0)</f>
        <v/>
      </c>
      <c r="O659" s="25">
        <f>IF('ORDENES'!$U655="preventiva",N659,0)</f>
        <v/>
      </c>
      <c r="P659" s="25">
        <f>IF('ORDENES'!$U655="correctiva",N659,0)</f>
        <v/>
      </c>
      <c r="Q659" s="24">
        <f>IF(AND(K659=1,'ORDENES'!$N655="Pendiente"),1,0)</f>
        <v/>
      </c>
      <c r="R659" s="24">
        <f>IF(Q659=1,100000-N659*1000+652*0.01,9000000000000+652)</f>
        <v/>
      </c>
      <c r="S659" s="24">
        <f>IF(Q659=1,SUMPRODUCT(--($R$8:$R$1207&lt;R659))+1,"")</f>
        <v/>
      </c>
      <c r="T659" s="30">
        <f>IF(K659=1,'ORDENES'!$J655,"")</f>
        <v/>
      </c>
    </row>
    <row r="660">
      <c r="K660" s="24">
        <f>IF(AND(IF($B$3="(todos)",TRUE,'ORDENES'!$O656=$B$3),IF($D$3="(todos)",TRUE,'ORDENES'!$AI656=$D$3),IF($F$3="(todos)",TRUE,'ORDENES'!$AA656=$F$3),IF($H$3="(todos)",TRUE,'ORDENES'!$Z656=$H$3),'ORDENES'!$AG656=TRUE,'ORDENES'!$A656&lt;&gt;""),1,0)</f>
        <v/>
      </c>
      <c r="L660" s="24">
        <f>IF(K660=1,IFERROR(MATCH('ORDENES'!$S656,lista_dias,0),9)*1000000000+IFERROR(MATCH('ORDENES'!$AI656,lista_turnos,0),9)*10000000+IFERROR(MATCH('ORDENES'!$AH656,'TECNICOS'!$B$4:$B$19,0),99)*100000+653,9000000000000+653)</f>
        <v/>
      </c>
      <c r="M660" s="24">
        <f>IF(K660=1,SUMPRODUCT(--($L$8:$L$1207&lt;L660))+1,"")</f>
        <v/>
      </c>
      <c r="N660" s="25">
        <f>IF(K660=1,N('ORDENES'!$M656),0)</f>
        <v/>
      </c>
      <c r="O660" s="25">
        <f>IF('ORDENES'!$U656="preventiva",N660,0)</f>
        <v/>
      </c>
      <c r="P660" s="25">
        <f>IF('ORDENES'!$U656="correctiva",N660,0)</f>
        <v/>
      </c>
      <c r="Q660" s="24">
        <f>IF(AND(K660=1,'ORDENES'!$N656="Pendiente"),1,0)</f>
        <v/>
      </c>
      <c r="R660" s="24">
        <f>IF(Q660=1,100000-N660*1000+653*0.01,9000000000000+653)</f>
        <v/>
      </c>
      <c r="S660" s="24">
        <f>IF(Q660=1,SUMPRODUCT(--($R$8:$R$1207&lt;R660))+1,"")</f>
        <v/>
      </c>
      <c r="T660" s="30">
        <f>IF(K660=1,'ORDENES'!$J656,"")</f>
        <v/>
      </c>
    </row>
    <row r="661">
      <c r="K661" s="24">
        <f>IF(AND(IF($B$3="(todos)",TRUE,'ORDENES'!$O657=$B$3),IF($D$3="(todos)",TRUE,'ORDENES'!$AI657=$D$3),IF($F$3="(todos)",TRUE,'ORDENES'!$AA657=$F$3),IF($H$3="(todos)",TRUE,'ORDENES'!$Z657=$H$3),'ORDENES'!$AG657=TRUE,'ORDENES'!$A657&lt;&gt;""),1,0)</f>
        <v/>
      </c>
      <c r="L661" s="24">
        <f>IF(K661=1,IFERROR(MATCH('ORDENES'!$S657,lista_dias,0),9)*1000000000+IFERROR(MATCH('ORDENES'!$AI657,lista_turnos,0),9)*10000000+IFERROR(MATCH('ORDENES'!$AH657,'TECNICOS'!$B$4:$B$19,0),99)*100000+654,9000000000000+654)</f>
        <v/>
      </c>
      <c r="M661" s="24">
        <f>IF(K661=1,SUMPRODUCT(--($L$8:$L$1207&lt;L661))+1,"")</f>
        <v/>
      </c>
      <c r="N661" s="25">
        <f>IF(K661=1,N('ORDENES'!$M657),0)</f>
        <v/>
      </c>
      <c r="O661" s="25">
        <f>IF('ORDENES'!$U657="preventiva",N661,0)</f>
        <v/>
      </c>
      <c r="P661" s="25">
        <f>IF('ORDENES'!$U657="correctiva",N661,0)</f>
        <v/>
      </c>
      <c r="Q661" s="24">
        <f>IF(AND(K661=1,'ORDENES'!$N657="Pendiente"),1,0)</f>
        <v/>
      </c>
      <c r="R661" s="24">
        <f>IF(Q661=1,100000-N661*1000+654*0.01,9000000000000+654)</f>
        <v/>
      </c>
      <c r="S661" s="24">
        <f>IF(Q661=1,SUMPRODUCT(--($R$8:$R$1207&lt;R661))+1,"")</f>
        <v/>
      </c>
      <c r="T661" s="30">
        <f>IF(K661=1,'ORDENES'!$J657,"")</f>
        <v/>
      </c>
    </row>
    <row r="662">
      <c r="K662" s="24">
        <f>IF(AND(IF($B$3="(todos)",TRUE,'ORDENES'!$O658=$B$3),IF($D$3="(todos)",TRUE,'ORDENES'!$AI658=$D$3),IF($F$3="(todos)",TRUE,'ORDENES'!$AA658=$F$3),IF($H$3="(todos)",TRUE,'ORDENES'!$Z658=$H$3),'ORDENES'!$AG658=TRUE,'ORDENES'!$A658&lt;&gt;""),1,0)</f>
        <v/>
      </c>
      <c r="L662" s="24">
        <f>IF(K662=1,IFERROR(MATCH('ORDENES'!$S658,lista_dias,0),9)*1000000000+IFERROR(MATCH('ORDENES'!$AI658,lista_turnos,0),9)*10000000+IFERROR(MATCH('ORDENES'!$AH658,'TECNICOS'!$B$4:$B$19,0),99)*100000+655,9000000000000+655)</f>
        <v/>
      </c>
      <c r="M662" s="24">
        <f>IF(K662=1,SUMPRODUCT(--($L$8:$L$1207&lt;L662))+1,"")</f>
        <v/>
      </c>
      <c r="N662" s="25">
        <f>IF(K662=1,N('ORDENES'!$M658),0)</f>
        <v/>
      </c>
      <c r="O662" s="25">
        <f>IF('ORDENES'!$U658="preventiva",N662,0)</f>
        <v/>
      </c>
      <c r="P662" s="25">
        <f>IF('ORDENES'!$U658="correctiva",N662,0)</f>
        <v/>
      </c>
      <c r="Q662" s="24">
        <f>IF(AND(K662=1,'ORDENES'!$N658="Pendiente"),1,0)</f>
        <v/>
      </c>
      <c r="R662" s="24">
        <f>IF(Q662=1,100000-N662*1000+655*0.01,9000000000000+655)</f>
        <v/>
      </c>
      <c r="S662" s="24">
        <f>IF(Q662=1,SUMPRODUCT(--($R$8:$R$1207&lt;R662))+1,"")</f>
        <v/>
      </c>
      <c r="T662" s="30">
        <f>IF(K662=1,'ORDENES'!$J658,"")</f>
        <v/>
      </c>
    </row>
    <row r="663">
      <c r="K663" s="24">
        <f>IF(AND(IF($B$3="(todos)",TRUE,'ORDENES'!$O659=$B$3),IF($D$3="(todos)",TRUE,'ORDENES'!$AI659=$D$3),IF($F$3="(todos)",TRUE,'ORDENES'!$AA659=$F$3),IF($H$3="(todos)",TRUE,'ORDENES'!$Z659=$H$3),'ORDENES'!$AG659=TRUE,'ORDENES'!$A659&lt;&gt;""),1,0)</f>
        <v/>
      </c>
      <c r="L663" s="24">
        <f>IF(K663=1,IFERROR(MATCH('ORDENES'!$S659,lista_dias,0),9)*1000000000+IFERROR(MATCH('ORDENES'!$AI659,lista_turnos,0),9)*10000000+IFERROR(MATCH('ORDENES'!$AH659,'TECNICOS'!$B$4:$B$19,0),99)*100000+656,9000000000000+656)</f>
        <v/>
      </c>
      <c r="M663" s="24">
        <f>IF(K663=1,SUMPRODUCT(--($L$8:$L$1207&lt;L663))+1,"")</f>
        <v/>
      </c>
      <c r="N663" s="25">
        <f>IF(K663=1,N('ORDENES'!$M659),0)</f>
        <v/>
      </c>
      <c r="O663" s="25">
        <f>IF('ORDENES'!$U659="preventiva",N663,0)</f>
        <v/>
      </c>
      <c r="P663" s="25">
        <f>IF('ORDENES'!$U659="correctiva",N663,0)</f>
        <v/>
      </c>
      <c r="Q663" s="24">
        <f>IF(AND(K663=1,'ORDENES'!$N659="Pendiente"),1,0)</f>
        <v/>
      </c>
      <c r="R663" s="24">
        <f>IF(Q663=1,100000-N663*1000+656*0.01,9000000000000+656)</f>
        <v/>
      </c>
      <c r="S663" s="24">
        <f>IF(Q663=1,SUMPRODUCT(--($R$8:$R$1207&lt;R663))+1,"")</f>
        <v/>
      </c>
      <c r="T663" s="30">
        <f>IF(K663=1,'ORDENES'!$J659,"")</f>
        <v/>
      </c>
    </row>
    <row r="664">
      <c r="K664" s="24">
        <f>IF(AND(IF($B$3="(todos)",TRUE,'ORDENES'!$O660=$B$3),IF($D$3="(todos)",TRUE,'ORDENES'!$AI660=$D$3),IF($F$3="(todos)",TRUE,'ORDENES'!$AA660=$F$3),IF($H$3="(todos)",TRUE,'ORDENES'!$Z660=$H$3),'ORDENES'!$AG660=TRUE,'ORDENES'!$A660&lt;&gt;""),1,0)</f>
        <v/>
      </c>
      <c r="L664" s="24">
        <f>IF(K664=1,IFERROR(MATCH('ORDENES'!$S660,lista_dias,0),9)*1000000000+IFERROR(MATCH('ORDENES'!$AI660,lista_turnos,0),9)*10000000+IFERROR(MATCH('ORDENES'!$AH660,'TECNICOS'!$B$4:$B$19,0),99)*100000+657,9000000000000+657)</f>
        <v/>
      </c>
      <c r="M664" s="24">
        <f>IF(K664=1,SUMPRODUCT(--($L$8:$L$1207&lt;L664))+1,"")</f>
        <v/>
      </c>
      <c r="N664" s="25">
        <f>IF(K664=1,N('ORDENES'!$M660),0)</f>
        <v/>
      </c>
      <c r="O664" s="25">
        <f>IF('ORDENES'!$U660="preventiva",N664,0)</f>
        <v/>
      </c>
      <c r="P664" s="25">
        <f>IF('ORDENES'!$U660="correctiva",N664,0)</f>
        <v/>
      </c>
      <c r="Q664" s="24">
        <f>IF(AND(K664=1,'ORDENES'!$N660="Pendiente"),1,0)</f>
        <v/>
      </c>
      <c r="R664" s="24">
        <f>IF(Q664=1,100000-N664*1000+657*0.01,9000000000000+657)</f>
        <v/>
      </c>
      <c r="S664" s="24">
        <f>IF(Q664=1,SUMPRODUCT(--($R$8:$R$1207&lt;R664))+1,"")</f>
        <v/>
      </c>
      <c r="T664" s="30">
        <f>IF(K664=1,'ORDENES'!$J660,"")</f>
        <v/>
      </c>
    </row>
    <row r="665">
      <c r="K665" s="24">
        <f>IF(AND(IF($B$3="(todos)",TRUE,'ORDENES'!$O661=$B$3),IF($D$3="(todos)",TRUE,'ORDENES'!$AI661=$D$3),IF($F$3="(todos)",TRUE,'ORDENES'!$AA661=$F$3),IF($H$3="(todos)",TRUE,'ORDENES'!$Z661=$H$3),'ORDENES'!$AG661=TRUE,'ORDENES'!$A661&lt;&gt;""),1,0)</f>
        <v/>
      </c>
      <c r="L665" s="24">
        <f>IF(K665=1,IFERROR(MATCH('ORDENES'!$S661,lista_dias,0),9)*1000000000+IFERROR(MATCH('ORDENES'!$AI661,lista_turnos,0),9)*10000000+IFERROR(MATCH('ORDENES'!$AH661,'TECNICOS'!$B$4:$B$19,0),99)*100000+658,9000000000000+658)</f>
        <v/>
      </c>
      <c r="M665" s="24">
        <f>IF(K665=1,SUMPRODUCT(--($L$8:$L$1207&lt;L665))+1,"")</f>
        <v/>
      </c>
      <c r="N665" s="25">
        <f>IF(K665=1,N('ORDENES'!$M661),0)</f>
        <v/>
      </c>
      <c r="O665" s="25">
        <f>IF('ORDENES'!$U661="preventiva",N665,0)</f>
        <v/>
      </c>
      <c r="P665" s="25">
        <f>IF('ORDENES'!$U661="correctiva",N665,0)</f>
        <v/>
      </c>
      <c r="Q665" s="24">
        <f>IF(AND(K665=1,'ORDENES'!$N661="Pendiente"),1,0)</f>
        <v/>
      </c>
      <c r="R665" s="24">
        <f>IF(Q665=1,100000-N665*1000+658*0.01,9000000000000+658)</f>
        <v/>
      </c>
      <c r="S665" s="24">
        <f>IF(Q665=1,SUMPRODUCT(--($R$8:$R$1207&lt;R665))+1,"")</f>
        <v/>
      </c>
      <c r="T665" s="30">
        <f>IF(K665=1,'ORDENES'!$J661,"")</f>
        <v/>
      </c>
    </row>
    <row r="666">
      <c r="K666" s="24">
        <f>IF(AND(IF($B$3="(todos)",TRUE,'ORDENES'!$O662=$B$3),IF($D$3="(todos)",TRUE,'ORDENES'!$AI662=$D$3),IF($F$3="(todos)",TRUE,'ORDENES'!$AA662=$F$3),IF($H$3="(todos)",TRUE,'ORDENES'!$Z662=$H$3),'ORDENES'!$AG662=TRUE,'ORDENES'!$A662&lt;&gt;""),1,0)</f>
        <v/>
      </c>
      <c r="L666" s="24">
        <f>IF(K666=1,IFERROR(MATCH('ORDENES'!$S662,lista_dias,0),9)*1000000000+IFERROR(MATCH('ORDENES'!$AI662,lista_turnos,0),9)*10000000+IFERROR(MATCH('ORDENES'!$AH662,'TECNICOS'!$B$4:$B$19,0),99)*100000+659,9000000000000+659)</f>
        <v/>
      </c>
      <c r="M666" s="24">
        <f>IF(K666=1,SUMPRODUCT(--($L$8:$L$1207&lt;L666))+1,"")</f>
        <v/>
      </c>
      <c r="N666" s="25">
        <f>IF(K666=1,N('ORDENES'!$M662),0)</f>
        <v/>
      </c>
      <c r="O666" s="25">
        <f>IF('ORDENES'!$U662="preventiva",N666,0)</f>
        <v/>
      </c>
      <c r="P666" s="25">
        <f>IF('ORDENES'!$U662="correctiva",N666,0)</f>
        <v/>
      </c>
      <c r="Q666" s="24">
        <f>IF(AND(K666=1,'ORDENES'!$N662="Pendiente"),1,0)</f>
        <v/>
      </c>
      <c r="R666" s="24">
        <f>IF(Q666=1,100000-N666*1000+659*0.01,9000000000000+659)</f>
        <v/>
      </c>
      <c r="S666" s="24">
        <f>IF(Q666=1,SUMPRODUCT(--($R$8:$R$1207&lt;R666))+1,"")</f>
        <v/>
      </c>
      <c r="T666" s="30">
        <f>IF(K666=1,'ORDENES'!$J662,"")</f>
        <v/>
      </c>
    </row>
    <row r="667">
      <c r="K667" s="24">
        <f>IF(AND(IF($B$3="(todos)",TRUE,'ORDENES'!$O663=$B$3),IF($D$3="(todos)",TRUE,'ORDENES'!$AI663=$D$3),IF($F$3="(todos)",TRUE,'ORDENES'!$AA663=$F$3),IF($H$3="(todos)",TRUE,'ORDENES'!$Z663=$H$3),'ORDENES'!$AG663=TRUE,'ORDENES'!$A663&lt;&gt;""),1,0)</f>
        <v/>
      </c>
      <c r="L667" s="24">
        <f>IF(K667=1,IFERROR(MATCH('ORDENES'!$S663,lista_dias,0),9)*1000000000+IFERROR(MATCH('ORDENES'!$AI663,lista_turnos,0),9)*10000000+IFERROR(MATCH('ORDENES'!$AH663,'TECNICOS'!$B$4:$B$19,0),99)*100000+660,9000000000000+660)</f>
        <v/>
      </c>
      <c r="M667" s="24">
        <f>IF(K667=1,SUMPRODUCT(--($L$8:$L$1207&lt;L667))+1,"")</f>
        <v/>
      </c>
      <c r="N667" s="25">
        <f>IF(K667=1,N('ORDENES'!$M663),0)</f>
        <v/>
      </c>
      <c r="O667" s="25">
        <f>IF('ORDENES'!$U663="preventiva",N667,0)</f>
        <v/>
      </c>
      <c r="P667" s="25">
        <f>IF('ORDENES'!$U663="correctiva",N667,0)</f>
        <v/>
      </c>
      <c r="Q667" s="24">
        <f>IF(AND(K667=1,'ORDENES'!$N663="Pendiente"),1,0)</f>
        <v/>
      </c>
      <c r="R667" s="24">
        <f>IF(Q667=1,100000-N667*1000+660*0.01,9000000000000+660)</f>
        <v/>
      </c>
      <c r="S667" s="24">
        <f>IF(Q667=1,SUMPRODUCT(--($R$8:$R$1207&lt;R667))+1,"")</f>
        <v/>
      </c>
      <c r="T667" s="30">
        <f>IF(K667=1,'ORDENES'!$J663,"")</f>
        <v/>
      </c>
    </row>
    <row r="668">
      <c r="K668" s="24">
        <f>IF(AND(IF($B$3="(todos)",TRUE,'ORDENES'!$O664=$B$3),IF($D$3="(todos)",TRUE,'ORDENES'!$AI664=$D$3),IF($F$3="(todos)",TRUE,'ORDENES'!$AA664=$F$3),IF($H$3="(todos)",TRUE,'ORDENES'!$Z664=$H$3),'ORDENES'!$AG664=TRUE,'ORDENES'!$A664&lt;&gt;""),1,0)</f>
        <v/>
      </c>
      <c r="L668" s="24">
        <f>IF(K668=1,IFERROR(MATCH('ORDENES'!$S664,lista_dias,0),9)*1000000000+IFERROR(MATCH('ORDENES'!$AI664,lista_turnos,0),9)*10000000+IFERROR(MATCH('ORDENES'!$AH664,'TECNICOS'!$B$4:$B$19,0),99)*100000+661,9000000000000+661)</f>
        <v/>
      </c>
      <c r="M668" s="24">
        <f>IF(K668=1,SUMPRODUCT(--($L$8:$L$1207&lt;L668))+1,"")</f>
        <v/>
      </c>
      <c r="N668" s="25">
        <f>IF(K668=1,N('ORDENES'!$M664),0)</f>
        <v/>
      </c>
      <c r="O668" s="25">
        <f>IF('ORDENES'!$U664="preventiva",N668,0)</f>
        <v/>
      </c>
      <c r="P668" s="25">
        <f>IF('ORDENES'!$U664="correctiva",N668,0)</f>
        <v/>
      </c>
      <c r="Q668" s="24">
        <f>IF(AND(K668=1,'ORDENES'!$N664="Pendiente"),1,0)</f>
        <v/>
      </c>
      <c r="R668" s="24">
        <f>IF(Q668=1,100000-N668*1000+661*0.01,9000000000000+661)</f>
        <v/>
      </c>
      <c r="S668" s="24">
        <f>IF(Q668=1,SUMPRODUCT(--($R$8:$R$1207&lt;R668))+1,"")</f>
        <v/>
      </c>
      <c r="T668" s="30">
        <f>IF(K668=1,'ORDENES'!$J664,"")</f>
        <v/>
      </c>
    </row>
    <row r="669">
      <c r="K669" s="24">
        <f>IF(AND(IF($B$3="(todos)",TRUE,'ORDENES'!$O665=$B$3),IF($D$3="(todos)",TRUE,'ORDENES'!$AI665=$D$3),IF($F$3="(todos)",TRUE,'ORDENES'!$AA665=$F$3),IF($H$3="(todos)",TRUE,'ORDENES'!$Z665=$H$3),'ORDENES'!$AG665=TRUE,'ORDENES'!$A665&lt;&gt;""),1,0)</f>
        <v/>
      </c>
      <c r="L669" s="24">
        <f>IF(K669=1,IFERROR(MATCH('ORDENES'!$S665,lista_dias,0),9)*1000000000+IFERROR(MATCH('ORDENES'!$AI665,lista_turnos,0),9)*10000000+IFERROR(MATCH('ORDENES'!$AH665,'TECNICOS'!$B$4:$B$19,0),99)*100000+662,9000000000000+662)</f>
        <v/>
      </c>
      <c r="M669" s="24">
        <f>IF(K669=1,SUMPRODUCT(--($L$8:$L$1207&lt;L669))+1,"")</f>
        <v/>
      </c>
      <c r="N669" s="25">
        <f>IF(K669=1,N('ORDENES'!$M665),0)</f>
        <v/>
      </c>
      <c r="O669" s="25">
        <f>IF('ORDENES'!$U665="preventiva",N669,0)</f>
        <v/>
      </c>
      <c r="P669" s="25">
        <f>IF('ORDENES'!$U665="correctiva",N669,0)</f>
        <v/>
      </c>
      <c r="Q669" s="24">
        <f>IF(AND(K669=1,'ORDENES'!$N665="Pendiente"),1,0)</f>
        <v/>
      </c>
      <c r="R669" s="24">
        <f>IF(Q669=1,100000-N669*1000+662*0.01,9000000000000+662)</f>
        <v/>
      </c>
      <c r="S669" s="24">
        <f>IF(Q669=1,SUMPRODUCT(--($R$8:$R$1207&lt;R669))+1,"")</f>
        <v/>
      </c>
      <c r="T669" s="30">
        <f>IF(K669=1,'ORDENES'!$J665,"")</f>
        <v/>
      </c>
    </row>
    <row r="670">
      <c r="K670" s="24">
        <f>IF(AND(IF($B$3="(todos)",TRUE,'ORDENES'!$O666=$B$3),IF($D$3="(todos)",TRUE,'ORDENES'!$AI666=$D$3),IF($F$3="(todos)",TRUE,'ORDENES'!$AA666=$F$3),IF($H$3="(todos)",TRUE,'ORDENES'!$Z666=$H$3),'ORDENES'!$AG666=TRUE,'ORDENES'!$A666&lt;&gt;""),1,0)</f>
        <v/>
      </c>
      <c r="L670" s="24">
        <f>IF(K670=1,IFERROR(MATCH('ORDENES'!$S666,lista_dias,0),9)*1000000000+IFERROR(MATCH('ORDENES'!$AI666,lista_turnos,0),9)*10000000+IFERROR(MATCH('ORDENES'!$AH666,'TECNICOS'!$B$4:$B$19,0),99)*100000+663,9000000000000+663)</f>
        <v/>
      </c>
      <c r="M670" s="24">
        <f>IF(K670=1,SUMPRODUCT(--($L$8:$L$1207&lt;L670))+1,"")</f>
        <v/>
      </c>
      <c r="N670" s="25">
        <f>IF(K670=1,N('ORDENES'!$M666),0)</f>
        <v/>
      </c>
      <c r="O670" s="25">
        <f>IF('ORDENES'!$U666="preventiva",N670,0)</f>
        <v/>
      </c>
      <c r="P670" s="25">
        <f>IF('ORDENES'!$U666="correctiva",N670,0)</f>
        <v/>
      </c>
      <c r="Q670" s="24">
        <f>IF(AND(K670=1,'ORDENES'!$N666="Pendiente"),1,0)</f>
        <v/>
      </c>
      <c r="R670" s="24">
        <f>IF(Q670=1,100000-N670*1000+663*0.01,9000000000000+663)</f>
        <v/>
      </c>
      <c r="S670" s="24">
        <f>IF(Q670=1,SUMPRODUCT(--($R$8:$R$1207&lt;R670))+1,"")</f>
        <v/>
      </c>
      <c r="T670" s="30">
        <f>IF(K670=1,'ORDENES'!$J666,"")</f>
        <v/>
      </c>
    </row>
    <row r="671">
      <c r="K671" s="24">
        <f>IF(AND(IF($B$3="(todos)",TRUE,'ORDENES'!$O667=$B$3),IF($D$3="(todos)",TRUE,'ORDENES'!$AI667=$D$3),IF($F$3="(todos)",TRUE,'ORDENES'!$AA667=$F$3),IF($H$3="(todos)",TRUE,'ORDENES'!$Z667=$H$3),'ORDENES'!$AG667=TRUE,'ORDENES'!$A667&lt;&gt;""),1,0)</f>
        <v/>
      </c>
      <c r="L671" s="24">
        <f>IF(K671=1,IFERROR(MATCH('ORDENES'!$S667,lista_dias,0),9)*1000000000+IFERROR(MATCH('ORDENES'!$AI667,lista_turnos,0),9)*10000000+IFERROR(MATCH('ORDENES'!$AH667,'TECNICOS'!$B$4:$B$19,0),99)*100000+664,9000000000000+664)</f>
        <v/>
      </c>
      <c r="M671" s="24">
        <f>IF(K671=1,SUMPRODUCT(--($L$8:$L$1207&lt;L671))+1,"")</f>
        <v/>
      </c>
      <c r="N671" s="25">
        <f>IF(K671=1,N('ORDENES'!$M667),0)</f>
        <v/>
      </c>
      <c r="O671" s="25">
        <f>IF('ORDENES'!$U667="preventiva",N671,0)</f>
        <v/>
      </c>
      <c r="P671" s="25">
        <f>IF('ORDENES'!$U667="correctiva",N671,0)</f>
        <v/>
      </c>
      <c r="Q671" s="24">
        <f>IF(AND(K671=1,'ORDENES'!$N667="Pendiente"),1,0)</f>
        <v/>
      </c>
      <c r="R671" s="24">
        <f>IF(Q671=1,100000-N671*1000+664*0.01,9000000000000+664)</f>
        <v/>
      </c>
      <c r="S671" s="24">
        <f>IF(Q671=1,SUMPRODUCT(--($R$8:$R$1207&lt;R671))+1,"")</f>
        <v/>
      </c>
      <c r="T671" s="30">
        <f>IF(K671=1,'ORDENES'!$J667,"")</f>
        <v/>
      </c>
    </row>
    <row r="672">
      <c r="K672" s="24">
        <f>IF(AND(IF($B$3="(todos)",TRUE,'ORDENES'!$O668=$B$3),IF($D$3="(todos)",TRUE,'ORDENES'!$AI668=$D$3),IF($F$3="(todos)",TRUE,'ORDENES'!$AA668=$F$3),IF($H$3="(todos)",TRUE,'ORDENES'!$Z668=$H$3),'ORDENES'!$AG668=TRUE,'ORDENES'!$A668&lt;&gt;""),1,0)</f>
        <v/>
      </c>
      <c r="L672" s="24">
        <f>IF(K672=1,IFERROR(MATCH('ORDENES'!$S668,lista_dias,0),9)*1000000000+IFERROR(MATCH('ORDENES'!$AI668,lista_turnos,0),9)*10000000+IFERROR(MATCH('ORDENES'!$AH668,'TECNICOS'!$B$4:$B$19,0),99)*100000+665,9000000000000+665)</f>
        <v/>
      </c>
      <c r="M672" s="24">
        <f>IF(K672=1,SUMPRODUCT(--($L$8:$L$1207&lt;L672))+1,"")</f>
        <v/>
      </c>
      <c r="N672" s="25">
        <f>IF(K672=1,N('ORDENES'!$M668),0)</f>
        <v/>
      </c>
      <c r="O672" s="25">
        <f>IF('ORDENES'!$U668="preventiva",N672,0)</f>
        <v/>
      </c>
      <c r="P672" s="25">
        <f>IF('ORDENES'!$U668="correctiva",N672,0)</f>
        <v/>
      </c>
      <c r="Q672" s="24">
        <f>IF(AND(K672=1,'ORDENES'!$N668="Pendiente"),1,0)</f>
        <v/>
      </c>
      <c r="R672" s="24">
        <f>IF(Q672=1,100000-N672*1000+665*0.01,9000000000000+665)</f>
        <v/>
      </c>
      <c r="S672" s="24">
        <f>IF(Q672=1,SUMPRODUCT(--($R$8:$R$1207&lt;R672))+1,"")</f>
        <v/>
      </c>
      <c r="T672" s="30">
        <f>IF(K672=1,'ORDENES'!$J668,"")</f>
        <v/>
      </c>
    </row>
    <row r="673">
      <c r="K673" s="24">
        <f>IF(AND(IF($B$3="(todos)",TRUE,'ORDENES'!$O669=$B$3),IF($D$3="(todos)",TRUE,'ORDENES'!$AI669=$D$3),IF($F$3="(todos)",TRUE,'ORDENES'!$AA669=$F$3),IF($H$3="(todos)",TRUE,'ORDENES'!$Z669=$H$3),'ORDENES'!$AG669=TRUE,'ORDENES'!$A669&lt;&gt;""),1,0)</f>
        <v/>
      </c>
      <c r="L673" s="24">
        <f>IF(K673=1,IFERROR(MATCH('ORDENES'!$S669,lista_dias,0),9)*1000000000+IFERROR(MATCH('ORDENES'!$AI669,lista_turnos,0),9)*10000000+IFERROR(MATCH('ORDENES'!$AH669,'TECNICOS'!$B$4:$B$19,0),99)*100000+666,9000000000000+666)</f>
        <v/>
      </c>
      <c r="M673" s="24">
        <f>IF(K673=1,SUMPRODUCT(--($L$8:$L$1207&lt;L673))+1,"")</f>
        <v/>
      </c>
      <c r="N673" s="25">
        <f>IF(K673=1,N('ORDENES'!$M669),0)</f>
        <v/>
      </c>
      <c r="O673" s="25">
        <f>IF('ORDENES'!$U669="preventiva",N673,0)</f>
        <v/>
      </c>
      <c r="P673" s="25">
        <f>IF('ORDENES'!$U669="correctiva",N673,0)</f>
        <v/>
      </c>
      <c r="Q673" s="24">
        <f>IF(AND(K673=1,'ORDENES'!$N669="Pendiente"),1,0)</f>
        <v/>
      </c>
      <c r="R673" s="24">
        <f>IF(Q673=1,100000-N673*1000+666*0.01,9000000000000+666)</f>
        <v/>
      </c>
      <c r="S673" s="24">
        <f>IF(Q673=1,SUMPRODUCT(--($R$8:$R$1207&lt;R673))+1,"")</f>
        <v/>
      </c>
      <c r="T673" s="30">
        <f>IF(K673=1,'ORDENES'!$J669,"")</f>
        <v/>
      </c>
    </row>
    <row r="674">
      <c r="K674" s="24">
        <f>IF(AND(IF($B$3="(todos)",TRUE,'ORDENES'!$O670=$B$3),IF($D$3="(todos)",TRUE,'ORDENES'!$AI670=$D$3),IF($F$3="(todos)",TRUE,'ORDENES'!$AA670=$F$3),IF($H$3="(todos)",TRUE,'ORDENES'!$Z670=$H$3),'ORDENES'!$AG670=TRUE,'ORDENES'!$A670&lt;&gt;""),1,0)</f>
        <v/>
      </c>
      <c r="L674" s="24">
        <f>IF(K674=1,IFERROR(MATCH('ORDENES'!$S670,lista_dias,0),9)*1000000000+IFERROR(MATCH('ORDENES'!$AI670,lista_turnos,0),9)*10000000+IFERROR(MATCH('ORDENES'!$AH670,'TECNICOS'!$B$4:$B$19,0),99)*100000+667,9000000000000+667)</f>
        <v/>
      </c>
      <c r="M674" s="24">
        <f>IF(K674=1,SUMPRODUCT(--($L$8:$L$1207&lt;L674))+1,"")</f>
        <v/>
      </c>
      <c r="N674" s="25">
        <f>IF(K674=1,N('ORDENES'!$M670),0)</f>
        <v/>
      </c>
      <c r="O674" s="25">
        <f>IF('ORDENES'!$U670="preventiva",N674,0)</f>
        <v/>
      </c>
      <c r="P674" s="25">
        <f>IF('ORDENES'!$U670="correctiva",N674,0)</f>
        <v/>
      </c>
      <c r="Q674" s="24">
        <f>IF(AND(K674=1,'ORDENES'!$N670="Pendiente"),1,0)</f>
        <v/>
      </c>
      <c r="R674" s="24">
        <f>IF(Q674=1,100000-N674*1000+667*0.01,9000000000000+667)</f>
        <v/>
      </c>
      <c r="S674" s="24">
        <f>IF(Q674=1,SUMPRODUCT(--($R$8:$R$1207&lt;R674))+1,"")</f>
        <v/>
      </c>
      <c r="T674" s="30">
        <f>IF(K674=1,'ORDENES'!$J670,"")</f>
        <v/>
      </c>
    </row>
    <row r="675">
      <c r="K675" s="24">
        <f>IF(AND(IF($B$3="(todos)",TRUE,'ORDENES'!$O671=$B$3),IF($D$3="(todos)",TRUE,'ORDENES'!$AI671=$D$3),IF($F$3="(todos)",TRUE,'ORDENES'!$AA671=$F$3),IF($H$3="(todos)",TRUE,'ORDENES'!$Z671=$H$3),'ORDENES'!$AG671=TRUE,'ORDENES'!$A671&lt;&gt;""),1,0)</f>
        <v/>
      </c>
      <c r="L675" s="24">
        <f>IF(K675=1,IFERROR(MATCH('ORDENES'!$S671,lista_dias,0),9)*1000000000+IFERROR(MATCH('ORDENES'!$AI671,lista_turnos,0),9)*10000000+IFERROR(MATCH('ORDENES'!$AH671,'TECNICOS'!$B$4:$B$19,0),99)*100000+668,9000000000000+668)</f>
        <v/>
      </c>
      <c r="M675" s="24">
        <f>IF(K675=1,SUMPRODUCT(--($L$8:$L$1207&lt;L675))+1,"")</f>
        <v/>
      </c>
      <c r="N675" s="25">
        <f>IF(K675=1,N('ORDENES'!$M671),0)</f>
        <v/>
      </c>
      <c r="O675" s="25">
        <f>IF('ORDENES'!$U671="preventiva",N675,0)</f>
        <v/>
      </c>
      <c r="P675" s="25">
        <f>IF('ORDENES'!$U671="correctiva",N675,0)</f>
        <v/>
      </c>
      <c r="Q675" s="24">
        <f>IF(AND(K675=1,'ORDENES'!$N671="Pendiente"),1,0)</f>
        <v/>
      </c>
      <c r="R675" s="24">
        <f>IF(Q675=1,100000-N675*1000+668*0.01,9000000000000+668)</f>
        <v/>
      </c>
      <c r="S675" s="24">
        <f>IF(Q675=1,SUMPRODUCT(--($R$8:$R$1207&lt;R675))+1,"")</f>
        <v/>
      </c>
      <c r="T675" s="30">
        <f>IF(K675=1,'ORDENES'!$J671,"")</f>
        <v/>
      </c>
    </row>
    <row r="676">
      <c r="K676" s="24">
        <f>IF(AND(IF($B$3="(todos)",TRUE,'ORDENES'!$O672=$B$3),IF($D$3="(todos)",TRUE,'ORDENES'!$AI672=$D$3),IF($F$3="(todos)",TRUE,'ORDENES'!$AA672=$F$3),IF($H$3="(todos)",TRUE,'ORDENES'!$Z672=$H$3),'ORDENES'!$AG672=TRUE,'ORDENES'!$A672&lt;&gt;""),1,0)</f>
        <v/>
      </c>
      <c r="L676" s="24">
        <f>IF(K676=1,IFERROR(MATCH('ORDENES'!$S672,lista_dias,0),9)*1000000000+IFERROR(MATCH('ORDENES'!$AI672,lista_turnos,0),9)*10000000+IFERROR(MATCH('ORDENES'!$AH672,'TECNICOS'!$B$4:$B$19,0),99)*100000+669,9000000000000+669)</f>
        <v/>
      </c>
      <c r="M676" s="24">
        <f>IF(K676=1,SUMPRODUCT(--($L$8:$L$1207&lt;L676))+1,"")</f>
        <v/>
      </c>
      <c r="N676" s="25">
        <f>IF(K676=1,N('ORDENES'!$M672),0)</f>
        <v/>
      </c>
      <c r="O676" s="25">
        <f>IF('ORDENES'!$U672="preventiva",N676,0)</f>
        <v/>
      </c>
      <c r="P676" s="25">
        <f>IF('ORDENES'!$U672="correctiva",N676,0)</f>
        <v/>
      </c>
      <c r="Q676" s="24">
        <f>IF(AND(K676=1,'ORDENES'!$N672="Pendiente"),1,0)</f>
        <v/>
      </c>
      <c r="R676" s="24">
        <f>IF(Q676=1,100000-N676*1000+669*0.01,9000000000000+669)</f>
        <v/>
      </c>
      <c r="S676" s="24">
        <f>IF(Q676=1,SUMPRODUCT(--($R$8:$R$1207&lt;R676))+1,"")</f>
        <v/>
      </c>
      <c r="T676" s="30">
        <f>IF(K676=1,'ORDENES'!$J672,"")</f>
        <v/>
      </c>
    </row>
    <row r="677">
      <c r="K677" s="24">
        <f>IF(AND(IF($B$3="(todos)",TRUE,'ORDENES'!$O673=$B$3),IF($D$3="(todos)",TRUE,'ORDENES'!$AI673=$D$3),IF($F$3="(todos)",TRUE,'ORDENES'!$AA673=$F$3),IF($H$3="(todos)",TRUE,'ORDENES'!$Z673=$H$3),'ORDENES'!$AG673=TRUE,'ORDENES'!$A673&lt;&gt;""),1,0)</f>
        <v/>
      </c>
      <c r="L677" s="24">
        <f>IF(K677=1,IFERROR(MATCH('ORDENES'!$S673,lista_dias,0),9)*1000000000+IFERROR(MATCH('ORDENES'!$AI673,lista_turnos,0),9)*10000000+IFERROR(MATCH('ORDENES'!$AH673,'TECNICOS'!$B$4:$B$19,0),99)*100000+670,9000000000000+670)</f>
        <v/>
      </c>
      <c r="M677" s="24">
        <f>IF(K677=1,SUMPRODUCT(--($L$8:$L$1207&lt;L677))+1,"")</f>
        <v/>
      </c>
      <c r="N677" s="25">
        <f>IF(K677=1,N('ORDENES'!$M673),0)</f>
        <v/>
      </c>
      <c r="O677" s="25">
        <f>IF('ORDENES'!$U673="preventiva",N677,0)</f>
        <v/>
      </c>
      <c r="P677" s="25">
        <f>IF('ORDENES'!$U673="correctiva",N677,0)</f>
        <v/>
      </c>
      <c r="Q677" s="24">
        <f>IF(AND(K677=1,'ORDENES'!$N673="Pendiente"),1,0)</f>
        <v/>
      </c>
      <c r="R677" s="24">
        <f>IF(Q677=1,100000-N677*1000+670*0.01,9000000000000+670)</f>
        <v/>
      </c>
      <c r="S677" s="24">
        <f>IF(Q677=1,SUMPRODUCT(--($R$8:$R$1207&lt;R677))+1,"")</f>
        <v/>
      </c>
      <c r="T677" s="30">
        <f>IF(K677=1,'ORDENES'!$J673,"")</f>
        <v/>
      </c>
    </row>
    <row r="678">
      <c r="K678" s="24">
        <f>IF(AND(IF($B$3="(todos)",TRUE,'ORDENES'!$O674=$B$3),IF($D$3="(todos)",TRUE,'ORDENES'!$AI674=$D$3),IF($F$3="(todos)",TRUE,'ORDENES'!$AA674=$F$3),IF($H$3="(todos)",TRUE,'ORDENES'!$Z674=$H$3),'ORDENES'!$AG674=TRUE,'ORDENES'!$A674&lt;&gt;""),1,0)</f>
        <v/>
      </c>
      <c r="L678" s="24">
        <f>IF(K678=1,IFERROR(MATCH('ORDENES'!$S674,lista_dias,0),9)*1000000000+IFERROR(MATCH('ORDENES'!$AI674,lista_turnos,0),9)*10000000+IFERROR(MATCH('ORDENES'!$AH674,'TECNICOS'!$B$4:$B$19,0),99)*100000+671,9000000000000+671)</f>
        <v/>
      </c>
      <c r="M678" s="24">
        <f>IF(K678=1,SUMPRODUCT(--($L$8:$L$1207&lt;L678))+1,"")</f>
        <v/>
      </c>
      <c r="N678" s="25">
        <f>IF(K678=1,N('ORDENES'!$M674),0)</f>
        <v/>
      </c>
      <c r="O678" s="25">
        <f>IF('ORDENES'!$U674="preventiva",N678,0)</f>
        <v/>
      </c>
      <c r="P678" s="25">
        <f>IF('ORDENES'!$U674="correctiva",N678,0)</f>
        <v/>
      </c>
      <c r="Q678" s="24">
        <f>IF(AND(K678=1,'ORDENES'!$N674="Pendiente"),1,0)</f>
        <v/>
      </c>
      <c r="R678" s="24">
        <f>IF(Q678=1,100000-N678*1000+671*0.01,9000000000000+671)</f>
        <v/>
      </c>
      <c r="S678" s="24">
        <f>IF(Q678=1,SUMPRODUCT(--($R$8:$R$1207&lt;R678))+1,"")</f>
        <v/>
      </c>
      <c r="T678" s="30">
        <f>IF(K678=1,'ORDENES'!$J674,"")</f>
        <v/>
      </c>
    </row>
    <row r="679">
      <c r="K679" s="24">
        <f>IF(AND(IF($B$3="(todos)",TRUE,'ORDENES'!$O675=$B$3),IF($D$3="(todos)",TRUE,'ORDENES'!$AI675=$D$3),IF($F$3="(todos)",TRUE,'ORDENES'!$AA675=$F$3),IF($H$3="(todos)",TRUE,'ORDENES'!$Z675=$H$3),'ORDENES'!$AG675=TRUE,'ORDENES'!$A675&lt;&gt;""),1,0)</f>
        <v/>
      </c>
      <c r="L679" s="24">
        <f>IF(K679=1,IFERROR(MATCH('ORDENES'!$S675,lista_dias,0),9)*1000000000+IFERROR(MATCH('ORDENES'!$AI675,lista_turnos,0),9)*10000000+IFERROR(MATCH('ORDENES'!$AH675,'TECNICOS'!$B$4:$B$19,0),99)*100000+672,9000000000000+672)</f>
        <v/>
      </c>
      <c r="M679" s="24">
        <f>IF(K679=1,SUMPRODUCT(--($L$8:$L$1207&lt;L679))+1,"")</f>
        <v/>
      </c>
      <c r="N679" s="25">
        <f>IF(K679=1,N('ORDENES'!$M675),0)</f>
        <v/>
      </c>
      <c r="O679" s="25">
        <f>IF('ORDENES'!$U675="preventiva",N679,0)</f>
        <v/>
      </c>
      <c r="P679" s="25">
        <f>IF('ORDENES'!$U675="correctiva",N679,0)</f>
        <v/>
      </c>
      <c r="Q679" s="24">
        <f>IF(AND(K679=1,'ORDENES'!$N675="Pendiente"),1,0)</f>
        <v/>
      </c>
      <c r="R679" s="24">
        <f>IF(Q679=1,100000-N679*1000+672*0.01,9000000000000+672)</f>
        <v/>
      </c>
      <c r="S679" s="24">
        <f>IF(Q679=1,SUMPRODUCT(--($R$8:$R$1207&lt;R679))+1,"")</f>
        <v/>
      </c>
      <c r="T679" s="30">
        <f>IF(K679=1,'ORDENES'!$J675,"")</f>
        <v/>
      </c>
    </row>
    <row r="680">
      <c r="K680" s="24">
        <f>IF(AND(IF($B$3="(todos)",TRUE,'ORDENES'!$O676=$B$3),IF($D$3="(todos)",TRUE,'ORDENES'!$AI676=$D$3),IF($F$3="(todos)",TRUE,'ORDENES'!$AA676=$F$3),IF($H$3="(todos)",TRUE,'ORDENES'!$Z676=$H$3),'ORDENES'!$AG676=TRUE,'ORDENES'!$A676&lt;&gt;""),1,0)</f>
        <v/>
      </c>
      <c r="L680" s="24">
        <f>IF(K680=1,IFERROR(MATCH('ORDENES'!$S676,lista_dias,0),9)*1000000000+IFERROR(MATCH('ORDENES'!$AI676,lista_turnos,0),9)*10000000+IFERROR(MATCH('ORDENES'!$AH676,'TECNICOS'!$B$4:$B$19,0),99)*100000+673,9000000000000+673)</f>
        <v/>
      </c>
      <c r="M680" s="24">
        <f>IF(K680=1,SUMPRODUCT(--($L$8:$L$1207&lt;L680))+1,"")</f>
        <v/>
      </c>
      <c r="N680" s="25">
        <f>IF(K680=1,N('ORDENES'!$M676),0)</f>
        <v/>
      </c>
      <c r="O680" s="25">
        <f>IF('ORDENES'!$U676="preventiva",N680,0)</f>
        <v/>
      </c>
      <c r="P680" s="25">
        <f>IF('ORDENES'!$U676="correctiva",N680,0)</f>
        <v/>
      </c>
      <c r="Q680" s="24">
        <f>IF(AND(K680=1,'ORDENES'!$N676="Pendiente"),1,0)</f>
        <v/>
      </c>
      <c r="R680" s="24">
        <f>IF(Q680=1,100000-N680*1000+673*0.01,9000000000000+673)</f>
        <v/>
      </c>
      <c r="S680" s="24">
        <f>IF(Q680=1,SUMPRODUCT(--($R$8:$R$1207&lt;R680))+1,"")</f>
        <v/>
      </c>
      <c r="T680" s="30">
        <f>IF(K680=1,'ORDENES'!$J676,"")</f>
        <v/>
      </c>
    </row>
    <row r="681">
      <c r="K681" s="24">
        <f>IF(AND(IF($B$3="(todos)",TRUE,'ORDENES'!$O677=$B$3),IF($D$3="(todos)",TRUE,'ORDENES'!$AI677=$D$3),IF($F$3="(todos)",TRUE,'ORDENES'!$AA677=$F$3),IF($H$3="(todos)",TRUE,'ORDENES'!$Z677=$H$3),'ORDENES'!$AG677=TRUE,'ORDENES'!$A677&lt;&gt;""),1,0)</f>
        <v/>
      </c>
      <c r="L681" s="24">
        <f>IF(K681=1,IFERROR(MATCH('ORDENES'!$S677,lista_dias,0),9)*1000000000+IFERROR(MATCH('ORDENES'!$AI677,lista_turnos,0),9)*10000000+IFERROR(MATCH('ORDENES'!$AH677,'TECNICOS'!$B$4:$B$19,0),99)*100000+674,9000000000000+674)</f>
        <v/>
      </c>
      <c r="M681" s="24">
        <f>IF(K681=1,SUMPRODUCT(--($L$8:$L$1207&lt;L681))+1,"")</f>
        <v/>
      </c>
      <c r="N681" s="25">
        <f>IF(K681=1,N('ORDENES'!$M677),0)</f>
        <v/>
      </c>
      <c r="O681" s="25">
        <f>IF('ORDENES'!$U677="preventiva",N681,0)</f>
        <v/>
      </c>
      <c r="P681" s="25">
        <f>IF('ORDENES'!$U677="correctiva",N681,0)</f>
        <v/>
      </c>
      <c r="Q681" s="24">
        <f>IF(AND(K681=1,'ORDENES'!$N677="Pendiente"),1,0)</f>
        <v/>
      </c>
      <c r="R681" s="24">
        <f>IF(Q681=1,100000-N681*1000+674*0.01,9000000000000+674)</f>
        <v/>
      </c>
      <c r="S681" s="24">
        <f>IF(Q681=1,SUMPRODUCT(--($R$8:$R$1207&lt;R681))+1,"")</f>
        <v/>
      </c>
      <c r="T681" s="30">
        <f>IF(K681=1,'ORDENES'!$J677,"")</f>
        <v/>
      </c>
    </row>
    <row r="682">
      <c r="K682" s="24">
        <f>IF(AND(IF($B$3="(todos)",TRUE,'ORDENES'!$O678=$B$3),IF($D$3="(todos)",TRUE,'ORDENES'!$AI678=$D$3),IF($F$3="(todos)",TRUE,'ORDENES'!$AA678=$F$3),IF($H$3="(todos)",TRUE,'ORDENES'!$Z678=$H$3),'ORDENES'!$AG678=TRUE,'ORDENES'!$A678&lt;&gt;""),1,0)</f>
        <v/>
      </c>
      <c r="L682" s="24">
        <f>IF(K682=1,IFERROR(MATCH('ORDENES'!$S678,lista_dias,0),9)*1000000000+IFERROR(MATCH('ORDENES'!$AI678,lista_turnos,0),9)*10000000+IFERROR(MATCH('ORDENES'!$AH678,'TECNICOS'!$B$4:$B$19,0),99)*100000+675,9000000000000+675)</f>
        <v/>
      </c>
      <c r="M682" s="24">
        <f>IF(K682=1,SUMPRODUCT(--($L$8:$L$1207&lt;L682))+1,"")</f>
        <v/>
      </c>
      <c r="N682" s="25">
        <f>IF(K682=1,N('ORDENES'!$M678),0)</f>
        <v/>
      </c>
      <c r="O682" s="25">
        <f>IF('ORDENES'!$U678="preventiva",N682,0)</f>
        <v/>
      </c>
      <c r="P682" s="25">
        <f>IF('ORDENES'!$U678="correctiva",N682,0)</f>
        <v/>
      </c>
      <c r="Q682" s="24">
        <f>IF(AND(K682=1,'ORDENES'!$N678="Pendiente"),1,0)</f>
        <v/>
      </c>
      <c r="R682" s="24">
        <f>IF(Q682=1,100000-N682*1000+675*0.01,9000000000000+675)</f>
        <v/>
      </c>
      <c r="S682" s="24">
        <f>IF(Q682=1,SUMPRODUCT(--($R$8:$R$1207&lt;R682))+1,"")</f>
        <v/>
      </c>
      <c r="T682" s="30">
        <f>IF(K682=1,'ORDENES'!$J678,"")</f>
        <v/>
      </c>
    </row>
    <row r="683">
      <c r="K683" s="24">
        <f>IF(AND(IF($B$3="(todos)",TRUE,'ORDENES'!$O679=$B$3),IF($D$3="(todos)",TRUE,'ORDENES'!$AI679=$D$3),IF($F$3="(todos)",TRUE,'ORDENES'!$AA679=$F$3),IF($H$3="(todos)",TRUE,'ORDENES'!$Z679=$H$3),'ORDENES'!$AG679=TRUE,'ORDENES'!$A679&lt;&gt;""),1,0)</f>
        <v/>
      </c>
      <c r="L683" s="24">
        <f>IF(K683=1,IFERROR(MATCH('ORDENES'!$S679,lista_dias,0),9)*1000000000+IFERROR(MATCH('ORDENES'!$AI679,lista_turnos,0),9)*10000000+IFERROR(MATCH('ORDENES'!$AH679,'TECNICOS'!$B$4:$B$19,0),99)*100000+676,9000000000000+676)</f>
        <v/>
      </c>
      <c r="M683" s="24">
        <f>IF(K683=1,SUMPRODUCT(--($L$8:$L$1207&lt;L683))+1,"")</f>
        <v/>
      </c>
      <c r="N683" s="25">
        <f>IF(K683=1,N('ORDENES'!$M679),0)</f>
        <v/>
      </c>
      <c r="O683" s="25">
        <f>IF('ORDENES'!$U679="preventiva",N683,0)</f>
        <v/>
      </c>
      <c r="P683" s="25">
        <f>IF('ORDENES'!$U679="correctiva",N683,0)</f>
        <v/>
      </c>
      <c r="Q683" s="24">
        <f>IF(AND(K683=1,'ORDENES'!$N679="Pendiente"),1,0)</f>
        <v/>
      </c>
      <c r="R683" s="24">
        <f>IF(Q683=1,100000-N683*1000+676*0.01,9000000000000+676)</f>
        <v/>
      </c>
      <c r="S683" s="24">
        <f>IF(Q683=1,SUMPRODUCT(--($R$8:$R$1207&lt;R683))+1,"")</f>
        <v/>
      </c>
      <c r="T683" s="30">
        <f>IF(K683=1,'ORDENES'!$J679,"")</f>
        <v/>
      </c>
    </row>
    <row r="684">
      <c r="K684" s="24">
        <f>IF(AND(IF($B$3="(todos)",TRUE,'ORDENES'!$O680=$B$3),IF($D$3="(todos)",TRUE,'ORDENES'!$AI680=$D$3),IF($F$3="(todos)",TRUE,'ORDENES'!$AA680=$F$3),IF($H$3="(todos)",TRUE,'ORDENES'!$Z680=$H$3),'ORDENES'!$AG680=TRUE,'ORDENES'!$A680&lt;&gt;""),1,0)</f>
        <v/>
      </c>
      <c r="L684" s="24">
        <f>IF(K684=1,IFERROR(MATCH('ORDENES'!$S680,lista_dias,0),9)*1000000000+IFERROR(MATCH('ORDENES'!$AI680,lista_turnos,0),9)*10000000+IFERROR(MATCH('ORDENES'!$AH680,'TECNICOS'!$B$4:$B$19,0),99)*100000+677,9000000000000+677)</f>
        <v/>
      </c>
      <c r="M684" s="24">
        <f>IF(K684=1,SUMPRODUCT(--($L$8:$L$1207&lt;L684))+1,"")</f>
        <v/>
      </c>
      <c r="N684" s="25">
        <f>IF(K684=1,N('ORDENES'!$M680),0)</f>
        <v/>
      </c>
      <c r="O684" s="25">
        <f>IF('ORDENES'!$U680="preventiva",N684,0)</f>
        <v/>
      </c>
      <c r="P684" s="25">
        <f>IF('ORDENES'!$U680="correctiva",N684,0)</f>
        <v/>
      </c>
      <c r="Q684" s="24">
        <f>IF(AND(K684=1,'ORDENES'!$N680="Pendiente"),1,0)</f>
        <v/>
      </c>
      <c r="R684" s="24">
        <f>IF(Q684=1,100000-N684*1000+677*0.01,9000000000000+677)</f>
        <v/>
      </c>
      <c r="S684" s="24">
        <f>IF(Q684=1,SUMPRODUCT(--($R$8:$R$1207&lt;R684))+1,"")</f>
        <v/>
      </c>
      <c r="T684" s="30">
        <f>IF(K684=1,'ORDENES'!$J680,"")</f>
        <v/>
      </c>
    </row>
    <row r="685">
      <c r="K685" s="24">
        <f>IF(AND(IF($B$3="(todos)",TRUE,'ORDENES'!$O681=$B$3),IF($D$3="(todos)",TRUE,'ORDENES'!$AI681=$D$3),IF($F$3="(todos)",TRUE,'ORDENES'!$AA681=$F$3),IF($H$3="(todos)",TRUE,'ORDENES'!$Z681=$H$3),'ORDENES'!$AG681=TRUE,'ORDENES'!$A681&lt;&gt;""),1,0)</f>
        <v/>
      </c>
      <c r="L685" s="24">
        <f>IF(K685=1,IFERROR(MATCH('ORDENES'!$S681,lista_dias,0),9)*1000000000+IFERROR(MATCH('ORDENES'!$AI681,lista_turnos,0),9)*10000000+IFERROR(MATCH('ORDENES'!$AH681,'TECNICOS'!$B$4:$B$19,0),99)*100000+678,9000000000000+678)</f>
        <v/>
      </c>
      <c r="M685" s="24">
        <f>IF(K685=1,SUMPRODUCT(--($L$8:$L$1207&lt;L685))+1,"")</f>
        <v/>
      </c>
      <c r="N685" s="25">
        <f>IF(K685=1,N('ORDENES'!$M681),0)</f>
        <v/>
      </c>
      <c r="O685" s="25">
        <f>IF('ORDENES'!$U681="preventiva",N685,0)</f>
        <v/>
      </c>
      <c r="P685" s="25">
        <f>IF('ORDENES'!$U681="correctiva",N685,0)</f>
        <v/>
      </c>
      <c r="Q685" s="24">
        <f>IF(AND(K685=1,'ORDENES'!$N681="Pendiente"),1,0)</f>
        <v/>
      </c>
      <c r="R685" s="24">
        <f>IF(Q685=1,100000-N685*1000+678*0.01,9000000000000+678)</f>
        <v/>
      </c>
      <c r="S685" s="24">
        <f>IF(Q685=1,SUMPRODUCT(--($R$8:$R$1207&lt;R685))+1,"")</f>
        <v/>
      </c>
      <c r="T685" s="30">
        <f>IF(K685=1,'ORDENES'!$J681,"")</f>
        <v/>
      </c>
    </row>
    <row r="686">
      <c r="K686" s="24">
        <f>IF(AND(IF($B$3="(todos)",TRUE,'ORDENES'!$O682=$B$3),IF($D$3="(todos)",TRUE,'ORDENES'!$AI682=$D$3),IF($F$3="(todos)",TRUE,'ORDENES'!$AA682=$F$3),IF($H$3="(todos)",TRUE,'ORDENES'!$Z682=$H$3),'ORDENES'!$AG682=TRUE,'ORDENES'!$A682&lt;&gt;""),1,0)</f>
        <v/>
      </c>
      <c r="L686" s="24">
        <f>IF(K686=1,IFERROR(MATCH('ORDENES'!$S682,lista_dias,0),9)*1000000000+IFERROR(MATCH('ORDENES'!$AI682,lista_turnos,0),9)*10000000+IFERROR(MATCH('ORDENES'!$AH682,'TECNICOS'!$B$4:$B$19,0),99)*100000+679,9000000000000+679)</f>
        <v/>
      </c>
      <c r="M686" s="24">
        <f>IF(K686=1,SUMPRODUCT(--($L$8:$L$1207&lt;L686))+1,"")</f>
        <v/>
      </c>
      <c r="N686" s="25">
        <f>IF(K686=1,N('ORDENES'!$M682),0)</f>
        <v/>
      </c>
      <c r="O686" s="25">
        <f>IF('ORDENES'!$U682="preventiva",N686,0)</f>
        <v/>
      </c>
      <c r="P686" s="25">
        <f>IF('ORDENES'!$U682="correctiva",N686,0)</f>
        <v/>
      </c>
      <c r="Q686" s="24">
        <f>IF(AND(K686=1,'ORDENES'!$N682="Pendiente"),1,0)</f>
        <v/>
      </c>
      <c r="R686" s="24">
        <f>IF(Q686=1,100000-N686*1000+679*0.01,9000000000000+679)</f>
        <v/>
      </c>
      <c r="S686" s="24">
        <f>IF(Q686=1,SUMPRODUCT(--($R$8:$R$1207&lt;R686))+1,"")</f>
        <v/>
      </c>
      <c r="T686" s="30">
        <f>IF(K686=1,'ORDENES'!$J682,"")</f>
        <v/>
      </c>
    </row>
    <row r="687">
      <c r="K687" s="24">
        <f>IF(AND(IF($B$3="(todos)",TRUE,'ORDENES'!$O683=$B$3),IF($D$3="(todos)",TRUE,'ORDENES'!$AI683=$D$3),IF($F$3="(todos)",TRUE,'ORDENES'!$AA683=$F$3),IF($H$3="(todos)",TRUE,'ORDENES'!$Z683=$H$3),'ORDENES'!$AG683=TRUE,'ORDENES'!$A683&lt;&gt;""),1,0)</f>
        <v/>
      </c>
      <c r="L687" s="24">
        <f>IF(K687=1,IFERROR(MATCH('ORDENES'!$S683,lista_dias,0),9)*1000000000+IFERROR(MATCH('ORDENES'!$AI683,lista_turnos,0),9)*10000000+IFERROR(MATCH('ORDENES'!$AH683,'TECNICOS'!$B$4:$B$19,0),99)*100000+680,9000000000000+680)</f>
        <v/>
      </c>
      <c r="M687" s="24">
        <f>IF(K687=1,SUMPRODUCT(--($L$8:$L$1207&lt;L687))+1,"")</f>
        <v/>
      </c>
      <c r="N687" s="25">
        <f>IF(K687=1,N('ORDENES'!$M683),0)</f>
        <v/>
      </c>
      <c r="O687" s="25">
        <f>IF('ORDENES'!$U683="preventiva",N687,0)</f>
        <v/>
      </c>
      <c r="P687" s="25">
        <f>IF('ORDENES'!$U683="correctiva",N687,0)</f>
        <v/>
      </c>
      <c r="Q687" s="24">
        <f>IF(AND(K687=1,'ORDENES'!$N683="Pendiente"),1,0)</f>
        <v/>
      </c>
      <c r="R687" s="24">
        <f>IF(Q687=1,100000-N687*1000+680*0.01,9000000000000+680)</f>
        <v/>
      </c>
      <c r="S687" s="24">
        <f>IF(Q687=1,SUMPRODUCT(--($R$8:$R$1207&lt;R687))+1,"")</f>
        <v/>
      </c>
      <c r="T687" s="30">
        <f>IF(K687=1,'ORDENES'!$J683,"")</f>
        <v/>
      </c>
    </row>
    <row r="688">
      <c r="K688" s="24">
        <f>IF(AND(IF($B$3="(todos)",TRUE,'ORDENES'!$O684=$B$3),IF($D$3="(todos)",TRUE,'ORDENES'!$AI684=$D$3),IF($F$3="(todos)",TRUE,'ORDENES'!$AA684=$F$3),IF($H$3="(todos)",TRUE,'ORDENES'!$Z684=$H$3),'ORDENES'!$AG684=TRUE,'ORDENES'!$A684&lt;&gt;""),1,0)</f>
        <v/>
      </c>
      <c r="L688" s="24">
        <f>IF(K688=1,IFERROR(MATCH('ORDENES'!$S684,lista_dias,0),9)*1000000000+IFERROR(MATCH('ORDENES'!$AI684,lista_turnos,0),9)*10000000+IFERROR(MATCH('ORDENES'!$AH684,'TECNICOS'!$B$4:$B$19,0),99)*100000+681,9000000000000+681)</f>
        <v/>
      </c>
      <c r="M688" s="24">
        <f>IF(K688=1,SUMPRODUCT(--($L$8:$L$1207&lt;L688))+1,"")</f>
        <v/>
      </c>
      <c r="N688" s="25">
        <f>IF(K688=1,N('ORDENES'!$M684),0)</f>
        <v/>
      </c>
      <c r="O688" s="25">
        <f>IF('ORDENES'!$U684="preventiva",N688,0)</f>
        <v/>
      </c>
      <c r="P688" s="25">
        <f>IF('ORDENES'!$U684="correctiva",N688,0)</f>
        <v/>
      </c>
      <c r="Q688" s="24">
        <f>IF(AND(K688=1,'ORDENES'!$N684="Pendiente"),1,0)</f>
        <v/>
      </c>
      <c r="R688" s="24">
        <f>IF(Q688=1,100000-N688*1000+681*0.01,9000000000000+681)</f>
        <v/>
      </c>
      <c r="S688" s="24">
        <f>IF(Q688=1,SUMPRODUCT(--($R$8:$R$1207&lt;R688))+1,"")</f>
        <v/>
      </c>
      <c r="T688" s="30">
        <f>IF(K688=1,'ORDENES'!$J684,"")</f>
        <v/>
      </c>
    </row>
    <row r="689">
      <c r="K689" s="24">
        <f>IF(AND(IF($B$3="(todos)",TRUE,'ORDENES'!$O685=$B$3),IF($D$3="(todos)",TRUE,'ORDENES'!$AI685=$D$3),IF($F$3="(todos)",TRUE,'ORDENES'!$AA685=$F$3),IF($H$3="(todos)",TRUE,'ORDENES'!$Z685=$H$3),'ORDENES'!$AG685=TRUE,'ORDENES'!$A685&lt;&gt;""),1,0)</f>
        <v/>
      </c>
      <c r="L689" s="24">
        <f>IF(K689=1,IFERROR(MATCH('ORDENES'!$S685,lista_dias,0),9)*1000000000+IFERROR(MATCH('ORDENES'!$AI685,lista_turnos,0),9)*10000000+IFERROR(MATCH('ORDENES'!$AH685,'TECNICOS'!$B$4:$B$19,0),99)*100000+682,9000000000000+682)</f>
        <v/>
      </c>
      <c r="M689" s="24">
        <f>IF(K689=1,SUMPRODUCT(--($L$8:$L$1207&lt;L689))+1,"")</f>
        <v/>
      </c>
      <c r="N689" s="25">
        <f>IF(K689=1,N('ORDENES'!$M685),0)</f>
        <v/>
      </c>
      <c r="O689" s="25">
        <f>IF('ORDENES'!$U685="preventiva",N689,0)</f>
        <v/>
      </c>
      <c r="P689" s="25">
        <f>IF('ORDENES'!$U685="correctiva",N689,0)</f>
        <v/>
      </c>
      <c r="Q689" s="24">
        <f>IF(AND(K689=1,'ORDENES'!$N685="Pendiente"),1,0)</f>
        <v/>
      </c>
      <c r="R689" s="24">
        <f>IF(Q689=1,100000-N689*1000+682*0.01,9000000000000+682)</f>
        <v/>
      </c>
      <c r="S689" s="24">
        <f>IF(Q689=1,SUMPRODUCT(--($R$8:$R$1207&lt;R689))+1,"")</f>
        <v/>
      </c>
      <c r="T689" s="30">
        <f>IF(K689=1,'ORDENES'!$J685,"")</f>
        <v/>
      </c>
    </row>
    <row r="690">
      <c r="K690" s="24">
        <f>IF(AND(IF($B$3="(todos)",TRUE,'ORDENES'!$O686=$B$3),IF($D$3="(todos)",TRUE,'ORDENES'!$AI686=$D$3),IF($F$3="(todos)",TRUE,'ORDENES'!$AA686=$F$3),IF($H$3="(todos)",TRUE,'ORDENES'!$Z686=$H$3),'ORDENES'!$AG686=TRUE,'ORDENES'!$A686&lt;&gt;""),1,0)</f>
        <v/>
      </c>
      <c r="L690" s="24">
        <f>IF(K690=1,IFERROR(MATCH('ORDENES'!$S686,lista_dias,0),9)*1000000000+IFERROR(MATCH('ORDENES'!$AI686,lista_turnos,0),9)*10000000+IFERROR(MATCH('ORDENES'!$AH686,'TECNICOS'!$B$4:$B$19,0),99)*100000+683,9000000000000+683)</f>
        <v/>
      </c>
      <c r="M690" s="24">
        <f>IF(K690=1,SUMPRODUCT(--($L$8:$L$1207&lt;L690))+1,"")</f>
        <v/>
      </c>
      <c r="N690" s="25">
        <f>IF(K690=1,N('ORDENES'!$M686),0)</f>
        <v/>
      </c>
      <c r="O690" s="25">
        <f>IF('ORDENES'!$U686="preventiva",N690,0)</f>
        <v/>
      </c>
      <c r="P690" s="25">
        <f>IF('ORDENES'!$U686="correctiva",N690,0)</f>
        <v/>
      </c>
      <c r="Q690" s="24">
        <f>IF(AND(K690=1,'ORDENES'!$N686="Pendiente"),1,0)</f>
        <v/>
      </c>
      <c r="R690" s="24">
        <f>IF(Q690=1,100000-N690*1000+683*0.01,9000000000000+683)</f>
        <v/>
      </c>
      <c r="S690" s="24">
        <f>IF(Q690=1,SUMPRODUCT(--($R$8:$R$1207&lt;R690))+1,"")</f>
        <v/>
      </c>
      <c r="T690" s="30">
        <f>IF(K690=1,'ORDENES'!$J686,"")</f>
        <v/>
      </c>
    </row>
    <row r="691">
      <c r="K691" s="24">
        <f>IF(AND(IF($B$3="(todos)",TRUE,'ORDENES'!$O687=$B$3),IF($D$3="(todos)",TRUE,'ORDENES'!$AI687=$D$3),IF($F$3="(todos)",TRUE,'ORDENES'!$AA687=$F$3),IF($H$3="(todos)",TRUE,'ORDENES'!$Z687=$H$3),'ORDENES'!$AG687=TRUE,'ORDENES'!$A687&lt;&gt;""),1,0)</f>
        <v/>
      </c>
      <c r="L691" s="24">
        <f>IF(K691=1,IFERROR(MATCH('ORDENES'!$S687,lista_dias,0),9)*1000000000+IFERROR(MATCH('ORDENES'!$AI687,lista_turnos,0),9)*10000000+IFERROR(MATCH('ORDENES'!$AH687,'TECNICOS'!$B$4:$B$19,0),99)*100000+684,9000000000000+684)</f>
        <v/>
      </c>
      <c r="M691" s="24">
        <f>IF(K691=1,SUMPRODUCT(--($L$8:$L$1207&lt;L691))+1,"")</f>
        <v/>
      </c>
      <c r="N691" s="25">
        <f>IF(K691=1,N('ORDENES'!$M687),0)</f>
        <v/>
      </c>
      <c r="O691" s="25">
        <f>IF('ORDENES'!$U687="preventiva",N691,0)</f>
        <v/>
      </c>
      <c r="P691" s="25">
        <f>IF('ORDENES'!$U687="correctiva",N691,0)</f>
        <v/>
      </c>
      <c r="Q691" s="24">
        <f>IF(AND(K691=1,'ORDENES'!$N687="Pendiente"),1,0)</f>
        <v/>
      </c>
      <c r="R691" s="24">
        <f>IF(Q691=1,100000-N691*1000+684*0.01,9000000000000+684)</f>
        <v/>
      </c>
      <c r="S691" s="24">
        <f>IF(Q691=1,SUMPRODUCT(--($R$8:$R$1207&lt;R691))+1,"")</f>
        <v/>
      </c>
      <c r="T691" s="30">
        <f>IF(K691=1,'ORDENES'!$J687,"")</f>
        <v/>
      </c>
    </row>
    <row r="692">
      <c r="K692" s="24">
        <f>IF(AND(IF($B$3="(todos)",TRUE,'ORDENES'!$O688=$B$3),IF($D$3="(todos)",TRUE,'ORDENES'!$AI688=$D$3),IF($F$3="(todos)",TRUE,'ORDENES'!$AA688=$F$3),IF($H$3="(todos)",TRUE,'ORDENES'!$Z688=$H$3),'ORDENES'!$AG688=TRUE,'ORDENES'!$A688&lt;&gt;""),1,0)</f>
        <v/>
      </c>
      <c r="L692" s="24">
        <f>IF(K692=1,IFERROR(MATCH('ORDENES'!$S688,lista_dias,0),9)*1000000000+IFERROR(MATCH('ORDENES'!$AI688,lista_turnos,0),9)*10000000+IFERROR(MATCH('ORDENES'!$AH688,'TECNICOS'!$B$4:$B$19,0),99)*100000+685,9000000000000+685)</f>
        <v/>
      </c>
      <c r="M692" s="24">
        <f>IF(K692=1,SUMPRODUCT(--($L$8:$L$1207&lt;L692))+1,"")</f>
        <v/>
      </c>
      <c r="N692" s="25">
        <f>IF(K692=1,N('ORDENES'!$M688),0)</f>
        <v/>
      </c>
      <c r="O692" s="25">
        <f>IF('ORDENES'!$U688="preventiva",N692,0)</f>
        <v/>
      </c>
      <c r="P692" s="25">
        <f>IF('ORDENES'!$U688="correctiva",N692,0)</f>
        <v/>
      </c>
      <c r="Q692" s="24">
        <f>IF(AND(K692=1,'ORDENES'!$N688="Pendiente"),1,0)</f>
        <v/>
      </c>
      <c r="R692" s="24">
        <f>IF(Q692=1,100000-N692*1000+685*0.01,9000000000000+685)</f>
        <v/>
      </c>
      <c r="S692" s="24">
        <f>IF(Q692=1,SUMPRODUCT(--($R$8:$R$1207&lt;R692))+1,"")</f>
        <v/>
      </c>
      <c r="T692" s="30">
        <f>IF(K692=1,'ORDENES'!$J688,"")</f>
        <v/>
      </c>
    </row>
    <row r="693">
      <c r="K693" s="24">
        <f>IF(AND(IF($B$3="(todos)",TRUE,'ORDENES'!$O689=$B$3),IF($D$3="(todos)",TRUE,'ORDENES'!$AI689=$D$3),IF($F$3="(todos)",TRUE,'ORDENES'!$AA689=$F$3),IF($H$3="(todos)",TRUE,'ORDENES'!$Z689=$H$3),'ORDENES'!$AG689=TRUE,'ORDENES'!$A689&lt;&gt;""),1,0)</f>
        <v/>
      </c>
      <c r="L693" s="24">
        <f>IF(K693=1,IFERROR(MATCH('ORDENES'!$S689,lista_dias,0),9)*1000000000+IFERROR(MATCH('ORDENES'!$AI689,lista_turnos,0),9)*10000000+IFERROR(MATCH('ORDENES'!$AH689,'TECNICOS'!$B$4:$B$19,0),99)*100000+686,9000000000000+686)</f>
        <v/>
      </c>
      <c r="M693" s="24">
        <f>IF(K693=1,SUMPRODUCT(--($L$8:$L$1207&lt;L693))+1,"")</f>
        <v/>
      </c>
      <c r="N693" s="25">
        <f>IF(K693=1,N('ORDENES'!$M689),0)</f>
        <v/>
      </c>
      <c r="O693" s="25">
        <f>IF('ORDENES'!$U689="preventiva",N693,0)</f>
        <v/>
      </c>
      <c r="P693" s="25">
        <f>IF('ORDENES'!$U689="correctiva",N693,0)</f>
        <v/>
      </c>
      <c r="Q693" s="24">
        <f>IF(AND(K693=1,'ORDENES'!$N689="Pendiente"),1,0)</f>
        <v/>
      </c>
      <c r="R693" s="24">
        <f>IF(Q693=1,100000-N693*1000+686*0.01,9000000000000+686)</f>
        <v/>
      </c>
      <c r="S693" s="24">
        <f>IF(Q693=1,SUMPRODUCT(--($R$8:$R$1207&lt;R693))+1,"")</f>
        <v/>
      </c>
      <c r="T693" s="30">
        <f>IF(K693=1,'ORDENES'!$J689,"")</f>
        <v/>
      </c>
    </row>
    <row r="694">
      <c r="K694" s="24">
        <f>IF(AND(IF($B$3="(todos)",TRUE,'ORDENES'!$O690=$B$3),IF($D$3="(todos)",TRUE,'ORDENES'!$AI690=$D$3),IF($F$3="(todos)",TRUE,'ORDENES'!$AA690=$F$3),IF($H$3="(todos)",TRUE,'ORDENES'!$Z690=$H$3),'ORDENES'!$AG690=TRUE,'ORDENES'!$A690&lt;&gt;""),1,0)</f>
        <v/>
      </c>
      <c r="L694" s="24">
        <f>IF(K694=1,IFERROR(MATCH('ORDENES'!$S690,lista_dias,0),9)*1000000000+IFERROR(MATCH('ORDENES'!$AI690,lista_turnos,0),9)*10000000+IFERROR(MATCH('ORDENES'!$AH690,'TECNICOS'!$B$4:$B$19,0),99)*100000+687,9000000000000+687)</f>
        <v/>
      </c>
      <c r="M694" s="24">
        <f>IF(K694=1,SUMPRODUCT(--($L$8:$L$1207&lt;L694))+1,"")</f>
        <v/>
      </c>
      <c r="N694" s="25">
        <f>IF(K694=1,N('ORDENES'!$M690),0)</f>
        <v/>
      </c>
      <c r="O694" s="25">
        <f>IF('ORDENES'!$U690="preventiva",N694,0)</f>
        <v/>
      </c>
      <c r="P694" s="25">
        <f>IF('ORDENES'!$U690="correctiva",N694,0)</f>
        <v/>
      </c>
      <c r="Q694" s="24">
        <f>IF(AND(K694=1,'ORDENES'!$N690="Pendiente"),1,0)</f>
        <v/>
      </c>
      <c r="R694" s="24">
        <f>IF(Q694=1,100000-N694*1000+687*0.01,9000000000000+687)</f>
        <v/>
      </c>
      <c r="S694" s="24">
        <f>IF(Q694=1,SUMPRODUCT(--($R$8:$R$1207&lt;R694))+1,"")</f>
        <v/>
      </c>
      <c r="T694" s="30">
        <f>IF(K694=1,'ORDENES'!$J690,"")</f>
        <v/>
      </c>
    </row>
    <row r="695">
      <c r="K695" s="24">
        <f>IF(AND(IF($B$3="(todos)",TRUE,'ORDENES'!$O691=$B$3),IF($D$3="(todos)",TRUE,'ORDENES'!$AI691=$D$3),IF($F$3="(todos)",TRUE,'ORDENES'!$AA691=$F$3),IF($H$3="(todos)",TRUE,'ORDENES'!$Z691=$H$3),'ORDENES'!$AG691=TRUE,'ORDENES'!$A691&lt;&gt;""),1,0)</f>
        <v/>
      </c>
      <c r="L695" s="24">
        <f>IF(K695=1,IFERROR(MATCH('ORDENES'!$S691,lista_dias,0),9)*1000000000+IFERROR(MATCH('ORDENES'!$AI691,lista_turnos,0),9)*10000000+IFERROR(MATCH('ORDENES'!$AH691,'TECNICOS'!$B$4:$B$19,0),99)*100000+688,9000000000000+688)</f>
        <v/>
      </c>
      <c r="M695" s="24">
        <f>IF(K695=1,SUMPRODUCT(--($L$8:$L$1207&lt;L695))+1,"")</f>
        <v/>
      </c>
      <c r="N695" s="25">
        <f>IF(K695=1,N('ORDENES'!$M691),0)</f>
        <v/>
      </c>
      <c r="O695" s="25">
        <f>IF('ORDENES'!$U691="preventiva",N695,0)</f>
        <v/>
      </c>
      <c r="P695" s="25">
        <f>IF('ORDENES'!$U691="correctiva",N695,0)</f>
        <v/>
      </c>
      <c r="Q695" s="24">
        <f>IF(AND(K695=1,'ORDENES'!$N691="Pendiente"),1,0)</f>
        <v/>
      </c>
      <c r="R695" s="24">
        <f>IF(Q695=1,100000-N695*1000+688*0.01,9000000000000+688)</f>
        <v/>
      </c>
      <c r="S695" s="24">
        <f>IF(Q695=1,SUMPRODUCT(--($R$8:$R$1207&lt;R695))+1,"")</f>
        <v/>
      </c>
      <c r="T695" s="30">
        <f>IF(K695=1,'ORDENES'!$J691,"")</f>
        <v/>
      </c>
    </row>
    <row r="696">
      <c r="K696" s="24">
        <f>IF(AND(IF($B$3="(todos)",TRUE,'ORDENES'!$O692=$B$3),IF($D$3="(todos)",TRUE,'ORDENES'!$AI692=$D$3),IF($F$3="(todos)",TRUE,'ORDENES'!$AA692=$F$3),IF($H$3="(todos)",TRUE,'ORDENES'!$Z692=$H$3),'ORDENES'!$AG692=TRUE,'ORDENES'!$A692&lt;&gt;""),1,0)</f>
        <v/>
      </c>
      <c r="L696" s="24">
        <f>IF(K696=1,IFERROR(MATCH('ORDENES'!$S692,lista_dias,0),9)*1000000000+IFERROR(MATCH('ORDENES'!$AI692,lista_turnos,0),9)*10000000+IFERROR(MATCH('ORDENES'!$AH692,'TECNICOS'!$B$4:$B$19,0),99)*100000+689,9000000000000+689)</f>
        <v/>
      </c>
      <c r="M696" s="24">
        <f>IF(K696=1,SUMPRODUCT(--($L$8:$L$1207&lt;L696))+1,"")</f>
        <v/>
      </c>
      <c r="N696" s="25">
        <f>IF(K696=1,N('ORDENES'!$M692),0)</f>
        <v/>
      </c>
      <c r="O696" s="25">
        <f>IF('ORDENES'!$U692="preventiva",N696,0)</f>
        <v/>
      </c>
      <c r="P696" s="25">
        <f>IF('ORDENES'!$U692="correctiva",N696,0)</f>
        <v/>
      </c>
      <c r="Q696" s="24">
        <f>IF(AND(K696=1,'ORDENES'!$N692="Pendiente"),1,0)</f>
        <v/>
      </c>
      <c r="R696" s="24">
        <f>IF(Q696=1,100000-N696*1000+689*0.01,9000000000000+689)</f>
        <v/>
      </c>
      <c r="S696" s="24">
        <f>IF(Q696=1,SUMPRODUCT(--($R$8:$R$1207&lt;R696))+1,"")</f>
        <v/>
      </c>
      <c r="T696" s="30">
        <f>IF(K696=1,'ORDENES'!$J692,"")</f>
        <v/>
      </c>
    </row>
    <row r="697">
      <c r="K697" s="24">
        <f>IF(AND(IF($B$3="(todos)",TRUE,'ORDENES'!$O693=$B$3),IF($D$3="(todos)",TRUE,'ORDENES'!$AI693=$D$3),IF($F$3="(todos)",TRUE,'ORDENES'!$AA693=$F$3),IF($H$3="(todos)",TRUE,'ORDENES'!$Z693=$H$3),'ORDENES'!$AG693=TRUE,'ORDENES'!$A693&lt;&gt;""),1,0)</f>
        <v/>
      </c>
      <c r="L697" s="24">
        <f>IF(K697=1,IFERROR(MATCH('ORDENES'!$S693,lista_dias,0),9)*1000000000+IFERROR(MATCH('ORDENES'!$AI693,lista_turnos,0),9)*10000000+IFERROR(MATCH('ORDENES'!$AH693,'TECNICOS'!$B$4:$B$19,0),99)*100000+690,9000000000000+690)</f>
        <v/>
      </c>
      <c r="M697" s="24">
        <f>IF(K697=1,SUMPRODUCT(--($L$8:$L$1207&lt;L697))+1,"")</f>
        <v/>
      </c>
      <c r="N697" s="25">
        <f>IF(K697=1,N('ORDENES'!$M693),0)</f>
        <v/>
      </c>
      <c r="O697" s="25">
        <f>IF('ORDENES'!$U693="preventiva",N697,0)</f>
        <v/>
      </c>
      <c r="P697" s="25">
        <f>IF('ORDENES'!$U693="correctiva",N697,0)</f>
        <v/>
      </c>
      <c r="Q697" s="24">
        <f>IF(AND(K697=1,'ORDENES'!$N693="Pendiente"),1,0)</f>
        <v/>
      </c>
      <c r="R697" s="24">
        <f>IF(Q697=1,100000-N697*1000+690*0.01,9000000000000+690)</f>
        <v/>
      </c>
      <c r="S697" s="24">
        <f>IF(Q697=1,SUMPRODUCT(--($R$8:$R$1207&lt;R697))+1,"")</f>
        <v/>
      </c>
      <c r="T697" s="30">
        <f>IF(K697=1,'ORDENES'!$J693,"")</f>
        <v/>
      </c>
    </row>
    <row r="698">
      <c r="K698" s="24">
        <f>IF(AND(IF($B$3="(todos)",TRUE,'ORDENES'!$O694=$B$3),IF($D$3="(todos)",TRUE,'ORDENES'!$AI694=$D$3),IF($F$3="(todos)",TRUE,'ORDENES'!$AA694=$F$3),IF($H$3="(todos)",TRUE,'ORDENES'!$Z694=$H$3),'ORDENES'!$AG694=TRUE,'ORDENES'!$A694&lt;&gt;""),1,0)</f>
        <v/>
      </c>
      <c r="L698" s="24">
        <f>IF(K698=1,IFERROR(MATCH('ORDENES'!$S694,lista_dias,0),9)*1000000000+IFERROR(MATCH('ORDENES'!$AI694,lista_turnos,0),9)*10000000+IFERROR(MATCH('ORDENES'!$AH694,'TECNICOS'!$B$4:$B$19,0),99)*100000+691,9000000000000+691)</f>
        <v/>
      </c>
      <c r="M698" s="24">
        <f>IF(K698=1,SUMPRODUCT(--($L$8:$L$1207&lt;L698))+1,"")</f>
        <v/>
      </c>
      <c r="N698" s="25">
        <f>IF(K698=1,N('ORDENES'!$M694),0)</f>
        <v/>
      </c>
      <c r="O698" s="25">
        <f>IF('ORDENES'!$U694="preventiva",N698,0)</f>
        <v/>
      </c>
      <c r="P698" s="25">
        <f>IF('ORDENES'!$U694="correctiva",N698,0)</f>
        <v/>
      </c>
      <c r="Q698" s="24">
        <f>IF(AND(K698=1,'ORDENES'!$N694="Pendiente"),1,0)</f>
        <v/>
      </c>
      <c r="R698" s="24">
        <f>IF(Q698=1,100000-N698*1000+691*0.01,9000000000000+691)</f>
        <v/>
      </c>
      <c r="S698" s="24">
        <f>IF(Q698=1,SUMPRODUCT(--($R$8:$R$1207&lt;R698))+1,"")</f>
        <v/>
      </c>
      <c r="T698" s="30">
        <f>IF(K698=1,'ORDENES'!$J694,"")</f>
        <v/>
      </c>
    </row>
    <row r="699">
      <c r="K699" s="24">
        <f>IF(AND(IF($B$3="(todos)",TRUE,'ORDENES'!$O695=$B$3),IF($D$3="(todos)",TRUE,'ORDENES'!$AI695=$D$3),IF($F$3="(todos)",TRUE,'ORDENES'!$AA695=$F$3),IF($H$3="(todos)",TRUE,'ORDENES'!$Z695=$H$3),'ORDENES'!$AG695=TRUE,'ORDENES'!$A695&lt;&gt;""),1,0)</f>
        <v/>
      </c>
      <c r="L699" s="24">
        <f>IF(K699=1,IFERROR(MATCH('ORDENES'!$S695,lista_dias,0),9)*1000000000+IFERROR(MATCH('ORDENES'!$AI695,lista_turnos,0),9)*10000000+IFERROR(MATCH('ORDENES'!$AH695,'TECNICOS'!$B$4:$B$19,0),99)*100000+692,9000000000000+692)</f>
        <v/>
      </c>
      <c r="M699" s="24">
        <f>IF(K699=1,SUMPRODUCT(--($L$8:$L$1207&lt;L699))+1,"")</f>
        <v/>
      </c>
      <c r="N699" s="25">
        <f>IF(K699=1,N('ORDENES'!$M695),0)</f>
        <v/>
      </c>
      <c r="O699" s="25">
        <f>IF('ORDENES'!$U695="preventiva",N699,0)</f>
        <v/>
      </c>
      <c r="P699" s="25">
        <f>IF('ORDENES'!$U695="correctiva",N699,0)</f>
        <v/>
      </c>
      <c r="Q699" s="24">
        <f>IF(AND(K699=1,'ORDENES'!$N695="Pendiente"),1,0)</f>
        <v/>
      </c>
      <c r="R699" s="24">
        <f>IF(Q699=1,100000-N699*1000+692*0.01,9000000000000+692)</f>
        <v/>
      </c>
      <c r="S699" s="24">
        <f>IF(Q699=1,SUMPRODUCT(--($R$8:$R$1207&lt;R699))+1,"")</f>
        <v/>
      </c>
      <c r="T699" s="30">
        <f>IF(K699=1,'ORDENES'!$J695,"")</f>
        <v/>
      </c>
    </row>
    <row r="700">
      <c r="K700" s="24">
        <f>IF(AND(IF($B$3="(todos)",TRUE,'ORDENES'!$O696=$B$3),IF($D$3="(todos)",TRUE,'ORDENES'!$AI696=$D$3),IF($F$3="(todos)",TRUE,'ORDENES'!$AA696=$F$3),IF($H$3="(todos)",TRUE,'ORDENES'!$Z696=$H$3),'ORDENES'!$AG696=TRUE,'ORDENES'!$A696&lt;&gt;""),1,0)</f>
        <v/>
      </c>
      <c r="L700" s="24">
        <f>IF(K700=1,IFERROR(MATCH('ORDENES'!$S696,lista_dias,0),9)*1000000000+IFERROR(MATCH('ORDENES'!$AI696,lista_turnos,0),9)*10000000+IFERROR(MATCH('ORDENES'!$AH696,'TECNICOS'!$B$4:$B$19,0),99)*100000+693,9000000000000+693)</f>
        <v/>
      </c>
      <c r="M700" s="24">
        <f>IF(K700=1,SUMPRODUCT(--($L$8:$L$1207&lt;L700))+1,"")</f>
        <v/>
      </c>
      <c r="N700" s="25">
        <f>IF(K700=1,N('ORDENES'!$M696),0)</f>
        <v/>
      </c>
      <c r="O700" s="25">
        <f>IF('ORDENES'!$U696="preventiva",N700,0)</f>
        <v/>
      </c>
      <c r="P700" s="25">
        <f>IF('ORDENES'!$U696="correctiva",N700,0)</f>
        <v/>
      </c>
      <c r="Q700" s="24">
        <f>IF(AND(K700=1,'ORDENES'!$N696="Pendiente"),1,0)</f>
        <v/>
      </c>
      <c r="R700" s="24">
        <f>IF(Q700=1,100000-N700*1000+693*0.01,9000000000000+693)</f>
        <v/>
      </c>
      <c r="S700" s="24">
        <f>IF(Q700=1,SUMPRODUCT(--($R$8:$R$1207&lt;R700))+1,"")</f>
        <v/>
      </c>
      <c r="T700" s="30">
        <f>IF(K700=1,'ORDENES'!$J696,"")</f>
        <v/>
      </c>
    </row>
    <row r="701">
      <c r="K701" s="24">
        <f>IF(AND(IF($B$3="(todos)",TRUE,'ORDENES'!$O697=$B$3),IF($D$3="(todos)",TRUE,'ORDENES'!$AI697=$D$3),IF($F$3="(todos)",TRUE,'ORDENES'!$AA697=$F$3),IF($H$3="(todos)",TRUE,'ORDENES'!$Z697=$H$3),'ORDENES'!$AG697=TRUE,'ORDENES'!$A697&lt;&gt;""),1,0)</f>
        <v/>
      </c>
      <c r="L701" s="24">
        <f>IF(K701=1,IFERROR(MATCH('ORDENES'!$S697,lista_dias,0),9)*1000000000+IFERROR(MATCH('ORDENES'!$AI697,lista_turnos,0),9)*10000000+IFERROR(MATCH('ORDENES'!$AH697,'TECNICOS'!$B$4:$B$19,0),99)*100000+694,9000000000000+694)</f>
        <v/>
      </c>
      <c r="M701" s="24">
        <f>IF(K701=1,SUMPRODUCT(--($L$8:$L$1207&lt;L701))+1,"")</f>
        <v/>
      </c>
      <c r="N701" s="25">
        <f>IF(K701=1,N('ORDENES'!$M697),0)</f>
        <v/>
      </c>
      <c r="O701" s="25">
        <f>IF('ORDENES'!$U697="preventiva",N701,0)</f>
        <v/>
      </c>
      <c r="P701" s="25">
        <f>IF('ORDENES'!$U697="correctiva",N701,0)</f>
        <v/>
      </c>
      <c r="Q701" s="24">
        <f>IF(AND(K701=1,'ORDENES'!$N697="Pendiente"),1,0)</f>
        <v/>
      </c>
      <c r="R701" s="24">
        <f>IF(Q701=1,100000-N701*1000+694*0.01,9000000000000+694)</f>
        <v/>
      </c>
      <c r="S701" s="24">
        <f>IF(Q701=1,SUMPRODUCT(--($R$8:$R$1207&lt;R701))+1,"")</f>
        <v/>
      </c>
      <c r="T701" s="30">
        <f>IF(K701=1,'ORDENES'!$J697,"")</f>
        <v/>
      </c>
    </row>
    <row r="702">
      <c r="K702" s="24">
        <f>IF(AND(IF($B$3="(todos)",TRUE,'ORDENES'!$O698=$B$3),IF($D$3="(todos)",TRUE,'ORDENES'!$AI698=$D$3),IF($F$3="(todos)",TRUE,'ORDENES'!$AA698=$F$3),IF($H$3="(todos)",TRUE,'ORDENES'!$Z698=$H$3),'ORDENES'!$AG698=TRUE,'ORDENES'!$A698&lt;&gt;""),1,0)</f>
        <v/>
      </c>
      <c r="L702" s="24">
        <f>IF(K702=1,IFERROR(MATCH('ORDENES'!$S698,lista_dias,0),9)*1000000000+IFERROR(MATCH('ORDENES'!$AI698,lista_turnos,0),9)*10000000+IFERROR(MATCH('ORDENES'!$AH698,'TECNICOS'!$B$4:$B$19,0),99)*100000+695,9000000000000+695)</f>
        <v/>
      </c>
      <c r="M702" s="24">
        <f>IF(K702=1,SUMPRODUCT(--($L$8:$L$1207&lt;L702))+1,"")</f>
        <v/>
      </c>
      <c r="N702" s="25">
        <f>IF(K702=1,N('ORDENES'!$M698),0)</f>
        <v/>
      </c>
      <c r="O702" s="25">
        <f>IF('ORDENES'!$U698="preventiva",N702,0)</f>
        <v/>
      </c>
      <c r="P702" s="25">
        <f>IF('ORDENES'!$U698="correctiva",N702,0)</f>
        <v/>
      </c>
      <c r="Q702" s="24">
        <f>IF(AND(K702=1,'ORDENES'!$N698="Pendiente"),1,0)</f>
        <v/>
      </c>
      <c r="R702" s="24">
        <f>IF(Q702=1,100000-N702*1000+695*0.01,9000000000000+695)</f>
        <v/>
      </c>
      <c r="S702" s="24">
        <f>IF(Q702=1,SUMPRODUCT(--($R$8:$R$1207&lt;R702))+1,"")</f>
        <v/>
      </c>
      <c r="T702" s="30">
        <f>IF(K702=1,'ORDENES'!$J698,"")</f>
        <v/>
      </c>
    </row>
    <row r="703">
      <c r="K703" s="24">
        <f>IF(AND(IF($B$3="(todos)",TRUE,'ORDENES'!$O699=$B$3),IF($D$3="(todos)",TRUE,'ORDENES'!$AI699=$D$3),IF($F$3="(todos)",TRUE,'ORDENES'!$AA699=$F$3),IF($H$3="(todos)",TRUE,'ORDENES'!$Z699=$H$3),'ORDENES'!$AG699=TRUE,'ORDENES'!$A699&lt;&gt;""),1,0)</f>
        <v/>
      </c>
      <c r="L703" s="24">
        <f>IF(K703=1,IFERROR(MATCH('ORDENES'!$S699,lista_dias,0),9)*1000000000+IFERROR(MATCH('ORDENES'!$AI699,lista_turnos,0),9)*10000000+IFERROR(MATCH('ORDENES'!$AH699,'TECNICOS'!$B$4:$B$19,0),99)*100000+696,9000000000000+696)</f>
        <v/>
      </c>
      <c r="M703" s="24">
        <f>IF(K703=1,SUMPRODUCT(--($L$8:$L$1207&lt;L703))+1,"")</f>
        <v/>
      </c>
      <c r="N703" s="25">
        <f>IF(K703=1,N('ORDENES'!$M699),0)</f>
        <v/>
      </c>
      <c r="O703" s="25">
        <f>IF('ORDENES'!$U699="preventiva",N703,0)</f>
        <v/>
      </c>
      <c r="P703" s="25">
        <f>IF('ORDENES'!$U699="correctiva",N703,0)</f>
        <v/>
      </c>
      <c r="Q703" s="24">
        <f>IF(AND(K703=1,'ORDENES'!$N699="Pendiente"),1,0)</f>
        <v/>
      </c>
      <c r="R703" s="24">
        <f>IF(Q703=1,100000-N703*1000+696*0.01,9000000000000+696)</f>
        <v/>
      </c>
      <c r="S703" s="24">
        <f>IF(Q703=1,SUMPRODUCT(--($R$8:$R$1207&lt;R703))+1,"")</f>
        <v/>
      </c>
      <c r="T703" s="30">
        <f>IF(K703=1,'ORDENES'!$J699,"")</f>
        <v/>
      </c>
    </row>
    <row r="704">
      <c r="K704" s="24">
        <f>IF(AND(IF($B$3="(todos)",TRUE,'ORDENES'!$O700=$B$3),IF($D$3="(todos)",TRUE,'ORDENES'!$AI700=$D$3),IF($F$3="(todos)",TRUE,'ORDENES'!$AA700=$F$3),IF($H$3="(todos)",TRUE,'ORDENES'!$Z700=$H$3),'ORDENES'!$AG700=TRUE,'ORDENES'!$A700&lt;&gt;""),1,0)</f>
        <v/>
      </c>
      <c r="L704" s="24">
        <f>IF(K704=1,IFERROR(MATCH('ORDENES'!$S700,lista_dias,0),9)*1000000000+IFERROR(MATCH('ORDENES'!$AI700,lista_turnos,0),9)*10000000+IFERROR(MATCH('ORDENES'!$AH700,'TECNICOS'!$B$4:$B$19,0),99)*100000+697,9000000000000+697)</f>
        <v/>
      </c>
      <c r="M704" s="24">
        <f>IF(K704=1,SUMPRODUCT(--($L$8:$L$1207&lt;L704))+1,"")</f>
        <v/>
      </c>
      <c r="N704" s="25">
        <f>IF(K704=1,N('ORDENES'!$M700),0)</f>
        <v/>
      </c>
      <c r="O704" s="25">
        <f>IF('ORDENES'!$U700="preventiva",N704,0)</f>
        <v/>
      </c>
      <c r="P704" s="25">
        <f>IF('ORDENES'!$U700="correctiva",N704,0)</f>
        <v/>
      </c>
      <c r="Q704" s="24">
        <f>IF(AND(K704=1,'ORDENES'!$N700="Pendiente"),1,0)</f>
        <v/>
      </c>
      <c r="R704" s="24">
        <f>IF(Q704=1,100000-N704*1000+697*0.01,9000000000000+697)</f>
        <v/>
      </c>
      <c r="S704" s="24">
        <f>IF(Q704=1,SUMPRODUCT(--($R$8:$R$1207&lt;R704))+1,"")</f>
        <v/>
      </c>
      <c r="T704" s="30">
        <f>IF(K704=1,'ORDENES'!$J700,"")</f>
        <v/>
      </c>
    </row>
    <row r="705">
      <c r="K705" s="24">
        <f>IF(AND(IF($B$3="(todos)",TRUE,'ORDENES'!$O701=$B$3),IF($D$3="(todos)",TRUE,'ORDENES'!$AI701=$D$3),IF($F$3="(todos)",TRUE,'ORDENES'!$AA701=$F$3),IF($H$3="(todos)",TRUE,'ORDENES'!$Z701=$H$3),'ORDENES'!$AG701=TRUE,'ORDENES'!$A701&lt;&gt;""),1,0)</f>
        <v/>
      </c>
      <c r="L705" s="24">
        <f>IF(K705=1,IFERROR(MATCH('ORDENES'!$S701,lista_dias,0),9)*1000000000+IFERROR(MATCH('ORDENES'!$AI701,lista_turnos,0),9)*10000000+IFERROR(MATCH('ORDENES'!$AH701,'TECNICOS'!$B$4:$B$19,0),99)*100000+698,9000000000000+698)</f>
        <v/>
      </c>
      <c r="M705" s="24">
        <f>IF(K705=1,SUMPRODUCT(--($L$8:$L$1207&lt;L705))+1,"")</f>
        <v/>
      </c>
      <c r="N705" s="25">
        <f>IF(K705=1,N('ORDENES'!$M701),0)</f>
        <v/>
      </c>
      <c r="O705" s="25">
        <f>IF('ORDENES'!$U701="preventiva",N705,0)</f>
        <v/>
      </c>
      <c r="P705" s="25">
        <f>IF('ORDENES'!$U701="correctiva",N705,0)</f>
        <v/>
      </c>
      <c r="Q705" s="24">
        <f>IF(AND(K705=1,'ORDENES'!$N701="Pendiente"),1,0)</f>
        <v/>
      </c>
      <c r="R705" s="24">
        <f>IF(Q705=1,100000-N705*1000+698*0.01,9000000000000+698)</f>
        <v/>
      </c>
      <c r="S705" s="24">
        <f>IF(Q705=1,SUMPRODUCT(--($R$8:$R$1207&lt;R705))+1,"")</f>
        <v/>
      </c>
      <c r="T705" s="30">
        <f>IF(K705=1,'ORDENES'!$J701,"")</f>
        <v/>
      </c>
    </row>
    <row r="706">
      <c r="K706" s="24">
        <f>IF(AND(IF($B$3="(todos)",TRUE,'ORDENES'!$O702=$B$3),IF($D$3="(todos)",TRUE,'ORDENES'!$AI702=$D$3),IF($F$3="(todos)",TRUE,'ORDENES'!$AA702=$F$3),IF($H$3="(todos)",TRUE,'ORDENES'!$Z702=$H$3),'ORDENES'!$AG702=TRUE,'ORDENES'!$A702&lt;&gt;""),1,0)</f>
        <v/>
      </c>
      <c r="L706" s="24">
        <f>IF(K706=1,IFERROR(MATCH('ORDENES'!$S702,lista_dias,0),9)*1000000000+IFERROR(MATCH('ORDENES'!$AI702,lista_turnos,0),9)*10000000+IFERROR(MATCH('ORDENES'!$AH702,'TECNICOS'!$B$4:$B$19,0),99)*100000+699,9000000000000+699)</f>
        <v/>
      </c>
      <c r="M706" s="24">
        <f>IF(K706=1,SUMPRODUCT(--($L$8:$L$1207&lt;L706))+1,"")</f>
        <v/>
      </c>
      <c r="N706" s="25">
        <f>IF(K706=1,N('ORDENES'!$M702),0)</f>
        <v/>
      </c>
      <c r="O706" s="25">
        <f>IF('ORDENES'!$U702="preventiva",N706,0)</f>
        <v/>
      </c>
      <c r="P706" s="25">
        <f>IF('ORDENES'!$U702="correctiva",N706,0)</f>
        <v/>
      </c>
      <c r="Q706" s="24">
        <f>IF(AND(K706=1,'ORDENES'!$N702="Pendiente"),1,0)</f>
        <v/>
      </c>
      <c r="R706" s="24">
        <f>IF(Q706=1,100000-N706*1000+699*0.01,9000000000000+699)</f>
        <v/>
      </c>
      <c r="S706" s="24">
        <f>IF(Q706=1,SUMPRODUCT(--($R$8:$R$1207&lt;R706))+1,"")</f>
        <v/>
      </c>
      <c r="T706" s="30">
        <f>IF(K706=1,'ORDENES'!$J702,"")</f>
        <v/>
      </c>
    </row>
    <row r="707">
      <c r="K707" s="24">
        <f>IF(AND(IF($B$3="(todos)",TRUE,'ORDENES'!$O703=$B$3),IF($D$3="(todos)",TRUE,'ORDENES'!$AI703=$D$3),IF($F$3="(todos)",TRUE,'ORDENES'!$AA703=$F$3),IF($H$3="(todos)",TRUE,'ORDENES'!$Z703=$H$3),'ORDENES'!$AG703=TRUE,'ORDENES'!$A703&lt;&gt;""),1,0)</f>
        <v/>
      </c>
      <c r="L707" s="24">
        <f>IF(K707=1,IFERROR(MATCH('ORDENES'!$S703,lista_dias,0),9)*1000000000+IFERROR(MATCH('ORDENES'!$AI703,lista_turnos,0),9)*10000000+IFERROR(MATCH('ORDENES'!$AH703,'TECNICOS'!$B$4:$B$19,0),99)*100000+700,9000000000000+700)</f>
        <v/>
      </c>
      <c r="M707" s="24">
        <f>IF(K707=1,SUMPRODUCT(--($L$8:$L$1207&lt;L707))+1,"")</f>
        <v/>
      </c>
      <c r="N707" s="25">
        <f>IF(K707=1,N('ORDENES'!$M703),0)</f>
        <v/>
      </c>
      <c r="O707" s="25">
        <f>IF('ORDENES'!$U703="preventiva",N707,0)</f>
        <v/>
      </c>
      <c r="P707" s="25">
        <f>IF('ORDENES'!$U703="correctiva",N707,0)</f>
        <v/>
      </c>
      <c r="Q707" s="24">
        <f>IF(AND(K707=1,'ORDENES'!$N703="Pendiente"),1,0)</f>
        <v/>
      </c>
      <c r="R707" s="24">
        <f>IF(Q707=1,100000-N707*1000+700*0.01,9000000000000+700)</f>
        <v/>
      </c>
      <c r="S707" s="24">
        <f>IF(Q707=1,SUMPRODUCT(--($R$8:$R$1207&lt;R707))+1,"")</f>
        <v/>
      </c>
      <c r="T707" s="30">
        <f>IF(K707=1,'ORDENES'!$J703,"")</f>
        <v/>
      </c>
    </row>
    <row r="708">
      <c r="K708" s="24">
        <f>IF(AND(IF($B$3="(todos)",TRUE,'ORDENES'!$O704=$B$3),IF($D$3="(todos)",TRUE,'ORDENES'!$AI704=$D$3),IF($F$3="(todos)",TRUE,'ORDENES'!$AA704=$F$3),IF($H$3="(todos)",TRUE,'ORDENES'!$Z704=$H$3),'ORDENES'!$AG704=TRUE,'ORDENES'!$A704&lt;&gt;""),1,0)</f>
        <v/>
      </c>
      <c r="L708" s="24">
        <f>IF(K708=1,IFERROR(MATCH('ORDENES'!$S704,lista_dias,0),9)*1000000000+IFERROR(MATCH('ORDENES'!$AI704,lista_turnos,0),9)*10000000+IFERROR(MATCH('ORDENES'!$AH704,'TECNICOS'!$B$4:$B$19,0),99)*100000+701,9000000000000+701)</f>
        <v/>
      </c>
      <c r="M708" s="24">
        <f>IF(K708=1,SUMPRODUCT(--($L$8:$L$1207&lt;L708))+1,"")</f>
        <v/>
      </c>
      <c r="N708" s="25">
        <f>IF(K708=1,N('ORDENES'!$M704),0)</f>
        <v/>
      </c>
      <c r="O708" s="25">
        <f>IF('ORDENES'!$U704="preventiva",N708,0)</f>
        <v/>
      </c>
      <c r="P708" s="25">
        <f>IF('ORDENES'!$U704="correctiva",N708,0)</f>
        <v/>
      </c>
      <c r="Q708" s="24">
        <f>IF(AND(K708=1,'ORDENES'!$N704="Pendiente"),1,0)</f>
        <v/>
      </c>
      <c r="R708" s="24">
        <f>IF(Q708=1,100000-N708*1000+701*0.01,9000000000000+701)</f>
        <v/>
      </c>
      <c r="S708" s="24">
        <f>IF(Q708=1,SUMPRODUCT(--($R$8:$R$1207&lt;R708))+1,"")</f>
        <v/>
      </c>
      <c r="T708" s="30">
        <f>IF(K708=1,'ORDENES'!$J704,"")</f>
        <v/>
      </c>
    </row>
    <row r="709">
      <c r="K709" s="24">
        <f>IF(AND(IF($B$3="(todos)",TRUE,'ORDENES'!$O705=$B$3),IF($D$3="(todos)",TRUE,'ORDENES'!$AI705=$D$3),IF($F$3="(todos)",TRUE,'ORDENES'!$AA705=$F$3),IF($H$3="(todos)",TRUE,'ORDENES'!$Z705=$H$3),'ORDENES'!$AG705=TRUE,'ORDENES'!$A705&lt;&gt;""),1,0)</f>
        <v/>
      </c>
      <c r="L709" s="24">
        <f>IF(K709=1,IFERROR(MATCH('ORDENES'!$S705,lista_dias,0),9)*1000000000+IFERROR(MATCH('ORDENES'!$AI705,lista_turnos,0),9)*10000000+IFERROR(MATCH('ORDENES'!$AH705,'TECNICOS'!$B$4:$B$19,0),99)*100000+702,9000000000000+702)</f>
        <v/>
      </c>
      <c r="M709" s="24">
        <f>IF(K709=1,SUMPRODUCT(--($L$8:$L$1207&lt;L709))+1,"")</f>
        <v/>
      </c>
      <c r="N709" s="25">
        <f>IF(K709=1,N('ORDENES'!$M705),0)</f>
        <v/>
      </c>
      <c r="O709" s="25">
        <f>IF('ORDENES'!$U705="preventiva",N709,0)</f>
        <v/>
      </c>
      <c r="P709" s="25">
        <f>IF('ORDENES'!$U705="correctiva",N709,0)</f>
        <v/>
      </c>
      <c r="Q709" s="24">
        <f>IF(AND(K709=1,'ORDENES'!$N705="Pendiente"),1,0)</f>
        <v/>
      </c>
      <c r="R709" s="24">
        <f>IF(Q709=1,100000-N709*1000+702*0.01,9000000000000+702)</f>
        <v/>
      </c>
      <c r="S709" s="24">
        <f>IF(Q709=1,SUMPRODUCT(--($R$8:$R$1207&lt;R709))+1,"")</f>
        <v/>
      </c>
      <c r="T709" s="30">
        <f>IF(K709=1,'ORDENES'!$J705,"")</f>
        <v/>
      </c>
    </row>
    <row r="710">
      <c r="K710" s="24">
        <f>IF(AND(IF($B$3="(todos)",TRUE,'ORDENES'!$O706=$B$3),IF($D$3="(todos)",TRUE,'ORDENES'!$AI706=$D$3),IF($F$3="(todos)",TRUE,'ORDENES'!$AA706=$F$3),IF($H$3="(todos)",TRUE,'ORDENES'!$Z706=$H$3),'ORDENES'!$AG706=TRUE,'ORDENES'!$A706&lt;&gt;""),1,0)</f>
        <v/>
      </c>
      <c r="L710" s="24">
        <f>IF(K710=1,IFERROR(MATCH('ORDENES'!$S706,lista_dias,0),9)*1000000000+IFERROR(MATCH('ORDENES'!$AI706,lista_turnos,0),9)*10000000+IFERROR(MATCH('ORDENES'!$AH706,'TECNICOS'!$B$4:$B$19,0),99)*100000+703,9000000000000+703)</f>
        <v/>
      </c>
      <c r="M710" s="24">
        <f>IF(K710=1,SUMPRODUCT(--($L$8:$L$1207&lt;L710))+1,"")</f>
        <v/>
      </c>
      <c r="N710" s="25">
        <f>IF(K710=1,N('ORDENES'!$M706),0)</f>
        <v/>
      </c>
      <c r="O710" s="25">
        <f>IF('ORDENES'!$U706="preventiva",N710,0)</f>
        <v/>
      </c>
      <c r="P710" s="25">
        <f>IF('ORDENES'!$U706="correctiva",N710,0)</f>
        <v/>
      </c>
      <c r="Q710" s="24">
        <f>IF(AND(K710=1,'ORDENES'!$N706="Pendiente"),1,0)</f>
        <v/>
      </c>
      <c r="R710" s="24">
        <f>IF(Q710=1,100000-N710*1000+703*0.01,9000000000000+703)</f>
        <v/>
      </c>
      <c r="S710" s="24">
        <f>IF(Q710=1,SUMPRODUCT(--($R$8:$R$1207&lt;R710))+1,"")</f>
        <v/>
      </c>
      <c r="T710" s="30">
        <f>IF(K710=1,'ORDENES'!$J706,"")</f>
        <v/>
      </c>
    </row>
    <row r="711">
      <c r="K711" s="24">
        <f>IF(AND(IF($B$3="(todos)",TRUE,'ORDENES'!$O707=$B$3),IF($D$3="(todos)",TRUE,'ORDENES'!$AI707=$D$3),IF($F$3="(todos)",TRUE,'ORDENES'!$AA707=$F$3),IF($H$3="(todos)",TRUE,'ORDENES'!$Z707=$H$3),'ORDENES'!$AG707=TRUE,'ORDENES'!$A707&lt;&gt;""),1,0)</f>
        <v/>
      </c>
      <c r="L711" s="24">
        <f>IF(K711=1,IFERROR(MATCH('ORDENES'!$S707,lista_dias,0),9)*1000000000+IFERROR(MATCH('ORDENES'!$AI707,lista_turnos,0),9)*10000000+IFERROR(MATCH('ORDENES'!$AH707,'TECNICOS'!$B$4:$B$19,0),99)*100000+704,9000000000000+704)</f>
        <v/>
      </c>
      <c r="M711" s="24">
        <f>IF(K711=1,SUMPRODUCT(--($L$8:$L$1207&lt;L711))+1,"")</f>
        <v/>
      </c>
      <c r="N711" s="25">
        <f>IF(K711=1,N('ORDENES'!$M707),0)</f>
        <v/>
      </c>
      <c r="O711" s="25">
        <f>IF('ORDENES'!$U707="preventiva",N711,0)</f>
        <v/>
      </c>
      <c r="P711" s="25">
        <f>IF('ORDENES'!$U707="correctiva",N711,0)</f>
        <v/>
      </c>
      <c r="Q711" s="24">
        <f>IF(AND(K711=1,'ORDENES'!$N707="Pendiente"),1,0)</f>
        <v/>
      </c>
      <c r="R711" s="24">
        <f>IF(Q711=1,100000-N711*1000+704*0.01,9000000000000+704)</f>
        <v/>
      </c>
      <c r="S711" s="24">
        <f>IF(Q711=1,SUMPRODUCT(--($R$8:$R$1207&lt;R711))+1,"")</f>
        <v/>
      </c>
      <c r="T711" s="30">
        <f>IF(K711=1,'ORDENES'!$J707,"")</f>
        <v/>
      </c>
    </row>
    <row r="712">
      <c r="K712" s="24">
        <f>IF(AND(IF($B$3="(todos)",TRUE,'ORDENES'!$O708=$B$3),IF($D$3="(todos)",TRUE,'ORDENES'!$AI708=$D$3),IF($F$3="(todos)",TRUE,'ORDENES'!$AA708=$F$3),IF($H$3="(todos)",TRUE,'ORDENES'!$Z708=$H$3),'ORDENES'!$AG708=TRUE,'ORDENES'!$A708&lt;&gt;""),1,0)</f>
        <v/>
      </c>
      <c r="L712" s="24">
        <f>IF(K712=1,IFERROR(MATCH('ORDENES'!$S708,lista_dias,0),9)*1000000000+IFERROR(MATCH('ORDENES'!$AI708,lista_turnos,0),9)*10000000+IFERROR(MATCH('ORDENES'!$AH708,'TECNICOS'!$B$4:$B$19,0),99)*100000+705,9000000000000+705)</f>
        <v/>
      </c>
      <c r="M712" s="24">
        <f>IF(K712=1,SUMPRODUCT(--($L$8:$L$1207&lt;L712))+1,"")</f>
        <v/>
      </c>
      <c r="N712" s="25">
        <f>IF(K712=1,N('ORDENES'!$M708),0)</f>
        <v/>
      </c>
      <c r="O712" s="25">
        <f>IF('ORDENES'!$U708="preventiva",N712,0)</f>
        <v/>
      </c>
      <c r="P712" s="25">
        <f>IF('ORDENES'!$U708="correctiva",N712,0)</f>
        <v/>
      </c>
      <c r="Q712" s="24">
        <f>IF(AND(K712=1,'ORDENES'!$N708="Pendiente"),1,0)</f>
        <v/>
      </c>
      <c r="R712" s="24">
        <f>IF(Q712=1,100000-N712*1000+705*0.01,9000000000000+705)</f>
        <v/>
      </c>
      <c r="S712" s="24">
        <f>IF(Q712=1,SUMPRODUCT(--($R$8:$R$1207&lt;R712))+1,"")</f>
        <v/>
      </c>
      <c r="T712" s="30">
        <f>IF(K712=1,'ORDENES'!$J708,"")</f>
        <v/>
      </c>
    </row>
    <row r="713">
      <c r="K713" s="24">
        <f>IF(AND(IF($B$3="(todos)",TRUE,'ORDENES'!$O709=$B$3),IF($D$3="(todos)",TRUE,'ORDENES'!$AI709=$D$3),IF($F$3="(todos)",TRUE,'ORDENES'!$AA709=$F$3),IF($H$3="(todos)",TRUE,'ORDENES'!$Z709=$H$3),'ORDENES'!$AG709=TRUE,'ORDENES'!$A709&lt;&gt;""),1,0)</f>
        <v/>
      </c>
      <c r="L713" s="24">
        <f>IF(K713=1,IFERROR(MATCH('ORDENES'!$S709,lista_dias,0),9)*1000000000+IFERROR(MATCH('ORDENES'!$AI709,lista_turnos,0),9)*10000000+IFERROR(MATCH('ORDENES'!$AH709,'TECNICOS'!$B$4:$B$19,0),99)*100000+706,9000000000000+706)</f>
        <v/>
      </c>
      <c r="M713" s="24">
        <f>IF(K713=1,SUMPRODUCT(--($L$8:$L$1207&lt;L713))+1,"")</f>
        <v/>
      </c>
      <c r="N713" s="25">
        <f>IF(K713=1,N('ORDENES'!$M709),0)</f>
        <v/>
      </c>
      <c r="O713" s="25">
        <f>IF('ORDENES'!$U709="preventiva",N713,0)</f>
        <v/>
      </c>
      <c r="P713" s="25">
        <f>IF('ORDENES'!$U709="correctiva",N713,0)</f>
        <v/>
      </c>
      <c r="Q713" s="24">
        <f>IF(AND(K713=1,'ORDENES'!$N709="Pendiente"),1,0)</f>
        <v/>
      </c>
      <c r="R713" s="24">
        <f>IF(Q713=1,100000-N713*1000+706*0.01,9000000000000+706)</f>
        <v/>
      </c>
      <c r="S713" s="24">
        <f>IF(Q713=1,SUMPRODUCT(--($R$8:$R$1207&lt;R713))+1,"")</f>
        <v/>
      </c>
      <c r="T713" s="30">
        <f>IF(K713=1,'ORDENES'!$J709,"")</f>
        <v/>
      </c>
    </row>
    <row r="714">
      <c r="K714" s="24">
        <f>IF(AND(IF($B$3="(todos)",TRUE,'ORDENES'!$O710=$B$3),IF($D$3="(todos)",TRUE,'ORDENES'!$AI710=$D$3),IF($F$3="(todos)",TRUE,'ORDENES'!$AA710=$F$3),IF($H$3="(todos)",TRUE,'ORDENES'!$Z710=$H$3),'ORDENES'!$AG710=TRUE,'ORDENES'!$A710&lt;&gt;""),1,0)</f>
        <v/>
      </c>
      <c r="L714" s="24">
        <f>IF(K714=1,IFERROR(MATCH('ORDENES'!$S710,lista_dias,0),9)*1000000000+IFERROR(MATCH('ORDENES'!$AI710,lista_turnos,0),9)*10000000+IFERROR(MATCH('ORDENES'!$AH710,'TECNICOS'!$B$4:$B$19,0),99)*100000+707,9000000000000+707)</f>
        <v/>
      </c>
      <c r="M714" s="24">
        <f>IF(K714=1,SUMPRODUCT(--($L$8:$L$1207&lt;L714))+1,"")</f>
        <v/>
      </c>
      <c r="N714" s="25">
        <f>IF(K714=1,N('ORDENES'!$M710),0)</f>
        <v/>
      </c>
      <c r="O714" s="25">
        <f>IF('ORDENES'!$U710="preventiva",N714,0)</f>
        <v/>
      </c>
      <c r="P714" s="25">
        <f>IF('ORDENES'!$U710="correctiva",N714,0)</f>
        <v/>
      </c>
      <c r="Q714" s="24">
        <f>IF(AND(K714=1,'ORDENES'!$N710="Pendiente"),1,0)</f>
        <v/>
      </c>
      <c r="R714" s="24">
        <f>IF(Q714=1,100000-N714*1000+707*0.01,9000000000000+707)</f>
        <v/>
      </c>
      <c r="S714" s="24">
        <f>IF(Q714=1,SUMPRODUCT(--($R$8:$R$1207&lt;R714))+1,"")</f>
        <v/>
      </c>
      <c r="T714" s="30">
        <f>IF(K714=1,'ORDENES'!$J710,"")</f>
        <v/>
      </c>
    </row>
    <row r="715">
      <c r="K715" s="24">
        <f>IF(AND(IF($B$3="(todos)",TRUE,'ORDENES'!$O711=$B$3),IF($D$3="(todos)",TRUE,'ORDENES'!$AI711=$D$3),IF($F$3="(todos)",TRUE,'ORDENES'!$AA711=$F$3),IF($H$3="(todos)",TRUE,'ORDENES'!$Z711=$H$3),'ORDENES'!$AG711=TRUE,'ORDENES'!$A711&lt;&gt;""),1,0)</f>
        <v/>
      </c>
      <c r="L715" s="24">
        <f>IF(K715=1,IFERROR(MATCH('ORDENES'!$S711,lista_dias,0),9)*1000000000+IFERROR(MATCH('ORDENES'!$AI711,lista_turnos,0),9)*10000000+IFERROR(MATCH('ORDENES'!$AH711,'TECNICOS'!$B$4:$B$19,0),99)*100000+708,9000000000000+708)</f>
        <v/>
      </c>
      <c r="M715" s="24">
        <f>IF(K715=1,SUMPRODUCT(--($L$8:$L$1207&lt;L715))+1,"")</f>
        <v/>
      </c>
      <c r="N715" s="25">
        <f>IF(K715=1,N('ORDENES'!$M711),0)</f>
        <v/>
      </c>
      <c r="O715" s="25">
        <f>IF('ORDENES'!$U711="preventiva",N715,0)</f>
        <v/>
      </c>
      <c r="P715" s="25">
        <f>IF('ORDENES'!$U711="correctiva",N715,0)</f>
        <v/>
      </c>
      <c r="Q715" s="24">
        <f>IF(AND(K715=1,'ORDENES'!$N711="Pendiente"),1,0)</f>
        <v/>
      </c>
      <c r="R715" s="24">
        <f>IF(Q715=1,100000-N715*1000+708*0.01,9000000000000+708)</f>
        <v/>
      </c>
      <c r="S715" s="24">
        <f>IF(Q715=1,SUMPRODUCT(--($R$8:$R$1207&lt;R715))+1,"")</f>
        <v/>
      </c>
      <c r="T715" s="30">
        <f>IF(K715=1,'ORDENES'!$J711,"")</f>
        <v/>
      </c>
    </row>
    <row r="716">
      <c r="K716" s="24">
        <f>IF(AND(IF($B$3="(todos)",TRUE,'ORDENES'!$O712=$B$3),IF($D$3="(todos)",TRUE,'ORDENES'!$AI712=$D$3),IF($F$3="(todos)",TRUE,'ORDENES'!$AA712=$F$3),IF($H$3="(todos)",TRUE,'ORDENES'!$Z712=$H$3),'ORDENES'!$AG712=TRUE,'ORDENES'!$A712&lt;&gt;""),1,0)</f>
        <v/>
      </c>
      <c r="L716" s="24">
        <f>IF(K716=1,IFERROR(MATCH('ORDENES'!$S712,lista_dias,0),9)*1000000000+IFERROR(MATCH('ORDENES'!$AI712,lista_turnos,0),9)*10000000+IFERROR(MATCH('ORDENES'!$AH712,'TECNICOS'!$B$4:$B$19,0),99)*100000+709,9000000000000+709)</f>
        <v/>
      </c>
      <c r="M716" s="24">
        <f>IF(K716=1,SUMPRODUCT(--($L$8:$L$1207&lt;L716))+1,"")</f>
        <v/>
      </c>
      <c r="N716" s="25">
        <f>IF(K716=1,N('ORDENES'!$M712),0)</f>
        <v/>
      </c>
      <c r="O716" s="25">
        <f>IF('ORDENES'!$U712="preventiva",N716,0)</f>
        <v/>
      </c>
      <c r="P716" s="25">
        <f>IF('ORDENES'!$U712="correctiva",N716,0)</f>
        <v/>
      </c>
      <c r="Q716" s="24">
        <f>IF(AND(K716=1,'ORDENES'!$N712="Pendiente"),1,0)</f>
        <v/>
      </c>
      <c r="R716" s="24">
        <f>IF(Q716=1,100000-N716*1000+709*0.01,9000000000000+709)</f>
        <v/>
      </c>
      <c r="S716" s="24">
        <f>IF(Q716=1,SUMPRODUCT(--($R$8:$R$1207&lt;R716))+1,"")</f>
        <v/>
      </c>
      <c r="T716" s="30">
        <f>IF(K716=1,'ORDENES'!$J712,"")</f>
        <v/>
      </c>
    </row>
    <row r="717">
      <c r="K717" s="24">
        <f>IF(AND(IF($B$3="(todos)",TRUE,'ORDENES'!$O713=$B$3),IF($D$3="(todos)",TRUE,'ORDENES'!$AI713=$D$3),IF($F$3="(todos)",TRUE,'ORDENES'!$AA713=$F$3),IF($H$3="(todos)",TRUE,'ORDENES'!$Z713=$H$3),'ORDENES'!$AG713=TRUE,'ORDENES'!$A713&lt;&gt;""),1,0)</f>
        <v/>
      </c>
      <c r="L717" s="24">
        <f>IF(K717=1,IFERROR(MATCH('ORDENES'!$S713,lista_dias,0),9)*1000000000+IFERROR(MATCH('ORDENES'!$AI713,lista_turnos,0),9)*10000000+IFERROR(MATCH('ORDENES'!$AH713,'TECNICOS'!$B$4:$B$19,0),99)*100000+710,9000000000000+710)</f>
        <v/>
      </c>
      <c r="M717" s="24">
        <f>IF(K717=1,SUMPRODUCT(--($L$8:$L$1207&lt;L717))+1,"")</f>
        <v/>
      </c>
      <c r="N717" s="25">
        <f>IF(K717=1,N('ORDENES'!$M713),0)</f>
        <v/>
      </c>
      <c r="O717" s="25">
        <f>IF('ORDENES'!$U713="preventiva",N717,0)</f>
        <v/>
      </c>
      <c r="P717" s="25">
        <f>IF('ORDENES'!$U713="correctiva",N717,0)</f>
        <v/>
      </c>
      <c r="Q717" s="24">
        <f>IF(AND(K717=1,'ORDENES'!$N713="Pendiente"),1,0)</f>
        <v/>
      </c>
      <c r="R717" s="24">
        <f>IF(Q717=1,100000-N717*1000+710*0.01,9000000000000+710)</f>
        <v/>
      </c>
      <c r="S717" s="24">
        <f>IF(Q717=1,SUMPRODUCT(--($R$8:$R$1207&lt;R717))+1,"")</f>
        <v/>
      </c>
      <c r="T717" s="30">
        <f>IF(K717=1,'ORDENES'!$J713,"")</f>
        <v/>
      </c>
    </row>
    <row r="718">
      <c r="K718" s="24">
        <f>IF(AND(IF($B$3="(todos)",TRUE,'ORDENES'!$O714=$B$3),IF($D$3="(todos)",TRUE,'ORDENES'!$AI714=$D$3),IF($F$3="(todos)",TRUE,'ORDENES'!$AA714=$F$3),IF($H$3="(todos)",TRUE,'ORDENES'!$Z714=$H$3),'ORDENES'!$AG714=TRUE,'ORDENES'!$A714&lt;&gt;""),1,0)</f>
        <v/>
      </c>
      <c r="L718" s="24">
        <f>IF(K718=1,IFERROR(MATCH('ORDENES'!$S714,lista_dias,0),9)*1000000000+IFERROR(MATCH('ORDENES'!$AI714,lista_turnos,0),9)*10000000+IFERROR(MATCH('ORDENES'!$AH714,'TECNICOS'!$B$4:$B$19,0),99)*100000+711,9000000000000+711)</f>
        <v/>
      </c>
      <c r="M718" s="24">
        <f>IF(K718=1,SUMPRODUCT(--($L$8:$L$1207&lt;L718))+1,"")</f>
        <v/>
      </c>
      <c r="N718" s="25">
        <f>IF(K718=1,N('ORDENES'!$M714),0)</f>
        <v/>
      </c>
      <c r="O718" s="25">
        <f>IF('ORDENES'!$U714="preventiva",N718,0)</f>
        <v/>
      </c>
      <c r="P718" s="25">
        <f>IF('ORDENES'!$U714="correctiva",N718,0)</f>
        <v/>
      </c>
      <c r="Q718" s="24">
        <f>IF(AND(K718=1,'ORDENES'!$N714="Pendiente"),1,0)</f>
        <v/>
      </c>
      <c r="R718" s="24">
        <f>IF(Q718=1,100000-N718*1000+711*0.01,9000000000000+711)</f>
        <v/>
      </c>
      <c r="S718" s="24">
        <f>IF(Q718=1,SUMPRODUCT(--($R$8:$R$1207&lt;R718))+1,"")</f>
        <v/>
      </c>
      <c r="T718" s="30">
        <f>IF(K718=1,'ORDENES'!$J714,"")</f>
        <v/>
      </c>
    </row>
    <row r="719">
      <c r="K719" s="24">
        <f>IF(AND(IF($B$3="(todos)",TRUE,'ORDENES'!$O715=$B$3),IF($D$3="(todos)",TRUE,'ORDENES'!$AI715=$D$3),IF($F$3="(todos)",TRUE,'ORDENES'!$AA715=$F$3),IF($H$3="(todos)",TRUE,'ORDENES'!$Z715=$H$3),'ORDENES'!$AG715=TRUE,'ORDENES'!$A715&lt;&gt;""),1,0)</f>
        <v/>
      </c>
      <c r="L719" s="24">
        <f>IF(K719=1,IFERROR(MATCH('ORDENES'!$S715,lista_dias,0),9)*1000000000+IFERROR(MATCH('ORDENES'!$AI715,lista_turnos,0),9)*10000000+IFERROR(MATCH('ORDENES'!$AH715,'TECNICOS'!$B$4:$B$19,0),99)*100000+712,9000000000000+712)</f>
        <v/>
      </c>
      <c r="M719" s="24">
        <f>IF(K719=1,SUMPRODUCT(--($L$8:$L$1207&lt;L719))+1,"")</f>
        <v/>
      </c>
      <c r="N719" s="25">
        <f>IF(K719=1,N('ORDENES'!$M715),0)</f>
        <v/>
      </c>
      <c r="O719" s="25">
        <f>IF('ORDENES'!$U715="preventiva",N719,0)</f>
        <v/>
      </c>
      <c r="P719" s="25">
        <f>IF('ORDENES'!$U715="correctiva",N719,0)</f>
        <v/>
      </c>
      <c r="Q719" s="24">
        <f>IF(AND(K719=1,'ORDENES'!$N715="Pendiente"),1,0)</f>
        <v/>
      </c>
      <c r="R719" s="24">
        <f>IF(Q719=1,100000-N719*1000+712*0.01,9000000000000+712)</f>
        <v/>
      </c>
      <c r="S719" s="24">
        <f>IF(Q719=1,SUMPRODUCT(--($R$8:$R$1207&lt;R719))+1,"")</f>
        <v/>
      </c>
      <c r="T719" s="30">
        <f>IF(K719=1,'ORDENES'!$J715,"")</f>
        <v/>
      </c>
    </row>
    <row r="720">
      <c r="K720" s="24">
        <f>IF(AND(IF($B$3="(todos)",TRUE,'ORDENES'!$O716=$B$3),IF($D$3="(todos)",TRUE,'ORDENES'!$AI716=$D$3),IF($F$3="(todos)",TRUE,'ORDENES'!$AA716=$F$3),IF($H$3="(todos)",TRUE,'ORDENES'!$Z716=$H$3),'ORDENES'!$AG716=TRUE,'ORDENES'!$A716&lt;&gt;""),1,0)</f>
        <v/>
      </c>
      <c r="L720" s="24">
        <f>IF(K720=1,IFERROR(MATCH('ORDENES'!$S716,lista_dias,0),9)*1000000000+IFERROR(MATCH('ORDENES'!$AI716,lista_turnos,0),9)*10000000+IFERROR(MATCH('ORDENES'!$AH716,'TECNICOS'!$B$4:$B$19,0),99)*100000+713,9000000000000+713)</f>
        <v/>
      </c>
      <c r="M720" s="24">
        <f>IF(K720=1,SUMPRODUCT(--($L$8:$L$1207&lt;L720))+1,"")</f>
        <v/>
      </c>
      <c r="N720" s="25">
        <f>IF(K720=1,N('ORDENES'!$M716),0)</f>
        <v/>
      </c>
      <c r="O720" s="25">
        <f>IF('ORDENES'!$U716="preventiva",N720,0)</f>
        <v/>
      </c>
      <c r="P720" s="25">
        <f>IF('ORDENES'!$U716="correctiva",N720,0)</f>
        <v/>
      </c>
      <c r="Q720" s="24">
        <f>IF(AND(K720=1,'ORDENES'!$N716="Pendiente"),1,0)</f>
        <v/>
      </c>
      <c r="R720" s="24">
        <f>IF(Q720=1,100000-N720*1000+713*0.01,9000000000000+713)</f>
        <v/>
      </c>
      <c r="S720" s="24">
        <f>IF(Q720=1,SUMPRODUCT(--($R$8:$R$1207&lt;R720))+1,"")</f>
        <v/>
      </c>
      <c r="T720" s="30">
        <f>IF(K720=1,'ORDENES'!$J716,"")</f>
        <v/>
      </c>
    </row>
    <row r="721">
      <c r="K721" s="24">
        <f>IF(AND(IF($B$3="(todos)",TRUE,'ORDENES'!$O717=$B$3),IF($D$3="(todos)",TRUE,'ORDENES'!$AI717=$D$3),IF($F$3="(todos)",TRUE,'ORDENES'!$AA717=$F$3),IF($H$3="(todos)",TRUE,'ORDENES'!$Z717=$H$3),'ORDENES'!$AG717=TRUE,'ORDENES'!$A717&lt;&gt;""),1,0)</f>
        <v/>
      </c>
      <c r="L721" s="24">
        <f>IF(K721=1,IFERROR(MATCH('ORDENES'!$S717,lista_dias,0),9)*1000000000+IFERROR(MATCH('ORDENES'!$AI717,lista_turnos,0),9)*10000000+IFERROR(MATCH('ORDENES'!$AH717,'TECNICOS'!$B$4:$B$19,0),99)*100000+714,9000000000000+714)</f>
        <v/>
      </c>
      <c r="M721" s="24">
        <f>IF(K721=1,SUMPRODUCT(--($L$8:$L$1207&lt;L721))+1,"")</f>
        <v/>
      </c>
      <c r="N721" s="25">
        <f>IF(K721=1,N('ORDENES'!$M717),0)</f>
        <v/>
      </c>
      <c r="O721" s="25">
        <f>IF('ORDENES'!$U717="preventiva",N721,0)</f>
        <v/>
      </c>
      <c r="P721" s="25">
        <f>IF('ORDENES'!$U717="correctiva",N721,0)</f>
        <v/>
      </c>
      <c r="Q721" s="24">
        <f>IF(AND(K721=1,'ORDENES'!$N717="Pendiente"),1,0)</f>
        <v/>
      </c>
      <c r="R721" s="24">
        <f>IF(Q721=1,100000-N721*1000+714*0.01,9000000000000+714)</f>
        <v/>
      </c>
      <c r="S721" s="24">
        <f>IF(Q721=1,SUMPRODUCT(--($R$8:$R$1207&lt;R721))+1,"")</f>
        <v/>
      </c>
      <c r="T721" s="30">
        <f>IF(K721=1,'ORDENES'!$J717,"")</f>
        <v/>
      </c>
    </row>
    <row r="722">
      <c r="K722" s="24">
        <f>IF(AND(IF($B$3="(todos)",TRUE,'ORDENES'!$O718=$B$3),IF($D$3="(todos)",TRUE,'ORDENES'!$AI718=$D$3),IF($F$3="(todos)",TRUE,'ORDENES'!$AA718=$F$3),IF($H$3="(todos)",TRUE,'ORDENES'!$Z718=$H$3),'ORDENES'!$AG718=TRUE,'ORDENES'!$A718&lt;&gt;""),1,0)</f>
        <v/>
      </c>
      <c r="L722" s="24">
        <f>IF(K722=1,IFERROR(MATCH('ORDENES'!$S718,lista_dias,0),9)*1000000000+IFERROR(MATCH('ORDENES'!$AI718,lista_turnos,0),9)*10000000+IFERROR(MATCH('ORDENES'!$AH718,'TECNICOS'!$B$4:$B$19,0),99)*100000+715,9000000000000+715)</f>
        <v/>
      </c>
      <c r="M722" s="24">
        <f>IF(K722=1,SUMPRODUCT(--($L$8:$L$1207&lt;L722))+1,"")</f>
        <v/>
      </c>
      <c r="N722" s="25">
        <f>IF(K722=1,N('ORDENES'!$M718),0)</f>
        <v/>
      </c>
      <c r="O722" s="25">
        <f>IF('ORDENES'!$U718="preventiva",N722,0)</f>
        <v/>
      </c>
      <c r="P722" s="25">
        <f>IF('ORDENES'!$U718="correctiva",N722,0)</f>
        <v/>
      </c>
      <c r="Q722" s="24">
        <f>IF(AND(K722=1,'ORDENES'!$N718="Pendiente"),1,0)</f>
        <v/>
      </c>
      <c r="R722" s="24">
        <f>IF(Q722=1,100000-N722*1000+715*0.01,9000000000000+715)</f>
        <v/>
      </c>
      <c r="S722" s="24">
        <f>IF(Q722=1,SUMPRODUCT(--($R$8:$R$1207&lt;R722))+1,"")</f>
        <v/>
      </c>
      <c r="T722" s="30">
        <f>IF(K722=1,'ORDENES'!$J718,"")</f>
        <v/>
      </c>
    </row>
    <row r="723">
      <c r="K723" s="24">
        <f>IF(AND(IF($B$3="(todos)",TRUE,'ORDENES'!$O719=$B$3),IF($D$3="(todos)",TRUE,'ORDENES'!$AI719=$D$3),IF($F$3="(todos)",TRUE,'ORDENES'!$AA719=$F$3),IF($H$3="(todos)",TRUE,'ORDENES'!$Z719=$H$3),'ORDENES'!$AG719=TRUE,'ORDENES'!$A719&lt;&gt;""),1,0)</f>
        <v/>
      </c>
      <c r="L723" s="24">
        <f>IF(K723=1,IFERROR(MATCH('ORDENES'!$S719,lista_dias,0),9)*1000000000+IFERROR(MATCH('ORDENES'!$AI719,lista_turnos,0),9)*10000000+IFERROR(MATCH('ORDENES'!$AH719,'TECNICOS'!$B$4:$B$19,0),99)*100000+716,9000000000000+716)</f>
        <v/>
      </c>
      <c r="M723" s="24">
        <f>IF(K723=1,SUMPRODUCT(--($L$8:$L$1207&lt;L723))+1,"")</f>
        <v/>
      </c>
      <c r="N723" s="25">
        <f>IF(K723=1,N('ORDENES'!$M719),0)</f>
        <v/>
      </c>
      <c r="O723" s="25">
        <f>IF('ORDENES'!$U719="preventiva",N723,0)</f>
        <v/>
      </c>
      <c r="P723" s="25">
        <f>IF('ORDENES'!$U719="correctiva",N723,0)</f>
        <v/>
      </c>
      <c r="Q723" s="24">
        <f>IF(AND(K723=1,'ORDENES'!$N719="Pendiente"),1,0)</f>
        <v/>
      </c>
      <c r="R723" s="24">
        <f>IF(Q723=1,100000-N723*1000+716*0.01,9000000000000+716)</f>
        <v/>
      </c>
      <c r="S723" s="24">
        <f>IF(Q723=1,SUMPRODUCT(--($R$8:$R$1207&lt;R723))+1,"")</f>
        <v/>
      </c>
      <c r="T723" s="30">
        <f>IF(K723=1,'ORDENES'!$J719,"")</f>
        <v/>
      </c>
    </row>
    <row r="724">
      <c r="K724" s="24">
        <f>IF(AND(IF($B$3="(todos)",TRUE,'ORDENES'!$O720=$B$3),IF($D$3="(todos)",TRUE,'ORDENES'!$AI720=$D$3),IF($F$3="(todos)",TRUE,'ORDENES'!$AA720=$F$3),IF($H$3="(todos)",TRUE,'ORDENES'!$Z720=$H$3),'ORDENES'!$AG720=TRUE,'ORDENES'!$A720&lt;&gt;""),1,0)</f>
        <v/>
      </c>
      <c r="L724" s="24">
        <f>IF(K724=1,IFERROR(MATCH('ORDENES'!$S720,lista_dias,0),9)*1000000000+IFERROR(MATCH('ORDENES'!$AI720,lista_turnos,0),9)*10000000+IFERROR(MATCH('ORDENES'!$AH720,'TECNICOS'!$B$4:$B$19,0),99)*100000+717,9000000000000+717)</f>
        <v/>
      </c>
      <c r="M724" s="24">
        <f>IF(K724=1,SUMPRODUCT(--($L$8:$L$1207&lt;L724))+1,"")</f>
        <v/>
      </c>
      <c r="N724" s="25">
        <f>IF(K724=1,N('ORDENES'!$M720),0)</f>
        <v/>
      </c>
      <c r="O724" s="25">
        <f>IF('ORDENES'!$U720="preventiva",N724,0)</f>
        <v/>
      </c>
      <c r="P724" s="25">
        <f>IF('ORDENES'!$U720="correctiva",N724,0)</f>
        <v/>
      </c>
      <c r="Q724" s="24">
        <f>IF(AND(K724=1,'ORDENES'!$N720="Pendiente"),1,0)</f>
        <v/>
      </c>
      <c r="R724" s="24">
        <f>IF(Q724=1,100000-N724*1000+717*0.01,9000000000000+717)</f>
        <v/>
      </c>
      <c r="S724" s="24">
        <f>IF(Q724=1,SUMPRODUCT(--($R$8:$R$1207&lt;R724))+1,"")</f>
        <v/>
      </c>
      <c r="T724" s="30">
        <f>IF(K724=1,'ORDENES'!$J720,"")</f>
        <v/>
      </c>
    </row>
    <row r="725">
      <c r="K725" s="24">
        <f>IF(AND(IF($B$3="(todos)",TRUE,'ORDENES'!$O721=$B$3),IF($D$3="(todos)",TRUE,'ORDENES'!$AI721=$D$3),IF($F$3="(todos)",TRUE,'ORDENES'!$AA721=$F$3),IF($H$3="(todos)",TRUE,'ORDENES'!$Z721=$H$3),'ORDENES'!$AG721=TRUE,'ORDENES'!$A721&lt;&gt;""),1,0)</f>
        <v/>
      </c>
      <c r="L725" s="24">
        <f>IF(K725=1,IFERROR(MATCH('ORDENES'!$S721,lista_dias,0),9)*1000000000+IFERROR(MATCH('ORDENES'!$AI721,lista_turnos,0),9)*10000000+IFERROR(MATCH('ORDENES'!$AH721,'TECNICOS'!$B$4:$B$19,0),99)*100000+718,9000000000000+718)</f>
        <v/>
      </c>
      <c r="M725" s="24">
        <f>IF(K725=1,SUMPRODUCT(--($L$8:$L$1207&lt;L725))+1,"")</f>
        <v/>
      </c>
      <c r="N725" s="25">
        <f>IF(K725=1,N('ORDENES'!$M721),0)</f>
        <v/>
      </c>
      <c r="O725" s="25">
        <f>IF('ORDENES'!$U721="preventiva",N725,0)</f>
        <v/>
      </c>
      <c r="P725" s="25">
        <f>IF('ORDENES'!$U721="correctiva",N725,0)</f>
        <v/>
      </c>
      <c r="Q725" s="24">
        <f>IF(AND(K725=1,'ORDENES'!$N721="Pendiente"),1,0)</f>
        <v/>
      </c>
      <c r="R725" s="24">
        <f>IF(Q725=1,100000-N725*1000+718*0.01,9000000000000+718)</f>
        <v/>
      </c>
      <c r="S725" s="24">
        <f>IF(Q725=1,SUMPRODUCT(--($R$8:$R$1207&lt;R725))+1,"")</f>
        <v/>
      </c>
      <c r="T725" s="30">
        <f>IF(K725=1,'ORDENES'!$J721,"")</f>
        <v/>
      </c>
    </row>
    <row r="726">
      <c r="K726" s="24">
        <f>IF(AND(IF($B$3="(todos)",TRUE,'ORDENES'!$O722=$B$3),IF($D$3="(todos)",TRUE,'ORDENES'!$AI722=$D$3),IF($F$3="(todos)",TRUE,'ORDENES'!$AA722=$F$3),IF($H$3="(todos)",TRUE,'ORDENES'!$Z722=$H$3),'ORDENES'!$AG722=TRUE,'ORDENES'!$A722&lt;&gt;""),1,0)</f>
        <v/>
      </c>
      <c r="L726" s="24">
        <f>IF(K726=1,IFERROR(MATCH('ORDENES'!$S722,lista_dias,0),9)*1000000000+IFERROR(MATCH('ORDENES'!$AI722,lista_turnos,0),9)*10000000+IFERROR(MATCH('ORDENES'!$AH722,'TECNICOS'!$B$4:$B$19,0),99)*100000+719,9000000000000+719)</f>
        <v/>
      </c>
      <c r="M726" s="24">
        <f>IF(K726=1,SUMPRODUCT(--($L$8:$L$1207&lt;L726))+1,"")</f>
        <v/>
      </c>
      <c r="N726" s="25">
        <f>IF(K726=1,N('ORDENES'!$M722),0)</f>
        <v/>
      </c>
      <c r="O726" s="25">
        <f>IF('ORDENES'!$U722="preventiva",N726,0)</f>
        <v/>
      </c>
      <c r="P726" s="25">
        <f>IF('ORDENES'!$U722="correctiva",N726,0)</f>
        <v/>
      </c>
      <c r="Q726" s="24">
        <f>IF(AND(K726=1,'ORDENES'!$N722="Pendiente"),1,0)</f>
        <v/>
      </c>
      <c r="R726" s="24">
        <f>IF(Q726=1,100000-N726*1000+719*0.01,9000000000000+719)</f>
        <v/>
      </c>
      <c r="S726" s="24">
        <f>IF(Q726=1,SUMPRODUCT(--($R$8:$R$1207&lt;R726))+1,"")</f>
        <v/>
      </c>
      <c r="T726" s="30">
        <f>IF(K726=1,'ORDENES'!$J722,"")</f>
        <v/>
      </c>
    </row>
    <row r="727">
      <c r="K727" s="24">
        <f>IF(AND(IF($B$3="(todos)",TRUE,'ORDENES'!$O723=$B$3),IF($D$3="(todos)",TRUE,'ORDENES'!$AI723=$D$3),IF($F$3="(todos)",TRUE,'ORDENES'!$AA723=$F$3),IF($H$3="(todos)",TRUE,'ORDENES'!$Z723=$H$3),'ORDENES'!$AG723=TRUE,'ORDENES'!$A723&lt;&gt;""),1,0)</f>
        <v/>
      </c>
      <c r="L727" s="24">
        <f>IF(K727=1,IFERROR(MATCH('ORDENES'!$S723,lista_dias,0),9)*1000000000+IFERROR(MATCH('ORDENES'!$AI723,lista_turnos,0),9)*10000000+IFERROR(MATCH('ORDENES'!$AH723,'TECNICOS'!$B$4:$B$19,0),99)*100000+720,9000000000000+720)</f>
        <v/>
      </c>
      <c r="M727" s="24">
        <f>IF(K727=1,SUMPRODUCT(--($L$8:$L$1207&lt;L727))+1,"")</f>
        <v/>
      </c>
      <c r="N727" s="25">
        <f>IF(K727=1,N('ORDENES'!$M723),0)</f>
        <v/>
      </c>
      <c r="O727" s="25">
        <f>IF('ORDENES'!$U723="preventiva",N727,0)</f>
        <v/>
      </c>
      <c r="P727" s="25">
        <f>IF('ORDENES'!$U723="correctiva",N727,0)</f>
        <v/>
      </c>
      <c r="Q727" s="24">
        <f>IF(AND(K727=1,'ORDENES'!$N723="Pendiente"),1,0)</f>
        <v/>
      </c>
      <c r="R727" s="24">
        <f>IF(Q727=1,100000-N727*1000+720*0.01,9000000000000+720)</f>
        <v/>
      </c>
      <c r="S727" s="24">
        <f>IF(Q727=1,SUMPRODUCT(--($R$8:$R$1207&lt;R727))+1,"")</f>
        <v/>
      </c>
      <c r="T727" s="30">
        <f>IF(K727=1,'ORDENES'!$J723,"")</f>
        <v/>
      </c>
    </row>
    <row r="728">
      <c r="K728" s="24">
        <f>IF(AND(IF($B$3="(todos)",TRUE,'ORDENES'!$O724=$B$3),IF($D$3="(todos)",TRUE,'ORDENES'!$AI724=$D$3),IF($F$3="(todos)",TRUE,'ORDENES'!$AA724=$F$3),IF($H$3="(todos)",TRUE,'ORDENES'!$Z724=$H$3),'ORDENES'!$AG724=TRUE,'ORDENES'!$A724&lt;&gt;""),1,0)</f>
        <v/>
      </c>
      <c r="L728" s="24">
        <f>IF(K728=1,IFERROR(MATCH('ORDENES'!$S724,lista_dias,0),9)*1000000000+IFERROR(MATCH('ORDENES'!$AI724,lista_turnos,0),9)*10000000+IFERROR(MATCH('ORDENES'!$AH724,'TECNICOS'!$B$4:$B$19,0),99)*100000+721,9000000000000+721)</f>
        <v/>
      </c>
      <c r="M728" s="24">
        <f>IF(K728=1,SUMPRODUCT(--($L$8:$L$1207&lt;L728))+1,"")</f>
        <v/>
      </c>
      <c r="N728" s="25">
        <f>IF(K728=1,N('ORDENES'!$M724),0)</f>
        <v/>
      </c>
      <c r="O728" s="25">
        <f>IF('ORDENES'!$U724="preventiva",N728,0)</f>
        <v/>
      </c>
      <c r="P728" s="25">
        <f>IF('ORDENES'!$U724="correctiva",N728,0)</f>
        <v/>
      </c>
      <c r="Q728" s="24">
        <f>IF(AND(K728=1,'ORDENES'!$N724="Pendiente"),1,0)</f>
        <v/>
      </c>
      <c r="R728" s="24">
        <f>IF(Q728=1,100000-N728*1000+721*0.01,9000000000000+721)</f>
        <v/>
      </c>
      <c r="S728" s="24">
        <f>IF(Q728=1,SUMPRODUCT(--($R$8:$R$1207&lt;R728))+1,"")</f>
        <v/>
      </c>
      <c r="T728" s="30">
        <f>IF(K728=1,'ORDENES'!$J724,"")</f>
        <v/>
      </c>
    </row>
    <row r="729">
      <c r="K729" s="24">
        <f>IF(AND(IF($B$3="(todos)",TRUE,'ORDENES'!$O725=$B$3),IF($D$3="(todos)",TRUE,'ORDENES'!$AI725=$D$3),IF($F$3="(todos)",TRUE,'ORDENES'!$AA725=$F$3),IF($H$3="(todos)",TRUE,'ORDENES'!$Z725=$H$3),'ORDENES'!$AG725=TRUE,'ORDENES'!$A725&lt;&gt;""),1,0)</f>
        <v/>
      </c>
      <c r="L729" s="24">
        <f>IF(K729=1,IFERROR(MATCH('ORDENES'!$S725,lista_dias,0),9)*1000000000+IFERROR(MATCH('ORDENES'!$AI725,lista_turnos,0),9)*10000000+IFERROR(MATCH('ORDENES'!$AH725,'TECNICOS'!$B$4:$B$19,0),99)*100000+722,9000000000000+722)</f>
        <v/>
      </c>
      <c r="M729" s="24">
        <f>IF(K729=1,SUMPRODUCT(--($L$8:$L$1207&lt;L729))+1,"")</f>
        <v/>
      </c>
      <c r="N729" s="25">
        <f>IF(K729=1,N('ORDENES'!$M725),0)</f>
        <v/>
      </c>
      <c r="O729" s="25">
        <f>IF('ORDENES'!$U725="preventiva",N729,0)</f>
        <v/>
      </c>
      <c r="P729" s="25">
        <f>IF('ORDENES'!$U725="correctiva",N729,0)</f>
        <v/>
      </c>
      <c r="Q729" s="24">
        <f>IF(AND(K729=1,'ORDENES'!$N725="Pendiente"),1,0)</f>
        <v/>
      </c>
      <c r="R729" s="24">
        <f>IF(Q729=1,100000-N729*1000+722*0.01,9000000000000+722)</f>
        <v/>
      </c>
      <c r="S729" s="24">
        <f>IF(Q729=1,SUMPRODUCT(--($R$8:$R$1207&lt;R729))+1,"")</f>
        <v/>
      </c>
      <c r="T729" s="30">
        <f>IF(K729=1,'ORDENES'!$J725,"")</f>
        <v/>
      </c>
    </row>
    <row r="730">
      <c r="K730" s="24">
        <f>IF(AND(IF($B$3="(todos)",TRUE,'ORDENES'!$O726=$B$3),IF($D$3="(todos)",TRUE,'ORDENES'!$AI726=$D$3),IF($F$3="(todos)",TRUE,'ORDENES'!$AA726=$F$3),IF($H$3="(todos)",TRUE,'ORDENES'!$Z726=$H$3),'ORDENES'!$AG726=TRUE,'ORDENES'!$A726&lt;&gt;""),1,0)</f>
        <v/>
      </c>
      <c r="L730" s="24">
        <f>IF(K730=1,IFERROR(MATCH('ORDENES'!$S726,lista_dias,0),9)*1000000000+IFERROR(MATCH('ORDENES'!$AI726,lista_turnos,0),9)*10000000+IFERROR(MATCH('ORDENES'!$AH726,'TECNICOS'!$B$4:$B$19,0),99)*100000+723,9000000000000+723)</f>
        <v/>
      </c>
      <c r="M730" s="24">
        <f>IF(K730=1,SUMPRODUCT(--($L$8:$L$1207&lt;L730))+1,"")</f>
        <v/>
      </c>
      <c r="N730" s="25">
        <f>IF(K730=1,N('ORDENES'!$M726),0)</f>
        <v/>
      </c>
      <c r="O730" s="25">
        <f>IF('ORDENES'!$U726="preventiva",N730,0)</f>
        <v/>
      </c>
      <c r="P730" s="25">
        <f>IF('ORDENES'!$U726="correctiva",N730,0)</f>
        <v/>
      </c>
      <c r="Q730" s="24">
        <f>IF(AND(K730=1,'ORDENES'!$N726="Pendiente"),1,0)</f>
        <v/>
      </c>
      <c r="R730" s="24">
        <f>IF(Q730=1,100000-N730*1000+723*0.01,9000000000000+723)</f>
        <v/>
      </c>
      <c r="S730" s="24">
        <f>IF(Q730=1,SUMPRODUCT(--($R$8:$R$1207&lt;R730))+1,"")</f>
        <v/>
      </c>
      <c r="T730" s="30">
        <f>IF(K730=1,'ORDENES'!$J726,"")</f>
        <v/>
      </c>
    </row>
    <row r="731">
      <c r="K731" s="24">
        <f>IF(AND(IF($B$3="(todos)",TRUE,'ORDENES'!$O727=$B$3),IF($D$3="(todos)",TRUE,'ORDENES'!$AI727=$D$3),IF($F$3="(todos)",TRUE,'ORDENES'!$AA727=$F$3),IF($H$3="(todos)",TRUE,'ORDENES'!$Z727=$H$3),'ORDENES'!$AG727=TRUE,'ORDENES'!$A727&lt;&gt;""),1,0)</f>
        <v/>
      </c>
      <c r="L731" s="24">
        <f>IF(K731=1,IFERROR(MATCH('ORDENES'!$S727,lista_dias,0),9)*1000000000+IFERROR(MATCH('ORDENES'!$AI727,lista_turnos,0),9)*10000000+IFERROR(MATCH('ORDENES'!$AH727,'TECNICOS'!$B$4:$B$19,0),99)*100000+724,9000000000000+724)</f>
        <v/>
      </c>
      <c r="M731" s="24">
        <f>IF(K731=1,SUMPRODUCT(--($L$8:$L$1207&lt;L731))+1,"")</f>
        <v/>
      </c>
      <c r="N731" s="25">
        <f>IF(K731=1,N('ORDENES'!$M727),0)</f>
        <v/>
      </c>
      <c r="O731" s="25">
        <f>IF('ORDENES'!$U727="preventiva",N731,0)</f>
        <v/>
      </c>
      <c r="P731" s="25">
        <f>IF('ORDENES'!$U727="correctiva",N731,0)</f>
        <v/>
      </c>
      <c r="Q731" s="24">
        <f>IF(AND(K731=1,'ORDENES'!$N727="Pendiente"),1,0)</f>
        <v/>
      </c>
      <c r="R731" s="24">
        <f>IF(Q731=1,100000-N731*1000+724*0.01,9000000000000+724)</f>
        <v/>
      </c>
      <c r="S731" s="24">
        <f>IF(Q731=1,SUMPRODUCT(--($R$8:$R$1207&lt;R731))+1,"")</f>
        <v/>
      </c>
      <c r="T731" s="30">
        <f>IF(K731=1,'ORDENES'!$J727,"")</f>
        <v/>
      </c>
    </row>
    <row r="732">
      <c r="K732" s="24">
        <f>IF(AND(IF($B$3="(todos)",TRUE,'ORDENES'!$O728=$B$3),IF($D$3="(todos)",TRUE,'ORDENES'!$AI728=$D$3),IF($F$3="(todos)",TRUE,'ORDENES'!$AA728=$F$3),IF($H$3="(todos)",TRUE,'ORDENES'!$Z728=$H$3),'ORDENES'!$AG728=TRUE,'ORDENES'!$A728&lt;&gt;""),1,0)</f>
        <v/>
      </c>
      <c r="L732" s="24">
        <f>IF(K732=1,IFERROR(MATCH('ORDENES'!$S728,lista_dias,0),9)*1000000000+IFERROR(MATCH('ORDENES'!$AI728,lista_turnos,0),9)*10000000+IFERROR(MATCH('ORDENES'!$AH728,'TECNICOS'!$B$4:$B$19,0),99)*100000+725,9000000000000+725)</f>
        <v/>
      </c>
      <c r="M732" s="24">
        <f>IF(K732=1,SUMPRODUCT(--($L$8:$L$1207&lt;L732))+1,"")</f>
        <v/>
      </c>
      <c r="N732" s="25">
        <f>IF(K732=1,N('ORDENES'!$M728),0)</f>
        <v/>
      </c>
      <c r="O732" s="25">
        <f>IF('ORDENES'!$U728="preventiva",N732,0)</f>
        <v/>
      </c>
      <c r="P732" s="25">
        <f>IF('ORDENES'!$U728="correctiva",N732,0)</f>
        <v/>
      </c>
      <c r="Q732" s="24">
        <f>IF(AND(K732=1,'ORDENES'!$N728="Pendiente"),1,0)</f>
        <v/>
      </c>
      <c r="R732" s="24">
        <f>IF(Q732=1,100000-N732*1000+725*0.01,9000000000000+725)</f>
        <v/>
      </c>
      <c r="S732" s="24">
        <f>IF(Q732=1,SUMPRODUCT(--($R$8:$R$1207&lt;R732))+1,"")</f>
        <v/>
      </c>
      <c r="T732" s="30">
        <f>IF(K732=1,'ORDENES'!$J728,"")</f>
        <v/>
      </c>
    </row>
    <row r="733">
      <c r="K733" s="24">
        <f>IF(AND(IF($B$3="(todos)",TRUE,'ORDENES'!$O729=$B$3),IF($D$3="(todos)",TRUE,'ORDENES'!$AI729=$D$3),IF($F$3="(todos)",TRUE,'ORDENES'!$AA729=$F$3),IF($H$3="(todos)",TRUE,'ORDENES'!$Z729=$H$3),'ORDENES'!$AG729=TRUE,'ORDENES'!$A729&lt;&gt;""),1,0)</f>
        <v/>
      </c>
      <c r="L733" s="24">
        <f>IF(K733=1,IFERROR(MATCH('ORDENES'!$S729,lista_dias,0),9)*1000000000+IFERROR(MATCH('ORDENES'!$AI729,lista_turnos,0),9)*10000000+IFERROR(MATCH('ORDENES'!$AH729,'TECNICOS'!$B$4:$B$19,0),99)*100000+726,9000000000000+726)</f>
        <v/>
      </c>
      <c r="M733" s="24">
        <f>IF(K733=1,SUMPRODUCT(--($L$8:$L$1207&lt;L733))+1,"")</f>
        <v/>
      </c>
      <c r="N733" s="25">
        <f>IF(K733=1,N('ORDENES'!$M729),0)</f>
        <v/>
      </c>
      <c r="O733" s="25">
        <f>IF('ORDENES'!$U729="preventiva",N733,0)</f>
        <v/>
      </c>
      <c r="P733" s="25">
        <f>IF('ORDENES'!$U729="correctiva",N733,0)</f>
        <v/>
      </c>
      <c r="Q733" s="24">
        <f>IF(AND(K733=1,'ORDENES'!$N729="Pendiente"),1,0)</f>
        <v/>
      </c>
      <c r="R733" s="24">
        <f>IF(Q733=1,100000-N733*1000+726*0.01,9000000000000+726)</f>
        <v/>
      </c>
      <c r="S733" s="24">
        <f>IF(Q733=1,SUMPRODUCT(--($R$8:$R$1207&lt;R733))+1,"")</f>
        <v/>
      </c>
      <c r="T733" s="30">
        <f>IF(K733=1,'ORDENES'!$J729,"")</f>
        <v/>
      </c>
    </row>
    <row r="734">
      <c r="K734" s="24">
        <f>IF(AND(IF($B$3="(todos)",TRUE,'ORDENES'!$O730=$B$3),IF($D$3="(todos)",TRUE,'ORDENES'!$AI730=$D$3),IF($F$3="(todos)",TRUE,'ORDENES'!$AA730=$F$3),IF($H$3="(todos)",TRUE,'ORDENES'!$Z730=$H$3),'ORDENES'!$AG730=TRUE,'ORDENES'!$A730&lt;&gt;""),1,0)</f>
        <v/>
      </c>
      <c r="L734" s="24">
        <f>IF(K734=1,IFERROR(MATCH('ORDENES'!$S730,lista_dias,0),9)*1000000000+IFERROR(MATCH('ORDENES'!$AI730,lista_turnos,0),9)*10000000+IFERROR(MATCH('ORDENES'!$AH730,'TECNICOS'!$B$4:$B$19,0),99)*100000+727,9000000000000+727)</f>
        <v/>
      </c>
      <c r="M734" s="24">
        <f>IF(K734=1,SUMPRODUCT(--($L$8:$L$1207&lt;L734))+1,"")</f>
        <v/>
      </c>
      <c r="N734" s="25">
        <f>IF(K734=1,N('ORDENES'!$M730),0)</f>
        <v/>
      </c>
      <c r="O734" s="25">
        <f>IF('ORDENES'!$U730="preventiva",N734,0)</f>
        <v/>
      </c>
      <c r="P734" s="25">
        <f>IF('ORDENES'!$U730="correctiva",N734,0)</f>
        <v/>
      </c>
      <c r="Q734" s="24">
        <f>IF(AND(K734=1,'ORDENES'!$N730="Pendiente"),1,0)</f>
        <v/>
      </c>
      <c r="R734" s="24">
        <f>IF(Q734=1,100000-N734*1000+727*0.01,9000000000000+727)</f>
        <v/>
      </c>
      <c r="S734" s="24">
        <f>IF(Q734=1,SUMPRODUCT(--($R$8:$R$1207&lt;R734))+1,"")</f>
        <v/>
      </c>
      <c r="T734" s="30">
        <f>IF(K734=1,'ORDENES'!$J730,"")</f>
        <v/>
      </c>
    </row>
    <row r="735">
      <c r="K735" s="24">
        <f>IF(AND(IF($B$3="(todos)",TRUE,'ORDENES'!$O731=$B$3),IF($D$3="(todos)",TRUE,'ORDENES'!$AI731=$D$3),IF($F$3="(todos)",TRUE,'ORDENES'!$AA731=$F$3),IF($H$3="(todos)",TRUE,'ORDENES'!$Z731=$H$3),'ORDENES'!$AG731=TRUE,'ORDENES'!$A731&lt;&gt;""),1,0)</f>
        <v/>
      </c>
      <c r="L735" s="24">
        <f>IF(K735=1,IFERROR(MATCH('ORDENES'!$S731,lista_dias,0),9)*1000000000+IFERROR(MATCH('ORDENES'!$AI731,lista_turnos,0),9)*10000000+IFERROR(MATCH('ORDENES'!$AH731,'TECNICOS'!$B$4:$B$19,0),99)*100000+728,9000000000000+728)</f>
        <v/>
      </c>
      <c r="M735" s="24">
        <f>IF(K735=1,SUMPRODUCT(--($L$8:$L$1207&lt;L735))+1,"")</f>
        <v/>
      </c>
      <c r="N735" s="25">
        <f>IF(K735=1,N('ORDENES'!$M731),0)</f>
        <v/>
      </c>
      <c r="O735" s="25">
        <f>IF('ORDENES'!$U731="preventiva",N735,0)</f>
        <v/>
      </c>
      <c r="P735" s="25">
        <f>IF('ORDENES'!$U731="correctiva",N735,0)</f>
        <v/>
      </c>
      <c r="Q735" s="24">
        <f>IF(AND(K735=1,'ORDENES'!$N731="Pendiente"),1,0)</f>
        <v/>
      </c>
      <c r="R735" s="24">
        <f>IF(Q735=1,100000-N735*1000+728*0.01,9000000000000+728)</f>
        <v/>
      </c>
      <c r="S735" s="24">
        <f>IF(Q735=1,SUMPRODUCT(--($R$8:$R$1207&lt;R735))+1,"")</f>
        <v/>
      </c>
      <c r="T735" s="30">
        <f>IF(K735=1,'ORDENES'!$J731,"")</f>
        <v/>
      </c>
    </row>
    <row r="736">
      <c r="K736" s="24">
        <f>IF(AND(IF($B$3="(todos)",TRUE,'ORDENES'!$O732=$B$3),IF($D$3="(todos)",TRUE,'ORDENES'!$AI732=$D$3),IF($F$3="(todos)",TRUE,'ORDENES'!$AA732=$F$3),IF($H$3="(todos)",TRUE,'ORDENES'!$Z732=$H$3),'ORDENES'!$AG732=TRUE,'ORDENES'!$A732&lt;&gt;""),1,0)</f>
        <v/>
      </c>
      <c r="L736" s="24">
        <f>IF(K736=1,IFERROR(MATCH('ORDENES'!$S732,lista_dias,0),9)*1000000000+IFERROR(MATCH('ORDENES'!$AI732,lista_turnos,0),9)*10000000+IFERROR(MATCH('ORDENES'!$AH732,'TECNICOS'!$B$4:$B$19,0),99)*100000+729,9000000000000+729)</f>
        <v/>
      </c>
      <c r="M736" s="24">
        <f>IF(K736=1,SUMPRODUCT(--($L$8:$L$1207&lt;L736))+1,"")</f>
        <v/>
      </c>
      <c r="N736" s="25">
        <f>IF(K736=1,N('ORDENES'!$M732),0)</f>
        <v/>
      </c>
      <c r="O736" s="25">
        <f>IF('ORDENES'!$U732="preventiva",N736,0)</f>
        <v/>
      </c>
      <c r="P736" s="25">
        <f>IF('ORDENES'!$U732="correctiva",N736,0)</f>
        <v/>
      </c>
      <c r="Q736" s="24">
        <f>IF(AND(K736=1,'ORDENES'!$N732="Pendiente"),1,0)</f>
        <v/>
      </c>
      <c r="R736" s="24">
        <f>IF(Q736=1,100000-N736*1000+729*0.01,9000000000000+729)</f>
        <v/>
      </c>
      <c r="S736" s="24">
        <f>IF(Q736=1,SUMPRODUCT(--($R$8:$R$1207&lt;R736))+1,"")</f>
        <v/>
      </c>
      <c r="T736" s="30">
        <f>IF(K736=1,'ORDENES'!$J732,"")</f>
        <v/>
      </c>
    </row>
    <row r="737">
      <c r="K737" s="24">
        <f>IF(AND(IF($B$3="(todos)",TRUE,'ORDENES'!$O733=$B$3),IF($D$3="(todos)",TRUE,'ORDENES'!$AI733=$D$3),IF($F$3="(todos)",TRUE,'ORDENES'!$AA733=$F$3),IF($H$3="(todos)",TRUE,'ORDENES'!$Z733=$H$3),'ORDENES'!$AG733=TRUE,'ORDENES'!$A733&lt;&gt;""),1,0)</f>
        <v/>
      </c>
      <c r="L737" s="24">
        <f>IF(K737=1,IFERROR(MATCH('ORDENES'!$S733,lista_dias,0),9)*1000000000+IFERROR(MATCH('ORDENES'!$AI733,lista_turnos,0),9)*10000000+IFERROR(MATCH('ORDENES'!$AH733,'TECNICOS'!$B$4:$B$19,0),99)*100000+730,9000000000000+730)</f>
        <v/>
      </c>
      <c r="M737" s="24">
        <f>IF(K737=1,SUMPRODUCT(--($L$8:$L$1207&lt;L737))+1,"")</f>
        <v/>
      </c>
      <c r="N737" s="25">
        <f>IF(K737=1,N('ORDENES'!$M733),0)</f>
        <v/>
      </c>
      <c r="O737" s="25">
        <f>IF('ORDENES'!$U733="preventiva",N737,0)</f>
        <v/>
      </c>
      <c r="P737" s="25">
        <f>IF('ORDENES'!$U733="correctiva",N737,0)</f>
        <v/>
      </c>
      <c r="Q737" s="24">
        <f>IF(AND(K737=1,'ORDENES'!$N733="Pendiente"),1,0)</f>
        <v/>
      </c>
      <c r="R737" s="24">
        <f>IF(Q737=1,100000-N737*1000+730*0.01,9000000000000+730)</f>
        <v/>
      </c>
      <c r="S737" s="24">
        <f>IF(Q737=1,SUMPRODUCT(--($R$8:$R$1207&lt;R737))+1,"")</f>
        <v/>
      </c>
      <c r="T737" s="30">
        <f>IF(K737=1,'ORDENES'!$J733,"")</f>
        <v/>
      </c>
    </row>
    <row r="738">
      <c r="K738" s="24">
        <f>IF(AND(IF($B$3="(todos)",TRUE,'ORDENES'!$O734=$B$3),IF($D$3="(todos)",TRUE,'ORDENES'!$AI734=$D$3),IF($F$3="(todos)",TRUE,'ORDENES'!$AA734=$F$3),IF($H$3="(todos)",TRUE,'ORDENES'!$Z734=$H$3),'ORDENES'!$AG734=TRUE,'ORDENES'!$A734&lt;&gt;""),1,0)</f>
        <v/>
      </c>
      <c r="L738" s="24">
        <f>IF(K738=1,IFERROR(MATCH('ORDENES'!$S734,lista_dias,0),9)*1000000000+IFERROR(MATCH('ORDENES'!$AI734,lista_turnos,0),9)*10000000+IFERROR(MATCH('ORDENES'!$AH734,'TECNICOS'!$B$4:$B$19,0),99)*100000+731,9000000000000+731)</f>
        <v/>
      </c>
      <c r="M738" s="24">
        <f>IF(K738=1,SUMPRODUCT(--($L$8:$L$1207&lt;L738))+1,"")</f>
        <v/>
      </c>
      <c r="N738" s="25">
        <f>IF(K738=1,N('ORDENES'!$M734),0)</f>
        <v/>
      </c>
      <c r="O738" s="25">
        <f>IF('ORDENES'!$U734="preventiva",N738,0)</f>
        <v/>
      </c>
      <c r="P738" s="25">
        <f>IF('ORDENES'!$U734="correctiva",N738,0)</f>
        <v/>
      </c>
      <c r="Q738" s="24">
        <f>IF(AND(K738=1,'ORDENES'!$N734="Pendiente"),1,0)</f>
        <v/>
      </c>
      <c r="R738" s="24">
        <f>IF(Q738=1,100000-N738*1000+731*0.01,9000000000000+731)</f>
        <v/>
      </c>
      <c r="S738" s="24">
        <f>IF(Q738=1,SUMPRODUCT(--($R$8:$R$1207&lt;R738))+1,"")</f>
        <v/>
      </c>
      <c r="T738" s="30">
        <f>IF(K738=1,'ORDENES'!$J734,"")</f>
        <v/>
      </c>
    </row>
    <row r="739">
      <c r="K739" s="24">
        <f>IF(AND(IF($B$3="(todos)",TRUE,'ORDENES'!$O735=$B$3),IF($D$3="(todos)",TRUE,'ORDENES'!$AI735=$D$3),IF($F$3="(todos)",TRUE,'ORDENES'!$AA735=$F$3),IF($H$3="(todos)",TRUE,'ORDENES'!$Z735=$H$3),'ORDENES'!$AG735=TRUE,'ORDENES'!$A735&lt;&gt;""),1,0)</f>
        <v/>
      </c>
      <c r="L739" s="24">
        <f>IF(K739=1,IFERROR(MATCH('ORDENES'!$S735,lista_dias,0),9)*1000000000+IFERROR(MATCH('ORDENES'!$AI735,lista_turnos,0),9)*10000000+IFERROR(MATCH('ORDENES'!$AH735,'TECNICOS'!$B$4:$B$19,0),99)*100000+732,9000000000000+732)</f>
        <v/>
      </c>
      <c r="M739" s="24">
        <f>IF(K739=1,SUMPRODUCT(--($L$8:$L$1207&lt;L739))+1,"")</f>
        <v/>
      </c>
      <c r="N739" s="25">
        <f>IF(K739=1,N('ORDENES'!$M735),0)</f>
        <v/>
      </c>
      <c r="O739" s="25">
        <f>IF('ORDENES'!$U735="preventiva",N739,0)</f>
        <v/>
      </c>
      <c r="P739" s="25">
        <f>IF('ORDENES'!$U735="correctiva",N739,0)</f>
        <v/>
      </c>
      <c r="Q739" s="24">
        <f>IF(AND(K739=1,'ORDENES'!$N735="Pendiente"),1,0)</f>
        <v/>
      </c>
      <c r="R739" s="24">
        <f>IF(Q739=1,100000-N739*1000+732*0.01,9000000000000+732)</f>
        <v/>
      </c>
      <c r="S739" s="24">
        <f>IF(Q739=1,SUMPRODUCT(--($R$8:$R$1207&lt;R739))+1,"")</f>
        <v/>
      </c>
      <c r="T739" s="30">
        <f>IF(K739=1,'ORDENES'!$J735,"")</f>
        <v/>
      </c>
    </row>
    <row r="740">
      <c r="K740" s="24">
        <f>IF(AND(IF($B$3="(todos)",TRUE,'ORDENES'!$O736=$B$3),IF($D$3="(todos)",TRUE,'ORDENES'!$AI736=$D$3),IF($F$3="(todos)",TRUE,'ORDENES'!$AA736=$F$3),IF($H$3="(todos)",TRUE,'ORDENES'!$Z736=$H$3),'ORDENES'!$AG736=TRUE,'ORDENES'!$A736&lt;&gt;""),1,0)</f>
        <v/>
      </c>
      <c r="L740" s="24">
        <f>IF(K740=1,IFERROR(MATCH('ORDENES'!$S736,lista_dias,0),9)*1000000000+IFERROR(MATCH('ORDENES'!$AI736,lista_turnos,0),9)*10000000+IFERROR(MATCH('ORDENES'!$AH736,'TECNICOS'!$B$4:$B$19,0),99)*100000+733,9000000000000+733)</f>
        <v/>
      </c>
      <c r="M740" s="24">
        <f>IF(K740=1,SUMPRODUCT(--($L$8:$L$1207&lt;L740))+1,"")</f>
        <v/>
      </c>
      <c r="N740" s="25">
        <f>IF(K740=1,N('ORDENES'!$M736),0)</f>
        <v/>
      </c>
      <c r="O740" s="25">
        <f>IF('ORDENES'!$U736="preventiva",N740,0)</f>
        <v/>
      </c>
      <c r="P740" s="25">
        <f>IF('ORDENES'!$U736="correctiva",N740,0)</f>
        <v/>
      </c>
      <c r="Q740" s="24">
        <f>IF(AND(K740=1,'ORDENES'!$N736="Pendiente"),1,0)</f>
        <v/>
      </c>
      <c r="R740" s="24">
        <f>IF(Q740=1,100000-N740*1000+733*0.01,9000000000000+733)</f>
        <v/>
      </c>
      <c r="S740" s="24">
        <f>IF(Q740=1,SUMPRODUCT(--($R$8:$R$1207&lt;R740))+1,"")</f>
        <v/>
      </c>
      <c r="T740" s="30">
        <f>IF(K740=1,'ORDENES'!$J736,"")</f>
        <v/>
      </c>
    </row>
    <row r="741">
      <c r="K741" s="24">
        <f>IF(AND(IF($B$3="(todos)",TRUE,'ORDENES'!$O737=$B$3),IF($D$3="(todos)",TRUE,'ORDENES'!$AI737=$D$3),IF($F$3="(todos)",TRUE,'ORDENES'!$AA737=$F$3),IF($H$3="(todos)",TRUE,'ORDENES'!$Z737=$H$3),'ORDENES'!$AG737=TRUE,'ORDENES'!$A737&lt;&gt;""),1,0)</f>
        <v/>
      </c>
      <c r="L741" s="24">
        <f>IF(K741=1,IFERROR(MATCH('ORDENES'!$S737,lista_dias,0),9)*1000000000+IFERROR(MATCH('ORDENES'!$AI737,lista_turnos,0),9)*10000000+IFERROR(MATCH('ORDENES'!$AH737,'TECNICOS'!$B$4:$B$19,0),99)*100000+734,9000000000000+734)</f>
        <v/>
      </c>
      <c r="M741" s="24">
        <f>IF(K741=1,SUMPRODUCT(--($L$8:$L$1207&lt;L741))+1,"")</f>
        <v/>
      </c>
      <c r="N741" s="25">
        <f>IF(K741=1,N('ORDENES'!$M737),0)</f>
        <v/>
      </c>
      <c r="O741" s="25">
        <f>IF('ORDENES'!$U737="preventiva",N741,0)</f>
        <v/>
      </c>
      <c r="P741" s="25">
        <f>IF('ORDENES'!$U737="correctiva",N741,0)</f>
        <v/>
      </c>
      <c r="Q741" s="24">
        <f>IF(AND(K741=1,'ORDENES'!$N737="Pendiente"),1,0)</f>
        <v/>
      </c>
      <c r="R741" s="24">
        <f>IF(Q741=1,100000-N741*1000+734*0.01,9000000000000+734)</f>
        <v/>
      </c>
      <c r="S741" s="24">
        <f>IF(Q741=1,SUMPRODUCT(--($R$8:$R$1207&lt;R741))+1,"")</f>
        <v/>
      </c>
      <c r="T741" s="30">
        <f>IF(K741=1,'ORDENES'!$J737,"")</f>
        <v/>
      </c>
    </row>
    <row r="742">
      <c r="K742" s="24">
        <f>IF(AND(IF($B$3="(todos)",TRUE,'ORDENES'!$O738=$B$3),IF($D$3="(todos)",TRUE,'ORDENES'!$AI738=$D$3),IF($F$3="(todos)",TRUE,'ORDENES'!$AA738=$F$3),IF($H$3="(todos)",TRUE,'ORDENES'!$Z738=$H$3),'ORDENES'!$AG738=TRUE,'ORDENES'!$A738&lt;&gt;""),1,0)</f>
        <v/>
      </c>
      <c r="L742" s="24">
        <f>IF(K742=1,IFERROR(MATCH('ORDENES'!$S738,lista_dias,0),9)*1000000000+IFERROR(MATCH('ORDENES'!$AI738,lista_turnos,0),9)*10000000+IFERROR(MATCH('ORDENES'!$AH738,'TECNICOS'!$B$4:$B$19,0),99)*100000+735,9000000000000+735)</f>
        <v/>
      </c>
      <c r="M742" s="24">
        <f>IF(K742=1,SUMPRODUCT(--($L$8:$L$1207&lt;L742))+1,"")</f>
        <v/>
      </c>
      <c r="N742" s="25">
        <f>IF(K742=1,N('ORDENES'!$M738),0)</f>
        <v/>
      </c>
      <c r="O742" s="25">
        <f>IF('ORDENES'!$U738="preventiva",N742,0)</f>
        <v/>
      </c>
      <c r="P742" s="25">
        <f>IF('ORDENES'!$U738="correctiva",N742,0)</f>
        <v/>
      </c>
      <c r="Q742" s="24">
        <f>IF(AND(K742=1,'ORDENES'!$N738="Pendiente"),1,0)</f>
        <v/>
      </c>
      <c r="R742" s="24">
        <f>IF(Q742=1,100000-N742*1000+735*0.01,9000000000000+735)</f>
        <v/>
      </c>
      <c r="S742" s="24">
        <f>IF(Q742=1,SUMPRODUCT(--($R$8:$R$1207&lt;R742))+1,"")</f>
        <v/>
      </c>
      <c r="T742" s="30">
        <f>IF(K742=1,'ORDENES'!$J738,"")</f>
        <v/>
      </c>
    </row>
    <row r="743">
      <c r="K743" s="24">
        <f>IF(AND(IF($B$3="(todos)",TRUE,'ORDENES'!$O739=$B$3),IF($D$3="(todos)",TRUE,'ORDENES'!$AI739=$D$3),IF($F$3="(todos)",TRUE,'ORDENES'!$AA739=$F$3),IF($H$3="(todos)",TRUE,'ORDENES'!$Z739=$H$3),'ORDENES'!$AG739=TRUE,'ORDENES'!$A739&lt;&gt;""),1,0)</f>
        <v/>
      </c>
      <c r="L743" s="24">
        <f>IF(K743=1,IFERROR(MATCH('ORDENES'!$S739,lista_dias,0),9)*1000000000+IFERROR(MATCH('ORDENES'!$AI739,lista_turnos,0),9)*10000000+IFERROR(MATCH('ORDENES'!$AH739,'TECNICOS'!$B$4:$B$19,0),99)*100000+736,9000000000000+736)</f>
        <v/>
      </c>
      <c r="M743" s="24">
        <f>IF(K743=1,SUMPRODUCT(--($L$8:$L$1207&lt;L743))+1,"")</f>
        <v/>
      </c>
      <c r="N743" s="25">
        <f>IF(K743=1,N('ORDENES'!$M739),0)</f>
        <v/>
      </c>
      <c r="O743" s="25">
        <f>IF('ORDENES'!$U739="preventiva",N743,0)</f>
        <v/>
      </c>
      <c r="P743" s="25">
        <f>IF('ORDENES'!$U739="correctiva",N743,0)</f>
        <v/>
      </c>
      <c r="Q743" s="24">
        <f>IF(AND(K743=1,'ORDENES'!$N739="Pendiente"),1,0)</f>
        <v/>
      </c>
      <c r="R743" s="24">
        <f>IF(Q743=1,100000-N743*1000+736*0.01,9000000000000+736)</f>
        <v/>
      </c>
      <c r="S743" s="24">
        <f>IF(Q743=1,SUMPRODUCT(--($R$8:$R$1207&lt;R743))+1,"")</f>
        <v/>
      </c>
      <c r="T743" s="30">
        <f>IF(K743=1,'ORDENES'!$J739,"")</f>
        <v/>
      </c>
    </row>
    <row r="744">
      <c r="K744" s="24">
        <f>IF(AND(IF($B$3="(todos)",TRUE,'ORDENES'!$O740=$B$3),IF($D$3="(todos)",TRUE,'ORDENES'!$AI740=$D$3),IF($F$3="(todos)",TRUE,'ORDENES'!$AA740=$F$3),IF($H$3="(todos)",TRUE,'ORDENES'!$Z740=$H$3),'ORDENES'!$AG740=TRUE,'ORDENES'!$A740&lt;&gt;""),1,0)</f>
        <v/>
      </c>
      <c r="L744" s="24">
        <f>IF(K744=1,IFERROR(MATCH('ORDENES'!$S740,lista_dias,0),9)*1000000000+IFERROR(MATCH('ORDENES'!$AI740,lista_turnos,0),9)*10000000+IFERROR(MATCH('ORDENES'!$AH740,'TECNICOS'!$B$4:$B$19,0),99)*100000+737,9000000000000+737)</f>
        <v/>
      </c>
      <c r="M744" s="24">
        <f>IF(K744=1,SUMPRODUCT(--($L$8:$L$1207&lt;L744))+1,"")</f>
        <v/>
      </c>
      <c r="N744" s="25">
        <f>IF(K744=1,N('ORDENES'!$M740),0)</f>
        <v/>
      </c>
      <c r="O744" s="25">
        <f>IF('ORDENES'!$U740="preventiva",N744,0)</f>
        <v/>
      </c>
      <c r="P744" s="25">
        <f>IF('ORDENES'!$U740="correctiva",N744,0)</f>
        <v/>
      </c>
      <c r="Q744" s="24">
        <f>IF(AND(K744=1,'ORDENES'!$N740="Pendiente"),1,0)</f>
        <v/>
      </c>
      <c r="R744" s="24">
        <f>IF(Q744=1,100000-N744*1000+737*0.01,9000000000000+737)</f>
        <v/>
      </c>
      <c r="S744" s="24">
        <f>IF(Q744=1,SUMPRODUCT(--($R$8:$R$1207&lt;R744))+1,"")</f>
        <v/>
      </c>
      <c r="T744" s="30">
        <f>IF(K744=1,'ORDENES'!$J740,"")</f>
        <v/>
      </c>
    </row>
    <row r="745">
      <c r="K745" s="24">
        <f>IF(AND(IF($B$3="(todos)",TRUE,'ORDENES'!$O741=$B$3),IF($D$3="(todos)",TRUE,'ORDENES'!$AI741=$D$3),IF($F$3="(todos)",TRUE,'ORDENES'!$AA741=$F$3),IF($H$3="(todos)",TRUE,'ORDENES'!$Z741=$H$3),'ORDENES'!$AG741=TRUE,'ORDENES'!$A741&lt;&gt;""),1,0)</f>
        <v/>
      </c>
      <c r="L745" s="24">
        <f>IF(K745=1,IFERROR(MATCH('ORDENES'!$S741,lista_dias,0),9)*1000000000+IFERROR(MATCH('ORDENES'!$AI741,lista_turnos,0),9)*10000000+IFERROR(MATCH('ORDENES'!$AH741,'TECNICOS'!$B$4:$B$19,0),99)*100000+738,9000000000000+738)</f>
        <v/>
      </c>
      <c r="M745" s="24">
        <f>IF(K745=1,SUMPRODUCT(--($L$8:$L$1207&lt;L745))+1,"")</f>
        <v/>
      </c>
      <c r="N745" s="25">
        <f>IF(K745=1,N('ORDENES'!$M741),0)</f>
        <v/>
      </c>
      <c r="O745" s="25">
        <f>IF('ORDENES'!$U741="preventiva",N745,0)</f>
        <v/>
      </c>
      <c r="P745" s="25">
        <f>IF('ORDENES'!$U741="correctiva",N745,0)</f>
        <v/>
      </c>
      <c r="Q745" s="24">
        <f>IF(AND(K745=1,'ORDENES'!$N741="Pendiente"),1,0)</f>
        <v/>
      </c>
      <c r="R745" s="24">
        <f>IF(Q745=1,100000-N745*1000+738*0.01,9000000000000+738)</f>
        <v/>
      </c>
      <c r="S745" s="24">
        <f>IF(Q745=1,SUMPRODUCT(--($R$8:$R$1207&lt;R745))+1,"")</f>
        <v/>
      </c>
      <c r="T745" s="30">
        <f>IF(K745=1,'ORDENES'!$J741,"")</f>
        <v/>
      </c>
    </row>
    <row r="746">
      <c r="K746" s="24">
        <f>IF(AND(IF($B$3="(todos)",TRUE,'ORDENES'!$O742=$B$3),IF($D$3="(todos)",TRUE,'ORDENES'!$AI742=$D$3),IF($F$3="(todos)",TRUE,'ORDENES'!$AA742=$F$3),IF($H$3="(todos)",TRUE,'ORDENES'!$Z742=$H$3),'ORDENES'!$AG742=TRUE,'ORDENES'!$A742&lt;&gt;""),1,0)</f>
        <v/>
      </c>
      <c r="L746" s="24">
        <f>IF(K746=1,IFERROR(MATCH('ORDENES'!$S742,lista_dias,0),9)*1000000000+IFERROR(MATCH('ORDENES'!$AI742,lista_turnos,0),9)*10000000+IFERROR(MATCH('ORDENES'!$AH742,'TECNICOS'!$B$4:$B$19,0),99)*100000+739,9000000000000+739)</f>
        <v/>
      </c>
      <c r="M746" s="24">
        <f>IF(K746=1,SUMPRODUCT(--($L$8:$L$1207&lt;L746))+1,"")</f>
        <v/>
      </c>
      <c r="N746" s="25">
        <f>IF(K746=1,N('ORDENES'!$M742),0)</f>
        <v/>
      </c>
      <c r="O746" s="25">
        <f>IF('ORDENES'!$U742="preventiva",N746,0)</f>
        <v/>
      </c>
      <c r="P746" s="25">
        <f>IF('ORDENES'!$U742="correctiva",N746,0)</f>
        <v/>
      </c>
      <c r="Q746" s="24">
        <f>IF(AND(K746=1,'ORDENES'!$N742="Pendiente"),1,0)</f>
        <v/>
      </c>
      <c r="R746" s="24">
        <f>IF(Q746=1,100000-N746*1000+739*0.01,9000000000000+739)</f>
        <v/>
      </c>
      <c r="S746" s="24">
        <f>IF(Q746=1,SUMPRODUCT(--($R$8:$R$1207&lt;R746))+1,"")</f>
        <v/>
      </c>
      <c r="T746" s="30">
        <f>IF(K746=1,'ORDENES'!$J742,"")</f>
        <v/>
      </c>
    </row>
    <row r="747">
      <c r="K747" s="24">
        <f>IF(AND(IF($B$3="(todos)",TRUE,'ORDENES'!$O743=$B$3),IF($D$3="(todos)",TRUE,'ORDENES'!$AI743=$D$3),IF($F$3="(todos)",TRUE,'ORDENES'!$AA743=$F$3),IF($H$3="(todos)",TRUE,'ORDENES'!$Z743=$H$3),'ORDENES'!$AG743=TRUE,'ORDENES'!$A743&lt;&gt;""),1,0)</f>
        <v/>
      </c>
      <c r="L747" s="24">
        <f>IF(K747=1,IFERROR(MATCH('ORDENES'!$S743,lista_dias,0),9)*1000000000+IFERROR(MATCH('ORDENES'!$AI743,lista_turnos,0),9)*10000000+IFERROR(MATCH('ORDENES'!$AH743,'TECNICOS'!$B$4:$B$19,0),99)*100000+740,9000000000000+740)</f>
        <v/>
      </c>
      <c r="M747" s="24">
        <f>IF(K747=1,SUMPRODUCT(--($L$8:$L$1207&lt;L747))+1,"")</f>
        <v/>
      </c>
      <c r="N747" s="25">
        <f>IF(K747=1,N('ORDENES'!$M743),0)</f>
        <v/>
      </c>
      <c r="O747" s="25">
        <f>IF('ORDENES'!$U743="preventiva",N747,0)</f>
        <v/>
      </c>
      <c r="P747" s="25">
        <f>IF('ORDENES'!$U743="correctiva",N747,0)</f>
        <v/>
      </c>
      <c r="Q747" s="24">
        <f>IF(AND(K747=1,'ORDENES'!$N743="Pendiente"),1,0)</f>
        <v/>
      </c>
      <c r="R747" s="24">
        <f>IF(Q747=1,100000-N747*1000+740*0.01,9000000000000+740)</f>
        <v/>
      </c>
      <c r="S747" s="24">
        <f>IF(Q747=1,SUMPRODUCT(--($R$8:$R$1207&lt;R747))+1,"")</f>
        <v/>
      </c>
      <c r="T747" s="30">
        <f>IF(K747=1,'ORDENES'!$J743,"")</f>
        <v/>
      </c>
    </row>
    <row r="748">
      <c r="K748" s="24">
        <f>IF(AND(IF($B$3="(todos)",TRUE,'ORDENES'!$O744=$B$3),IF($D$3="(todos)",TRUE,'ORDENES'!$AI744=$D$3),IF($F$3="(todos)",TRUE,'ORDENES'!$AA744=$F$3),IF($H$3="(todos)",TRUE,'ORDENES'!$Z744=$H$3),'ORDENES'!$AG744=TRUE,'ORDENES'!$A744&lt;&gt;""),1,0)</f>
        <v/>
      </c>
      <c r="L748" s="24">
        <f>IF(K748=1,IFERROR(MATCH('ORDENES'!$S744,lista_dias,0),9)*1000000000+IFERROR(MATCH('ORDENES'!$AI744,lista_turnos,0),9)*10000000+IFERROR(MATCH('ORDENES'!$AH744,'TECNICOS'!$B$4:$B$19,0),99)*100000+741,9000000000000+741)</f>
        <v/>
      </c>
      <c r="M748" s="24">
        <f>IF(K748=1,SUMPRODUCT(--($L$8:$L$1207&lt;L748))+1,"")</f>
        <v/>
      </c>
      <c r="N748" s="25">
        <f>IF(K748=1,N('ORDENES'!$M744),0)</f>
        <v/>
      </c>
      <c r="O748" s="25">
        <f>IF('ORDENES'!$U744="preventiva",N748,0)</f>
        <v/>
      </c>
      <c r="P748" s="25">
        <f>IF('ORDENES'!$U744="correctiva",N748,0)</f>
        <v/>
      </c>
      <c r="Q748" s="24">
        <f>IF(AND(K748=1,'ORDENES'!$N744="Pendiente"),1,0)</f>
        <v/>
      </c>
      <c r="R748" s="24">
        <f>IF(Q748=1,100000-N748*1000+741*0.01,9000000000000+741)</f>
        <v/>
      </c>
      <c r="S748" s="24">
        <f>IF(Q748=1,SUMPRODUCT(--($R$8:$R$1207&lt;R748))+1,"")</f>
        <v/>
      </c>
      <c r="T748" s="30">
        <f>IF(K748=1,'ORDENES'!$J744,"")</f>
        <v/>
      </c>
    </row>
    <row r="749">
      <c r="K749" s="24">
        <f>IF(AND(IF($B$3="(todos)",TRUE,'ORDENES'!$O745=$B$3),IF($D$3="(todos)",TRUE,'ORDENES'!$AI745=$D$3),IF($F$3="(todos)",TRUE,'ORDENES'!$AA745=$F$3),IF($H$3="(todos)",TRUE,'ORDENES'!$Z745=$H$3),'ORDENES'!$AG745=TRUE,'ORDENES'!$A745&lt;&gt;""),1,0)</f>
        <v/>
      </c>
      <c r="L749" s="24">
        <f>IF(K749=1,IFERROR(MATCH('ORDENES'!$S745,lista_dias,0),9)*1000000000+IFERROR(MATCH('ORDENES'!$AI745,lista_turnos,0),9)*10000000+IFERROR(MATCH('ORDENES'!$AH745,'TECNICOS'!$B$4:$B$19,0),99)*100000+742,9000000000000+742)</f>
        <v/>
      </c>
      <c r="M749" s="24">
        <f>IF(K749=1,SUMPRODUCT(--($L$8:$L$1207&lt;L749))+1,"")</f>
        <v/>
      </c>
      <c r="N749" s="25">
        <f>IF(K749=1,N('ORDENES'!$M745),0)</f>
        <v/>
      </c>
      <c r="O749" s="25">
        <f>IF('ORDENES'!$U745="preventiva",N749,0)</f>
        <v/>
      </c>
      <c r="P749" s="25">
        <f>IF('ORDENES'!$U745="correctiva",N749,0)</f>
        <v/>
      </c>
      <c r="Q749" s="24">
        <f>IF(AND(K749=1,'ORDENES'!$N745="Pendiente"),1,0)</f>
        <v/>
      </c>
      <c r="R749" s="24">
        <f>IF(Q749=1,100000-N749*1000+742*0.01,9000000000000+742)</f>
        <v/>
      </c>
      <c r="S749" s="24">
        <f>IF(Q749=1,SUMPRODUCT(--($R$8:$R$1207&lt;R749))+1,"")</f>
        <v/>
      </c>
      <c r="T749" s="30">
        <f>IF(K749=1,'ORDENES'!$J745,"")</f>
        <v/>
      </c>
    </row>
    <row r="750">
      <c r="K750" s="24">
        <f>IF(AND(IF($B$3="(todos)",TRUE,'ORDENES'!$O746=$B$3),IF($D$3="(todos)",TRUE,'ORDENES'!$AI746=$D$3),IF($F$3="(todos)",TRUE,'ORDENES'!$AA746=$F$3),IF($H$3="(todos)",TRUE,'ORDENES'!$Z746=$H$3),'ORDENES'!$AG746=TRUE,'ORDENES'!$A746&lt;&gt;""),1,0)</f>
        <v/>
      </c>
      <c r="L750" s="24">
        <f>IF(K750=1,IFERROR(MATCH('ORDENES'!$S746,lista_dias,0),9)*1000000000+IFERROR(MATCH('ORDENES'!$AI746,lista_turnos,0),9)*10000000+IFERROR(MATCH('ORDENES'!$AH746,'TECNICOS'!$B$4:$B$19,0),99)*100000+743,9000000000000+743)</f>
        <v/>
      </c>
      <c r="M750" s="24">
        <f>IF(K750=1,SUMPRODUCT(--($L$8:$L$1207&lt;L750))+1,"")</f>
        <v/>
      </c>
      <c r="N750" s="25">
        <f>IF(K750=1,N('ORDENES'!$M746),0)</f>
        <v/>
      </c>
      <c r="O750" s="25">
        <f>IF('ORDENES'!$U746="preventiva",N750,0)</f>
        <v/>
      </c>
      <c r="P750" s="25">
        <f>IF('ORDENES'!$U746="correctiva",N750,0)</f>
        <v/>
      </c>
      <c r="Q750" s="24">
        <f>IF(AND(K750=1,'ORDENES'!$N746="Pendiente"),1,0)</f>
        <v/>
      </c>
      <c r="R750" s="24">
        <f>IF(Q750=1,100000-N750*1000+743*0.01,9000000000000+743)</f>
        <v/>
      </c>
      <c r="S750" s="24">
        <f>IF(Q750=1,SUMPRODUCT(--($R$8:$R$1207&lt;R750))+1,"")</f>
        <v/>
      </c>
      <c r="T750" s="30">
        <f>IF(K750=1,'ORDENES'!$J746,"")</f>
        <v/>
      </c>
    </row>
    <row r="751">
      <c r="K751" s="24">
        <f>IF(AND(IF($B$3="(todos)",TRUE,'ORDENES'!$O747=$B$3),IF($D$3="(todos)",TRUE,'ORDENES'!$AI747=$D$3),IF($F$3="(todos)",TRUE,'ORDENES'!$AA747=$F$3),IF($H$3="(todos)",TRUE,'ORDENES'!$Z747=$H$3),'ORDENES'!$AG747=TRUE,'ORDENES'!$A747&lt;&gt;""),1,0)</f>
        <v/>
      </c>
      <c r="L751" s="24">
        <f>IF(K751=1,IFERROR(MATCH('ORDENES'!$S747,lista_dias,0),9)*1000000000+IFERROR(MATCH('ORDENES'!$AI747,lista_turnos,0),9)*10000000+IFERROR(MATCH('ORDENES'!$AH747,'TECNICOS'!$B$4:$B$19,0),99)*100000+744,9000000000000+744)</f>
        <v/>
      </c>
      <c r="M751" s="24">
        <f>IF(K751=1,SUMPRODUCT(--($L$8:$L$1207&lt;L751))+1,"")</f>
        <v/>
      </c>
      <c r="N751" s="25">
        <f>IF(K751=1,N('ORDENES'!$M747),0)</f>
        <v/>
      </c>
      <c r="O751" s="25">
        <f>IF('ORDENES'!$U747="preventiva",N751,0)</f>
        <v/>
      </c>
      <c r="P751" s="25">
        <f>IF('ORDENES'!$U747="correctiva",N751,0)</f>
        <v/>
      </c>
      <c r="Q751" s="24">
        <f>IF(AND(K751=1,'ORDENES'!$N747="Pendiente"),1,0)</f>
        <v/>
      </c>
      <c r="R751" s="24">
        <f>IF(Q751=1,100000-N751*1000+744*0.01,9000000000000+744)</f>
        <v/>
      </c>
      <c r="S751" s="24">
        <f>IF(Q751=1,SUMPRODUCT(--($R$8:$R$1207&lt;R751))+1,"")</f>
        <v/>
      </c>
      <c r="T751" s="30">
        <f>IF(K751=1,'ORDENES'!$J747,"")</f>
        <v/>
      </c>
    </row>
    <row r="752">
      <c r="K752" s="24">
        <f>IF(AND(IF($B$3="(todos)",TRUE,'ORDENES'!$O748=$B$3),IF($D$3="(todos)",TRUE,'ORDENES'!$AI748=$D$3),IF($F$3="(todos)",TRUE,'ORDENES'!$AA748=$F$3),IF($H$3="(todos)",TRUE,'ORDENES'!$Z748=$H$3),'ORDENES'!$AG748=TRUE,'ORDENES'!$A748&lt;&gt;""),1,0)</f>
        <v/>
      </c>
      <c r="L752" s="24">
        <f>IF(K752=1,IFERROR(MATCH('ORDENES'!$S748,lista_dias,0),9)*1000000000+IFERROR(MATCH('ORDENES'!$AI748,lista_turnos,0),9)*10000000+IFERROR(MATCH('ORDENES'!$AH748,'TECNICOS'!$B$4:$B$19,0),99)*100000+745,9000000000000+745)</f>
        <v/>
      </c>
      <c r="M752" s="24">
        <f>IF(K752=1,SUMPRODUCT(--($L$8:$L$1207&lt;L752))+1,"")</f>
        <v/>
      </c>
      <c r="N752" s="25">
        <f>IF(K752=1,N('ORDENES'!$M748),0)</f>
        <v/>
      </c>
      <c r="O752" s="25">
        <f>IF('ORDENES'!$U748="preventiva",N752,0)</f>
        <v/>
      </c>
      <c r="P752" s="25">
        <f>IF('ORDENES'!$U748="correctiva",N752,0)</f>
        <v/>
      </c>
      <c r="Q752" s="24">
        <f>IF(AND(K752=1,'ORDENES'!$N748="Pendiente"),1,0)</f>
        <v/>
      </c>
      <c r="R752" s="24">
        <f>IF(Q752=1,100000-N752*1000+745*0.01,9000000000000+745)</f>
        <v/>
      </c>
      <c r="S752" s="24">
        <f>IF(Q752=1,SUMPRODUCT(--($R$8:$R$1207&lt;R752))+1,"")</f>
        <v/>
      </c>
      <c r="T752" s="30">
        <f>IF(K752=1,'ORDENES'!$J748,"")</f>
        <v/>
      </c>
    </row>
    <row r="753">
      <c r="K753" s="24">
        <f>IF(AND(IF($B$3="(todos)",TRUE,'ORDENES'!$O749=$B$3),IF($D$3="(todos)",TRUE,'ORDENES'!$AI749=$D$3),IF($F$3="(todos)",TRUE,'ORDENES'!$AA749=$F$3),IF($H$3="(todos)",TRUE,'ORDENES'!$Z749=$H$3),'ORDENES'!$AG749=TRUE,'ORDENES'!$A749&lt;&gt;""),1,0)</f>
        <v/>
      </c>
      <c r="L753" s="24">
        <f>IF(K753=1,IFERROR(MATCH('ORDENES'!$S749,lista_dias,0),9)*1000000000+IFERROR(MATCH('ORDENES'!$AI749,lista_turnos,0),9)*10000000+IFERROR(MATCH('ORDENES'!$AH749,'TECNICOS'!$B$4:$B$19,0),99)*100000+746,9000000000000+746)</f>
        <v/>
      </c>
      <c r="M753" s="24">
        <f>IF(K753=1,SUMPRODUCT(--($L$8:$L$1207&lt;L753))+1,"")</f>
        <v/>
      </c>
      <c r="N753" s="25">
        <f>IF(K753=1,N('ORDENES'!$M749),0)</f>
        <v/>
      </c>
      <c r="O753" s="25">
        <f>IF('ORDENES'!$U749="preventiva",N753,0)</f>
        <v/>
      </c>
      <c r="P753" s="25">
        <f>IF('ORDENES'!$U749="correctiva",N753,0)</f>
        <v/>
      </c>
      <c r="Q753" s="24">
        <f>IF(AND(K753=1,'ORDENES'!$N749="Pendiente"),1,0)</f>
        <v/>
      </c>
      <c r="R753" s="24">
        <f>IF(Q753=1,100000-N753*1000+746*0.01,9000000000000+746)</f>
        <v/>
      </c>
      <c r="S753" s="24">
        <f>IF(Q753=1,SUMPRODUCT(--($R$8:$R$1207&lt;R753))+1,"")</f>
        <v/>
      </c>
      <c r="T753" s="30">
        <f>IF(K753=1,'ORDENES'!$J749,"")</f>
        <v/>
      </c>
    </row>
    <row r="754">
      <c r="K754" s="24">
        <f>IF(AND(IF($B$3="(todos)",TRUE,'ORDENES'!$O750=$B$3),IF($D$3="(todos)",TRUE,'ORDENES'!$AI750=$D$3),IF($F$3="(todos)",TRUE,'ORDENES'!$AA750=$F$3),IF($H$3="(todos)",TRUE,'ORDENES'!$Z750=$H$3),'ORDENES'!$AG750=TRUE,'ORDENES'!$A750&lt;&gt;""),1,0)</f>
        <v/>
      </c>
      <c r="L754" s="24">
        <f>IF(K754=1,IFERROR(MATCH('ORDENES'!$S750,lista_dias,0),9)*1000000000+IFERROR(MATCH('ORDENES'!$AI750,lista_turnos,0),9)*10000000+IFERROR(MATCH('ORDENES'!$AH750,'TECNICOS'!$B$4:$B$19,0),99)*100000+747,9000000000000+747)</f>
        <v/>
      </c>
      <c r="M754" s="24">
        <f>IF(K754=1,SUMPRODUCT(--($L$8:$L$1207&lt;L754))+1,"")</f>
        <v/>
      </c>
      <c r="N754" s="25">
        <f>IF(K754=1,N('ORDENES'!$M750),0)</f>
        <v/>
      </c>
      <c r="O754" s="25">
        <f>IF('ORDENES'!$U750="preventiva",N754,0)</f>
        <v/>
      </c>
      <c r="P754" s="25">
        <f>IF('ORDENES'!$U750="correctiva",N754,0)</f>
        <v/>
      </c>
      <c r="Q754" s="24">
        <f>IF(AND(K754=1,'ORDENES'!$N750="Pendiente"),1,0)</f>
        <v/>
      </c>
      <c r="R754" s="24">
        <f>IF(Q754=1,100000-N754*1000+747*0.01,9000000000000+747)</f>
        <v/>
      </c>
      <c r="S754" s="24">
        <f>IF(Q754=1,SUMPRODUCT(--($R$8:$R$1207&lt;R754))+1,"")</f>
        <v/>
      </c>
      <c r="T754" s="30">
        <f>IF(K754=1,'ORDENES'!$J750,"")</f>
        <v/>
      </c>
    </row>
    <row r="755">
      <c r="K755" s="24">
        <f>IF(AND(IF($B$3="(todos)",TRUE,'ORDENES'!$O751=$B$3),IF($D$3="(todos)",TRUE,'ORDENES'!$AI751=$D$3),IF($F$3="(todos)",TRUE,'ORDENES'!$AA751=$F$3),IF($H$3="(todos)",TRUE,'ORDENES'!$Z751=$H$3),'ORDENES'!$AG751=TRUE,'ORDENES'!$A751&lt;&gt;""),1,0)</f>
        <v/>
      </c>
      <c r="L755" s="24">
        <f>IF(K755=1,IFERROR(MATCH('ORDENES'!$S751,lista_dias,0),9)*1000000000+IFERROR(MATCH('ORDENES'!$AI751,lista_turnos,0),9)*10000000+IFERROR(MATCH('ORDENES'!$AH751,'TECNICOS'!$B$4:$B$19,0),99)*100000+748,9000000000000+748)</f>
        <v/>
      </c>
      <c r="M755" s="24">
        <f>IF(K755=1,SUMPRODUCT(--($L$8:$L$1207&lt;L755))+1,"")</f>
        <v/>
      </c>
      <c r="N755" s="25">
        <f>IF(K755=1,N('ORDENES'!$M751),0)</f>
        <v/>
      </c>
      <c r="O755" s="25">
        <f>IF('ORDENES'!$U751="preventiva",N755,0)</f>
        <v/>
      </c>
      <c r="P755" s="25">
        <f>IF('ORDENES'!$U751="correctiva",N755,0)</f>
        <v/>
      </c>
      <c r="Q755" s="24">
        <f>IF(AND(K755=1,'ORDENES'!$N751="Pendiente"),1,0)</f>
        <v/>
      </c>
      <c r="R755" s="24">
        <f>IF(Q755=1,100000-N755*1000+748*0.01,9000000000000+748)</f>
        <v/>
      </c>
      <c r="S755" s="24">
        <f>IF(Q755=1,SUMPRODUCT(--($R$8:$R$1207&lt;R755))+1,"")</f>
        <v/>
      </c>
      <c r="T755" s="30">
        <f>IF(K755=1,'ORDENES'!$J751,"")</f>
        <v/>
      </c>
    </row>
    <row r="756">
      <c r="K756" s="24">
        <f>IF(AND(IF($B$3="(todos)",TRUE,'ORDENES'!$O752=$B$3),IF($D$3="(todos)",TRUE,'ORDENES'!$AI752=$D$3),IF($F$3="(todos)",TRUE,'ORDENES'!$AA752=$F$3),IF($H$3="(todos)",TRUE,'ORDENES'!$Z752=$H$3),'ORDENES'!$AG752=TRUE,'ORDENES'!$A752&lt;&gt;""),1,0)</f>
        <v/>
      </c>
      <c r="L756" s="24">
        <f>IF(K756=1,IFERROR(MATCH('ORDENES'!$S752,lista_dias,0),9)*1000000000+IFERROR(MATCH('ORDENES'!$AI752,lista_turnos,0),9)*10000000+IFERROR(MATCH('ORDENES'!$AH752,'TECNICOS'!$B$4:$B$19,0),99)*100000+749,9000000000000+749)</f>
        <v/>
      </c>
      <c r="M756" s="24">
        <f>IF(K756=1,SUMPRODUCT(--($L$8:$L$1207&lt;L756))+1,"")</f>
        <v/>
      </c>
      <c r="N756" s="25">
        <f>IF(K756=1,N('ORDENES'!$M752),0)</f>
        <v/>
      </c>
      <c r="O756" s="25">
        <f>IF('ORDENES'!$U752="preventiva",N756,0)</f>
        <v/>
      </c>
      <c r="P756" s="25">
        <f>IF('ORDENES'!$U752="correctiva",N756,0)</f>
        <v/>
      </c>
      <c r="Q756" s="24">
        <f>IF(AND(K756=1,'ORDENES'!$N752="Pendiente"),1,0)</f>
        <v/>
      </c>
      <c r="R756" s="24">
        <f>IF(Q756=1,100000-N756*1000+749*0.01,9000000000000+749)</f>
        <v/>
      </c>
      <c r="S756" s="24">
        <f>IF(Q756=1,SUMPRODUCT(--($R$8:$R$1207&lt;R756))+1,"")</f>
        <v/>
      </c>
      <c r="T756" s="30">
        <f>IF(K756=1,'ORDENES'!$J752,"")</f>
        <v/>
      </c>
    </row>
    <row r="757">
      <c r="K757" s="24">
        <f>IF(AND(IF($B$3="(todos)",TRUE,'ORDENES'!$O753=$B$3),IF($D$3="(todos)",TRUE,'ORDENES'!$AI753=$D$3),IF($F$3="(todos)",TRUE,'ORDENES'!$AA753=$F$3),IF($H$3="(todos)",TRUE,'ORDENES'!$Z753=$H$3),'ORDENES'!$AG753=TRUE,'ORDENES'!$A753&lt;&gt;""),1,0)</f>
        <v/>
      </c>
      <c r="L757" s="24">
        <f>IF(K757=1,IFERROR(MATCH('ORDENES'!$S753,lista_dias,0),9)*1000000000+IFERROR(MATCH('ORDENES'!$AI753,lista_turnos,0),9)*10000000+IFERROR(MATCH('ORDENES'!$AH753,'TECNICOS'!$B$4:$B$19,0),99)*100000+750,9000000000000+750)</f>
        <v/>
      </c>
      <c r="M757" s="24">
        <f>IF(K757=1,SUMPRODUCT(--($L$8:$L$1207&lt;L757))+1,"")</f>
        <v/>
      </c>
      <c r="N757" s="25">
        <f>IF(K757=1,N('ORDENES'!$M753),0)</f>
        <v/>
      </c>
      <c r="O757" s="25">
        <f>IF('ORDENES'!$U753="preventiva",N757,0)</f>
        <v/>
      </c>
      <c r="P757" s="25">
        <f>IF('ORDENES'!$U753="correctiva",N757,0)</f>
        <v/>
      </c>
      <c r="Q757" s="24">
        <f>IF(AND(K757=1,'ORDENES'!$N753="Pendiente"),1,0)</f>
        <v/>
      </c>
      <c r="R757" s="24">
        <f>IF(Q757=1,100000-N757*1000+750*0.01,9000000000000+750)</f>
        <v/>
      </c>
      <c r="S757" s="24">
        <f>IF(Q757=1,SUMPRODUCT(--($R$8:$R$1207&lt;R757))+1,"")</f>
        <v/>
      </c>
      <c r="T757" s="30">
        <f>IF(K757=1,'ORDENES'!$J753,"")</f>
        <v/>
      </c>
    </row>
    <row r="758">
      <c r="K758" s="24">
        <f>IF(AND(IF($B$3="(todos)",TRUE,'ORDENES'!$O754=$B$3),IF($D$3="(todos)",TRUE,'ORDENES'!$AI754=$D$3),IF($F$3="(todos)",TRUE,'ORDENES'!$AA754=$F$3),IF($H$3="(todos)",TRUE,'ORDENES'!$Z754=$H$3),'ORDENES'!$AG754=TRUE,'ORDENES'!$A754&lt;&gt;""),1,0)</f>
        <v/>
      </c>
      <c r="L758" s="24">
        <f>IF(K758=1,IFERROR(MATCH('ORDENES'!$S754,lista_dias,0),9)*1000000000+IFERROR(MATCH('ORDENES'!$AI754,lista_turnos,0),9)*10000000+IFERROR(MATCH('ORDENES'!$AH754,'TECNICOS'!$B$4:$B$19,0),99)*100000+751,9000000000000+751)</f>
        <v/>
      </c>
      <c r="M758" s="24">
        <f>IF(K758=1,SUMPRODUCT(--($L$8:$L$1207&lt;L758))+1,"")</f>
        <v/>
      </c>
      <c r="N758" s="25">
        <f>IF(K758=1,N('ORDENES'!$M754),0)</f>
        <v/>
      </c>
      <c r="O758" s="25">
        <f>IF('ORDENES'!$U754="preventiva",N758,0)</f>
        <v/>
      </c>
      <c r="P758" s="25">
        <f>IF('ORDENES'!$U754="correctiva",N758,0)</f>
        <v/>
      </c>
      <c r="Q758" s="24">
        <f>IF(AND(K758=1,'ORDENES'!$N754="Pendiente"),1,0)</f>
        <v/>
      </c>
      <c r="R758" s="24">
        <f>IF(Q758=1,100000-N758*1000+751*0.01,9000000000000+751)</f>
        <v/>
      </c>
      <c r="S758" s="24">
        <f>IF(Q758=1,SUMPRODUCT(--($R$8:$R$1207&lt;R758))+1,"")</f>
        <v/>
      </c>
      <c r="T758" s="30">
        <f>IF(K758=1,'ORDENES'!$J754,"")</f>
        <v/>
      </c>
    </row>
    <row r="759">
      <c r="K759" s="24">
        <f>IF(AND(IF($B$3="(todos)",TRUE,'ORDENES'!$O755=$B$3),IF($D$3="(todos)",TRUE,'ORDENES'!$AI755=$D$3),IF($F$3="(todos)",TRUE,'ORDENES'!$AA755=$F$3),IF($H$3="(todos)",TRUE,'ORDENES'!$Z755=$H$3),'ORDENES'!$AG755=TRUE,'ORDENES'!$A755&lt;&gt;""),1,0)</f>
        <v/>
      </c>
      <c r="L759" s="24">
        <f>IF(K759=1,IFERROR(MATCH('ORDENES'!$S755,lista_dias,0),9)*1000000000+IFERROR(MATCH('ORDENES'!$AI755,lista_turnos,0),9)*10000000+IFERROR(MATCH('ORDENES'!$AH755,'TECNICOS'!$B$4:$B$19,0),99)*100000+752,9000000000000+752)</f>
        <v/>
      </c>
      <c r="M759" s="24">
        <f>IF(K759=1,SUMPRODUCT(--($L$8:$L$1207&lt;L759))+1,"")</f>
        <v/>
      </c>
      <c r="N759" s="25">
        <f>IF(K759=1,N('ORDENES'!$M755),0)</f>
        <v/>
      </c>
      <c r="O759" s="25">
        <f>IF('ORDENES'!$U755="preventiva",N759,0)</f>
        <v/>
      </c>
      <c r="P759" s="25">
        <f>IF('ORDENES'!$U755="correctiva",N759,0)</f>
        <v/>
      </c>
      <c r="Q759" s="24">
        <f>IF(AND(K759=1,'ORDENES'!$N755="Pendiente"),1,0)</f>
        <v/>
      </c>
      <c r="R759" s="24">
        <f>IF(Q759=1,100000-N759*1000+752*0.01,9000000000000+752)</f>
        <v/>
      </c>
      <c r="S759" s="24">
        <f>IF(Q759=1,SUMPRODUCT(--($R$8:$R$1207&lt;R759))+1,"")</f>
        <v/>
      </c>
      <c r="T759" s="30">
        <f>IF(K759=1,'ORDENES'!$J755,"")</f>
        <v/>
      </c>
    </row>
    <row r="760">
      <c r="K760" s="24">
        <f>IF(AND(IF($B$3="(todos)",TRUE,'ORDENES'!$O756=$B$3),IF($D$3="(todos)",TRUE,'ORDENES'!$AI756=$D$3),IF($F$3="(todos)",TRUE,'ORDENES'!$AA756=$F$3),IF($H$3="(todos)",TRUE,'ORDENES'!$Z756=$H$3),'ORDENES'!$AG756=TRUE,'ORDENES'!$A756&lt;&gt;""),1,0)</f>
        <v/>
      </c>
      <c r="L760" s="24">
        <f>IF(K760=1,IFERROR(MATCH('ORDENES'!$S756,lista_dias,0),9)*1000000000+IFERROR(MATCH('ORDENES'!$AI756,lista_turnos,0),9)*10000000+IFERROR(MATCH('ORDENES'!$AH756,'TECNICOS'!$B$4:$B$19,0),99)*100000+753,9000000000000+753)</f>
        <v/>
      </c>
      <c r="M760" s="24">
        <f>IF(K760=1,SUMPRODUCT(--($L$8:$L$1207&lt;L760))+1,"")</f>
        <v/>
      </c>
      <c r="N760" s="25">
        <f>IF(K760=1,N('ORDENES'!$M756),0)</f>
        <v/>
      </c>
      <c r="O760" s="25">
        <f>IF('ORDENES'!$U756="preventiva",N760,0)</f>
        <v/>
      </c>
      <c r="P760" s="25">
        <f>IF('ORDENES'!$U756="correctiva",N760,0)</f>
        <v/>
      </c>
      <c r="Q760" s="24">
        <f>IF(AND(K760=1,'ORDENES'!$N756="Pendiente"),1,0)</f>
        <v/>
      </c>
      <c r="R760" s="24">
        <f>IF(Q760=1,100000-N760*1000+753*0.01,9000000000000+753)</f>
        <v/>
      </c>
      <c r="S760" s="24">
        <f>IF(Q760=1,SUMPRODUCT(--($R$8:$R$1207&lt;R760))+1,"")</f>
        <v/>
      </c>
      <c r="T760" s="30">
        <f>IF(K760=1,'ORDENES'!$J756,"")</f>
        <v/>
      </c>
    </row>
    <row r="761">
      <c r="K761" s="24">
        <f>IF(AND(IF($B$3="(todos)",TRUE,'ORDENES'!$O757=$B$3),IF($D$3="(todos)",TRUE,'ORDENES'!$AI757=$D$3),IF($F$3="(todos)",TRUE,'ORDENES'!$AA757=$F$3),IF($H$3="(todos)",TRUE,'ORDENES'!$Z757=$H$3),'ORDENES'!$AG757=TRUE,'ORDENES'!$A757&lt;&gt;""),1,0)</f>
        <v/>
      </c>
      <c r="L761" s="24">
        <f>IF(K761=1,IFERROR(MATCH('ORDENES'!$S757,lista_dias,0),9)*1000000000+IFERROR(MATCH('ORDENES'!$AI757,lista_turnos,0),9)*10000000+IFERROR(MATCH('ORDENES'!$AH757,'TECNICOS'!$B$4:$B$19,0),99)*100000+754,9000000000000+754)</f>
        <v/>
      </c>
      <c r="M761" s="24">
        <f>IF(K761=1,SUMPRODUCT(--($L$8:$L$1207&lt;L761))+1,"")</f>
        <v/>
      </c>
      <c r="N761" s="25">
        <f>IF(K761=1,N('ORDENES'!$M757),0)</f>
        <v/>
      </c>
      <c r="O761" s="25">
        <f>IF('ORDENES'!$U757="preventiva",N761,0)</f>
        <v/>
      </c>
      <c r="P761" s="25">
        <f>IF('ORDENES'!$U757="correctiva",N761,0)</f>
        <v/>
      </c>
      <c r="Q761" s="24">
        <f>IF(AND(K761=1,'ORDENES'!$N757="Pendiente"),1,0)</f>
        <v/>
      </c>
      <c r="R761" s="24">
        <f>IF(Q761=1,100000-N761*1000+754*0.01,9000000000000+754)</f>
        <v/>
      </c>
      <c r="S761" s="24">
        <f>IF(Q761=1,SUMPRODUCT(--($R$8:$R$1207&lt;R761))+1,"")</f>
        <v/>
      </c>
      <c r="T761" s="30">
        <f>IF(K761=1,'ORDENES'!$J757,"")</f>
        <v/>
      </c>
    </row>
    <row r="762">
      <c r="K762" s="24">
        <f>IF(AND(IF($B$3="(todos)",TRUE,'ORDENES'!$O758=$B$3),IF($D$3="(todos)",TRUE,'ORDENES'!$AI758=$D$3),IF($F$3="(todos)",TRUE,'ORDENES'!$AA758=$F$3),IF($H$3="(todos)",TRUE,'ORDENES'!$Z758=$H$3),'ORDENES'!$AG758=TRUE,'ORDENES'!$A758&lt;&gt;""),1,0)</f>
        <v/>
      </c>
      <c r="L762" s="24">
        <f>IF(K762=1,IFERROR(MATCH('ORDENES'!$S758,lista_dias,0),9)*1000000000+IFERROR(MATCH('ORDENES'!$AI758,lista_turnos,0),9)*10000000+IFERROR(MATCH('ORDENES'!$AH758,'TECNICOS'!$B$4:$B$19,0),99)*100000+755,9000000000000+755)</f>
        <v/>
      </c>
      <c r="M762" s="24">
        <f>IF(K762=1,SUMPRODUCT(--($L$8:$L$1207&lt;L762))+1,"")</f>
        <v/>
      </c>
      <c r="N762" s="25">
        <f>IF(K762=1,N('ORDENES'!$M758),0)</f>
        <v/>
      </c>
      <c r="O762" s="25">
        <f>IF('ORDENES'!$U758="preventiva",N762,0)</f>
        <v/>
      </c>
      <c r="P762" s="25">
        <f>IF('ORDENES'!$U758="correctiva",N762,0)</f>
        <v/>
      </c>
      <c r="Q762" s="24">
        <f>IF(AND(K762=1,'ORDENES'!$N758="Pendiente"),1,0)</f>
        <v/>
      </c>
      <c r="R762" s="24">
        <f>IF(Q762=1,100000-N762*1000+755*0.01,9000000000000+755)</f>
        <v/>
      </c>
      <c r="S762" s="24">
        <f>IF(Q762=1,SUMPRODUCT(--($R$8:$R$1207&lt;R762))+1,"")</f>
        <v/>
      </c>
      <c r="T762" s="30">
        <f>IF(K762=1,'ORDENES'!$J758,"")</f>
        <v/>
      </c>
    </row>
    <row r="763">
      <c r="K763" s="24">
        <f>IF(AND(IF($B$3="(todos)",TRUE,'ORDENES'!$O759=$B$3),IF($D$3="(todos)",TRUE,'ORDENES'!$AI759=$D$3),IF($F$3="(todos)",TRUE,'ORDENES'!$AA759=$F$3),IF($H$3="(todos)",TRUE,'ORDENES'!$Z759=$H$3),'ORDENES'!$AG759=TRUE,'ORDENES'!$A759&lt;&gt;""),1,0)</f>
        <v/>
      </c>
      <c r="L763" s="24">
        <f>IF(K763=1,IFERROR(MATCH('ORDENES'!$S759,lista_dias,0),9)*1000000000+IFERROR(MATCH('ORDENES'!$AI759,lista_turnos,0),9)*10000000+IFERROR(MATCH('ORDENES'!$AH759,'TECNICOS'!$B$4:$B$19,0),99)*100000+756,9000000000000+756)</f>
        <v/>
      </c>
      <c r="M763" s="24">
        <f>IF(K763=1,SUMPRODUCT(--($L$8:$L$1207&lt;L763))+1,"")</f>
        <v/>
      </c>
      <c r="N763" s="25">
        <f>IF(K763=1,N('ORDENES'!$M759),0)</f>
        <v/>
      </c>
      <c r="O763" s="25">
        <f>IF('ORDENES'!$U759="preventiva",N763,0)</f>
        <v/>
      </c>
      <c r="P763" s="25">
        <f>IF('ORDENES'!$U759="correctiva",N763,0)</f>
        <v/>
      </c>
      <c r="Q763" s="24">
        <f>IF(AND(K763=1,'ORDENES'!$N759="Pendiente"),1,0)</f>
        <v/>
      </c>
      <c r="R763" s="24">
        <f>IF(Q763=1,100000-N763*1000+756*0.01,9000000000000+756)</f>
        <v/>
      </c>
      <c r="S763" s="24">
        <f>IF(Q763=1,SUMPRODUCT(--($R$8:$R$1207&lt;R763))+1,"")</f>
        <v/>
      </c>
      <c r="T763" s="30">
        <f>IF(K763=1,'ORDENES'!$J759,"")</f>
        <v/>
      </c>
    </row>
    <row r="764">
      <c r="K764" s="24">
        <f>IF(AND(IF($B$3="(todos)",TRUE,'ORDENES'!$O760=$B$3),IF($D$3="(todos)",TRUE,'ORDENES'!$AI760=$D$3),IF($F$3="(todos)",TRUE,'ORDENES'!$AA760=$F$3),IF($H$3="(todos)",TRUE,'ORDENES'!$Z760=$H$3),'ORDENES'!$AG760=TRUE,'ORDENES'!$A760&lt;&gt;""),1,0)</f>
        <v/>
      </c>
      <c r="L764" s="24">
        <f>IF(K764=1,IFERROR(MATCH('ORDENES'!$S760,lista_dias,0),9)*1000000000+IFERROR(MATCH('ORDENES'!$AI760,lista_turnos,0),9)*10000000+IFERROR(MATCH('ORDENES'!$AH760,'TECNICOS'!$B$4:$B$19,0),99)*100000+757,9000000000000+757)</f>
        <v/>
      </c>
      <c r="M764" s="24">
        <f>IF(K764=1,SUMPRODUCT(--($L$8:$L$1207&lt;L764))+1,"")</f>
        <v/>
      </c>
      <c r="N764" s="25">
        <f>IF(K764=1,N('ORDENES'!$M760),0)</f>
        <v/>
      </c>
      <c r="O764" s="25">
        <f>IF('ORDENES'!$U760="preventiva",N764,0)</f>
        <v/>
      </c>
      <c r="P764" s="25">
        <f>IF('ORDENES'!$U760="correctiva",N764,0)</f>
        <v/>
      </c>
      <c r="Q764" s="24">
        <f>IF(AND(K764=1,'ORDENES'!$N760="Pendiente"),1,0)</f>
        <v/>
      </c>
      <c r="R764" s="24">
        <f>IF(Q764=1,100000-N764*1000+757*0.01,9000000000000+757)</f>
        <v/>
      </c>
      <c r="S764" s="24">
        <f>IF(Q764=1,SUMPRODUCT(--($R$8:$R$1207&lt;R764))+1,"")</f>
        <v/>
      </c>
      <c r="T764" s="30">
        <f>IF(K764=1,'ORDENES'!$J760,"")</f>
        <v/>
      </c>
    </row>
    <row r="765">
      <c r="K765" s="24">
        <f>IF(AND(IF($B$3="(todos)",TRUE,'ORDENES'!$O761=$B$3),IF($D$3="(todos)",TRUE,'ORDENES'!$AI761=$D$3),IF($F$3="(todos)",TRUE,'ORDENES'!$AA761=$F$3),IF($H$3="(todos)",TRUE,'ORDENES'!$Z761=$H$3),'ORDENES'!$AG761=TRUE,'ORDENES'!$A761&lt;&gt;""),1,0)</f>
        <v/>
      </c>
      <c r="L765" s="24">
        <f>IF(K765=1,IFERROR(MATCH('ORDENES'!$S761,lista_dias,0),9)*1000000000+IFERROR(MATCH('ORDENES'!$AI761,lista_turnos,0),9)*10000000+IFERROR(MATCH('ORDENES'!$AH761,'TECNICOS'!$B$4:$B$19,0),99)*100000+758,9000000000000+758)</f>
        <v/>
      </c>
      <c r="M765" s="24">
        <f>IF(K765=1,SUMPRODUCT(--($L$8:$L$1207&lt;L765))+1,"")</f>
        <v/>
      </c>
      <c r="N765" s="25">
        <f>IF(K765=1,N('ORDENES'!$M761),0)</f>
        <v/>
      </c>
      <c r="O765" s="25">
        <f>IF('ORDENES'!$U761="preventiva",N765,0)</f>
        <v/>
      </c>
      <c r="P765" s="25">
        <f>IF('ORDENES'!$U761="correctiva",N765,0)</f>
        <v/>
      </c>
      <c r="Q765" s="24">
        <f>IF(AND(K765=1,'ORDENES'!$N761="Pendiente"),1,0)</f>
        <v/>
      </c>
      <c r="R765" s="24">
        <f>IF(Q765=1,100000-N765*1000+758*0.01,9000000000000+758)</f>
        <v/>
      </c>
      <c r="S765" s="24">
        <f>IF(Q765=1,SUMPRODUCT(--($R$8:$R$1207&lt;R765))+1,"")</f>
        <v/>
      </c>
      <c r="T765" s="30">
        <f>IF(K765=1,'ORDENES'!$J761,"")</f>
        <v/>
      </c>
    </row>
    <row r="766">
      <c r="K766" s="24">
        <f>IF(AND(IF($B$3="(todos)",TRUE,'ORDENES'!$O762=$B$3),IF($D$3="(todos)",TRUE,'ORDENES'!$AI762=$D$3),IF($F$3="(todos)",TRUE,'ORDENES'!$AA762=$F$3),IF($H$3="(todos)",TRUE,'ORDENES'!$Z762=$H$3),'ORDENES'!$AG762=TRUE,'ORDENES'!$A762&lt;&gt;""),1,0)</f>
        <v/>
      </c>
      <c r="L766" s="24">
        <f>IF(K766=1,IFERROR(MATCH('ORDENES'!$S762,lista_dias,0),9)*1000000000+IFERROR(MATCH('ORDENES'!$AI762,lista_turnos,0),9)*10000000+IFERROR(MATCH('ORDENES'!$AH762,'TECNICOS'!$B$4:$B$19,0),99)*100000+759,9000000000000+759)</f>
        <v/>
      </c>
      <c r="M766" s="24">
        <f>IF(K766=1,SUMPRODUCT(--($L$8:$L$1207&lt;L766))+1,"")</f>
        <v/>
      </c>
      <c r="N766" s="25">
        <f>IF(K766=1,N('ORDENES'!$M762),0)</f>
        <v/>
      </c>
      <c r="O766" s="25">
        <f>IF('ORDENES'!$U762="preventiva",N766,0)</f>
        <v/>
      </c>
      <c r="P766" s="25">
        <f>IF('ORDENES'!$U762="correctiva",N766,0)</f>
        <v/>
      </c>
      <c r="Q766" s="24">
        <f>IF(AND(K766=1,'ORDENES'!$N762="Pendiente"),1,0)</f>
        <v/>
      </c>
      <c r="R766" s="24">
        <f>IF(Q766=1,100000-N766*1000+759*0.01,9000000000000+759)</f>
        <v/>
      </c>
      <c r="S766" s="24">
        <f>IF(Q766=1,SUMPRODUCT(--($R$8:$R$1207&lt;R766))+1,"")</f>
        <v/>
      </c>
      <c r="T766" s="30">
        <f>IF(K766=1,'ORDENES'!$J762,"")</f>
        <v/>
      </c>
    </row>
    <row r="767">
      <c r="K767" s="24">
        <f>IF(AND(IF($B$3="(todos)",TRUE,'ORDENES'!$O763=$B$3),IF($D$3="(todos)",TRUE,'ORDENES'!$AI763=$D$3),IF($F$3="(todos)",TRUE,'ORDENES'!$AA763=$F$3),IF($H$3="(todos)",TRUE,'ORDENES'!$Z763=$H$3),'ORDENES'!$AG763=TRUE,'ORDENES'!$A763&lt;&gt;""),1,0)</f>
        <v/>
      </c>
      <c r="L767" s="24">
        <f>IF(K767=1,IFERROR(MATCH('ORDENES'!$S763,lista_dias,0),9)*1000000000+IFERROR(MATCH('ORDENES'!$AI763,lista_turnos,0),9)*10000000+IFERROR(MATCH('ORDENES'!$AH763,'TECNICOS'!$B$4:$B$19,0),99)*100000+760,9000000000000+760)</f>
        <v/>
      </c>
      <c r="M767" s="24">
        <f>IF(K767=1,SUMPRODUCT(--($L$8:$L$1207&lt;L767))+1,"")</f>
        <v/>
      </c>
      <c r="N767" s="25">
        <f>IF(K767=1,N('ORDENES'!$M763),0)</f>
        <v/>
      </c>
      <c r="O767" s="25">
        <f>IF('ORDENES'!$U763="preventiva",N767,0)</f>
        <v/>
      </c>
      <c r="P767" s="25">
        <f>IF('ORDENES'!$U763="correctiva",N767,0)</f>
        <v/>
      </c>
      <c r="Q767" s="24">
        <f>IF(AND(K767=1,'ORDENES'!$N763="Pendiente"),1,0)</f>
        <v/>
      </c>
      <c r="R767" s="24">
        <f>IF(Q767=1,100000-N767*1000+760*0.01,9000000000000+760)</f>
        <v/>
      </c>
      <c r="S767" s="24">
        <f>IF(Q767=1,SUMPRODUCT(--($R$8:$R$1207&lt;R767))+1,"")</f>
        <v/>
      </c>
      <c r="T767" s="30">
        <f>IF(K767=1,'ORDENES'!$J763,"")</f>
        <v/>
      </c>
    </row>
    <row r="768">
      <c r="K768" s="24">
        <f>IF(AND(IF($B$3="(todos)",TRUE,'ORDENES'!$O764=$B$3),IF($D$3="(todos)",TRUE,'ORDENES'!$AI764=$D$3),IF($F$3="(todos)",TRUE,'ORDENES'!$AA764=$F$3),IF($H$3="(todos)",TRUE,'ORDENES'!$Z764=$H$3),'ORDENES'!$AG764=TRUE,'ORDENES'!$A764&lt;&gt;""),1,0)</f>
        <v/>
      </c>
      <c r="L768" s="24">
        <f>IF(K768=1,IFERROR(MATCH('ORDENES'!$S764,lista_dias,0),9)*1000000000+IFERROR(MATCH('ORDENES'!$AI764,lista_turnos,0),9)*10000000+IFERROR(MATCH('ORDENES'!$AH764,'TECNICOS'!$B$4:$B$19,0),99)*100000+761,9000000000000+761)</f>
        <v/>
      </c>
      <c r="M768" s="24">
        <f>IF(K768=1,SUMPRODUCT(--($L$8:$L$1207&lt;L768))+1,"")</f>
        <v/>
      </c>
      <c r="N768" s="25">
        <f>IF(K768=1,N('ORDENES'!$M764),0)</f>
        <v/>
      </c>
      <c r="O768" s="25">
        <f>IF('ORDENES'!$U764="preventiva",N768,0)</f>
        <v/>
      </c>
      <c r="P768" s="25">
        <f>IF('ORDENES'!$U764="correctiva",N768,0)</f>
        <v/>
      </c>
      <c r="Q768" s="24">
        <f>IF(AND(K768=1,'ORDENES'!$N764="Pendiente"),1,0)</f>
        <v/>
      </c>
      <c r="R768" s="24">
        <f>IF(Q768=1,100000-N768*1000+761*0.01,9000000000000+761)</f>
        <v/>
      </c>
      <c r="S768" s="24">
        <f>IF(Q768=1,SUMPRODUCT(--($R$8:$R$1207&lt;R768))+1,"")</f>
        <v/>
      </c>
      <c r="T768" s="30">
        <f>IF(K768=1,'ORDENES'!$J764,"")</f>
        <v/>
      </c>
    </row>
    <row r="769">
      <c r="K769" s="24">
        <f>IF(AND(IF($B$3="(todos)",TRUE,'ORDENES'!$O765=$B$3),IF($D$3="(todos)",TRUE,'ORDENES'!$AI765=$D$3),IF($F$3="(todos)",TRUE,'ORDENES'!$AA765=$F$3),IF($H$3="(todos)",TRUE,'ORDENES'!$Z765=$H$3),'ORDENES'!$AG765=TRUE,'ORDENES'!$A765&lt;&gt;""),1,0)</f>
        <v/>
      </c>
      <c r="L769" s="24">
        <f>IF(K769=1,IFERROR(MATCH('ORDENES'!$S765,lista_dias,0),9)*1000000000+IFERROR(MATCH('ORDENES'!$AI765,lista_turnos,0),9)*10000000+IFERROR(MATCH('ORDENES'!$AH765,'TECNICOS'!$B$4:$B$19,0),99)*100000+762,9000000000000+762)</f>
        <v/>
      </c>
      <c r="M769" s="24">
        <f>IF(K769=1,SUMPRODUCT(--($L$8:$L$1207&lt;L769))+1,"")</f>
        <v/>
      </c>
      <c r="N769" s="25">
        <f>IF(K769=1,N('ORDENES'!$M765),0)</f>
        <v/>
      </c>
      <c r="O769" s="25">
        <f>IF('ORDENES'!$U765="preventiva",N769,0)</f>
        <v/>
      </c>
      <c r="P769" s="25">
        <f>IF('ORDENES'!$U765="correctiva",N769,0)</f>
        <v/>
      </c>
      <c r="Q769" s="24">
        <f>IF(AND(K769=1,'ORDENES'!$N765="Pendiente"),1,0)</f>
        <v/>
      </c>
      <c r="R769" s="24">
        <f>IF(Q769=1,100000-N769*1000+762*0.01,9000000000000+762)</f>
        <v/>
      </c>
      <c r="S769" s="24">
        <f>IF(Q769=1,SUMPRODUCT(--($R$8:$R$1207&lt;R769))+1,"")</f>
        <v/>
      </c>
      <c r="T769" s="30">
        <f>IF(K769=1,'ORDENES'!$J765,"")</f>
        <v/>
      </c>
    </row>
    <row r="770">
      <c r="K770" s="24">
        <f>IF(AND(IF($B$3="(todos)",TRUE,'ORDENES'!$O766=$B$3),IF($D$3="(todos)",TRUE,'ORDENES'!$AI766=$D$3),IF($F$3="(todos)",TRUE,'ORDENES'!$AA766=$F$3),IF($H$3="(todos)",TRUE,'ORDENES'!$Z766=$H$3),'ORDENES'!$AG766=TRUE,'ORDENES'!$A766&lt;&gt;""),1,0)</f>
        <v/>
      </c>
      <c r="L770" s="24">
        <f>IF(K770=1,IFERROR(MATCH('ORDENES'!$S766,lista_dias,0),9)*1000000000+IFERROR(MATCH('ORDENES'!$AI766,lista_turnos,0),9)*10000000+IFERROR(MATCH('ORDENES'!$AH766,'TECNICOS'!$B$4:$B$19,0),99)*100000+763,9000000000000+763)</f>
        <v/>
      </c>
      <c r="M770" s="24">
        <f>IF(K770=1,SUMPRODUCT(--($L$8:$L$1207&lt;L770))+1,"")</f>
        <v/>
      </c>
      <c r="N770" s="25">
        <f>IF(K770=1,N('ORDENES'!$M766),0)</f>
        <v/>
      </c>
      <c r="O770" s="25">
        <f>IF('ORDENES'!$U766="preventiva",N770,0)</f>
        <v/>
      </c>
      <c r="P770" s="25">
        <f>IF('ORDENES'!$U766="correctiva",N770,0)</f>
        <v/>
      </c>
      <c r="Q770" s="24">
        <f>IF(AND(K770=1,'ORDENES'!$N766="Pendiente"),1,0)</f>
        <v/>
      </c>
      <c r="R770" s="24">
        <f>IF(Q770=1,100000-N770*1000+763*0.01,9000000000000+763)</f>
        <v/>
      </c>
      <c r="S770" s="24">
        <f>IF(Q770=1,SUMPRODUCT(--($R$8:$R$1207&lt;R770))+1,"")</f>
        <v/>
      </c>
      <c r="T770" s="30">
        <f>IF(K770=1,'ORDENES'!$J766,"")</f>
        <v/>
      </c>
    </row>
    <row r="771">
      <c r="K771" s="24">
        <f>IF(AND(IF($B$3="(todos)",TRUE,'ORDENES'!$O767=$B$3),IF($D$3="(todos)",TRUE,'ORDENES'!$AI767=$D$3),IF($F$3="(todos)",TRUE,'ORDENES'!$AA767=$F$3),IF($H$3="(todos)",TRUE,'ORDENES'!$Z767=$H$3),'ORDENES'!$AG767=TRUE,'ORDENES'!$A767&lt;&gt;""),1,0)</f>
        <v/>
      </c>
      <c r="L771" s="24">
        <f>IF(K771=1,IFERROR(MATCH('ORDENES'!$S767,lista_dias,0),9)*1000000000+IFERROR(MATCH('ORDENES'!$AI767,lista_turnos,0),9)*10000000+IFERROR(MATCH('ORDENES'!$AH767,'TECNICOS'!$B$4:$B$19,0),99)*100000+764,9000000000000+764)</f>
        <v/>
      </c>
      <c r="M771" s="24">
        <f>IF(K771=1,SUMPRODUCT(--($L$8:$L$1207&lt;L771))+1,"")</f>
        <v/>
      </c>
      <c r="N771" s="25">
        <f>IF(K771=1,N('ORDENES'!$M767),0)</f>
        <v/>
      </c>
      <c r="O771" s="25">
        <f>IF('ORDENES'!$U767="preventiva",N771,0)</f>
        <v/>
      </c>
      <c r="P771" s="25">
        <f>IF('ORDENES'!$U767="correctiva",N771,0)</f>
        <v/>
      </c>
      <c r="Q771" s="24">
        <f>IF(AND(K771=1,'ORDENES'!$N767="Pendiente"),1,0)</f>
        <v/>
      </c>
      <c r="R771" s="24">
        <f>IF(Q771=1,100000-N771*1000+764*0.01,9000000000000+764)</f>
        <v/>
      </c>
      <c r="S771" s="24">
        <f>IF(Q771=1,SUMPRODUCT(--($R$8:$R$1207&lt;R771))+1,"")</f>
        <v/>
      </c>
      <c r="T771" s="30">
        <f>IF(K771=1,'ORDENES'!$J767,"")</f>
        <v/>
      </c>
    </row>
    <row r="772">
      <c r="K772" s="24">
        <f>IF(AND(IF($B$3="(todos)",TRUE,'ORDENES'!$O768=$B$3),IF($D$3="(todos)",TRUE,'ORDENES'!$AI768=$D$3),IF($F$3="(todos)",TRUE,'ORDENES'!$AA768=$F$3),IF($H$3="(todos)",TRUE,'ORDENES'!$Z768=$H$3),'ORDENES'!$AG768=TRUE,'ORDENES'!$A768&lt;&gt;""),1,0)</f>
        <v/>
      </c>
      <c r="L772" s="24">
        <f>IF(K772=1,IFERROR(MATCH('ORDENES'!$S768,lista_dias,0),9)*1000000000+IFERROR(MATCH('ORDENES'!$AI768,lista_turnos,0),9)*10000000+IFERROR(MATCH('ORDENES'!$AH768,'TECNICOS'!$B$4:$B$19,0),99)*100000+765,9000000000000+765)</f>
        <v/>
      </c>
      <c r="M772" s="24">
        <f>IF(K772=1,SUMPRODUCT(--($L$8:$L$1207&lt;L772))+1,"")</f>
        <v/>
      </c>
      <c r="N772" s="25">
        <f>IF(K772=1,N('ORDENES'!$M768),0)</f>
        <v/>
      </c>
      <c r="O772" s="25">
        <f>IF('ORDENES'!$U768="preventiva",N772,0)</f>
        <v/>
      </c>
      <c r="P772" s="25">
        <f>IF('ORDENES'!$U768="correctiva",N772,0)</f>
        <v/>
      </c>
      <c r="Q772" s="24">
        <f>IF(AND(K772=1,'ORDENES'!$N768="Pendiente"),1,0)</f>
        <v/>
      </c>
      <c r="R772" s="24">
        <f>IF(Q772=1,100000-N772*1000+765*0.01,9000000000000+765)</f>
        <v/>
      </c>
      <c r="S772" s="24">
        <f>IF(Q772=1,SUMPRODUCT(--($R$8:$R$1207&lt;R772))+1,"")</f>
        <v/>
      </c>
      <c r="T772" s="30">
        <f>IF(K772=1,'ORDENES'!$J768,"")</f>
        <v/>
      </c>
    </row>
    <row r="773">
      <c r="K773" s="24">
        <f>IF(AND(IF($B$3="(todos)",TRUE,'ORDENES'!$O769=$B$3),IF($D$3="(todos)",TRUE,'ORDENES'!$AI769=$D$3),IF($F$3="(todos)",TRUE,'ORDENES'!$AA769=$F$3),IF($H$3="(todos)",TRUE,'ORDENES'!$Z769=$H$3),'ORDENES'!$AG769=TRUE,'ORDENES'!$A769&lt;&gt;""),1,0)</f>
        <v/>
      </c>
      <c r="L773" s="24">
        <f>IF(K773=1,IFERROR(MATCH('ORDENES'!$S769,lista_dias,0),9)*1000000000+IFERROR(MATCH('ORDENES'!$AI769,lista_turnos,0),9)*10000000+IFERROR(MATCH('ORDENES'!$AH769,'TECNICOS'!$B$4:$B$19,0),99)*100000+766,9000000000000+766)</f>
        <v/>
      </c>
      <c r="M773" s="24">
        <f>IF(K773=1,SUMPRODUCT(--($L$8:$L$1207&lt;L773))+1,"")</f>
        <v/>
      </c>
      <c r="N773" s="25">
        <f>IF(K773=1,N('ORDENES'!$M769),0)</f>
        <v/>
      </c>
      <c r="O773" s="25">
        <f>IF('ORDENES'!$U769="preventiva",N773,0)</f>
        <v/>
      </c>
      <c r="P773" s="25">
        <f>IF('ORDENES'!$U769="correctiva",N773,0)</f>
        <v/>
      </c>
      <c r="Q773" s="24">
        <f>IF(AND(K773=1,'ORDENES'!$N769="Pendiente"),1,0)</f>
        <v/>
      </c>
      <c r="R773" s="24">
        <f>IF(Q773=1,100000-N773*1000+766*0.01,9000000000000+766)</f>
        <v/>
      </c>
      <c r="S773" s="24">
        <f>IF(Q773=1,SUMPRODUCT(--($R$8:$R$1207&lt;R773))+1,"")</f>
        <v/>
      </c>
      <c r="T773" s="30">
        <f>IF(K773=1,'ORDENES'!$J769,"")</f>
        <v/>
      </c>
    </row>
    <row r="774">
      <c r="K774" s="24">
        <f>IF(AND(IF($B$3="(todos)",TRUE,'ORDENES'!$O770=$B$3),IF($D$3="(todos)",TRUE,'ORDENES'!$AI770=$D$3),IF($F$3="(todos)",TRUE,'ORDENES'!$AA770=$F$3),IF($H$3="(todos)",TRUE,'ORDENES'!$Z770=$H$3),'ORDENES'!$AG770=TRUE,'ORDENES'!$A770&lt;&gt;""),1,0)</f>
        <v/>
      </c>
      <c r="L774" s="24">
        <f>IF(K774=1,IFERROR(MATCH('ORDENES'!$S770,lista_dias,0),9)*1000000000+IFERROR(MATCH('ORDENES'!$AI770,lista_turnos,0),9)*10000000+IFERROR(MATCH('ORDENES'!$AH770,'TECNICOS'!$B$4:$B$19,0),99)*100000+767,9000000000000+767)</f>
        <v/>
      </c>
      <c r="M774" s="24">
        <f>IF(K774=1,SUMPRODUCT(--($L$8:$L$1207&lt;L774))+1,"")</f>
        <v/>
      </c>
      <c r="N774" s="25">
        <f>IF(K774=1,N('ORDENES'!$M770),0)</f>
        <v/>
      </c>
      <c r="O774" s="25">
        <f>IF('ORDENES'!$U770="preventiva",N774,0)</f>
        <v/>
      </c>
      <c r="P774" s="25">
        <f>IF('ORDENES'!$U770="correctiva",N774,0)</f>
        <v/>
      </c>
      <c r="Q774" s="24">
        <f>IF(AND(K774=1,'ORDENES'!$N770="Pendiente"),1,0)</f>
        <v/>
      </c>
      <c r="R774" s="24">
        <f>IF(Q774=1,100000-N774*1000+767*0.01,9000000000000+767)</f>
        <v/>
      </c>
      <c r="S774" s="24">
        <f>IF(Q774=1,SUMPRODUCT(--($R$8:$R$1207&lt;R774))+1,"")</f>
        <v/>
      </c>
      <c r="T774" s="30">
        <f>IF(K774=1,'ORDENES'!$J770,"")</f>
        <v/>
      </c>
    </row>
    <row r="775">
      <c r="K775" s="24">
        <f>IF(AND(IF($B$3="(todos)",TRUE,'ORDENES'!$O771=$B$3),IF($D$3="(todos)",TRUE,'ORDENES'!$AI771=$D$3),IF($F$3="(todos)",TRUE,'ORDENES'!$AA771=$F$3),IF($H$3="(todos)",TRUE,'ORDENES'!$Z771=$H$3),'ORDENES'!$AG771=TRUE,'ORDENES'!$A771&lt;&gt;""),1,0)</f>
        <v/>
      </c>
      <c r="L775" s="24">
        <f>IF(K775=1,IFERROR(MATCH('ORDENES'!$S771,lista_dias,0),9)*1000000000+IFERROR(MATCH('ORDENES'!$AI771,lista_turnos,0),9)*10000000+IFERROR(MATCH('ORDENES'!$AH771,'TECNICOS'!$B$4:$B$19,0),99)*100000+768,9000000000000+768)</f>
        <v/>
      </c>
      <c r="M775" s="24">
        <f>IF(K775=1,SUMPRODUCT(--($L$8:$L$1207&lt;L775))+1,"")</f>
        <v/>
      </c>
      <c r="N775" s="25">
        <f>IF(K775=1,N('ORDENES'!$M771),0)</f>
        <v/>
      </c>
      <c r="O775" s="25">
        <f>IF('ORDENES'!$U771="preventiva",N775,0)</f>
        <v/>
      </c>
      <c r="P775" s="25">
        <f>IF('ORDENES'!$U771="correctiva",N775,0)</f>
        <v/>
      </c>
      <c r="Q775" s="24">
        <f>IF(AND(K775=1,'ORDENES'!$N771="Pendiente"),1,0)</f>
        <v/>
      </c>
      <c r="R775" s="24">
        <f>IF(Q775=1,100000-N775*1000+768*0.01,9000000000000+768)</f>
        <v/>
      </c>
      <c r="S775" s="24">
        <f>IF(Q775=1,SUMPRODUCT(--($R$8:$R$1207&lt;R775))+1,"")</f>
        <v/>
      </c>
      <c r="T775" s="30">
        <f>IF(K775=1,'ORDENES'!$J771,"")</f>
        <v/>
      </c>
    </row>
    <row r="776">
      <c r="K776" s="24">
        <f>IF(AND(IF($B$3="(todos)",TRUE,'ORDENES'!$O772=$B$3),IF($D$3="(todos)",TRUE,'ORDENES'!$AI772=$D$3),IF($F$3="(todos)",TRUE,'ORDENES'!$AA772=$F$3),IF($H$3="(todos)",TRUE,'ORDENES'!$Z772=$H$3),'ORDENES'!$AG772=TRUE,'ORDENES'!$A772&lt;&gt;""),1,0)</f>
        <v/>
      </c>
      <c r="L776" s="24">
        <f>IF(K776=1,IFERROR(MATCH('ORDENES'!$S772,lista_dias,0),9)*1000000000+IFERROR(MATCH('ORDENES'!$AI772,lista_turnos,0),9)*10000000+IFERROR(MATCH('ORDENES'!$AH772,'TECNICOS'!$B$4:$B$19,0),99)*100000+769,9000000000000+769)</f>
        <v/>
      </c>
      <c r="M776" s="24">
        <f>IF(K776=1,SUMPRODUCT(--($L$8:$L$1207&lt;L776))+1,"")</f>
        <v/>
      </c>
      <c r="N776" s="25">
        <f>IF(K776=1,N('ORDENES'!$M772),0)</f>
        <v/>
      </c>
      <c r="O776" s="25">
        <f>IF('ORDENES'!$U772="preventiva",N776,0)</f>
        <v/>
      </c>
      <c r="P776" s="25">
        <f>IF('ORDENES'!$U772="correctiva",N776,0)</f>
        <v/>
      </c>
      <c r="Q776" s="24">
        <f>IF(AND(K776=1,'ORDENES'!$N772="Pendiente"),1,0)</f>
        <v/>
      </c>
      <c r="R776" s="24">
        <f>IF(Q776=1,100000-N776*1000+769*0.01,9000000000000+769)</f>
        <v/>
      </c>
      <c r="S776" s="24">
        <f>IF(Q776=1,SUMPRODUCT(--($R$8:$R$1207&lt;R776))+1,"")</f>
        <v/>
      </c>
      <c r="T776" s="30">
        <f>IF(K776=1,'ORDENES'!$J772,"")</f>
        <v/>
      </c>
    </row>
    <row r="777">
      <c r="K777" s="24">
        <f>IF(AND(IF($B$3="(todos)",TRUE,'ORDENES'!$O773=$B$3),IF($D$3="(todos)",TRUE,'ORDENES'!$AI773=$D$3),IF($F$3="(todos)",TRUE,'ORDENES'!$AA773=$F$3),IF($H$3="(todos)",TRUE,'ORDENES'!$Z773=$H$3),'ORDENES'!$AG773=TRUE,'ORDENES'!$A773&lt;&gt;""),1,0)</f>
        <v/>
      </c>
      <c r="L777" s="24">
        <f>IF(K777=1,IFERROR(MATCH('ORDENES'!$S773,lista_dias,0),9)*1000000000+IFERROR(MATCH('ORDENES'!$AI773,lista_turnos,0),9)*10000000+IFERROR(MATCH('ORDENES'!$AH773,'TECNICOS'!$B$4:$B$19,0),99)*100000+770,9000000000000+770)</f>
        <v/>
      </c>
      <c r="M777" s="24">
        <f>IF(K777=1,SUMPRODUCT(--($L$8:$L$1207&lt;L777))+1,"")</f>
        <v/>
      </c>
      <c r="N777" s="25">
        <f>IF(K777=1,N('ORDENES'!$M773),0)</f>
        <v/>
      </c>
      <c r="O777" s="25">
        <f>IF('ORDENES'!$U773="preventiva",N777,0)</f>
        <v/>
      </c>
      <c r="P777" s="25">
        <f>IF('ORDENES'!$U773="correctiva",N777,0)</f>
        <v/>
      </c>
      <c r="Q777" s="24">
        <f>IF(AND(K777=1,'ORDENES'!$N773="Pendiente"),1,0)</f>
        <v/>
      </c>
      <c r="R777" s="24">
        <f>IF(Q777=1,100000-N777*1000+770*0.01,9000000000000+770)</f>
        <v/>
      </c>
      <c r="S777" s="24">
        <f>IF(Q777=1,SUMPRODUCT(--($R$8:$R$1207&lt;R777))+1,"")</f>
        <v/>
      </c>
      <c r="T777" s="30">
        <f>IF(K777=1,'ORDENES'!$J773,"")</f>
        <v/>
      </c>
    </row>
    <row r="778">
      <c r="K778" s="24">
        <f>IF(AND(IF($B$3="(todos)",TRUE,'ORDENES'!$O774=$B$3),IF($D$3="(todos)",TRUE,'ORDENES'!$AI774=$D$3),IF($F$3="(todos)",TRUE,'ORDENES'!$AA774=$F$3),IF($H$3="(todos)",TRUE,'ORDENES'!$Z774=$H$3),'ORDENES'!$AG774=TRUE,'ORDENES'!$A774&lt;&gt;""),1,0)</f>
        <v/>
      </c>
      <c r="L778" s="24">
        <f>IF(K778=1,IFERROR(MATCH('ORDENES'!$S774,lista_dias,0),9)*1000000000+IFERROR(MATCH('ORDENES'!$AI774,lista_turnos,0),9)*10000000+IFERROR(MATCH('ORDENES'!$AH774,'TECNICOS'!$B$4:$B$19,0),99)*100000+771,9000000000000+771)</f>
        <v/>
      </c>
      <c r="M778" s="24">
        <f>IF(K778=1,SUMPRODUCT(--($L$8:$L$1207&lt;L778))+1,"")</f>
        <v/>
      </c>
      <c r="N778" s="25">
        <f>IF(K778=1,N('ORDENES'!$M774),0)</f>
        <v/>
      </c>
      <c r="O778" s="25">
        <f>IF('ORDENES'!$U774="preventiva",N778,0)</f>
        <v/>
      </c>
      <c r="P778" s="25">
        <f>IF('ORDENES'!$U774="correctiva",N778,0)</f>
        <v/>
      </c>
      <c r="Q778" s="24">
        <f>IF(AND(K778=1,'ORDENES'!$N774="Pendiente"),1,0)</f>
        <v/>
      </c>
      <c r="R778" s="24">
        <f>IF(Q778=1,100000-N778*1000+771*0.01,9000000000000+771)</f>
        <v/>
      </c>
      <c r="S778" s="24">
        <f>IF(Q778=1,SUMPRODUCT(--($R$8:$R$1207&lt;R778))+1,"")</f>
        <v/>
      </c>
      <c r="T778" s="30">
        <f>IF(K778=1,'ORDENES'!$J774,"")</f>
        <v/>
      </c>
    </row>
    <row r="779">
      <c r="K779" s="24">
        <f>IF(AND(IF($B$3="(todos)",TRUE,'ORDENES'!$O775=$B$3),IF($D$3="(todos)",TRUE,'ORDENES'!$AI775=$D$3),IF($F$3="(todos)",TRUE,'ORDENES'!$AA775=$F$3),IF($H$3="(todos)",TRUE,'ORDENES'!$Z775=$H$3),'ORDENES'!$AG775=TRUE,'ORDENES'!$A775&lt;&gt;""),1,0)</f>
        <v/>
      </c>
      <c r="L779" s="24">
        <f>IF(K779=1,IFERROR(MATCH('ORDENES'!$S775,lista_dias,0),9)*1000000000+IFERROR(MATCH('ORDENES'!$AI775,lista_turnos,0),9)*10000000+IFERROR(MATCH('ORDENES'!$AH775,'TECNICOS'!$B$4:$B$19,0),99)*100000+772,9000000000000+772)</f>
        <v/>
      </c>
      <c r="M779" s="24">
        <f>IF(K779=1,SUMPRODUCT(--($L$8:$L$1207&lt;L779))+1,"")</f>
        <v/>
      </c>
      <c r="N779" s="25">
        <f>IF(K779=1,N('ORDENES'!$M775),0)</f>
        <v/>
      </c>
      <c r="O779" s="25">
        <f>IF('ORDENES'!$U775="preventiva",N779,0)</f>
        <v/>
      </c>
      <c r="P779" s="25">
        <f>IF('ORDENES'!$U775="correctiva",N779,0)</f>
        <v/>
      </c>
      <c r="Q779" s="24">
        <f>IF(AND(K779=1,'ORDENES'!$N775="Pendiente"),1,0)</f>
        <v/>
      </c>
      <c r="R779" s="24">
        <f>IF(Q779=1,100000-N779*1000+772*0.01,9000000000000+772)</f>
        <v/>
      </c>
      <c r="S779" s="24">
        <f>IF(Q779=1,SUMPRODUCT(--($R$8:$R$1207&lt;R779))+1,"")</f>
        <v/>
      </c>
      <c r="T779" s="30">
        <f>IF(K779=1,'ORDENES'!$J775,"")</f>
        <v/>
      </c>
    </row>
    <row r="780">
      <c r="K780" s="24">
        <f>IF(AND(IF($B$3="(todos)",TRUE,'ORDENES'!$O776=$B$3),IF($D$3="(todos)",TRUE,'ORDENES'!$AI776=$D$3),IF($F$3="(todos)",TRUE,'ORDENES'!$AA776=$F$3),IF($H$3="(todos)",TRUE,'ORDENES'!$Z776=$H$3),'ORDENES'!$AG776=TRUE,'ORDENES'!$A776&lt;&gt;""),1,0)</f>
        <v/>
      </c>
      <c r="L780" s="24">
        <f>IF(K780=1,IFERROR(MATCH('ORDENES'!$S776,lista_dias,0),9)*1000000000+IFERROR(MATCH('ORDENES'!$AI776,lista_turnos,0),9)*10000000+IFERROR(MATCH('ORDENES'!$AH776,'TECNICOS'!$B$4:$B$19,0),99)*100000+773,9000000000000+773)</f>
        <v/>
      </c>
      <c r="M780" s="24">
        <f>IF(K780=1,SUMPRODUCT(--($L$8:$L$1207&lt;L780))+1,"")</f>
        <v/>
      </c>
      <c r="N780" s="25">
        <f>IF(K780=1,N('ORDENES'!$M776),0)</f>
        <v/>
      </c>
      <c r="O780" s="25">
        <f>IF('ORDENES'!$U776="preventiva",N780,0)</f>
        <v/>
      </c>
      <c r="P780" s="25">
        <f>IF('ORDENES'!$U776="correctiva",N780,0)</f>
        <v/>
      </c>
      <c r="Q780" s="24">
        <f>IF(AND(K780=1,'ORDENES'!$N776="Pendiente"),1,0)</f>
        <v/>
      </c>
      <c r="R780" s="24">
        <f>IF(Q780=1,100000-N780*1000+773*0.01,9000000000000+773)</f>
        <v/>
      </c>
      <c r="S780" s="24">
        <f>IF(Q780=1,SUMPRODUCT(--($R$8:$R$1207&lt;R780))+1,"")</f>
        <v/>
      </c>
      <c r="T780" s="30">
        <f>IF(K780=1,'ORDENES'!$J776,"")</f>
        <v/>
      </c>
    </row>
    <row r="781">
      <c r="K781" s="24">
        <f>IF(AND(IF($B$3="(todos)",TRUE,'ORDENES'!$O777=$B$3),IF($D$3="(todos)",TRUE,'ORDENES'!$AI777=$D$3),IF($F$3="(todos)",TRUE,'ORDENES'!$AA777=$F$3),IF($H$3="(todos)",TRUE,'ORDENES'!$Z777=$H$3),'ORDENES'!$AG777=TRUE,'ORDENES'!$A777&lt;&gt;""),1,0)</f>
        <v/>
      </c>
      <c r="L781" s="24">
        <f>IF(K781=1,IFERROR(MATCH('ORDENES'!$S777,lista_dias,0),9)*1000000000+IFERROR(MATCH('ORDENES'!$AI777,lista_turnos,0),9)*10000000+IFERROR(MATCH('ORDENES'!$AH777,'TECNICOS'!$B$4:$B$19,0),99)*100000+774,9000000000000+774)</f>
        <v/>
      </c>
      <c r="M781" s="24">
        <f>IF(K781=1,SUMPRODUCT(--($L$8:$L$1207&lt;L781))+1,"")</f>
        <v/>
      </c>
      <c r="N781" s="25">
        <f>IF(K781=1,N('ORDENES'!$M777),0)</f>
        <v/>
      </c>
      <c r="O781" s="25">
        <f>IF('ORDENES'!$U777="preventiva",N781,0)</f>
        <v/>
      </c>
      <c r="P781" s="25">
        <f>IF('ORDENES'!$U777="correctiva",N781,0)</f>
        <v/>
      </c>
      <c r="Q781" s="24">
        <f>IF(AND(K781=1,'ORDENES'!$N777="Pendiente"),1,0)</f>
        <v/>
      </c>
      <c r="R781" s="24">
        <f>IF(Q781=1,100000-N781*1000+774*0.01,9000000000000+774)</f>
        <v/>
      </c>
      <c r="S781" s="24">
        <f>IF(Q781=1,SUMPRODUCT(--($R$8:$R$1207&lt;R781))+1,"")</f>
        <v/>
      </c>
      <c r="T781" s="30">
        <f>IF(K781=1,'ORDENES'!$J777,"")</f>
        <v/>
      </c>
    </row>
    <row r="782">
      <c r="K782" s="24">
        <f>IF(AND(IF($B$3="(todos)",TRUE,'ORDENES'!$O778=$B$3),IF($D$3="(todos)",TRUE,'ORDENES'!$AI778=$D$3),IF($F$3="(todos)",TRUE,'ORDENES'!$AA778=$F$3),IF($H$3="(todos)",TRUE,'ORDENES'!$Z778=$H$3),'ORDENES'!$AG778=TRUE,'ORDENES'!$A778&lt;&gt;""),1,0)</f>
        <v/>
      </c>
      <c r="L782" s="24">
        <f>IF(K782=1,IFERROR(MATCH('ORDENES'!$S778,lista_dias,0),9)*1000000000+IFERROR(MATCH('ORDENES'!$AI778,lista_turnos,0),9)*10000000+IFERROR(MATCH('ORDENES'!$AH778,'TECNICOS'!$B$4:$B$19,0),99)*100000+775,9000000000000+775)</f>
        <v/>
      </c>
      <c r="M782" s="24">
        <f>IF(K782=1,SUMPRODUCT(--($L$8:$L$1207&lt;L782))+1,"")</f>
        <v/>
      </c>
      <c r="N782" s="25">
        <f>IF(K782=1,N('ORDENES'!$M778),0)</f>
        <v/>
      </c>
      <c r="O782" s="25">
        <f>IF('ORDENES'!$U778="preventiva",N782,0)</f>
        <v/>
      </c>
      <c r="P782" s="25">
        <f>IF('ORDENES'!$U778="correctiva",N782,0)</f>
        <v/>
      </c>
      <c r="Q782" s="24">
        <f>IF(AND(K782=1,'ORDENES'!$N778="Pendiente"),1,0)</f>
        <v/>
      </c>
      <c r="R782" s="24">
        <f>IF(Q782=1,100000-N782*1000+775*0.01,9000000000000+775)</f>
        <v/>
      </c>
      <c r="S782" s="24">
        <f>IF(Q782=1,SUMPRODUCT(--($R$8:$R$1207&lt;R782))+1,"")</f>
        <v/>
      </c>
      <c r="T782" s="30">
        <f>IF(K782=1,'ORDENES'!$J778,"")</f>
        <v/>
      </c>
    </row>
    <row r="783">
      <c r="K783" s="24">
        <f>IF(AND(IF($B$3="(todos)",TRUE,'ORDENES'!$O779=$B$3),IF($D$3="(todos)",TRUE,'ORDENES'!$AI779=$D$3),IF($F$3="(todos)",TRUE,'ORDENES'!$AA779=$F$3),IF($H$3="(todos)",TRUE,'ORDENES'!$Z779=$H$3),'ORDENES'!$AG779=TRUE,'ORDENES'!$A779&lt;&gt;""),1,0)</f>
        <v/>
      </c>
      <c r="L783" s="24">
        <f>IF(K783=1,IFERROR(MATCH('ORDENES'!$S779,lista_dias,0),9)*1000000000+IFERROR(MATCH('ORDENES'!$AI779,lista_turnos,0),9)*10000000+IFERROR(MATCH('ORDENES'!$AH779,'TECNICOS'!$B$4:$B$19,0),99)*100000+776,9000000000000+776)</f>
        <v/>
      </c>
      <c r="M783" s="24">
        <f>IF(K783=1,SUMPRODUCT(--($L$8:$L$1207&lt;L783))+1,"")</f>
        <v/>
      </c>
      <c r="N783" s="25">
        <f>IF(K783=1,N('ORDENES'!$M779),0)</f>
        <v/>
      </c>
      <c r="O783" s="25">
        <f>IF('ORDENES'!$U779="preventiva",N783,0)</f>
        <v/>
      </c>
      <c r="P783" s="25">
        <f>IF('ORDENES'!$U779="correctiva",N783,0)</f>
        <v/>
      </c>
      <c r="Q783" s="24">
        <f>IF(AND(K783=1,'ORDENES'!$N779="Pendiente"),1,0)</f>
        <v/>
      </c>
      <c r="R783" s="24">
        <f>IF(Q783=1,100000-N783*1000+776*0.01,9000000000000+776)</f>
        <v/>
      </c>
      <c r="S783" s="24">
        <f>IF(Q783=1,SUMPRODUCT(--($R$8:$R$1207&lt;R783))+1,"")</f>
        <v/>
      </c>
      <c r="T783" s="30">
        <f>IF(K783=1,'ORDENES'!$J779,"")</f>
        <v/>
      </c>
    </row>
    <row r="784">
      <c r="K784" s="24">
        <f>IF(AND(IF($B$3="(todos)",TRUE,'ORDENES'!$O780=$B$3),IF($D$3="(todos)",TRUE,'ORDENES'!$AI780=$D$3),IF($F$3="(todos)",TRUE,'ORDENES'!$AA780=$F$3),IF($H$3="(todos)",TRUE,'ORDENES'!$Z780=$H$3),'ORDENES'!$AG780=TRUE,'ORDENES'!$A780&lt;&gt;""),1,0)</f>
        <v/>
      </c>
      <c r="L784" s="24">
        <f>IF(K784=1,IFERROR(MATCH('ORDENES'!$S780,lista_dias,0),9)*1000000000+IFERROR(MATCH('ORDENES'!$AI780,lista_turnos,0),9)*10000000+IFERROR(MATCH('ORDENES'!$AH780,'TECNICOS'!$B$4:$B$19,0),99)*100000+777,9000000000000+777)</f>
        <v/>
      </c>
      <c r="M784" s="24">
        <f>IF(K784=1,SUMPRODUCT(--($L$8:$L$1207&lt;L784))+1,"")</f>
        <v/>
      </c>
      <c r="N784" s="25">
        <f>IF(K784=1,N('ORDENES'!$M780),0)</f>
        <v/>
      </c>
      <c r="O784" s="25">
        <f>IF('ORDENES'!$U780="preventiva",N784,0)</f>
        <v/>
      </c>
      <c r="P784" s="25">
        <f>IF('ORDENES'!$U780="correctiva",N784,0)</f>
        <v/>
      </c>
      <c r="Q784" s="24">
        <f>IF(AND(K784=1,'ORDENES'!$N780="Pendiente"),1,0)</f>
        <v/>
      </c>
      <c r="R784" s="24">
        <f>IF(Q784=1,100000-N784*1000+777*0.01,9000000000000+777)</f>
        <v/>
      </c>
      <c r="S784" s="24">
        <f>IF(Q784=1,SUMPRODUCT(--($R$8:$R$1207&lt;R784))+1,"")</f>
        <v/>
      </c>
      <c r="T784" s="30">
        <f>IF(K784=1,'ORDENES'!$J780,"")</f>
        <v/>
      </c>
    </row>
    <row r="785">
      <c r="K785" s="24">
        <f>IF(AND(IF($B$3="(todos)",TRUE,'ORDENES'!$O781=$B$3),IF($D$3="(todos)",TRUE,'ORDENES'!$AI781=$D$3),IF($F$3="(todos)",TRUE,'ORDENES'!$AA781=$F$3),IF($H$3="(todos)",TRUE,'ORDENES'!$Z781=$H$3),'ORDENES'!$AG781=TRUE,'ORDENES'!$A781&lt;&gt;""),1,0)</f>
        <v/>
      </c>
      <c r="L785" s="24">
        <f>IF(K785=1,IFERROR(MATCH('ORDENES'!$S781,lista_dias,0),9)*1000000000+IFERROR(MATCH('ORDENES'!$AI781,lista_turnos,0),9)*10000000+IFERROR(MATCH('ORDENES'!$AH781,'TECNICOS'!$B$4:$B$19,0),99)*100000+778,9000000000000+778)</f>
        <v/>
      </c>
      <c r="M785" s="24">
        <f>IF(K785=1,SUMPRODUCT(--($L$8:$L$1207&lt;L785))+1,"")</f>
        <v/>
      </c>
      <c r="N785" s="25">
        <f>IF(K785=1,N('ORDENES'!$M781),0)</f>
        <v/>
      </c>
      <c r="O785" s="25">
        <f>IF('ORDENES'!$U781="preventiva",N785,0)</f>
        <v/>
      </c>
      <c r="P785" s="25">
        <f>IF('ORDENES'!$U781="correctiva",N785,0)</f>
        <v/>
      </c>
      <c r="Q785" s="24">
        <f>IF(AND(K785=1,'ORDENES'!$N781="Pendiente"),1,0)</f>
        <v/>
      </c>
      <c r="R785" s="24">
        <f>IF(Q785=1,100000-N785*1000+778*0.01,9000000000000+778)</f>
        <v/>
      </c>
      <c r="S785" s="24">
        <f>IF(Q785=1,SUMPRODUCT(--($R$8:$R$1207&lt;R785))+1,"")</f>
        <v/>
      </c>
      <c r="T785" s="30">
        <f>IF(K785=1,'ORDENES'!$J781,"")</f>
        <v/>
      </c>
    </row>
    <row r="786">
      <c r="K786" s="24">
        <f>IF(AND(IF($B$3="(todos)",TRUE,'ORDENES'!$O782=$B$3),IF($D$3="(todos)",TRUE,'ORDENES'!$AI782=$D$3),IF($F$3="(todos)",TRUE,'ORDENES'!$AA782=$F$3),IF($H$3="(todos)",TRUE,'ORDENES'!$Z782=$H$3),'ORDENES'!$AG782=TRUE,'ORDENES'!$A782&lt;&gt;""),1,0)</f>
        <v/>
      </c>
      <c r="L786" s="24">
        <f>IF(K786=1,IFERROR(MATCH('ORDENES'!$S782,lista_dias,0),9)*1000000000+IFERROR(MATCH('ORDENES'!$AI782,lista_turnos,0),9)*10000000+IFERROR(MATCH('ORDENES'!$AH782,'TECNICOS'!$B$4:$B$19,0),99)*100000+779,9000000000000+779)</f>
        <v/>
      </c>
      <c r="M786" s="24">
        <f>IF(K786=1,SUMPRODUCT(--($L$8:$L$1207&lt;L786))+1,"")</f>
        <v/>
      </c>
      <c r="N786" s="25">
        <f>IF(K786=1,N('ORDENES'!$M782),0)</f>
        <v/>
      </c>
      <c r="O786" s="25">
        <f>IF('ORDENES'!$U782="preventiva",N786,0)</f>
        <v/>
      </c>
      <c r="P786" s="25">
        <f>IF('ORDENES'!$U782="correctiva",N786,0)</f>
        <v/>
      </c>
      <c r="Q786" s="24">
        <f>IF(AND(K786=1,'ORDENES'!$N782="Pendiente"),1,0)</f>
        <v/>
      </c>
      <c r="R786" s="24">
        <f>IF(Q786=1,100000-N786*1000+779*0.01,9000000000000+779)</f>
        <v/>
      </c>
      <c r="S786" s="24">
        <f>IF(Q786=1,SUMPRODUCT(--($R$8:$R$1207&lt;R786))+1,"")</f>
        <v/>
      </c>
      <c r="T786" s="30">
        <f>IF(K786=1,'ORDENES'!$J782,"")</f>
        <v/>
      </c>
    </row>
    <row r="787">
      <c r="K787" s="24">
        <f>IF(AND(IF($B$3="(todos)",TRUE,'ORDENES'!$O783=$B$3),IF($D$3="(todos)",TRUE,'ORDENES'!$AI783=$D$3),IF($F$3="(todos)",TRUE,'ORDENES'!$AA783=$F$3),IF($H$3="(todos)",TRUE,'ORDENES'!$Z783=$H$3),'ORDENES'!$AG783=TRUE,'ORDENES'!$A783&lt;&gt;""),1,0)</f>
        <v/>
      </c>
      <c r="L787" s="24">
        <f>IF(K787=1,IFERROR(MATCH('ORDENES'!$S783,lista_dias,0),9)*1000000000+IFERROR(MATCH('ORDENES'!$AI783,lista_turnos,0),9)*10000000+IFERROR(MATCH('ORDENES'!$AH783,'TECNICOS'!$B$4:$B$19,0),99)*100000+780,9000000000000+780)</f>
        <v/>
      </c>
      <c r="M787" s="24">
        <f>IF(K787=1,SUMPRODUCT(--($L$8:$L$1207&lt;L787))+1,"")</f>
        <v/>
      </c>
      <c r="N787" s="25">
        <f>IF(K787=1,N('ORDENES'!$M783),0)</f>
        <v/>
      </c>
      <c r="O787" s="25">
        <f>IF('ORDENES'!$U783="preventiva",N787,0)</f>
        <v/>
      </c>
      <c r="P787" s="25">
        <f>IF('ORDENES'!$U783="correctiva",N787,0)</f>
        <v/>
      </c>
      <c r="Q787" s="24">
        <f>IF(AND(K787=1,'ORDENES'!$N783="Pendiente"),1,0)</f>
        <v/>
      </c>
      <c r="R787" s="24">
        <f>IF(Q787=1,100000-N787*1000+780*0.01,9000000000000+780)</f>
        <v/>
      </c>
      <c r="S787" s="24">
        <f>IF(Q787=1,SUMPRODUCT(--($R$8:$R$1207&lt;R787))+1,"")</f>
        <v/>
      </c>
      <c r="T787" s="30">
        <f>IF(K787=1,'ORDENES'!$J783,"")</f>
        <v/>
      </c>
    </row>
    <row r="788">
      <c r="K788" s="24">
        <f>IF(AND(IF($B$3="(todos)",TRUE,'ORDENES'!$O784=$B$3),IF($D$3="(todos)",TRUE,'ORDENES'!$AI784=$D$3),IF($F$3="(todos)",TRUE,'ORDENES'!$AA784=$F$3),IF($H$3="(todos)",TRUE,'ORDENES'!$Z784=$H$3),'ORDENES'!$AG784=TRUE,'ORDENES'!$A784&lt;&gt;""),1,0)</f>
        <v/>
      </c>
      <c r="L788" s="24">
        <f>IF(K788=1,IFERROR(MATCH('ORDENES'!$S784,lista_dias,0),9)*1000000000+IFERROR(MATCH('ORDENES'!$AI784,lista_turnos,0),9)*10000000+IFERROR(MATCH('ORDENES'!$AH784,'TECNICOS'!$B$4:$B$19,0),99)*100000+781,9000000000000+781)</f>
        <v/>
      </c>
      <c r="M788" s="24">
        <f>IF(K788=1,SUMPRODUCT(--($L$8:$L$1207&lt;L788))+1,"")</f>
        <v/>
      </c>
      <c r="N788" s="25">
        <f>IF(K788=1,N('ORDENES'!$M784),0)</f>
        <v/>
      </c>
      <c r="O788" s="25">
        <f>IF('ORDENES'!$U784="preventiva",N788,0)</f>
        <v/>
      </c>
      <c r="P788" s="25">
        <f>IF('ORDENES'!$U784="correctiva",N788,0)</f>
        <v/>
      </c>
      <c r="Q788" s="24">
        <f>IF(AND(K788=1,'ORDENES'!$N784="Pendiente"),1,0)</f>
        <v/>
      </c>
      <c r="R788" s="24">
        <f>IF(Q788=1,100000-N788*1000+781*0.01,9000000000000+781)</f>
        <v/>
      </c>
      <c r="S788" s="24">
        <f>IF(Q788=1,SUMPRODUCT(--($R$8:$R$1207&lt;R788))+1,"")</f>
        <v/>
      </c>
      <c r="T788" s="30">
        <f>IF(K788=1,'ORDENES'!$J784,"")</f>
        <v/>
      </c>
    </row>
    <row r="789">
      <c r="K789" s="24">
        <f>IF(AND(IF($B$3="(todos)",TRUE,'ORDENES'!$O785=$B$3),IF($D$3="(todos)",TRUE,'ORDENES'!$AI785=$D$3),IF($F$3="(todos)",TRUE,'ORDENES'!$AA785=$F$3),IF($H$3="(todos)",TRUE,'ORDENES'!$Z785=$H$3),'ORDENES'!$AG785=TRUE,'ORDENES'!$A785&lt;&gt;""),1,0)</f>
        <v/>
      </c>
      <c r="L789" s="24">
        <f>IF(K789=1,IFERROR(MATCH('ORDENES'!$S785,lista_dias,0),9)*1000000000+IFERROR(MATCH('ORDENES'!$AI785,lista_turnos,0),9)*10000000+IFERROR(MATCH('ORDENES'!$AH785,'TECNICOS'!$B$4:$B$19,0),99)*100000+782,9000000000000+782)</f>
        <v/>
      </c>
      <c r="M789" s="24">
        <f>IF(K789=1,SUMPRODUCT(--($L$8:$L$1207&lt;L789))+1,"")</f>
        <v/>
      </c>
      <c r="N789" s="25">
        <f>IF(K789=1,N('ORDENES'!$M785),0)</f>
        <v/>
      </c>
      <c r="O789" s="25">
        <f>IF('ORDENES'!$U785="preventiva",N789,0)</f>
        <v/>
      </c>
      <c r="P789" s="25">
        <f>IF('ORDENES'!$U785="correctiva",N789,0)</f>
        <v/>
      </c>
      <c r="Q789" s="24">
        <f>IF(AND(K789=1,'ORDENES'!$N785="Pendiente"),1,0)</f>
        <v/>
      </c>
      <c r="R789" s="24">
        <f>IF(Q789=1,100000-N789*1000+782*0.01,9000000000000+782)</f>
        <v/>
      </c>
      <c r="S789" s="24">
        <f>IF(Q789=1,SUMPRODUCT(--($R$8:$R$1207&lt;R789))+1,"")</f>
        <v/>
      </c>
      <c r="T789" s="30">
        <f>IF(K789=1,'ORDENES'!$J785,"")</f>
        <v/>
      </c>
    </row>
    <row r="790">
      <c r="K790" s="24">
        <f>IF(AND(IF($B$3="(todos)",TRUE,'ORDENES'!$O786=$B$3),IF($D$3="(todos)",TRUE,'ORDENES'!$AI786=$D$3),IF($F$3="(todos)",TRUE,'ORDENES'!$AA786=$F$3),IF($H$3="(todos)",TRUE,'ORDENES'!$Z786=$H$3),'ORDENES'!$AG786=TRUE,'ORDENES'!$A786&lt;&gt;""),1,0)</f>
        <v/>
      </c>
      <c r="L790" s="24">
        <f>IF(K790=1,IFERROR(MATCH('ORDENES'!$S786,lista_dias,0),9)*1000000000+IFERROR(MATCH('ORDENES'!$AI786,lista_turnos,0),9)*10000000+IFERROR(MATCH('ORDENES'!$AH786,'TECNICOS'!$B$4:$B$19,0),99)*100000+783,9000000000000+783)</f>
        <v/>
      </c>
      <c r="M790" s="24">
        <f>IF(K790=1,SUMPRODUCT(--($L$8:$L$1207&lt;L790))+1,"")</f>
        <v/>
      </c>
      <c r="N790" s="25">
        <f>IF(K790=1,N('ORDENES'!$M786),0)</f>
        <v/>
      </c>
      <c r="O790" s="25">
        <f>IF('ORDENES'!$U786="preventiva",N790,0)</f>
        <v/>
      </c>
      <c r="P790" s="25">
        <f>IF('ORDENES'!$U786="correctiva",N790,0)</f>
        <v/>
      </c>
      <c r="Q790" s="24">
        <f>IF(AND(K790=1,'ORDENES'!$N786="Pendiente"),1,0)</f>
        <v/>
      </c>
      <c r="R790" s="24">
        <f>IF(Q790=1,100000-N790*1000+783*0.01,9000000000000+783)</f>
        <v/>
      </c>
      <c r="S790" s="24">
        <f>IF(Q790=1,SUMPRODUCT(--($R$8:$R$1207&lt;R790))+1,"")</f>
        <v/>
      </c>
      <c r="T790" s="30">
        <f>IF(K790=1,'ORDENES'!$J786,"")</f>
        <v/>
      </c>
    </row>
    <row r="791">
      <c r="K791" s="24">
        <f>IF(AND(IF($B$3="(todos)",TRUE,'ORDENES'!$O787=$B$3),IF($D$3="(todos)",TRUE,'ORDENES'!$AI787=$D$3),IF($F$3="(todos)",TRUE,'ORDENES'!$AA787=$F$3),IF($H$3="(todos)",TRUE,'ORDENES'!$Z787=$H$3),'ORDENES'!$AG787=TRUE,'ORDENES'!$A787&lt;&gt;""),1,0)</f>
        <v/>
      </c>
      <c r="L791" s="24">
        <f>IF(K791=1,IFERROR(MATCH('ORDENES'!$S787,lista_dias,0),9)*1000000000+IFERROR(MATCH('ORDENES'!$AI787,lista_turnos,0),9)*10000000+IFERROR(MATCH('ORDENES'!$AH787,'TECNICOS'!$B$4:$B$19,0),99)*100000+784,9000000000000+784)</f>
        <v/>
      </c>
      <c r="M791" s="24">
        <f>IF(K791=1,SUMPRODUCT(--($L$8:$L$1207&lt;L791))+1,"")</f>
        <v/>
      </c>
      <c r="N791" s="25">
        <f>IF(K791=1,N('ORDENES'!$M787),0)</f>
        <v/>
      </c>
      <c r="O791" s="25">
        <f>IF('ORDENES'!$U787="preventiva",N791,0)</f>
        <v/>
      </c>
      <c r="P791" s="25">
        <f>IF('ORDENES'!$U787="correctiva",N791,0)</f>
        <v/>
      </c>
      <c r="Q791" s="24">
        <f>IF(AND(K791=1,'ORDENES'!$N787="Pendiente"),1,0)</f>
        <v/>
      </c>
      <c r="R791" s="24">
        <f>IF(Q791=1,100000-N791*1000+784*0.01,9000000000000+784)</f>
        <v/>
      </c>
      <c r="S791" s="24">
        <f>IF(Q791=1,SUMPRODUCT(--($R$8:$R$1207&lt;R791))+1,"")</f>
        <v/>
      </c>
      <c r="T791" s="30">
        <f>IF(K791=1,'ORDENES'!$J787,"")</f>
        <v/>
      </c>
    </row>
    <row r="792">
      <c r="K792" s="24">
        <f>IF(AND(IF($B$3="(todos)",TRUE,'ORDENES'!$O788=$B$3),IF($D$3="(todos)",TRUE,'ORDENES'!$AI788=$D$3),IF($F$3="(todos)",TRUE,'ORDENES'!$AA788=$F$3),IF($H$3="(todos)",TRUE,'ORDENES'!$Z788=$H$3),'ORDENES'!$AG788=TRUE,'ORDENES'!$A788&lt;&gt;""),1,0)</f>
        <v/>
      </c>
      <c r="L792" s="24">
        <f>IF(K792=1,IFERROR(MATCH('ORDENES'!$S788,lista_dias,0),9)*1000000000+IFERROR(MATCH('ORDENES'!$AI788,lista_turnos,0),9)*10000000+IFERROR(MATCH('ORDENES'!$AH788,'TECNICOS'!$B$4:$B$19,0),99)*100000+785,9000000000000+785)</f>
        <v/>
      </c>
      <c r="M792" s="24">
        <f>IF(K792=1,SUMPRODUCT(--($L$8:$L$1207&lt;L792))+1,"")</f>
        <v/>
      </c>
      <c r="N792" s="25">
        <f>IF(K792=1,N('ORDENES'!$M788),0)</f>
        <v/>
      </c>
      <c r="O792" s="25">
        <f>IF('ORDENES'!$U788="preventiva",N792,0)</f>
        <v/>
      </c>
      <c r="P792" s="25">
        <f>IF('ORDENES'!$U788="correctiva",N792,0)</f>
        <v/>
      </c>
      <c r="Q792" s="24">
        <f>IF(AND(K792=1,'ORDENES'!$N788="Pendiente"),1,0)</f>
        <v/>
      </c>
      <c r="R792" s="24">
        <f>IF(Q792=1,100000-N792*1000+785*0.01,9000000000000+785)</f>
        <v/>
      </c>
      <c r="S792" s="24">
        <f>IF(Q792=1,SUMPRODUCT(--($R$8:$R$1207&lt;R792))+1,"")</f>
        <v/>
      </c>
      <c r="T792" s="30">
        <f>IF(K792=1,'ORDENES'!$J788,"")</f>
        <v/>
      </c>
    </row>
    <row r="793">
      <c r="K793" s="24">
        <f>IF(AND(IF($B$3="(todos)",TRUE,'ORDENES'!$O789=$B$3),IF($D$3="(todos)",TRUE,'ORDENES'!$AI789=$D$3),IF($F$3="(todos)",TRUE,'ORDENES'!$AA789=$F$3),IF($H$3="(todos)",TRUE,'ORDENES'!$Z789=$H$3),'ORDENES'!$AG789=TRUE,'ORDENES'!$A789&lt;&gt;""),1,0)</f>
        <v/>
      </c>
      <c r="L793" s="24">
        <f>IF(K793=1,IFERROR(MATCH('ORDENES'!$S789,lista_dias,0),9)*1000000000+IFERROR(MATCH('ORDENES'!$AI789,lista_turnos,0),9)*10000000+IFERROR(MATCH('ORDENES'!$AH789,'TECNICOS'!$B$4:$B$19,0),99)*100000+786,9000000000000+786)</f>
        <v/>
      </c>
      <c r="M793" s="24">
        <f>IF(K793=1,SUMPRODUCT(--($L$8:$L$1207&lt;L793))+1,"")</f>
        <v/>
      </c>
      <c r="N793" s="25">
        <f>IF(K793=1,N('ORDENES'!$M789),0)</f>
        <v/>
      </c>
      <c r="O793" s="25">
        <f>IF('ORDENES'!$U789="preventiva",N793,0)</f>
        <v/>
      </c>
      <c r="P793" s="25">
        <f>IF('ORDENES'!$U789="correctiva",N793,0)</f>
        <v/>
      </c>
      <c r="Q793" s="24">
        <f>IF(AND(K793=1,'ORDENES'!$N789="Pendiente"),1,0)</f>
        <v/>
      </c>
      <c r="R793" s="24">
        <f>IF(Q793=1,100000-N793*1000+786*0.01,9000000000000+786)</f>
        <v/>
      </c>
      <c r="S793" s="24">
        <f>IF(Q793=1,SUMPRODUCT(--($R$8:$R$1207&lt;R793))+1,"")</f>
        <v/>
      </c>
      <c r="T793" s="30">
        <f>IF(K793=1,'ORDENES'!$J789,"")</f>
        <v/>
      </c>
    </row>
    <row r="794">
      <c r="K794" s="24">
        <f>IF(AND(IF($B$3="(todos)",TRUE,'ORDENES'!$O790=$B$3),IF($D$3="(todos)",TRUE,'ORDENES'!$AI790=$D$3),IF($F$3="(todos)",TRUE,'ORDENES'!$AA790=$F$3),IF($H$3="(todos)",TRUE,'ORDENES'!$Z790=$H$3),'ORDENES'!$AG790=TRUE,'ORDENES'!$A790&lt;&gt;""),1,0)</f>
        <v/>
      </c>
      <c r="L794" s="24">
        <f>IF(K794=1,IFERROR(MATCH('ORDENES'!$S790,lista_dias,0),9)*1000000000+IFERROR(MATCH('ORDENES'!$AI790,lista_turnos,0),9)*10000000+IFERROR(MATCH('ORDENES'!$AH790,'TECNICOS'!$B$4:$B$19,0),99)*100000+787,9000000000000+787)</f>
        <v/>
      </c>
      <c r="M794" s="24">
        <f>IF(K794=1,SUMPRODUCT(--($L$8:$L$1207&lt;L794))+1,"")</f>
        <v/>
      </c>
      <c r="N794" s="25">
        <f>IF(K794=1,N('ORDENES'!$M790),0)</f>
        <v/>
      </c>
      <c r="O794" s="25">
        <f>IF('ORDENES'!$U790="preventiva",N794,0)</f>
        <v/>
      </c>
      <c r="P794" s="25">
        <f>IF('ORDENES'!$U790="correctiva",N794,0)</f>
        <v/>
      </c>
      <c r="Q794" s="24">
        <f>IF(AND(K794=1,'ORDENES'!$N790="Pendiente"),1,0)</f>
        <v/>
      </c>
      <c r="R794" s="24">
        <f>IF(Q794=1,100000-N794*1000+787*0.01,9000000000000+787)</f>
        <v/>
      </c>
      <c r="S794" s="24">
        <f>IF(Q794=1,SUMPRODUCT(--($R$8:$R$1207&lt;R794))+1,"")</f>
        <v/>
      </c>
      <c r="T794" s="30">
        <f>IF(K794=1,'ORDENES'!$J790,"")</f>
        <v/>
      </c>
    </row>
    <row r="795">
      <c r="K795" s="24">
        <f>IF(AND(IF($B$3="(todos)",TRUE,'ORDENES'!$O791=$B$3),IF($D$3="(todos)",TRUE,'ORDENES'!$AI791=$D$3),IF($F$3="(todos)",TRUE,'ORDENES'!$AA791=$F$3),IF($H$3="(todos)",TRUE,'ORDENES'!$Z791=$H$3),'ORDENES'!$AG791=TRUE,'ORDENES'!$A791&lt;&gt;""),1,0)</f>
        <v/>
      </c>
      <c r="L795" s="24">
        <f>IF(K795=1,IFERROR(MATCH('ORDENES'!$S791,lista_dias,0),9)*1000000000+IFERROR(MATCH('ORDENES'!$AI791,lista_turnos,0),9)*10000000+IFERROR(MATCH('ORDENES'!$AH791,'TECNICOS'!$B$4:$B$19,0),99)*100000+788,9000000000000+788)</f>
        <v/>
      </c>
      <c r="M795" s="24">
        <f>IF(K795=1,SUMPRODUCT(--($L$8:$L$1207&lt;L795))+1,"")</f>
        <v/>
      </c>
      <c r="N795" s="25">
        <f>IF(K795=1,N('ORDENES'!$M791),0)</f>
        <v/>
      </c>
      <c r="O795" s="25">
        <f>IF('ORDENES'!$U791="preventiva",N795,0)</f>
        <v/>
      </c>
      <c r="P795" s="25">
        <f>IF('ORDENES'!$U791="correctiva",N795,0)</f>
        <v/>
      </c>
      <c r="Q795" s="24">
        <f>IF(AND(K795=1,'ORDENES'!$N791="Pendiente"),1,0)</f>
        <v/>
      </c>
      <c r="R795" s="24">
        <f>IF(Q795=1,100000-N795*1000+788*0.01,9000000000000+788)</f>
        <v/>
      </c>
      <c r="S795" s="24">
        <f>IF(Q795=1,SUMPRODUCT(--($R$8:$R$1207&lt;R795))+1,"")</f>
        <v/>
      </c>
      <c r="T795" s="30">
        <f>IF(K795=1,'ORDENES'!$J791,"")</f>
        <v/>
      </c>
    </row>
    <row r="796">
      <c r="K796" s="24">
        <f>IF(AND(IF($B$3="(todos)",TRUE,'ORDENES'!$O792=$B$3),IF($D$3="(todos)",TRUE,'ORDENES'!$AI792=$D$3),IF($F$3="(todos)",TRUE,'ORDENES'!$AA792=$F$3),IF($H$3="(todos)",TRUE,'ORDENES'!$Z792=$H$3),'ORDENES'!$AG792=TRUE,'ORDENES'!$A792&lt;&gt;""),1,0)</f>
        <v/>
      </c>
      <c r="L796" s="24">
        <f>IF(K796=1,IFERROR(MATCH('ORDENES'!$S792,lista_dias,0),9)*1000000000+IFERROR(MATCH('ORDENES'!$AI792,lista_turnos,0),9)*10000000+IFERROR(MATCH('ORDENES'!$AH792,'TECNICOS'!$B$4:$B$19,0),99)*100000+789,9000000000000+789)</f>
        <v/>
      </c>
      <c r="M796" s="24">
        <f>IF(K796=1,SUMPRODUCT(--($L$8:$L$1207&lt;L796))+1,"")</f>
        <v/>
      </c>
      <c r="N796" s="25">
        <f>IF(K796=1,N('ORDENES'!$M792),0)</f>
        <v/>
      </c>
      <c r="O796" s="25">
        <f>IF('ORDENES'!$U792="preventiva",N796,0)</f>
        <v/>
      </c>
      <c r="P796" s="25">
        <f>IF('ORDENES'!$U792="correctiva",N796,0)</f>
        <v/>
      </c>
      <c r="Q796" s="24">
        <f>IF(AND(K796=1,'ORDENES'!$N792="Pendiente"),1,0)</f>
        <v/>
      </c>
      <c r="R796" s="24">
        <f>IF(Q796=1,100000-N796*1000+789*0.01,9000000000000+789)</f>
        <v/>
      </c>
      <c r="S796" s="24">
        <f>IF(Q796=1,SUMPRODUCT(--($R$8:$R$1207&lt;R796))+1,"")</f>
        <v/>
      </c>
      <c r="T796" s="30">
        <f>IF(K796=1,'ORDENES'!$J792,"")</f>
        <v/>
      </c>
    </row>
    <row r="797">
      <c r="K797" s="24">
        <f>IF(AND(IF($B$3="(todos)",TRUE,'ORDENES'!$O793=$B$3),IF($D$3="(todos)",TRUE,'ORDENES'!$AI793=$D$3),IF($F$3="(todos)",TRUE,'ORDENES'!$AA793=$F$3),IF($H$3="(todos)",TRUE,'ORDENES'!$Z793=$H$3),'ORDENES'!$AG793=TRUE,'ORDENES'!$A793&lt;&gt;""),1,0)</f>
        <v/>
      </c>
      <c r="L797" s="24">
        <f>IF(K797=1,IFERROR(MATCH('ORDENES'!$S793,lista_dias,0),9)*1000000000+IFERROR(MATCH('ORDENES'!$AI793,lista_turnos,0),9)*10000000+IFERROR(MATCH('ORDENES'!$AH793,'TECNICOS'!$B$4:$B$19,0),99)*100000+790,9000000000000+790)</f>
        <v/>
      </c>
      <c r="M797" s="24">
        <f>IF(K797=1,SUMPRODUCT(--($L$8:$L$1207&lt;L797))+1,"")</f>
        <v/>
      </c>
      <c r="N797" s="25">
        <f>IF(K797=1,N('ORDENES'!$M793),0)</f>
        <v/>
      </c>
      <c r="O797" s="25">
        <f>IF('ORDENES'!$U793="preventiva",N797,0)</f>
        <v/>
      </c>
      <c r="P797" s="25">
        <f>IF('ORDENES'!$U793="correctiva",N797,0)</f>
        <v/>
      </c>
      <c r="Q797" s="24">
        <f>IF(AND(K797=1,'ORDENES'!$N793="Pendiente"),1,0)</f>
        <v/>
      </c>
      <c r="R797" s="24">
        <f>IF(Q797=1,100000-N797*1000+790*0.01,9000000000000+790)</f>
        <v/>
      </c>
      <c r="S797" s="24">
        <f>IF(Q797=1,SUMPRODUCT(--($R$8:$R$1207&lt;R797))+1,"")</f>
        <v/>
      </c>
      <c r="T797" s="30">
        <f>IF(K797=1,'ORDENES'!$J793,"")</f>
        <v/>
      </c>
    </row>
    <row r="798">
      <c r="K798" s="24">
        <f>IF(AND(IF($B$3="(todos)",TRUE,'ORDENES'!$O794=$B$3),IF($D$3="(todos)",TRUE,'ORDENES'!$AI794=$D$3),IF($F$3="(todos)",TRUE,'ORDENES'!$AA794=$F$3),IF($H$3="(todos)",TRUE,'ORDENES'!$Z794=$H$3),'ORDENES'!$AG794=TRUE,'ORDENES'!$A794&lt;&gt;""),1,0)</f>
        <v/>
      </c>
      <c r="L798" s="24">
        <f>IF(K798=1,IFERROR(MATCH('ORDENES'!$S794,lista_dias,0),9)*1000000000+IFERROR(MATCH('ORDENES'!$AI794,lista_turnos,0),9)*10000000+IFERROR(MATCH('ORDENES'!$AH794,'TECNICOS'!$B$4:$B$19,0),99)*100000+791,9000000000000+791)</f>
        <v/>
      </c>
      <c r="M798" s="24">
        <f>IF(K798=1,SUMPRODUCT(--($L$8:$L$1207&lt;L798))+1,"")</f>
        <v/>
      </c>
      <c r="N798" s="25">
        <f>IF(K798=1,N('ORDENES'!$M794),0)</f>
        <v/>
      </c>
      <c r="O798" s="25">
        <f>IF('ORDENES'!$U794="preventiva",N798,0)</f>
        <v/>
      </c>
      <c r="P798" s="25">
        <f>IF('ORDENES'!$U794="correctiva",N798,0)</f>
        <v/>
      </c>
      <c r="Q798" s="24">
        <f>IF(AND(K798=1,'ORDENES'!$N794="Pendiente"),1,0)</f>
        <v/>
      </c>
      <c r="R798" s="24">
        <f>IF(Q798=1,100000-N798*1000+791*0.01,9000000000000+791)</f>
        <v/>
      </c>
      <c r="S798" s="24">
        <f>IF(Q798=1,SUMPRODUCT(--($R$8:$R$1207&lt;R798))+1,"")</f>
        <v/>
      </c>
      <c r="T798" s="30">
        <f>IF(K798=1,'ORDENES'!$J794,"")</f>
        <v/>
      </c>
    </row>
    <row r="799">
      <c r="K799" s="24">
        <f>IF(AND(IF($B$3="(todos)",TRUE,'ORDENES'!$O795=$B$3),IF($D$3="(todos)",TRUE,'ORDENES'!$AI795=$D$3),IF($F$3="(todos)",TRUE,'ORDENES'!$AA795=$F$3),IF($H$3="(todos)",TRUE,'ORDENES'!$Z795=$H$3),'ORDENES'!$AG795=TRUE,'ORDENES'!$A795&lt;&gt;""),1,0)</f>
        <v/>
      </c>
      <c r="L799" s="24">
        <f>IF(K799=1,IFERROR(MATCH('ORDENES'!$S795,lista_dias,0),9)*1000000000+IFERROR(MATCH('ORDENES'!$AI795,lista_turnos,0),9)*10000000+IFERROR(MATCH('ORDENES'!$AH795,'TECNICOS'!$B$4:$B$19,0),99)*100000+792,9000000000000+792)</f>
        <v/>
      </c>
      <c r="M799" s="24">
        <f>IF(K799=1,SUMPRODUCT(--($L$8:$L$1207&lt;L799))+1,"")</f>
        <v/>
      </c>
      <c r="N799" s="25">
        <f>IF(K799=1,N('ORDENES'!$M795),0)</f>
        <v/>
      </c>
      <c r="O799" s="25">
        <f>IF('ORDENES'!$U795="preventiva",N799,0)</f>
        <v/>
      </c>
      <c r="P799" s="25">
        <f>IF('ORDENES'!$U795="correctiva",N799,0)</f>
        <v/>
      </c>
      <c r="Q799" s="24">
        <f>IF(AND(K799=1,'ORDENES'!$N795="Pendiente"),1,0)</f>
        <v/>
      </c>
      <c r="R799" s="24">
        <f>IF(Q799=1,100000-N799*1000+792*0.01,9000000000000+792)</f>
        <v/>
      </c>
      <c r="S799" s="24">
        <f>IF(Q799=1,SUMPRODUCT(--($R$8:$R$1207&lt;R799))+1,"")</f>
        <v/>
      </c>
      <c r="T799" s="30">
        <f>IF(K799=1,'ORDENES'!$J795,"")</f>
        <v/>
      </c>
    </row>
    <row r="800">
      <c r="K800" s="24">
        <f>IF(AND(IF($B$3="(todos)",TRUE,'ORDENES'!$O796=$B$3),IF($D$3="(todos)",TRUE,'ORDENES'!$AI796=$D$3),IF($F$3="(todos)",TRUE,'ORDENES'!$AA796=$F$3),IF($H$3="(todos)",TRUE,'ORDENES'!$Z796=$H$3),'ORDENES'!$AG796=TRUE,'ORDENES'!$A796&lt;&gt;""),1,0)</f>
        <v/>
      </c>
      <c r="L800" s="24">
        <f>IF(K800=1,IFERROR(MATCH('ORDENES'!$S796,lista_dias,0),9)*1000000000+IFERROR(MATCH('ORDENES'!$AI796,lista_turnos,0),9)*10000000+IFERROR(MATCH('ORDENES'!$AH796,'TECNICOS'!$B$4:$B$19,0),99)*100000+793,9000000000000+793)</f>
        <v/>
      </c>
      <c r="M800" s="24">
        <f>IF(K800=1,SUMPRODUCT(--($L$8:$L$1207&lt;L800))+1,"")</f>
        <v/>
      </c>
      <c r="N800" s="25">
        <f>IF(K800=1,N('ORDENES'!$M796),0)</f>
        <v/>
      </c>
      <c r="O800" s="25">
        <f>IF('ORDENES'!$U796="preventiva",N800,0)</f>
        <v/>
      </c>
      <c r="P800" s="25">
        <f>IF('ORDENES'!$U796="correctiva",N800,0)</f>
        <v/>
      </c>
      <c r="Q800" s="24">
        <f>IF(AND(K800=1,'ORDENES'!$N796="Pendiente"),1,0)</f>
        <v/>
      </c>
      <c r="R800" s="24">
        <f>IF(Q800=1,100000-N800*1000+793*0.01,9000000000000+793)</f>
        <v/>
      </c>
      <c r="S800" s="24">
        <f>IF(Q800=1,SUMPRODUCT(--($R$8:$R$1207&lt;R800))+1,"")</f>
        <v/>
      </c>
      <c r="T800" s="30">
        <f>IF(K800=1,'ORDENES'!$J796,"")</f>
        <v/>
      </c>
    </row>
    <row r="801">
      <c r="K801" s="24">
        <f>IF(AND(IF($B$3="(todos)",TRUE,'ORDENES'!$O797=$B$3),IF($D$3="(todos)",TRUE,'ORDENES'!$AI797=$D$3),IF($F$3="(todos)",TRUE,'ORDENES'!$AA797=$F$3),IF($H$3="(todos)",TRUE,'ORDENES'!$Z797=$H$3),'ORDENES'!$AG797=TRUE,'ORDENES'!$A797&lt;&gt;""),1,0)</f>
        <v/>
      </c>
      <c r="L801" s="24">
        <f>IF(K801=1,IFERROR(MATCH('ORDENES'!$S797,lista_dias,0),9)*1000000000+IFERROR(MATCH('ORDENES'!$AI797,lista_turnos,0),9)*10000000+IFERROR(MATCH('ORDENES'!$AH797,'TECNICOS'!$B$4:$B$19,0),99)*100000+794,9000000000000+794)</f>
        <v/>
      </c>
      <c r="M801" s="24">
        <f>IF(K801=1,SUMPRODUCT(--($L$8:$L$1207&lt;L801))+1,"")</f>
        <v/>
      </c>
      <c r="N801" s="25">
        <f>IF(K801=1,N('ORDENES'!$M797),0)</f>
        <v/>
      </c>
      <c r="O801" s="25">
        <f>IF('ORDENES'!$U797="preventiva",N801,0)</f>
        <v/>
      </c>
      <c r="P801" s="25">
        <f>IF('ORDENES'!$U797="correctiva",N801,0)</f>
        <v/>
      </c>
      <c r="Q801" s="24">
        <f>IF(AND(K801=1,'ORDENES'!$N797="Pendiente"),1,0)</f>
        <v/>
      </c>
      <c r="R801" s="24">
        <f>IF(Q801=1,100000-N801*1000+794*0.01,9000000000000+794)</f>
        <v/>
      </c>
      <c r="S801" s="24">
        <f>IF(Q801=1,SUMPRODUCT(--($R$8:$R$1207&lt;R801))+1,"")</f>
        <v/>
      </c>
      <c r="T801" s="30">
        <f>IF(K801=1,'ORDENES'!$J797,"")</f>
        <v/>
      </c>
    </row>
    <row r="802">
      <c r="K802" s="24">
        <f>IF(AND(IF($B$3="(todos)",TRUE,'ORDENES'!$O798=$B$3),IF($D$3="(todos)",TRUE,'ORDENES'!$AI798=$D$3),IF($F$3="(todos)",TRUE,'ORDENES'!$AA798=$F$3),IF($H$3="(todos)",TRUE,'ORDENES'!$Z798=$H$3),'ORDENES'!$AG798=TRUE,'ORDENES'!$A798&lt;&gt;""),1,0)</f>
        <v/>
      </c>
      <c r="L802" s="24">
        <f>IF(K802=1,IFERROR(MATCH('ORDENES'!$S798,lista_dias,0),9)*1000000000+IFERROR(MATCH('ORDENES'!$AI798,lista_turnos,0),9)*10000000+IFERROR(MATCH('ORDENES'!$AH798,'TECNICOS'!$B$4:$B$19,0),99)*100000+795,9000000000000+795)</f>
        <v/>
      </c>
      <c r="M802" s="24">
        <f>IF(K802=1,SUMPRODUCT(--($L$8:$L$1207&lt;L802))+1,"")</f>
        <v/>
      </c>
      <c r="N802" s="25">
        <f>IF(K802=1,N('ORDENES'!$M798),0)</f>
        <v/>
      </c>
      <c r="O802" s="25">
        <f>IF('ORDENES'!$U798="preventiva",N802,0)</f>
        <v/>
      </c>
      <c r="P802" s="25">
        <f>IF('ORDENES'!$U798="correctiva",N802,0)</f>
        <v/>
      </c>
      <c r="Q802" s="24">
        <f>IF(AND(K802=1,'ORDENES'!$N798="Pendiente"),1,0)</f>
        <v/>
      </c>
      <c r="R802" s="24">
        <f>IF(Q802=1,100000-N802*1000+795*0.01,9000000000000+795)</f>
        <v/>
      </c>
      <c r="S802" s="24">
        <f>IF(Q802=1,SUMPRODUCT(--($R$8:$R$1207&lt;R802))+1,"")</f>
        <v/>
      </c>
      <c r="T802" s="30">
        <f>IF(K802=1,'ORDENES'!$J798,"")</f>
        <v/>
      </c>
    </row>
    <row r="803">
      <c r="K803" s="24">
        <f>IF(AND(IF($B$3="(todos)",TRUE,'ORDENES'!$O799=$B$3),IF($D$3="(todos)",TRUE,'ORDENES'!$AI799=$D$3),IF($F$3="(todos)",TRUE,'ORDENES'!$AA799=$F$3),IF($H$3="(todos)",TRUE,'ORDENES'!$Z799=$H$3),'ORDENES'!$AG799=TRUE,'ORDENES'!$A799&lt;&gt;""),1,0)</f>
        <v/>
      </c>
      <c r="L803" s="24">
        <f>IF(K803=1,IFERROR(MATCH('ORDENES'!$S799,lista_dias,0),9)*1000000000+IFERROR(MATCH('ORDENES'!$AI799,lista_turnos,0),9)*10000000+IFERROR(MATCH('ORDENES'!$AH799,'TECNICOS'!$B$4:$B$19,0),99)*100000+796,9000000000000+796)</f>
        <v/>
      </c>
      <c r="M803" s="24">
        <f>IF(K803=1,SUMPRODUCT(--($L$8:$L$1207&lt;L803))+1,"")</f>
        <v/>
      </c>
      <c r="N803" s="25">
        <f>IF(K803=1,N('ORDENES'!$M799),0)</f>
        <v/>
      </c>
      <c r="O803" s="25">
        <f>IF('ORDENES'!$U799="preventiva",N803,0)</f>
        <v/>
      </c>
      <c r="P803" s="25">
        <f>IF('ORDENES'!$U799="correctiva",N803,0)</f>
        <v/>
      </c>
      <c r="Q803" s="24">
        <f>IF(AND(K803=1,'ORDENES'!$N799="Pendiente"),1,0)</f>
        <v/>
      </c>
      <c r="R803" s="24">
        <f>IF(Q803=1,100000-N803*1000+796*0.01,9000000000000+796)</f>
        <v/>
      </c>
      <c r="S803" s="24">
        <f>IF(Q803=1,SUMPRODUCT(--($R$8:$R$1207&lt;R803))+1,"")</f>
        <v/>
      </c>
      <c r="T803" s="30">
        <f>IF(K803=1,'ORDENES'!$J799,"")</f>
        <v/>
      </c>
    </row>
    <row r="804">
      <c r="K804" s="24">
        <f>IF(AND(IF($B$3="(todos)",TRUE,'ORDENES'!$O800=$B$3),IF($D$3="(todos)",TRUE,'ORDENES'!$AI800=$D$3),IF($F$3="(todos)",TRUE,'ORDENES'!$AA800=$F$3),IF($H$3="(todos)",TRUE,'ORDENES'!$Z800=$H$3),'ORDENES'!$AG800=TRUE,'ORDENES'!$A800&lt;&gt;""),1,0)</f>
        <v/>
      </c>
      <c r="L804" s="24">
        <f>IF(K804=1,IFERROR(MATCH('ORDENES'!$S800,lista_dias,0),9)*1000000000+IFERROR(MATCH('ORDENES'!$AI800,lista_turnos,0),9)*10000000+IFERROR(MATCH('ORDENES'!$AH800,'TECNICOS'!$B$4:$B$19,0),99)*100000+797,9000000000000+797)</f>
        <v/>
      </c>
      <c r="M804" s="24">
        <f>IF(K804=1,SUMPRODUCT(--($L$8:$L$1207&lt;L804))+1,"")</f>
        <v/>
      </c>
      <c r="N804" s="25">
        <f>IF(K804=1,N('ORDENES'!$M800),0)</f>
        <v/>
      </c>
      <c r="O804" s="25">
        <f>IF('ORDENES'!$U800="preventiva",N804,0)</f>
        <v/>
      </c>
      <c r="P804" s="25">
        <f>IF('ORDENES'!$U800="correctiva",N804,0)</f>
        <v/>
      </c>
      <c r="Q804" s="24">
        <f>IF(AND(K804=1,'ORDENES'!$N800="Pendiente"),1,0)</f>
        <v/>
      </c>
      <c r="R804" s="24">
        <f>IF(Q804=1,100000-N804*1000+797*0.01,9000000000000+797)</f>
        <v/>
      </c>
      <c r="S804" s="24">
        <f>IF(Q804=1,SUMPRODUCT(--($R$8:$R$1207&lt;R804))+1,"")</f>
        <v/>
      </c>
      <c r="T804" s="30">
        <f>IF(K804=1,'ORDENES'!$J800,"")</f>
        <v/>
      </c>
    </row>
    <row r="805">
      <c r="K805" s="24">
        <f>IF(AND(IF($B$3="(todos)",TRUE,'ORDENES'!$O801=$B$3),IF($D$3="(todos)",TRUE,'ORDENES'!$AI801=$D$3),IF($F$3="(todos)",TRUE,'ORDENES'!$AA801=$F$3),IF($H$3="(todos)",TRUE,'ORDENES'!$Z801=$H$3),'ORDENES'!$AG801=TRUE,'ORDENES'!$A801&lt;&gt;""),1,0)</f>
        <v/>
      </c>
      <c r="L805" s="24">
        <f>IF(K805=1,IFERROR(MATCH('ORDENES'!$S801,lista_dias,0),9)*1000000000+IFERROR(MATCH('ORDENES'!$AI801,lista_turnos,0),9)*10000000+IFERROR(MATCH('ORDENES'!$AH801,'TECNICOS'!$B$4:$B$19,0),99)*100000+798,9000000000000+798)</f>
        <v/>
      </c>
      <c r="M805" s="24">
        <f>IF(K805=1,SUMPRODUCT(--($L$8:$L$1207&lt;L805))+1,"")</f>
        <v/>
      </c>
      <c r="N805" s="25">
        <f>IF(K805=1,N('ORDENES'!$M801),0)</f>
        <v/>
      </c>
      <c r="O805" s="25">
        <f>IF('ORDENES'!$U801="preventiva",N805,0)</f>
        <v/>
      </c>
      <c r="P805" s="25">
        <f>IF('ORDENES'!$U801="correctiva",N805,0)</f>
        <v/>
      </c>
      <c r="Q805" s="24">
        <f>IF(AND(K805=1,'ORDENES'!$N801="Pendiente"),1,0)</f>
        <v/>
      </c>
      <c r="R805" s="24">
        <f>IF(Q805=1,100000-N805*1000+798*0.01,9000000000000+798)</f>
        <v/>
      </c>
      <c r="S805" s="24">
        <f>IF(Q805=1,SUMPRODUCT(--($R$8:$R$1207&lt;R805))+1,"")</f>
        <v/>
      </c>
      <c r="T805" s="30">
        <f>IF(K805=1,'ORDENES'!$J801,"")</f>
        <v/>
      </c>
    </row>
    <row r="806">
      <c r="K806" s="24">
        <f>IF(AND(IF($B$3="(todos)",TRUE,'ORDENES'!$O802=$B$3),IF($D$3="(todos)",TRUE,'ORDENES'!$AI802=$D$3),IF($F$3="(todos)",TRUE,'ORDENES'!$AA802=$F$3),IF($H$3="(todos)",TRUE,'ORDENES'!$Z802=$H$3),'ORDENES'!$AG802=TRUE,'ORDENES'!$A802&lt;&gt;""),1,0)</f>
        <v/>
      </c>
      <c r="L806" s="24">
        <f>IF(K806=1,IFERROR(MATCH('ORDENES'!$S802,lista_dias,0),9)*1000000000+IFERROR(MATCH('ORDENES'!$AI802,lista_turnos,0),9)*10000000+IFERROR(MATCH('ORDENES'!$AH802,'TECNICOS'!$B$4:$B$19,0),99)*100000+799,9000000000000+799)</f>
        <v/>
      </c>
      <c r="M806" s="24">
        <f>IF(K806=1,SUMPRODUCT(--($L$8:$L$1207&lt;L806))+1,"")</f>
        <v/>
      </c>
      <c r="N806" s="25">
        <f>IF(K806=1,N('ORDENES'!$M802),0)</f>
        <v/>
      </c>
      <c r="O806" s="25">
        <f>IF('ORDENES'!$U802="preventiva",N806,0)</f>
        <v/>
      </c>
      <c r="P806" s="25">
        <f>IF('ORDENES'!$U802="correctiva",N806,0)</f>
        <v/>
      </c>
      <c r="Q806" s="24">
        <f>IF(AND(K806=1,'ORDENES'!$N802="Pendiente"),1,0)</f>
        <v/>
      </c>
      <c r="R806" s="24">
        <f>IF(Q806=1,100000-N806*1000+799*0.01,9000000000000+799)</f>
        <v/>
      </c>
      <c r="S806" s="24">
        <f>IF(Q806=1,SUMPRODUCT(--($R$8:$R$1207&lt;R806))+1,"")</f>
        <v/>
      </c>
      <c r="T806" s="30">
        <f>IF(K806=1,'ORDENES'!$J802,"")</f>
        <v/>
      </c>
    </row>
    <row r="807">
      <c r="K807" s="24">
        <f>IF(AND(IF($B$3="(todos)",TRUE,'ORDENES'!$O803=$B$3),IF($D$3="(todos)",TRUE,'ORDENES'!$AI803=$D$3),IF($F$3="(todos)",TRUE,'ORDENES'!$AA803=$F$3),IF($H$3="(todos)",TRUE,'ORDENES'!$Z803=$H$3),'ORDENES'!$AG803=TRUE,'ORDENES'!$A803&lt;&gt;""),1,0)</f>
        <v/>
      </c>
      <c r="L807" s="24">
        <f>IF(K807=1,IFERROR(MATCH('ORDENES'!$S803,lista_dias,0),9)*1000000000+IFERROR(MATCH('ORDENES'!$AI803,lista_turnos,0),9)*10000000+IFERROR(MATCH('ORDENES'!$AH803,'TECNICOS'!$B$4:$B$19,0),99)*100000+800,9000000000000+800)</f>
        <v/>
      </c>
      <c r="M807" s="24">
        <f>IF(K807=1,SUMPRODUCT(--($L$8:$L$1207&lt;L807))+1,"")</f>
        <v/>
      </c>
      <c r="N807" s="25">
        <f>IF(K807=1,N('ORDENES'!$M803),0)</f>
        <v/>
      </c>
      <c r="O807" s="25">
        <f>IF('ORDENES'!$U803="preventiva",N807,0)</f>
        <v/>
      </c>
      <c r="P807" s="25">
        <f>IF('ORDENES'!$U803="correctiva",N807,0)</f>
        <v/>
      </c>
      <c r="Q807" s="24">
        <f>IF(AND(K807=1,'ORDENES'!$N803="Pendiente"),1,0)</f>
        <v/>
      </c>
      <c r="R807" s="24">
        <f>IF(Q807=1,100000-N807*1000+800*0.01,9000000000000+800)</f>
        <v/>
      </c>
      <c r="S807" s="24">
        <f>IF(Q807=1,SUMPRODUCT(--($R$8:$R$1207&lt;R807))+1,"")</f>
        <v/>
      </c>
      <c r="T807" s="30">
        <f>IF(K807=1,'ORDENES'!$J803,"")</f>
        <v/>
      </c>
    </row>
    <row r="808">
      <c r="K808" s="24">
        <f>IF(AND(IF($B$3="(todos)",TRUE,'ORDENES'!$O804=$B$3),IF($D$3="(todos)",TRUE,'ORDENES'!$AI804=$D$3),IF($F$3="(todos)",TRUE,'ORDENES'!$AA804=$F$3),IF($H$3="(todos)",TRUE,'ORDENES'!$Z804=$H$3),'ORDENES'!$AG804=TRUE,'ORDENES'!$A804&lt;&gt;""),1,0)</f>
        <v/>
      </c>
      <c r="L808" s="24">
        <f>IF(K808=1,IFERROR(MATCH('ORDENES'!$S804,lista_dias,0),9)*1000000000+IFERROR(MATCH('ORDENES'!$AI804,lista_turnos,0),9)*10000000+IFERROR(MATCH('ORDENES'!$AH804,'TECNICOS'!$B$4:$B$19,0),99)*100000+801,9000000000000+801)</f>
        <v/>
      </c>
      <c r="M808" s="24">
        <f>IF(K808=1,SUMPRODUCT(--($L$8:$L$1207&lt;L808))+1,"")</f>
        <v/>
      </c>
      <c r="N808" s="25">
        <f>IF(K808=1,N('ORDENES'!$M804),0)</f>
        <v/>
      </c>
      <c r="O808" s="25">
        <f>IF('ORDENES'!$U804="preventiva",N808,0)</f>
        <v/>
      </c>
      <c r="P808" s="25">
        <f>IF('ORDENES'!$U804="correctiva",N808,0)</f>
        <v/>
      </c>
      <c r="Q808" s="24">
        <f>IF(AND(K808=1,'ORDENES'!$N804="Pendiente"),1,0)</f>
        <v/>
      </c>
      <c r="R808" s="24">
        <f>IF(Q808=1,100000-N808*1000+801*0.01,9000000000000+801)</f>
        <v/>
      </c>
      <c r="S808" s="24">
        <f>IF(Q808=1,SUMPRODUCT(--($R$8:$R$1207&lt;R808))+1,"")</f>
        <v/>
      </c>
      <c r="T808" s="30">
        <f>IF(K808=1,'ORDENES'!$J804,"")</f>
        <v/>
      </c>
    </row>
    <row r="809">
      <c r="K809" s="24">
        <f>IF(AND(IF($B$3="(todos)",TRUE,'ORDENES'!$O805=$B$3),IF($D$3="(todos)",TRUE,'ORDENES'!$AI805=$D$3),IF($F$3="(todos)",TRUE,'ORDENES'!$AA805=$F$3),IF($H$3="(todos)",TRUE,'ORDENES'!$Z805=$H$3),'ORDENES'!$AG805=TRUE,'ORDENES'!$A805&lt;&gt;""),1,0)</f>
        <v/>
      </c>
      <c r="L809" s="24">
        <f>IF(K809=1,IFERROR(MATCH('ORDENES'!$S805,lista_dias,0),9)*1000000000+IFERROR(MATCH('ORDENES'!$AI805,lista_turnos,0),9)*10000000+IFERROR(MATCH('ORDENES'!$AH805,'TECNICOS'!$B$4:$B$19,0),99)*100000+802,9000000000000+802)</f>
        <v/>
      </c>
      <c r="M809" s="24">
        <f>IF(K809=1,SUMPRODUCT(--($L$8:$L$1207&lt;L809))+1,"")</f>
        <v/>
      </c>
      <c r="N809" s="25">
        <f>IF(K809=1,N('ORDENES'!$M805),0)</f>
        <v/>
      </c>
      <c r="O809" s="25">
        <f>IF('ORDENES'!$U805="preventiva",N809,0)</f>
        <v/>
      </c>
      <c r="P809" s="25">
        <f>IF('ORDENES'!$U805="correctiva",N809,0)</f>
        <v/>
      </c>
      <c r="Q809" s="24">
        <f>IF(AND(K809=1,'ORDENES'!$N805="Pendiente"),1,0)</f>
        <v/>
      </c>
      <c r="R809" s="24">
        <f>IF(Q809=1,100000-N809*1000+802*0.01,9000000000000+802)</f>
        <v/>
      </c>
      <c r="S809" s="24">
        <f>IF(Q809=1,SUMPRODUCT(--($R$8:$R$1207&lt;R809))+1,"")</f>
        <v/>
      </c>
      <c r="T809" s="30">
        <f>IF(K809=1,'ORDENES'!$J805,"")</f>
        <v/>
      </c>
    </row>
    <row r="810">
      <c r="K810" s="24">
        <f>IF(AND(IF($B$3="(todos)",TRUE,'ORDENES'!$O806=$B$3),IF($D$3="(todos)",TRUE,'ORDENES'!$AI806=$D$3),IF($F$3="(todos)",TRUE,'ORDENES'!$AA806=$F$3),IF($H$3="(todos)",TRUE,'ORDENES'!$Z806=$H$3),'ORDENES'!$AG806=TRUE,'ORDENES'!$A806&lt;&gt;""),1,0)</f>
        <v/>
      </c>
      <c r="L810" s="24">
        <f>IF(K810=1,IFERROR(MATCH('ORDENES'!$S806,lista_dias,0),9)*1000000000+IFERROR(MATCH('ORDENES'!$AI806,lista_turnos,0),9)*10000000+IFERROR(MATCH('ORDENES'!$AH806,'TECNICOS'!$B$4:$B$19,0),99)*100000+803,9000000000000+803)</f>
        <v/>
      </c>
      <c r="M810" s="24">
        <f>IF(K810=1,SUMPRODUCT(--($L$8:$L$1207&lt;L810))+1,"")</f>
        <v/>
      </c>
      <c r="N810" s="25">
        <f>IF(K810=1,N('ORDENES'!$M806),0)</f>
        <v/>
      </c>
      <c r="O810" s="25">
        <f>IF('ORDENES'!$U806="preventiva",N810,0)</f>
        <v/>
      </c>
      <c r="P810" s="25">
        <f>IF('ORDENES'!$U806="correctiva",N810,0)</f>
        <v/>
      </c>
      <c r="Q810" s="24">
        <f>IF(AND(K810=1,'ORDENES'!$N806="Pendiente"),1,0)</f>
        <v/>
      </c>
      <c r="R810" s="24">
        <f>IF(Q810=1,100000-N810*1000+803*0.01,9000000000000+803)</f>
        <v/>
      </c>
      <c r="S810" s="24">
        <f>IF(Q810=1,SUMPRODUCT(--($R$8:$R$1207&lt;R810))+1,"")</f>
        <v/>
      </c>
      <c r="T810" s="30">
        <f>IF(K810=1,'ORDENES'!$J806,"")</f>
        <v/>
      </c>
    </row>
    <row r="811">
      <c r="K811" s="24">
        <f>IF(AND(IF($B$3="(todos)",TRUE,'ORDENES'!$O807=$B$3),IF($D$3="(todos)",TRUE,'ORDENES'!$AI807=$D$3),IF($F$3="(todos)",TRUE,'ORDENES'!$AA807=$F$3),IF($H$3="(todos)",TRUE,'ORDENES'!$Z807=$H$3),'ORDENES'!$AG807=TRUE,'ORDENES'!$A807&lt;&gt;""),1,0)</f>
        <v/>
      </c>
      <c r="L811" s="24">
        <f>IF(K811=1,IFERROR(MATCH('ORDENES'!$S807,lista_dias,0),9)*1000000000+IFERROR(MATCH('ORDENES'!$AI807,lista_turnos,0),9)*10000000+IFERROR(MATCH('ORDENES'!$AH807,'TECNICOS'!$B$4:$B$19,0),99)*100000+804,9000000000000+804)</f>
        <v/>
      </c>
      <c r="M811" s="24">
        <f>IF(K811=1,SUMPRODUCT(--($L$8:$L$1207&lt;L811))+1,"")</f>
        <v/>
      </c>
      <c r="N811" s="25">
        <f>IF(K811=1,N('ORDENES'!$M807),0)</f>
        <v/>
      </c>
      <c r="O811" s="25">
        <f>IF('ORDENES'!$U807="preventiva",N811,0)</f>
        <v/>
      </c>
      <c r="P811" s="25">
        <f>IF('ORDENES'!$U807="correctiva",N811,0)</f>
        <v/>
      </c>
      <c r="Q811" s="24">
        <f>IF(AND(K811=1,'ORDENES'!$N807="Pendiente"),1,0)</f>
        <v/>
      </c>
      <c r="R811" s="24">
        <f>IF(Q811=1,100000-N811*1000+804*0.01,9000000000000+804)</f>
        <v/>
      </c>
      <c r="S811" s="24">
        <f>IF(Q811=1,SUMPRODUCT(--($R$8:$R$1207&lt;R811))+1,"")</f>
        <v/>
      </c>
      <c r="T811" s="30">
        <f>IF(K811=1,'ORDENES'!$J807,"")</f>
        <v/>
      </c>
    </row>
    <row r="812">
      <c r="K812" s="24">
        <f>IF(AND(IF($B$3="(todos)",TRUE,'ORDENES'!$O808=$B$3),IF($D$3="(todos)",TRUE,'ORDENES'!$AI808=$D$3),IF($F$3="(todos)",TRUE,'ORDENES'!$AA808=$F$3),IF($H$3="(todos)",TRUE,'ORDENES'!$Z808=$H$3),'ORDENES'!$AG808=TRUE,'ORDENES'!$A808&lt;&gt;""),1,0)</f>
        <v/>
      </c>
      <c r="L812" s="24">
        <f>IF(K812=1,IFERROR(MATCH('ORDENES'!$S808,lista_dias,0),9)*1000000000+IFERROR(MATCH('ORDENES'!$AI808,lista_turnos,0),9)*10000000+IFERROR(MATCH('ORDENES'!$AH808,'TECNICOS'!$B$4:$B$19,0),99)*100000+805,9000000000000+805)</f>
        <v/>
      </c>
      <c r="M812" s="24">
        <f>IF(K812=1,SUMPRODUCT(--($L$8:$L$1207&lt;L812))+1,"")</f>
        <v/>
      </c>
      <c r="N812" s="25">
        <f>IF(K812=1,N('ORDENES'!$M808),0)</f>
        <v/>
      </c>
      <c r="O812" s="25">
        <f>IF('ORDENES'!$U808="preventiva",N812,0)</f>
        <v/>
      </c>
      <c r="P812" s="25">
        <f>IF('ORDENES'!$U808="correctiva",N812,0)</f>
        <v/>
      </c>
      <c r="Q812" s="24">
        <f>IF(AND(K812=1,'ORDENES'!$N808="Pendiente"),1,0)</f>
        <v/>
      </c>
      <c r="R812" s="24">
        <f>IF(Q812=1,100000-N812*1000+805*0.01,9000000000000+805)</f>
        <v/>
      </c>
      <c r="S812" s="24">
        <f>IF(Q812=1,SUMPRODUCT(--($R$8:$R$1207&lt;R812))+1,"")</f>
        <v/>
      </c>
      <c r="T812" s="30">
        <f>IF(K812=1,'ORDENES'!$J808,"")</f>
        <v/>
      </c>
    </row>
    <row r="813">
      <c r="K813" s="24">
        <f>IF(AND(IF($B$3="(todos)",TRUE,'ORDENES'!$O809=$B$3),IF($D$3="(todos)",TRUE,'ORDENES'!$AI809=$D$3),IF($F$3="(todos)",TRUE,'ORDENES'!$AA809=$F$3),IF($H$3="(todos)",TRUE,'ORDENES'!$Z809=$H$3),'ORDENES'!$AG809=TRUE,'ORDENES'!$A809&lt;&gt;""),1,0)</f>
        <v/>
      </c>
      <c r="L813" s="24">
        <f>IF(K813=1,IFERROR(MATCH('ORDENES'!$S809,lista_dias,0),9)*1000000000+IFERROR(MATCH('ORDENES'!$AI809,lista_turnos,0),9)*10000000+IFERROR(MATCH('ORDENES'!$AH809,'TECNICOS'!$B$4:$B$19,0),99)*100000+806,9000000000000+806)</f>
        <v/>
      </c>
      <c r="M813" s="24">
        <f>IF(K813=1,SUMPRODUCT(--($L$8:$L$1207&lt;L813))+1,"")</f>
        <v/>
      </c>
      <c r="N813" s="25">
        <f>IF(K813=1,N('ORDENES'!$M809),0)</f>
        <v/>
      </c>
      <c r="O813" s="25">
        <f>IF('ORDENES'!$U809="preventiva",N813,0)</f>
        <v/>
      </c>
      <c r="P813" s="25">
        <f>IF('ORDENES'!$U809="correctiva",N813,0)</f>
        <v/>
      </c>
      <c r="Q813" s="24">
        <f>IF(AND(K813=1,'ORDENES'!$N809="Pendiente"),1,0)</f>
        <v/>
      </c>
      <c r="R813" s="24">
        <f>IF(Q813=1,100000-N813*1000+806*0.01,9000000000000+806)</f>
        <v/>
      </c>
      <c r="S813" s="24">
        <f>IF(Q813=1,SUMPRODUCT(--($R$8:$R$1207&lt;R813))+1,"")</f>
        <v/>
      </c>
      <c r="T813" s="30">
        <f>IF(K813=1,'ORDENES'!$J809,"")</f>
        <v/>
      </c>
    </row>
    <row r="814">
      <c r="K814" s="24">
        <f>IF(AND(IF($B$3="(todos)",TRUE,'ORDENES'!$O810=$B$3),IF($D$3="(todos)",TRUE,'ORDENES'!$AI810=$D$3),IF($F$3="(todos)",TRUE,'ORDENES'!$AA810=$F$3),IF($H$3="(todos)",TRUE,'ORDENES'!$Z810=$H$3),'ORDENES'!$AG810=TRUE,'ORDENES'!$A810&lt;&gt;""),1,0)</f>
        <v/>
      </c>
      <c r="L814" s="24">
        <f>IF(K814=1,IFERROR(MATCH('ORDENES'!$S810,lista_dias,0),9)*1000000000+IFERROR(MATCH('ORDENES'!$AI810,lista_turnos,0),9)*10000000+IFERROR(MATCH('ORDENES'!$AH810,'TECNICOS'!$B$4:$B$19,0),99)*100000+807,9000000000000+807)</f>
        <v/>
      </c>
      <c r="M814" s="24">
        <f>IF(K814=1,SUMPRODUCT(--($L$8:$L$1207&lt;L814))+1,"")</f>
        <v/>
      </c>
      <c r="N814" s="25">
        <f>IF(K814=1,N('ORDENES'!$M810),0)</f>
        <v/>
      </c>
      <c r="O814" s="25">
        <f>IF('ORDENES'!$U810="preventiva",N814,0)</f>
        <v/>
      </c>
      <c r="P814" s="25">
        <f>IF('ORDENES'!$U810="correctiva",N814,0)</f>
        <v/>
      </c>
      <c r="Q814" s="24">
        <f>IF(AND(K814=1,'ORDENES'!$N810="Pendiente"),1,0)</f>
        <v/>
      </c>
      <c r="R814" s="24">
        <f>IF(Q814=1,100000-N814*1000+807*0.01,9000000000000+807)</f>
        <v/>
      </c>
      <c r="S814" s="24">
        <f>IF(Q814=1,SUMPRODUCT(--($R$8:$R$1207&lt;R814))+1,"")</f>
        <v/>
      </c>
      <c r="T814" s="30">
        <f>IF(K814=1,'ORDENES'!$J810,"")</f>
        <v/>
      </c>
    </row>
    <row r="815">
      <c r="K815" s="24">
        <f>IF(AND(IF($B$3="(todos)",TRUE,'ORDENES'!$O811=$B$3),IF($D$3="(todos)",TRUE,'ORDENES'!$AI811=$D$3),IF($F$3="(todos)",TRUE,'ORDENES'!$AA811=$F$3),IF($H$3="(todos)",TRUE,'ORDENES'!$Z811=$H$3),'ORDENES'!$AG811=TRUE,'ORDENES'!$A811&lt;&gt;""),1,0)</f>
        <v/>
      </c>
      <c r="L815" s="24">
        <f>IF(K815=1,IFERROR(MATCH('ORDENES'!$S811,lista_dias,0),9)*1000000000+IFERROR(MATCH('ORDENES'!$AI811,lista_turnos,0),9)*10000000+IFERROR(MATCH('ORDENES'!$AH811,'TECNICOS'!$B$4:$B$19,0),99)*100000+808,9000000000000+808)</f>
        <v/>
      </c>
      <c r="M815" s="24">
        <f>IF(K815=1,SUMPRODUCT(--($L$8:$L$1207&lt;L815))+1,"")</f>
        <v/>
      </c>
      <c r="N815" s="25">
        <f>IF(K815=1,N('ORDENES'!$M811),0)</f>
        <v/>
      </c>
      <c r="O815" s="25">
        <f>IF('ORDENES'!$U811="preventiva",N815,0)</f>
        <v/>
      </c>
      <c r="P815" s="25">
        <f>IF('ORDENES'!$U811="correctiva",N815,0)</f>
        <v/>
      </c>
      <c r="Q815" s="24">
        <f>IF(AND(K815=1,'ORDENES'!$N811="Pendiente"),1,0)</f>
        <v/>
      </c>
      <c r="R815" s="24">
        <f>IF(Q815=1,100000-N815*1000+808*0.01,9000000000000+808)</f>
        <v/>
      </c>
      <c r="S815" s="24">
        <f>IF(Q815=1,SUMPRODUCT(--($R$8:$R$1207&lt;R815))+1,"")</f>
        <v/>
      </c>
      <c r="T815" s="30">
        <f>IF(K815=1,'ORDENES'!$J811,"")</f>
        <v/>
      </c>
    </row>
    <row r="816">
      <c r="K816" s="24">
        <f>IF(AND(IF($B$3="(todos)",TRUE,'ORDENES'!$O812=$B$3),IF($D$3="(todos)",TRUE,'ORDENES'!$AI812=$D$3),IF($F$3="(todos)",TRUE,'ORDENES'!$AA812=$F$3),IF($H$3="(todos)",TRUE,'ORDENES'!$Z812=$H$3),'ORDENES'!$AG812=TRUE,'ORDENES'!$A812&lt;&gt;""),1,0)</f>
        <v/>
      </c>
      <c r="L816" s="24">
        <f>IF(K816=1,IFERROR(MATCH('ORDENES'!$S812,lista_dias,0),9)*1000000000+IFERROR(MATCH('ORDENES'!$AI812,lista_turnos,0),9)*10000000+IFERROR(MATCH('ORDENES'!$AH812,'TECNICOS'!$B$4:$B$19,0),99)*100000+809,9000000000000+809)</f>
        <v/>
      </c>
      <c r="M816" s="24">
        <f>IF(K816=1,SUMPRODUCT(--($L$8:$L$1207&lt;L816))+1,"")</f>
        <v/>
      </c>
      <c r="N816" s="25">
        <f>IF(K816=1,N('ORDENES'!$M812),0)</f>
        <v/>
      </c>
      <c r="O816" s="25">
        <f>IF('ORDENES'!$U812="preventiva",N816,0)</f>
        <v/>
      </c>
      <c r="P816" s="25">
        <f>IF('ORDENES'!$U812="correctiva",N816,0)</f>
        <v/>
      </c>
      <c r="Q816" s="24">
        <f>IF(AND(K816=1,'ORDENES'!$N812="Pendiente"),1,0)</f>
        <v/>
      </c>
      <c r="R816" s="24">
        <f>IF(Q816=1,100000-N816*1000+809*0.01,9000000000000+809)</f>
        <v/>
      </c>
      <c r="S816" s="24">
        <f>IF(Q816=1,SUMPRODUCT(--($R$8:$R$1207&lt;R816))+1,"")</f>
        <v/>
      </c>
      <c r="T816" s="30">
        <f>IF(K816=1,'ORDENES'!$J812,"")</f>
        <v/>
      </c>
    </row>
    <row r="817">
      <c r="K817" s="24">
        <f>IF(AND(IF($B$3="(todos)",TRUE,'ORDENES'!$O813=$B$3),IF($D$3="(todos)",TRUE,'ORDENES'!$AI813=$D$3),IF($F$3="(todos)",TRUE,'ORDENES'!$AA813=$F$3),IF($H$3="(todos)",TRUE,'ORDENES'!$Z813=$H$3),'ORDENES'!$AG813=TRUE,'ORDENES'!$A813&lt;&gt;""),1,0)</f>
        <v/>
      </c>
      <c r="L817" s="24">
        <f>IF(K817=1,IFERROR(MATCH('ORDENES'!$S813,lista_dias,0),9)*1000000000+IFERROR(MATCH('ORDENES'!$AI813,lista_turnos,0),9)*10000000+IFERROR(MATCH('ORDENES'!$AH813,'TECNICOS'!$B$4:$B$19,0),99)*100000+810,9000000000000+810)</f>
        <v/>
      </c>
      <c r="M817" s="24">
        <f>IF(K817=1,SUMPRODUCT(--($L$8:$L$1207&lt;L817))+1,"")</f>
        <v/>
      </c>
      <c r="N817" s="25">
        <f>IF(K817=1,N('ORDENES'!$M813),0)</f>
        <v/>
      </c>
      <c r="O817" s="25">
        <f>IF('ORDENES'!$U813="preventiva",N817,0)</f>
        <v/>
      </c>
      <c r="P817" s="25">
        <f>IF('ORDENES'!$U813="correctiva",N817,0)</f>
        <v/>
      </c>
      <c r="Q817" s="24">
        <f>IF(AND(K817=1,'ORDENES'!$N813="Pendiente"),1,0)</f>
        <v/>
      </c>
      <c r="R817" s="24">
        <f>IF(Q817=1,100000-N817*1000+810*0.01,9000000000000+810)</f>
        <v/>
      </c>
      <c r="S817" s="24">
        <f>IF(Q817=1,SUMPRODUCT(--($R$8:$R$1207&lt;R817))+1,"")</f>
        <v/>
      </c>
      <c r="T817" s="30">
        <f>IF(K817=1,'ORDENES'!$J813,"")</f>
        <v/>
      </c>
    </row>
    <row r="818">
      <c r="K818" s="24">
        <f>IF(AND(IF($B$3="(todos)",TRUE,'ORDENES'!$O814=$B$3),IF($D$3="(todos)",TRUE,'ORDENES'!$AI814=$D$3),IF($F$3="(todos)",TRUE,'ORDENES'!$AA814=$F$3),IF($H$3="(todos)",TRUE,'ORDENES'!$Z814=$H$3),'ORDENES'!$AG814=TRUE,'ORDENES'!$A814&lt;&gt;""),1,0)</f>
        <v/>
      </c>
      <c r="L818" s="24">
        <f>IF(K818=1,IFERROR(MATCH('ORDENES'!$S814,lista_dias,0),9)*1000000000+IFERROR(MATCH('ORDENES'!$AI814,lista_turnos,0),9)*10000000+IFERROR(MATCH('ORDENES'!$AH814,'TECNICOS'!$B$4:$B$19,0),99)*100000+811,9000000000000+811)</f>
        <v/>
      </c>
      <c r="M818" s="24">
        <f>IF(K818=1,SUMPRODUCT(--($L$8:$L$1207&lt;L818))+1,"")</f>
        <v/>
      </c>
      <c r="N818" s="25">
        <f>IF(K818=1,N('ORDENES'!$M814),0)</f>
        <v/>
      </c>
      <c r="O818" s="25">
        <f>IF('ORDENES'!$U814="preventiva",N818,0)</f>
        <v/>
      </c>
      <c r="P818" s="25">
        <f>IF('ORDENES'!$U814="correctiva",N818,0)</f>
        <v/>
      </c>
      <c r="Q818" s="24">
        <f>IF(AND(K818=1,'ORDENES'!$N814="Pendiente"),1,0)</f>
        <v/>
      </c>
      <c r="R818" s="24">
        <f>IF(Q818=1,100000-N818*1000+811*0.01,9000000000000+811)</f>
        <v/>
      </c>
      <c r="S818" s="24">
        <f>IF(Q818=1,SUMPRODUCT(--($R$8:$R$1207&lt;R818))+1,"")</f>
        <v/>
      </c>
      <c r="T818" s="30">
        <f>IF(K818=1,'ORDENES'!$J814,"")</f>
        <v/>
      </c>
    </row>
    <row r="819">
      <c r="K819" s="24">
        <f>IF(AND(IF($B$3="(todos)",TRUE,'ORDENES'!$O815=$B$3),IF($D$3="(todos)",TRUE,'ORDENES'!$AI815=$D$3),IF($F$3="(todos)",TRUE,'ORDENES'!$AA815=$F$3),IF($H$3="(todos)",TRUE,'ORDENES'!$Z815=$H$3),'ORDENES'!$AG815=TRUE,'ORDENES'!$A815&lt;&gt;""),1,0)</f>
        <v/>
      </c>
      <c r="L819" s="24">
        <f>IF(K819=1,IFERROR(MATCH('ORDENES'!$S815,lista_dias,0),9)*1000000000+IFERROR(MATCH('ORDENES'!$AI815,lista_turnos,0),9)*10000000+IFERROR(MATCH('ORDENES'!$AH815,'TECNICOS'!$B$4:$B$19,0),99)*100000+812,9000000000000+812)</f>
        <v/>
      </c>
      <c r="M819" s="24">
        <f>IF(K819=1,SUMPRODUCT(--($L$8:$L$1207&lt;L819))+1,"")</f>
        <v/>
      </c>
      <c r="N819" s="25">
        <f>IF(K819=1,N('ORDENES'!$M815),0)</f>
        <v/>
      </c>
      <c r="O819" s="25">
        <f>IF('ORDENES'!$U815="preventiva",N819,0)</f>
        <v/>
      </c>
      <c r="P819" s="25">
        <f>IF('ORDENES'!$U815="correctiva",N819,0)</f>
        <v/>
      </c>
      <c r="Q819" s="24">
        <f>IF(AND(K819=1,'ORDENES'!$N815="Pendiente"),1,0)</f>
        <v/>
      </c>
      <c r="R819" s="24">
        <f>IF(Q819=1,100000-N819*1000+812*0.01,9000000000000+812)</f>
        <v/>
      </c>
      <c r="S819" s="24">
        <f>IF(Q819=1,SUMPRODUCT(--($R$8:$R$1207&lt;R819))+1,"")</f>
        <v/>
      </c>
      <c r="T819" s="30">
        <f>IF(K819=1,'ORDENES'!$J815,"")</f>
        <v/>
      </c>
    </row>
    <row r="820">
      <c r="K820" s="24">
        <f>IF(AND(IF($B$3="(todos)",TRUE,'ORDENES'!$O816=$B$3),IF($D$3="(todos)",TRUE,'ORDENES'!$AI816=$D$3),IF($F$3="(todos)",TRUE,'ORDENES'!$AA816=$F$3),IF($H$3="(todos)",TRUE,'ORDENES'!$Z816=$H$3),'ORDENES'!$AG816=TRUE,'ORDENES'!$A816&lt;&gt;""),1,0)</f>
        <v/>
      </c>
      <c r="L820" s="24">
        <f>IF(K820=1,IFERROR(MATCH('ORDENES'!$S816,lista_dias,0),9)*1000000000+IFERROR(MATCH('ORDENES'!$AI816,lista_turnos,0),9)*10000000+IFERROR(MATCH('ORDENES'!$AH816,'TECNICOS'!$B$4:$B$19,0),99)*100000+813,9000000000000+813)</f>
        <v/>
      </c>
      <c r="M820" s="24">
        <f>IF(K820=1,SUMPRODUCT(--($L$8:$L$1207&lt;L820))+1,"")</f>
        <v/>
      </c>
      <c r="N820" s="25">
        <f>IF(K820=1,N('ORDENES'!$M816),0)</f>
        <v/>
      </c>
      <c r="O820" s="25">
        <f>IF('ORDENES'!$U816="preventiva",N820,0)</f>
        <v/>
      </c>
      <c r="P820" s="25">
        <f>IF('ORDENES'!$U816="correctiva",N820,0)</f>
        <v/>
      </c>
      <c r="Q820" s="24">
        <f>IF(AND(K820=1,'ORDENES'!$N816="Pendiente"),1,0)</f>
        <v/>
      </c>
      <c r="R820" s="24">
        <f>IF(Q820=1,100000-N820*1000+813*0.01,9000000000000+813)</f>
        <v/>
      </c>
      <c r="S820" s="24">
        <f>IF(Q820=1,SUMPRODUCT(--($R$8:$R$1207&lt;R820))+1,"")</f>
        <v/>
      </c>
      <c r="T820" s="30">
        <f>IF(K820=1,'ORDENES'!$J816,"")</f>
        <v/>
      </c>
    </row>
    <row r="821">
      <c r="K821" s="24">
        <f>IF(AND(IF($B$3="(todos)",TRUE,'ORDENES'!$O817=$B$3),IF($D$3="(todos)",TRUE,'ORDENES'!$AI817=$D$3),IF($F$3="(todos)",TRUE,'ORDENES'!$AA817=$F$3),IF($H$3="(todos)",TRUE,'ORDENES'!$Z817=$H$3),'ORDENES'!$AG817=TRUE,'ORDENES'!$A817&lt;&gt;""),1,0)</f>
        <v/>
      </c>
      <c r="L821" s="24">
        <f>IF(K821=1,IFERROR(MATCH('ORDENES'!$S817,lista_dias,0),9)*1000000000+IFERROR(MATCH('ORDENES'!$AI817,lista_turnos,0),9)*10000000+IFERROR(MATCH('ORDENES'!$AH817,'TECNICOS'!$B$4:$B$19,0),99)*100000+814,9000000000000+814)</f>
        <v/>
      </c>
      <c r="M821" s="24">
        <f>IF(K821=1,SUMPRODUCT(--($L$8:$L$1207&lt;L821))+1,"")</f>
        <v/>
      </c>
      <c r="N821" s="25">
        <f>IF(K821=1,N('ORDENES'!$M817),0)</f>
        <v/>
      </c>
      <c r="O821" s="25">
        <f>IF('ORDENES'!$U817="preventiva",N821,0)</f>
        <v/>
      </c>
      <c r="P821" s="25">
        <f>IF('ORDENES'!$U817="correctiva",N821,0)</f>
        <v/>
      </c>
      <c r="Q821" s="24">
        <f>IF(AND(K821=1,'ORDENES'!$N817="Pendiente"),1,0)</f>
        <v/>
      </c>
      <c r="R821" s="24">
        <f>IF(Q821=1,100000-N821*1000+814*0.01,9000000000000+814)</f>
        <v/>
      </c>
      <c r="S821" s="24">
        <f>IF(Q821=1,SUMPRODUCT(--($R$8:$R$1207&lt;R821))+1,"")</f>
        <v/>
      </c>
      <c r="T821" s="30">
        <f>IF(K821=1,'ORDENES'!$J817,"")</f>
        <v/>
      </c>
    </row>
    <row r="822">
      <c r="K822" s="24">
        <f>IF(AND(IF($B$3="(todos)",TRUE,'ORDENES'!$O818=$B$3),IF($D$3="(todos)",TRUE,'ORDENES'!$AI818=$D$3),IF($F$3="(todos)",TRUE,'ORDENES'!$AA818=$F$3),IF($H$3="(todos)",TRUE,'ORDENES'!$Z818=$H$3),'ORDENES'!$AG818=TRUE,'ORDENES'!$A818&lt;&gt;""),1,0)</f>
        <v/>
      </c>
      <c r="L822" s="24">
        <f>IF(K822=1,IFERROR(MATCH('ORDENES'!$S818,lista_dias,0),9)*1000000000+IFERROR(MATCH('ORDENES'!$AI818,lista_turnos,0),9)*10000000+IFERROR(MATCH('ORDENES'!$AH818,'TECNICOS'!$B$4:$B$19,0),99)*100000+815,9000000000000+815)</f>
        <v/>
      </c>
      <c r="M822" s="24">
        <f>IF(K822=1,SUMPRODUCT(--($L$8:$L$1207&lt;L822))+1,"")</f>
        <v/>
      </c>
      <c r="N822" s="25">
        <f>IF(K822=1,N('ORDENES'!$M818),0)</f>
        <v/>
      </c>
      <c r="O822" s="25">
        <f>IF('ORDENES'!$U818="preventiva",N822,0)</f>
        <v/>
      </c>
      <c r="P822" s="25">
        <f>IF('ORDENES'!$U818="correctiva",N822,0)</f>
        <v/>
      </c>
      <c r="Q822" s="24">
        <f>IF(AND(K822=1,'ORDENES'!$N818="Pendiente"),1,0)</f>
        <v/>
      </c>
      <c r="R822" s="24">
        <f>IF(Q822=1,100000-N822*1000+815*0.01,9000000000000+815)</f>
        <v/>
      </c>
      <c r="S822" s="24">
        <f>IF(Q822=1,SUMPRODUCT(--($R$8:$R$1207&lt;R822))+1,"")</f>
        <v/>
      </c>
      <c r="T822" s="30">
        <f>IF(K822=1,'ORDENES'!$J818,"")</f>
        <v/>
      </c>
    </row>
    <row r="823">
      <c r="K823" s="24">
        <f>IF(AND(IF($B$3="(todos)",TRUE,'ORDENES'!$O819=$B$3),IF($D$3="(todos)",TRUE,'ORDENES'!$AI819=$D$3),IF($F$3="(todos)",TRUE,'ORDENES'!$AA819=$F$3),IF($H$3="(todos)",TRUE,'ORDENES'!$Z819=$H$3),'ORDENES'!$AG819=TRUE,'ORDENES'!$A819&lt;&gt;""),1,0)</f>
        <v/>
      </c>
      <c r="L823" s="24">
        <f>IF(K823=1,IFERROR(MATCH('ORDENES'!$S819,lista_dias,0),9)*1000000000+IFERROR(MATCH('ORDENES'!$AI819,lista_turnos,0),9)*10000000+IFERROR(MATCH('ORDENES'!$AH819,'TECNICOS'!$B$4:$B$19,0),99)*100000+816,9000000000000+816)</f>
        <v/>
      </c>
      <c r="M823" s="24">
        <f>IF(K823=1,SUMPRODUCT(--($L$8:$L$1207&lt;L823))+1,"")</f>
        <v/>
      </c>
      <c r="N823" s="25">
        <f>IF(K823=1,N('ORDENES'!$M819),0)</f>
        <v/>
      </c>
      <c r="O823" s="25">
        <f>IF('ORDENES'!$U819="preventiva",N823,0)</f>
        <v/>
      </c>
      <c r="P823" s="25">
        <f>IF('ORDENES'!$U819="correctiva",N823,0)</f>
        <v/>
      </c>
      <c r="Q823" s="24">
        <f>IF(AND(K823=1,'ORDENES'!$N819="Pendiente"),1,0)</f>
        <v/>
      </c>
      <c r="R823" s="24">
        <f>IF(Q823=1,100000-N823*1000+816*0.01,9000000000000+816)</f>
        <v/>
      </c>
      <c r="S823" s="24">
        <f>IF(Q823=1,SUMPRODUCT(--($R$8:$R$1207&lt;R823))+1,"")</f>
        <v/>
      </c>
      <c r="T823" s="30">
        <f>IF(K823=1,'ORDENES'!$J819,"")</f>
        <v/>
      </c>
    </row>
    <row r="824">
      <c r="K824" s="24">
        <f>IF(AND(IF($B$3="(todos)",TRUE,'ORDENES'!$O820=$B$3),IF($D$3="(todos)",TRUE,'ORDENES'!$AI820=$D$3),IF($F$3="(todos)",TRUE,'ORDENES'!$AA820=$F$3),IF($H$3="(todos)",TRUE,'ORDENES'!$Z820=$H$3),'ORDENES'!$AG820=TRUE,'ORDENES'!$A820&lt;&gt;""),1,0)</f>
        <v/>
      </c>
      <c r="L824" s="24">
        <f>IF(K824=1,IFERROR(MATCH('ORDENES'!$S820,lista_dias,0),9)*1000000000+IFERROR(MATCH('ORDENES'!$AI820,lista_turnos,0),9)*10000000+IFERROR(MATCH('ORDENES'!$AH820,'TECNICOS'!$B$4:$B$19,0),99)*100000+817,9000000000000+817)</f>
        <v/>
      </c>
      <c r="M824" s="24">
        <f>IF(K824=1,SUMPRODUCT(--($L$8:$L$1207&lt;L824))+1,"")</f>
        <v/>
      </c>
      <c r="N824" s="25">
        <f>IF(K824=1,N('ORDENES'!$M820),0)</f>
        <v/>
      </c>
      <c r="O824" s="25">
        <f>IF('ORDENES'!$U820="preventiva",N824,0)</f>
        <v/>
      </c>
      <c r="P824" s="25">
        <f>IF('ORDENES'!$U820="correctiva",N824,0)</f>
        <v/>
      </c>
      <c r="Q824" s="24">
        <f>IF(AND(K824=1,'ORDENES'!$N820="Pendiente"),1,0)</f>
        <v/>
      </c>
      <c r="R824" s="24">
        <f>IF(Q824=1,100000-N824*1000+817*0.01,9000000000000+817)</f>
        <v/>
      </c>
      <c r="S824" s="24">
        <f>IF(Q824=1,SUMPRODUCT(--($R$8:$R$1207&lt;R824))+1,"")</f>
        <v/>
      </c>
      <c r="T824" s="30">
        <f>IF(K824=1,'ORDENES'!$J820,"")</f>
        <v/>
      </c>
    </row>
    <row r="825">
      <c r="K825" s="24">
        <f>IF(AND(IF($B$3="(todos)",TRUE,'ORDENES'!$O821=$B$3),IF($D$3="(todos)",TRUE,'ORDENES'!$AI821=$D$3),IF($F$3="(todos)",TRUE,'ORDENES'!$AA821=$F$3),IF($H$3="(todos)",TRUE,'ORDENES'!$Z821=$H$3),'ORDENES'!$AG821=TRUE,'ORDENES'!$A821&lt;&gt;""),1,0)</f>
        <v/>
      </c>
      <c r="L825" s="24">
        <f>IF(K825=1,IFERROR(MATCH('ORDENES'!$S821,lista_dias,0),9)*1000000000+IFERROR(MATCH('ORDENES'!$AI821,lista_turnos,0),9)*10000000+IFERROR(MATCH('ORDENES'!$AH821,'TECNICOS'!$B$4:$B$19,0),99)*100000+818,9000000000000+818)</f>
        <v/>
      </c>
      <c r="M825" s="24">
        <f>IF(K825=1,SUMPRODUCT(--($L$8:$L$1207&lt;L825))+1,"")</f>
        <v/>
      </c>
      <c r="N825" s="25">
        <f>IF(K825=1,N('ORDENES'!$M821),0)</f>
        <v/>
      </c>
      <c r="O825" s="25">
        <f>IF('ORDENES'!$U821="preventiva",N825,0)</f>
        <v/>
      </c>
      <c r="P825" s="25">
        <f>IF('ORDENES'!$U821="correctiva",N825,0)</f>
        <v/>
      </c>
      <c r="Q825" s="24">
        <f>IF(AND(K825=1,'ORDENES'!$N821="Pendiente"),1,0)</f>
        <v/>
      </c>
      <c r="R825" s="24">
        <f>IF(Q825=1,100000-N825*1000+818*0.01,9000000000000+818)</f>
        <v/>
      </c>
      <c r="S825" s="24">
        <f>IF(Q825=1,SUMPRODUCT(--($R$8:$R$1207&lt;R825))+1,"")</f>
        <v/>
      </c>
      <c r="T825" s="30">
        <f>IF(K825=1,'ORDENES'!$J821,"")</f>
        <v/>
      </c>
    </row>
    <row r="826">
      <c r="K826" s="24">
        <f>IF(AND(IF($B$3="(todos)",TRUE,'ORDENES'!$O822=$B$3),IF($D$3="(todos)",TRUE,'ORDENES'!$AI822=$D$3),IF($F$3="(todos)",TRUE,'ORDENES'!$AA822=$F$3),IF($H$3="(todos)",TRUE,'ORDENES'!$Z822=$H$3),'ORDENES'!$AG822=TRUE,'ORDENES'!$A822&lt;&gt;""),1,0)</f>
        <v/>
      </c>
      <c r="L826" s="24">
        <f>IF(K826=1,IFERROR(MATCH('ORDENES'!$S822,lista_dias,0),9)*1000000000+IFERROR(MATCH('ORDENES'!$AI822,lista_turnos,0),9)*10000000+IFERROR(MATCH('ORDENES'!$AH822,'TECNICOS'!$B$4:$B$19,0),99)*100000+819,9000000000000+819)</f>
        <v/>
      </c>
      <c r="M826" s="24">
        <f>IF(K826=1,SUMPRODUCT(--($L$8:$L$1207&lt;L826))+1,"")</f>
        <v/>
      </c>
      <c r="N826" s="25">
        <f>IF(K826=1,N('ORDENES'!$M822),0)</f>
        <v/>
      </c>
      <c r="O826" s="25">
        <f>IF('ORDENES'!$U822="preventiva",N826,0)</f>
        <v/>
      </c>
      <c r="P826" s="25">
        <f>IF('ORDENES'!$U822="correctiva",N826,0)</f>
        <v/>
      </c>
      <c r="Q826" s="24">
        <f>IF(AND(K826=1,'ORDENES'!$N822="Pendiente"),1,0)</f>
        <v/>
      </c>
      <c r="R826" s="24">
        <f>IF(Q826=1,100000-N826*1000+819*0.01,9000000000000+819)</f>
        <v/>
      </c>
      <c r="S826" s="24">
        <f>IF(Q826=1,SUMPRODUCT(--($R$8:$R$1207&lt;R826))+1,"")</f>
        <v/>
      </c>
      <c r="T826" s="30">
        <f>IF(K826=1,'ORDENES'!$J822,"")</f>
        <v/>
      </c>
    </row>
    <row r="827">
      <c r="K827" s="24">
        <f>IF(AND(IF($B$3="(todos)",TRUE,'ORDENES'!$O823=$B$3),IF($D$3="(todos)",TRUE,'ORDENES'!$AI823=$D$3),IF($F$3="(todos)",TRUE,'ORDENES'!$AA823=$F$3),IF($H$3="(todos)",TRUE,'ORDENES'!$Z823=$H$3),'ORDENES'!$AG823=TRUE,'ORDENES'!$A823&lt;&gt;""),1,0)</f>
        <v/>
      </c>
      <c r="L827" s="24">
        <f>IF(K827=1,IFERROR(MATCH('ORDENES'!$S823,lista_dias,0),9)*1000000000+IFERROR(MATCH('ORDENES'!$AI823,lista_turnos,0),9)*10000000+IFERROR(MATCH('ORDENES'!$AH823,'TECNICOS'!$B$4:$B$19,0),99)*100000+820,9000000000000+820)</f>
        <v/>
      </c>
      <c r="M827" s="24">
        <f>IF(K827=1,SUMPRODUCT(--($L$8:$L$1207&lt;L827))+1,"")</f>
        <v/>
      </c>
      <c r="N827" s="25">
        <f>IF(K827=1,N('ORDENES'!$M823),0)</f>
        <v/>
      </c>
      <c r="O827" s="25">
        <f>IF('ORDENES'!$U823="preventiva",N827,0)</f>
        <v/>
      </c>
      <c r="P827" s="25">
        <f>IF('ORDENES'!$U823="correctiva",N827,0)</f>
        <v/>
      </c>
      <c r="Q827" s="24">
        <f>IF(AND(K827=1,'ORDENES'!$N823="Pendiente"),1,0)</f>
        <v/>
      </c>
      <c r="R827" s="24">
        <f>IF(Q827=1,100000-N827*1000+820*0.01,9000000000000+820)</f>
        <v/>
      </c>
      <c r="S827" s="24">
        <f>IF(Q827=1,SUMPRODUCT(--($R$8:$R$1207&lt;R827))+1,"")</f>
        <v/>
      </c>
      <c r="T827" s="30">
        <f>IF(K827=1,'ORDENES'!$J823,"")</f>
        <v/>
      </c>
    </row>
    <row r="828">
      <c r="K828" s="24">
        <f>IF(AND(IF($B$3="(todos)",TRUE,'ORDENES'!$O824=$B$3),IF($D$3="(todos)",TRUE,'ORDENES'!$AI824=$D$3),IF($F$3="(todos)",TRUE,'ORDENES'!$AA824=$F$3),IF($H$3="(todos)",TRUE,'ORDENES'!$Z824=$H$3),'ORDENES'!$AG824=TRUE,'ORDENES'!$A824&lt;&gt;""),1,0)</f>
        <v/>
      </c>
      <c r="L828" s="24">
        <f>IF(K828=1,IFERROR(MATCH('ORDENES'!$S824,lista_dias,0),9)*1000000000+IFERROR(MATCH('ORDENES'!$AI824,lista_turnos,0),9)*10000000+IFERROR(MATCH('ORDENES'!$AH824,'TECNICOS'!$B$4:$B$19,0),99)*100000+821,9000000000000+821)</f>
        <v/>
      </c>
      <c r="M828" s="24">
        <f>IF(K828=1,SUMPRODUCT(--($L$8:$L$1207&lt;L828))+1,"")</f>
        <v/>
      </c>
      <c r="N828" s="25">
        <f>IF(K828=1,N('ORDENES'!$M824),0)</f>
        <v/>
      </c>
      <c r="O828" s="25">
        <f>IF('ORDENES'!$U824="preventiva",N828,0)</f>
        <v/>
      </c>
      <c r="P828" s="25">
        <f>IF('ORDENES'!$U824="correctiva",N828,0)</f>
        <v/>
      </c>
      <c r="Q828" s="24">
        <f>IF(AND(K828=1,'ORDENES'!$N824="Pendiente"),1,0)</f>
        <v/>
      </c>
      <c r="R828" s="24">
        <f>IF(Q828=1,100000-N828*1000+821*0.01,9000000000000+821)</f>
        <v/>
      </c>
      <c r="S828" s="24">
        <f>IF(Q828=1,SUMPRODUCT(--($R$8:$R$1207&lt;R828))+1,"")</f>
        <v/>
      </c>
      <c r="T828" s="30">
        <f>IF(K828=1,'ORDENES'!$J824,"")</f>
        <v/>
      </c>
    </row>
    <row r="829">
      <c r="K829" s="24">
        <f>IF(AND(IF($B$3="(todos)",TRUE,'ORDENES'!$O825=$B$3),IF($D$3="(todos)",TRUE,'ORDENES'!$AI825=$D$3),IF($F$3="(todos)",TRUE,'ORDENES'!$AA825=$F$3),IF($H$3="(todos)",TRUE,'ORDENES'!$Z825=$H$3),'ORDENES'!$AG825=TRUE,'ORDENES'!$A825&lt;&gt;""),1,0)</f>
        <v/>
      </c>
      <c r="L829" s="24">
        <f>IF(K829=1,IFERROR(MATCH('ORDENES'!$S825,lista_dias,0),9)*1000000000+IFERROR(MATCH('ORDENES'!$AI825,lista_turnos,0),9)*10000000+IFERROR(MATCH('ORDENES'!$AH825,'TECNICOS'!$B$4:$B$19,0),99)*100000+822,9000000000000+822)</f>
        <v/>
      </c>
      <c r="M829" s="24">
        <f>IF(K829=1,SUMPRODUCT(--($L$8:$L$1207&lt;L829))+1,"")</f>
        <v/>
      </c>
      <c r="N829" s="25">
        <f>IF(K829=1,N('ORDENES'!$M825),0)</f>
        <v/>
      </c>
      <c r="O829" s="25">
        <f>IF('ORDENES'!$U825="preventiva",N829,0)</f>
        <v/>
      </c>
      <c r="P829" s="25">
        <f>IF('ORDENES'!$U825="correctiva",N829,0)</f>
        <v/>
      </c>
      <c r="Q829" s="24">
        <f>IF(AND(K829=1,'ORDENES'!$N825="Pendiente"),1,0)</f>
        <v/>
      </c>
      <c r="R829" s="24">
        <f>IF(Q829=1,100000-N829*1000+822*0.01,9000000000000+822)</f>
        <v/>
      </c>
      <c r="S829" s="24">
        <f>IF(Q829=1,SUMPRODUCT(--($R$8:$R$1207&lt;R829))+1,"")</f>
        <v/>
      </c>
      <c r="T829" s="30">
        <f>IF(K829=1,'ORDENES'!$J825,"")</f>
        <v/>
      </c>
    </row>
    <row r="830">
      <c r="K830" s="24">
        <f>IF(AND(IF($B$3="(todos)",TRUE,'ORDENES'!$O826=$B$3),IF($D$3="(todos)",TRUE,'ORDENES'!$AI826=$D$3),IF($F$3="(todos)",TRUE,'ORDENES'!$AA826=$F$3),IF($H$3="(todos)",TRUE,'ORDENES'!$Z826=$H$3),'ORDENES'!$AG826=TRUE,'ORDENES'!$A826&lt;&gt;""),1,0)</f>
        <v/>
      </c>
      <c r="L830" s="24">
        <f>IF(K830=1,IFERROR(MATCH('ORDENES'!$S826,lista_dias,0),9)*1000000000+IFERROR(MATCH('ORDENES'!$AI826,lista_turnos,0),9)*10000000+IFERROR(MATCH('ORDENES'!$AH826,'TECNICOS'!$B$4:$B$19,0),99)*100000+823,9000000000000+823)</f>
        <v/>
      </c>
      <c r="M830" s="24">
        <f>IF(K830=1,SUMPRODUCT(--($L$8:$L$1207&lt;L830))+1,"")</f>
        <v/>
      </c>
      <c r="N830" s="25">
        <f>IF(K830=1,N('ORDENES'!$M826),0)</f>
        <v/>
      </c>
      <c r="O830" s="25">
        <f>IF('ORDENES'!$U826="preventiva",N830,0)</f>
        <v/>
      </c>
      <c r="P830" s="25">
        <f>IF('ORDENES'!$U826="correctiva",N830,0)</f>
        <v/>
      </c>
      <c r="Q830" s="24">
        <f>IF(AND(K830=1,'ORDENES'!$N826="Pendiente"),1,0)</f>
        <v/>
      </c>
      <c r="R830" s="24">
        <f>IF(Q830=1,100000-N830*1000+823*0.01,9000000000000+823)</f>
        <v/>
      </c>
      <c r="S830" s="24">
        <f>IF(Q830=1,SUMPRODUCT(--($R$8:$R$1207&lt;R830))+1,"")</f>
        <v/>
      </c>
      <c r="T830" s="30">
        <f>IF(K830=1,'ORDENES'!$J826,"")</f>
        <v/>
      </c>
    </row>
    <row r="831">
      <c r="K831" s="24">
        <f>IF(AND(IF($B$3="(todos)",TRUE,'ORDENES'!$O827=$B$3),IF($D$3="(todos)",TRUE,'ORDENES'!$AI827=$D$3),IF($F$3="(todos)",TRUE,'ORDENES'!$AA827=$F$3),IF($H$3="(todos)",TRUE,'ORDENES'!$Z827=$H$3),'ORDENES'!$AG827=TRUE,'ORDENES'!$A827&lt;&gt;""),1,0)</f>
        <v/>
      </c>
      <c r="L831" s="24">
        <f>IF(K831=1,IFERROR(MATCH('ORDENES'!$S827,lista_dias,0),9)*1000000000+IFERROR(MATCH('ORDENES'!$AI827,lista_turnos,0),9)*10000000+IFERROR(MATCH('ORDENES'!$AH827,'TECNICOS'!$B$4:$B$19,0),99)*100000+824,9000000000000+824)</f>
        <v/>
      </c>
      <c r="M831" s="24">
        <f>IF(K831=1,SUMPRODUCT(--($L$8:$L$1207&lt;L831))+1,"")</f>
        <v/>
      </c>
      <c r="N831" s="25">
        <f>IF(K831=1,N('ORDENES'!$M827),0)</f>
        <v/>
      </c>
      <c r="O831" s="25">
        <f>IF('ORDENES'!$U827="preventiva",N831,0)</f>
        <v/>
      </c>
      <c r="P831" s="25">
        <f>IF('ORDENES'!$U827="correctiva",N831,0)</f>
        <v/>
      </c>
      <c r="Q831" s="24">
        <f>IF(AND(K831=1,'ORDENES'!$N827="Pendiente"),1,0)</f>
        <v/>
      </c>
      <c r="R831" s="24">
        <f>IF(Q831=1,100000-N831*1000+824*0.01,9000000000000+824)</f>
        <v/>
      </c>
      <c r="S831" s="24">
        <f>IF(Q831=1,SUMPRODUCT(--($R$8:$R$1207&lt;R831))+1,"")</f>
        <v/>
      </c>
      <c r="T831" s="30">
        <f>IF(K831=1,'ORDENES'!$J827,"")</f>
        <v/>
      </c>
    </row>
    <row r="832">
      <c r="K832" s="24">
        <f>IF(AND(IF($B$3="(todos)",TRUE,'ORDENES'!$O828=$B$3),IF($D$3="(todos)",TRUE,'ORDENES'!$AI828=$D$3),IF($F$3="(todos)",TRUE,'ORDENES'!$AA828=$F$3),IF($H$3="(todos)",TRUE,'ORDENES'!$Z828=$H$3),'ORDENES'!$AG828=TRUE,'ORDENES'!$A828&lt;&gt;""),1,0)</f>
        <v/>
      </c>
      <c r="L832" s="24">
        <f>IF(K832=1,IFERROR(MATCH('ORDENES'!$S828,lista_dias,0),9)*1000000000+IFERROR(MATCH('ORDENES'!$AI828,lista_turnos,0),9)*10000000+IFERROR(MATCH('ORDENES'!$AH828,'TECNICOS'!$B$4:$B$19,0),99)*100000+825,9000000000000+825)</f>
        <v/>
      </c>
      <c r="M832" s="24">
        <f>IF(K832=1,SUMPRODUCT(--($L$8:$L$1207&lt;L832))+1,"")</f>
        <v/>
      </c>
      <c r="N832" s="25">
        <f>IF(K832=1,N('ORDENES'!$M828),0)</f>
        <v/>
      </c>
      <c r="O832" s="25">
        <f>IF('ORDENES'!$U828="preventiva",N832,0)</f>
        <v/>
      </c>
      <c r="P832" s="25">
        <f>IF('ORDENES'!$U828="correctiva",N832,0)</f>
        <v/>
      </c>
      <c r="Q832" s="24">
        <f>IF(AND(K832=1,'ORDENES'!$N828="Pendiente"),1,0)</f>
        <v/>
      </c>
      <c r="R832" s="24">
        <f>IF(Q832=1,100000-N832*1000+825*0.01,9000000000000+825)</f>
        <v/>
      </c>
      <c r="S832" s="24">
        <f>IF(Q832=1,SUMPRODUCT(--($R$8:$R$1207&lt;R832))+1,"")</f>
        <v/>
      </c>
      <c r="T832" s="30">
        <f>IF(K832=1,'ORDENES'!$J828,"")</f>
        <v/>
      </c>
    </row>
    <row r="833">
      <c r="K833" s="24">
        <f>IF(AND(IF($B$3="(todos)",TRUE,'ORDENES'!$O829=$B$3),IF($D$3="(todos)",TRUE,'ORDENES'!$AI829=$D$3),IF($F$3="(todos)",TRUE,'ORDENES'!$AA829=$F$3),IF($H$3="(todos)",TRUE,'ORDENES'!$Z829=$H$3),'ORDENES'!$AG829=TRUE,'ORDENES'!$A829&lt;&gt;""),1,0)</f>
        <v/>
      </c>
      <c r="L833" s="24">
        <f>IF(K833=1,IFERROR(MATCH('ORDENES'!$S829,lista_dias,0),9)*1000000000+IFERROR(MATCH('ORDENES'!$AI829,lista_turnos,0),9)*10000000+IFERROR(MATCH('ORDENES'!$AH829,'TECNICOS'!$B$4:$B$19,0),99)*100000+826,9000000000000+826)</f>
        <v/>
      </c>
      <c r="M833" s="24">
        <f>IF(K833=1,SUMPRODUCT(--($L$8:$L$1207&lt;L833))+1,"")</f>
        <v/>
      </c>
      <c r="N833" s="25">
        <f>IF(K833=1,N('ORDENES'!$M829),0)</f>
        <v/>
      </c>
      <c r="O833" s="25">
        <f>IF('ORDENES'!$U829="preventiva",N833,0)</f>
        <v/>
      </c>
      <c r="P833" s="25">
        <f>IF('ORDENES'!$U829="correctiva",N833,0)</f>
        <v/>
      </c>
      <c r="Q833" s="24">
        <f>IF(AND(K833=1,'ORDENES'!$N829="Pendiente"),1,0)</f>
        <v/>
      </c>
      <c r="R833" s="24">
        <f>IF(Q833=1,100000-N833*1000+826*0.01,9000000000000+826)</f>
        <v/>
      </c>
      <c r="S833" s="24">
        <f>IF(Q833=1,SUMPRODUCT(--($R$8:$R$1207&lt;R833))+1,"")</f>
        <v/>
      </c>
      <c r="T833" s="30">
        <f>IF(K833=1,'ORDENES'!$J829,"")</f>
        <v/>
      </c>
    </row>
    <row r="834">
      <c r="K834" s="24">
        <f>IF(AND(IF($B$3="(todos)",TRUE,'ORDENES'!$O830=$B$3),IF($D$3="(todos)",TRUE,'ORDENES'!$AI830=$D$3),IF($F$3="(todos)",TRUE,'ORDENES'!$AA830=$F$3),IF($H$3="(todos)",TRUE,'ORDENES'!$Z830=$H$3),'ORDENES'!$AG830=TRUE,'ORDENES'!$A830&lt;&gt;""),1,0)</f>
        <v/>
      </c>
      <c r="L834" s="24">
        <f>IF(K834=1,IFERROR(MATCH('ORDENES'!$S830,lista_dias,0),9)*1000000000+IFERROR(MATCH('ORDENES'!$AI830,lista_turnos,0),9)*10000000+IFERROR(MATCH('ORDENES'!$AH830,'TECNICOS'!$B$4:$B$19,0),99)*100000+827,9000000000000+827)</f>
        <v/>
      </c>
      <c r="M834" s="24">
        <f>IF(K834=1,SUMPRODUCT(--($L$8:$L$1207&lt;L834))+1,"")</f>
        <v/>
      </c>
      <c r="N834" s="25">
        <f>IF(K834=1,N('ORDENES'!$M830),0)</f>
        <v/>
      </c>
      <c r="O834" s="25">
        <f>IF('ORDENES'!$U830="preventiva",N834,0)</f>
        <v/>
      </c>
      <c r="P834" s="25">
        <f>IF('ORDENES'!$U830="correctiva",N834,0)</f>
        <v/>
      </c>
      <c r="Q834" s="24">
        <f>IF(AND(K834=1,'ORDENES'!$N830="Pendiente"),1,0)</f>
        <v/>
      </c>
      <c r="R834" s="24">
        <f>IF(Q834=1,100000-N834*1000+827*0.01,9000000000000+827)</f>
        <v/>
      </c>
      <c r="S834" s="24">
        <f>IF(Q834=1,SUMPRODUCT(--($R$8:$R$1207&lt;R834))+1,"")</f>
        <v/>
      </c>
      <c r="T834" s="30">
        <f>IF(K834=1,'ORDENES'!$J830,"")</f>
        <v/>
      </c>
    </row>
    <row r="835">
      <c r="K835" s="24">
        <f>IF(AND(IF($B$3="(todos)",TRUE,'ORDENES'!$O831=$B$3),IF($D$3="(todos)",TRUE,'ORDENES'!$AI831=$D$3),IF($F$3="(todos)",TRUE,'ORDENES'!$AA831=$F$3),IF($H$3="(todos)",TRUE,'ORDENES'!$Z831=$H$3),'ORDENES'!$AG831=TRUE,'ORDENES'!$A831&lt;&gt;""),1,0)</f>
        <v/>
      </c>
      <c r="L835" s="24">
        <f>IF(K835=1,IFERROR(MATCH('ORDENES'!$S831,lista_dias,0),9)*1000000000+IFERROR(MATCH('ORDENES'!$AI831,lista_turnos,0),9)*10000000+IFERROR(MATCH('ORDENES'!$AH831,'TECNICOS'!$B$4:$B$19,0),99)*100000+828,9000000000000+828)</f>
        <v/>
      </c>
      <c r="M835" s="24">
        <f>IF(K835=1,SUMPRODUCT(--($L$8:$L$1207&lt;L835))+1,"")</f>
        <v/>
      </c>
      <c r="N835" s="25">
        <f>IF(K835=1,N('ORDENES'!$M831),0)</f>
        <v/>
      </c>
      <c r="O835" s="25">
        <f>IF('ORDENES'!$U831="preventiva",N835,0)</f>
        <v/>
      </c>
      <c r="P835" s="25">
        <f>IF('ORDENES'!$U831="correctiva",N835,0)</f>
        <v/>
      </c>
      <c r="Q835" s="24">
        <f>IF(AND(K835=1,'ORDENES'!$N831="Pendiente"),1,0)</f>
        <v/>
      </c>
      <c r="R835" s="24">
        <f>IF(Q835=1,100000-N835*1000+828*0.01,9000000000000+828)</f>
        <v/>
      </c>
      <c r="S835" s="24">
        <f>IF(Q835=1,SUMPRODUCT(--($R$8:$R$1207&lt;R835))+1,"")</f>
        <v/>
      </c>
      <c r="T835" s="30">
        <f>IF(K835=1,'ORDENES'!$J831,"")</f>
        <v/>
      </c>
    </row>
    <row r="836">
      <c r="K836" s="24">
        <f>IF(AND(IF($B$3="(todos)",TRUE,'ORDENES'!$O832=$B$3),IF($D$3="(todos)",TRUE,'ORDENES'!$AI832=$D$3),IF($F$3="(todos)",TRUE,'ORDENES'!$AA832=$F$3),IF($H$3="(todos)",TRUE,'ORDENES'!$Z832=$H$3),'ORDENES'!$AG832=TRUE,'ORDENES'!$A832&lt;&gt;""),1,0)</f>
        <v/>
      </c>
      <c r="L836" s="24">
        <f>IF(K836=1,IFERROR(MATCH('ORDENES'!$S832,lista_dias,0),9)*1000000000+IFERROR(MATCH('ORDENES'!$AI832,lista_turnos,0),9)*10000000+IFERROR(MATCH('ORDENES'!$AH832,'TECNICOS'!$B$4:$B$19,0),99)*100000+829,9000000000000+829)</f>
        <v/>
      </c>
      <c r="M836" s="24">
        <f>IF(K836=1,SUMPRODUCT(--($L$8:$L$1207&lt;L836))+1,"")</f>
        <v/>
      </c>
      <c r="N836" s="25">
        <f>IF(K836=1,N('ORDENES'!$M832),0)</f>
        <v/>
      </c>
      <c r="O836" s="25">
        <f>IF('ORDENES'!$U832="preventiva",N836,0)</f>
        <v/>
      </c>
      <c r="P836" s="25">
        <f>IF('ORDENES'!$U832="correctiva",N836,0)</f>
        <v/>
      </c>
      <c r="Q836" s="24">
        <f>IF(AND(K836=1,'ORDENES'!$N832="Pendiente"),1,0)</f>
        <v/>
      </c>
      <c r="R836" s="24">
        <f>IF(Q836=1,100000-N836*1000+829*0.01,9000000000000+829)</f>
        <v/>
      </c>
      <c r="S836" s="24">
        <f>IF(Q836=1,SUMPRODUCT(--($R$8:$R$1207&lt;R836))+1,"")</f>
        <v/>
      </c>
      <c r="T836" s="30">
        <f>IF(K836=1,'ORDENES'!$J832,"")</f>
        <v/>
      </c>
    </row>
    <row r="837">
      <c r="K837" s="24">
        <f>IF(AND(IF($B$3="(todos)",TRUE,'ORDENES'!$O833=$B$3),IF($D$3="(todos)",TRUE,'ORDENES'!$AI833=$D$3),IF($F$3="(todos)",TRUE,'ORDENES'!$AA833=$F$3),IF($H$3="(todos)",TRUE,'ORDENES'!$Z833=$H$3),'ORDENES'!$AG833=TRUE,'ORDENES'!$A833&lt;&gt;""),1,0)</f>
        <v/>
      </c>
      <c r="L837" s="24">
        <f>IF(K837=1,IFERROR(MATCH('ORDENES'!$S833,lista_dias,0),9)*1000000000+IFERROR(MATCH('ORDENES'!$AI833,lista_turnos,0),9)*10000000+IFERROR(MATCH('ORDENES'!$AH833,'TECNICOS'!$B$4:$B$19,0),99)*100000+830,9000000000000+830)</f>
        <v/>
      </c>
      <c r="M837" s="24">
        <f>IF(K837=1,SUMPRODUCT(--($L$8:$L$1207&lt;L837))+1,"")</f>
        <v/>
      </c>
      <c r="N837" s="25">
        <f>IF(K837=1,N('ORDENES'!$M833),0)</f>
        <v/>
      </c>
      <c r="O837" s="25">
        <f>IF('ORDENES'!$U833="preventiva",N837,0)</f>
        <v/>
      </c>
      <c r="P837" s="25">
        <f>IF('ORDENES'!$U833="correctiva",N837,0)</f>
        <v/>
      </c>
      <c r="Q837" s="24">
        <f>IF(AND(K837=1,'ORDENES'!$N833="Pendiente"),1,0)</f>
        <v/>
      </c>
      <c r="R837" s="24">
        <f>IF(Q837=1,100000-N837*1000+830*0.01,9000000000000+830)</f>
        <v/>
      </c>
      <c r="S837" s="24">
        <f>IF(Q837=1,SUMPRODUCT(--($R$8:$R$1207&lt;R837))+1,"")</f>
        <v/>
      </c>
      <c r="T837" s="30">
        <f>IF(K837=1,'ORDENES'!$J833,"")</f>
        <v/>
      </c>
    </row>
    <row r="838">
      <c r="K838" s="24">
        <f>IF(AND(IF($B$3="(todos)",TRUE,'ORDENES'!$O834=$B$3),IF($D$3="(todos)",TRUE,'ORDENES'!$AI834=$D$3),IF($F$3="(todos)",TRUE,'ORDENES'!$AA834=$F$3),IF($H$3="(todos)",TRUE,'ORDENES'!$Z834=$H$3),'ORDENES'!$AG834=TRUE,'ORDENES'!$A834&lt;&gt;""),1,0)</f>
        <v/>
      </c>
      <c r="L838" s="24">
        <f>IF(K838=1,IFERROR(MATCH('ORDENES'!$S834,lista_dias,0),9)*1000000000+IFERROR(MATCH('ORDENES'!$AI834,lista_turnos,0),9)*10000000+IFERROR(MATCH('ORDENES'!$AH834,'TECNICOS'!$B$4:$B$19,0),99)*100000+831,9000000000000+831)</f>
        <v/>
      </c>
      <c r="M838" s="24">
        <f>IF(K838=1,SUMPRODUCT(--($L$8:$L$1207&lt;L838))+1,"")</f>
        <v/>
      </c>
      <c r="N838" s="25">
        <f>IF(K838=1,N('ORDENES'!$M834),0)</f>
        <v/>
      </c>
      <c r="O838" s="25">
        <f>IF('ORDENES'!$U834="preventiva",N838,0)</f>
        <v/>
      </c>
      <c r="P838" s="25">
        <f>IF('ORDENES'!$U834="correctiva",N838,0)</f>
        <v/>
      </c>
      <c r="Q838" s="24">
        <f>IF(AND(K838=1,'ORDENES'!$N834="Pendiente"),1,0)</f>
        <v/>
      </c>
      <c r="R838" s="24">
        <f>IF(Q838=1,100000-N838*1000+831*0.01,9000000000000+831)</f>
        <v/>
      </c>
      <c r="S838" s="24">
        <f>IF(Q838=1,SUMPRODUCT(--($R$8:$R$1207&lt;R838))+1,"")</f>
        <v/>
      </c>
      <c r="T838" s="30">
        <f>IF(K838=1,'ORDENES'!$J834,"")</f>
        <v/>
      </c>
    </row>
    <row r="839">
      <c r="K839" s="24">
        <f>IF(AND(IF($B$3="(todos)",TRUE,'ORDENES'!$O835=$B$3),IF($D$3="(todos)",TRUE,'ORDENES'!$AI835=$D$3),IF($F$3="(todos)",TRUE,'ORDENES'!$AA835=$F$3),IF($H$3="(todos)",TRUE,'ORDENES'!$Z835=$H$3),'ORDENES'!$AG835=TRUE,'ORDENES'!$A835&lt;&gt;""),1,0)</f>
        <v/>
      </c>
      <c r="L839" s="24">
        <f>IF(K839=1,IFERROR(MATCH('ORDENES'!$S835,lista_dias,0),9)*1000000000+IFERROR(MATCH('ORDENES'!$AI835,lista_turnos,0),9)*10000000+IFERROR(MATCH('ORDENES'!$AH835,'TECNICOS'!$B$4:$B$19,0),99)*100000+832,9000000000000+832)</f>
        <v/>
      </c>
      <c r="M839" s="24">
        <f>IF(K839=1,SUMPRODUCT(--($L$8:$L$1207&lt;L839))+1,"")</f>
        <v/>
      </c>
      <c r="N839" s="25">
        <f>IF(K839=1,N('ORDENES'!$M835),0)</f>
        <v/>
      </c>
      <c r="O839" s="25">
        <f>IF('ORDENES'!$U835="preventiva",N839,0)</f>
        <v/>
      </c>
      <c r="P839" s="25">
        <f>IF('ORDENES'!$U835="correctiva",N839,0)</f>
        <v/>
      </c>
      <c r="Q839" s="24">
        <f>IF(AND(K839=1,'ORDENES'!$N835="Pendiente"),1,0)</f>
        <v/>
      </c>
      <c r="R839" s="24">
        <f>IF(Q839=1,100000-N839*1000+832*0.01,9000000000000+832)</f>
        <v/>
      </c>
      <c r="S839" s="24">
        <f>IF(Q839=1,SUMPRODUCT(--($R$8:$R$1207&lt;R839))+1,"")</f>
        <v/>
      </c>
      <c r="T839" s="30">
        <f>IF(K839=1,'ORDENES'!$J835,"")</f>
        <v/>
      </c>
    </row>
    <row r="840">
      <c r="K840" s="24">
        <f>IF(AND(IF($B$3="(todos)",TRUE,'ORDENES'!$O836=$B$3),IF($D$3="(todos)",TRUE,'ORDENES'!$AI836=$D$3),IF($F$3="(todos)",TRUE,'ORDENES'!$AA836=$F$3),IF($H$3="(todos)",TRUE,'ORDENES'!$Z836=$H$3),'ORDENES'!$AG836=TRUE,'ORDENES'!$A836&lt;&gt;""),1,0)</f>
        <v/>
      </c>
      <c r="L840" s="24">
        <f>IF(K840=1,IFERROR(MATCH('ORDENES'!$S836,lista_dias,0),9)*1000000000+IFERROR(MATCH('ORDENES'!$AI836,lista_turnos,0),9)*10000000+IFERROR(MATCH('ORDENES'!$AH836,'TECNICOS'!$B$4:$B$19,0),99)*100000+833,9000000000000+833)</f>
        <v/>
      </c>
      <c r="M840" s="24">
        <f>IF(K840=1,SUMPRODUCT(--($L$8:$L$1207&lt;L840))+1,"")</f>
        <v/>
      </c>
      <c r="N840" s="25">
        <f>IF(K840=1,N('ORDENES'!$M836),0)</f>
        <v/>
      </c>
      <c r="O840" s="25">
        <f>IF('ORDENES'!$U836="preventiva",N840,0)</f>
        <v/>
      </c>
      <c r="P840" s="25">
        <f>IF('ORDENES'!$U836="correctiva",N840,0)</f>
        <v/>
      </c>
      <c r="Q840" s="24">
        <f>IF(AND(K840=1,'ORDENES'!$N836="Pendiente"),1,0)</f>
        <v/>
      </c>
      <c r="R840" s="24">
        <f>IF(Q840=1,100000-N840*1000+833*0.01,9000000000000+833)</f>
        <v/>
      </c>
      <c r="S840" s="24">
        <f>IF(Q840=1,SUMPRODUCT(--($R$8:$R$1207&lt;R840))+1,"")</f>
        <v/>
      </c>
      <c r="T840" s="30">
        <f>IF(K840=1,'ORDENES'!$J836,"")</f>
        <v/>
      </c>
    </row>
    <row r="841">
      <c r="K841" s="24">
        <f>IF(AND(IF($B$3="(todos)",TRUE,'ORDENES'!$O837=$B$3),IF($D$3="(todos)",TRUE,'ORDENES'!$AI837=$D$3),IF($F$3="(todos)",TRUE,'ORDENES'!$AA837=$F$3),IF($H$3="(todos)",TRUE,'ORDENES'!$Z837=$H$3),'ORDENES'!$AG837=TRUE,'ORDENES'!$A837&lt;&gt;""),1,0)</f>
        <v/>
      </c>
      <c r="L841" s="24">
        <f>IF(K841=1,IFERROR(MATCH('ORDENES'!$S837,lista_dias,0),9)*1000000000+IFERROR(MATCH('ORDENES'!$AI837,lista_turnos,0),9)*10000000+IFERROR(MATCH('ORDENES'!$AH837,'TECNICOS'!$B$4:$B$19,0),99)*100000+834,9000000000000+834)</f>
        <v/>
      </c>
      <c r="M841" s="24">
        <f>IF(K841=1,SUMPRODUCT(--($L$8:$L$1207&lt;L841))+1,"")</f>
        <v/>
      </c>
      <c r="N841" s="25">
        <f>IF(K841=1,N('ORDENES'!$M837),0)</f>
        <v/>
      </c>
      <c r="O841" s="25">
        <f>IF('ORDENES'!$U837="preventiva",N841,0)</f>
        <v/>
      </c>
      <c r="P841" s="25">
        <f>IF('ORDENES'!$U837="correctiva",N841,0)</f>
        <v/>
      </c>
      <c r="Q841" s="24">
        <f>IF(AND(K841=1,'ORDENES'!$N837="Pendiente"),1,0)</f>
        <v/>
      </c>
      <c r="R841" s="24">
        <f>IF(Q841=1,100000-N841*1000+834*0.01,9000000000000+834)</f>
        <v/>
      </c>
      <c r="S841" s="24">
        <f>IF(Q841=1,SUMPRODUCT(--($R$8:$R$1207&lt;R841))+1,"")</f>
        <v/>
      </c>
      <c r="T841" s="30">
        <f>IF(K841=1,'ORDENES'!$J837,"")</f>
        <v/>
      </c>
    </row>
    <row r="842">
      <c r="K842" s="24">
        <f>IF(AND(IF($B$3="(todos)",TRUE,'ORDENES'!$O838=$B$3),IF($D$3="(todos)",TRUE,'ORDENES'!$AI838=$D$3),IF($F$3="(todos)",TRUE,'ORDENES'!$AA838=$F$3),IF($H$3="(todos)",TRUE,'ORDENES'!$Z838=$H$3),'ORDENES'!$AG838=TRUE,'ORDENES'!$A838&lt;&gt;""),1,0)</f>
        <v/>
      </c>
      <c r="L842" s="24">
        <f>IF(K842=1,IFERROR(MATCH('ORDENES'!$S838,lista_dias,0),9)*1000000000+IFERROR(MATCH('ORDENES'!$AI838,lista_turnos,0),9)*10000000+IFERROR(MATCH('ORDENES'!$AH838,'TECNICOS'!$B$4:$B$19,0),99)*100000+835,9000000000000+835)</f>
        <v/>
      </c>
      <c r="M842" s="24">
        <f>IF(K842=1,SUMPRODUCT(--($L$8:$L$1207&lt;L842))+1,"")</f>
        <v/>
      </c>
      <c r="N842" s="25">
        <f>IF(K842=1,N('ORDENES'!$M838),0)</f>
        <v/>
      </c>
      <c r="O842" s="25">
        <f>IF('ORDENES'!$U838="preventiva",N842,0)</f>
        <v/>
      </c>
      <c r="P842" s="25">
        <f>IF('ORDENES'!$U838="correctiva",N842,0)</f>
        <v/>
      </c>
      <c r="Q842" s="24">
        <f>IF(AND(K842=1,'ORDENES'!$N838="Pendiente"),1,0)</f>
        <v/>
      </c>
      <c r="R842" s="24">
        <f>IF(Q842=1,100000-N842*1000+835*0.01,9000000000000+835)</f>
        <v/>
      </c>
      <c r="S842" s="24">
        <f>IF(Q842=1,SUMPRODUCT(--($R$8:$R$1207&lt;R842))+1,"")</f>
        <v/>
      </c>
      <c r="T842" s="30">
        <f>IF(K842=1,'ORDENES'!$J838,"")</f>
        <v/>
      </c>
    </row>
    <row r="843">
      <c r="K843" s="24">
        <f>IF(AND(IF($B$3="(todos)",TRUE,'ORDENES'!$O839=$B$3),IF($D$3="(todos)",TRUE,'ORDENES'!$AI839=$D$3),IF($F$3="(todos)",TRUE,'ORDENES'!$AA839=$F$3),IF($H$3="(todos)",TRUE,'ORDENES'!$Z839=$H$3),'ORDENES'!$AG839=TRUE,'ORDENES'!$A839&lt;&gt;""),1,0)</f>
        <v/>
      </c>
      <c r="L843" s="24">
        <f>IF(K843=1,IFERROR(MATCH('ORDENES'!$S839,lista_dias,0),9)*1000000000+IFERROR(MATCH('ORDENES'!$AI839,lista_turnos,0),9)*10000000+IFERROR(MATCH('ORDENES'!$AH839,'TECNICOS'!$B$4:$B$19,0),99)*100000+836,9000000000000+836)</f>
        <v/>
      </c>
      <c r="M843" s="24">
        <f>IF(K843=1,SUMPRODUCT(--($L$8:$L$1207&lt;L843))+1,"")</f>
        <v/>
      </c>
      <c r="N843" s="25">
        <f>IF(K843=1,N('ORDENES'!$M839),0)</f>
        <v/>
      </c>
      <c r="O843" s="25">
        <f>IF('ORDENES'!$U839="preventiva",N843,0)</f>
        <v/>
      </c>
      <c r="P843" s="25">
        <f>IF('ORDENES'!$U839="correctiva",N843,0)</f>
        <v/>
      </c>
      <c r="Q843" s="24">
        <f>IF(AND(K843=1,'ORDENES'!$N839="Pendiente"),1,0)</f>
        <v/>
      </c>
      <c r="R843" s="24">
        <f>IF(Q843=1,100000-N843*1000+836*0.01,9000000000000+836)</f>
        <v/>
      </c>
      <c r="S843" s="24">
        <f>IF(Q843=1,SUMPRODUCT(--($R$8:$R$1207&lt;R843))+1,"")</f>
        <v/>
      </c>
      <c r="T843" s="30">
        <f>IF(K843=1,'ORDENES'!$J839,"")</f>
        <v/>
      </c>
    </row>
    <row r="844">
      <c r="K844" s="24">
        <f>IF(AND(IF($B$3="(todos)",TRUE,'ORDENES'!$O840=$B$3),IF($D$3="(todos)",TRUE,'ORDENES'!$AI840=$D$3),IF($F$3="(todos)",TRUE,'ORDENES'!$AA840=$F$3),IF($H$3="(todos)",TRUE,'ORDENES'!$Z840=$H$3),'ORDENES'!$AG840=TRUE,'ORDENES'!$A840&lt;&gt;""),1,0)</f>
        <v/>
      </c>
      <c r="L844" s="24">
        <f>IF(K844=1,IFERROR(MATCH('ORDENES'!$S840,lista_dias,0),9)*1000000000+IFERROR(MATCH('ORDENES'!$AI840,lista_turnos,0),9)*10000000+IFERROR(MATCH('ORDENES'!$AH840,'TECNICOS'!$B$4:$B$19,0),99)*100000+837,9000000000000+837)</f>
        <v/>
      </c>
      <c r="M844" s="24">
        <f>IF(K844=1,SUMPRODUCT(--($L$8:$L$1207&lt;L844))+1,"")</f>
        <v/>
      </c>
      <c r="N844" s="25">
        <f>IF(K844=1,N('ORDENES'!$M840),0)</f>
        <v/>
      </c>
      <c r="O844" s="25">
        <f>IF('ORDENES'!$U840="preventiva",N844,0)</f>
        <v/>
      </c>
      <c r="P844" s="25">
        <f>IF('ORDENES'!$U840="correctiva",N844,0)</f>
        <v/>
      </c>
      <c r="Q844" s="24">
        <f>IF(AND(K844=1,'ORDENES'!$N840="Pendiente"),1,0)</f>
        <v/>
      </c>
      <c r="R844" s="24">
        <f>IF(Q844=1,100000-N844*1000+837*0.01,9000000000000+837)</f>
        <v/>
      </c>
      <c r="S844" s="24">
        <f>IF(Q844=1,SUMPRODUCT(--($R$8:$R$1207&lt;R844))+1,"")</f>
        <v/>
      </c>
      <c r="T844" s="30">
        <f>IF(K844=1,'ORDENES'!$J840,"")</f>
        <v/>
      </c>
    </row>
    <row r="845">
      <c r="K845" s="24">
        <f>IF(AND(IF($B$3="(todos)",TRUE,'ORDENES'!$O841=$B$3),IF($D$3="(todos)",TRUE,'ORDENES'!$AI841=$D$3),IF($F$3="(todos)",TRUE,'ORDENES'!$AA841=$F$3),IF($H$3="(todos)",TRUE,'ORDENES'!$Z841=$H$3),'ORDENES'!$AG841=TRUE,'ORDENES'!$A841&lt;&gt;""),1,0)</f>
        <v/>
      </c>
      <c r="L845" s="24">
        <f>IF(K845=1,IFERROR(MATCH('ORDENES'!$S841,lista_dias,0),9)*1000000000+IFERROR(MATCH('ORDENES'!$AI841,lista_turnos,0),9)*10000000+IFERROR(MATCH('ORDENES'!$AH841,'TECNICOS'!$B$4:$B$19,0),99)*100000+838,9000000000000+838)</f>
        <v/>
      </c>
      <c r="M845" s="24">
        <f>IF(K845=1,SUMPRODUCT(--($L$8:$L$1207&lt;L845))+1,"")</f>
        <v/>
      </c>
      <c r="N845" s="25">
        <f>IF(K845=1,N('ORDENES'!$M841),0)</f>
        <v/>
      </c>
      <c r="O845" s="25">
        <f>IF('ORDENES'!$U841="preventiva",N845,0)</f>
        <v/>
      </c>
      <c r="P845" s="25">
        <f>IF('ORDENES'!$U841="correctiva",N845,0)</f>
        <v/>
      </c>
      <c r="Q845" s="24">
        <f>IF(AND(K845=1,'ORDENES'!$N841="Pendiente"),1,0)</f>
        <v/>
      </c>
      <c r="R845" s="24">
        <f>IF(Q845=1,100000-N845*1000+838*0.01,9000000000000+838)</f>
        <v/>
      </c>
      <c r="S845" s="24">
        <f>IF(Q845=1,SUMPRODUCT(--($R$8:$R$1207&lt;R845))+1,"")</f>
        <v/>
      </c>
      <c r="T845" s="30">
        <f>IF(K845=1,'ORDENES'!$J841,"")</f>
        <v/>
      </c>
    </row>
    <row r="846">
      <c r="K846" s="24">
        <f>IF(AND(IF($B$3="(todos)",TRUE,'ORDENES'!$O842=$B$3),IF($D$3="(todos)",TRUE,'ORDENES'!$AI842=$D$3),IF($F$3="(todos)",TRUE,'ORDENES'!$AA842=$F$3),IF($H$3="(todos)",TRUE,'ORDENES'!$Z842=$H$3),'ORDENES'!$AG842=TRUE,'ORDENES'!$A842&lt;&gt;""),1,0)</f>
        <v/>
      </c>
      <c r="L846" s="24">
        <f>IF(K846=1,IFERROR(MATCH('ORDENES'!$S842,lista_dias,0),9)*1000000000+IFERROR(MATCH('ORDENES'!$AI842,lista_turnos,0),9)*10000000+IFERROR(MATCH('ORDENES'!$AH842,'TECNICOS'!$B$4:$B$19,0),99)*100000+839,9000000000000+839)</f>
        <v/>
      </c>
      <c r="M846" s="24">
        <f>IF(K846=1,SUMPRODUCT(--($L$8:$L$1207&lt;L846))+1,"")</f>
        <v/>
      </c>
      <c r="N846" s="25">
        <f>IF(K846=1,N('ORDENES'!$M842),0)</f>
        <v/>
      </c>
      <c r="O846" s="25">
        <f>IF('ORDENES'!$U842="preventiva",N846,0)</f>
        <v/>
      </c>
      <c r="P846" s="25">
        <f>IF('ORDENES'!$U842="correctiva",N846,0)</f>
        <v/>
      </c>
      <c r="Q846" s="24">
        <f>IF(AND(K846=1,'ORDENES'!$N842="Pendiente"),1,0)</f>
        <v/>
      </c>
      <c r="R846" s="24">
        <f>IF(Q846=1,100000-N846*1000+839*0.01,9000000000000+839)</f>
        <v/>
      </c>
      <c r="S846" s="24">
        <f>IF(Q846=1,SUMPRODUCT(--($R$8:$R$1207&lt;R846))+1,"")</f>
        <v/>
      </c>
      <c r="T846" s="30">
        <f>IF(K846=1,'ORDENES'!$J842,"")</f>
        <v/>
      </c>
    </row>
    <row r="847">
      <c r="K847" s="24">
        <f>IF(AND(IF($B$3="(todos)",TRUE,'ORDENES'!$O843=$B$3),IF($D$3="(todos)",TRUE,'ORDENES'!$AI843=$D$3),IF($F$3="(todos)",TRUE,'ORDENES'!$AA843=$F$3),IF($H$3="(todos)",TRUE,'ORDENES'!$Z843=$H$3),'ORDENES'!$AG843=TRUE,'ORDENES'!$A843&lt;&gt;""),1,0)</f>
        <v/>
      </c>
      <c r="L847" s="24">
        <f>IF(K847=1,IFERROR(MATCH('ORDENES'!$S843,lista_dias,0),9)*1000000000+IFERROR(MATCH('ORDENES'!$AI843,lista_turnos,0),9)*10000000+IFERROR(MATCH('ORDENES'!$AH843,'TECNICOS'!$B$4:$B$19,0),99)*100000+840,9000000000000+840)</f>
        <v/>
      </c>
      <c r="M847" s="24">
        <f>IF(K847=1,SUMPRODUCT(--($L$8:$L$1207&lt;L847))+1,"")</f>
        <v/>
      </c>
      <c r="N847" s="25">
        <f>IF(K847=1,N('ORDENES'!$M843),0)</f>
        <v/>
      </c>
      <c r="O847" s="25">
        <f>IF('ORDENES'!$U843="preventiva",N847,0)</f>
        <v/>
      </c>
      <c r="P847" s="25">
        <f>IF('ORDENES'!$U843="correctiva",N847,0)</f>
        <v/>
      </c>
      <c r="Q847" s="24">
        <f>IF(AND(K847=1,'ORDENES'!$N843="Pendiente"),1,0)</f>
        <v/>
      </c>
      <c r="R847" s="24">
        <f>IF(Q847=1,100000-N847*1000+840*0.01,9000000000000+840)</f>
        <v/>
      </c>
      <c r="S847" s="24">
        <f>IF(Q847=1,SUMPRODUCT(--($R$8:$R$1207&lt;R847))+1,"")</f>
        <v/>
      </c>
      <c r="T847" s="30">
        <f>IF(K847=1,'ORDENES'!$J843,"")</f>
        <v/>
      </c>
    </row>
    <row r="848">
      <c r="K848" s="24">
        <f>IF(AND(IF($B$3="(todos)",TRUE,'ORDENES'!$O844=$B$3),IF($D$3="(todos)",TRUE,'ORDENES'!$AI844=$D$3),IF($F$3="(todos)",TRUE,'ORDENES'!$AA844=$F$3),IF($H$3="(todos)",TRUE,'ORDENES'!$Z844=$H$3),'ORDENES'!$AG844=TRUE,'ORDENES'!$A844&lt;&gt;""),1,0)</f>
        <v/>
      </c>
      <c r="L848" s="24">
        <f>IF(K848=1,IFERROR(MATCH('ORDENES'!$S844,lista_dias,0),9)*1000000000+IFERROR(MATCH('ORDENES'!$AI844,lista_turnos,0),9)*10000000+IFERROR(MATCH('ORDENES'!$AH844,'TECNICOS'!$B$4:$B$19,0),99)*100000+841,9000000000000+841)</f>
        <v/>
      </c>
      <c r="M848" s="24">
        <f>IF(K848=1,SUMPRODUCT(--($L$8:$L$1207&lt;L848))+1,"")</f>
        <v/>
      </c>
      <c r="N848" s="25">
        <f>IF(K848=1,N('ORDENES'!$M844),0)</f>
        <v/>
      </c>
      <c r="O848" s="25">
        <f>IF('ORDENES'!$U844="preventiva",N848,0)</f>
        <v/>
      </c>
      <c r="P848" s="25">
        <f>IF('ORDENES'!$U844="correctiva",N848,0)</f>
        <v/>
      </c>
      <c r="Q848" s="24">
        <f>IF(AND(K848=1,'ORDENES'!$N844="Pendiente"),1,0)</f>
        <v/>
      </c>
      <c r="R848" s="24">
        <f>IF(Q848=1,100000-N848*1000+841*0.01,9000000000000+841)</f>
        <v/>
      </c>
      <c r="S848" s="24">
        <f>IF(Q848=1,SUMPRODUCT(--($R$8:$R$1207&lt;R848))+1,"")</f>
        <v/>
      </c>
      <c r="T848" s="30">
        <f>IF(K848=1,'ORDENES'!$J844,"")</f>
        <v/>
      </c>
    </row>
    <row r="849">
      <c r="K849" s="24">
        <f>IF(AND(IF($B$3="(todos)",TRUE,'ORDENES'!$O845=$B$3),IF($D$3="(todos)",TRUE,'ORDENES'!$AI845=$D$3),IF($F$3="(todos)",TRUE,'ORDENES'!$AA845=$F$3),IF($H$3="(todos)",TRUE,'ORDENES'!$Z845=$H$3),'ORDENES'!$AG845=TRUE,'ORDENES'!$A845&lt;&gt;""),1,0)</f>
        <v/>
      </c>
      <c r="L849" s="24">
        <f>IF(K849=1,IFERROR(MATCH('ORDENES'!$S845,lista_dias,0),9)*1000000000+IFERROR(MATCH('ORDENES'!$AI845,lista_turnos,0),9)*10000000+IFERROR(MATCH('ORDENES'!$AH845,'TECNICOS'!$B$4:$B$19,0),99)*100000+842,9000000000000+842)</f>
        <v/>
      </c>
      <c r="M849" s="24">
        <f>IF(K849=1,SUMPRODUCT(--($L$8:$L$1207&lt;L849))+1,"")</f>
        <v/>
      </c>
      <c r="N849" s="25">
        <f>IF(K849=1,N('ORDENES'!$M845),0)</f>
        <v/>
      </c>
      <c r="O849" s="25">
        <f>IF('ORDENES'!$U845="preventiva",N849,0)</f>
        <v/>
      </c>
      <c r="P849" s="25">
        <f>IF('ORDENES'!$U845="correctiva",N849,0)</f>
        <v/>
      </c>
      <c r="Q849" s="24">
        <f>IF(AND(K849=1,'ORDENES'!$N845="Pendiente"),1,0)</f>
        <v/>
      </c>
      <c r="R849" s="24">
        <f>IF(Q849=1,100000-N849*1000+842*0.01,9000000000000+842)</f>
        <v/>
      </c>
      <c r="S849" s="24">
        <f>IF(Q849=1,SUMPRODUCT(--($R$8:$R$1207&lt;R849))+1,"")</f>
        <v/>
      </c>
      <c r="T849" s="30">
        <f>IF(K849=1,'ORDENES'!$J845,"")</f>
        <v/>
      </c>
    </row>
    <row r="850">
      <c r="K850" s="24">
        <f>IF(AND(IF($B$3="(todos)",TRUE,'ORDENES'!$O846=$B$3),IF($D$3="(todos)",TRUE,'ORDENES'!$AI846=$D$3),IF($F$3="(todos)",TRUE,'ORDENES'!$AA846=$F$3),IF($H$3="(todos)",TRUE,'ORDENES'!$Z846=$H$3),'ORDENES'!$AG846=TRUE,'ORDENES'!$A846&lt;&gt;""),1,0)</f>
        <v/>
      </c>
      <c r="L850" s="24">
        <f>IF(K850=1,IFERROR(MATCH('ORDENES'!$S846,lista_dias,0),9)*1000000000+IFERROR(MATCH('ORDENES'!$AI846,lista_turnos,0),9)*10000000+IFERROR(MATCH('ORDENES'!$AH846,'TECNICOS'!$B$4:$B$19,0),99)*100000+843,9000000000000+843)</f>
        <v/>
      </c>
      <c r="M850" s="24">
        <f>IF(K850=1,SUMPRODUCT(--($L$8:$L$1207&lt;L850))+1,"")</f>
        <v/>
      </c>
      <c r="N850" s="25">
        <f>IF(K850=1,N('ORDENES'!$M846),0)</f>
        <v/>
      </c>
      <c r="O850" s="25">
        <f>IF('ORDENES'!$U846="preventiva",N850,0)</f>
        <v/>
      </c>
      <c r="P850" s="25">
        <f>IF('ORDENES'!$U846="correctiva",N850,0)</f>
        <v/>
      </c>
      <c r="Q850" s="24">
        <f>IF(AND(K850=1,'ORDENES'!$N846="Pendiente"),1,0)</f>
        <v/>
      </c>
      <c r="R850" s="24">
        <f>IF(Q850=1,100000-N850*1000+843*0.01,9000000000000+843)</f>
        <v/>
      </c>
      <c r="S850" s="24">
        <f>IF(Q850=1,SUMPRODUCT(--($R$8:$R$1207&lt;R850))+1,"")</f>
        <v/>
      </c>
      <c r="T850" s="30">
        <f>IF(K850=1,'ORDENES'!$J846,"")</f>
        <v/>
      </c>
    </row>
    <row r="851">
      <c r="K851" s="24">
        <f>IF(AND(IF($B$3="(todos)",TRUE,'ORDENES'!$O847=$B$3),IF($D$3="(todos)",TRUE,'ORDENES'!$AI847=$D$3),IF($F$3="(todos)",TRUE,'ORDENES'!$AA847=$F$3),IF($H$3="(todos)",TRUE,'ORDENES'!$Z847=$H$3),'ORDENES'!$AG847=TRUE,'ORDENES'!$A847&lt;&gt;""),1,0)</f>
        <v/>
      </c>
      <c r="L851" s="24">
        <f>IF(K851=1,IFERROR(MATCH('ORDENES'!$S847,lista_dias,0),9)*1000000000+IFERROR(MATCH('ORDENES'!$AI847,lista_turnos,0),9)*10000000+IFERROR(MATCH('ORDENES'!$AH847,'TECNICOS'!$B$4:$B$19,0),99)*100000+844,9000000000000+844)</f>
        <v/>
      </c>
      <c r="M851" s="24">
        <f>IF(K851=1,SUMPRODUCT(--($L$8:$L$1207&lt;L851))+1,"")</f>
        <v/>
      </c>
      <c r="N851" s="25">
        <f>IF(K851=1,N('ORDENES'!$M847),0)</f>
        <v/>
      </c>
      <c r="O851" s="25">
        <f>IF('ORDENES'!$U847="preventiva",N851,0)</f>
        <v/>
      </c>
      <c r="P851" s="25">
        <f>IF('ORDENES'!$U847="correctiva",N851,0)</f>
        <v/>
      </c>
      <c r="Q851" s="24">
        <f>IF(AND(K851=1,'ORDENES'!$N847="Pendiente"),1,0)</f>
        <v/>
      </c>
      <c r="R851" s="24">
        <f>IF(Q851=1,100000-N851*1000+844*0.01,9000000000000+844)</f>
        <v/>
      </c>
      <c r="S851" s="24">
        <f>IF(Q851=1,SUMPRODUCT(--($R$8:$R$1207&lt;R851))+1,"")</f>
        <v/>
      </c>
      <c r="T851" s="30">
        <f>IF(K851=1,'ORDENES'!$J847,"")</f>
        <v/>
      </c>
    </row>
    <row r="852">
      <c r="K852" s="24">
        <f>IF(AND(IF($B$3="(todos)",TRUE,'ORDENES'!$O848=$B$3),IF($D$3="(todos)",TRUE,'ORDENES'!$AI848=$D$3),IF($F$3="(todos)",TRUE,'ORDENES'!$AA848=$F$3),IF($H$3="(todos)",TRUE,'ORDENES'!$Z848=$H$3),'ORDENES'!$AG848=TRUE,'ORDENES'!$A848&lt;&gt;""),1,0)</f>
        <v/>
      </c>
      <c r="L852" s="24">
        <f>IF(K852=1,IFERROR(MATCH('ORDENES'!$S848,lista_dias,0),9)*1000000000+IFERROR(MATCH('ORDENES'!$AI848,lista_turnos,0),9)*10000000+IFERROR(MATCH('ORDENES'!$AH848,'TECNICOS'!$B$4:$B$19,0),99)*100000+845,9000000000000+845)</f>
        <v/>
      </c>
      <c r="M852" s="24">
        <f>IF(K852=1,SUMPRODUCT(--($L$8:$L$1207&lt;L852))+1,"")</f>
        <v/>
      </c>
      <c r="N852" s="25">
        <f>IF(K852=1,N('ORDENES'!$M848),0)</f>
        <v/>
      </c>
      <c r="O852" s="25">
        <f>IF('ORDENES'!$U848="preventiva",N852,0)</f>
        <v/>
      </c>
      <c r="P852" s="25">
        <f>IF('ORDENES'!$U848="correctiva",N852,0)</f>
        <v/>
      </c>
      <c r="Q852" s="24">
        <f>IF(AND(K852=1,'ORDENES'!$N848="Pendiente"),1,0)</f>
        <v/>
      </c>
      <c r="R852" s="24">
        <f>IF(Q852=1,100000-N852*1000+845*0.01,9000000000000+845)</f>
        <v/>
      </c>
      <c r="S852" s="24">
        <f>IF(Q852=1,SUMPRODUCT(--($R$8:$R$1207&lt;R852))+1,"")</f>
        <v/>
      </c>
      <c r="T852" s="30">
        <f>IF(K852=1,'ORDENES'!$J848,"")</f>
        <v/>
      </c>
    </row>
    <row r="853">
      <c r="K853" s="24">
        <f>IF(AND(IF($B$3="(todos)",TRUE,'ORDENES'!$O849=$B$3),IF($D$3="(todos)",TRUE,'ORDENES'!$AI849=$D$3),IF($F$3="(todos)",TRUE,'ORDENES'!$AA849=$F$3),IF($H$3="(todos)",TRUE,'ORDENES'!$Z849=$H$3),'ORDENES'!$AG849=TRUE,'ORDENES'!$A849&lt;&gt;""),1,0)</f>
        <v/>
      </c>
      <c r="L853" s="24">
        <f>IF(K853=1,IFERROR(MATCH('ORDENES'!$S849,lista_dias,0),9)*1000000000+IFERROR(MATCH('ORDENES'!$AI849,lista_turnos,0),9)*10000000+IFERROR(MATCH('ORDENES'!$AH849,'TECNICOS'!$B$4:$B$19,0),99)*100000+846,9000000000000+846)</f>
        <v/>
      </c>
      <c r="M853" s="24">
        <f>IF(K853=1,SUMPRODUCT(--($L$8:$L$1207&lt;L853))+1,"")</f>
        <v/>
      </c>
      <c r="N853" s="25">
        <f>IF(K853=1,N('ORDENES'!$M849),0)</f>
        <v/>
      </c>
      <c r="O853" s="25">
        <f>IF('ORDENES'!$U849="preventiva",N853,0)</f>
        <v/>
      </c>
      <c r="P853" s="25">
        <f>IF('ORDENES'!$U849="correctiva",N853,0)</f>
        <v/>
      </c>
      <c r="Q853" s="24">
        <f>IF(AND(K853=1,'ORDENES'!$N849="Pendiente"),1,0)</f>
        <v/>
      </c>
      <c r="R853" s="24">
        <f>IF(Q853=1,100000-N853*1000+846*0.01,9000000000000+846)</f>
        <v/>
      </c>
      <c r="S853" s="24">
        <f>IF(Q853=1,SUMPRODUCT(--($R$8:$R$1207&lt;R853))+1,"")</f>
        <v/>
      </c>
      <c r="T853" s="30">
        <f>IF(K853=1,'ORDENES'!$J849,"")</f>
        <v/>
      </c>
    </row>
    <row r="854">
      <c r="K854" s="24">
        <f>IF(AND(IF($B$3="(todos)",TRUE,'ORDENES'!$O850=$B$3),IF($D$3="(todos)",TRUE,'ORDENES'!$AI850=$D$3),IF($F$3="(todos)",TRUE,'ORDENES'!$AA850=$F$3),IF($H$3="(todos)",TRUE,'ORDENES'!$Z850=$H$3),'ORDENES'!$AG850=TRUE,'ORDENES'!$A850&lt;&gt;""),1,0)</f>
        <v/>
      </c>
      <c r="L854" s="24">
        <f>IF(K854=1,IFERROR(MATCH('ORDENES'!$S850,lista_dias,0),9)*1000000000+IFERROR(MATCH('ORDENES'!$AI850,lista_turnos,0),9)*10000000+IFERROR(MATCH('ORDENES'!$AH850,'TECNICOS'!$B$4:$B$19,0),99)*100000+847,9000000000000+847)</f>
        <v/>
      </c>
      <c r="M854" s="24">
        <f>IF(K854=1,SUMPRODUCT(--($L$8:$L$1207&lt;L854))+1,"")</f>
        <v/>
      </c>
      <c r="N854" s="25">
        <f>IF(K854=1,N('ORDENES'!$M850),0)</f>
        <v/>
      </c>
      <c r="O854" s="25">
        <f>IF('ORDENES'!$U850="preventiva",N854,0)</f>
        <v/>
      </c>
      <c r="P854" s="25">
        <f>IF('ORDENES'!$U850="correctiva",N854,0)</f>
        <v/>
      </c>
      <c r="Q854" s="24">
        <f>IF(AND(K854=1,'ORDENES'!$N850="Pendiente"),1,0)</f>
        <v/>
      </c>
      <c r="R854" s="24">
        <f>IF(Q854=1,100000-N854*1000+847*0.01,9000000000000+847)</f>
        <v/>
      </c>
      <c r="S854" s="24">
        <f>IF(Q854=1,SUMPRODUCT(--($R$8:$R$1207&lt;R854))+1,"")</f>
        <v/>
      </c>
      <c r="T854" s="30">
        <f>IF(K854=1,'ORDENES'!$J850,"")</f>
        <v/>
      </c>
    </row>
    <row r="855">
      <c r="K855" s="24">
        <f>IF(AND(IF($B$3="(todos)",TRUE,'ORDENES'!$O851=$B$3),IF($D$3="(todos)",TRUE,'ORDENES'!$AI851=$D$3),IF($F$3="(todos)",TRUE,'ORDENES'!$AA851=$F$3),IF($H$3="(todos)",TRUE,'ORDENES'!$Z851=$H$3),'ORDENES'!$AG851=TRUE,'ORDENES'!$A851&lt;&gt;""),1,0)</f>
        <v/>
      </c>
      <c r="L855" s="24">
        <f>IF(K855=1,IFERROR(MATCH('ORDENES'!$S851,lista_dias,0),9)*1000000000+IFERROR(MATCH('ORDENES'!$AI851,lista_turnos,0),9)*10000000+IFERROR(MATCH('ORDENES'!$AH851,'TECNICOS'!$B$4:$B$19,0),99)*100000+848,9000000000000+848)</f>
        <v/>
      </c>
      <c r="M855" s="24">
        <f>IF(K855=1,SUMPRODUCT(--($L$8:$L$1207&lt;L855))+1,"")</f>
        <v/>
      </c>
      <c r="N855" s="25">
        <f>IF(K855=1,N('ORDENES'!$M851),0)</f>
        <v/>
      </c>
      <c r="O855" s="25">
        <f>IF('ORDENES'!$U851="preventiva",N855,0)</f>
        <v/>
      </c>
      <c r="P855" s="25">
        <f>IF('ORDENES'!$U851="correctiva",N855,0)</f>
        <v/>
      </c>
      <c r="Q855" s="24">
        <f>IF(AND(K855=1,'ORDENES'!$N851="Pendiente"),1,0)</f>
        <v/>
      </c>
      <c r="R855" s="24">
        <f>IF(Q855=1,100000-N855*1000+848*0.01,9000000000000+848)</f>
        <v/>
      </c>
      <c r="S855" s="24">
        <f>IF(Q855=1,SUMPRODUCT(--($R$8:$R$1207&lt;R855))+1,"")</f>
        <v/>
      </c>
      <c r="T855" s="30">
        <f>IF(K855=1,'ORDENES'!$J851,"")</f>
        <v/>
      </c>
    </row>
    <row r="856">
      <c r="K856" s="24">
        <f>IF(AND(IF($B$3="(todos)",TRUE,'ORDENES'!$O852=$B$3),IF($D$3="(todos)",TRUE,'ORDENES'!$AI852=$D$3),IF($F$3="(todos)",TRUE,'ORDENES'!$AA852=$F$3),IF($H$3="(todos)",TRUE,'ORDENES'!$Z852=$H$3),'ORDENES'!$AG852=TRUE,'ORDENES'!$A852&lt;&gt;""),1,0)</f>
        <v/>
      </c>
      <c r="L856" s="24">
        <f>IF(K856=1,IFERROR(MATCH('ORDENES'!$S852,lista_dias,0),9)*1000000000+IFERROR(MATCH('ORDENES'!$AI852,lista_turnos,0),9)*10000000+IFERROR(MATCH('ORDENES'!$AH852,'TECNICOS'!$B$4:$B$19,0),99)*100000+849,9000000000000+849)</f>
        <v/>
      </c>
      <c r="M856" s="24">
        <f>IF(K856=1,SUMPRODUCT(--($L$8:$L$1207&lt;L856))+1,"")</f>
        <v/>
      </c>
      <c r="N856" s="25">
        <f>IF(K856=1,N('ORDENES'!$M852),0)</f>
        <v/>
      </c>
      <c r="O856" s="25">
        <f>IF('ORDENES'!$U852="preventiva",N856,0)</f>
        <v/>
      </c>
      <c r="P856" s="25">
        <f>IF('ORDENES'!$U852="correctiva",N856,0)</f>
        <v/>
      </c>
      <c r="Q856" s="24">
        <f>IF(AND(K856=1,'ORDENES'!$N852="Pendiente"),1,0)</f>
        <v/>
      </c>
      <c r="R856" s="24">
        <f>IF(Q856=1,100000-N856*1000+849*0.01,9000000000000+849)</f>
        <v/>
      </c>
      <c r="S856" s="24">
        <f>IF(Q856=1,SUMPRODUCT(--($R$8:$R$1207&lt;R856))+1,"")</f>
        <v/>
      </c>
      <c r="T856" s="30">
        <f>IF(K856=1,'ORDENES'!$J852,"")</f>
        <v/>
      </c>
    </row>
    <row r="857">
      <c r="K857" s="24">
        <f>IF(AND(IF($B$3="(todos)",TRUE,'ORDENES'!$O853=$B$3),IF($D$3="(todos)",TRUE,'ORDENES'!$AI853=$D$3),IF($F$3="(todos)",TRUE,'ORDENES'!$AA853=$F$3),IF($H$3="(todos)",TRUE,'ORDENES'!$Z853=$H$3),'ORDENES'!$AG853=TRUE,'ORDENES'!$A853&lt;&gt;""),1,0)</f>
        <v/>
      </c>
      <c r="L857" s="24">
        <f>IF(K857=1,IFERROR(MATCH('ORDENES'!$S853,lista_dias,0),9)*1000000000+IFERROR(MATCH('ORDENES'!$AI853,lista_turnos,0),9)*10000000+IFERROR(MATCH('ORDENES'!$AH853,'TECNICOS'!$B$4:$B$19,0),99)*100000+850,9000000000000+850)</f>
        <v/>
      </c>
      <c r="M857" s="24">
        <f>IF(K857=1,SUMPRODUCT(--($L$8:$L$1207&lt;L857))+1,"")</f>
        <v/>
      </c>
      <c r="N857" s="25">
        <f>IF(K857=1,N('ORDENES'!$M853),0)</f>
        <v/>
      </c>
      <c r="O857" s="25">
        <f>IF('ORDENES'!$U853="preventiva",N857,0)</f>
        <v/>
      </c>
      <c r="P857" s="25">
        <f>IF('ORDENES'!$U853="correctiva",N857,0)</f>
        <v/>
      </c>
      <c r="Q857" s="24">
        <f>IF(AND(K857=1,'ORDENES'!$N853="Pendiente"),1,0)</f>
        <v/>
      </c>
      <c r="R857" s="24">
        <f>IF(Q857=1,100000-N857*1000+850*0.01,9000000000000+850)</f>
        <v/>
      </c>
      <c r="S857" s="24">
        <f>IF(Q857=1,SUMPRODUCT(--($R$8:$R$1207&lt;R857))+1,"")</f>
        <v/>
      </c>
      <c r="T857" s="30">
        <f>IF(K857=1,'ORDENES'!$J853,"")</f>
        <v/>
      </c>
    </row>
    <row r="858">
      <c r="K858" s="24">
        <f>IF(AND(IF($B$3="(todos)",TRUE,'ORDENES'!$O854=$B$3),IF($D$3="(todos)",TRUE,'ORDENES'!$AI854=$D$3),IF($F$3="(todos)",TRUE,'ORDENES'!$AA854=$F$3),IF($H$3="(todos)",TRUE,'ORDENES'!$Z854=$H$3),'ORDENES'!$AG854=TRUE,'ORDENES'!$A854&lt;&gt;""),1,0)</f>
        <v/>
      </c>
      <c r="L858" s="24">
        <f>IF(K858=1,IFERROR(MATCH('ORDENES'!$S854,lista_dias,0),9)*1000000000+IFERROR(MATCH('ORDENES'!$AI854,lista_turnos,0),9)*10000000+IFERROR(MATCH('ORDENES'!$AH854,'TECNICOS'!$B$4:$B$19,0),99)*100000+851,9000000000000+851)</f>
        <v/>
      </c>
      <c r="M858" s="24">
        <f>IF(K858=1,SUMPRODUCT(--($L$8:$L$1207&lt;L858))+1,"")</f>
        <v/>
      </c>
      <c r="N858" s="25">
        <f>IF(K858=1,N('ORDENES'!$M854),0)</f>
        <v/>
      </c>
      <c r="O858" s="25">
        <f>IF('ORDENES'!$U854="preventiva",N858,0)</f>
        <v/>
      </c>
      <c r="P858" s="25">
        <f>IF('ORDENES'!$U854="correctiva",N858,0)</f>
        <v/>
      </c>
      <c r="Q858" s="24">
        <f>IF(AND(K858=1,'ORDENES'!$N854="Pendiente"),1,0)</f>
        <v/>
      </c>
      <c r="R858" s="24">
        <f>IF(Q858=1,100000-N858*1000+851*0.01,9000000000000+851)</f>
        <v/>
      </c>
      <c r="S858" s="24">
        <f>IF(Q858=1,SUMPRODUCT(--($R$8:$R$1207&lt;R858))+1,"")</f>
        <v/>
      </c>
      <c r="T858" s="30">
        <f>IF(K858=1,'ORDENES'!$J854,"")</f>
        <v/>
      </c>
    </row>
    <row r="859">
      <c r="K859" s="24">
        <f>IF(AND(IF($B$3="(todos)",TRUE,'ORDENES'!$O855=$B$3),IF($D$3="(todos)",TRUE,'ORDENES'!$AI855=$D$3),IF($F$3="(todos)",TRUE,'ORDENES'!$AA855=$F$3),IF($H$3="(todos)",TRUE,'ORDENES'!$Z855=$H$3),'ORDENES'!$AG855=TRUE,'ORDENES'!$A855&lt;&gt;""),1,0)</f>
        <v/>
      </c>
      <c r="L859" s="24">
        <f>IF(K859=1,IFERROR(MATCH('ORDENES'!$S855,lista_dias,0),9)*1000000000+IFERROR(MATCH('ORDENES'!$AI855,lista_turnos,0),9)*10000000+IFERROR(MATCH('ORDENES'!$AH855,'TECNICOS'!$B$4:$B$19,0),99)*100000+852,9000000000000+852)</f>
        <v/>
      </c>
      <c r="M859" s="24">
        <f>IF(K859=1,SUMPRODUCT(--($L$8:$L$1207&lt;L859))+1,"")</f>
        <v/>
      </c>
      <c r="N859" s="25">
        <f>IF(K859=1,N('ORDENES'!$M855),0)</f>
        <v/>
      </c>
      <c r="O859" s="25">
        <f>IF('ORDENES'!$U855="preventiva",N859,0)</f>
        <v/>
      </c>
      <c r="P859" s="25">
        <f>IF('ORDENES'!$U855="correctiva",N859,0)</f>
        <v/>
      </c>
      <c r="Q859" s="24">
        <f>IF(AND(K859=1,'ORDENES'!$N855="Pendiente"),1,0)</f>
        <v/>
      </c>
      <c r="R859" s="24">
        <f>IF(Q859=1,100000-N859*1000+852*0.01,9000000000000+852)</f>
        <v/>
      </c>
      <c r="S859" s="24">
        <f>IF(Q859=1,SUMPRODUCT(--($R$8:$R$1207&lt;R859))+1,"")</f>
        <v/>
      </c>
      <c r="T859" s="30">
        <f>IF(K859=1,'ORDENES'!$J855,"")</f>
        <v/>
      </c>
    </row>
    <row r="860">
      <c r="K860" s="24">
        <f>IF(AND(IF($B$3="(todos)",TRUE,'ORDENES'!$O856=$B$3),IF($D$3="(todos)",TRUE,'ORDENES'!$AI856=$D$3),IF($F$3="(todos)",TRUE,'ORDENES'!$AA856=$F$3),IF($H$3="(todos)",TRUE,'ORDENES'!$Z856=$H$3),'ORDENES'!$AG856=TRUE,'ORDENES'!$A856&lt;&gt;""),1,0)</f>
        <v/>
      </c>
      <c r="L860" s="24">
        <f>IF(K860=1,IFERROR(MATCH('ORDENES'!$S856,lista_dias,0),9)*1000000000+IFERROR(MATCH('ORDENES'!$AI856,lista_turnos,0),9)*10000000+IFERROR(MATCH('ORDENES'!$AH856,'TECNICOS'!$B$4:$B$19,0),99)*100000+853,9000000000000+853)</f>
        <v/>
      </c>
      <c r="M860" s="24">
        <f>IF(K860=1,SUMPRODUCT(--($L$8:$L$1207&lt;L860))+1,"")</f>
        <v/>
      </c>
      <c r="N860" s="25">
        <f>IF(K860=1,N('ORDENES'!$M856),0)</f>
        <v/>
      </c>
      <c r="O860" s="25">
        <f>IF('ORDENES'!$U856="preventiva",N860,0)</f>
        <v/>
      </c>
      <c r="P860" s="25">
        <f>IF('ORDENES'!$U856="correctiva",N860,0)</f>
        <v/>
      </c>
      <c r="Q860" s="24">
        <f>IF(AND(K860=1,'ORDENES'!$N856="Pendiente"),1,0)</f>
        <v/>
      </c>
      <c r="R860" s="24">
        <f>IF(Q860=1,100000-N860*1000+853*0.01,9000000000000+853)</f>
        <v/>
      </c>
      <c r="S860" s="24">
        <f>IF(Q860=1,SUMPRODUCT(--($R$8:$R$1207&lt;R860))+1,"")</f>
        <v/>
      </c>
      <c r="T860" s="30">
        <f>IF(K860=1,'ORDENES'!$J856,"")</f>
        <v/>
      </c>
    </row>
    <row r="861">
      <c r="K861" s="24">
        <f>IF(AND(IF($B$3="(todos)",TRUE,'ORDENES'!$O857=$B$3),IF($D$3="(todos)",TRUE,'ORDENES'!$AI857=$D$3),IF($F$3="(todos)",TRUE,'ORDENES'!$AA857=$F$3),IF($H$3="(todos)",TRUE,'ORDENES'!$Z857=$H$3),'ORDENES'!$AG857=TRUE,'ORDENES'!$A857&lt;&gt;""),1,0)</f>
        <v/>
      </c>
      <c r="L861" s="24">
        <f>IF(K861=1,IFERROR(MATCH('ORDENES'!$S857,lista_dias,0),9)*1000000000+IFERROR(MATCH('ORDENES'!$AI857,lista_turnos,0),9)*10000000+IFERROR(MATCH('ORDENES'!$AH857,'TECNICOS'!$B$4:$B$19,0),99)*100000+854,9000000000000+854)</f>
        <v/>
      </c>
      <c r="M861" s="24">
        <f>IF(K861=1,SUMPRODUCT(--($L$8:$L$1207&lt;L861))+1,"")</f>
        <v/>
      </c>
      <c r="N861" s="25">
        <f>IF(K861=1,N('ORDENES'!$M857),0)</f>
        <v/>
      </c>
      <c r="O861" s="25">
        <f>IF('ORDENES'!$U857="preventiva",N861,0)</f>
        <v/>
      </c>
      <c r="P861" s="25">
        <f>IF('ORDENES'!$U857="correctiva",N861,0)</f>
        <v/>
      </c>
      <c r="Q861" s="24">
        <f>IF(AND(K861=1,'ORDENES'!$N857="Pendiente"),1,0)</f>
        <v/>
      </c>
      <c r="R861" s="24">
        <f>IF(Q861=1,100000-N861*1000+854*0.01,9000000000000+854)</f>
        <v/>
      </c>
      <c r="S861" s="24">
        <f>IF(Q861=1,SUMPRODUCT(--($R$8:$R$1207&lt;R861))+1,"")</f>
        <v/>
      </c>
      <c r="T861" s="30">
        <f>IF(K861=1,'ORDENES'!$J857,"")</f>
        <v/>
      </c>
    </row>
    <row r="862">
      <c r="K862" s="24">
        <f>IF(AND(IF($B$3="(todos)",TRUE,'ORDENES'!$O858=$B$3),IF($D$3="(todos)",TRUE,'ORDENES'!$AI858=$D$3),IF($F$3="(todos)",TRUE,'ORDENES'!$AA858=$F$3),IF($H$3="(todos)",TRUE,'ORDENES'!$Z858=$H$3),'ORDENES'!$AG858=TRUE,'ORDENES'!$A858&lt;&gt;""),1,0)</f>
        <v/>
      </c>
      <c r="L862" s="24">
        <f>IF(K862=1,IFERROR(MATCH('ORDENES'!$S858,lista_dias,0),9)*1000000000+IFERROR(MATCH('ORDENES'!$AI858,lista_turnos,0),9)*10000000+IFERROR(MATCH('ORDENES'!$AH858,'TECNICOS'!$B$4:$B$19,0),99)*100000+855,9000000000000+855)</f>
        <v/>
      </c>
      <c r="M862" s="24">
        <f>IF(K862=1,SUMPRODUCT(--($L$8:$L$1207&lt;L862))+1,"")</f>
        <v/>
      </c>
      <c r="N862" s="25">
        <f>IF(K862=1,N('ORDENES'!$M858),0)</f>
        <v/>
      </c>
      <c r="O862" s="25">
        <f>IF('ORDENES'!$U858="preventiva",N862,0)</f>
        <v/>
      </c>
      <c r="P862" s="25">
        <f>IF('ORDENES'!$U858="correctiva",N862,0)</f>
        <v/>
      </c>
      <c r="Q862" s="24">
        <f>IF(AND(K862=1,'ORDENES'!$N858="Pendiente"),1,0)</f>
        <v/>
      </c>
      <c r="R862" s="24">
        <f>IF(Q862=1,100000-N862*1000+855*0.01,9000000000000+855)</f>
        <v/>
      </c>
      <c r="S862" s="24">
        <f>IF(Q862=1,SUMPRODUCT(--($R$8:$R$1207&lt;R862))+1,"")</f>
        <v/>
      </c>
      <c r="T862" s="30">
        <f>IF(K862=1,'ORDENES'!$J858,"")</f>
        <v/>
      </c>
    </row>
    <row r="863">
      <c r="K863" s="24">
        <f>IF(AND(IF($B$3="(todos)",TRUE,'ORDENES'!$O859=$B$3),IF($D$3="(todos)",TRUE,'ORDENES'!$AI859=$D$3),IF($F$3="(todos)",TRUE,'ORDENES'!$AA859=$F$3),IF($H$3="(todos)",TRUE,'ORDENES'!$Z859=$H$3),'ORDENES'!$AG859=TRUE,'ORDENES'!$A859&lt;&gt;""),1,0)</f>
        <v/>
      </c>
      <c r="L863" s="24">
        <f>IF(K863=1,IFERROR(MATCH('ORDENES'!$S859,lista_dias,0),9)*1000000000+IFERROR(MATCH('ORDENES'!$AI859,lista_turnos,0),9)*10000000+IFERROR(MATCH('ORDENES'!$AH859,'TECNICOS'!$B$4:$B$19,0),99)*100000+856,9000000000000+856)</f>
        <v/>
      </c>
      <c r="M863" s="24">
        <f>IF(K863=1,SUMPRODUCT(--($L$8:$L$1207&lt;L863))+1,"")</f>
        <v/>
      </c>
      <c r="N863" s="25">
        <f>IF(K863=1,N('ORDENES'!$M859),0)</f>
        <v/>
      </c>
      <c r="O863" s="25">
        <f>IF('ORDENES'!$U859="preventiva",N863,0)</f>
        <v/>
      </c>
      <c r="P863" s="25">
        <f>IF('ORDENES'!$U859="correctiva",N863,0)</f>
        <v/>
      </c>
      <c r="Q863" s="24">
        <f>IF(AND(K863=1,'ORDENES'!$N859="Pendiente"),1,0)</f>
        <v/>
      </c>
      <c r="R863" s="24">
        <f>IF(Q863=1,100000-N863*1000+856*0.01,9000000000000+856)</f>
        <v/>
      </c>
      <c r="S863" s="24">
        <f>IF(Q863=1,SUMPRODUCT(--($R$8:$R$1207&lt;R863))+1,"")</f>
        <v/>
      </c>
      <c r="T863" s="30">
        <f>IF(K863=1,'ORDENES'!$J859,"")</f>
        <v/>
      </c>
    </row>
    <row r="864">
      <c r="K864" s="24">
        <f>IF(AND(IF($B$3="(todos)",TRUE,'ORDENES'!$O860=$B$3),IF($D$3="(todos)",TRUE,'ORDENES'!$AI860=$D$3),IF($F$3="(todos)",TRUE,'ORDENES'!$AA860=$F$3),IF($H$3="(todos)",TRUE,'ORDENES'!$Z860=$H$3),'ORDENES'!$AG860=TRUE,'ORDENES'!$A860&lt;&gt;""),1,0)</f>
        <v/>
      </c>
      <c r="L864" s="24">
        <f>IF(K864=1,IFERROR(MATCH('ORDENES'!$S860,lista_dias,0),9)*1000000000+IFERROR(MATCH('ORDENES'!$AI860,lista_turnos,0),9)*10000000+IFERROR(MATCH('ORDENES'!$AH860,'TECNICOS'!$B$4:$B$19,0),99)*100000+857,9000000000000+857)</f>
        <v/>
      </c>
      <c r="M864" s="24">
        <f>IF(K864=1,SUMPRODUCT(--($L$8:$L$1207&lt;L864))+1,"")</f>
        <v/>
      </c>
      <c r="N864" s="25">
        <f>IF(K864=1,N('ORDENES'!$M860),0)</f>
        <v/>
      </c>
      <c r="O864" s="25">
        <f>IF('ORDENES'!$U860="preventiva",N864,0)</f>
        <v/>
      </c>
      <c r="P864" s="25">
        <f>IF('ORDENES'!$U860="correctiva",N864,0)</f>
        <v/>
      </c>
      <c r="Q864" s="24">
        <f>IF(AND(K864=1,'ORDENES'!$N860="Pendiente"),1,0)</f>
        <v/>
      </c>
      <c r="R864" s="24">
        <f>IF(Q864=1,100000-N864*1000+857*0.01,9000000000000+857)</f>
        <v/>
      </c>
      <c r="S864" s="24">
        <f>IF(Q864=1,SUMPRODUCT(--($R$8:$R$1207&lt;R864))+1,"")</f>
        <v/>
      </c>
      <c r="T864" s="30">
        <f>IF(K864=1,'ORDENES'!$J860,"")</f>
        <v/>
      </c>
    </row>
    <row r="865">
      <c r="K865" s="24">
        <f>IF(AND(IF($B$3="(todos)",TRUE,'ORDENES'!$O861=$B$3),IF($D$3="(todos)",TRUE,'ORDENES'!$AI861=$D$3),IF($F$3="(todos)",TRUE,'ORDENES'!$AA861=$F$3),IF($H$3="(todos)",TRUE,'ORDENES'!$Z861=$H$3),'ORDENES'!$AG861=TRUE,'ORDENES'!$A861&lt;&gt;""),1,0)</f>
        <v/>
      </c>
      <c r="L865" s="24">
        <f>IF(K865=1,IFERROR(MATCH('ORDENES'!$S861,lista_dias,0),9)*1000000000+IFERROR(MATCH('ORDENES'!$AI861,lista_turnos,0),9)*10000000+IFERROR(MATCH('ORDENES'!$AH861,'TECNICOS'!$B$4:$B$19,0),99)*100000+858,9000000000000+858)</f>
        <v/>
      </c>
      <c r="M865" s="24">
        <f>IF(K865=1,SUMPRODUCT(--($L$8:$L$1207&lt;L865))+1,"")</f>
        <v/>
      </c>
      <c r="N865" s="25">
        <f>IF(K865=1,N('ORDENES'!$M861),0)</f>
        <v/>
      </c>
      <c r="O865" s="25">
        <f>IF('ORDENES'!$U861="preventiva",N865,0)</f>
        <v/>
      </c>
      <c r="P865" s="25">
        <f>IF('ORDENES'!$U861="correctiva",N865,0)</f>
        <v/>
      </c>
      <c r="Q865" s="24">
        <f>IF(AND(K865=1,'ORDENES'!$N861="Pendiente"),1,0)</f>
        <v/>
      </c>
      <c r="R865" s="24">
        <f>IF(Q865=1,100000-N865*1000+858*0.01,9000000000000+858)</f>
        <v/>
      </c>
      <c r="S865" s="24">
        <f>IF(Q865=1,SUMPRODUCT(--($R$8:$R$1207&lt;R865))+1,"")</f>
        <v/>
      </c>
      <c r="T865" s="30">
        <f>IF(K865=1,'ORDENES'!$J861,"")</f>
        <v/>
      </c>
    </row>
    <row r="866">
      <c r="K866" s="24">
        <f>IF(AND(IF($B$3="(todos)",TRUE,'ORDENES'!$O862=$B$3),IF($D$3="(todos)",TRUE,'ORDENES'!$AI862=$D$3),IF($F$3="(todos)",TRUE,'ORDENES'!$AA862=$F$3),IF($H$3="(todos)",TRUE,'ORDENES'!$Z862=$H$3),'ORDENES'!$AG862=TRUE,'ORDENES'!$A862&lt;&gt;""),1,0)</f>
        <v/>
      </c>
      <c r="L866" s="24">
        <f>IF(K866=1,IFERROR(MATCH('ORDENES'!$S862,lista_dias,0),9)*1000000000+IFERROR(MATCH('ORDENES'!$AI862,lista_turnos,0),9)*10000000+IFERROR(MATCH('ORDENES'!$AH862,'TECNICOS'!$B$4:$B$19,0),99)*100000+859,9000000000000+859)</f>
        <v/>
      </c>
      <c r="M866" s="24">
        <f>IF(K866=1,SUMPRODUCT(--($L$8:$L$1207&lt;L866))+1,"")</f>
        <v/>
      </c>
      <c r="N866" s="25">
        <f>IF(K866=1,N('ORDENES'!$M862),0)</f>
        <v/>
      </c>
      <c r="O866" s="25">
        <f>IF('ORDENES'!$U862="preventiva",N866,0)</f>
        <v/>
      </c>
      <c r="P866" s="25">
        <f>IF('ORDENES'!$U862="correctiva",N866,0)</f>
        <v/>
      </c>
      <c r="Q866" s="24">
        <f>IF(AND(K866=1,'ORDENES'!$N862="Pendiente"),1,0)</f>
        <v/>
      </c>
      <c r="R866" s="24">
        <f>IF(Q866=1,100000-N866*1000+859*0.01,9000000000000+859)</f>
        <v/>
      </c>
      <c r="S866" s="24">
        <f>IF(Q866=1,SUMPRODUCT(--($R$8:$R$1207&lt;R866))+1,"")</f>
        <v/>
      </c>
      <c r="T866" s="30">
        <f>IF(K866=1,'ORDENES'!$J862,"")</f>
        <v/>
      </c>
    </row>
    <row r="867">
      <c r="K867" s="24">
        <f>IF(AND(IF($B$3="(todos)",TRUE,'ORDENES'!$O863=$B$3),IF($D$3="(todos)",TRUE,'ORDENES'!$AI863=$D$3),IF($F$3="(todos)",TRUE,'ORDENES'!$AA863=$F$3),IF($H$3="(todos)",TRUE,'ORDENES'!$Z863=$H$3),'ORDENES'!$AG863=TRUE,'ORDENES'!$A863&lt;&gt;""),1,0)</f>
        <v/>
      </c>
      <c r="L867" s="24">
        <f>IF(K867=1,IFERROR(MATCH('ORDENES'!$S863,lista_dias,0),9)*1000000000+IFERROR(MATCH('ORDENES'!$AI863,lista_turnos,0),9)*10000000+IFERROR(MATCH('ORDENES'!$AH863,'TECNICOS'!$B$4:$B$19,0),99)*100000+860,9000000000000+860)</f>
        <v/>
      </c>
      <c r="M867" s="24">
        <f>IF(K867=1,SUMPRODUCT(--($L$8:$L$1207&lt;L867))+1,"")</f>
        <v/>
      </c>
      <c r="N867" s="25">
        <f>IF(K867=1,N('ORDENES'!$M863),0)</f>
        <v/>
      </c>
      <c r="O867" s="25">
        <f>IF('ORDENES'!$U863="preventiva",N867,0)</f>
        <v/>
      </c>
      <c r="P867" s="25">
        <f>IF('ORDENES'!$U863="correctiva",N867,0)</f>
        <v/>
      </c>
      <c r="Q867" s="24">
        <f>IF(AND(K867=1,'ORDENES'!$N863="Pendiente"),1,0)</f>
        <v/>
      </c>
      <c r="R867" s="24">
        <f>IF(Q867=1,100000-N867*1000+860*0.01,9000000000000+860)</f>
        <v/>
      </c>
      <c r="S867" s="24">
        <f>IF(Q867=1,SUMPRODUCT(--($R$8:$R$1207&lt;R867))+1,"")</f>
        <v/>
      </c>
      <c r="T867" s="30">
        <f>IF(K867=1,'ORDENES'!$J863,"")</f>
        <v/>
      </c>
    </row>
    <row r="868">
      <c r="K868" s="24">
        <f>IF(AND(IF($B$3="(todos)",TRUE,'ORDENES'!$O864=$B$3),IF($D$3="(todos)",TRUE,'ORDENES'!$AI864=$D$3),IF($F$3="(todos)",TRUE,'ORDENES'!$AA864=$F$3),IF($H$3="(todos)",TRUE,'ORDENES'!$Z864=$H$3),'ORDENES'!$AG864=TRUE,'ORDENES'!$A864&lt;&gt;""),1,0)</f>
        <v/>
      </c>
      <c r="L868" s="24">
        <f>IF(K868=1,IFERROR(MATCH('ORDENES'!$S864,lista_dias,0),9)*1000000000+IFERROR(MATCH('ORDENES'!$AI864,lista_turnos,0),9)*10000000+IFERROR(MATCH('ORDENES'!$AH864,'TECNICOS'!$B$4:$B$19,0),99)*100000+861,9000000000000+861)</f>
        <v/>
      </c>
      <c r="M868" s="24">
        <f>IF(K868=1,SUMPRODUCT(--($L$8:$L$1207&lt;L868))+1,"")</f>
        <v/>
      </c>
      <c r="N868" s="25">
        <f>IF(K868=1,N('ORDENES'!$M864),0)</f>
        <v/>
      </c>
      <c r="O868" s="25">
        <f>IF('ORDENES'!$U864="preventiva",N868,0)</f>
        <v/>
      </c>
      <c r="P868" s="25">
        <f>IF('ORDENES'!$U864="correctiva",N868,0)</f>
        <v/>
      </c>
      <c r="Q868" s="24">
        <f>IF(AND(K868=1,'ORDENES'!$N864="Pendiente"),1,0)</f>
        <v/>
      </c>
      <c r="R868" s="24">
        <f>IF(Q868=1,100000-N868*1000+861*0.01,9000000000000+861)</f>
        <v/>
      </c>
      <c r="S868" s="24">
        <f>IF(Q868=1,SUMPRODUCT(--($R$8:$R$1207&lt;R868))+1,"")</f>
        <v/>
      </c>
      <c r="T868" s="30">
        <f>IF(K868=1,'ORDENES'!$J864,"")</f>
        <v/>
      </c>
    </row>
    <row r="869">
      <c r="K869" s="24">
        <f>IF(AND(IF($B$3="(todos)",TRUE,'ORDENES'!$O865=$B$3),IF($D$3="(todos)",TRUE,'ORDENES'!$AI865=$D$3),IF($F$3="(todos)",TRUE,'ORDENES'!$AA865=$F$3),IF($H$3="(todos)",TRUE,'ORDENES'!$Z865=$H$3),'ORDENES'!$AG865=TRUE,'ORDENES'!$A865&lt;&gt;""),1,0)</f>
        <v/>
      </c>
      <c r="L869" s="24">
        <f>IF(K869=1,IFERROR(MATCH('ORDENES'!$S865,lista_dias,0),9)*1000000000+IFERROR(MATCH('ORDENES'!$AI865,lista_turnos,0),9)*10000000+IFERROR(MATCH('ORDENES'!$AH865,'TECNICOS'!$B$4:$B$19,0),99)*100000+862,9000000000000+862)</f>
        <v/>
      </c>
      <c r="M869" s="24">
        <f>IF(K869=1,SUMPRODUCT(--($L$8:$L$1207&lt;L869))+1,"")</f>
        <v/>
      </c>
      <c r="N869" s="25">
        <f>IF(K869=1,N('ORDENES'!$M865),0)</f>
        <v/>
      </c>
      <c r="O869" s="25">
        <f>IF('ORDENES'!$U865="preventiva",N869,0)</f>
        <v/>
      </c>
      <c r="P869" s="25">
        <f>IF('ORDENES'!$U865="correctiva",N869,0)</f>
        <v/>
      </c>
      <c r="Q869" s="24">
        <f>IF(AND(K869=1,'ORDENES'!$N865="Pendiente"),1,0)</f>
        <v/>
      </c>
      <c r="R869" s="24">
        <f>IF(Q869=1,100000-N869*1000+862*0.01,9000000000000+862)</f>
        <v/>
      </c>
      <c r="S869" s="24">
        <f>IF(Q869=1,SUMPRODUCT(--($R$8:$R$1207&lt;R869))+1,"")</f>
        <v/>
      </c>
      <c r="T869" s="30">
        <f>IF(K869=1,'ORDENES'!$J865,"")</f>
        <v/>
      </c>
    </row>
    <row r="870">
      <c r="K870" s="24">
        <f>IF(AND(IF($B$3="(todos)",TRUE,'ORDENES'!$O866=$B$3),IF($D$3="(todos)",TRUE,'ORDENES'!$AI866=$D$3),IF($F$3="(todos)",TRUE,'ORDENES'!$AA866=$F$3),IF($H$3="(todos)",TRUE,'ORDENES'!$Z866=$H$3),'ORDENES'!$AG866=TRUE,'ORDENES'!$A866&lt;&gt;""),1,0)</f>
        <v/>
      </c>
      <c r="L870" s="24">
        <f>IF(K870=1,IFERROR(MATCH('ORDENES'!$S866,lista_dias,0),9)*1000000000+IFERROR(MATCH('ORDENES'!$AI866,lista_turnos,0),9)*10000000+IFERROR(MATCH('ORDENES'!$AH866,'TECNICOS'!$B$4:$B$19,0),99)*100000+863,9000000000000+863)</f>
        <v/>
      </c>
      <c r="M870" s="24">
        <f>IF(K870=1,SUMPRODUCT(--($L$8:$L$1207&lt;L870))+1,"")</f>
        <v/>
      </c>
      <c r="N870" s="25">
        <f>IF(K870=1,N('ORDENES'!$M866),0)</f>
        <v/>
      </c>
      <c r="O870" s="25">
        <f>IF('ORDENES'!$U866="preventiva",N870,0)</f>
        <v/>
      </c>
      <c r="P870" s="25">
        <f>IF('ORDENES'!$U866="correctiva",N870,0)</f>
        <v/>
      </c>
      <c r="Q870" s="24">
        <f>IF(AND(K870=1,'ORDENES'!$N866="Pendiente"),1,0)</f>
        <v/>
      </c>
      <c r="R870" s="24">
        <f>IF(Q870=1,100000-N870*1000+863*0.01,9000000000000+863)</f>
        <v/>
      </c>
      <c r="S870" s="24">
        <f>IF(Q870=1,SUMPRODUCT(--($R$8:$R$1207&lt;R870))+1,"")</f>
        <v/>
      </c>
      <c r="T870" s="30">
        <f>IF(K870=1,'ORDENES'!$J866,"")</f>
        <v/>
      </c>
    </row>
    <row r="871">
      <c r="K871" s="24">
        <f>IF(AND(IF($B$3="(todos)",TRUE,'ORDENES'!$O867=$B$3),IF($D$3="(todos)",TRUE,'ORDENES'!$AI867=$D$3),IF($F$3="(todos)",TRUE,'ORDENES'!$AA867=$F$3),IF($H$3="(todos)",TRUE,'ORDENES'!$Z867=$H$3),'ORDENES'!$AG867=TRUE,'ORDENES'!$A867&lt;&gt;""),1,0)</f>
        <v/>
      </c>
      <c r="L871" s="24">
        <f>IF(K871=1,IFERROR(MATCH('ORDENES'!$S867,lista_dias,0),9)*1000000000+IFERROR(MATCH('ORDENES'!$AI867,lista_turnos,0),9)*10000000+IFERROR(MATCH('ORDENES'!$AH867,'TECNICOS'!$B$4:$B$19,0),99)*100000+864,9000000000000+864)</f>
        <v/>
      </c>
      <c r="M871" s="24">
        <f>IF(K871=1,SUMPRODUCT(--($L$8:$L$1207&lt;L871))+1,"")</f>
        <v/>
      </c>
      <c r="N871" s="25">
        <f>IF(K871=1,N('ORDENES'!$M867),0)</f>
        <v/>
      </c>
      <c r="O871" s="25">
        <f>IF('ORDENES'!$U867="preventiva",N871,0)</f>
        <v/>
      </c>
      <c r="P871" s="25">
        <f>IF('ORDENES'!$U867="correctiva",N871,0)</f>
        <v/>
      </c>
      <c r="Q871" s="24">
        <f>IF(AND(K871=1,'ORDENES'!$N867="Pendiente"),1,0)</f>
        <v/>
      </c>
      <c r="R871" s="24">
        <f>IF(Q871=1,100000-N871*1000+864*0.01,9000000000000+864)</f>
        <v/>
      </c>
      <c r="S871" s="24">
        <f>IF(Q871=1,SUMPRODUCT(--($R$8:$R$1207&lt;R871))+1,"")</f>
        <v/>
      </c>
      <c r="T871" s="30">
        <f>IF(K871=1,'ORDENES'!$J867,"")</f>
        <v/>
      </c>
    </row>
    <row r="872">
      <c r="K872" s="24">
        <f>IF(AND(IF($B$3="(todos)",TRUE,'ORDENES'!$O868=$B$3),IF($D$3="(todos)",TRUE,'ORDENES'!$AI868=$D$3),IF($F$3="(todos)",TRUE,'ORDENES'!$AA868=$F$3),IF($H$3="(todos)",TRUE,'ORDENES'!$Z868=$H$3),'ORDENES'!$AG868=TRUE,'ORDENES'!$A868&lt;&gt;""),1,0)</f>
        <v/>
      </c>
      <c r="L872" s="24">
        <f>IF(K872=1,IFERROR(MATCH('ORDENES'!$S868,lista_dias,0),9)*1000000000+IFERROR(MATCH('ORDENES'!$AI868,lista_turnos,0),9)*10000000+IFERROR(MATCH('ORDENES'!$AH868,'TECNICOS'!$B$4:$B$19,0),99)*100000+865,9000000000000+865)</f>
        <v/>
      </c>
      <c r="M872" s="24">
        <f>IF(K872=1,SUMPRODUCT(--($L$8:$L$1207&lt;L872))+1,"")</f>
        <v/>
      </c>
      <c r="N872" s="25">
        <f>IF(K872=1,N('ORDENES'!$M868),0)</f>
        <v/>
      </c>
      <c r="O872" s="25">
        <f>IF('ORDENES'!$U868="preventiva",N872,0)</f>
        <v/>
      </c>
      <c r="P872" s="25">
        <f>IF('ORDENES'!$U868="correctiva",N872,0)</f>
        <v/>
      </c>
      <c r="Q872" s="24">
        <f>IF(AND(K872=1,'ORDENES'!$N868="Pendiente"),1,0)</f>
        <v/>
      </c>
      <c r="R872" s="24">
        <f>IF(Q872=1,100000-N872*1000+865*0.01,9000000000000+865)</f>
        <v/>
      </c>
      <c r="S872" s="24">
        <f>IF(Q872=1,SUMPRODUCT(--($R$8:$R$1207&lt;R872))+1,"")</f>
        <v/>
      </c>
      <c r="T872" s="30">
        <f>IF(K872=1,'ORDENES'!$J868,"")</f>
        <v/>
      </c>
    </row>
    <row r="873">
      <c r="K873" s="24">
        <f>IF(AND(IF($B$3="(todos)",TRUE,'ORDENES'!$O869=$B$3),IF($D$3="(todos)",TRUE,'ORDENES'!$AI869=$D$3),IF($F$3="(todos)",TRUE,'ORDENES'!$AA869=$F$3),IF($H$3="(todos)",TRUE,'ORDENES'!$Z869=$H$3),'ORDENES'!$AG869=TRUE,'ORDENES'!$A869&lt;&gt;""),1,0)</f>
        <v/>
      </c>
      <c r="L873" s="24">
        <f>IF(K873=1,IFERROR(MATCH('ORDENES'!$S869,lista_dias,0),9)*1000000000+IFERROR(MATCH('ORDENES'!$AI869,lista_turnos,0),9)*10000000+IFERROR(MATCH('ORDENES'!$AH869,'TECNICOS'!$B$4:$B$19,0),99)*100000+866,9000000000000+866)</f>
        <v/>
      </c>
      <c r="M873" s="24">
        <f>IF(K873=1,SUMPRODUCT(--($L$8:$L$1207&lt;L873))+1,"")</f>
        <v/>
      </c>
      <c r="N873" s="25">
        <f>IF(K873=1,N('ORDENES'!$M869),0)</f>
        <v/>
      </c>
      <c r="O873" s="25">
        <f>IF('ORDENES'!$U869="preventiva",N873,0)</f>
        <v/>
      </c>
      <c r="P873" s="25">
        <f>IF('ORDENES'!$U869="correctiva",N873,0)</f>
        <v/>
      </c>
      <c r="Q873" s="24">
        <f>IF(AND(K873=1,'ORDENES'!$N869="Pendiente"),1,0)</f>
        <v/>
      </c>
      <c r="R873" s="24">
        <f>IF(Q873=1,100000-N873*1000+866*0.01,9000000000000+866)</f>
        <v/>
      </c>
      <c r="S873" s="24">
        <f>IF(Q873=1,SUMPRODUCT(--($R$8:$R$1207&lt;R873))+1,"")</f>
        <v/>
      </c>
      <c r="T873" s="30">
        <f>IF(K873=1,'ORDENES'!$J869,"")</f>
        <v/>
      </c>
    </row>
    <row r="874">
      <c r="K874" s="24">
        <f>IF(AND(IF($B$3="(todos)",TRUE,'ORDENES'!$O870=$B$3),IF($D$3="(todos)",TRUE,'ORDENES'!$AI870=$D$3),IF($F$3="(todos)",TRUE,'ORDENES'!$AA870=$F$3),IF($H$3="(todos)",TRUE,'ORDENES'!$Z870=$H$3),'ORDENES'!$AG870=TRUE,'ORDENES'!$A870&lt;&gt;""),1,0)</f>
        <v/>
      </c>
      <c r="L874" s="24">
        <f>IF(K874=1,IFERROR(MATCH('ORDENES'!$S870,lista_dias,0),9)*1000000000+IFERROR(MATCH('ORDENES'!$AI870,lista_turnos,0),9)*10000000+IFERROR(MATCH('ORDENES'!$AH870,'TECNICOS'!$B$4:$B$19,0),99)*100000+867,9000000000000+867)</f>
        <v/>
      </c>
      <c r="M874" s="24">
        <f>IF(K874=1,SUMPRODUCT(--($L$8:$L$1207&lt;L874))+1,"")</f>
        <v/>
      </c>
      <c r="N874" s="25">
        <f>IF(K874=1,N('ORDENES'!$M870),0)</f>
        <v/>
      </c>
      <c r="O874" s="25">
        <f>IF('ORDENES'!$U870="preventiva",N874,0)</f>
        <v/>
      </c>
      <c r="P874" s="25">
        <f>IF('ORDENES'!$U870="correctiva",N874,0)</f>
        <v/>
      </c>
      <c r="Q874" s="24">
        <f>IF(AND(K874=1,'ORDENES'!$N870="Pendiente"),1,0)</f>
        <v/>
      </c>
      <c r="R874" s="24">
        <f>IF(Q874=1,100000-N874*1000+867*0.01,9000000000000+867)</f>
        <v/>
      </c>
      <c r="S874" s="24">
        <f>IF(Q874=1,SUMPRODUCT(--($R$8:$R$1207&lt;R874))+1,"")</f>
        <v/>
      </c>
      <c r="T874" s="30">
        <f>IF(K874=1,'ORDENES'!$J870,"")</f>
        <v/>
      </c>
    </row>
    <row r="875">
      <c r="K875" s="24">
        <f>IF(AND(IF($B$3="(todos)",TRUE,'ORDENES'!$O871=$B$3),IF($D$3="(todos)",TRUE,'ORDENES'!$AI871=$D$3),IF($F$3="(todos)",TRUE,'ORDENES'!$AA871=$F$3),IF($H$3="(todos)",TRUE,'ORDENES'!$Z871=$H$3),'ORDENES'!$AG871=TRUE,'ORDENES'!$A871&lt;&gt;""),1,0)</f>
        <v/>
      </c>
      <c r="L875" s="24">
        <f>IF(K875=1,IFERROR(MATCH('ORDENES'!$S871,lista_dias,0),9)*1000000000+IFERROR(MATCH('ORDENES'!$AI871,lista_turnos,0),9)*10000000+IFERROR(MATCH('ORDENES'!$AH871,'TECNICOS'!$B$4:$B$19,0),99)*100000+868,9000000000000+868)</f>
        <v/>
      </c>
      <c r="M875" s="24">
        <f>IF(K875=1,SUMPRODUCT(--($L$8:$L$1207&lt;L875))+1,"")</f>
        <v/>
      </c>
      <c r="N875" s="25">
        <f>IF(K875=1,N('ORDENES'!$M871),0)</f>
        <v/>
      </c>
      <c r="O875" s="25">
        <f>IF('ORDENES'!$U871="preventiva",N875,0)</f>
        <v/>
      </c>
      <c r="P875" s="25">
        <f>IF('ORDENES'!$U871="correctiva",N875,0)</f>
        <v/>
      </c>
      <c r="Q875" s="24">
        <f>IF(AND(K875=1,'ORDENES'!$N871="Pendiente"),1,0)</f>
        <v/>
      </c>
      <c r="R875" s="24">
        <f>IF(Q875=1,100000-N875*1000+868*0.01,9000000000000+868)</f>
        <v/>
      </c>
      <c r="S875" s="24">
        <f>IF(Q875=1,SUMPRODUCT(--($R$8:$R$1207&lt;R875))+1,"")</f>
        <v/>
      </c>
      <c r="T875" s="30">
        <f>IF(K875=1,'ORDENES'!$J871,"")</f>
        <v/>
      </c>
    </row>
    <row r="876">
      <c r="K876" s="24">
        <f>IF(AND(IF($B$3="(todos)",TRUE,'ORDENES'!$O872=$B$3),IF($D$3="(todos)",TRUE,'ORDENES'!$AI872=$D$3),IF($F$3="(todos)",TRUE,'ORDENES'!$AA872=$F$3),IF($H$3="(todos)",TRUE,'ORDENES'!$Z872=$H$3),'ORDENES'!$AG872=TRUE,'ORDENES'!$A872&lt;&gt;""),1,0)</f>
        <v/>
      </c>
      <c r="L876" s="24">
        <f>IF(K876=1,IFERROR(MATCH('ORDENES'!$S872,lista_dias,0),9)*1000000000+IFERROR(MATCH('ORDENES'!$AI872,lista_turnos,0),9)*10000000+IFERROR(MATCH('ORDENES'!$AH872,'TECNICOS'!$B$4:$B$19,0),99)*100000+869,9000000000000+869)</f>
        <v/>
      </c>
      <c r="M876" s="24">
        <f>IF(K876=1,SUMPRODUCT(--($L$8:$L$1207&lt;L876))+1,"")</f>
        <v/>
      </c>
      <c r="N876" s="25">
        <f>IF(K876=1,N('ORDENES'!$M872),0)</f>
        <v/>
      </c>
      <c r="O876" s="25">
        <f>IF('ORDENES'!$U872="preventiva",N876,0)</f>
        <v/>
      </c>
      <c r="P876" s="25">
        <f>IF('ORDENES'!$U872="correctiva",N876,0)</f>
        <v/>
      </c>
      <c r="Q876" s="24">
        <f>IF(AND(K876=1,'ORDENES'!$N872="Pendiente"),1,0)</f>
        <v/>
      </c>
      <c r="R876" s="24">
        <f>IF(Q876=1,100000-N876*1000+869*0.01,9000000000000+869)</f>
        <v/>
      </c>
      <c r="S876" s="24">
        <f>IF(Q876=1,SUMPRODUCT(--($R$8:$R$1207&lt;R876))+1,"")</f>
        <v/>
      </c>
      <c r="T876" s="30">
        <f>IF(K876=1,'ORDENES'!$J872,"")</f>
        <v/>
      </c>
    </row>
    <row r="877">
      <c r="K877" s="24">
        <f>IF(AND(IF($B$3="(todos)",TRUE,'ORDENES'!$O873=$B$3),IF($D$3="(todos)",TRUE,'ORDENES'!$AI873=$D$3),IF($F$3="(todos)",TRUE,'ORDENES'!$AA873=$F$3),IF($H$3="(todos)",TRUE,'ORDENES'!$Z873=$H$3),'ORDENES'!$AG873=TRUE,'ORDENES'!$A873&lt;&gt;""),1,0)</f>
        <v/>
      </c>
      <c r="L877" s="24">
        <f>IF(K877=1,IFERROR(MATCH('ORDENES'!$S873,lista_dias,0),9)*1000000000+IFERROR(MATCH('ORDENES'!$AI873,lista_turnos,0),9)*10000000+IFERROR(MATCH('ORDENES'!$AH873,'TECNICOS'!$B$4:$B$19,0),99)*100000+870,9000000000000+870)</f>
        <v/>
      </c>
      <c r="M877" s="24">
        <f>IF(K877=1,SUMPRODUCT(--($L$8:$L$1207&lt;L877))+1,"")</f>
        <v/>
      </c>
      <c r="N877" s="25">
        <f>IF(K877=1,N('ORDENES'!$M873),0)</f>
        <v/>
      </c>
      <c r="O877" s="25">
        <f>IF('ORDENES'!$U873="preventiva",N877,0)</f>
        <v/>
      </c>
      <c r="P877" s="25">
        <f>IF('ORDENES'!$U873="correctiva",N877,0)</f>
        <v/>
      </c>
      <c r="Q877" s="24">
        <f>IF(AND(K877=1,'ORDENES'!$N873="Pendiente"),1,0)</f>
        <v/>
      </c>
      <c r="R877" s="24">
        <f>IF(Q877=1,100000-N877*1000+870*0.01,9000000000000+870)</f>
        <v/>
      </c>
      <c r="S877" s="24">
        <f>IF(Q877=1,SUMPRODUCT(--($R$8:$R$1207&lt;R877))+1,"")</f>
        <v/>
      </c>
      <c r="T877" s="30">
        <f>IF(K877=1,'ORDENES'!$J873,"")</f>
        <v/>
      </c>
    </row>
    <row r="878">
      <c r="K878" s="24">
        <f>IF(AND(IF($B$3="(todos)",TRUE,'ORDENES'!$O874=$B$3),IF($D$3="(todos)",TRUE,'ORDENES'!$AI874=$D$3),IF($F$3="(todos)",TRUE,'ORDENES'!$AA874=$F$3),IF($H$3="(todos)",TRUE,'ORDENES'!$Z874=$H$3),'ORDENES'!$AG874=TRUE,'ORDENES'!$A874&lt;&gt;""),1,0)</f>
        <v/>
      </c>
      <c r="L878" s="24">
        <f>IF(K878=1,IFERROR(MATCH('ORDENES'!$S874,lista_dias,0),9)*1000000000+IFERROR(MATCH('ORDENES'!$AI874,lista_turnos,0),9)*10000000+IFERROR(MATCH('ORDENES'!$AH874,'TECNICOS'!$B$4:$B$19,0),99)*100000+871,9000000000000+871)</f>
        <v/>
      </c>
      <c r="M878" s="24">
        <f>IF(K878=1,SUMPRODUCT(--($L$8:$L$1207&lt;L878))+1,"")</f>
        <v/>
      </c>
      <c r="N878" s="25">
        <f>IF(K878=1,N('ORDENES'!$M874),0)</f>
        <v/>
      </c>
      <c r="O878" s="25">
        <f>IF('ORDENES'!$U874="preventiva",N878,0)</f>
        <v/>
      </c>
      <c r="P878" s="25">
        <f>IF('ORDENES'!$U874="correctiva",N878,0)</f>
        <v/>
      </c>
      <c r="Q878" s="24">
        <f>IF(AND(K878=1,'ORDENES'!$N874="Pendiente"),1,0)</f>
        <v/>
      </c>
      <c r="R878" s="24">
        <f>IF(Q878=1,100000-N878*1000+871*0.01,9000000000000+871)</f>
        <v/>
      </c>
      <c r="S878" s="24">
        <f>IF(Q878=1,SUMPRODUCT(--($R$8:$R$1207&lt;R878))+1,"")</f>
        <v/>
      </c>
      <c r="T878" s="30">
        <f>IF(K878=1,'ORDENES'!$J874,"")</f>
        <v/>
      </c>
    </row>
    <row r="879">
      <c r="K879" s="24">
        <f>IF(AND(IF($B$3="(todos)",TRUE,'ORDENES'!$O875=$B$3),IF($D$3="(todos)",TRUE,'ORDENES'!$AI875=$D$3),IF($F$3="(todos)",TRUE,'ORDENES'!$AA875=$F$3),IF($H$3="(todos)",TRUE,'ORDENES'!$Z875=$H$3),'ORDENES'!$AG875=TRUE,'ORDENES'!$A875&lt;&gt;""),1,0)</f>
        <v/>
      </c>
      <c r="L879" s="24">
        <f>IF(K879=1,IFERROR(MATCH('ORDENES'!$S875,lista_dias,0),9)*1000000000+IFERROR(MATCH('ORDENES'!$AI875,lista_turnos,0),9)*10000000+IFERROR(MATCH('ORDENES'!$AH875,'TECNICOS'!$B$4:$B$19,0),99)*100000+872,9000000000000+872)</f>
        <v/>
      </c>
      <c r="M879" s="24">
        <f>IF(K879=1,SUMPRODUCT(--($L$8:$L$1207&lt;L879))+1,"")</f>
        <v/>
      </c>
      <c r="N879" s="25">
        <f>IF(K879=1,N('ORDENES'!$M875),0)</f>
        <v/>
      </c>
      <c r="O879" s="25">
        <f>IF('ORDENES'!$U875="preventiva",N879,0)</f>
        <v/>
      </c>
      <c r="P879" s="25">
        <f>IF('ORDENES'!$U875="correctiva",N879,0)</f>
        <v/>
      </c>
      <c r="Q879" s="24">
        <f>IF(AND(K879=1,'ORDENES'!$N875="Pendiente"),1,0)</f>
        <v/>
      </c>
      <c r="R879" s="24">
        <f>IF(Q879=1,100000-N879*1000+872*0.01,9000000000000+872)</f>
        <v/>
      </c>
      <c r="S879" s="24">
        <f>IF(Q879=1,SUMPRODUCT(--($R$8:$R$1207&lt;R879))+1,"")</f>
        <v/>
      </c>
      <c r="T879" s="30">
        <f>IF(K879=1,'ORDENES'!$J875,"")</f>
        <v/>
      </c>
    </row>
    <row r="880">
      <c r="K880" s="24">
        <f>IF(AND(IF($B$3="(todos)",TRUE,'ORDENES'!$O876=$B$3),IF($D$3="(todos)",TRUE,'ORDENES'!$AI876=$D$3),IF($F$3="(todos)",TRUE,'ORDENES'!$AA876=$F$3),IF($H$3="(todos)",TRUE,'ORDENES'!$Z876=$H$3),'ORDENES'!$AG876=TRUE,'ORDENES'!$A876&lt;&gt;""),1,0)</f>
        <v/>
      </c>
      <c r="L880" s="24">
        <f>IF(K880=1,IFERROR(MATCH('ORDENES'!$S876,lista_dias,0),9)*1000000000+IFERROR(MATCH('ORDENES'!$AI876,lista_turnos,0),9)*10000000+IFERROR(MATCH('ORDENES'!$AH876,'TECNICOS'!$B$4:$B$19,0),99)*100000+873,9000000000000+873)</f>
        <v/>
      </c>
      <c r="M880" s="24">
        <f>IF(K880=1,SUMPRODUCT(--($L$8:$L$1207&lt;L880))+1,"")</f>
        <v/>
      </c>
      <c r="N880" s="25">
        <f>IF(K880=1,N('ORDENES'!$M876),0)</f>
        <v/>
      </c>
      <c r="O880" s="25">
        <f>IF('ORDENES'!$U876="preventiva",N880,0)</f>
        <v/>
      </c>
      <c r="P880" s="25">
        <f>IF('ORDENES'!$U876="correctiva",N880,0)</f>
        <v/>
      </c>
      <c r="Q880" s="24">
        <f>IF(AND(K880=1,'ORDENES'!$N876="Pendiente"),1,0)</f>
        <v/>
      </c>
      <c r="R880" s="24">
        <f>IF(Q880=1,100000-N880*1000+873*0.01,9000000000000+873)</f>
        <v/>
      </c>
      <c r="S880" s="24">
        <f>IF(Q880=1,SUMPRODUCT(--($R$8:$R$1207&lt;R880))+1,"")</f>
        <v/>
      </c>
      <c r="T880" s="30">
        <f>IF(K880=1,'ORDENES'!$J876,"")</f>
        <v/>
      </c>
    </row>
    <row r="881">
      <c r="K881" s="24">
        <f>IF(AND(IF($B$3="(todos)",TRUE,'ORDENES'!$O877=$B$3),IF($D$3="(todos)",TRUE,'ORDENES'!$AI877=$D$3),IF($F$3="(todos)",TRUE,'ORDENES'!$AA877=$F$3),IF($H$3="(todos)",TRUE,'ORDENES'!$Z877=$H$3),'ORDENES'!$AG877=TRUE,'ORDENES'!$A877&lt;&gt;""),1,0)</f>
        <v/>
      </c>
      <c r="L881" s="24">
        <f>IF(K881=1,IFERROR(MATCH('ORDENES'!$S877,lista_dias,0),9)*1000000000+IFERROR(MATCH('ORDENES'!$AI877,lista_turnos,0),9)*10000000+IFERROR(MATCH('ORDENES'!$AH877,'TECNICOS'!$B$4:$B$19,0),99)*100000+874,9000000000000+874)</f>
        <v/>
      </c>
      <c r="M881" s="24">
        <f>IF(K881=1,SUMPRODUCT(--($L$8:$L$1207&lt;L881))+1,"")</f>
        <v/>
      </c>
      <c r="N881" s="25">
        <f>IF(K881=1,N('ORDENES'!$M877),0)</f>
        <v/>
      </c>
      <c r="O881" s="25">
        <f>IF('ORDENES'!$U877="preventiva",N881,0)</f>
        <v/>
      </c>
      <c r="P881" s="25">
        <f>IF('ORDENES'!$U877="correctiva",N881,0)</f>
        <v/>
      </c>
      <c r="Q881" s="24">
        <f>IF(AND(K881=1,'ORDENES'!$N877="Pendiente"),1,0)</f>
        <v/>
      </c>
      <c r="R881" s="24">
        <f>IF(Q881=1,100000-N881*1000+874*0.01,9000000000000+874)</f>
        <v/>
      </c>
      <c r="S881" s="24">
        <f>IF(Q881=1,SUMPRODUCT(--($R$8:$R$1207&lt;R881))+1,"")</f>
        <v/>
      </c>
      <c r="T881" s="30">
        <f>IF(K881=1,'ORDENES'!$J877,"")</f>
        <v/>
      </c>
    </row>
    <row r="882">
      <c r="K882" s="24">
        <f>IF(AND(IF($B$3="(todos)",TRUE,'ORDENES'!$O878=$B$3),IF($D$3="(todos)",TRUE,'ORDENES'!$AI878=$D$3),IF($F$3="(todos)",TRUE,'ORDENES'!$AA878=$F$3),IF($H$3="(todos)",TRUE,'ORDENES'!$Z878=$H$3),'ORDENES'!$AG878=TRUE,'ORDENES'!$A878&lt;&gt;""),1,0)</f>
        <v/>
      </c>
      <c r="L882" s="24">
        <f>IF(K882=1,IFERROR(MATCH('ORDENES'!$S878,lista_dias,0),9)*1000000000+IFERROR(MATCH('ORDENES'!$AI878,lista_turnos,0),9)*10000000+IFERROR(MATCH('ORDENES'!$AH878,'TECNICOS'!$B$4:$B$19,0),99)*100000+875,9000000000000+875)</f>
        <v/>
      </c>
      <c r="M882" s="24">
        <f>IF(K882=1,SUMPRODUCT(--($L$8:$L$1207&lt;L882))+1,"")</f>
        <v/>
      </c>
      <c r="N882" s="25">
        <f>IF(K882=1,N('ORDENES'!$M878),0)</f>
        <v/>
      </c>
      <c r="O882" s="25">
        <f>IF('ORDENES'!$U878="preventiva",N882,0)</f>
        <v/>
      </c>
      <c r="P882" s="25">
        <f>IF('ORDENES'!$U878="correctiva",N882,0)</f>
        <v/>
      </c>
      <c r="Q882" s="24">
        <f>IF(AND(K882=1,'ORDENES'!$N878="Pendiente"),1,0)</f>
        <v/>
      </c>
      <c r="R882" s="24">
        <f>IF(Q882=1,100000-N882*1000+875*0.01,9000000000000+875)</f>
        <v/>
      </c>
      <c r="S882" s="24">
        <f>IF(Q882=1,SUMPRODUCT(--($R$8:$R$1207&lt;R882))+1,"")</f>
        <v/>
      </c>
      <c r="T882" s="30">
        <f>IF(K882=1,'ORDENES'!$J878,"")</f>
        <v/>
      </c>
    </row>
    <row r="883">
      <c r="K883" s="24">
        <f>IF(AND(IF($B$3="(todos)",TRUE,'ORDENES'!$O879=$B$3),IF($D$3="(todos)",TRUE,'ORDENES'!$AI879=$D$3),IF($F$3="(todos)",TRUE,'ORDENES'!$AA879=$F$3),IF($H$3="(todos)",TRUE,'ORDENES'!$Z879=$H$3),'ORDENES'!$AG879=TRUE,'ORDENES'!$A879&lt;&gt;""),1,0)</f>
        <v/>
      </c>
      <c r="L883" s="24">
        <f>IF(K883=1,IFERROR(MATCH('ORDENES'!$S879,lista_dias,0),9)*1000000000+IFERROR(MATCH('ORDENES'!$AI879,lista_turnos,0),9)*10000000+IFERROR(MATCH('ORDENES'!$AH879,'TECNICOS'!$B$4:$B$19,0),99)*100000+876,9000000000000+876)</f>
        <v/>
      </c>
      <c r="M883" s="24">
        <f>IF(K883=1,SUMPRODUCT(--($L$8:$L$1207&lt;L883))+1,"")</f>
        <v/>
      </c>
      <c r="N883" s="25">
        <f>IF(K883=1,N('ORDENES'!$M879),0)</f>
        <v/>
      </c>
      <c r="O883" s="25">
        <f>IF('ORDENES'!$U879="preventiva",N883,0)</f>
        <v/>
      </c>
      <c r="P883" s="25">
        <f>IF('ORDENES'!$U879="correctiva",N883,0)</f>
        <v/>
      </c>
      <c r="Q883" s="24">
        <f>IF(AND(K883=1,'ORDENES'!$N879="Pendiente"),1,0)</f>
        <v/>
      </c>
      <c r="R883" s="24">
        <f>IF(Q883=1,100000-N883*1000+876*0.01,9000000000000+876)</f>
        <v/>
      </c>
      <c r="S883" s="24">
        <f>IF(Q883=1,SUMPRODUCT(--($R$8:$R$1207&lt;R883))+1,"")</f>
        <v/>
      </c>
      <c r="T883" s="30">
        <f>IF(K883=1,'ORDENES'!$J879,"")</f>
        <v/>
      </c>
    </row>
    <row r="884">
      <c r="K884" s="24">
        <f>IF(AND(IF($B$3="(todos)",TRUE,'ORDENES'!$O880=$B$3),IF($D$3="(todos)",TRUE,'ORDENES'!$AI880=$D$3),IF($F$3="(todos)",TRUE,'ORDENES'!$AA880=$F$3),IF($H$3="(todos)",TRUE,'ORDENES'!$Z880=$H$3),'ORDENES'!$AG880=TRUE,'ORDENES'!$A880&lt;&gt;""),1,0)</f>
        <v/>
      </c>
      <c r="L884" s="24">
        <f>IF(K884=1,IFERROR(MATCH('ORDENES'!$S880,lista_dias,0),9)*1000000000+IFERROR(MATCH('ORDENES'!$AI880,lista_turnos,0),9)*10000000+IFERROR(MATCH('ORDENES'!$AH880,'TECNICOS'!$B$4:$B$19,0),99)*100000+877,9000000000000+877)</f>
        <v/>
      </c>
      <c r="M884" s="24">
        <f>IF(K884=1,SUMPRODUCT(--($L$8:$L$1207&lt;L884))+1,"")</f>
        <v/>
      </c>
      <c r="N884" s="25">
        <f>IF(K884=1,N('ORDENES'!$M880),0)</f>
        <v/>
      </c>
      <c r="O884" s="25">
        <f>IF('ORDENES'!$U880="preventiva",N884,0)</f>
        <v/>
      </c>
      <c r="P884" s="25">
        <f>IF('ORDENES'!$U880="correctiva",N884,0)</f>
        <v/>
      </c>
      <c r="Q884" s="24">
        <f>IF(AND(K884=1,'ORDENES'!$N880="Pendiente"),1,0)</f>
        <v/>
      </c>
      <c r="R884" s="24">
        <f>IF(Q884=1,100000-N884*1000+877*0.01,9000000000000+877)</f>
        <v/>
      </c>
      <c r="S884" s="24">
        <f>IF(Q884=1,SUMPRODUCT(--($R$8:$R$1207&lt;R884))+1,"")</f>
        <v/>
      </c>
      <c r="T884" s="30">
        <f>IF(K884=1,'ORDENES'!$J880,"")</f>
        <v/>
      </c>
    </row>
    <row r="885">
      <c r="K885" s="24">
        <f>IF(AND(IF($B$3="(todos)",TRUE,'ORDENES'!$O881=$B$3),IF($D$3="(todos)",TRUE,'ORDENES'!$AI881=$D$3),IF($F$3="(todos)",TRUE,'ORDENES'!$AA881=$F$3),IF($H$3="(todos)",TRUE,'ORDENES'!$Z881=$H$3),'ORDENES'!$AG881=TRUE,'ORDENES'!$A881&lt;&gt;""),1,0)</f>
        <v/>
      </c>
      <c r="L885" s="24">
        <f>IF(K885=1,IFERROR(MATCH('ORDENES'!$S881,lista_dias,0),9)*1000000000+IFERROR(MATCH('ORDENES'!$AI881,lista_turnos,0),9)*10000000+IFERROR(MATCH('ORDENES'!$AH881,'TECNICOS'!$B$4:$B$19,0),99)*100000+878,9000000000000+878)</f>
        <v/>
      </c>
      <c r="M885" s="24">
        <f>IF(K885=1,SUMPRODUCT(--($L$8:$L$1207&lt;L885))+1,"")</f>
        <v/>
      </c>
      <c r="N885" s="25">
        <f>IF(K885=1,N('ORDENES'!$M881),0)</f>
        <v/>
      </c>
      <c r="O885" s="25">
        <f>IF('ORDENES'!$U881="preventiva",N885,0)</f>
        <v/>
      </c>
      <c r="P885" s="25">
        <f>IF('ORDENES'!$U881="correctiva",N885,0)</f>
        <v/>
      </c>
      <c r="Q885" s="24">
        <f>IF(AND(K885=1,'ORDENES'!$N881="Pendiente"),1,0)</f>
        <v/>
      </c>
      <c r="R885" s="24">
        <f>IF(Q885=1,100000-N885*1000+878*0.01,9000000000000+878)</f>
        <v/>
      </c>
      <c r="S885" s="24">
        <f>IF(Q885=1,SUMPRODUCT(--($R$8:$R$1207&lt;R885))+1,"")</f>
        <v/>
      </c>
      <c r="T885" s="30">
        <f>IF(K885=1,'ORDENES'!$J881,"")</f>
        <v/>
      </c>
    </row>
    <row r="886">
      <c r="K886" s="24">
        <f>IF(AND(IF($B$3="(todos)",TRUE,'ORDENES'!$O882=$B$3),IF($D$3="(todos)",TRUE,'ORDENES'!$AI882=$D$3),IF($F$3="(todos)",TRUE,'ORDENES'!$AA882=$F$3),IF($H$3="(todos)",TRUE,'ORDENES'!$Z882=$H$3),'ORDENES'!$AG882=TRUE,'ORDENES'!$A882&lt;&gt;""),1,0)</f>
        <v/>
      </c>
      <c r="L886" s="24">
        <f>IF(K886=1,IFERROR(MATCH('ORDENES'!$S882,lista_dias,0),9)*1000000000+IFERROR(MATCH('ORDENES'!$AI882,lista_turnos,0),9)*10000000+IFERROR(MATCH('ORDENES'!$AH882,'TECNICOS'!$B$4:$B$19,0),99)*100000+879,9000000000000+879)</f>
        <v/>
      </c>
      <c r="M886" s="24">
        <f>IF(K886=1,SUMPRODUCT(--($L$8:$L$1207&lt;L886))+1,"")</f>
        <v/>
      </c>
      <c r="N886" s="25">
        <f>IF(K886=1,N('ORDENES'!$M882),0)</f>
        <v/>
      </c>
      <c r="O886" s="25">
        <f>IF('ORDENES'!$U882="preventiva",N886,0)</f>
        <v/>
      </c>
      <c r="P886" s="25">
        <f>IF('ORDENES'!$U882="correctiva",N886,0)</f>
        <v/>
      </c>
      <c r="Q886" s="24">
        <f>IF(AND(K886=1,'ORDENES'!$N882="Pendiente"),1,0)</f>
        <v/>
      </c>
      <c r="R886" s="24">
        <f>IF(Q886=1,100000-N886*1000+879*0.01,9000000000000+879)</f>
        <v/>
      </c>
      <c r="S886" s="24">
        <f>IF(Q886=1,SUMPRODUCT(--($R$8:$R$1207&lt;R886))+1,"")</f>
        <v/>
      </c>
      <c r="T886" s="30">
        <f>IF(K886=1,'ORDENES'!$J882,"")</f>
        <v/>
      </c>
    </row>
    <row r="887">
      <c r="K887" s="24">
        <f>IF(AND(IF($B$3="(todos)",TRUE,'ORDENES'!$O883=$B$3),IF($D$3="(todos)",TRUE,'ORDENES'!$AI883=$D$3),IF($F$3="(todos)",TRUE,'ORDENES'!$AA883=$F$3),IF($H$3="(todos)",TRUE,'ORDENES'!$Z883=$H$3),'ORDENES'!$AG883=TRUE,'ORDENES'!$A883&lt;&gt;""),1,0)</f>
        <v/>
      </c>
      <c r="L887" s="24">
        <f>IF(K887=1,IFERROR(MATCH('ORDENES'!$S883,lista_dias,0),9)*1000000000+IFERROR(MATCH('ORDENES'!$AI883,lista_turnos,0),9)*10000000+IFERROR(MATCH('ORDENES'!$AH883,'TECNICOS'!$B$4:$B$19,0),99)*100000+880,9000000000000+880)</f>
        <v/>
      </c>
      <c r="M887" s="24">
        <f>IF(K887=1,SUMPRODUCT(--($L$8:$L$1207&lt;L887))+1,"")</f>
        <v/>
      </c>
      <c r="N887" s="25">
        <f>IF(K887=1,N('ORDENES'!$M883),0)</f>
        <v/>
      </c>
      <c r="O887" s="25">
        <f>IF('ORDENES'!$U883="preventiva",N887,0)</f>
        <v/>
      </c>
      <c r="P887" s="25">
        <f>IF('ORDENES'!$U883="correctiva",N887,0)</f>
        <v/>
      </c>
      <c r="Q887" s="24">
        <f>IF(AND(K887=1,'ORDENES'!$N883="Pendiente"),1,0)</f>
        <v/>
      </c>
      <c r="R887" s="24">
        <f>IF(Q887=1,100000-N887*1000+880*0.01,9000000000000+880)</f>
        <v/>
      </c>
      <c r="S887" s="24">
        <f>IF(Q887=1,SUMPRODUCT(--($R$8:$R$1207&lt;R887))+1,"")</f>
        <v/>
      </c>
      <c r="T887" s="30">
        <f>IF(K887=1,'ORDENES'!$J883,"")</f>
        <v/>
      </c>
    </row>
    <row r="888">
      <c r="K888" s="24">
        <f>IF(AND(IF($B$3="(todos)",TRUE,'ORDENES'!$O884=$B$3),IF($D$3="(todos)",TRUE,'ORDENES'!$AI884=$D$3),IF($F$3="(todos)",TRUE,'ORDENES'!$AA884=$F$3),IF($H$3="(todos)",TRUE,'ORDENES'!$Z884=$H$3),'ORDENES'!$AG884=TRUE,'ORDENES'!$A884&lt;&gt;""),1,0)</f>
        <v/>
      </c>
      <c r="L888" s="24">
        <f>IF(K888=1,IFERROR(MATCH('ORDENES'!$S884,lista_dias,0),9)*1000000000+IFERROR(MATCH('ORDENES'!$AI884,lista_turnos,0),9)*10000000+IFERROR(MATCH('ORDENES'!$AH884,'TECNICOS'!$B$4:$B$19,0),99)*100000+881,9000000000000+881)</f>
        <v/>
      </c>
      <c r="M888" s="24">
        <f>IF(K888=1,SUMPRODUCT(--($L$8:$L$1207&lt;L888))+1,"")</f>
        <v/>
      </c>
      <c r="N888" s="25">
        <f>IF(K888=1,N('ORDENES'!$M884),0)</f>
        <v/>
      </c>
      <c r="O888" s="25">
        <f>IF('ORDENES'!$U884="preventiva",N888,0)</f>
        <v/>
      </c>
      <c r="P888" s="25">
        <f>IF('ORDENES'!$U884="correctiva",N888,0)</f>
        <v/>
      </c>
      <c r="Q888" s="24">
        <f>IF(AND(K888=1,'ORDENES'!$N884="Pendiente"),1,0)</f>
        <v/>
      </c>
      <c r="R888" s="24">
        <f>IF(Q888=1,100000-N888*1000+881*0.01,9000000000000+881)</f>
        <v/>
      </c>
      <c r="S888" s="24">
        <f>IF(Q888=1,SUMPRODUCT(--($R$8:$R$1207&lt;R888))+1,"")</f>
        <v/>
      </c>
      <c r="T888" s="30">
        <f>IF(K888=1,'ORDENES'!$J884,"")</f>
        <v/>
      </c>
    </row>
    <row r="889">
      <c r="K889" s="24">
        <f>IF(AND(IF($B$3="(todos)",TRUE,'ORDENES'!$O885=$B$3),IF($D$3="(todos)",TRUE,'ORDENES'!$AI885=$D$3),IF($F$3="(todos)",TRUE,'ORDENES'!$AA885=$F$3),IF($H$3="(todos)",TRUE,'ORDENES'!$Z885=$H$3),'ORDENES'!$AG885=TRUE,'ORDENES'!$A885&lt;&gt;""),1,0)</f>
        <v/>
      </c>
      <c r="L889" s="24">
        <f>IF(K889=1,IFERROR(MATCH('ORDENES'!$S885,lista_dias,0),9)*1000000000+IFERROR(MATCH('ORDENES'!$AI885,lista_turnos,0),9)*10000000+IFERROR(MATCH('ORDENES'!$AH885,'TECNICOS'!$B$4:$B$19,0),99)*100000+882,9000000000000+882)</f>
        <v/>
      </c>
      <c r="M889" s="24">
        <f>IF(K889=1,SUMPRODUCT(--($L$8:$L$1207&lt;L889))+1,"")</f>
        <v/>
      </c>
      <c r="N889" s="25">
        <f>IF(K889=1,N('ORDENES'!$M885),0)</f>
        <v/>
      </c>
      <c r="O889" s="25">
        <f>IF('ORDENES'!$U885="preventiva",N889,0)</f>
        <v/>
      </c>
      <c r="P889" s="25">
        <f>IF('ORDENES'!$U885="correctiva",N889,0)</f>
        <v/>
      </c>
      <c r="Q889" s="24">
        <f>IF(AND(K889=1,'ORDENES'!$N885="Pendiente"),1,0)</f>
        <v/>
      </c>
      <c r="R889" s="24">
        <f>IF(Q889=1,100000-N889*1000+882*0.01,9000000000000+882)</f>
        <v/>
      </c>
      <c r="S889" s="24">
        <f>IF(Q889=1,SUMPRODUCT(--($R$8:$R$1207&lt;R889))+1,"")</f>
        <v/>
      </c>
      <c r="T889" s="30">
        <f>IF(K889=1,'ORDENES'!$J885,"")</f>
        <v/>
      </c>
    </row>
    <row r="890">
      <c r="K890" s="24">
        <f>IF(AND(IF($B$3="(todos)",TRUE,'ORDENES'!$O886=$B$3),IF($D$3="(todos)",TRUE,'ORDENES'!$AI886=$D$3),IF($F$3="(todos)",TRUE,'ORDENES'!$AA886=$F$3),IF($H$3="(todos)",TRUE,'ORDENES'!$Z886=$H$3),'ORDENES'!$AG886=TRUE,'ORDENES'!$A886&lt;&gt;""),1,0)</f>
        <v/>
      </c>
      <c r="L890" s="24">
        <f>IF(K890=1,IFERROR(MATCH('ORDENES'!$S886,lista_dias,0),9)*1000000000+IFERROR(MATCH('ORDENES'!$AI886,lista_turnos,0),9)*10000000+IFERROR(MATCH('ORDENES'!$AH886,'TECNICOS'!$B$4:$B$19,0),99)*100000+883,9000000000000+883)</f>
        <v/>
      </c>
      <c r="M890" s="24">
        <f>IF(K890=1,SUMPRODUCT(--($L$8:$L$1207&lt;L890))+1,"")</f>
        <v/>
      </c>
      <c r="N890" s="25">
        <f>IF(K890=1,N('ORDENES'!$M886),0)</f>
        <v/>
      </c>
      <c r="O890" s="25">
        <f>IF('ORDENES'!$U886="preventiva",N890,0)</f>
        <v/>
      </c>
      <c r="P890" s="25">
        <f>IF('ORDENES'!$U886="correctiva",N890,0)</f>
        <v/>
      </c>
      <c r="Q890" s="24">
        <f>IF(AND(K890=1,'ORDENES'!$N886="Pendiente"),1,0)</f>
        <v/>
      </c>
      <c r="R890" s="24">
        <f>IF(Q890=1,100000-N890*1000+883*0.01,9000000000000+883)</f>
        <v/>
      </c>
      <c r="S890" s="24">
        <f>IF(Q890=1,SUMPRODUCT(--($R$8:$R$1207&lt;R890))+1,"")</f>
        <v/>
      </c>
      <c r="T890" s="30">
        <f>IF(K890=1,'ORDENES'!$J886,"")</f>
        <v/>
      </c>
    </row>
    <row r="891">
      <c r="K891" s="24">
        <f>IF(AND(IF($B$3="(todos)",TRUE,'ORDENES'!$O887=$B$3),IF($D$3="(todos)",TRUE,'ORDENES'!$AI887=$D$3),IF($F$3="(todos)",TRUE,'ORDENES'!$AA887=$F$3),IF($H$3="(todos)",TRUE,'ORDENES'!$Z887=$H$3),'ORDENES'!$AG887=TRUE,'ORDENES'!$A887&lt;&gt;""),1,0)</f>
        <v/>
      </c>
      <c r="L891" s="24">
        <f>IF(K891=1,IFERROR(MATCH('ORDENES'!$S887,lista_dias,0),9)*1000000000+IFERROR(MATCH('ORDENES'!$AI887,lista_turnos,0),9)*10000000+IFERROR(MATCH('ORDENES'!$AH887,'TECNICOS'!$B$4:$B$19,0),99)*100000+884,9000000000000+884)</f>
        <v/>
      </c>
      <c r="M891" s="24">
        <f>IF(K891=1,SUMPRODUCT(--($L$8:$L$1207&lt;L891))+1,"")</f>
        <v/>
      </c>
      <c r="N891" s="25">
        <f>IF(K891=1,N('ORDENES'!$M887),0)</f>
        <v/>
      </c>
      <c r="O891" s="25">
        <f>IF('ORDENES'!$U887="preventiva",N891,0)</f>
        <v/>
      </c>
      <c r="P891" s="25">
        <f>IF('ORDENES'!$U887="correctiva",N891,0)</f>
        <v/>
      </c>
      <c r="Q891" s="24">
        <f>IF(AND(K891=1,'ORDENES'!$N887="Pendiente"),1,0)</f>
        <v/>
      </c>
      <c r="R891" s="24">
        <f>IF(Q891=1,100000-N891*1000+884*0.01,9000000000000+884)</f>
        <v/>
      </c>
      <c r="S891" s="24">
        <f>IF(Q891=1,SUMPRODUCT(--($R$8:$R$1207&lt;R891))+1,"")</f>
        <v/>
      </c>
      <c r="T891" s="30">
        <f>IF(K891=1,'ORDENES'!$J887,"")</f>
        <v/>
      </c>
    </row>
    <row r="892">
      <c r="K892" s="24">
        <f>IF(AND(IF($B$3="(todos)",TRUE,'ORDENES'!$O888=$B$3),IF($D$3="(todos)",TRUE,'ORDENES'!$AI888=$D$3),IF($F$3="(todos)",TRUE,'ORDENES'!$AA888=$F$3),IF($H$3="(todos)",TRUE,'ORDENES'!$Z888=$H$3),'ORDENES'!$AG888=TRUE,'ORDENES'!$A888&lt;&gt;""),1,0)</f>
        <v/>
      </c>
      <c r="L892" s="24">
        <f>IF(K892=1,IFERROR(MATCH('ORDENES'!$S888,lista_dias,0),9)*1000000000+IFERROR(MATCH('ORDENES'!$AI888,lista_turnos,0),9)*10000000+IFERROR(MATCH('ORDENES'!$AH888,'TECNICOS'!$B$4:$B$19,0),99)*100000+885,9000000000000+885)</f>
        <v/>
      </c>
      <c r="M892" s="24">
        <f>IF(K892=1,SUMPRODUCT(--($L$8:$L$1207&lt;L892))+1,"")</f>
        <v/>
      </c>
      <c r="N892" s="25">
        <f>IF(K892=1,N('ORDENES'!$M888),0)</f>
        <v/>
      </c>
      <c r="O892" s="25">
        <f>IF('ORDENES'!$U888="preventiva",N892,0)</f>
        <v/>
      </c>
      <c r="P892" s="25">
        <f>IF('ORDENES'!$U888="correctiva",N892,0)</f>
        <v/>
      </c>
      <c r="Q892" s="24">
        <f>IF(AND(K892=1,'ORDENES'!$N888="Pendiente"),1,0)</f>
        <v/>
      </c>
      <c r="R892" s="24">
        <f>IF(Q892=1,100000-N892*1000+885*0.01,9000000000000+885)</f>
        <v/>
      </c>
      <c r="S892" s="24">
        <f>IF(Q892=1,SUMPRODUCT(--($R$8:$R$1207&lt;R892))+1,"")</f>
        <v/>
      </c>
      <c r="T892" s="30">
        <f>IF(K892=1,'ORDENES'!$J888,"")</f>
        <v/>
      </c>
    </row>
    <row r="893">
      <c r="K893" s="24">
        <f>IF(AND(IF($B$3="(todos)",TRUE,'ORDENES'!$O889=$B$3),IF($D$3="(todos)",TRUE,'ORDENES'!$AI889=$D$3),IF($F$3="(todos)",TRUE,'ORDENES'!$AA889=$F$3),IF($H$3="(todos)",TRUE,'ORDENES'!$Z889=$H$3),'ORDENES'!$AG889=TRUE,'ORDENES'!$A889&lt;&gt;""),1,0)</f>
        <v/>
      </c>
      <c r="L893" s="24">
        <f>IF(K893=1,IFERROR(MATCH('ORDENES'!$S889,lista_dias,0),9)*1000000000+IFERROR(MATCH('ORDENES'!$AI889,lista_turnos,0),9)*10000000+IFERROR(MATCH('ORDENES'!$AH889,'TECNICOS'!$B$4:$B$19,0),99)*100000+886,9000000000000+886)</f>
        <v/>
      </c>
      <c r="M893" s="24">
        <f>IF(K893=1,SUMPRODUCT(--($L$8:$L$1207&lt;L893))+1,"")</f>
        <v/>
      </c>
      <c r="N893" s="25">
        <f>IF(K893=1,N('ORDENES'!$M889),0)</f>
        <v/>
      </c>
      <c r="O893" s="25">
        <f>IF('ORDENES'!$U889="preventiva",N893,0)</f>
        <v/>
      </c>
      <c r="P893" s="25">
        <f>IF('ORDENES'!$U889="correctiva",N893,0)</f>
        <v/>
      </c>
      <c r="Q893" s="24">
        <f>IF(AND(K893=1,'ORDENES'!$N889="Pendiente"),1,0)</f>
        <v/>
      </c>
      <c r="R893" s="24">
        <f>IF(Q893=1,100000-N893*1000+886*0.01,9000000000000+886)</f>
        <v/>
      </c>
      <c r="S893" s="24">
        <f>IF(Q893=1,SUMPRODUCT(--($R$8:$R$1207&lt;R893))+1,"")</f>
        <v/>
      </c>
      <c r="T893" s="30">
        <f>IF(K893=1,'ORDENES'!$J889,"")</f>
        <v/>
      </c>
    </row>
    <row r="894">
      <c r="K894" s="24">
        <f>IF(AND(IF($B$3="(todos)",TRUE,'ORDENES'!$O890=$B$3),IF($D$3="(todos)",TRUE,'ORDENES'!$AI890=$D$3),IF($F$3="(todos)",TRUE,'ORDENES'!$AA890=$F$3),IF($H$3="(todos)",TRUE,'ORDENES'!$Z890=$H$3),'ORDENES'!$AG890=TRUE,'ORDENES'!$A890&lt;&gt;""),1,0)</f>
        <v/>
      </c>
      <c r="L894" s="24">
        <f>IF(K894=1,IFERROR(MATCH('ORDENES'!$S890,lista_dias,0),9)*1000000000+IFERROR(MATCH('ORDENES'!$AI890,lista_turnos,0),9)*10000000+IFERROR(MATCH('ORDENES'!$AH890,'TECNICOS'!$B$4:$B$19,0),99)*100000+887,9000000000000+887)</f>
        <v/>
      </c>
      <c r="M894" s="24">
        <f>IF(K894=1,SUMPRODUCT(--($L$8:$L$1207&lt;L894))+1,"")</f>
        <v/>
      </c>
      <c r="N894" s="25">
        <f>IF(K894=1,N('ORDENES'!$M890),0)</f>
        <v/>
      </c>
      <c r="O894" s="25">
        <f>IF('ORDENES'!$U890="preventiva",N894,0)</f>
        <v/>
      </c>
      <c r="P894" s="25">
        <f>IF('ORDENES'!$U890="correctiva",N894,0)</f>
        <v/>
      </c>
      <c r="Q894" s="24">
        <f>IF(AND(K894=1,'ORDENES'!$N890="Pendiente"),1,0)</f>
        <v/>
      </c>
      <c r="R894" s="24">
        <f>IF(Q894=1,100000-N894*1000+887*0.01,9000000000000+887)</f>
        <v/>
      </c>
      <c r="S894" s="24">
        <f>IF(Q894=1,SUMPRODUCT(--($R$8:$R$1207&lt;R894))+1,"")</f>
        <v/>
      </c>
      <c r="T894" s="30">
        <f>IF(K894=1,'ORDENES'!$J890,"")</f>
        <v/>
      </c>
    </row>
    <row r="895">
      <c r="K895" s="24">
        <f>IF(AND(IF($B$3="(todos)",TRUE,'ORDENES'!$O891=$B$3),IF($D$3="(todos)",TRUE,'ORDENES'!$AI891=$D$3),IF($F$3="(todos)",TRUE,'ORDENES'!$AA891=$F$3),IF($H$3="(todos)",TRUE,'ORDENES'!$Z891=$H$3),'ORDENES'!$AG891=TRUE,'ORDENES'!$A891&lt;&gt;""),1,0)</f>
        <v/>
      </c>
      <c r="L895" s="24">
        <f>IF(K895=1,IFERROR(MATCH('ORDENES'!$S891,lista_dias,0),9)*1000000000+IFERROR(MATCH('ORDENES'!$AI891,lista_turnos,0),9)*10000000+IFERROR(MATCH('ORDENES'!$AH891,'TECNICOS'!$B$4:$B$19,0),99)*100000+888,9000000000000+888)</f>
        <v/>
      </c>
      <c r="M895" s="24">
        <f>IF(K895=1,SUMPRODUCT(--($L$8:$L$1207&lt;L895))+1,"")</f>
        <v/>
      </c>
      <c r="N895" s="25">
        <f>IF(K895=1,N('ORDENES'!$M891),0)</f>
        <v/>
      </c>
      <c r="O895" s="25">
        <f>IF('ORDENES'!$U891="preventiva",N895,0)</f>
        <v/>
      </c>
      <c r="P895" s="25">
        <f>IF('ORDENES'!$U891="correctiva",N895,0)</f>
        <v/>
      </c>
      <c r="Q895" s="24">
        <f>IF(AND(K895=1,'ORDENES'!$N891="Pendiente"),1,0)</f>
        <v/>
      </c>
      <c r="R895" s="24">
        <f>IF(Q895=1,100000-N895*1000+888*0.01,9000000000000+888)</f>
        <v/>
      </c>
      <c r="S895" s="24">
        <f>IF(Q895=1,SUMPRODUCT(--($R$8:$R$1207&lt;R895))+1,"")</f>
        <v/>
      </c>
      <c r="T895" s="30">
        <f>IF(K895=1,'ORDENES'!$J891,"")</f>
        <v/>
      </c>
    </row>
    <row r="896">
      <c r="K896" s="24">
        <f>IF(AND(IF($B$3="(todos)",TRUE,'ORDENES'!$O892=$B$3),IF($D$3="(todos)",TRUE,'ORDENES'!$AI892=$D$3),IF($F$3="(todos)",TRUE,'ORDENES'!$AA892=$F$3),IF($H$3="(todos)",TRUE,'ORDENES'!$Z892=$H$3),'ORDENES'!$AG892=TRUE,'ORDENES'!$A892&lt;&gt;""),1,0)</f>
        <v/>
      </c>
      <c r="L896" s="24">
        <f>IF(K896=1,IFERROR(MATCH('ORDENES'!$S892,lista_dias,0),9)*1000000000+IFERROR(MATCH('ORDENES'!$AI892,lista_turnos,0),9)*10000000+IFERROR(MATCH('ORDENES'!$AH892,'TECNICOS'!$B$4:$B$19,0),99)*100000+889,9000000000000+889)</f>
        <v/>
      </c>
      <c r="M896" s="24">
        <f>IF(K896=1,SUMPRODUCT(--($L$8:$L$1207&lt;L896))+1,"")</f>
        <v/>
      </c>
      <c r="N896" s="25">
        <f>IF(K896=1,N('ORDENES'!$M892),0)</f>
        <v/>
      </c>
      <c r="O896" s="25">
        <f>IF('ORDENES'!$U892="preventiva",N896,0)</f>
        <v/>
      </c>
      <c r="P896" s="25">
        <f>IF('ORDENES'!$U892="correctiva",N896,0)</f>
        <v/>
      </c>
      <c r="Q896" s="24">
        <f>IF(AND(K896=1,'ORDENES'!$N892="Pendiente"),1,0)</f>
        <v/>
      </c>
      <c r="R896" s="24">
        <f>IF(Q896=1,100000-N896*1000+889*0.01,9000000000000+889)</f>
        <v/>
      </c>
      <c r="S896" s="24">
        <f>IF(Q896=1,SUMPRODUCT(--($R$8:$R$1207&lt;R896))+1,"")</f>
        <v/>
      </c>
      <c r="T896" s="30">
        <f>IF(K896=1,'ORDENES'!$J892,"")</f>
        <v/>
      </c>
    </row>
    <row r="897">
      <c r="K897" s="24">
        <f>IF(AND(IF($B$3="(todos)",TRUE,'ORDENES'!$O893=$B$3),IF($D$3="(todos)",TRUE,'ORDENES'!$AI893=$D$3),IF($F$3="(todos)",TRUE,'ORDENES'!$AA893=$F$3),IF($H$3="(todos)",TRUE,'ORDENES'!$Z893=$H$3),'ORDENES'!$AG893=TRUE,'ORDENES'!$A893&lt;&gt;""),1,0)</f>
        <v/>
      </c>
      <c r="L897" s="24">
        <f>IF(K897=1,IFERROR(MATCH('ORDENES'!$S893,lista_dias,0),9)*1000000000+IFERROR(MATCH('ORDENES'!$AI893,lista_turnos,0),9)*10000000+IFERROR(MATCH('ORDENES'!$AH893,'TECNICOS'!$B$4:$B$19,0),99)*100000+890,9000000000000+890)</f>
        <v/>
      </c>
      <c r="M897" s="24">
        <f>IF(K897=1,SUMPRODUCT(--($L$8:$L$1207&lt;L897))+1,"")</f>
        <v/>
      </c>
      <c r="N897" s="25">
        <f>IF(K897=1,N('ORDENES'!$M893),0)</f>
        <v/>
      </c>
      <c r="O897" s="25">
        <f>IF('ORDENES'!$U893="preventiva",N897,0)</f>
        <v/>
      </c>
      <c r="P897" s="25">
        <f>IF('ORDENES'!$U893="correctiva",N897,0)</f>
        <v/>
      </c>
      <c r="Q897" s="24">
        <f>IF(AND(K897=1,'ORDENES'!$N893="Pendiente"),1,0)</f>
        <v/>
      </c>
      <c r="R897" s="24">
        <f>IF(Q897=1,100000-N897*1000+890*0.01,9000000000000+890)</f>
        <v/>
      </c>
      <c r="S897" s="24">
        <f>IF(Q897=1,SUMPRODUCT(--($R$8:$R$1207&lt;R897))+1,"")</f>
        <v/>
      </c>
      <c r="T897" s="30">
        <f>IF(K897=1,'ORDENES'!$J893,"")</f>
        <v/>
      </c>
    </row>
    <row r="898">
      <c r="K898" s="24">
        <f>IF(AND(IF($B$3="(todos)",TRUE,'ORDENES'!$O894=$B$3),IF($D$3="(todos)",TRUE,'ORDENES'!$AI894=$D$3),IF($F$3="(todos)",TRUE,'ORDENES'!$AA894=$F$3),IF($H$3="(todos)",TRUE,'ORDENES'!$Z894=$H$3),'ORDENES'!$AG894=TRUE,'ORDENES'!$A894&lt;&gt;""),1,0)</f>
        <v/>
      </c>
      <c r="L898" s="24">
        <f>IF(K898=1,IFERROR(MATCH('ORDENES'!$S894,lista_dias,0),9)*1000000000+IFERROR(MATCH('ORDENES'!$AI894,lista_turnos,0),9)*10000000+IFERROR(MATCH('ORDENES'!$AH894,'TECNICOS'!$B$4:$B$19,0),99)*100000+891,9000000000000+891)</f>
        <v/>
      </c>
      <c r="M898" s="24">
        <f>IF(K898=1,SUMPRODUCT(--($L$8:$L$1207&lt;L898))+1,"")</f>
        <v/>
      </c>
      <c r="N898" s="25">
        <f>IF(K898=1,N('ORDENES'!$M894),0)</f>
        <v/>
      </c>
      <c r="O898" s="25">
        <f>IF('ORDENES'!$U894="preventiva",N898,0)</f>
        <v/>
      </c>
      <c r="P898" s="25">
        <f>IF('ORDENES'!$U894="correctiva",N898,0)</f>
        <v/>
      </c>
      <c r="Q898" s="24">
        <f>IF(AND(K898=1,'ORDENES'!$N894="Pendiente"),1,0)</f>
        <v/>
      </c>
      <c r="R898" s="24">
        <f>IF(Q898=1,100000-N898*1000+891*0.01,9000000000000+891)</f>
        <v/>
      </c>
      <c r="S898" s="24">
        <f>IF(Q898=1,SUMPRODUCT(--($R$8:$R$1207&lt;R898))+1,"")</f>
        <v/>
      </c>
      <c r="T898" s="30">
        <f>IF(K898=1,'ORDENES'!$J894,"")</f>
        <v/>
      </c>
    </row>
    <row r="899">
      <c r="K899" s="24">
        <f>IF(AND(IF($B$3="(todos)",TRUE,'ORDENES'!$O895=$B$3),IF($D$3="(todos)",TRUE,'ORDENES'!$AI895=$D$3),IF($F$3="(todos)",TRUE,'ORDENES'!$AA895=$F$3),IF($H$3="(todos)",TRUE,'ORDENES'!$Z895=$H$3),'ORDENES'!$AG895=TRUE,'ORDENES'!$A895&lt;&gt;""),1,0)</f>
        <v/>
      </c>
      <c r="L899" s="24">
        <f>IF(K899=1,IFERROR(MATCH('ORDENES'!$S895,lista_dias,0),9)*1000000000+IFERROR(MATCH('ORDENES'!$AI895,lista_turnos,0),9)*10000000+IFERROR(MATCH('ORDENES'!$AH895,'TECNICOS'!$B$4:$B$19,0),99)*100000+892,9000000000000+892)</f>
        <v/>
      </c>
      <c r="M899" s="24">
        <f>IF(K899=1,SUMPRODUCT(--($L$8:$L$1207&lt;L899))+1,"")</f>
        <v/>
      </c>
      <c r="N899" s="25">
        <f>IF(K899=1,N('ORDENES'!$M895),0)</f>
        <v/>
      </c>
      <c r="O899" s="25">
        <f>IF('ORDENES'!$U895="preventiva",N899,0)</f>
        <v/>
      </c>
      <c r="P899" s="25">
        <f>IF('ORDENES'!$U895="correctiva",N899,0)</f>
        <v/>
      </c>
      <c r="Q899" s="24">
        <f>IF(AND(K899=1,'ORDENES'!$N895="Pendiente"),1,0)</f>
        <v/>
      </c>
      <c r="R899" s="24">
        <f>IF(Q899=1,100000-N899*1000+892*0.01,9000000000000+892)</f>
        <v/>
      </c>
      <c r="S899" s="24">
        <f>IF(Q899=1,SUMPRODUCT(--($R$8:$R$1207&lt;R899))+1,"")</f>
        <v/>
      </c>
      <c r="T899" s="30">
        <f>IF(K899=1,'ORDENES'!$J895,"")</f>
        <v/>
      </c>
    </row>
    <row r="900">
      <c r="K900" s="24">
        <f>IF(AND(IF($B$3="(todos)",TRUE,'ORDENES'!$O896=$B$3),IF($D$3="(todos)",TRUE,'ORDENES'!$AI896=$D$3),IF($F$3="(todos)",TRUE,'ORDENES'!$AA896=$F$3),IF($H$3="(todos)",TRUE,'ORDENES'!$Z896=$H$3),'ORDENES'!$AG896=TRUE,'ORDENES'!$A896&lt;&gt;""),1,0)</f>
        <v/>
      </c>
      <c r="L900" s="24">
        <f>IF(K900=1,IFERROR(MATCH('ORDENES'!$S896,lista_dias,0),9)*1000000000+IFERROR(MATCH('ORDENES'!$AI896,lista_turnos,0),9)*10000000+IFERROR(MATCH('ORDENES'!$AH896,'TECNICOS'!$B$4:$B$19,0),99)*100000+893,9000000000000+893)</f>
        <v/>
      </c>
      <c r="M900" s="24">
        <f>IF(K900=1,SUMPRODUCT(--($L$8:$L$1207&lt;L900))+1,"")</f>
        <v/>
      </c>
      <c r="N900" s="25">
        <f>IF(K900=1,N('ORDENES'!$M896),0)</f>
        <v/>
      </c>
      <c r="O900" s="25">
        <f>IF('ORDENES'!$U896="preventiva",N900,0)</f>
        <v/>
      </c>
      <c r="P900" s="25">
        <f>IF('ORDENES'!$U896="correctiva",N900,0)</f>
        <v/>
      </c>
      <c r="Q900" s="24">
        <f>IF(AND(K900=1,'ORDENES'!$N896="Pendiente"),1,0)</f>
        <v/>
      </c>
      <c r="R900" s="24">
        <f>IF(Q900=1,100000-N900*1000+893*0.01,9000000000000+893)</f>
        <v/>
      </c>
      <c r="S900" s="24">
        <f>IF(Q900=1,SUMPRODUCT(--($R$8:$R$1207&lt;R900))+1,"")</f>
        <v/>
      </c>
      <c r="T900" s="30">
        <f>IF(K900=1,'ORDENES'!$J896,"")</f>
        <v/>
      </c>
    </row>
    <row r="901">
      <c r="K901" s="24">
        <f>IF(AND(IF($B$3="(todos)",TRUE,'ORDENES'!$O897=$B$3),IF($D$3="(todos)",TRUE,'ORDENES'!$AI897=$D$3),IF($F$3="(todos)",TRUE,'ORDENES'!$AA897=$F$3),IF($H$3="(todos)",TRUE,'ORDENES'!$Z897=$H$3),'ORDENES'!$AG897=TRUE,'ORDENES'!$A897&lt;&gt;""),1,0)</f>
        <v/>
      </c>
      <c r="L901" s="24">
        <f>IF(K901=1,IFERROR(MATCH('ORDENES'!$S897,lista_dias,0),9)*1000000000+IFERROR(MATCH('ORDENES'!$AI897,lista_turnos,0),9)*10000000+IFERROR(MATCH('ORDENES'!$AH897,'TECNICOS'!$B$4:$B$19,0),99)*100000+894,9000000000000+894)</f>
        <v/>
      </c>
      <c r="M901" s="24">
        <f>IF(K901=1,SUMPRODUCT(--($L$8:$L$1207&lt;L901))+1,"")</f>
        <v/>
      </c>
      <c r="N901" s="25">
        <f>IF(K901=1,N('ORDENES'!$M897),0)</f>
        <v/>
      </c>
      <c r="O901" s="25">
        <f>IF('ORDENES'!$U897="preventiva",N901,0)</f>
        <v/>
      </c>
      <c r="P901" s="25">
        <f>IF('ORDENES'!$U897="correctiva",N901,0)</f>
        <v/>
      </c>
      <c r="Q901" s="24">
        <f>IF(AND(K901=1,'ORDENES'!$N897="Pendiente"),1,0)</f>
        <v/>
      </c>
      <c r="R901" s="24">
        <f>IF(Q901=1,100000-N901*1000+894*0.01,9000000000000+894)</f>
        <v/>
      </c>
      <c r="S901" s="24">
        <f>IF(Q901=1,SUMPRODUCT(--($R$8:$R$1207&lt;R901))+1,"")</f>
        <v/>
      </c>
      <c r="T901" s="30">
        <f>IF(K901=1,'ORDENES'!$J897,"")</f>
        <v/>
      </c>
    </row>
    <row r="902">
      <c r="K902" s="24">
        <f>IF(AND(IF($B$3="(todos)",TRUE,'ORDENES'!$O898=$B$3),IF($D$3="(todos)",TRUE,'ORDENES'!$AI898=$D$3),IF($F$3="(todos)",TRUE,'ORDENES'!$AA898=$F$3),IF($H$3="(todos)",TRUE,'ORDENES'!$Z898=$H$3),'ORDENES'!$AG898=TRUE,'ORDENES'!$A898&lt;&gt;""),1,0)</f>
        <v/>
      </c>
      <c r="L902" s="24">
        <f>IF(K902=1,IFERROR(MATCH('ORDENES'!$S898,lista_dias,0),9)*1000000000+IFERROR(MATCH('ORDENES'!$AI898,lista_turnos,0),9)*10000000+IFERROR(MATCH('ORDENES'!$AH898,'TECNICOS'!$B$4:$B$19,0),99)*100000+895,9000000000000+895)</f>
        <v/>
      </c>
      <c r="M902" s="24">
        <f>IF(K902=1,SUMPRODUCT(--($L$8:$L$1207&lt;L902))+1,"")</f>
        <v/>
      </c>
      <c r="N902" s="25">
        <f>IF(K902=1,N('ORDENES'!$M898),0)</f>
        <v/>
      </c>
      <c r="O902" s="25">
        <f>IF('ORDENES'!$U898="preventiva",N902,0)</f>
        <v/>
      </c>
      <c r="P902" s="25">
        <f>IF('ORDENES'!$U898="correctiva",N902,0)</f>
        <v/>
      </c>
      <c r="Q902" s="24">
        <f>IF(AND(K902=1,'ORDENES'!$N898="Pendiente"),1,0)</f>
        <v/>
      </c>
      <c r="R902" s="24">
        <f>IF(Q902=1,100000-N902*1000+895*0.01,9000000000000+895)</f>
        <v/>
      </c>
      <c r="S902" s="24">
        <f>IF(Q902=1,SUMPRODUCT(--($R$8:$R$1207&lt;R902))+1,"")</f>
        <v/>
      </c>
      <c r="T902" s="30">
        <f>IF(K902=1,'ORDENES'!$J898,"")</f>
        <v/>
      </c>
    </row>
    <row r="903">
      <c r="K903" s="24">
        <f>IF(AND(IF($B$3="(todos)",TRUE,'ORDENES'!$O899=$B$3),IF($D$3="(todos)",TRUE,'ORDENES'!$AI899=$D$3),IF($F$3="(todos)",TRUE,'ORDENES'!$AA899=$F$3),IF($H$3="(todos)",TRUE,'ORDENES'!$Z899=$H$3),'ORDENES'!$AG899=TRUE,'ORDENES'!$A899&lt;&gt;""),1,0)</f>
        <v/>
      </c>
      <c r="L903" s="24">
        <f>IF(K903=1,IFERROR(MATCH('ORDENES'!$S899,lista_dias,0),9)*1000000000+IFERROR(MATCH('ORDENES'!$AI899,lista_turnos,0),9)*10000000+IFERROR(MATCH('ORDENES'!$AH899,'TECNICOS'!$B$4:$B$19,0),99)*100000+896,9000000000000+896)</f>
        <v/>
      </c>
      <c r="M903" s="24">
        <f>IF(K903=1,SUMPRODUCT(--($L$8:$L$1207&lt;L903))+1,"")</f>
        <v/>
      </c>
      <c r="N903" s="25">
        <f>IF(K903=1,N('ORDENES'!$M899),0)</f>
        <v/>
      </c>
      <c r="O903" s="25">
        <f>IF('ORDENES'!$U899="preventiva",N903,0)</f>
        <v/>
      </c>
      <c r="P903" s="25">
        <f>IF('ORDENES'!$U899="correctiva",N903,0)</f>
        <v/>
      </c>
      <c r="Q903" s="24">
        <f>IF(AND(K903=1,'ORDENES'!$N899="Pendiente"),1,0)</f>
        <v/>
      </c>
      <c r="R903" s="24">
        <f>IF(Q903=1,100000-N903*1000+896*0.01,9000000000000+896)</f>
        <v/>
      </c>
      <c r="S903" s="24">
        <f>IF(Q903=1,SUMPRODUCT(--($R$8:$R$1207&lt;R903))+1,"")</f>
        <v/>
      </c>
      <c r="T903" s="30">
        <f>IF(K903=1,'ORDENES'!$J899,"")</f>
        <v/>
      </c>
    </row>
    <row r="904">
      <c r="K904" s="24">
        <f>IF(AND(IF($B$3="(todos)",TRUE,'ORDENES'!$O900=$B$3),IF($D$3="(todos)",TRUE,'ORDENES'!$AI900=$D$3),IF($F$3="(todos)",TRUE,'ORDENES'!$AA900=$F$3),IF($H$3="(todos)",TRUE,'ORDENES'!$Z900=$H$3),'ORDENES'!$AG900=TRUE,'ORDENES'!$A900&lt;&gt;""),1,0)</f>
        <v/>
      </c>
      <c r="L904" s="24">
        <f>IF(K904=1,IFERROR(MATCH('ORDENES'!$S900,lista_dias,0),9)*1000000000+IFERROR(MATCH('ORDENES'!$AI900,lista_turnos,0),9)*10000000+IFERROR(MATCH('ORDENES'!$AH900,'TECNICOS'!$B$4:$B$19,0),99)*100000+897,9000000000000+897)</f>
        <v/>
      </c>
      <c r="M904" s="24">
        <f>IF(K904=1,SUMPRODUCT(--($L$8:$L$1207&lt;L904))+1,"")</f>
        <v/>
      </c>
      <c r="N904" s="25">
        <f>IF(K904=1,N('ORDENES'!$M900),0)</f>
        <v/>
      </c>
      <c r="O904" s="25">
        <f>IF('ORDENES'!$U900="preventiva",N904,0)</f>
        <v/>
      </c>
      <c r="P904" s="25">
        <f>IF('ORDENES'!$U900="correctiva",N904,0)</f>
        <v/>
      </c>
      <c r="Q904" s="24">
        <f>IF(AND(K904=1,'ORDENES'!$N900="Pendiente"),1,0)</f>
        <v/>
      </c>
      <c r="R904" s="24">
        <f>IF(Q904=1,100000-N904*1000+897*0.01,9000000000000+897)</f>
        <v/>
      </c>
      <c r="S904" s="24">
        <f>IF(Q904=1,SUMPRODUCT(--($R$8:$R$1207&lt;R904))+1,"")</f>
        <v/>
      </c>
      <c r="T904" s="30">
        <f>IF(K904=1,'ORDENES'!$J900,"")</f>
        <v/>
      </c>
    </row>
    <row r="905">
      <c r="K905" s="24">
        <f>IF(AND(IF($B$3="(todos)",TRUE,'ORDENES'!$O901=$B$3),IF($D$3="(todos)",TRUE,'ORDENES'!$AI901=$D$3),IF($F$3="(todos)",TRUE,'ORDENES'!$AA901=$F$3),IF($H$3="(todos)",TRUE,'ORDENES'!$Z901=$H$3),'ORDENES'!$AG901=TRUE,'ORDENES'!$A901&lt;&gt;""),1,0)</f>
        <v/>
      </c>
      <c r="L905" s="24">
        <f>IF(K905=1,IFERROR(MATCH('ORDENES'!$S901,lista_dias,0),9)*1000000000+IFERROR(MATCH('ORDENES'!$AI901,lista_turnos,0),9)*10000000+IFERROR(MATCH('ORDENES'!$AH901,'TECNICOS'!$B$4:$B$19,0),99)*100000+898,9000000000000+898)</f>
        <v/>
      </c>
      <c r="M905" s="24">
        <f>IF(K905=1,SUMPRODUCT(--($L$8:$L$1207&lt;L905))+1,"")</f>
        <v/>
      </c>
      <c r="N905" s="25">
        <f>IF(K905=1,N('ORDENES'!$M901),0)</f>
        <v/>
      </c>
      <c r="O905" s="25">
        <f>IF('ORDENES'!$U901="preventiva",N905,0)</f>
        <v/>
      </c>
      <c r="P905" s="25">
        <f>IF('ORDENES'!$U901="correctiva",N905,0)</f>
        <v/>
      </c>
      <c r="Q905" s="24">
        <f>IF(AND(K905=1,'ORDENES'!$N901="Pendiente"),1,0)</f>
        <v/>
      </c>
      <c r="R905" s="24">
        <f>IF(Q905=1,100000-N905*1000+898*0.01,9000000000000+898)</f>
        <v/>
      </c>
      <c r="S905" s="24">
        <f>IF(Q905=1,SUMPRODUCT(--($R$8:$R$1207&lt;R905))+1,"")</f>
        <v/>
      </c>
      <c r="T905" s="30">
        <f>IF(K905=1,'ORDENES'!$J901,"")</f>
        <v/>
      </c>
    </row>
    <row r="906">
      <c r="K906" s="24">
        <f>IF(AND(IF($B$3="(todos)",TRUE,'ORDENES'!$O902=$B$3),IF($D$3="(todos)",TRUE,'ORDENES'!$AI902=$D$3),IF($F$3="(todos)",TRUE,'ORDENES'!$AA902=$F$3),IF($H$3="(todos)",TRUE,'ORDENES'!$Z902=$H$3),'ORDENES'!$AG902=TRUE,'ORDENES'!$A902&lt;&gt;""),1,0)</f>
        <v/>
      </c>
      <c r="L906" s="24">
        <f>IF(K906=1,IFERROR(MATCH('ORDENES'!$S902,lista_dias,0),9)*1000000000+IFERROR(MATCH('ORDENES'!$AI902,lista_turnos,0),9)*10000000+IFERROR(MATCH('ORDENES'!$AH902,'TECNICOS'!$B$4:$B$19,0),99)*100000+899,9000000000000+899)</f>
        <v/>
      </c>
      <c r="M906" s="24">
        <f>IF(K906=1,SUMPRODUCT(--($L$8:$L$1207&lt;L906))+1,"")</f>
        <v/>
      </c>
      <c r="N906" s="25">
        <f>IF(K906=1,N('ORDENES'!$M902),0)</f>
        <v/>
      </c>
      <c r="O906" s="25">
        <f>IF('ORDENES'!$U902="preventiva",N906,0)</f>
        <v/>
      </c>
      <c r="P906" s="25">
        <f>IF('ORDENES'!$U902="correctiva",N906,0)</f>
        <v/>
      </c>
      <c r="Q906" s="24">
        <f>IF(AND(K906=1,'ORDENES'!$N902="Pendiente"),1,0)</f>
        <v/>
      </c>
      <c r="R906" s="24">
        <f>IF(Q906=1,100000-N906*1000+899*0.01,9000000000000+899)</f>
        <v/>
      </c>
      <c r="S906" s="24">
        <f>IF(Q906=1,SUMPRODUCT(--($R$8:$R$1207&lt;R906))+1,"")</f>
        <v/>
      </c>
      <c r="T906" s="30">
        <f>IF(K906=1,'ORDENES'!$J902,"")</f>
        <v/>
      </c>
    </row>
    <row r="907">
      <c r="K907" s="24">
        <f>IF(AND(IF($B$3="(todos)",TRUE,'ORDENES'!$O903=$B$3),IF($D$3="(todos)",TRUE,'ORDENES'!$AI903=$D$3),IF($F$3="(todos)",TRUE,'ORDENES'!$AA903=$F$3),IF($H$3="(todos)",TRUE,'ORDENES'!$Z903=$H$3),'ORDENES'!$AG903=TRUE,'ORDENES'!$A903&lt;&gt;""),1,0)</f>
        <v/>
      </c>
      <c r="L907" s="24">
        <f>IF(K907=1,IFERROR(MATCH('ORDENES'!$S903,lista_dias,0),9)*1000000000+IFERROR(MATCH('ORDENES'!$AI903,lista_turnos,0),9)*10000000+IFERROR(MATCH('ORDENES'!$AH903,'TECNICOS'!$B$4:$B$19,0),99)*100000+900,9000000000000+900)</f>
        <v/>
      </c>
      <c r="M907" s="24">
        <f>IF(K907=1,SUMPRODUCT(--($L$8:$L$1207&lt;L907))+1,"")</f>
        <v/>
      </c>
      <c r="N907" s="25">
        <f>IF(K907=1,N('ORDENES'!$M903),0)</f>
        <v/>
      </c>
      <c r="O907" s="25">
        <f>IF('ORDENES'!$U903="preventiva",N907,0)</f>
        <v/>
      </c>
      <c r="P907" s="25">
        <f>IF('ORDENES'!$U903="correctiva",N907,0)</f>
        <v/>
      </c>
      <c r="Q907" s="24">
        <f>IF(AND(K907=1,'ORDENES'!$N903="Pendiente"),1,0)</f>
        <v/>
      </c>
      <c r="R907" s="24">
        <f>IF(Q907=1,100000-N907*1000+900*0.01,9000000000000+900)</f>
        <v/>
      </c>
      <c r="S907" s="24">
        <f>IF(Q907=1,SUMPRODUCT(--($R$8:$R$1207&lt;R907))+1,"")</f>
        <v/>
      </c>
      <c r="T907" s="30">
        <f>IF(K907=1,'ORDENES'!$J903,"")</f>
        <v/>
      </c>
    </row>
    <row r="908">
      <c r="K908" s="24">
        <f>IF(AND(IF($B$3="(todos)",TRUE,'ORDENES'!$O904=$B$3),IF($D$3="(todos)",TRUE,'ORDENES'!$AI904=$D$3),IF($F$3="(todos)",TRUE,'ORDENES'!$AA904=$F$3),IF($H$3="(todos)",TRUE,'ORDENES'!$Z904=$H$3),'ORDENES'!$AG904=TRUE,'ORDENES'!$A904&lt;&gt;""),1,0)</f>
        <v/>
      </c>
      <c r="L908" s="24">
        <f>IF(K908=1,IFERROR(MATCH('ORDENES'!$S904,lista_dias,0),9)*1000000000+IFERROR(MATCH('ORDENES'!$AI904,lista_turnos,0),9)*10000000+IFERROR(MATCH('ORDENES'!$AH904,'TECNICOS'!$B$4:$B$19,0),99)*100000+901,9000000000000+901)</f>
        <v/>
      </c>
      <c r="M908" s="24">
        <f>IF(K908=1,SUMPRODUCT(--($L$8:$L$1207&lt;L908))+1,"")</f>
        <v/>
      </c>
      <c r="N908" s="25">
        <f>IF(K908=1,N('ORDENES'!$M904),0)</f>
        <v/>
      </c>
      <c r="O908" s="25">
        <f>IF('ORDENES'!$U904="preventiva",N908,0)</f>
        <v/>
      </c>
      <c r="P908" s="25">
        <f>IF('ORDENES'!$U904="correctiva",N908,0)</f>
        <v/>
      </c>
      <c r="Q908" s="24">
        <f>IF(AND(K908=1,'ORDENES'!$N904="Pendiente"),1,0)</f>
        <v/>
      </c>
      <c r="R908" s="24">
        <f>IF(Q908=1,100000-N908*1000+901*0.01,9000000000000+901)</f>
        <v/>
      </c>
      <c r="S908" s="24">
        <f>IF(Q908=1,SUMPRODUCT(--($R$8:$R$1207&lt;R908))+1,"")</f>
        <v/>
      </c>
      <c r="T908" s="30">
        <f>IF(K908=1,'ORDENES'!$J904,"")</f>
        <v/>
      </c>
    </row>
    <row r="909">
      <c r="K909" s="24">
        <f>IF(AND(IF($B$3="(todos)",TRUE,'ORDENES'!$O905=$B$3),IF($D$3="(todos)",TRUE,'ORDENES'!$AI905=$D$3),IF($F$3="(todos)",TRUE,'ORDENES'!$AA905=$F$3),IF($H$3="(todos)",TRUE,'ORDENES'!$Z905=$H$3),'ORDENES'!$AG905=TRUE,'ORDENES'!$A905&lt;&gt;""),1,0)</f>
        <v/>
      </c>
      <c r="L909" s="24">
        <f>IF(K909=1,IFERROR(MATCH('ORDENES'!$S905,lista_dias,0),9)*1000000000+IFERROR(MATCH('ORDENES'!$AI905,lista_turnos,0),9)*10000000+IFERROR(MATCH('ORDENES'!$AH905,'TECNICOS'!$B$4:$B$19,0),99)*100000+902,9000000000000+902)</f>
        <v/>
      </c>
      <c r="M909" s="24">
        <f>IF(K909=1,SUMPRODUCT(--($L$8:$L$1207&lt;L909))+1,"")</f>
        <v/>
      </c>
      <c r="N909" s="25">
        <f>IF(K909=1,N('ORDENES'!$M905),0)</f>
        <v/>
      </c>
      <c r="O909" s="25">
        <f>IF('ORDENES'!$U905="preventiva",N909,0)</f>
        <v/>
      </c>
      <c r="P909" s="25">
        <f>IF('ORDENES'!$U905="correctiva",N909,0)</f>
        <v/>
      </c>
      <c r="Q909" s="24">
        <f>IF(AND(K909=1,'ORDENES'!$N905="Pendiente"),1,0)</f>
        <v/>
      </c>
      <c r="R909" s="24">
        <f>IF(Q909=1,100000-N909*1000+902*0.01,9000000000000+902)</f>
        <v/>
      </c>
      <c r="S909" s="24">
        <f>IF(Q909=1,SUMPRODUCT(--($R$8:$R$1207&lt;R909))+1,"")</f>
        <v/>
      </c>
      <c r="T909" s="30">
        <f>IF(K909=1,'ORDENES'!$J905,"")</f>
        <v/>
      </c>
    </row>
    <row r="910">
      <c r="K910" s="24">
        <f>IF(AND(IF($B$3="(todos)",TRUE,'ORDENES'!$O906=$B$3),IF($D$3="(todos)",TRUE,'ORDENES'!$AI906=$D$3),IF($F$3="(todos)",TRUE,'ORDENES'!$AA906=$F$3),IF($H$3="(todos)",TRUE,'ORDENES'!$Z906=$H$3),'ORDENES'!$AG906=TRUE,'ORDENES'!$A906&lt;&gt;""),1,0)</f>
        <v/>
      </c>
      <c r="L910" s="24">
        <f>IF(K910=1,IFERROR(MATCH('ORDENES'!$S906,lista_dias,0),9)*1000000000+IFERROR(MATCH('ORDENES'!$AI906,lista_turnos,0),9)*10000000+IFERROR(MATCH('ORDENES'!$AH906,'TECNICOS'!$B$4:$B$19,0),99)*100000+903,9000000000000+903)</f>
        <v/>
      </c>
      <c r="M910" s="24">
        <f>IF(K910=1,SUMPRODUCT(--($L$8:$L$1207&lt;L910))+1,"")</f>
        <v/>
      </c>
      <c r="N910" s="25">
        <f>IF(K910=1,N('ORDENES'!$M906),0)</f>
        <v/>
      </c>
      <c r="O910" s="25">
        <f>IF('ORDENES'!$U906="preventiva",N910,0)</f>
        <v/>
      </c>
      <c r="P910" s="25">
        <f>IF('ORDENES'!$U906="correctiva",N910,0)</f>
        <v/>
      </c>
      <c r="Q910" s="24">
        <f>IF(AND(K910=1,'ORDENES'!$N906="Pendiente"),1,0)</f>
        <v/>
      </c>
      <c r="R910" s="24">
        <f>IF(Q910=1,100000-N910*1000+903*0.01,9000000000000+903)</f>
        <v/>
      </c>
      <c r="S910" s="24">
        <f>IF(Q910=1,SUMPRODUCT(--($R$8:$R$1207&lt;R910))+1,"")</f>
        <v/>
      </c>
      <c r="T910" s="30">
        <f>IF(K910=1,'ORDENES'!$J906,"")</f>
        <v/>
      </c>
    </row>
    <row r="911">
      <c r="K911" s="24">
        <f>IF(AND(IF($B$3="(todos)",TRUE,'ORDENES'!$O907=$B$3),IF($D$3="(todos)",TRUE,'ORDENES'!$AI907=$D$3),IF($F$3="(todos)",TRUE,'ORDENES'!$AA907=$F$3),IF($H$3="(todos)",TRUE,'ORDENES'!$Z907=$H$3),'ORDENES'!$AG907=TRUE,'ORDENES'!$A907&lt;&gt;""),1,0)</f>
        <v/>
      </c>
      <c r="L911" s="24">
        <f>IF(K911=1,IFERROR(MATCH('ORDENES'!$S907,lista_dias,0),9)*1000000000+IFERROR(MATCH('ORDENES'!$AI907,lista_turnos,0),9)*10000000+IFERROR(MATCH('ORDENES'!$AH907,'TECNICOS'!$B$4:$B$19,0),99)*100000+904,9000000000000+904)</f>
        <v/>
      </c>
      <c r="M911" s="24">
        <f>IF(K911=1,SUMPRODUCT(--($L$8:$L$1207&lt;L911))+1,"")</f>
        <v/>
      </c>
      <c r="N911" s="25">
        <f>IF(K911=1,N('ORDENES'!$M907),0)</f>
        <v/>
      </c>
      <c r="O911" s="25">
        <f>IF('ORDENES'!$U907="preventiva",N911,0)</f>
        <v/>
      </c>
      <c r="P911" s="25">
        <f>IF('ORDENES'!$U907="correctiva",N911,0)</f>
        <v/>
      </c>
      <c r="Q911" s="24">
        <f>IF(AND(K911=1,'ORDENES'!$N907="Pendiente"),1,0)</f>
        <v/>
      </c>
      <c r="R911" s="24">
        <f>IF(Q911=1,100000-N911*1000+904*0.01,9000000000000+904)</f>
        <v/>
      </c>
      <c r="S911" s="24">
        <f>IF(Q911=1,SUMPRODUCT(--($R$8:$R$1207&lt;R911))+1,"")</f>
        <v/>
      </c>
      <c r="T911" s="30">
        <f>IF(K911=1,'ORDENES'!$J907,"")</f>
        <v/>
      </c>
    </row>
    <row r="912">
      <c r="K912" s="24">
        <f>IF(AND(IF($B$3="(todos)",TRUE,'ORDENES'!$O908=$B$3),IF($D$3="(todos)",TRUE,'ORDENES'!$AI908=$D$3),IF($F$3="(todos)",TRUE,'ORDENES'!$AA908=$F$3),IF($H$3="(todos)",TRUE,'ORDENES'!$Z908=$H$3),'ORDENES'!$AG908=TRUE,'ORDENES'!$A908&lt;&gt;""),1,0)</f>
        <v/>
      </c>
      <c r="L912" s="24">
        <f>IF(K912=1,IFERROR(MATCH('ORDENES'!$S908,lista_dias,0),9)*1000000000+IFERROR(MATCH('ORDENES'!$AI908,lista_turnos,0),9)*10000000+IFERROR(MATCH('ORDENES'!$AH908,'TECNICOS'!$B$4:$B$19,0),99)*100000+905,9000000000000+905)</f>
        <v/>
      </c>
      <c r="M912" s="24">
        <f>IF(K912=1,SUMPRODUCT(--($L$8:$L$1207&lt;L912))+1,"")</f>
        <v/>
      </c>
      <c r="N912" s="25">
        <f>IF(K912=1,N('ORDENES'!$M908),0)</f>
        <v/>
      </c>
      <c r="O912" s="25">
        <f>IF('ORDENES'!$U908="preventiva",N912,0)</f>
        <v/>
      </c>
      <c r="P912" s="25">
        <f>IF('ORDENES'!$U908="correctiva",N912,0)</f>
        <v/>
      </c>
      <c r="Q912" s="24">
        <f>IF(AND(K912=1,'ORDENES'!$N908="Pendiente"),1,0)</f>
        <v/>
      </c>
      <c r="R912" s="24">
        <f>IF(Q912=1,100000-N912*1000+905*0.01,9000000000000+905)</f>
        <v/>
      </c>
      <c r="S912" s="24">
        <f>IF(Q912=1,SUMPRODUCT(--($R$8:$R$1207&lt;R912))+1,"")</f>
        <v/>
      </c>
      <c r="T912" s="30">
        <f>IF(K912=1,'ORDENES'!$J908,"")</f>
        <v/>
      </c>
    </row>
    <row r="913">
      <c r="K913" s="24">
        <f>IF(AND(IF($B$3="(todos)",TRUE,'ORDENES'!$O909=$B$3),IF($D$3="(todos)",TRUE,'ORDENES'!$AI909=$D$3),IF($F$3="(todos)",TRUE,'ORDENES'!$AA909=$F$3),IF($H$3="(todos)",TRUE,'ORDENES'!$Z909=$H$3),'ORDENES'!$AG909=TRUE,'ORDENES'!$A909&lt;&gt;""),1,0)</f>
        <v/>
      </c>
      <c r="L913" s="24">
        <f>IF(K913=1,IFERROR(MATCH('ORDENES'!$S909,lista_dias,0),9)*1000000000+IFERROR(MATCH('ORDENES'!$AI909,lista_turnos,0),9)*10000000+IFERROR(MATCH('ORDENES'!$AH909,'TECNICOS'!$B$4:$B$19,0),99)*100000+906,9000000000000+906)</f>
        <v/>
      </c>
      <c r="M913" s="24">
        <f>IF(K913=1,SUMPRODUCT(--($L$8:$L$1207&lt;L913))+1,"")</f>
        <v/>
      </c>
      <c r="N913" s="25">
        <f>IF(K913=1,N('ORDENES'!$M909),0)</f>
        <v/>
      </c>
      <c r="O913" s="25">
        <f>IF('ORDENES'!$U909="preventiva",N913,0)</f>
        <v/>
      </c>
      <c r="P913" s="25">
        <f>IF('ORDENES'!$U909="correctiva",N913,0)</f>
        <v/>
      </c>
      <c r="Q913" s="24">
        <f>IF(AND(K913=1,'ORDENES'!$N909="Pendiente"),1,0)</f>
        <v/>
      </c>
      <c r="R913" s="24">
        <f>IF(Q913=1,100000-N913*1000+906*0.01,9000000000000+906)</f>
        <v/>
      </c>
      <c r="S913" s="24">
        <f>IF(Q913=1,SUMPRODUCT(--($R$8:$R$1207&lt;R913))+1,"")</f>
        <v/>
      </c>
      <c r="T913" s="30">
        <f>IF(K913=1,'ORDENES'!$J909,"")</f>
        <v/>
      </c>
    </row>
    <row r="914">
      <c r="K914" s="24">
        <f>IF(AND(IF($B$3="(todos)",TRUE,'ORDENES'!$O910=$B$3),IF($D$3="(todos)",TRUE,'ORDENES'!$AI910=$D$3),IF($F$3="(todos)",TRUE,'ORDENES'!$AA910=$F$3),IF($H$3="(todos)",TRUE,'ORDENES'!$Z910=$H$3),'ORDENES'!$AG910=TRUE,'ORDENES'!$A910&lt;&gt;""),1,0)</f>
        <v/>
      </c>
      <c r="L914" s="24">
        <f>IF(K914=1,IFERROR(MATCH('ORDENES'!$S910,lista_dias,0),9)*1000000000+IFERROR(MATCH('ORDENES'!$AI910,lista_turnos,0),9)*10000000+IFERROR(MATCH('ORDENES'!$AH910,'TECNICOS'!$B$4:$B$19,0),99)*100000+907,9000000000000+907)</f>
        <v/>
      </c>
      <c r="M914" s="24">
        <f>IF(K914=1,SUMPRODUCT(--($L$8:$L$1207&lt;L914))+1,"")</f>
        <v/>
      </c>
      <c r="N914" s="25">
        <f>IF(K914=1,N('ORDENES'!$M910),0)</f>
        <v/>
      </c>
      <c r="O914" s="25">
        <f>IF('ORDENES'!$U910="preventiva",N914,0)</f>
        <v/>
      </c>
      <c r="P914" s="25">
        <f>IF('ORDENES'!$U910="correctiva",N914,0)</f>
        <v/>
      </c>
      <c r="Q914" s="24">
        <f>IF(AND(K914=1,'ORDENES'!$N910="Pendiente"),1,0)</f>
        <v/>
      </c>
      <c r="R914" s="24">
        <f>IF(Q914=1,100000-N914*1000+907*0.01,9000000000000+907)</f>
        <v/>
      </c>
      <c r="S914" s="24">
        <f>IF(Q914=1,SUMPRODUCT(--($R$8:$R$1207&lt;R914))+1,"")</f>
        <v/>
      </c>
      <c r="T914" s="30">
        <f>IF(K914=1,'ORDENES'!$J910,"")</f>
        <v/>
      </c>
    </row>
    <row r="915">
      <c r="K915" s="24">
        <f>IF(AND(IF($B$3="(todos)",TRUE,'ORDENES'!$O911=$B$3),IF($D$3="(todos)",TRUE,'ORDENES'!$AI911=$D$3),IF($F$3="(todos)",TRUE,'ORDENES'!$AA911=$F$3),IF($H$3="(todos)",TRUE,'ORDENES'!$Z911=$H$3),'ORDENES'!$AG911=TRUE,'ORDENES'!$A911&lt;&gt;""),1,0)</f>
        <v/>
      </c>
      <c r="L915" s="24">
        <f>IF(K915=1,IFERROR(MATCH('ORDENES'!$S911,lista_dias,0),9)*1000000000+IFERROR(MATCH('ORDENES'!$AI911,lista_turnos,0),9)*10000000+IFERROR(MATCH('ORDENES'!$AH911,'TECNICOS'!$B$4:$B$19,0),99)*100000+908,9000000000000+908)</f>
        <v/>
      </c>
      <c r="M915" s="24">
        <f>IF(K915=1,SUMPRODUCT(--($L$8:$L$1207&lt;L915))+1,"")</f>
        <v/>
      </c>
      <c r="N915" s="25">
        <f>IF(K915=1,N('ORDENES'!$M911),0)</f>
        <v/>
      </c>
      <c r="O915" s="25">
        <f>IF('ORDENES'!$U911="preventiva",N915,0)</f>
        <v/>
      </c>
      <c r="P915" s="25">
        <f>IF('ORDENES'!$U911="correctiva",N915,0)</f>
        <v/>
      </c>
      <c r="Q915" s="24">
        <f>IF(AND(K915=1,'ORDENES'!$N911="Pendiente"),1,0)</f>
        <v/>
      </c>
      <c r="R915" s="24">
        <f>IF(Q915=1,100000-N915*1000+908*0.01,9000000000000+908)</f>
        <v/>
      </c>
      <c r="S915" s="24">
        <f>IF(Q915=1,SUMPRODUCT(--($R$8:$R$1207&lt;R915))+1,"")</f>
        <v/>
      </c>
      <c r="T915" s="30">
        <f>IF(K915=1,'ORDENES'!$J911,"")</f>
        <v/>
      </c>
    </row>
    <row r="916">
      <c r="K916" s="24">
        <f>IF(AND(IF($B$3="(todos)",TRUE,'ORDENES'!$O912=$B$3),IF($D$3="(todos)",TRUE,'ORDENES'!$AI912=$D$3),IF($F$3="(todos)",TRUE,'ORDENES'!$AA912=$F$3),IF($H$3="(todos)",TRUE,'ORDENES'!$Z912=$H$3),'ORDENES'!$AG912=TRUE,'ORDENES'!$A912&lt;&gt;""),1,0)</f>
        <v/>
      </c>
      <c r="L916" s="24">
        <f>IF(K916=1,IFERROR(MATCH('ORDENES'!$S912,lista_dias,0),9)*1000000000+IFERROR(MATCH('ORDENES'!$AI912,lista_turnos,0),9)*10000000+IFERROR(MATCH('ORDENES'!$AH912,'TECNICOS'!$B$4:$B$19,0),99)*100000+909,9000000000000+909)</f>
        <v/>
      </c>
      <c r="M916" s="24">
        <f>IF(K916=1,SUMPRODUCT(--($L$8:$L$1207&lt;L916))+1,"")</f>
        <v/>
      </c>
      <c r="N916" s="25">
        <f>IF(K916=1,N('ORDENES'!$M912),0)</f>
        <v/>
      </c>
      <c r="O916" s="25">
        <f>IF('ORDENES'!$U912="preventiva",N916,0)</f>
        <v/>
      </c>
      <c r="P916" s="25">
        <f>IF('ORDENES'!$U912="correctiva",N916,0)</f>
        <v/>
      </c>
      <c r="Q916" s="24">
        <f>IF(AND(K916=1,'ORDENES'!$N912="Pendiente"),1,0)</f>
        <v/>
      </c>
      <c r="R916" s="24">
        <f>IF(Q916=1,100000-N916*1000+909*0.01,9000000000000+909)</f>
        <v/>
      </c>
      <c r="S916" s="24">
        <f>IF(Q916=1,SUMPRODUCT(--($R$8:$R$1207&lt;R916))+1,"")</f>
        <v/>
      </c>
      <c r="T916" s="30">
        <f>IF(K916=1,'ORDENES'!$J912,"")</f>
        <v/>
      </c>
    </row>
    <row r="917">
      <c r="K917" s="24">
        <f>IF(AND(IF($B$3="(todos)",TRUE,'ORDENES'!$O913=$B$3),IF($D$3="(todos)",TRUE,'ORDENES'!$AI913=$D$3),IF($F$3="(todos)",TRUE,'ORDENES'!$AA913=$F$3),IF($H$3="(todos)",TRUE,'ORDENES'!$Z913=$H$3),'ORDENES'!$AG913=TRUE,'ORDENES'!$A913&lt;&gt;""),1,0)</f>
        <v/>
      </c>
      <c r="L917" s="24">
        <f>IF(K917=1,IFERROR(MATCH('ORDENES'!$S913,lista_dias,0),9)*1000000000+IFERROR(MATCH('ORDENES'!$AI913,lista_turnos,0),9)*10000000+IFERROR(MATCH('ORDENES'!$AH913,'TECNICOS'!$B$4:$B$19,0),99)*100000+910,9000000000000+910)</f>
        <v/>
      </c>
      <c r="M917" s="24">
        <f>IF(K917=1,SUMPRODUCT(--($L$8:$L$1207&lt;L917))+1,"")</f>
        <v/>
      </c>
      <c r="N917" s="25">
        <f>IF(K917=1,N('ORDENES'!$M913),0)</f>
        <v/>
      </c>
      <c r="O917" s="25">
        <f>IF('ORDENES'!$U913="preventiva",N917,0)</f>
        <v/>
      </c>
      <c r="P917" s="25">
        <f>IF('ORDENES'!$U913="correctiva",N917,0)</f>
        <v/>
      </c>
      <c r="Q917" s="24">
        <f>IF(AND(K917=1,'ORDENES'!$N913="Pendiente"),1,0)</f>
        <v/>
      </c>
      <c r="R917" s="24">
        <f>IF(Q917=1,100000-N917*1000+910*0.01,9000000000000+910)</f>
        <v/>
      </c>
      <c r="S917" s="24">
        <f>IF(Q917=1,SUMPRODUCT(--($R$8:$R$1207&lt;R917))+1,"")</f>
        <v/>
      </c>
      <c r="T917" s="30">
        <f>IF(K917=1,'ORDENES'!$J913,"")</f>
        <v/>
      </c>
    </row>
    <row r="918">
      <c r="K918" s="24">
        <f>IF(AND(IF($B$3="(todos)",TRUE,'ORDENES'!$O914=$B$3),IF($D$3="(todos)",TRUE,'ORDENES'!$AI914=$D$3),IF($F$3="(todos)",TRUE,'ORDENES'!$AA914=$F$3),IF($H$3="(todos)",TRUE,'ORDENES'!$Z914=$H$3),'ORDENES'!$AG914=TRUE,'ORDENES'!$A914&lt;&gt;""),1,0)</f>
        <v/>
      </c>
      <c r="L918" s="24">
        <f>IF(K918=1,IFERROR(MATCH('ORDENES'!$S914,lista_dias,0),9)*1000000000+IFERROR(MATCH('ORDENES'!$AI914,lista_turnos,0),9)*10000000+IFERROR(MATCH('ORDENES'!$AH914,'TECNICOS'!$B$4:$B$19,0),99)*100000+911,9000000000000+911)</f>
        <v/>
      </c>
      <c r="M918" s="24">
        <f>IF(K918=1,SUMPRODUCT(--($L$8:$L$1207&lt;L918))+1,"")</f>
        <v/>
      </c>
      <c r="N918" s="25">
        <f>IF(K918=1,N('ORDENES'!$M914),0)</f>
        <v/>
      </c>
      <c r="O918" s="25">
        <f>IF('ORDENES'!$U914="preventiva",N918,0)</f>
        <v/>
      </c>
      <c r="P918" s="25">
        <f>IF('ORDENES'!$U914="correctiva",N918,0)</f>
        <v/>
      </c>
      <c r="Q918" s="24">
        <f>IF(AND(K918=1,'ORDENES'!$N914="Pendiente"),1,0)</f>
        <v/>
      </c>
      <c r="R918" s="24">
        <f>IF(Q918=1,100000-N918*1000+911*0.01,9000000000000+911)</f>
        <v/>
      </c>
      <c r="S918" s="24">
        <f>IF(Q918=1,SUMPRODUCT(--($R$8:$R$1207&lt;R918))+1,"")</f>
        <v/>
      </c>
      <c r="T918" s="30">
        <f>IF(K918=1,'ORDENES'!$J914,"")</f>
        <v/>
      </c>
    </row>
    <row r="919">
      <c r="K919" s="24">
        <f>IF(AND(IF($B$3="(todos)",TRUE,'ORDENES'!$O915=$B$3),IF($D$3="(todos)",TRUE,'ORDENES'!$AI915=$D$3),IF($F$3="(todos)",TRUE,'ORDENES'!$AA915=$F$3),IF($H$3="(todos)",TRUE,'ORDENES'!$Z915=$H$3),'ORDENES'!$AG915=TRUE,'ORDENES'!$A915&lt;&gt;""),1,0)</f>
        <v/>
      </c>
      <c r="L919" s="24">
        <f>IF(K919=1,IFERROR(MATCH('ORDENES'!$S915,lista_dias,0),9)*1000000000+IFERROR(MATCH('ORDENES'!$AI915,lista_turnos,0),9)*10000000+IFERROR(MATCH('ORDENES'!$AH915,'TECNICOS'!$B$4:$B$19,0),99)*100000+912,9000000000000+912)</f>
        <v/>
      </c>
      <c r="M919" s="24">
        <f>IF(K919=1,SUMPRODUCT(--($L$8:$L$1207&lt;L919))+1,"")</f>
        <v/>
      </c>
      <c r="N919" s="25">
        <f>IF(K919=1,N('ORDENES'!$M915),0)</f>
        <v/>
      </c>
      <c r="O919" s="25">
        <f>IF('ORDENES'!$U915="preventiva",N919,0)</f>
        <v/>
      </c>
      <c r="P919" s="25">
        <f>IF('ORDENES'!$U915="correctiva",N919,0)</f>
        <v/>
      </c>
      <c r="Q919" s="24">
        <f>IF(AND(K919=1,'ORDENES'!$N915="Pendiente"),1,0)</f>
        <v/>
      </c>
      <c r="R919" s="24">
        <f>IF(Q919=1,100000-N919*1000+912*0.01,9000000000000+912)</f>
        <v/>
      </c>
      <c r="S919" s="24">
        <f>IF(Q919=1,SUMPRODUCT(--($R$8:$R$1207&lt;R919))+1,"")</f>
        <v/>
      </c>
      <c r="T919" s="30">
        <f>IF(K919=1,'ORDENES'!$J915,"")</f>
        <v/>
      </c>
    </row>
    <row r="920">
      <c r="K920" s="24">
        <f>IF(AND(IF($B$3="(todos)",TRUE,'ORDENES'!$O916=$B$3),IF($D$3="(todos)",TRUE,'ORDENES'!$AI916=$D$3),IF($F$3="(todos)",TRUE,'ORDENES'!$AA916=$F$3),IF($H$3="(todos)",TRUE,'ORDENES'!$Z916=$H$3),'ORDENES'!$AG916=TRUE,'ORDENES'!$A916&lt;&gt;""),1,0)</f>
        <v/>
      </c>
      <c r="L920" s="24">
        <f>IF(K920=1,IFERROR(MATCH('ORDENES'!$S916,lista_dias,0),9)*1000000000+IFERROR(MATCH('ORDENES'!$AI916,lista_turnos,0),9)*10000000+IFERROR(MATCH('ORDENES'!$AH916,'TECNICOS'!$B$4:$B$19,0),99)*100000+913,9000000000000+913)</f>
        <v/>
      </c>
      <c r="M920" s="24">
        <f>IF(K920=1,SUMPRODUCT(--($L$8:$L$1207&lt;L920))+1,"")</f>
        <v/>
      </c>
      <c r="N920" s="25">
        <f>IF(K920=1,N('ORDENES'!$M916),0)</f>
        <v/>
      </c>
      <c r="O920" s="25">
        <f>IF('ORDENES'!$U916="preventiva",N920,0)</f>
        <v/>
      </c>
      <c r="P920" s="25">
        <f>IF('ORDENES'!$U916="correctiva",N920,0)</f>
        <v/>
      </c>
      <c r="Q920" s="24">
        <f>IF(AND(K920=1,'ORDENES'!$N916="Pendiente"),1,0)</f>
        <v/>
      </c>
      <c r="R920" s="24">
        <f>IF(Q920=1,100000-N920*1000+913*0.01,9000000000000+913)</f>
        <v/>
      </c>
      <c r="S920" s="24">
        <f>IF(Q920=1,SUMPRODUCT(--($R$8:$R$1207&lt;R920))+1,"")</f>
        <v/>
      </c>
      <c r="T920" s="30">
        <f>IF(K920=1,'ORDENES'!$J916,"")</f>
        <v/>
      </c>
    </row>
    <row r="921">
      <c r="K921" s="24">
        <f>IF(AND(IF($B$3="(todos)",TRUE,'ORDENES'!$O917=$B$3),IF($D$3="(todos)",TRUE,'ORDENES'!$AI917=$D$3),IF($F$3="(todos)",TRUE,'ORDENES'!$AA917=$F$3),IF($H$3="(todos)",TRUE,'ORDENES'!$Z917=$H$3),'ORDENES'!$AG917=TRUE,'ORDENES'!$A917&lt;&gt;""),1,0)</f>
        <v/>
      </c>
      <c r="L921" s="24">
        <f>IF(K921=1,IFERROR(MATCH('ORDENES'!$S917,lista_dias,0),9)*1000000000+IFERROR(MATCH('ORDENES'!$AI917,lista_turnos,0),9)*10000000+IFERROR(MATCH('ORDENES'!$AH917,'TECNICOS'!$B$4:$B$19,0),99)*100000+914,9000000000000+914)</f>
        <v/>
      </c>
      <c r="M921" s="24">
        <f>IF(K921=1,SUMPRODUCT(--($L$8:$L$1207&lt;L921))+1,"")</f>
        <v/>
      </c>
      <c r="N921" s="25">
        <f>IF(K921=1,N('ORDENES'!$M917),0)</f>
        <v/>
      </c>
      <c r="O921" s="25">
        <f>IF('ORDENES'!$U917="preventiva",N921,0)</f>
        <v/>
      </c>
      <c r="P921" s="25">
        <f>IF('ORDENES'!$U917="correctiva",N921,0)</f>
        <v/>
      </c>
      <c r="Q921" s="24">
        <f>IF(AND(K921=1,'ORDENES'!$N917="Pendiente"),1,0)</f>
        <v/>
      </c>
      <c r="R921" s="24">
        <f>IF(Q921=1,100000-N921*1000+914*0.01,9000000000000+914)</f>
        <v/>
      </c>
      <c r="S921" s="24">
        <f>IF(Q921=1,SUMPRODUCT(--($R$8:$R$1207&lt;R921))+1,"")</f>
        <v/>
      </c>
      <c r="T921" s="30">
        <f>IF(K921=1,'ORDENES'!$J917,"")</f>
        <v/>
      </c>
    </row>
    <row r="922">
      <c r="K922" s="24">
        <f>IF(AND(IF($B$3="(todos)",TRUE,'ORDENES'!$O918=$B$3),IF($D$3="(todos)",TRUE,'ORDENES'!$AI918=$D$3),IF($F$3="(todos)",TRUE,'ORDENES'!$AA918=$F$3),IF($H$3="(todos)",TRUE,'ORDENES'!$Z918=$H$3),'ORDENES'!$AG918=TRUE,'ORDENES'!$A918&lt;&gt;""),1,0)</f>
        <v/>
      </c>
      <c r="L922" s="24">
        <f>IF(K922=1,IFERROR(MATCH('ORDENES'!$S918,lista_dias,0),9)*1000000000+IFERROR(MATCH('ORDENES'!$AI918,lista_turnos,0),9)*10000000+IFERROR(MATCH('ORDENES'!$AH918,'TECNICOS'!$B$4:$B$19,0),99)*100000+915,9000000000000+915)</f>
        <v/>
      </c>
      <c r="M922" s="24">
        <f>IF(K922=1,SUMPRODUCT(--($L$8:$L$1207&lt;L922))+1,"")</f>
        <v/>
      </c>
      <c r="N922" s="25">
        <f>IF(K922=1,N('ORDENES'!$M918),0)</f>
        <v/>
      </c>
      <c r="O922" s="25">
        <f>IF('ORDENES'!$U918="preventiva",N922,0)</f>
        <v/>
      </c>
      <c r="P922" s="25">
        <f>IF('ORDENES'!$U918="correctiva",N922,0)</f>
        <v/>
      </c>
      <c r="Q922" s="24">
        <f>IF(AND(K922=1,'ORDENES'!$N918="Pendiente"),1,0)</f>
        <v/>
      </c>
      <c r="R922" s="24">
        <f>IF(Q922=1,100000-N922*1000+915*0.01,9000000000000+915)</f>
        <v/>
      </c>
      <c r="S922" s="24">
        <f>IF(Q922=1,SUMPRODUCT(--($R$8:$R$1207&lt;R922))+1,"")</f>
        <v/>
      </c>
      <c r="T922" s="30">
        <f>IF(K922=1,'ORDENES'!$J918,"")</f>
        <v/>
      </c>
    </row>
    <row r="923">
      <c r="K923" s="24">
        <f>IF(AND(IF($B$3="(todos)",TRUE,'ORDENES'!$O919=$B$3),IF($D$3="(todos)",TRUE,'ORDENES'!$AI919=$D$3),IF($F$3="(todos)",TRUE,'ORDENES'!$AA919=$F$3),IF($H$3="(todos)",TRUE,'ORDENES'!$Z919=$H$3),'ORDENES'!$AG919=TRUE,'ORDENES'!$A919&lt;&gt;""),1,0)</f>
        <v/>
      </c>
      <c r="L923" s="24">
        <f>IF(K923=1,IFERROR(MATCH('ORDENES'!$S919,lista_dias,0),9)*1000000000+IFERROR(MATCH('ORDENES'!$AI919,lista_turnos,0),9)*10000000+IFERROR(MATCH('ORDENES'!$AH919,'TECNICOS'!$B$4:$B$19,0),99)*100000+916,9000000000000+916)</f>
        <v/>
      </c>
      <c r="M923" s="24">
        <f>IF(K923=1,SUMPRODUCT(--($L$8:$L$1207&lt;L923))+1,"")</f>
        <v/>
      </c>
      <c r="N923" s="25">
        <f>IF(K923=1,N('ORDENES'!$M919),0)</f>
        <v/>
      </c>
      <c r="O923" s="25">
        <f>IF('ORDENES'!$U919="preventiva",N923,0)</f>
        <v/>
      </c>
      <c r="P923" s="25">
        <f>IF('ORDENES'!$U919="correctiva",N923,0)</f>
        <v/>
      </c>
      <c r="Q923" s="24">
        <f>IF(AND(K923=1,'ORDENES'!$N919="Pendiente"),1,0)</f>
        <v/>
      </c>
      <c r="R923" s="24">
        <f>IF(Q923=1,100000-N923*1000+916*0.01,9000000000000+916)</f>
        <v/>
      </c>
      <c r="S923" s="24">
        <f>IF(Q923=1,SUMPRODUCT(--($R$8:$R$1207&lt;R923))+1,"")</f>
        <v/>
      </c>
      <c r="T923" s="30">
        <f>IF(K923=1,'ORDENES'!$J919,"")</f>
        <v/>
      </c>
    </row>
    <row r="924">
      <c r="K924" s="24">
        <f>IF(AND(IF($B$3="(todos)",TRUE,'ORDENES'!$O920=$B$3),IF($D$3="(todos)",TRUE,'ORDENES'!$AI920=$D$3),IF($F$3="(todos)",TRUE,'ORDENES'!$AA920=$F$3),IF($H$3="(todos)",TRUE,'ORDENES'!$Z920=$H$3),'ORDENES'!$AG920=TRUE,'ORDENES'!$A920&lt;&gt;""),1,0)</f>
        <v/>
      </c>
      <c r="L924" s="24">
        <f>IF(K924=1,IFERROR(MATCH('ORDENES'!$S920,lista_dias,0),9)*1000000000+IFERROR(MATCH('ORDENES'!$AI920,lista_turnos,0),9)*10000000+IFERROR(MATCH('ORDENES'!$AH920,'TECNICOS'!$B$4:$B$19,0),99)*100000+917,9000000000000+917)</f>
        <v/>
      </c>
      <c r="M924" s="24">
        <f>IF(K924=1,SUMPRODUCT(--($L$8:$L$1207&lt;L924))+1,"")</f>
        <v/>
      </c>
      <c r="N924" s="25">
        <f>IF(K924=1,N('ORDENES'!$M920),0)</f>
        <v/>
      </c>
      <c r="O924" s="25">
        <f>IF('ORDENES'!$U920="preventiva",N924,0)</f>
        <v/>
      </c>
      <c r="P924" s="25">
        <f>IF('ORDENES'!$U920="correctiva",N924,0)</f>
        <v/>
      </c>
      <c r="Q924" s="24">
        <f>IF(AND(K924=1,'ORDENES'!$N920="Pendiente"),1,0)</f>
        <v/>
      </c>
      <c r="R924" s="24">
        <f>IF(Q924=1,100000-N924*1000+917*0.01,9000000000000+917)</f>
        <v/>
      </c>
      <c r="S924" s="24">
        <f>IF(Q924=1,SUMPRODUCT(--($R$8:$R$1207&lt;R924))+1,"")</f>
        <v/>
      </c>
      <c r="T924" s="30">
        <f>IF(K924=1,'ORDENES'!$J920,"")</f>
        <v/>
      </c>
    </row>
    <row r="925">
      <c r="K925" s="24">
        <f>IF(AND(IF($B$3="(todos)",TRUE,'ORDENES'!$O921=$B$3),IF($D$3="(todos)",TRUE,'ORDENES'!$AI921=$D$3),IF($F$3="(todos)",TRUE,'ORDENES'!$AA921=$F$3),IF($H$3="(todos)",TRUE,'ORDENES'!$Z921=$H$3),'ORDENES'!$AG921=TRUE,'ORDENES'!$A921&lt;&gt;""),1,0)</f>
        <v/>
      </c>
      <c r="L925" s="24">
        <f>IF(K925=1,IFERROR(MATCH('ORDENES'!$S921,lista_dias,0),9)*1000000000+IFERROR(MATCH('ORDENES'!$AI921,lista_turnos,0),9)*10000000+IFERROR(MATCH('ORDENES'!$AH921,'TECNICOS'!$B$4:$B$19,0),99)*100000+918,9000000000000+918)</f>
        <v/>
      </c>
      <c r="M925" s="24">
        <f>IF(K925=1,SUMPRODUCT(--($L$8:$L$1207&lt;L925))+1,"")</f>
        <v/>
      </c>
      <c r="N925" s="25">
        <f>IF(K925=1,N('ORDENES'!$M921),0)</f>
        <v/>
      </c>
      <c r="O925" s="25">
        <f>IF('ORDENES'!$U921="preventiva",N925,0)</f>
        <v/>
      </c>
      <c r="P925" s="25">
        <f>IF('ORDENES'!$U921="correctiva",N925,0)</f>
        <v/>
      </c>
      <c r="Q925" s="24">
        <f>IF(AND(K925=1,'ORDENES'!$N921="Pendiente"),1,0)</f>
        <v/>
      </c>
      <c r="R925" s="24">
        <f>IF(Q925=1,100000-N925*1000+918*0.01,9000000000000+918)</f>
        <v/>
      </c>
      <c r="S925" s="24">
        <f>IF(Q925=1,SUMPRODUCT(--($R$8:$R$1207&lt;R925))+1,"")</f>
        <v/>
      </c>
      <c r="T925" s="30">
        <f>IF(K925=1,'ORDENES'!$J921,"")</f>
        <v/>
      </c>
    </row>
    <row r="926">
      <c r="K926" s="24">
        <f>IF(AND(IF($B$3="(todos)",TRUE,'ORDENES'!$O922=$B$3),IF($D$3="(todos)",TRUE,'ORDENES'!$AI922=$D$3),IF($F$3="(todos)",TRUE,'ORDENES'!$AA922=$F$3),IF($H$3="(todos)",TRUE,'ORDENES'!$Z922=$H$3),'ORDENES'!$AG922=TRUE,'ORDENES'!$A922&lt;&gt;""),1,0)</f>
        <v/>
      </c>
      <c r="L926" s="24">
        <f>IF(K926=1,IFERROR(MATCH('ORDENES'!$S922,lista_dias,0),9)*1000000000+IFERROR(MATCH('ORDENES'!$AI922,lista_turnos,0),9)*10000000+IFERROR(MATCH('ORDENES'!$AH922,'TECNICOS'!$B$4:$B$19,0),99)*100000+919,9000000000000+919)</f>
        <v/>
      </c>
      <c r="M926" s="24">
        <f>IF(K926=1,SUMPRODUCT(--($L$8:$L$1207&lt;L926))+1,"")</f>
        <v/>
      </c>
      <c r="N926" s="25">
        <f>IF(K926=1,N('ORDENES'!$M922),0)</f>
        <v/>
      </c>
      <c r="O926" s="25">
        <f>IF('ORDENES'!$U922="preventiva",N926,0)</f>
        <v/>
      </c>
      <c r="P926" s="25">
        <f>IF('ORDENES'!$U922="correctiva",N926,0)</f>
        <v/>
      </c>
      <c r="Q926" s="24">
        <f>IF(AND(K926=1,'ORDENES'!$N922="Pendiente"),1,0)</f>
        <v/>
      </c>
      <c r="R926" s="24">
        <f>IF(Q926=1,100000-N926*1000+919*0.01,9000000000000+919)</f>
        <v/>
      </c>
      <c r="S926" s="24">
        <f>IF(Q926=1,SUMPRODUCT(--($R$8:$R$1207&lt;R926))+1,"")</f>
        <v/>
      </c>
      <c r="T926" s="30">
        <f>IF(K926=1,'ORDENES'!$J922,"")</f>
        <v/>
      </c>
    </row>
    <row r="927">
      <c r="K927" s="24">
        <f>IF(AND(IF($B$3="(todos)",TRUE,'ORDENES'!$O923=$B$3),IF($D$3="(todos)",TRUE,'ORDENES'!$AI923=$D$3),IF($F$3="(todos)",TRUE,'ORDENES'!$AA923=$F$3),IF($H$3="(todos)",TRUE,'ORDENES'!$Z923=$H$3),'ORDENES'!$AG923=TRUE,'ORDENES'!$A923&lt;&gt;""),1,0)</f>
        <v/>
      </c>
      <c r="L927" s="24">
        <f>IF(K927=1,IFERROR(MATCH('ORDENES'!$S923,lista_dias,0),9)*1000000000+IFERROR(MATCH('ORDENES'!$AI923,lista_turnos,0),9)*10000000+IFERROR(MATCH('ORDENES'!$AH923,'TECNICOS'!$B$4:$B$19,0),99)*100000+920,9000000000000+920)</f>
        <v/>
      </c>
      <c r="M927" s="24">
        <f>IF(K927=1,SUMPRODUCT(--($L$8:$L$1207&lt;L927))+1,"")</f>
        <v/>
      </c>
      <c r="N927" s="25">
        <f>IF(K927=1,N('ORDENES'!$M923),0)</f>
        <v/>
      </c>
      <c r="O927" s="25">
        <f>IF('ORDENES'!$U923="preventiva",N927,0)</f>
        <v/>
      </c>
      <c r="P927" s="25">
        <f>IF('ORDENES'!$U923="correctiva",N927,0)</f>
        <v/>
      </c>
      <c r="Q927" s="24">
        <f>IF(AND(K927=1,'ORDENES'!$N923="Pendiente"),1,0)</f>
        <v/>
      </c>
      <c r="R927" s="24">
        <f>IF(Q927=1,100000-N927*1000+920*0.01,9000000000000+920)</f>
        <v/>
      </c>
      <c r="S927" s="24">
        <f>IF(Q927=1,SUMPRODUCT(--($R$8:$R$1207&lt;R927))+1,"")</f>
        <v/>
      </c>
      <c r="T927" s="30">
        <f>IF(K927=1,'ORDENES'!$J923,"")</f>
        <v/>
      </c>
    </row>
    <row r="928">
      <c r="K928" s="24">
        <f>IF(AND(IF($B$3="(todos)",TRUE,'ORDENES'!$O924=$B$3),IF($D$3="(todos)",TRUE,'ORDENES'!$AI924=$D$3),IF($F$3="(todos)",TRUE,'ORDENES'!$AA924=$F$3),IF($H$3="(todos)",TRUE,'ORDENES'!$Z924=$H$3),'ORDENES'!$AG924=TRUE,'ORDENES'!$A924&lt;&gt;""),1,0)</f>
        <v/>
      </c>
      <c r="L928" s="24">
        <f>IF(K928=1,IFERROR(MATCH('ORDENES'!$S924,lista_dias,0),9)*1000000000+IFERROR(MATCH('ORDENES'!$AI924,lista_turnos,0),9)*10000000+IFERROR(MATCH('ORDENES'!$AH924,'TECNICOS'!$B$4:$B$19,0),99)*100000+921,9000000000000+921)</f>
        <v/>
      </c>
      <c r="M928" s="24">
        <f>IF(K928=1,SUMPRODUCT(--($L$8:$L$1207&lt;L928))+1,"")</f>
        <v/>
      </c>
      <c r="N928" s="25">
        <f>IF(K928=1,N('ORDENES'!$M924),0)</f>
        <v/>
      </c>
      <c r="O928" s="25">
        <f>IF('ORDENES'!$U924="preventiva",N928,0)</f>
        <v/>
      </c>
      <c r="P928" s="25">
        <f>IF('ORDENES'!$U924="correctiva",N928,0)</f>
        <v/>
      </c>
      <c r="Q928" s="24">
        <f>IF(AND(K928=1,'ORDENES'!$N924="Pendiente"),1,0)</f>
        <v/>
      </c>
      <c r="R928" s="24">
        <f>IF(Q928=1,100000-N928*1000+921*0.01,9000000000000+921)</f>
        <v/>
      </c>
      <c r="S928" s="24">
        <f>IF(Q928=1,SUMPRODUCT(--($R$8:$R$1207&lt;R928))+1,"")</f>
        <v/>
      </c>
      <c r="T928" s="30">
        <f>IF(K928=1,'ORDENES'!$J924,"")</f>
        <v/>
      </c>
    </row>
    <row r="929">
      <c r="K929" s="24">
        <f>IF(AND(IF($B$3="(todos)",TRUE,'ORDENES'!$O925=$B$3),IF($D$3="(todos)",TRUE,'ORDENES'!$AI925=$D$3),IF($F$3="(todos)",TRUE,'ORDENES'!$AA925=$F$3),IF($H$3="(todos)",TRUE,'ORDENES'!$Z925=$H$3),'ORDENES'!$AG925=TRUE,'ORDENES'!$A925&lt;&gt;""),1,0)</f>
        <v/>
      </c>
      <c r="L929" s="24">
        <f>IF(K929=1,IFERROR(MATCH('ORDENES'!$S925,lista_dias,0),9)*1000000000+IFERROR(MATCH('ORDENES'!$AI925,lista_turnos,0),9)*10000000+IFERROR(MATCH('ORDENES'!$AH925,'TECNICOS'!$B$4:$B$19,0),99)*100000+922,9000000000000+922)</f>
        <v/>
      </c>
      <c r="M929" s="24">
        <f>IF(K929=1,SUMPRODUCT(--($L$8:$L$1207&lt;L929))+1,"")</f>
        <v/>
      </c>
      <c r="N929" s="25">
        <f>IF(K929=1,N('ORDENES'!$M925),0)</f>
        <v/>
      </c>
      <c r="O929" s="25">
        <f>IF('ORDENES'!$U925="preventiva",N929,0)</f>
        <v/>
      </c>
      <c r="P929" s="25">
        <f>IF('ORDENES'!$U925="correctiva",N929,0)</f>
        <v/>
      </c>
      <c r="Q929" s="24">
        <f>IF(AND(K929=1,'ORDENES'!$N925="Pendiente"),1,0)</f>
        <v/>
      </c>
      <c r="R929" s="24">
        <f>IF(Q929=1,100000-N929*1000+922*0.01,9000000000000+922)</f>
        <v/>
      </c>
      <c r="S929" s="24">
        <f>IF(Q929=1,SUMPRODUCT(--($R$8:$R$1207&lt;R929))+1,"")</f>
        <v/>
      </c>
      <c r="T929" s="30">
        <f>IF(K929=1,'ORDENES'!$J925,"")</f>
        <v/>
      </c>
    </row>
    <row r="930">
      <c r="K930" s="24">
        <f>IF(AND(IF($B$3="(todos)",TRUE,'ORDENES'!$O926=$B$3),IF($D$3="(todos)",TRUE,'ORDENES'!$AI926=$D$3),IF($F$3="(todos)",TRUE,'ORDENES'!$AA926=$F$3),IF($H$3="(todos)",TRUE,'ORDENES'!$Z926=$H$3),'ORDENES'!$AG926=TRUE,'ORDENES'!$A926&lt;&gt;""),1,0)</f>
        <v/>
      </c>
      <c r="L930" s="24">
        <f>IF(K930=1,IFERROR(MATCH('ORDENES'!$S926,lista_dias,0),9)*1000000000+IFERROR(MATCH('ORDENES'!$AI926,lista_turnos,0),9)*10000000+IFERROR(MATCH('ORDENES'!$AH926,'TECNICOS'!$B$4:$B$19,0),99)*100000+923,9000000000000+923)</f>
        <v/>
      </c>
      <c r="M930" s="24">
        <f>IF(K930=1,SUMPRODUCT(--($L$8:$L$1207&lt;L930))+1,"")</f>
        <v/>
      </c>
      <c r="N930" s="25">
        <f>IF(K930=1,N('ORDENES'!$M926),0)</f>
        <v/>
      </c>
      <c r="O930" s="25">
        <f>IF('ORDENES'!$U926="preventiva",N930,0)</f>
        <v/>
      </c>
      <c r="P930" s="25">
        <f>IF('ORDENES'!$U926="correctiva",N930,0)</f>
        <v/>
      </c>
      <c r="Q930" s="24">
        <f>IF(AND(K930=1,'ORDENES'!$N926="Pendiente"),1,0)</f>
        <v/>
      </c>
      <c r="R930" s="24">
        <f>IF(Q930=1,100000-N930*1000+923*0.01,9000000000000+923)</f>
        <v/>
      </c>
      <c r="S930" s="24">
        <f>IF(Q930=1,SUMPRODUCT(--($R$8:$R$1207&lt;R930))+1,"")</f>
        <v/>
      </c>
      <c r="T930" s="30">
        <f>IF(K930=1,'ORDENES'!$J926,"")</f>
        <v/>
      </c>
    </row>
    <row r="931">
      <c r="K931" s="24">
        <f>IF(AND(IF($B$3="(todos)",TRUE,'ORDENES'!$O927=$B$3),IF($D$3="(todos)",TRUE,'ORDENES'!$AI927=$D$3),IF($F$3="(todos)",TRUE,'ORDENES'!$AA927=$F$3),IF($H$3="(todos)",TRUE,'ORDENES'!$Z927=$H$3),'ORDENES'!$AG927=TRUE,'ORDENES'!$A927&lt;&gt;""),1,0)</f>
        <v/>
      </c>
      <c r="L931" s="24">
        <f>IF(K931=1,IFERROR(MATCH('ORDENES'!$S927,lista_dias,0),9)*1000000000+IFERROR(MATCH('ORDENES'!$AI927,lista_turnos,0),9)*10000000+IFERROR(MATCH('ORDENES'!$AH927,'TECNICOS'!$B$4:$B$19,0),99)*100000+924,9000000000000+924)</f>
        <v/>
      </c>
      <c r="M931" s="24">
        <f>IF(K931=1,SUMPRODUCT(--($L$8:$L$1207&lt;L931))+1,"")</f>
        <v/>
      </c>
      <c r="N931" s="25">
        <f>IF(K931=1,N('ORDENES'!$M927),0)</f>
        <v/>
      </c>
      <c r="O931" s="25">
        <f>IF('ORDENES'!$U927="preventiva",N931,0)</f>
        <v/>
      </c>
      <c r="P931" s="25">
        <f>IF('ORDENES'!$U927="correctiva",N931,0)</f>
        <v/>
      </c>
      <c r="Q931" s="24">
        <f>IF(AND(K931=1,'ORDENES'!$N927="Pendiente"),1,0)</f>
        <v/>
      </c>
      <c r="R931" s="24">
        <f>IF(Q931=1,100000-N931*1000+924*0.01,9000000000000+924)</f>
        <v/>
      </c>
      <c r="S931" s="24">
        <f>IF(Q931=1,SUMPRODUCT(--($R$8:$R$1207&lt;R931))+1,"")</f>
        <v/>
      </c>
      <c r="T931" s="30">
        <f>IF(K931=1,'ORDENES'!$J927,"")</f>
        <v/>
      </c>
    </row>
    <row r="932">
      <c r="K932" s="24">
        <f>IF(AND(IF($B$3="(todos)",TRUE,'ORDENES'!$O928=$B$3),IF($D$3="(todos)",TRUE,'ORDENES'!$AI928=$D$3),IF($F$3="(todos)",TRUE,'ORDENES'!$AA928=$F$3),IF($H$3="(todos)",TRUE,'ORDENES'!$Z928=$H$3),'ORDENES'!$AG928=TRUE,'ORDENES'!$A928&lt;&gt;""),1,0)</f>
        <v/>
      </c>
      <c r="L932" s="24">
        <f>IF(K932=1,IFERROR(MATCH('ORDENES'!$S928,lista_dias,0),9)*1000000000+IFERROR(MATCH('ORDENES'!$AI928,lista_turnos,0),9)*10000000+IFERROR(MATCH('ORDENES'!$AH928,'TECNICOS'!$B$4:$B$19,0),99)*100000+925,9000000000000+925)</f>
        <v/>
      </c>
      <c r="M932" s="24">
        <f>IF(K932=1,SUMPRODUCT(--($L$8:$L$1207&lt;L932))+1,"")</f>
        <v/>
      </c>
      <c r="N932" s="25">
        <f>IF(K932=1,N('ORDENES'!$M928),0)</f>
        <v/>
      </c>
      <c r="O932" s="25">
        <f>IF('ORDENES'!$U928="preventiva",N932,0)</f>
        <v/>
      </c>
      <c r="P932" s="25">
        <f>IF('ORDENES'!$U928="correctiva",N932,0)</f>
        <v/>
      </c>
      <c r="Q932" s="24">
        <f>IF(AND(K932=1,'ORDENES'!$N928="Pendiente"),1,0)</f>
        <v/>
      </c>
      <c r="R932" s="24">
        <f>IF(Q932=1,100000-N932*1000+925*0.01,9000000000000+925)</f>
        <v/>
      </c>
      <c r="S932" s="24">
        <f>IF(Q932=1,SUMPRODUCT(--($R$8:$R$1207&lt;R932))+1,"")</f>
        <v/>
      </c>
      <c r="T932" s="30">
        <f>IF(K932=1,'ORDENES'!$J928,"")</f>
        <v/>
      </c>
    </row>
    <row r="933">
      <c r="K933" s="24">
        <f>IF(AND(IF($B$3="(todos)",TRUE,'ORDENES'!$O929=$B$3),IF($D$3="(todos)",TRUE,'ORDENES'!$AI929=$D$3),IF($F$3="(todos)",TRUE,'ORDENES'!$AA929=$F$3),IF($H$3="(todos)",TRUE,'ORDENES'!$Z929=$H$3),'ORDENES'!$AG929=TRUE,'ORDENES'!$A929&lt;&gt;""),1,0)</f>
        <v/>
      </c>
      <c r="L933" s="24">
        <f>IF(K933=1,IFERROR(MATCH('ORDENES'!$S929,lista_dias,0),9)*1000000000+IFERROR(MATCH('ORDENES'!$AI929,lista_turnos,0),9)*10000000+IFERROR(MATCH('ORDENES'!$AH929,'TECNICOS'!$B$4:$B$19,0),99)*100000+926,9000000000000+926)</f>
        <v/>
      </c>
      <c r="M933" s="24">
        <f>IF(K933=1,SUMPRODUCT(--($L$8:$L$1207&lt;L933))+1,"")</f>
        <v/>
      </c>
      <c r="N933" s="25">
        <f>IF(K933=1,N('ORDENES'!$M929),0)</f>
        <v/>
      </c>
      <c r="O933" s="25">
        <f>IF('ORDENES'!$U929="preventiva",N933,0)</f>
        <v/>
      </c>
      <c r="P933" s="25">
        <f>IF('ORDENES'!$U929="correctiva",N933,0)</f>
        <v/>
      </c>
      <c r="Q933" s="24">
        <f>IF(AND(K933=1,'ORDENES'!$N929="Pendiente"),1,0)</f>
        <v/>
      </c>
      <c r="R933" s="24">
        <f>IF(Q933=1,100000-N933*1000+926*0.01,9000000000000+926)</f>
        <v/>
      </c>
      <c r="S933" s="24">
        <f>IF(Q933=1,SUMPRODUCT(--($R$8:$R$1207&lt;R933))+1,"")</f>
        <v/>
      </c>
      <c r="T933" s="30">
        <f>IF(K933=1,'ORDENES'!$J929,"")</f>
        <v/>
      </c>
    </row>
    <row r="934">
      <c r="K934" s="24">
        <f>IF(AND(IF($B$3="(todos)",TRUE,'ORDENES'!$O930=$B$3),IF($D$3="(todos)",TRUE,'ORDENES'!$AI930=$D$3),IF($F$3="(todos)",TRUE,'ORDENES'!$AA930=$F$3),IF($H$3="(todos)",TRUE,'ORDENES'!$Z930=$H$3),'ORDENES'!$AG930=TRUE,'ORDENES'!$A930&lt;&gt;""),1,0)</f>
        <v/>
      </c>
      <c r="L934" s="24">
        <f>IF(K934=1,IFERROR(MATCH('ORDENES'!$S930,lista_dias,0),9)*1000000000+IFERROR(MATCH('ORDENES'!$AI930,lista_turnos,0),9)*10000000+IFERROR(MATCH('ORDENES'!$AH930,'TECNICOS'!$B$4:$B$19,0),99)*100000+927,9000000000000+927)</f>
        <v/>
      </c>
      <c r="M934" s="24">
        <f>IF(K934=1,SUMPRODUCT(--($L$8:$L$1207&lt;L934))+1,"")</f>
        <v/>
      </c>
      <c r="N934" s="25">
        <f>IF(K934=1,N('ORDENES'!$M930),0)</f>
        <v/>
      </c>
      <c r="O934" s="25">
        <f>IF('ORDENES'!$U930="preventiva",N934,0)</f>
        <v/>
      </c>
      <c r="P934" s="25">
        <f>IF('ORDENES'!$U930="correctiva",N934,0)</f>
        <v/>
      </c>
      <c r="Q934" s="24">
        <f>IF(AND(K934=1,'ORDENES'!$N930="Pendiente"),1,0)</f>
        <v/>
      </c>
      <c r="R934" s="24">
        <f>IF(Q934=1,100000-N934*1000+927*0.01,9000000000000+927)</f>
        <v/>
      </c>
      <c r="S934" s="24">
        <f>IF(Q934=1,SUMPRODUCT(--($R$8:$R$1207&lt;R934))+1,"")</f>
        <v/>
      </c>
      <c r="T934" s="30">
        <f>IF(K934=1,'ORDENES'!$J930,"")</f>
        <v/>
      </c>
    </row>
    <row r="935">
      <c r="K935" s="24">
        <f>IF(AND(IF($B$3="(todos)",TRUE,'ORDENES'!$O931=$B$3),IF($D$3="(todos)",TRUE,'ORDENES'!$AI931=$D$3),IF($F$3="(todos)",TRUE,'ORDENES'!$AA931=$F$3),IF($H$3="(todos)",TRUE,'ORDENES'!$Z931=$H$3),'ORDENES'!$AG931=TRUE,'ORDENES'!$A931&lt;&gt;""),1,0)</f>
        <v/>
      </c>
      <c r="L935" s="24">
        <f>IF(K935=1,IFERROR(MATCH('ORDENES'!$S931,lista_dias,0),9)*1000000000+IFERROR(MATCH('ORDENES'!$AI931,lista_turnos,0),9)*10000000+IFERROR(MATCH('ORDENES'!$AH931,'TECNICOS'!$B$4:$B$19,0),99)*100000+928,9000000000000+928)</f>
        <v/>
      </c>
      <c r="M935" s="24">
        <f>IF(K935=1,SUMPRODUCT(--($L$8:$L$1207&lt;L935))+1,"")</f>
        <v/>
      </c>
      <c r="N935" s="25">
        <f>IF(K935=1,N('ORDENES'!$M931),0)</f>
        <v/>
      </c>
      <c r="O935" s="25">
        <f>IF('ORDENES'!$U931="preventiva",N935,0)</f>
        <v/>
      </c>
      <c r="P935" s="25">
        <f>IF('ORDENES'!$U931="correctiva",N935,0)</f>
        <v/>
      </c>
      <c r="Q935" s="24">
        <f>IF(AND(K935=1,'ORDENES'!$N931="Pendiente"),1,0)</f>
        <v/>
      </c>
      <c r="R935" s="24">
        <f>IF(Q935=1,100000-N935*1000+928*0.01,9000000000000+928)</f>
        <v/>
      </c>
      <c r="S935" s="24">
        <f>IF(Q935=1,SUMPRODUCT(--($R$8:$R$1207&lt;R935))+1,"")</f>
        <v/>
      </c>
      <c r="T935" s="30">
        <f>IF(K935=1,'ORDENES'!$J931,"")</f>
        <v/>
      </c>
    </row>
    <row r="936">
      <c r="K936" s="24">
        <f>IF(AND(IF($B$3="(todos)",TRUE,'ORDENES'!$O932=$B$3),IF($D$3="(todos)",TRUE,'ORDENES'!$AI932=$D$3),IF($F$3="(todos)",TRUE,'ORDENES'!$AA932=$F$3),IF($H$3="(todos)",TRUE,'ORDENES'!$Z932=$H$3),'ORDENES'!$AG932=TRUE,'ORDENES'!$A932&lt;&gt;""),1,0)</f>
        <v/>
      </c>
      <c r="L936" s="24">
        <f>IF(K936=1,IFERROR(MATCH('ORDENES'!$S932,lista_dias,0),9)*1000000000+IFERROR(MATCH('ORDENES'!$AI932,lista_turnos,0),9)*10000000+IFERROR(MATCH('ORDENES'!$AH932,'TECNICOS'!$B$4:$B$19,0),99)*100000+929,9000000000000+929)</f>
        <v/>
      </c>
      <c r="M936" s="24">
        <f>IF(K936=1,SUMPRODUCT(--($L$8:$L$1207&lt;L936))+1,"")</f>
        <v/>
      </c>
      <c r="N936" s="25">
        <f>IF(K936=1,N('ORDENES'!$M932),0)</f>
        <v/>
      </c>
      <c r="O936" s="25">
        <f>IF('ORDENES'!$U932="preventiva",N936,0)</f>
        <v/>
      </c>
      <c r="P936" s="25">
        <f>IF('ORDENES'!$U932="correctiva",N936,0)</f>
        <v/>
      </c>
      <c r="Q936" s="24">
        <f>IF(AND(K936=1,'ORDENES'!$N932="Pendiente"),1,0)</f>
        <v/>
      </c>
      <c r="R936" s="24">
        <f>IF(Q936=1,100000-N936*1000+929*0.01,9000000000000+929)</f>
        <v/>
      </c>
      <c r="S936" s="24">
        <f>IF(Q936=1,SUMPRODUCT(--($R$8:$R$1207&lt;R936))+1,"")</f>
        <v/>
      </c>
      <c r="T936" s="30">
        <f>IF(K936=1,'ORDENES'!$J932,"")</f>
        <v/>
      </c>
    </row>
    <row r="937">
      <c r="K937" s="24">
        <f>IF(AND(IF($B$3="(todos)",TRUE,'ORDENES'!$O933=$B$3),IF($D$3="(todos)",TRUE,'ORDENES'!$AI933=$D$3),IF($F$3="(todos)",TRUE,'ORDENES'!$AA933=$F$3),IF($H$3="(todos)",TRUE,'ORDENES'!$Z933=$H$3),'ORDENES'!$AG933=TRUE,'ORDENES'!$A933&lt;&gt;""),1,0)</f>
        <v/>
      </c>
      <c r="L937" s="24">
        <f>IF(K937=1,IFERROR(MATCH('ORDENES'!$S933,lista_dias,0),9)*1000000000+IFERROR(MATCH('ORDENES'!$AI933,lista_turnos,0),9)*10000000+IFERROR(MATCH('ORDENES'!$AH933,'TECNICOS'!$B$4:$B$19,0),99)*100000+930,9000000000000+930)</f>
        <v/>
      </c>
      <c r="M937" s="24">
        <f>IF(K937=1,SUMPRODUCT(--($L$8:$L$1207&lt;L937))+1,"")</f>
        <v/>
      </c>
      <c r="N937" s="25">
        <f>IF(K937=1,N('ORDENES'!$M933),0)</f>
        <v/>
      </c>
      <c r="O937" s="25">
        <f>IF('ORDENES'!$U933="preventiva",N937,0)</f>
        <v/>
      </c>
      <c r="P937" s="25">
        <f>IF('ORDENES'!$U933="correctiva",N937,0)</f>
        <v/>
      </c>
      <c r="Q937" s="24">
        <f>IF(AND(K937=1,'ORDENES'!$N933="Pendiente"),1,0)</f>
        <v/>
      </c>
      <c r="R937" s="24">
        <f>IF(Q937=1,100000-N937*1000+930*0.01,9000000000000+930)</f>
        <v/>
      </c>
      <c r="S937" s="24">
        <f>IF(Q937=1,SUMPRODUCT(--($R$8:$R$1207&lt;R937))+1,"")</f>
        <v/>
      </c>
      <c r="T937" s="30">
        <f>IF(K937=1,'ORDENES'!$J933,"")</f>
        <v/>
      </c>
    </row>
    <row r="938">
      <c r="K938" s="24">
        <f>IF(AND(IF($B$3="(todos)",TRUE,'ORDENES'!$O934=$B$3),IF($D$3="(todos)",TRUE,'ORDENES'!$AI934=$D$3),IF($F$3="(todos)",TRUE,'ORDENES'!$AA934=$F$3),IF($H$3="(todos)",TRUE,'ORDENES'!$Z934=$H$3),'ORDENES'!$AG934=TRUE,'ORDENES'!$A934&lt;&gt;""),1,0)</f>
        <v/>
      </c>
      <c r="L938" s="24">
        <f>IF(K938=1,IFERROR(MATCH('ORDENES'!$S934,lista_dias,0),9)*1000000000+IFERROR(MATCH('ORDENES'!$AI934,lista_turnos,0),9)*10000000+IFERROR(MATCH('ORDENES'!$AH934,'TECNICOS'!$B$4:$B$19,0),99)*100000+931,9000000000000+931)</f>
        <v/>
      </c>
      <c r="M938" s="24">
        <f>IF(K938=1,SUMPRODUCT(--($L$8:$L$1207&lt;L938))+1,"")</f>
        <v/>
      </c>
      <c r="N938" s="25">
        <f>IF(K938=1,N('ORDENES'!$M934),0)</f>
        <v/>
      </c>
      <c r="O938" s="25">
        <f>IF('ORDENES'!$U934="preventiva",N938,0)</f>
        <v/>
      </c>
      <c r="P938" s="25">
        <f>IF('ORDENES'!$U934="correctiva",N938,0)</f>
        <v/>
      </c>
      <c r="Q938" s="24">
        <f>IF(AND(K938=1,'ORDENES'!$N934="Pendiente"),1,0)</f>
        <v/>
      </c>
      <c r="R938" s="24">
        <f>IF(Q938=1,100000-N938*1000+931*0.01,9000000000000+931)</f>
        <v/>
      </c>
      <c r="S938" s="24">
        <f>IF(Q938=1,SUMPRODUCT(--($R$8:$R$1207&lt;R938))+1,"")</f>
        <v/>
      </c>
      <c r="T938" s="30">
        <f>IF(K938=1,'ORDENES'!$J934,"")</f>
        <v/>
      </c>
    </row>
    <row r="939">
      <c r="K939" s="24">
        <f>IF(AND(IF($B$3="(todos)",TRUE,'ORDENES'!$O935=$B$3),IF($D$3="(todos)",TRUE,'ORDENES'!$AI935=$D$3),IF($F$3="(todos)",TRUE,'ORDENES'!$AA935=$F$3),IF($H$3="(todos)",TRUE,'ORDENES'!$Z935=$H$3),'ORDENES'!$AG935=TRUE,'ORDENES'!$A935&lt;&gt;""),1,0)</f>
        <v/>
      </c>
      <c r="L939" s="24">
        <f>IF(K939=1,IFERROR(MATCH('ORDENES'!$S935,lista_dias,0),9)*1000000000+IFERROR(MATCH('ORDENES'!$AI935,lista_turnos,0),9)*10000000+IFERROR(MATCH('ORDENES'!$AH935,'TECNICOS'!$B$4:$B$19,0),99)*100000+932,9000000000000+932)</f>
        <v/>
      </c>
      <c r="M939" s="24">
        <f>IF(K939=1,SUMPRODUCT(--($L$8:$L$1207&lt;L939))+1,"")</f>
        <v/>
      </c>
      <c r="N939" s="25">
        <f>IF(K939=1,N('ORDENES'!$M935),0)</f>
        <v/>
      </c>
      <c r="O939" s="25">
        <f>IF('ORDENES'!$U935="preventiva",N939,0)</f>
        <v/>
      </c>
      <c r="P939" s="25">
        <f>IF('ORDENES'!$U935="correctiva",N939,0)</f>
        <v/>
      </c>
      <c r="Q939" s="24">
        <f>IF(AND(K939=1,'ORDENES'!$N935="Pendiente"),1,0)</f>
        <v/>
      </c>
      <c r="R939" s="24">
        <f>IF(Q939=1,100000-N939*1000+932*0.01,9000000000000+932)</f>
        <v/>
      </c>
      <c r="S939" s="24">
        <f>IF(Q939=1,SUMPRODUCT(--($R$8:$R$1207&lt;R939))+1,"")</f>
        <v/>
      </c>
      <c r="T939" s="30">
        <f>IF(K939=1,'ORDENES'!$J935,"")</f>
        <v/>
      </c>
    </row>
    <row r="940">
      <c r="K940" s="24">
        <f>IF(AND(IF($B$3="(todos)",TRUE,'ORDENES'!$O936=$B$3),IF($D$3="(todos)",TRUE,'ORDENES'!$AI936=$D$3),IF($F$3="(todos)",TRUE,'ORDENES'!$AA936=$F$3),IF($H$3="(todos)",TRUE,'ORDENES'!$Z936=$H$3),'ORDENES'!$AG936=TRUE,'ORDENES'!$A936&lt;&gt;""),1,0)</f>
        <v/>
      </c>
      <c r="L940" s="24">
        <f>IF(K940=1,IFERROR(MATCH('ORDENES'!$S936,lista_dias,0),9)*1000000000+IFERROR(MATCH('ORDENES'!$AI936,lista_turnos,0),9)*10000000+IFERROR(MATCH('ORDENES'!$AH936,'TECNICOS'!$B$4:$B$19,0),99)*100000+933,9000000000000+933)</f>
        <v/>
      </c>
      <c r="M940" s="24">
        <f>IF(K940=1,SUMPRODUCT(--($L$8:$L$1207&lt;L940))+1,"")</f>
        <v/>
      </c>
      <c r="N940" s="25">
        <f>IF(K940=1,N('ORDENES'!$M936),0)</f>
        <v/>
      </c>
      <c r="O940" s="25">
        <f>IF('ORDENES'!$U936="preventiva",N940,0)</f>
        <v/>
      </c>
      <c r="P940" s="25">
        <f>IF('ORDENES'!$U936="correctiva",N940,0)</f>
        <v/>
      </c>
      <c r="Q940" s="24">
        <f>IF(AND(K940=1,'ORDENES'!$N936="Pendiente"),1,0)</f>
        <v/>
      </c>
      <c r="R940" s="24">
        <f>IF(Q940=1,100000-N940*1000+933*0.01,9000000000000+933)</f>
        <v/>
      </c>
      <c r="S940" s="24">
        <f>IF(Q940=1,SUMPRODUCT(--($R$8:$R$1207&lt;R940))+1,"")</f>
        <v/>
      </c>
      <c r="T940" s="30">
        <f>IF(K940=1,'ORDENES'!$J936,"")</f>
        <v/>
      </c>
    </row>
    <row r="941">
      <c r="K941" s="24">
        <f>IF(AND(IF($B$3="(todos)",TRUE,'ORDENES'!$O937=$B$3),IF($D$3="(todos)",TRUE,'ORDENES'!$AI937=$D$3),IF($F$3="(todos)",TRUE,'ORDENES'!$AA937=$F$3),IF($H$3="(todos)",TRUE,'ORDENES'!$Z937=$H$3),'ORDENES'!$AG937=TRUE,'ORDENES'!$A937&lt;&gt;""),1,0)</f>
        <v/>
      </c>
      <c r="L941" s="24">
        <f>IF(K941=1,IFERROR(MATCH('ORDENES'!$S937,lista_dias,0),9)*1000000000+IFERROR(MATCH('ORDENES'!$AI937,lista_turnos,0),9)*10000000+IFERROR(MATCH('ORDENES'!$AH937,'TECNICOS'!$B$4:$B$19,0),99)*100000+934,9000000000000+934)</f>
        <v/>
      </c>
      <c r="M941" s="24">
        <f>IF(K941=1,SUMPRODUCT(--($L$8:$L$1207&lt;L941))+1,"")</f>
        <v/>
      </c>
      <c r="N941" s="25">
        <f>IF(K941=1,N('ORDENES'!$M937),0)</f>
        <v/>
      </c>
      <c r="O941" s="25">
        <f>IF('ORDENES'!$U937="preventiva",N941,0)</f>
        <v/>
      </c>
      <c r="P941" s="25">
        <f>IF('ORDENES'!$U937="correctiva",N941,0)</f>
        <v/>
      </c>
      <c r="Q941" s="24">
        <f>IF(AND(K941=1,'ORDENES'!$N937="Pendiente"),1,0)</f>
        <v/>
      </c>
      <c r="R941" s="24">
        <f>IF(Q941=1,100000-N941*1000+934*0.01,9000000000000+934)</f>
        <v/>
      </c>
      <c r="S941" s="24">
        <f>IF(Q941=1,SUMPRODUCT(--($R$8:$R$1207&lt;R941))+1,"")</f>
        <v/>
      </c>
      <c r="T941" s="30">
        <f>IF(K941=1,'ORDENES'!$J937,"")</f>
        <v/>
      </c>
    </row>
    <row r="942">
      <c r="K942" s="24">
        <f>IF(AND(IF($B$3="(todos)",TRUE,'ORDENES'!$O938=$B$3),IF($D$3="(todos)",TRUE,'ORDENES'!$AI938=$D$3),IF($F$3="(todos)",TRUE,'ORDENES'!$AA938=$F$3),IF($H$3="(todos)",TRUE,'ORDENES'!$Z938=$H$3),'ORDENES'!$AG938=TRUE,'ORDENES'!$A938&lt;&gt;""),1,0)</f>
        <v/>
      </c>
      <c r="L942" s="24">
        <f>IF(K942=1,IFERROR(MATCH('ORDENES'!$S938,lista_dias,0),9)*1000000000+IFERROR(MATCH('ORDENES'!$AI938,lista_turnos,0),9)*10000000+IFERROR(MATCH('ORDENES'!$AH938,'TECNICOS'!$B$4:$B$19,0),99)*100000+935,9000000000000+935)</f>
        <v/>
      </c>
      <c r="M942" s="24">
        <f>IF(K942=1,SUMPRODUCT(--($L$8:$L$1207&lt;L942))+1,"")</f>
        <v/>
      </c>
      <c r="N942" s="25">
        <f>IF(K942=1,N('ORDENES'!$M938),0)</f>
        <v/>
      </c>
      <c r="O942" s="25">
        <f>IF('ORDENES'!$U938="preventiva",N942,0)</f>
        <v/>
      </c>
      <c r="P942" s="25">
        <f>IF('ORDENES'!$U938="correctiva",N942,0)</f>
        <v/>
      </c>
      <c r="Q942" s="24">
        <f>IF(AND(K942=1,'ORDENES'!$N938="Pendiente"),1,0)</f>
        <v/>
      </c>
      <c r="R942" s="24">
        <f>IF(Q942=1,100000-N942*1000+935*0.01,9000000000000+935)</f>
        <v/>
      </c>
      <c r="S942" s="24">
        <f>IF(Q942=1,SUMPRODUCT(--($R$8:$R$1207&lt;R942))+1,"")</f>
        <v/>
      </c>
      <c r="T942" s="30">
        <f>IF(K942=1,'ORDENES'!$J938,"")</f>
        <v/>
      </c>
    </row>
    <row r="943">
      <c r="K943" s="24">
        <f>IF(AND(IF($B$3="(todos)",TRUE,'ORDENES'!$O939=$B$3),IF($D$3="(todos)",TRUE,'ORDENES'!$AI939=$D$3),IF($F$3="(todos)",TRUE,'ORDENES'!$AA939=$F$3),IF($H$3="(todos)",TRUE,'ORDENES'!$Z939=$H$3),'ORDENES'!$AG939=TRUE,'ORDENES'!$A939&lt;&gt;""),1,0)</f>
        <v/>
      </c>
      <c r="L943" s="24">
        <f>IF(K943=1,IFERROR(MATCH('ORDENES'!$S939,lista_dias,0),9)*1000000000+IFERROR(MATCH('ORDENES'!$AI939,lista_turnos,0),9)*10000000+IFERROR(MATCH('ORDENES'!$AH939,'TECNICOS'!$B$4:$B$19,0),99)*100000+936,9000000000000+936)</f>
        <v/>
      </c>
      <c r="M943" s="24">
        <f>IF(K943=1,SUMPRODUCT(--($L$8:$L$1207&lt;L943))+1,"")</f>
        <v/>
      </c>
      <c r="N943" s="25">
        <f>IF(K943=1,N('ORDENES'!$M939),0)</f>
        <v/>
      </c>
      <c r="O943" s="25">
        <f>IF('ORDENES'!$U939="preventiva",N943,0)</f>
        <v/>
      </c>
      <c r="P943" s="25">
        <f>IF('ORDENES'!$U939="correctiva",N943,0)</f>
        <v/>
      </c>
      <c r="Q943" s="24">
        <f>IF(AND(K943=1,'ORDENES'!$N939="Pendiente"),1,0)</f>
        <v/>
      </c>
      <c r="R943" s="24">
        <f>IF(Q943=1,100000-N943*1000+936*0.01,9000000000000+936)</f>
        <v/>
      </c>
      <c r="S943" s="24">
        <f>IF(Q943=1,SUMPRODUCT(--($R$8:$R$1207&lt;R943))+1,"")</f>
        <v/>
      </c>
      <c r="T943" s="30">
        <f>IF(K943=1,'ORDENES'!$J939,"")</f>
        <v/>
      </c>
    </row>
    <row r="944">
      <c r="K944" s="24">
        <f>IF(AND(IF($B$3="(todos)",TRUE,'ORDENES'!$O940=$B$3),IF($D$3="(todos)",TRUE,'ORDENES'!$AI940=$D$3),IF($F$3="(todos)",TRUE,'ORDENES'!$AA940=$F$3),IF($H$3="(todos)",TRUE,'ORDENES'!$Z940=$H$3),'ORDENES'!$AG940=TRUE,'ORDENES'!$A940&lt;&gt;""),1,0)</f>
        <v/>
      </c>
      <c r="L944" s="24">
        <f>IF(K944=1,IFERROR(MATCH('ORDENES'!$S940,lista_dias,0),9)*1000000000+IFERROR(MATCH('ORDENES'!$AI940,lista_turnos,0),9)*10000000+IFERROR(MATCH('ORDENES'!$AH940,'TECNICOS'!$B$4:$B$19,0),99)*100000+937,9000000000000+937)</f>
        <v/>
      </c>
      <c r="M944" s="24">
        <f>IF(K944=1,SUMPRODUCT(--($L$8:$L$1207&lt;L944))+1,"")</f>
        <v/>
      </c>
      <c r="N944" s="25">
        <f>IF(K944=1,N('ORDENES'!$M940),0)</f>
        <v/>
      </c>
      <c r="O944" s="25">
        <f>IF('ORDENES'!$U940="preventiva",N944,0)</f>
        <v/>
      </c>
      <c r="P944" s="25">
        <f>IF('ORDENES'!$U940="correctiva",N944,0)</f>
        <v/>
      </c>
      <c r="Q944" s="24">
        <f>IF(AND(K944=1,'ORDENES'!$N940="Pendiente"),1,0)</f>
        <v/>
      </c>
      <c r="R944" s="24">
        <f>IF(Q944=1,100000-N944*1000+937*0.01,9000000000000+937)</f>
        <v/>
      </c>
      <c r="S944" s="24">
        <f>IF(Q944=1,SUMPRODUCT(--($R$8:$R$1207&lt;R944))+1,"")</f>
        <v/>
      </c>
      <c r="T944" s="30">
        <f>IF(K944=1,'ORDENES'!$J940,"")</f>
        <v/>
      </c>
    </row>
    <row r="945">
      <c r="K945" s="24">
        <f>IF(AND(IF($B$3="(todos)",TRUE,'ORDENES'!$O941=$B$3),IF($D$3="(todos)",TRUE,'ORDENES'!$AI941=$D$3),IF($F$3="(todos)",TRUE,'ORDENES'!$AA941=$F$3),IF($H$3="(todos)",TRUE,'ORDENES'!$Z941=$H$3),'ORDENES'!$AG941=TRUE,'ORDENES'!$A941&lt;&gt;""),1,0)</f>
        <v/>
      </c>
      <c r="L945" s="24">
        <f>IF(K945=1,IFERROR(MATCH('ORDENES'!$S941,lista_dias,0),9)*1000000000+IFERROR(MATCH('ORDENES'!$AI941,lista_turnos,0),9)*10000000+IFERROR(MATCH('ORDENES'!$AH941,'TECNICOS'!$B$4:$B$19,0),99)*100000+938,9000000000000+938)</f>
        <v/>
      </c>
      <c r="M945" s="24">
        <f>IF(K945=1,SUMPRODUCT(--($L$8:$L$1207&lt;L945))+1,"")</f>
        <v/>
      </c>
      <c r="N945" s="25">
        <f>IF(K945=1,N('ORDENES'!$M941),0)</f>
        <v/>
      </c>
      <c r="O945" s="25">
        <f>IF('ORDENES'!$U941="preventiva",N945,0)</f>
        <v/>
      </c>
      <c r="P945" s="25">
        <f>IF('ORDENES'!$U941="correctiva",N945,0)</f>
        <v/>
      </c>
      <c r="Q945" s="24">
        <f>IF(AND(K945=1,'ORDENES'!$N941="Pendiente"),1,0)</f>
        <v/>
      </c>
      <c r="R945" s="24">
        <f>IF(Q945=1,100000-N945*1000+938*0.01,9000000000000+938)</f>
        <v/>
      </c>
      <c r="S945" s="24">
        <f>IF(Q945=1,SUMPRODUCT(--($R$8:$R$1207&lt;R945))+1,"")</f>
        <v/>
      </c>
      <c r="T945" s="30">
        <f>IF(K945=1,'ORDENES'!$J941,"")</f>
        <v/>
      </c>
    </row>
    <row r="946">
      <c r="K946" s="24">
        <f>IF(AND(IF($B$3="(todos)",TRUE,'ORDENES'!$O942=$B$3),IF($D$3="(todos)",TRUE,'ORDENES'!$AI942=$D$3),IF($F$3="(todos)",TRUE,'ORDENES'!$AA942=$F$3),IF($H$3="(todos)",TRUE,'ORDENES'!$Z942=$H$3),'ORDENES'!$AG942=TRUE,'ORDENES'!$A942&lt;&gt;""),1,0)</f>
        <v/>
      </c>
      <c r="L946" s="24">
        <f>IF(K946=1,IFERROR(MATCH('ORDENES'!$S942,lista_dias,0),9)*1000000000+IFERROR(MATCH('ORDENES'!$AI942,lista_turnos,0),9)*10000000+IFERROR(MATCH('ORDENES'!$AH942,'TECNICOS'!$B$4:$B$19,0),99)*100000+939,9000000000000+939)</f>
        <v/>
      </c>
      <c r="M946" s="24">
        <f>IF(K946=1,SUMPRODUCT(--($L$8:$L$1207&lt;L946))+1,"")</f>
        <v/>
      </c>
      <c r="N946" s="25">
        <f>IF(K946=1,N('ORDENES'!$M942),0)</f>
        <v/>
      </c>
      <c r="O946" s="25">
        <f>IF('ORDENES'!$U942="preventiva",N946,0)</f>
        <v/>
      </c>
      <c r="P946" s="25">
        <f>IF('ORDENES'!$U942="correctiva",N946,0)</f>
        <v/>
      </c>
      <c r="Q946" s="24">
        <f>IF(AND(K946=1,'ORDENES'!$N942="Pendiente"),1,0)</f>
        <v/>
      </c>
      <c r="R946" s="24">
        <f>IF(Q946=1,100000-N946*1000+939*0.01,9000000000000+939)</f>
        <v/>
      </c>
      <c r="S946" s="24">
        <f>IF(Q946=1,SUMPRODUCT(--($R$8:$R$1207&lt;R946))+1,"")</f>
        <v/>
      </c>
      <c r="T946" s="30">
        <f>IF(K946=1,'ORDENES'!$J942,"")</f>
        <v/>
      </c>
    </row>
    <row r="947">
      <c r="K947" s="24">
        <f>IF(AND(IF($B$3="(todos)",TRUE,'ORDENES'!$O943=$B$3),IF($D$3="(todos)",TRUE,'ORDENES'!$AI943=$D$3),IF($F$3="(todos)",TRUE,'ORDENES'!$AA943=$F$3),IF($H$3="(todos)",TRUE,'ORDENES'!$Z943=$H$3),'ORDENES'!$AG943=TRUE,'ORDENES'!$A943&lt;&gt;""),1,0)</f>
        <v/>
      </c>
      <c r="L947" s="24">
        <f>IF(K947=1,IFERROR(MATCH('ORDENES'!$S943,lista_dias,0),9)*1000000000+IFERROR(MATCH('ORDENES'!$AI943,lista_turnos,0),9)*10000000+IFERROR(MATCH('ORDENES'!$AH943,'TECNICOS'!$B$4:$B$19,0),99)*100000+940,9000000000000+940)</f>
        <v/>
      </c>
      <c r="M947" s="24">
        <f>IF(K947=1,SUMPRODUCT(--($L$8:$L$1207&lt;L947))+1,"")</f>
        <v/>
      </c>
      <c r="N947" s="25">
        <f>IF(K947=1,N('ORDENES'!$M943),0)</f>
        <v/>
      </c>
      <c r="O947" s="25">
        <f>IF('ORDENES'!$U943="preventiva",N947,0)</f>
        <v/>
      </c>
      <c r="P947" s="25">
        <f>IF('ORDENES'!$U943="correctiva",N947,0)</f>
        <v/>
      </c>
      <c r="Q947" s="24">
        <f>IF(AND(K947=1,'ORDENES'!$N943="Pendiente"),1,0)</f>
        <v/>
      </c>
      <c r="R947" s="24">
        <f>IF(Q947=1,100000-N947*1000+940*0.01,9000000000000+940)</f>
        <v/>
      </c>
      <c r="S947" s="24">
        <f>IF(Q947=1,SUMPRODUCT(--($R$8:$R$1207&lt;R947))+1,"")</f>
        <v/>
      </c>
      <c r="T947" s="30">
        <f>IF(K947=1,'ORDENES'!$J943,"")</f>
        <v/>
      </c>
    </row>
    <row r="948">
      <c r="K948" s="24">
        <f>IF(AND(IF($B$3="(todos)",TRUE,'ORDENES'!$O944=$B$3),IF($D$3="(todos)",TRUE,'ORDENES'!$AI944=$D$3),IF($F$3="(todos)",TRUE,'ORDENES'!$AA944=$F$3),IF($H$3="(todos)",TRUE,'ORDENES'!$Z944=$H$3),'ORDENES'!$AG944=TRUE,'ORDENES'!$A944&lt;&gt;""),1,0)</f>
        <v/>
      </c>
      <c r="L948" s="24">
        <f>IF(K948=1,IFERROR(MATCH('ORDENES'!$S944,lista_dias,0),9)*1000000000+IFERROR(MATCH('ORDENES'!$AI944,lista_turnos,0),9)*10000000+IFERROR(MATCH('ORDENES'!$AH944,'TECNICOS'!$B$4:$B$19,0),99)*100000+941,9000000000000+941)</f>
        <v/>
      </c>
      <c r="M948" s="24">
        <f>IF(K948=1,SUMPRODUCT(--($L$8:$L$1207&lt;L948))+1,"")</f>
        <v/>
      </c>
      <c r="N948" s="25">
        <f>IF(K948=1,N('ORDENES'!$M944),0)</f>
        <v/>
      </c>
      <c r="O948" s="25">
        <f>IF('ORDENES'!$U944="preventiva",N948,0)</f>
        <v/>
      </c>
      <c r="P948" s="25">
        <f>IF('ORDENES'!$U944="correctiva",N948,0)</f>
        <v/>
      </c>
      <c r="Q948" s="24">
        <f>IF(AND(K948=1,'ORDENES'!$N944="Pendiente"),1,0)</f>
        <v/>
      </c>
      <c r="R948" s="24">
        <f>IF(Q948=1,100000-N948*1000+941*0.01,9000000000000+941)</f>
        <v/>
      </c>
      <c r="S948" s="24">
        <f>IF(Q948=1,SUMPRODUCT(--($R$8:$R$1207&lt;R948))+1,"")</f>
        <v/>
      </c>
      <c r="T948" s="30">
        <f>IF(K948=1,'ORDENES'!$J944,"")</f>
        <v/>
      </c>
    </row>
    <row r="949">
      <c r="K949" s="24">
        <f>IF(AND(IF($B$3="(todos)",TRUE,'ORDENES'!$O945=$B$3),IF($D$3="(todos)",TRUE,'ORDENES'!$AI945=$D$3),IF($F$3="(todos)",TRUE,'ORDENES'!$AA945=$F$3),IF($H$3="(todos)",TRUE,'ORDENES'!$Z945=$H$3),'ORDENES'!$AG945=TRUE,'ORDENES'!$A945&lt;&gt;""),1,0)</f>
        <v/>
      </c>
      <c r="L949" s="24">
        <f>IF(K949=1,IFERROR(MATCH('ORDENES'!$S945,lista_dias,0),9)*1000000000+IFERROR(MATCH('ORDENES'!$AI945,lista_turnos,0),9)*10000000+IFERROR(MATCH('ORDENES'!$AH945,'TECNICOS'!$B$4:$B$19,0),99)*100000+942,9000000000000+942)</f>
        <v/>
      </c>
      <c r="M949" s="24">
        <f>IF(K949=1,SUMPRODUCT(--($L$8:$L$1207&lt;L949))+1,"")</f>
        <v/>
      </c>
      <c r="N949" s="25">
        <f>IF(K949=1,N('ORDENES'!$M945),0)</f>
        <v/>
      </c>
      <c r="O949" s="25">
        <f>IF('ORDENES'!$U945="preventiva",N949,0)</f>
        <v/>
      </c>
      <c r="P949" s="25">
        <f>IF('ORDENES'!$U945="correctiva",N949,0)</f>
        <v/>
      </c>
      <c r="Q949" s="24">
        <f>IF(AND(K949=1,'ORDENES'!$N945="Pendiente"),1,0)</f>
        <v/>
      </c>
      <c r="R949" s="24">
        <f>IF(Q949=1,100000-N949*1000+942*0.01,9000000000000+942)</f>
        <v/>
      </c>
      <c r="S949" s="24">
        <f>IF(Q949=1,SUMPRODUCT(--($R$8:$R$1207&lt;R949))+1,"")</f>
        <v/>
      </c>
      <c r="T949" s="30">
        <f>IF(K949=1,'ORDENES'!$J945,"")</f>
        <v/>
      </c>
    </row>
    <row r="950">
      <c r="K950" s="24">
        <f>IF(AND(IF($B$3="(todos)",TRUE,'ORDENES'!$O946=$B$3),IF($D$3="(todos)",TRUE,'ORDENES'!$AI946=$D$3),IF($F$3="(todos)",TRUE,'ORDENES'!$AA946=$F$3),IF($H$3="(todos)",TRUE,'ORDENES'!$Z946=$H$3),'ORDENES'!$AG946=TRUE,'ORDENES'!$A946&lt;&gt;""),1,0)</f>
        <v/>
      </c>
      <c r="L950" s="24">
        <f>IF(K950=1,IFERROR(MATCH('ORDENES'!$S946,lista_dias,0),9)*1000000000+IFERROR(MATCH('ORDENES'!$AI946,lista_turnos,0),9)*10000000+IFERROR(MATCH('ORDENES'!$AH946,'TECNICOS'!$B$4:$B$19,0),99)*100000+943,9000000000000+943)</f>
        <v/>
      </c>
      <c r="M950" s="24">
        <f>IF(K950=1,SUMPRODUCT(--($L$8:$L$1207&lt;L950))+1,"")</f>
        <v/>
      </c>
      <c r="N950" s="25">
        <f>IF(K950=1,N('ORDENES'!$M946),0)</f>
        <v/>
      </c>
      <c r="O950" s="25">
        <f>IF('ORDENES'!$U946="preventiva",N950,0)</f>
        <v/>
      </c>
      <c r="P950" s="25">
        <f>IF('ORDENES'!$U946="correctiva",N950,0)</f>
        <v/>
      </c>
      <c r="Q950" s="24">
        <f>IF(AND(K950=1,'ORDENES'!$N946="Pendiente"),1,0)</f>
        <v/>
      </c>
      <c r="R950" s="24">
        <f>IF(Q950=1,100000-N950*1000+943*0.01,9000000000000+943)</f>
        <v/>
      </c>
      <c r="S950" s="24">
        <f>IF(Q950=1,SUMPRODUCT(--($R$8:$R$1207&lt;R950))+1,"")</f>
        <v/>
      </c>
      <c r="T950" s="30">
        <f>IF(K950=1,'ORDENES'!$J946,"")</f>
        <v/>
      </c>
    </row>
    <row r="951">
      <c r="K951" s="24">
        <f>IF(AND(IF($B$3="(todos)",TRUE,'ORDENES'!$O947=$B$3),IF($D$3="(todos)",TRUE,'ORDENES'!$AI947=$D$3),IF($F$3="(todos)",TRUE,'ORDENES'!$AA947=$F$3),IF($H$3="(todos)",TRUE,'ORDENES'!$Z947=$H$3),'ORDENES'!$AG947=TRUE,'ORDENES'!$A947&lt;&gt;""),1,0)</f>
        <v/>
      </c>
      <c r="L951" s="24">
        <f>IF(K951=1,IFERROR(MATCH('ORDENES'!$S947,lista_dias,0),9)*1000000000+IFERROR(MATCH('ORDENES'!$AI947,lista_turnos,0),9)*10000000+IFERROR(MATCH('ORDENES'!$AH947,'TECNICOS'!$B$4:$B$19,0),99)*100000+944,9000000000000+944)</f>
        <v/>
      </c>
      <c r="M951" s="24">
        <f>IF(K951=1,SUMPRODUCT(--($L$8:$L$1207&lt;L951))+1,"")</f>
        <v/>
      </c>
      <c r="N951" s="25">
        <f>IF(K951=1,N('ORDENES'!$M947),0)</f>
        <v/>
      </c>
      <c r="O951" s="25">
        <f>IF('ORDENES'!$U947="preventiva",N951,0)</f>
        <v/>
      </c>
      <c r="P951" s="25">
        <f>IF('ORDENES'!$U947="correctiva",N951,0)</f>
        <v/>
      </c>
      <c r="Q951" s="24">
        <f>IF(AND(K951=1,'ORDENES'!$N947="Pendiente"),1,0)</f>
        <v/>
      </c>
      <c r="R951" s="24">
        <f>IF(Q951=1,100000-N951*1000+944*0.01,9000000000000+944)</f>
        <v/>
      </c>
      <c r="S951" s="24">
        <f>IF(Q951=1,SUMPRODUCT(--($R$8:$R$1207&lt;R951))+1,"")</f>
        <v/>
      </c>
      <c r="T951" s="30">
        <f>IF(K951=1,'ORDENES'!$J947,"")</f>
        <v/>
      </c>
    </row>
    <row r="952">
      <c r="K952" s="24">
        <f>IF(AND(IF($B$3="(todos)",TRUE,'ORDENES'!$O948=$B$3),IF($D$3="(todos)",TRUE,'ORDENES'!$AI948=$D$3),IF($F$3="(todos)",TRUE,'ORDENES'!$AA948=$F$3),IF($H$3="(todos)",TRUE,'ORDENES'!$Z948=$H$3),'ORDENES'!$AG948=TRUE,'ORDENES'!$A948&lt;&gt;""),1,0)</f>
        <v/>
      </c>
      <c r="L952" s="24">
        <f>IF(K952=1,IFERROR(MATCH('ORDENES'!$S948,lista_dias,0),9)*1000000000+IFERROR(MATCH('ORDENES'!$AI948,lista_turnos,0),9)*10000000+IFERROR(MATCH('ORDENES'!$AH948,'TECNICOS'!$B$4:$B$19,0),99)*100000+945,9000000000000+945)</f>
        <v/>
      </c>
      <c r="M952" s="24">
        <f>IF(K952=1,SUMPRODUCT(--($L$8:$L$1207&lt;L952))+1,"")</f>
        <v/>
      </c>
      <c r="N952" s="25">
        <f>IF(K952=1,N('ORDENES'!$M948),0)</f>
        <v/>
      </c>
      <c r="O952" s="25">
        <f>IF('ORDENES'!$U948="preventiva",N952,0)</f>
        <v/>
      </c>
      <c r="P952" s="25">
        <f>IF('ORDENES'!$U948="correctiva",N952,0)</f>
        <v/>
      </c>
      <c r="Q952" s="24">
        <f>IF(AND(K952=1,'ORDENES'!$N948="Pendiente"),1,0)</f>
        <v/>
      </c>
      <c r="R952" s="24">
        <f>IF(Q952=1,100000-N952*1000+945*0.01,9000000000000+945)</f>
        <v/>
      </c>
      <c r="S952" s="24">
        <f>IF(Q952=1,SUMPRODUCT(--($R$8:$R$1207&lt;R952))+1,"")</f>
        <v/>
      </c>
      <c r="T952" s="30">
        <f>IF(K952=1,'ORDENES'!$J948,"")</f>
        <v/>
      </c>
    </row>
    <row r="953">
      <c r="K953" s="24">
        <f>IF(AND(IF($B$3="(todos)",TRUE,'ORDENES'!$O949=$B$3),IF($D$3="(todos)",TRUE,'ORDENES'!$AI949=$D$3),IF($F$3="(todos)",TRUE,'ORDENES'!$AA949=$F$3),IF($H$3="(todos)",TRUE,'ORDENES'!$Z949=$H$3),'ORDENES'!$AG949=TRUE,'ORDENES'!$A949&lt;&gt;""),1,0)</f>
        <v/>
      </c>
      <c r="L953" s="24">
        <f>IF(K953=1,IFERROR(MATCH('ORDENES'!$S949,lista_dias,0),9)*1000000000+IFERROR(MATCH('ORDENES'!$AI949,lista_turnos,0),9)*10000000+IFERROR(MATCH('ORDENES'!$AH949,'TECNICOS'!$B$4:$B$19,0),99)*100000+946,9000000000000+946)</f>
        <v/>
      </c>
      <c r="M953" s="24">
        <f>IF(K953=1,SUMPRODUCT(--($L$8:$L$1207&lt;L953))+1,"")</f>
        <v/>
      </c>
      <c r="N953" s="25">
        <f>IF(K953=1,N('ORDENES'!$M949),0)</f>
        <v/>
      </c>
      <c r="O953" s="25">
        <f>IF('ORDENES'!$U949="preventiva",N953,0)</f>
        <v/>
      </c>
      <c r="P953" s="25">
        <f>IF('ORDENES'!$U949="correctiva",N953,0)</f>
        <v/>
      </c>
      <c r="Q953" s="24">
        <f>IF(AND(K953=1,'ORDENES'!$N949="Pendiente"),1,0)</f>
        <v/>
      </c>
      <c r="R953" s="24">
        <f>IF(Q953=1,100000-N953*1000+946*0.01,9000000000000+946)</f>
        <v/>
      </c>
      <c r="S953" s="24">
        <f>IF(Q953=1,SUMPRODUCT(--($R$8:$R$1207&lt;R953))+1,"")</f>
        <v/>
      </c>
      <c r="T953" s="30">
        <f>IF(K953=1,'ORDENES'!$J949,"")</f>
        <v/>
      </c>
    </row>
    <row r="954">
      <c r="K954" s="24">
        <f>IF(AND(IF($B$3="(todos)",TRUE,'ORDENES'!$O950=$B$3),IF($D$3="(todos)",TRUE,'ORDENES'!$AI950=$D$3),IF($F$3="(todos)",TRUE,'ORDENES'!$AA950=$F$3),IF($H$3="(todos)",TRUE,'ORDENES'!$Z950=$H$3),'ORDENES'!$AG950=TRUE,'ORDENES'!$A950&lt;&gt;""),1,0)</f>
        <v/>
      </c>
      <c r="L954" s="24">
        <f>IF(K954=1,IFERROR(MATCH('ORDENES'!$S950,lista_dias,0),9)*1000000000+IFERROR(MATCH('ORDENES'!$AI950,lista_turnos,0),9)*10000000+IFERROR(MATCH('ORDENES'!$AH950,'TECNICOS'!$B$4:$B$19,0),99)*100000+947,9000000000000+947)</f>
        <v/>
      </c>
      <c r="M954" s="24">
        <f>IF(K954=1,SUMPRODUCT(--($L$8:$L$1207&lt;L954))+1,"")</f>
        <v/>
      </c>
      <c r="N954" s="25">
        <f>IF(K954=1,N('ORDENES'!$M950),0)</f>
        <v/>
      </c>
      <c r="O954" s="25">
        <f>IF('ORDENES'!$U950="preventiva",N954,0)</f>
        <v/>
      </c>
      <c r="P954" s="25">
        <f>IF('ORDENES'!$U950="correctiva",N954,0)</f>
        <v/>
      </c>
      <c r="Q954" s="24">
        <f>IF(AND(K954=1,'ORDENES'!$N950="Pendiente"),1,0)</f>
        <v/>
      </c>
      <c r="R954" s="24">
        <f>IF(Q954=1,100000-N954*1000+947*0.01,9000000000000+947)</f>
        <v/>
      </c>
      <c r="S954" s="24">
        <f>IF(Q954=1,SUMPRODUCT(--($R$8:$R$1207&lt;R954))+1,"")</f>
        <v/>
      </c>
      <c r="T954" s="30">
        <f>IF(K954=1,'ORDENES'!$J950,"")</f>
        <v/>
      </c>
    </row>
    <row r="955">
      <c r="K955" s="24">
        <f>IF(AND(IF($B$3="(todos)",TRUE,'ORDENES'!$O951=$B$3),IF($D$3="(todos)",TRUE,'ORDENES'!$AI951=$D$3),IF($F$3="(todos)",TRUE,'ORDENES'!$AA951=$F$3),IF($H$3="(todos)",TRUE,'ORDENES'!$Z951=$H$3),'ORDENES'!$AG951=TRUE,'ORDENES'!$A951&lt;&gt;""),1,0)</f>
        <v/>
      </c>
      <c r="L955" s="24">
        <f>IF(K955=1,IFERROR(MATCH('ORDENES'!$S951,lista_dias,0),9)*1000000000+IFERROR(MATCH('ORDENES'!$AI951,lista_turnos,0),9)*10000000+IFERROR(MATCH('ORDENES'!$AH951,'TECNICOS'!$B$4:$B$19,0),99)*100000+948,9000000000000+948)</f>
        <v/>
      </c>
      <c r="M955" s="24">
        <f>IF(K955=1,SUMPRODUCT(--($L$8:$L$1207&lt;L955))+1,"")</f>
        <v/>
      </c>
      <c r="N955" s="25">
        <f>IF(K955=1,N('ORDENES'!$M951),0)</f>
        <v/>
      </c>
      <c r="O955" s="25">
        <f>IF('ORDENES'!$U951="preventiva",N955,0)</f>
        <v/>
      </c>
      <c r="P955" s="25">
        <f>IF('ORDENES'!$U951="correctiva",N955,0)</f>
        <v/>
      </c>
      <c r="Q955" s="24">
        <f>IF(AND(K955=1,'ORDENES'!$N951="Pendiente"),1,0)</f>
        <v/>
      </c>
      <c r="R955" s="24">
        <f>IF(Q955=1,100000-N955*1000+948*0.01,9000000000000+948)</f>
        <v/>
      </c>
      <c r="S955" s="24">
        <f>IF(Q955=1,SUMPRODUCT(--($R$8:$R$1207&lt;R955))+1,"")</f>
        <v/>
      </c>
      <c r="T955" s="30">
        <f>IF(K955=1,'ORDENES'!$J951,"")</f>
        <v/>
      </c>
    </row>
    <row r="956">
      <c r="K956" s="24">
        <f>IF(AND(IF($B$3="(todos)",TRUE,'ORDENES'!$O952=$B$3),IF($D$3="(todos)",TRUE,'ORDENES'!$AI952=$D$3),IF($F$3="(todos)",TRUE,'ORDENES'!$AA952=$F$3),IF($H$3="(todos)",TRUE,'ORDENES'!$Z952=$H$3),'ORDENES'!$AG952=TRUE,'ORDENES'!$A952&lt;&gt;""),1,0)</f>
        <v/>
      </c>
      <c r="L956" s="24">
        <f>IF(K956=1,IFERROR(MATCH('ORDENES'!$S952,lista_dias,0),9)*1000000000+IFERROR(MATCH('ORDENES'!$AI952,lista_turnos,0),9)*10000000+IFERROR(MATCH('ORDENES'!$AH952,'TECNICOS'!$B$4:$B$19,0),99)*100000+949,9000000000000+949)</f>
        <v/>
      </c>
      <c r="M956" s="24">
        <f>IF(K956=1,SUMPRODUCT(--($L$8:$L$1207&lt;L956))+1,"")</f>
        <v/>
      </c>
      <c r="N956" s="25">
        <f>IF(K956=1,N('ORDENES'!$M952),0)</f>
        <v/>
      </c>
      <c r="O956" s="25">
        <f>IF('ORDENES'!$U952="preventiva",N956,0)</f>
        <v/>
      </c>
      <c r="P956" s="25">
        <f>IF('ORDENES'!$U952="correctiva",N956,0)</f>
        <v/>
      </c>
      <c r="Q956" s="24">
        <f>IF(AND(K956=1,'ORDENES'!$N952="Pendiente"),1,0)</f>
        <v/>
      </c>
      <c r="R956" s="24">
        <f>IF(Q956=1,100000-N956*1000+949*0.01,9000000000000+949)</f>
        <v/>
      </c>
      <c r="S956" s="24">
        <f>IF(Q956=1,SUMPRODUCT(--($R$8:$R$1207&lt;R956))+1,"")</f>
        <v/>
      </c>
      <c r="T956" s="30">
        <f>IF(K956=1,'ORDENES'!$J952,"")</f>
        <v/>
      </c>
    </row>
    <row r="957">
      <c r="K957" s="24">
        <f>IF(AND(IF($B$3="(todos)",TRUE,'ORDENES'!$O953=$B$3),IF($D$3="(todos)",TRUE,'ORDENES'!$AI953=$D$3),IF($F$3="(todos)",TRUE,'ORDENES'!$AA953=$F$3),IF($H$3="(todos)",TRUE,'ORDENES'!$Z953=$H$3),'ORDENES'!$AG953=TRUE,'ORDENES'!$A953&lt;&gt;""),1,0)</f>
        <v/>
      </c>
      <c r="L957" s="24">
        <f>IF(K957=1,IFERROR(MATCH('ORDENES'!$S953,lista_dias,0),9)*1000000000+IFERROR(MATCH('ORDENES'!$AI953,lista_turnos,0),9)*10000000+IFERROR(MATCH('ORDENES'!$AH953,'TECNICOS'!$B$4:$B$19,0),99)*100000+950,9000000000000+950)</f>
        <v/>
      </c>
      <c r="M957" s="24">
        <f>IF(K957=1,SUMPRODUCT(--($L$8:$L$1207&lt;L957))+1,"")</f>
        <v/>
      </c>
      <c r="N957" s="25">
        <f>IF(K957=1,N('ORDENES'!$M953),0)</f>
        <v/>
      </c>
      <c r="O957" s="25">
        <f>IF('ORDENES'!$U953="preventiva",N957,0)</f>
        <v/>
      </c>
      <c r="P957" s="25">
        <f>IF('ORDENES'!$U953="correctiva",N957,0)</f>
        <v/>
      </c>
      <c r="Q957" s="24">
        <f>IF(AND(K957=1,'ORDENES'!$N953="Pendiente"),1,0)</f>
        <v/>
      </c>
      <c r="R957" s="24">
        <f>IF(Q957=1,100000-N957*1000+950*0.01,9000000000000+950)</f>
        <v/>
      </c>
      <c r="S957" s="24">
        <f>IF(Q957=1,SUMPRODUCT(--($R$8:$R$1207&lt;R957))+1,"")</f>
        <v/>
      </c>
      <c r="T957" s="30">
        <f>IF(K957=1,'ORDENES'!$J953,"")</f>
        <v/>
      </c>
    </row>
    <row r="958">
      <c r="K958" s="24">
        <f>IF(AND(IF($B$3="(todos)",TRUE,'ORDENES'!$O954=$B$3),IF($D$3="(todos)",TRUE,'ORDENES'!$AI954=$D$3),IF($F$3="(todos)",TRUE,'ORDENES'!$AA954=$F$3),IF($H$3="(todos)",TRUE,'ORDENES'!$Z954=$H$3),'ORDENES'!$AG954=TRUE,'ORDENES'!$A954&lt;&gt;""),1,0)</f>
        <v/>
      </c>
      <c r="L958" s="24">
        <f>IF(K958=1,IFERROR(MATCH('ORDENES'!$S954,lista_dias,0),9)*1000000000+IFERROR(MATCH('ORDENES'!$AI954,lista_turnos,0),9)*10000000+IFERROR(MATCH('ORDENES'!$AH954,'TECNICOS'!$B$4:$B$19,0),99)*100000+951,9000000000000+951)</f>
        <v/>
      </c>
      <c r="M958" s="24">
        <f>IF(K958=1,SUMPRODUCT(--($L$8:$L$1207&lt;L958))+1,"")</f>
        <v/>
      </c>
      <c r="N958" s="25">
        <f>IF(K958=1,N('ORDENES'!$M954),0)</f>
        <v/>
      </c>
      <c r="O958" s="25">
        <f>IF('ORDENES'!$U954="preventiva",N958,0)</f>
        <v/>
      </c>
      <c r="P958" s="25">
        <f>IF('ORDENES'!$U954="correctiva",N958,0)</f>
        <v/>
      </c>
      <c r="Q958" s="24">
        <f>IF(AND(K958=1,'ORDENES'!$N954="Pendiente"),1,0)</f>
        <v/>
      </c>
      <c r="R958" s="24">
        <f>IF(Q958=1,100000-N958*1000+951*0.01,9000000000000+951)</f>
        <v/>
      </c>
      <c r="S958" s="24">
        <f>IF(Q958=1,SUMPRODUCT(--($R$8:$R$1207&lt;R958))+1,"")</f>
        <v/>
      </c>
      <c r="T958" s="30">
        <f>IF(K958=1,'ORDENES'!$J954,"")</f>
        <v/>
      </c>
    </row>
    <row r="959">
      <c r="K959" s="24">
        <f>IF(AND(IF($B$3="(todos)",TRUE,'ORDENES'!$O955=$B$3),IF($D$3="(todos)",TRUE,'ORDENES'!$AI955=$D$3),IF($F$3="(todos)",TRUE,'ORDENES'!$AA955=$F$3),IF($H$3="(todos)",TRUE,'ORDENES'!$Z955=$H$3),'ORDENES'!$AG955=TRUE,'ORDENES'!$A955&lt;&gt;""),1,0)</f>
        <v/>
      </c>
      <c r="L959" s="24">
        <f>IF(K959=1,IFERROR(MATCH('ORDENES'!$S955,lista_dias,0),9)*1000000000+IFERROR(MATCH('ORDENES'!$AI955,lista_turnos,0),9)*10000000+IFERROR(MATCH('ORDENES'!$AH955,'TECNICOS'!$B$4:$B$19,0),99)*100000+952,9000000000000+952)</f>
        <v/>
      </c>
      <c r="M959" s="24">
        <f>IF(K959=1,SUMPRODUCT(--($L$8:$L$1207&lt;L959))+1,"")</f>
        <v/>
      </c>
      <c r="N959" s="25">
        <f>IF(K959=1,N('ORDENES'!$M955),0)</f>
        <v/>
      </c>
      <c r="O959" s="25">
        <f>IF('ORDENES'!$U955="preventiva",N959,0)</f>
        <v/>
      </c>
      <c r="P959" s="25">
        <f>IF('ORDENES'!$U955="correctiva",N959,0)</f>
        <v/>
      </c>
      <c r="Q959" s="24">
        <f>IF(AND(K959=1,'ORDENES'!$N955="Pendiente"),1,0)</f>
        <v/>
      </c>
      <c r="R959" s="24">
        <f>IF(Q959=1,100000-N959*1000+952*0.01,9000000000000+952)</f>
        <v/>
      </c>
      <c r="S959" s="24">
        <f>IF(Q959=1,SUMPRODUCT(--($R$8:$R$1207&lt;R959))+1,"")</f>
        <v/>
      </c>
      <c r="T959" s="30">
        <f>IF(K959=1,'ORDENES'!$J955,"")</f>
        <v/>
      </c>
    </row>
    <row r="960">
      <c r="K960" s="24">
        <f>IF(AND(IF($B$3="(todos)",TRUE,'ORDENES'!$O956=$B$3),IF($D$3="(todos)",TRUE,'ORDENES'!$AI956=$D$3),IF($F$3="(todos)",TRUE,'ORDENES'!$AA956=$F$3),IF($H$3="(todos)",TRUE,'ORDENES'!$Z956=$H$3),'ORDENES'!$AG956=TRUE,'ORDENES'!$A956&lt;&gt;""),1,0)</f>
        <v/>
      </c>
      <c r="L960" s="24">
        <f>IF(K960=1,IFERROR(MATCH('ORDENES'!$S956,lista_dias,0),9)*1000000000+IFERROR(MATCH('ORDENES'!$AI956,lista_turnos,0),9)*10000000+IFERROR(MATCH('ORDENES'!$AH956,'TECNICOS'!$B$4:$B$19,0),99)*100000+953,9000000000000+953)</f>
        <v/>
      </c>
      <c r="M960" s="24">
        <f>IF(K960=1,SUMPRODUCT(--($L$8:$L$1207&lt;L960))+1,"")</f>
        <v/>
      </c>
      <c r="N960" s="25">
        <f>IF(K960=1,N('ORDENES'!$M956),0)</f>
        <v/>
      </c>
      <c r="O960" s="25">
        <f>IF('ORDENES'!$U956="preventiva",N960,0)</f>
        <v/>
      </c>
      <c r="P960" s="25">
        <f>IF('ORDENES'!$U956="correctiva",N960,0)</f>
        <v/>
      </c>
      <c r="Q960" s="24">
        <f>IF(AND(K960=1,'ORDENES'!$N956="Pendiente"),1,0)</f>
        <v/>
      </c>
      <c r="R960" s="24">
        <f>IF(Q960=1,100000-N960*1000+953*0.01,9000000000000+953)</f>
        <v/>
      </c>
      <c r="S960" s="24">
        <f>IF(Q960=1,SUMPRODUCT(--($R$8:$R$1207&lt;R960))+1,"")</f>
        <v/>
      </c>
      <c r="T960" s="30">
        <f>IF(K960=1,'ORDENES'!$J956,"")</f>
        <v/>
      </c>
    </row>
    <row r="961">
      <c r="K961" s="24">
        <f>IF(AND(IF($B$3="(todos)",TRUE,'ORDENES'!$O957=$B$3),IF($D$3="(todos)",TRUE,'ORDENES'!$AI957=$D$3),IF($F$3="(todos)",TRUE,'ORDENES'!$AA957=$F$3),IF($H$3="(todos)",TRUE,'ORDENES'!$Z957=$H$3),'ORDENES'!$AG957=TRUE,'ORDENES'!$A957&lt;&gt;""),1,0)</f>
        <v/>
      </c>
      <c r="L961" s="24">
        <f>IF(K961=1,IFERROR(MATCH('ORDENES'!$S957,lista_dias,0),9)*1000000000+IFERROR(MATCH('ORDENES'!$AI957,lista_turnos,0),9)*10000000+IFERROR(MATCH('ORDENES'!$AH957,'TECNICOS'!$B$4:$B$19,0),99)*100000+954,9000000000000+954)</f>
        <v/>
      </c>
      <c r="M961" s="24">
        <f>IF(K961=1,SUMPRODUCT(--($L$8:$L$1207&lt;L961))+1,"")</f>
        <v/>
      </c>
      <c r="N961" s="25">
        <f>IF(K961=1,N('ORDENES'!$M957),0)</f>
        <v/>
      </c>
      <c r="O961" s="25">
        <f>IF('ORDENES'!$U957="preventiva",N961,0)</f>
        <v/>
      </c>
      <c r="P961" s="25">
        <f>IF('ORDENES'!$U957="correctiva",N961,0)</f>
        <v/>
      </c>
      <c r="Q961" s="24">
        <f>IF(AND(K961=1,'ORDENES'!$N957="Pendiente"),1,0)</f>
        <v/>
      </c>
      <c r="R961" s="24">
        <f>IF(Q961=1,100000-N961*1000+954*0.01,9000000000000+954)</f>
        <v/>
      </c>
      <c r="S961" s="24">
        <f>IF(Q961=1,SUMPRODUCT(--($R$8:$R$1207&lt;R961))+1,"")</f>
        <v/>
      </c>
      <c r="T961" s="30">
        <f>IF(K961=1,'ORDENES'!$J957,"")</f>
        <v/>
      </c>
    </row>
    <row r="962">
      <c r="K962" s="24">
        <f>IF(AND(IF($B$3="(todos)",TRUE,'ORDENES'!$O958=$B$3),IF($D$3="(todos)",TRUE,'ORDENES'!$AI958=$D$3),IF($F$3="(todos)",TRUE,'ORDENES'!$AA958=$F$3),IF($H$3="(todos)",TRUE,'ORDENES'!$Z958=$H$3),'ORDENES'!$AG958=TRUE,'ORDENES'!$A958&lt;&gt;""),1,0)</f>
        <v/>
      </c>
      <c r="L962" s="24">
        <f>IF(K962=1,IFERROR(MATCH('ORDENES'!$S958,lista_dias,0),9)*1000000000+IFERROR(MATCH('ORDENES'!$AI958,lista_turnos,0),9)*10000000+IFERROR(MATCH('ORDENES'!$AH958,'TECNICOS'!$B$4:$B$19,0),99)*100000+955,9000000000000+955)</f>
        <v/>
      </c>
      <c r="M962" s="24">
        <f>IF(K962=1,SUMPRODUCT(--($L$8:$L$1207&lt;L962))+1,"")</f>
        <v/>
      </c>
      <c r="N962" s="25">
        <f>IF(K962=1,N('ORDENES'!$M958),0)</f>
        <v/>
      </c>
      <c r="O962" s="25">
        <f>IF('ORDENES'!$U958="preventiva",N962,0)</f>
        <v/>
      </c>
      <c r="P962" s="25">
        <f>IF('ORDENES'!$U958="correctiva",N962,0)</f>
        <v/>
      </c>
      <c r="Q962" s="24">
        <f>IF(AND(K962=1,'ORDENES'!$N958="Pendiente"),1,0)</f>
        <v/>
      </c>
      <c r="R962" s="24">
        <f>IF(Q962=1,100000-N962*1000+955*0.01,9000000000000+955)</f>
        <v/>
      </c>
      <c r="S962" s="24">
        <f>IF(Q962=1,SUMPRODUCT(--($R$8:$R$1207&lt;R962))+1,"")</f>
        <v/>
      </c>
      <c r="T962" s="30">
        <f>IF(K962=1,'ORDENES'!$J958,"")</f>
        <v/>
      </c>
    </row>
    <row r="963">
      <c r="K963" s="24">
        <f>IF(AND(IF($B$3="(todos)",TRUE,'ORDENES'!$O959=$B$3),IF($D$3="(todos)",TRUE,'ORDENES'!$AI959=$D$3),IF($F$3="(todos)",TRUE,'ORDENES'!$AA959=$F$3),IF($H$3="(todos)",TRUE,'ORDENES'!$Z959=$H$3),'ORDENES'!$AG959=TRUE,'ORDENES'!$A959&lt;&gt;""),1,0)</f>
        <v/>
      </c>
      <c r="L963" s="24">
        <f>IF(K963=1,IFERROR(MATCH('ORDENES'!$S959,lista_dias,0),9)*1000000000+IFERROR(MATCH('ORDENES'!$AI959,lista_turnos,0),9)*10000000+IFERROR(MATCH('ORDENES'!$AH959,'TECNICOS'!$B$4:$B$19,0),99)*100000+956,9000000000000+956)</f>
        <v/>
      </c>
      <c r="M963" s="24">
        <f>IF(K963=1,SUMPRODUCT(--($L$8:$L$1207&lt;L963))+1,"")</f>
        <v/>
      </c>
      <c r="N963" s="25">
        <f>IF(K963=1,N('ORDENES'!$M959),0)</f>
        <v/>
      </c>
      <c r="O963" s="25">
        <f>IF('ORDENES'!$U959="preventiva",N963,0)</f>
        <v/>
      </c>
      <c r="P963" s="25">
        <f>IF('ORDENES'!$U959="correctiva",N963,0)</f>
        <v/>
      </c>
      <c r="Q963" s="24">
        <f>IF(AND(K963=1,'ORDENES'!$N959="Pendiente"),1,0)</f>
        <v/>
      </c>
      <c r="R963" s="24">
        <f>IF(Q963=1,100000-N963*1000+956*0.01,9000000000000+956)</f>
        <v/>
      </c>
      <c r="S963" s="24">
        <f>IF(Q963=1,SUMPRODUCT(--($R$8:$R$1207&lt;R963))+1,"")</f>
        <v/>
      </c>
      <c r="T963" s="30">
        <f>IF(K963=1,'ORDENES'!$J959,"")</f>
        <v/>
      </c>
    </row>
    <row r="964">
      <c r="K964" s="24">
        <f>IF(AND(IF($B$3="(todos)",TRUE,'ORDENES'!$O960=$B$3),IF($D$3="(todos)",TRUE,'ORDENES'!$AI960=$D$3),IF($F$3="(todos)",TRUE,'ORDENES'!$AA960=$F$3),IF($H$3="(todos)",TRUE,'ORDENES'!$Z960=$H$3),'ORDENES'!$AG960=TRUE,'ORDENES'!$A960&lt;&gt;""),1,0)</f>
        <v/>
      </c>
      <c r="L964" s="24">
        <f>IF(K964=1,IFERROR(MATCH('ORDENES'!$S960,lista_dias,0),9)*1000000000+IFERROR(MATCH('ORDENES'!$AI960,lista_turnos,0),9)*10000000+IFERROR(MATCH('ORDENES'!$AH960,'TECNICOS'!$B$4:$B$19,0),99)*100000+957,9000000000000+957)</f>
        <v/>
      </c>
      <c r="M964" s="24">
        <f>IF(K964=1,SUMPRODUCT(--($L$8:$L$1207&lt;L964))+1,"")</f>
        <v/>
      </c>
      <c r="N964" s="25">
        <f>IF(K964=1,N('ORDENES'!$M960),0)</f>
        <v/>
      </c>
      <c r="O964" s="25">
        <f>IF('ORDENES'!$U960="preventiva",N964,0)</f>
        <v/>
      </c>
      <c r="P964" s="25">
        <f>IF('ORDENES'!$U960="correctiva",N964,0)</f>
        <v/>
      </c>
      <c r="Q964" s="24">
        <f>IF(AND(K964=1,'ORDENES'!$N960="Pendiente"),1,0)</f>
        <v/>
      </c>
      <c r="R964" s="24">
        <f>IF(Q964=1,100000-N964*1000+957*0.01,9000000000000+957)</f>
        <v/>
      </c>
      <c r="S964" s="24">
        <f>IF(Q964=1,SUMPRODUCT(--($R$8:$R$1207&lt;R964))+1,"")</f>
        <v/>
      </c>
      <c r="T964" s="30">
        <f>IF(K964=1,'ORDENES'!$J960,"")</f>
        <v/>
      </c>
    </row>
    <row r="965">
      <c r="K965" s="24">
        <f>IF(AND(IF($B$3="(todos)",TRUE,'ORDENES'!$O961=$B$3),IF($D$3="(todos)",TRUE,'ORDENES'!$AI961=$D$3),IF($F$3="(todos)",TRUE,'ORDENES'!$AA961=$F$3),IF($H$3="(todos)",TRUE,'ORDENES'!$Z961=$H$3),'ORDENES'!$AG961=TRUE,'ORDENES'!$A961&lt;&gt;""),1,0)</f>
        <v/>
      </c>
      <c r="L965" s="24">
        <f>IF(K965=1,IFERROR(MATCH('ORDENES'!$S961,lista_dias,0),9)*1000000000+IFERROR(MATCH('ORDENES'!$AI961,lista_turnos,0),9)*10000000+IFERROR(MATCH('ORDENES'!$AH961,'TECNICOS'!$B$4:$B$19,0),99)*100000+958,9000000000000+958)</f>
        <v/>
      </c>
      <c r="M965" s="24">
        <f>IF(K965=1,SUMPRODUCT(--($L$8:$L$1207&lt;L965))+1,"")</f>
        <v/>
      </c>
      <c r="N965" s="25">
        <f>IF(K965=1,N('ORDENES'!$M961),0)</f>
        <v/>
      </c>
      <c r="O965" s="25">
        <f>IF('ORDENES'!$U961="preventiva",N965,0)</f>
        <v/>
      </c>
      <c r="P965" s="25">
        <f>IF('ORDENES'!$U961="correctiva",N965,0)</f>
        <v/>
      </c>
      <c r="Q965" s="24">
        <f>IF(AND(K965=1,'ORDENES'!$N961="Pendiente"),1,0)</f>
        <v/>
      </c>
      <c r="R965" s="24">
        <f>IF(Q965=1,100000-N965*1000+958*0.01,9000000000000+958)</f>
        <v/>
      </c>
      <c r="S965" s="24">
        <f>IF(Q965=1,SUMPRODUCT(--($R$8:$R$1207&lt;R965))+1,"")</f>
        <v/>
      </c>
      <c r="T965" s="30">
        <f>IF(K965=1,'ORDENES'!$J961,"")</f>
        <v/>
      </c>
    </row>
    <row r="966">
      <c r="K966" s="24">
        <f>IF(AND(IF($B$3="(todos)",TRUE,'ORDENES'!$O962=$B$3),IF($D$3="(todos)",TRUE,'ORDENES'!$AI962=$D$3),IF($F$3="(todos)",TRUE,'ORDENES'!$AA962=$F$3),IF($H$3="(todos)",TRUE,'ORDENES'!$Z962=$H$3),'ORDENES'!$AG962=TRUE,'ORDENES'!$A962&lt;&gt;""),1,0)</f>
        <v/>
      </c>
      <c r="L966" s="24">
        <f>IF(K966=1,IFERROR(MATCH('ORDENES'!$S962,lista_dias,0),9)*1000000000+IFERROR(MATCH('ORDENES'!$AI962,lista_turnos,0),9)*10000000+IFERROR(MATCH('ORDENES'!$AH962,'TECNICOS'!$B$4:$B$19,0),99)*100000+959,9000000000000+959)</f>
        <v/>
      </c>
      <c r="M966" s="24">
        <f>IF(K966=1,SUMPRODUCT(--($L$8:$L$1207&lt;L966))+1,"")</f>
        <v/>
      </c>
      <c r="N966" s="25">
        <f>IF(K966=1,N('ORDENES'!$M962),0)</f>
        <v/>
      </c>
      <c r="O966" s="25">
        <f>IF('ORDENES'!$U962="preventiva",N966,0)</f>
        <v/>
      </c>
      <c r="P966" s="25">
        <f>IF('ORDENES'!$U962="correctiva",N966,0)</f>
        <v/>
      </c>
      <c r="Q966" s="24">
        <f>IF(AND(K966=1,'ORDENES'!$N962="Pendiente"),1,0)</f>
        <v/>
      </c>
      <c r="R966" s="24">
        <f>IF(Q966=1,100000-N966*1000+959*0.01,9000000000000+959)</f>
        <v/>
      </c>
      <c r="S966" s="24">
        <f>IF(Q966=1,SUMPRODUCT(--($R$8:$R$1207&lt;R966))+1,"")</f>
        <v/>
      </c>
      <c r="T966" s="30">
        <f>IF(K966=1,'ORDENES'!$J962,"")</f>
        <v/>
      </c>
    </row>
    <row r="967">
      <c r="K967" s="24">
        <f>IF(AND(IF($B$3="(todos)",TRUE,'ORDENES'!$O963=$B$3),IF($D$3="(todos)",TRUE,'ORDENES'!$AI963=$D$3),IF($F$3="(todos)",TRUE,'ORDENES'!$AA963=$F$3),IF($H$3="(todos)",TRUE,'ORDENES'!$Z963=$H$3),'ORDENES'!$AG963=TRUE,'ORDENES'!$A963&lt;&gt;""),1,0)</f>
        <v/>
      </c>
      <c r="L967" s="24">
        <f>IF(K967=1,IFERROR(MATCH('ORDENES'!$S963,lista_dias,0),9)*1000000000+IFERROR(MATCH('ORDENES'!$AI963,lista_turnos,0),9)*10000000+IFERROR(MATCH('ORDENES'!$AH963,'TECNICOS'!$B$4:$B$19,0),99)*100000+960,9000000000000+960)</f>
        <v/>
      </c>
      <c r="M967" s="24">
        <f>IF(K967=1,SUMPRODUCT(--($L$8:$L$1207&lt;L967))+1,"")</f>
        <v/>
      </c>
      <c r="N967" s="25">
        <f>IF(K967=1,N('ORDENES'!$M963),0)</f>
        <v/>
      </c>
      <c r="O967" s="25">
        <f>IF('ORDENES'!$U963="preventiva",N967,0)</f>
        <v/>
      </c>
      <c r="P967" s="25">
        <f>IF('ORDENES'!$U963="correctiva",N967,0)</f>
        <v/>
      </c>
      <c r="Q967" s="24">
        <f>IF(AND(K967=1,'ORDENES'!$N963="Pendiente"),1,0)</f>
        <v/>
      </c>
      <c r="R967" s="24">
        <f>IF(Q967=1,100000-N967*1000+960*0.01,9000000000000+960)</f>
        <v/>
      </c>
      <c r="S967" s="24">
        <f>IF(Q967=1,SUMPRODUCT(--($R$8:$R$1207&lt;R967))+1,"")</f>
        <v/>
      </c>
      <c r="T967" s="30">
        <f>IF(K967=1,'ORDENES'!$J963,"")</f>
        <v/>
      </c>
    </row>
    <row r="968">
      <c r="K968" s="24">
        <f>IF(AND(IF($B$3="(todos)",TRUE,'ORDENES'!$O964=$B$3),IF($D$3="(todos)",TRUE,'ORDENES'!$AI964=$D$3),IF($F$3="(todos)",TRUE,'ORDENES'!$AA964=$F$3),IF($H$3="(todos)",TRUE,'ORDENES'!$Z964=$H$3),'ORDENES'!$AG964=TRUE,'ORDENES'!$A964&lt;&gt;""),1,0)</f>
        <v/>
      </c>
      <c r="L968" s="24">
        <f>IF(K968=1,IFERROR(MATCH('ORDENES'!$S964,lista_dias,0),9)*1000000000+IFERROR(MATCH('ORDENES'!$AI964,lista_turnos,0),9)*10000000+IFERROR(MATCH('ORDENES'!$AH964,'TECNICOS'!$B$4:$B$19,0),99)*100000+961,9000000000000+961)</f>
        <v/>
      </c>
      <c r="M968" s="24">
        <f>IF(K968=1,SUMPRODUCT(--($L$8:$L$1207&lt;L968))+1,"")</f>
        <v/>
      </c>
      <c r="N968" s="25">
        <f>IF(K968=1,N('ORDENES'!$M964),0)</f>
        <v/>
      </c>
      <c r="O968" s="25">
        <f>IF('ORDENES'!$U964="preventiva",N968,0)</f>
        <v/>
      </c>
      <c r="P968" s="25">
        <f>IF('ORDENES'!$U964="correctiva",N968,0)</f>
        <v/>
      </c>
      <c r="Q968" s="24">
        <f>IF(AND(K968=1,'ORDENES'!$N964="Pendiente"),1,0)</f>
        <v/>
      </c>
      <c r="R968" s="24">
        <f>IF(Q968=1,100000-N968*1000+961*0.01,9000000000000+961)</f>
        <v/>
      </c>
      <c r="S968" s="24">
        <f>IF(Q968=1,SUMPRODUCT(--($R$8:$R$1207&lt;R968))+1,"")</f>
        <v/>
      </c>
      <c r="T968" s="30">
        <f>IF(K968=1,'ORDENES'!$J964,"")</f>
        <v/>
      </c>
    </row>
    <row r="969">
      <c r="K969" s="24">
        <f>IF(AND(IF($B$3="(todos)",TRUE,'ORDENES'!$O965=$B$3),IF($D$3="(todos)",TRUE,'ORDENES'!$AI965=$D$3),IF($F$3="(todos)",TRUE,'ORDENES'!$AA965=$F$3),IF($H$3="(todos)",TRUE,'ORDENES'!$Z965=$H$3),'ORDENES'!$AG965=TRUE,'ORDENES'!$A965&lt;&gt;""),1,0)</f>
        <v/>
      </c>
      <c r="L969" s="24">
        <f>IF(K969=1,IFERROR(MATCH('ORDENES'!$S965,lista_dias,0),9)*1000000000+IFERROR(MATCH('ORDENES'!$AI965,lista_turnos,0),9)*10000000+IFERROR(MATCH('ORDENES'!$AH965,'TECNICOS'!$B$4:$B$19,0),99)*100000+962,9000000000000+962)</f>
        <v/>
      </c>
      <c r="M969" s="24">
        <f>IF(K969=1,SUMPRODUCT(--($L$8:$L$1207&lt;L969))+1,"")</f>
        <v/>
      </c>
      <c r="N969" s="25">
        <f>IF(K969=1,N('ORDENES'!$M965),0)</f>
        <v/>
      </c>
      <c r="O969" s="25">
        <f>IF('ORDENES'!$U965="preventiva",N969,0)</f>
        <v/>
      </c>
      <c r="P969" s="25">
        <f>IF('ORDENES'!$U965="correctiva",N969,0)</f>
        <v/>
      </c>
      <c r="Q969" s="24">
        <f>IF(AND(K969=1,'ORDENES'!$N965="Pendiente"),1,0)</f>
        <v/>
      </c>
      <c r="R969" s="24">
        <f>IF(Q969=1,100000-N969*1000+962*0.01,9000000000000+962)</f>
        <v/>
      </c>
      <c r="S969" s="24">
        <f>IF(Q969=1,SUMPRODUCT(--($R$8:$R$1207&lt;R969))+1,"")</f>
        <v/>
      </c>
      <c r="T969" s="30">
        <f>IF(K969=1,'ORDENES'!$J965,"")</f>
        <v/>
      </c>
    </row>
    <row r="970">
      <c r="K970" s="24">
        <f>IF(AND(IF($B$3="(todos)",TRUE,'ORDENES'!$O966=$B$3),IF($D$3="(todos)",TRUE,'ORDENES'!$AI966=$D$3),IF($F$3="(todos)",TRUE,'ORDENES'!$AA966=$F$3),IF($H$3="(todos)",TRUE,'ORDENES'!$Z966=$H$3),'ORDENES'!$AG966=TRUE,'ORDENES'!$A966&lt;&gt;""),1,0)</f>
        <v/>
      </c>
      <c r="L970" s="24">
        <f>IF(K970=1,IFERROR(MATCH('ORDENES'!$S966,lista_dias,0),9)*1000000000+IFERROR(MATCH('ORDENES'!$AI966,lista_turnos,0),9)*10000000+IFERROR(MATCH('ORDENES'!$AH966,'TECNICOS'!$B$4:$B$19,0),99)*100000+963,9000000000000+963)</f>
        <v/>
      </c>
      <c r="M970" s="24">
        <f>IF(K970=1,SUMPRODUCT(--($L$8:$L$1207&lt;L970))+1,"")</f>
        <v/>
      </c>
      <c r="N970" s="25">
        <f>IF(K970=1,N('ORDENES'!$M966),0)</f>
        <v/>
      </c>
      <c r="O970" s="25">
        <f>IF('ORDENES'!$U966="preventiva",N970,0)</f>
        <v/>
      </c>
      <c r="P970" s="25">
        <f>IF('ORDENES'!$U966="correctiva",N970,0)</f>
        <v/>
      </c>
      <c r="Q970" s="24">
        <f>IF(AND(K970=1,'ORDENES'!$N966="Pendiente"),1,0)</f>
        <v/>
      </c>
      <c r="R970" s="24">
        <f>IF(Q970=1,100000-N970*1000+963*0.01,9000000000000+963)</f>
        <v/>
      </c>
      <c r="S970" s="24">
        <f>IF(Q970=1,SUMPRODUCT(--($R$8:$R$1207&lt;R970))+1,"")</f>
        <v/>
      </c>
      <c r="T970" s="30">
        <f>IF(K970=1,'ORDENES'!$J966,"")</f>
        <v/>
      </c>
    </row>
    <row r="971">
      <c r="K971" s="24">
        <f>IF(AND(IF($B$3="(todos)",TRUE,'ORDENES'!$O967=$B$3),IF($D$3="(todos)",TRUE,'ORDENES'!$AI967=$D$3),IF($F$3="(todos)",TRUE,'ORDENES'!$AA967=$F$3),IF($H$3="(todos)",TRUE,'ORDENES'!$Z967=$H$3),'ORDENES'!$AG967=TRUE,'ORDENES'!$A967&lt;&gt;""),1,0)</f>
        <v/>
      </c>
      <c r="L971" s="24">
        <f>IF(K971=1,IFERROR(MATCH('ORDENES'!$S967,lista_dias,0),9)*1000000000+IFERROR(MATCH('ORDENES'!$AI967,lista_turnos,0),9)*10000000+IFERROR(MATCH('ORDENES'!$AH967,'TECNICOS'!$B$4:$B$19,0),99)*100000+964,9000000000000+964)</f>
        <v/>
      </c>
      <c r="M971" s="24">
        <f>IF(K971=1,SUMPRODUCT(--($L$8:$L$1207&lt;L971))+1,"")</f>
        <v/>
      </c>
      <c r="N971" s="25">
        <f>IF(K971=1,N('ORDENES'!$M967),0)</f>
        <v/>
      </c>
      <c r="O971" s="25">
        <f>IF('ORDENES'!$U967="preventiva",N971,0)</f>
        <v/>
      </c>
      <c r="P971" s="25">
        <f>IF('ORDENES'!$U967="correctiva",N971,0)</f>
        <v/>
      </c>
      <c r="Q971" s="24">
        <f>IF(AND(K971=1,'ORDENES'!$N967="Pendiente"),1,0)</f>
        <v/>
      </c>
      <c r="R971" s="24">
        <f>IF(Q971=1,100000-N971*1000+964*0.01,9000000000000+964)</f>
        <v/>
      </c>
      <c r="S971" s="24">
        <f>IF(Q971=1,SUMPRODUCT(--($R$8:$R$1207&lt;R971))+1,"")</f>
        <v/>
      </c>
      <c r="T971" s="30">
        <f>IF(K971=1,'ORDENES'!$J967,"")</f>
        <v/>
      </c>
    </row>
    <row r="972">
      <c r="K972" s="24">
        <f>IF(AND(IF($B$3="(todos)",TRUE,'ORDENES'!$O968=$B$3),IF($D$3="(todos)",TRUE,'ORDENES'!$AI968=$D$3),IF($F$3="(todos)",TRUE,'ORDENES'!$AA968=$F$3),IF($H$3="(todos)",TRUE,'ORDENES'!$Z968=$H$3),'ORDENES'!$AG968=TRUE,'ORDENES'!$A968&lt;&gt;""),1,0)</f>
        <v/>
      </c>
      <c r="L972" s="24">
        <f>IF(K972=1,IFERROR(MATCH('ORDENES'!$S968,lista_dias,0),9)*1000000000+IFERROR(MATCH('ORDENES'!$AI968,lista_turnos,0),9)*10000000+IFERROR(MATCH('ORDENES'!$AH968,'TECNICOS'!$B$4:$B$19,0),99)*100000+965,9000000000000+965)</f>
        <v/>
      </c>
      <c r="M972" s="24">
        <f>IF(K972=1,SUMPRODUCT(--($L$8:$L$1207&lt;L972))+1,"")</f>
        <v/>
      </c>
      <c r="N972" s="25">
        <f>IF(K972=1,N('ORDENES'!$M968),0)</f>
        <v/>
      </c>
      <c r="O972" s="25">
        <f>IF('ORDENES'!$U968="preventiva",N972,0)</f>
        <v/>
      </c>
      <c r="P972" s="25">
        <f>IF('ORDENES'!$U968="correctiva",N972,0)</f>
        <v/>
      </c>
      <c r="Q972" s="24">
        <f>IF(AND(K972=1,'ORDENES'!$N968="Pendiente"),1,0)</f>
        <v/>
      </c>
      <c r="R972" s="24">
        <f>IF(Q972=1,100000-N972*1000+965*0.01,9000000000000+965)</f>
        <v/>
      </c>
      <c r="S972" s="24">
        <f>IF(Q972=1,SUMPRODUCT(--($R$8:$R$1207&lt;R972))+1,"")</f>
        <v/>
      </c>
      <c r="T972" s="30">
        <f>IF(K972=1,'ORDENES'!$J968,"")</f>
        <v/>
      </c>
    </row>
    <row r="973">
      <c r="K973" s="24">
        <f>IF(AND(IF($B$3="(todos)",TRUE,'ORDENES'!$O969=$B$3),IF($D$3="(todos)",TRUE,'ORDENES'!$AI969=$D$3),IF($F$3="(todos)",TRUE,'ORDENES'!$AA969=$F$3),IF($H$3="(todos)",TRUE,'ORDENES'!$Z969=$H$3),'ORDENES'!$AG969=TRUE,'ORDENES'!$A969&lt;&gt;""),1,0)</f>
        <v/>
      </c>
      <c r="L973" s="24">
        <f>IF(K973=1,IFERROR(MATCH('ORDENES'!$S969,lista_dias,0),9)*1000000000+IFERROR(MATCH('ORDENES'!$AI969,lista_turnos,0),9)*10000000+IFERROR(MATCH('ORDENES'!$AH969,'TECNICOS'!$B$4:$B$19,0),99)*100000+966,9000000000000+966)</f>
        <v/>
      </c>
      <c r="M973" s="24">
        <f>IF(K973=1,SUMPRODUCT(--($L$8:$L$1207&lt;L973))+1,"")</f>
        <v/>
      </c>
      <c r="N973" s="25">
        <f>IF(K973=1,N('ORDENES'!$M969),0)</f>
        <v/>
      </c>
      <c r="O973" s="25">
        <f>IF('ORDENES'!$U969="preventiva",N973,0)</f>
        <v/>
      </c>
      <c r="P973" s="25">
        <f>IF('ORDENES'!$U969="correctiva",N973,0)</f>
        <v/>
      </c>
      <c r="Q973" s="24">
        <f>IF(AND(K973=1,'ORDENES'!$N969="Pendiente"),1,0)</f>
        <v/>
      </c>
      <c r="R973" s="24">
        <f>IF(Q973=1,100000-N973*1000+966*0.01,9000000000000+966)</f>
        <v/>
      </c>
      <c r="S973" s="24">
        <f>IF(Q973=1,SUMPRODUCT(--($R$8:$R$1207&lt;R973))+1,"")</f>
        <v/>
      </c>
      <c r="T973" s="30">
        <f>IF(K973=1,'ORDENES'!$J969,"")</f>
        <v/>
      </c>
    </row>
    <row r="974">
      <c r="K974" s="24">
        <f>IF(AND(IF($B$3="(todos)",TRUE,'ORDENES'!$O970=$B$3),IF($D$3="(todos)",TRUE,'ORDENES'!$AI970=$D$3),IF($F$3="(todos)",TRUE,'ORDENES'!$AA970=$F$3),IF($H$3="(todos)",TRUE,'ORDENES'!$Z970=$H$3),'ORDENES'!$AG970=TRUE,'ORDENES'!$A970&lt;&gt;""),1,0)</f>
        <v/>
      </c>
      <c r="L974" s="24">
        <f>IF(K974=1,IFERROR(MATCH('ORDENES'!$S970,lista_dias,0),9)*1000000000+IFERROR(MATCH('ORDENES'!$AI970,lista_turnos,0),9)*10000000+IFERROR(MATCH('ORDENES'!$AH970,'TECNICOS'!$B$4:$B$19,0),99)*100000+967,9000000000000+967)</f>
        <v/>
      </c>
      <c r="M974" s="24">
        <f>IF(K974=1,SUMPRODUCT(--($L$8:$L$1207&lt;L974))+1,"")</f>
        <v/>
      </c>
      <c r="N974" s="25">
        <f>IF(K974=1,N('ORDENES'!$M970),0)</f>
        <v/>
      </c>
      <c r="O974" s="25">
        <f>IF('ORDENES'!$U970="preventiva",N974,0)</f>
        <v/>
      </c>
      <c r="P974" s="25">
        <f>IF('ORDENES'!$U970="correctiva",N974,0)</f>
        <v/>
      </c>
      <c r="Q974" s="24">
        <f>IF(AND(K974=1,'ORDENES'!$N970="Pendiente"),1,0)</f>
        <v/>
      </c>
      <c r="R974" s="24">
        <f>IF(Q974=1,100000-N974*1000+967*0.01,9000000000000+967)</f>
        <v/>
      </c>
      <c r="S974" s="24">
        <f>IF(Q974=1,SUMPRODUCT(--($R$8:$R$1207&lt;R974))+1,"")</f>
        <v/>
      </c>
      <c r="T974" s="30">
        <f>IF(K974=1,'ORDENES'!$J970,"")</f>
        <v/>
      </c>
    </row>
    <row r="975">
      <c r="K975" s="24">
        <f>IF(AND(IF($B$3="(todos)",TRUE,'ORDENES'!$O971=$B$3),IF($D$3="(todos)",TRUE,'ORDENES'!$AI971=$D$3),IF($F$3="(todos)",TRUE,'ORDENES'!$AA971=$F$3),IF($H$3="(todos)",TRUE,'ORDENES'!$Z971=$H$3),'ORDENES'!$AG971=TRUE,'ORDENES'!$A971&lt;&gt;""),1,0)</f>
        <v/>
      </c>
      <c r="L975" s="24">
        <f>IF(K975=1,IFERROR(MATCH('ORDENES'!$S971,lista_dias,0),9)*1000000000+IFERROR(MATCH('ORDENES'!$AI971,lista_turnos,0),9)*10000000+IFERROR(MATCH('ORDENES'!$AH971,'TECNICOS'!$B$4:$B$19,0),99)*100000+968,9000000000000+968)</f>
        <v/>
      </c>
      <c r="M975" s="24">
        <f>IF(K975=1,SUMPRODUCT(--($L$8:$L$1207&lt;L975))+1,"")</f>
        <v/>
      </c>
      <c r="N975" s="25">
        <f>IF(K975=1,N('ORDENES'!$M971),0)</f>
        <v/>
      </c>
      <c r="O975" s="25">
        <f>IF('ORDENES'!$U971="preventiva",N975,0)</f>
        <v/>
      </c>
      <c r="P975" s="25">
        <f>IF('ORDENES'!$U971="correctiva",N975,0)</f>
        <v/>
      </c>
      <c r="Q975" s="24">
        <f>IF(AND(K975=1,'ORDENES'!$N971="Pendiente"),1,0)</f>
        <v/>
      </c>
      <c r="R975" s="24">
        <f>IF(Q975=1,100000-N975*1000+968*0.01,9000000000000+968)</f>
        <v/>
      </c>
      <c r="S975" s="24">
        <f>IF(Q975=1,SUMPRODUCT(--($R$8:$R$1207&lt;R975))+1,"")</f>
        <v/>
      </c>
      <c r="T975" s="30">
        <f>IF(K975=1,'ORDENES'!$J971,"")</f>
        <v/>
      </c>
    </row>
    <row r="976">
      <c r="K976" s="24">
        <f>IF(AND(IF($B$3="(todos)",TRUE,'ORDENES'!$O972=$B$3),IF($D$3="(todos)",TRUE,'ORDENES'!$AI972=$D$3),IF($F$3="(todos)",TRUE,'ORDENES'!$AA972=$F$3),IF($H$3="(todos)",TRUE,'ORDENES'!$Z972=$H$3),'ORDENES'!$AG972=TRUE,'ORDENES'!$A972&lt;&gt;""),1,0)</f>
        <v/>
      </c>
      <c r="L976" s="24">
        <f>IF(K976=1,IFERROR(MATCH('ORDENES'!$S972,lista_dias,0),9)*1000000000+IFERROR(MATCH('ORDENES'!$AI972,lista_turnos,0),9)*10000000+IFERROR(MATCH('ORDENES'!$AH972,'TECNICOS'!$B$4:$B$19,0),99)*100000+969,9000000000000+969)</f>
        <v/>
      </c>
      <c r="M976" s="24">
        <f>IF(K976=1,SUMPRODUCT(--($L$8:$L$1207&lt;L976))+1,"")</f>
        <v/>
      </c>
      <c r="N976" s="25">
        <f>IF(K976=1,N('ORDENES'!$M972),0)</f>
        <v/>
      </c>
      <c r="O976" s="25">
        <f>IF('ORDENES'!$U972="preventiva",N976,0)</f>
        <v/>
      </c>
      <c r="P976" s="25">
        <f>IF('ORDENES'!$U972="correctiva",N976,0)</f>
        <v/>
      </c>
      <c r="Q976" s="24">
        <f>IF(AND(K976=1,'ORDENES'!$N972="Pendiente"),1,0)</f>
        <v/>
      </c>
      <c r="R976" s="24">
        <f>IF(Q976=1,100000-N976*1000+969*0.01,9000000000000+969)</f>
        <v/>
      </c>
      <c r="S976" s="24">
        <f>IF(Q976=1,SUMPRODUCT(--($R$8:$R$1207&lt;R976))+1,"")</f>
        <v/>
      </c>
      <c r="T976" s="30">
        <f>IF(K976=1,'ORDENES'!$J972,"")</f>
        <v/>
      </c>
    </row>
    <row r="977">
      <c r="K977" s="24">
        <f>IF(AND(IF($B$3="(todos)",TRUE,'ORDENES'!$O973=$B$3),IF($D$3="(todos)",TRUE,'ORDENES'!$AI973=$D$3),IF($F$3="(todos)",TRUE,'ORDENES'!$AA973=$F$3),IF($H$3="(todos)",TRUE,'ORDENES'!$Z973=$H$3),'ORDENES'!$AG973=TRUE,'ORDENES'!$A973&lt;&gt;""),1,0)</f>
        <v/>
      </c>
      <c r="L977" s="24">
        <f>IF(K977=1,IFERROR(MATCH('ORDENES'!$S973,lista_dias,0),9)*1000000000+IFERROR(MATCH('ORDENES'!$AI973,lista_turnos,0),9)*10000000+IFERROR(MATCH('ORDENES'!$AH973,'TECNICOS'!$B$4:$B$19,0),99)*100000+970,9000000000000+970)</f>
        <v/>
      </c>
      <c r="M977" s="24">
        <f>IF(K977=1,SUMPRODUCT(--($L$8:$L$1207&lt;L977))+1,"")</f>
        <v/>
      </c>
      <c r="N977" s="25">
        <f>IF(K977=1,N('ORDENES'!$M973),0)</f>
        <v/>
      </c>
      <c r="O977" s="25">
        <f>IF('ORDENES'!$U973="preventiva",N977,0)</f>
        <v/>
      </c>
      <c r="P977" s="25">
        <f>IF('ORDENES'!$U973="correctiva",N977,0)</f>
        <v/>
      </c>
      <c r="Q977" s="24">
        <f>IF(AND(K977=1,'ORDENES'!$N973="Pendiente"),1,0)</f>
        <v/>
      </c>
      <c r="R977" s="24">
        <f>IF(Q977=1,100000-N977*1000+970*0.01,9000000000000+970)</f>
        <v/>
      </c>
      <c r="S977" s="24">
        <f>IF(Q977=1,SUMPRODUCT(--($R$8:$R$1207&lt;R977))+1,"")</f>
        <v/>
      </c>
      <c r="T977" s="30">
        <f>IF(K977=1,'ORDENES'!$J973,"")</f>
        <v/>
      </c>
    </row>
    <row r="978">
      <c r="K978" s="24">
        <f>IF(AND(IF($B$3="(todos)",TRUE,'ORDENES'!$O974=$B$3),IF($D$3="(todos)",TRUE,'ORDENES'!$AI974=$D$3),IF($F$3="(todos)",TRUE,'ORDENES'!$AA974=$F$3),IF($H$3="(todos)",TRUE,'ORDENES'!$Z974=$H$3),'ORDENES'!$AG974=TRUE,'ORDENES'!$A974&lt;&gt;""),1,0)</f>
        <v/>
      </c>
      <c r="L978" s="24">
        <f>IF(K978=1,IFERROR(MATCH('ORDENES'!$S974,lista_dias,0),9)*1000000000+IFERROR(MATCH('ORDENES'!$AI974,lista_turnos,0),9)*10000000+IFERROR(MATCH('ORDENES'!$AH974,'TECNICOS'!$B$4:$B$19,0),99)*100000+971,9000000000000+971)</f>
        <v/>
      </c>
      <c r="M978" s="24">
        <f>IF(K978=1,SUMPRODUCT(--($L$8:$L$1207&lt;L978))+1,"")</f>
        <v/>
      </c>
      <c r="N978" s="25">
        <f>IF(K978=1,N('ORDENES'!$M974),0)</f>
        <v/>
      </c>
      <c r="O978" s="25">
        <f>IF('ORDENES'!$U974="preventiva",N978,0)</f>
        <v/>
      </c>
      <c r="P978" s="25">
        <f>IF('ORDENES'!$U974="correctiva",N978,0)</f>
        <v/>
      </c>
      <c r="Q978" s="24">
        <f>IF(AND(K978=1,'ORDENES'!$N974="Pendiente"),1,0)</f>
        <v/>
      </c>
      <c r="R978" s="24">
        <f>IF(Q978=1,100000-N978*1000+971*0.01,9000000000000+971)</f>
        <v/>
      </c>
      <c r="S978" s="24">
        <f>IF(Q978=1,SUMPRODUCT(--($R$8:$R$1207&lt;R978))+1,"")</f>
        <v/>
      </c>
      <c r="T978" s="30">
        <f>IF(K978=1,'ORDENES'!$J974,"")</f>
        <v/>
      </c>
    </row>
    <row r="979">
      <c r="K979" s="24">
        <f>IF(AND(IF($B$3="(todos)",TRUE,'ORDENES'!$O975=$B$3),IF($D$3="(todos)",TRUE,'ORDENES'!$AI975=$D$3),IF($F$3="(todos)",TRUE,'ORDENES'!$AA975=$F$3),IF($H$3="(todos)",TRUE,'ORDENES'!$Z975=$H$3),'ORDENES'!$AG975=TRUE,'ORDENES'!$A975&lt;&gt;""),1,0)</f>
        <v/>
      </c>
      <c r="L979" s="24">
        <f>IF(K979=1,IFERROR(MATCH('ORDENES'!$S975,lista_dias,0),9)*1000000000+IFERROR(MATCH('ORDENES'!$AI975,lista_turnos,0),9)*10000000+IFERROR(MATCH('ORDENES'!$AH975,'TECNICOS'!$B$4:$B$19,0),99)*100000+972,9000000000000+972)</f>
        <v/>
      </c>
      <c r="M979" s="24">
        <f>IF(K979=1,SUMPRODUCT(--($L$8:$L$1207&lt;L979))+1,"")</f>
        <v/>
      </c>
      <c r="N979" s="25">
        <f>IF(K979=1,N('ORDENES'!$M975),0)</f>
        <v/>
      </c>
      <c r="O979" s="25">
        <f>IF('ORDENES'!$U975="preventiva",N979,0)</f>
        <v/>
      </c>
      <c r="P979" s="25">
        <f>IF('ORDENES'!$U975="correctiva",N979,0)</f>
        <v/>
      </c>
      <c r="Q979" s="24">
        <f>IF(AND(K979=1,'ORDENES'!$N975="Pendiente"),1,0)</f>
        <v/>
      </c>
      <c r="R979" s="24">
        <f>IF(Q979=1,100000-N979*1000+972*0.01,9000000000000+972)</f>
        <v/>
      </c>
      <c r="S979" s="24">
        <f>IF(Q979=1,SUMPRODUCT(--($R$8:$R$1207&lt;R979))+1,"")</f>
        <v/>
      </c>
      <c r="T979" s="30">
        <f>IF(K979=1,'ORDENES'!$J975,"")</f>
        <v/>
      </c>
    </row>
    <row r="980">
      <c r="K980" s="24">
        <f>IF(AND(IF($B$3="(todos)",TRUE,'ORDENES'!$O976=$B$3),IF($D$3="(todos)",TRUE,'ORDENES'!$AI976=$D$3),IF($F$3="(todos)",TRUE,'ORDENES'!$AA976=$F$3),IF($H$3="(todos)",TRUE,'ORDENES'!$Z976=$H$3),'ORDENES'!$AG976=TRUE,'ORDENES'!$A976&lt;&gt;""),1,0)</f>
        <v/>
      </c>
      <c r="L980" s="24">
        <f>IF(K980=1,IFERROR(MATCH('ORDENES'!$S976,lista_dias,0),9)*1000000000+IFERROR(MATCH('ORDENES'!$AI976,lista_turnos,0),9)*10000000+IFERROR(MATCH('ORDENES'!$AH976,'TECNICOS'!$B$4:$B$19,0),99)*100000+973,9000000000000+973)</f>
        <v/>
      </c>
      <c r="M980" s="24">
        <f>IF(K980=1,SUMPRODUCT(--($L$8:$L$1207&lt;L980))+1,"")</f>
        <v/>
      </c>
      <c r="N980" s="25">
        <f>IF(K980=1,N('ORDENES'!$M976),0)</f>
        <v/>
      </c>
      <c r="O980" s="25">
        <f>IF('ORDENES'!$U976="preventiva",N980,0)</f>
        <v/>
      </c>
      <c r="P980" s="25">
        <f>IF('ORDENES'!$U976="correctiva",N980,0)</f>
        <v/>
      </c>
      <c r="Q980" s="24">
        <f>IF(AND(K980=1,'ORDENES'!$N976="Pendiente"),1,0)</f>
        <v/>
      </c>
      <c r="R980" s="24">
        <f>IF(Q980=1,100000-N980*1000+973*0.01,9000000000000+973)</f>
        <v/>
      </c>
      <c r="S980" s="24">
        <f>IF(Q980=1,SUMPRODUCT(--($R$8:$R$1207&lt;R980))+1,"")</f>
        <v/>
      </c>
      <c r="T980" s="30">
        <f>IF(K980=1,'ORDENES'!$J976,"")</f>
        <v/>
      </c>
    </row>
    <row r="981">
      <c r="K981" s="24">
        <f>IF(AND(IF($B$3="(todos)",TRUE,'ORDENES'!$O977=$B$3),IF($D$3="(todos)",TRUE,'ORDENES'!$AI977=$D$3),IF($F$3="(todos)",TRUE,'ORDENES'!$AA977=$F$3),IF($H$3="(todos)",TRUE,'ORDENES'!$Z977=$H$3),'ORDENES'!$AG977=TRUE,'ORDENES'!$A977&lt;&gt;""),1,0)</f>
        <v/>
      </c>
      <c r="L981" s="24">
        <f>IF(K981=1,IFERROR(MATCH('ORDENES'!$S977,lista_dias,0),9)*1000000000+IFERROR(MATCH('ORDENES'!$AI977,lista_turnos,0),9)*10000000+IFERROR(MATCH('ORDENES'!$AH977,'TECNICOS'!$B$4:$B$19,0),99)*100000+974,9000000000000+974)</f>
        <v/>
      </c>
      <c r="M981" s="24">
        <f>IF(K981=1,SUMPRODUCT(--($L$8:$L$1207&lt;L981))+1,"")</f>
        <v/>
      </c>
      <c r="N981" s="25">
        <f>IF(K981=1,N('ORDENES'!$M977),0)</f>
        <v/>
      </c>
      <c r="O981" s="25">
        <f>IF('ORDENES'!$U977="preventiva",N981,0)</f>
        <v/>
      </c>
      <c r="P981" s="25">
        <f>IF('ORDENES'!$U977="correctiva",N981,0)</f>
        <v/>
      </c>
      <c r="Q981" s="24">
        <f>IF(AND(K981=1,'ORDENES'!$N977="Pendiente"),1,0)</f>
        <v/>
      </c>
      <c r="R981" s="24">
        <f>IF(Q981=1,100000-N981*1000+974*0.01,9000000000000+974)</f>
        <v/>
      </c>
      <c r="S981" s="24">
        <f>IF(Q981=1,SUMPRODUCT(--($R$8:$R$1207&lt;R981))+1,"")</f>
        <v/>
      </c>
      <c r="T981" s="30">
        <f>IF(K981=1,'ORDENES'!$J977,"")</f>
        <v/>
      </c>
    </row>
    <row r="982">
      <c r="K982" s="24">
        <f>IF(AND(IF($B$3="(todos)",TRUE,'ORDENES'!$O978=$B$3),IF($D$3="(todos)",TRUE,'ORDENES'!$AI978=$D$3),IF($F$3="(todos)",TRUE,'ORDENES'!$AA978=$F$3),IF($H$3="(todos)",TRUE,'ORDENES'!$Z978=$H$3),'ORDENES'!$AG978=TRUE,'ORDENES'!$A978&lt;&gt;""),1,0)</f>
        <v/>
      </c>
      <c r="L982" s="24">
        <f>IF(K982=1,IFERROR(MATCH('ORDENES'!$S978,lista_dias,0),9)*1000000000+IFERROR(MATCH('ORDENES'!$AI978,lista_turnos,0),9)*10000000+IFERROR(MATCH('ORDENES'!$AH978,'TECNICOS'!$B$4:$B$19,0),99)*100000+975,9000000000000+975)</f>
        <v/>
      </c>
      <c r="M982" s="24">
        <f>IF(K982=1,SUMPRODUCT(--($L$8:$L$1207&lt;L982))+1,"")</f>
        <v/>
      </c>
      <c r="N982" s="25">
        <f>IF(K982=1,N('ORDENES'!$M978),0)</f>
        <v/>
      </c>
      <c r="O982" s="25">
        <f>IF('ORDENES'!$U978="preventiva",N982,0)</f>
        <v/>
      </c>
      <c r="P982" s="25">
        <f>IF('ORDENES'!$U978="correctiva",N982,0)</f>
        <v/>
      </c>
      <c r="Q982" s="24">
        <f>IF(AND(K982=1,'ORDENES'!$N978="Pendiente"),1,0)</f>
        <v/>
      </c>
      <c r="R982" s="24">
        <f>IF(Q982=1,100000-N982*1000+975*0.01,9000000000000+975)</f>
        <v/>
      </c>
      <c r="S982" s="24">
        <f>IF(Q982=1,SUMPRODUCT(--($R$8:$R$1207&lt;R982))+1,"")</f>
        <v/>
      </c>
      <c r="T982" s="30">
        <f>IF(K982=1,'ORDENES'!$J978,"")</f>
        <v/>
      </c>
    </row>
    <row r="983">
      <c r="K983" s="24">
        <f>IF(AND(IF($B$3="(todos)",TRUE,'ORDENES'!$O979=$B$3),IF($D$3="(todos)",TRUE,'ORDENES'!$AI979=$D$3),IF($F$3="(todos)",TRUE,'ORDENES'!$AA979=$F$3),IF($H$3="(todos)",TRUE,'ORDENES'!$Z979=$H$3),'ORDENES'!$AG979=TRUE,'ORDENES'!$A979&lt;&gt;""),1,0)</f>
        <v/>
      </c>
      <c r="L983" s="24">
        <f>IF(K983=1,IFERROR(MATCH('ORDENES'!$S979,lista_dias,0),9)*1000000000+IFERROR(MATCH('ORDENES'!$AI979,lista_turnos,0),9)*10000000+IFERROR(MATCH('ORDENES'!$AH979,'TECNICOS'!$B$4:$B$19,0),99)*100000+976,9000000000000+976)</f>
        <v/>
      </c>
      <c r="M983" s="24">
        <f>IF(K983=1,SUMPRODUCT(--($L$8:$L$1207&lt;L983))+1,"")</f>
        <v/>
      </c>
      <c r="N983" s="25">
        <f>IF(K983=1,N('ORDENES'!$M979),0)</f>
        <v/>
      </c>
      <c r="O983" s="25">
        <f>IF('ORDENES'!$U979="preventiva",N983,0)</f>
        <v/>
      </c>
      <c r="P983" s="25">
        <f>IF('ORDENES'!$U979="correctiva",N983,0)</f>
        <v/>
      </c>
      <c r="Q983" s="24">
        <f>IF(AND(K983=1,'ORDENES'!$N979="Pendiente"),1,0)</f>
        <v/>
      </c>
      <c r="R983" s="24">
        <f>IF(Q983=1,100000-N983*1000+976*0.01,9000000000000+976)</f>
        <v/>
      </c>
      <c r="S983" s="24">
        <f>IF(Q983=1,SUMPRODUCT(--($R$8:$R$1207&lt;R983))+1,"")</f>
        <v/>
      </c>
      <c r="T983" s="30">
        <f>IF(K983=1,'ORDENES'!$J979,"")</f>
        <v/>
      </c>
    </row>
    <row r="984">
      <c r="K984" s="24">
        <f>IF(AND(IF($B$3="(todos)",TRUE,'ORDENES'!$O980=$B$3),IF($D$3="(todos)",TRUE,'ORDENES'!$AI980=$D$3),IF($F$3="(todos)",TRUE,'ORDENES'!$AA980=$F$3),IF($H$3="(todos)",TRUE,'ORDENES'!$Z980=$H$3),'ORDENES'!$AG980=TRUE,'ORDENES'!$A980&lt;&gt;""),1,0)</f>
        <v/>
      </c>
      <c r="L984" s="24">
        <f>IF(K984=1,IFERROR(MATCH('ORDENES'!$S980,lista_dias,0),9)*1000000000+IFERROR(MATCH('ORDENES'!$AI980,lista_turnos,0),9)*10000000+IFERROR(MATCH('ORDENES'!$AH980,'TECNICOS'!$B$4:$B$19,0),99)*100000+977,9000000000000+977)</f>
        <v/>
      </c>
      <c r="M984" s="24">
        <f>IF(K984=1,SUMPRODUCT(--($L$8:$L$1207&lt;L984))+1,"")</f>
        <v/>
      </c>
      <c r="N984" s="25">
        <f>IF(K984=1,N('ORDENES'!$M980),0)</f>
        <v/>
      </c>
      <c r="O984" s="25">
        <f>IF('ORDENES'!$U980="preventiva",N984,0)</f>
        <v/>
      </c>
      <c r="P984" s="25">
        <f>IF('ORDENES'!$U980="correctiva",N984,0)</f>
        <v/>
      </c>
      <c r="Q984" s="24">
        <f>IF(AND(K984=1,'ORDENES'!$N980="Pendiente"),1,0)</f>
        <v/>
      </c>
      <c r="R984" s="24">
        <f>IF(Q984=1,100000-N984*1000+977*0.01,9000000000000+977)</f>
        <v/>
      </c>
      <c r="S984" s="24">
        <f>IF(Q984=1,SUMPRODUCT(--($R$8:$R$1207&lt;R984))+1,"")</f>
        <v/>
      </c>
      <c r="T984" s="30">
        <f>IF(K984=1,'ORDENES'!$J980,"")</f>
        <v/>
      </c>
    </row>
    <row r="985">
      <c r="K985" s="24">
        <f>IF(AND(IF($B$3="(todos)",TRUE,'ORDENES'!$O981=$B$3),IF($D$3="(todos)",TRUE,'ORDENES'!$AI981=$D$3),IF($F$3="(todos)",TRUE,'ORDENES'!$AA981=$F$3),IF($H$3="(todos)",TRUE,'ORDENES'!$Z981=$H$3),'ORDENES'!$AG981=TRUE,'ORDENES'!$A981&lt;&gt;""),1,0)</f>
        <v/>
      </c>
      <c r="L985" s="24">
        <f>IF(K985=1,IFERROR(MATCH('ORDENES'!$S981,lista_dias,0),9)*1000000000+IFERROR(MATCH('ORDENES'!$AI981,lista_turnos,0),9)*10000000+IFERROR(MATCH('ORDENES'!$AH981,'TECNICOS'!$B$4:$B$19,0),99)*100000+978,9000000000000+978)</f>
        <v/>
      </c>
      <c r="M985" s="24">
        <f>IF(K985=1,SUMPRODUCT(--($L$8:$L$1207&lt;L985))+1,"")</f>
        <v/>
      </c>
      <c r="N985" s="25">
        <f>IF(K985=1,N('ORDENES'!$M981),0)</f>
        <v/>
      </c>
      <c r="O985" s="25">
        <f>IF('ORDENES'!$U981="preventiva",N985,0)</f>
        <v/>
      </c>
      <c r="P985" s="25">
        <f>IF('ORDENES'!$U981="correctiva",N985,0)</f>
        <v/>
      </c>
      <c r="Q985" s="24">
        <f>IF(AND(K985=1,'ORDENES'!$N981="Pendiente"),1,0)</f>
        <v/>
      </c>
      <c r="R985" s="24">
        <f>IF(Q985=1,100000-N985*1000+978*0.01,9000000000000+978)</f>
        <v/>
      </c>
      <c r="S985" s="24">
        <f>IF(Q985=1,SUMPRODUCT(--($R$8:$R$1207&lt;R985))+1,"")</f>
        <v/>
      </c>
      <c r="T985" s="30">
        <f>IF(K985=1,'ORDENES'!$J981,"")</f>
        <v/>
      </c>
    </row>
    <row r="986">
      <c r="K986" s="24">
        <f>IF(AND(IF($B$3="(todos)",TRUE,'ORDENES'!$O982=$B$3),IF($D$3="(todos)",TRUE,'ORDENES'!$AI982=$D$3),IF($F$3="(todos)",TRUE,'ORDENES'!$AA982=$F$3),IF($H$3="(todos)",TRUE,'ORDENES'!$Z982=$H$3),'ORDENES'!$AG982=TRUE,'ORDENES'!$A982&lt;&gt;""),1,0)</f>
        <v/>
      </c>
      <c r="L986" s="24">
        <f>IF(K986=1,IFERROR(MATCH('ORDENES'!$S982,lista_dias,0),9)*1000000000+IFERROR(MATCH('ORDENES'!$AI982,lista_turnos,0),9)*10000000+IFERROR(MATCH('ORDENES'!$AH982,'TECNICOS'!$B$4:$B$19,0),99)*100000+979,9000000000000+979)</f>
        <v/>
      </c>
      <c r="M986" s="24">
        <f>IF(K986=1,SUMPRODUCT(--($L$8:$L$1207&lt;L986))+1,"")</f>
        <v/>
      </c>
      <c r="N986" s="25">
        <f>IF(K986=1,N('ORDENES'!$M982),0)</f>
        <v/>
      </c>
      <c r="O986" s="25">
        <f>IF('ORDENES'!$U982="preventiva",N986,0)</f>
        <v/>
      </c>
      <c r="P986" s="25">
        <f>IF('ORDENES'!$U982="correctiva",N986,0)</f>
        <v/>
      </c>
      <c r="Q986" s="24">
        <f>IF(AND(K986=1,'ORDENES'!$N982="Pendiente"),1,0)</f>
        <v/>
      </c>
      <c r="R986" s="24">
        <f>IF(Q986=1,100000-N986*1000+979*0.01,9000000000000+979)</f>
        <v/>
      </c>
      <c r="S986" s="24">
        <f>IF(Q986=1,SUMPRODUCT(--($R$8:$R$1207&lt;R986))+1,"")</f>
        <v/>
      </c>
      <c r="T986" s="30">
        <f>IF(K986=1,'ORDENES'!$J982,"")</f>
        <v/>
      </c>
    </row>
    <row r="987">
      <c r="K987" s="24">
        <f>IF(AND(IF($B$3="(todos)",TRUE,'ORDENES'!$O983=$B$3),IF($D$3="(todos)",TRUE,'ORDENES'!$AI983=$D$3),IF($F$3="(todos)",TRUE,'ORDENES'!$AA983=$F$3),IF($H$3="(todos)",TRUE,'ORDENES'!$Z983=$H$3),'ORDENES'!$AG983=TRUE,'ORDENES'!$A983&lt;&gt;""),1,0)</f>
        <v/>
      </c>
      <c r="L987" s="24">
        <f>IF(K987=1,IFERROR(MATCH('ORDENES'!$S983,lista_dias,0),9)*1000000000+IFERROR(MATCH('ORDENES'!$AI983,lista_turnos,0),9)*10000000+IFERROR(MATCH('ORDENES'!$AH983,'TECNICOS'!$B$4:$B$19,0),99)*100000+980,9000000000000+980)</f>
        <v/>
      </c>
      <c r="M987" s="24">
        <f>IF(K987=1,SUMPRODUCT(--($L$8:$L$1207&lt;L987))+1,"")</f>
        <v/>
      </c>
      <c r="N987" s="25">
        <f>IF(K987=1,N('ORDENES'!$M983),0)</f>
        <v/>
      </c>
      <c r="O987" s="25">
        <f>IF('ORDENES'!$U983="preventiva",N987,0)</f>
        <v/>
      </c>
      <c r="P987" s="25">
        <f>IF('ORDENES'!$U983="correctiva",N987,0)</f>
        <v/>
      </c>
      <c r="Q987" s="24">
        <f>IF(AND(K987=1,'ORDENES'!$N983="Pendiente"),1,0)</f>
        <v/>
      </c>
      <c r="R987" s="24">
        <f>IF(Q987=1,100000-N987*1000+980*0.01,9000000000000+980)</f>
        <v/>
      </c>
      <c r="S987" s="24">
        <f>IF(Q987=1,SUMPRODUCT(--($R$8:$R$1207&lt;R987))+1,"")</f>
        <v/>
      </c>
      <c r="T987" s="30">
        <f>IF(K987=1,'ORDENES'!$J983,"")</f>
        <v/>
      </c>
    </row>
    <row r="988">
      <c r="K988" s="24">
        <f>IF(AND(IF($B$3="(todos)",TRUE,'ORDENES'!$O984=$B$3),IF($D$3="(todos)",TRUE,'ORDENES'!$AI984=$D$3),IF($F$3="(todos)",TRUE,'ORDENES'!$AA984=$F$3),IF($H$3="(todos)",TRUE,'ORDENES'!$Z984=$H$3),'ORDENES'!$AG984=TRUE,'ORDENES'!$A984&lt;&gt;""),1,0)</f>
        <v/>
      </c>
      <c r="L988" s="24">
        <f>IF(K988=1,IFERROR(MATCH('ORDENES'!$S984,lista_dias,0),9)*1000000000+IFERROR(MATCH('ORDENES'!$AI984,lista_turnos,0),9)*10000000+IFERROR(MATCH('ORDENES'!$AH984,'TECNICOS'!$B$4:$B$19,0),99)*100000+981,9000000000000+981)</f>
        <v/>
      </c>
      <c r="M988" s="24">
        <f>IF(K988=1,SUMPRODUCT(--($L$8:$L$1207&lt;L988))+1,"")</f>
        <v/>
      </c>
      <c r="N988" s="25">
        <f>IF(K988=1,N('ORDENES'!$M984),0)</f>
        <v/>
      </c>
      <c r="O988" s="25">
        <f>IF('ORDENES'!$U984="preventiva",N988,0)</f>
        <v/>
      </c>
      <c r="P988" s="25">
        <f>IF('ORDENES'!$U984="correctiva",N988,0)</f>
        <v/>
      </c>
      <c r="Q988" s="24">
        <f>IF(AND(K988=1,'ORDENES'!$N984="Pendiente"),1,0)</f>
        <v/>
      </c>
      <c r="R988" s="24">
        <f>IF(Q988=1,100000-N988*1000+981*0.01,9000000000000+981)</f>
        <v/>
      </c>
      <c r="S988" s="24">
        <f>IF(Q988=1,SUMPRODUCT(--($R$8:$R$1207&lt;R988))+1,"")</f>
        <v/>
      </c>
      <c r="T988" s="30">
        <f>IF(K988=1,'ORDENES'!$J984,"")</f>
        <v/>
      </c>
    </row>
    <row r="989">
      <c r="K989" s="24">
        <f>IF(AND(IF($B$3="(todos)",TRUE,'ORDENES'!$O985=$B$3),IF($D$3="(todos)",TRUE,'ORDENES'!$AI985=$D$3),IF($F$3="(todos)",TRUE,'ORDENES'!$AA985=$F$3),IF($H$3="(todos)",TRUE,'ORDENES'!$Z985=$H$3),'ORDENES'!$AG985=TRUE,'ORDENES'!$A985&lt;&gt;""),1,0)</f>
        <v/>
      </c>
      <c r="L989" s="24">
        <f>IF(K989=1,IFERROR(MATCH('ORDENES'!$S985,lista_dias,0),9)*1000000000+IFERROR(MATCH('ORDENES'!$AI985,lista_turnos,0),9)*10000000+IFERROR(MATCH('ORDENES'!$AH985,'TECNICOS'!$B$4:$B$19,0),99)*100000+982,9000000000000+982)</f>
        <v/>
      </c>
      <c r="M989" s="24">
        <f>IF(K989=1,SUMPRODUCT(--($L$8:$L$1207&lt;L989))+1,"")</f>
        <v/>
      </c>
      <c r="N989" s="25">
        <f>IF(K989=1,N('ORDENES'!$M985),0)</f>
        <v/>
      </c>
      <c r="O989" s="25">
        <f>IF('ORDENES'!$U985="preventiva",N989,0)</f>
        <v/>
      </c>
      <c r="P989" s="25">
        <f>IF('ORDENES'!$U985="correctiva",N989,0)</f>
        <v/>
      </c>
      <c r="Q989" s="24">
        <f>IF(AND(K989=1,'ORDENES'!$N985="Pendiente"),1,0)</f>
        <v/>
      </c>
      <c r="R989" s="24">
        <f>IF(Q989=1,100000-N989*1000+982*0.01,9000000000000+982)</f>
        <v/>
      </c>
      <c r="S989" s="24">
        <f>IF(Q989=1,SUMPRODUCT(--($R$8:$R$1207&lt;R989))+1,"")</f>
        <v/>
      </c>
      <c r="T989" s="30">
        <f>IF(K989=1,'ORDENES'!$J985,"")</f>
        <v/>
      </c>
    </row>
    <row r="990">
      <c r="K990" s="24">
        <f>IF(AND(IF($B$3="(todos)",TRUE,'ORDENES'!$O986=$B$3),IF($D$3="(todos)",TRUE,'ORDENES'!$AI986=$D$3),IF($F$3="(todos)",TRUE,'ORDENES'!$AA986=$F$3),IF($H$3="(todos)",TRUE,'ORDENES'!$Z986=$H$3),'ORDENES'!$AG986=TRUE,'ORDENES'!$A986&lt;&gt;""),1,0)</f>
        <v/>
      </c>
      <c r="L990" s="24">
        <f>IF(K990=1,IFERROR(MATCH('ORDENES'!$S986,lista_dias,0),9)*1000000000+IFERROR(MATCH('ORDENES'!$AI986,lista_turnos,0),9)*10000000+IFERROR(MATCH('ORDENES'!$AH986,'TECNICOS'!$B$4:$B$19,0),99)*100000+983,9000000000000+983)</f>
        <v/>
      </c>
      <c r="M990" s="24">
        <f>IF(K990=1,SUMPRODUCT(--($L$8:$L$1207&lt;L990))+1,"")</f>
        <v/>
      </c>
      <c r="N990" s="25">
        <f>IF(K990=1,N('ORDENES'!$M986),0)</f>
        <v/>
      </c>
      <c r="O990" s="25">
        <f>IF('ORDENES'!$U986="preventiva",N990,0)</f>
        <v/>
      </c>
      <c r="P990" s="25">
        <f>IF('ORDENES'!$U986="correctiva",N990,0)</f>
        <v/>
      </c>
      <c r="Q990" s="24">
        <f>IF(AND(K990=1,'ORDENES'!$N986="Pendiente"),1,0)</f>
        <v/>
      </c>
      <c r="R990" s="24">
        <f>IF(Q990=1,100000-N990*1000+983*0.01,9000000000000+983)</f>
        <v/>
      </c>
      <c r="S990" s="24">
        <f>IF(Q990=1,SUMPRODUCT(--($R$8:$R$1207&lt;R990))+1,"")</f>
        <v/>
      </c>
      <c r="T990" s="30">
        <f>IF(K990=1,'ORDENES'!$J986,"")</f>
        <v/>
      </c>
    </row>
    <row r="991">
      <c r="K991" s="24">
        <f>IF(AND(IF($B$3="(todos)",TRUE,'ORDENES'!$O987=$B$3),IF($D$3="(todos)",TRUE,'ORDENES'!$AI987=$D$3),IF($F$3="(todos)",TRUE,'ORDENES'!$AA987=$F$3),IF($H$3="(todos)",TRUE,'ORDENES'!$Z987=$H$3),'ORDENES'!$AG987=TRUE,'ORDENES'!$A987&lt;&gt;""),1,0)</f>
        <v/>
      </c>
      <c r="L991" s="24">
        <f>IF(K991=1,IFERROR(MATCH('ORDENES'!$S987,lista_dias,0),9)*1000000000+IFERROR(MATCH('ORDENES'!$AI987,lista_turnos,0),9)*10000000+IFERROR(MATCH('ORDENES'!$AH987,'TECNICOS'!$B$4:$B$19,0),99)*100000+984,9000000000000+984)</f>
        <v/>
      </c>
      <c r="M991" s="24">
        <f>IF(K991=1,SUMPRODUCT(--($L$8:$L$1207&lt;L991))+1,"")</f>
        <v/>
      </c>
      <c r="N991" s="25">
        <f>IF(K991=1,N('ORDENES'!$M987),0)</f>
        <v/>
      </c>
      <c r="O991" s="25">
        <f>IF('ORDENES'!$U987="preventiva",N991,0)</f>
        <v/>
      </c>
      <c r="P991" s="25">
        <f>IF('ORDENES'!$U987="correctiva",N991,0)</f>
        <v/>
      </c>
      <c r="Q991" s="24">
        <f>IF(AND(K991=1,'ORDENES'!$N987="Pendiente"),1,0)</f>
        <v/>
      </c>
      <c r="R991" s="24">
        <f>IF(Q991=1,100000-N991*1000+984*0.01,9000000000000+984)</f>
        <v/>
      </c>
      <c r="S991" s="24">
        <f>IF(Q991=1,SUMPRODUCT(--($R$8:$R$1207&lt;R991))+1,"")</f>
        <v/>
      </c>
      <c r="T991" s="30">
        <f>IF(K991=1,'ORDENES'!$J987,"")</f>
        <v/>
      </c>
    </row>
    <row r="992">
      <c r="K992" s="24">
        <f>IF(AND(IF($B$3="(todos)",TRUE,'ORDENES'!$O988=$B$3),IF($D$3="(todos)",TRUE,'ORDENES'!$AI988=$D$3),IF($F$3="(todos)",TRUE,'ORDENES'!$AA988=$F$3),IF($H$3="(todos)",TRUE,'ORDENES'!$Z988=$H$3),'ORDENES'!$AG988=TRUE,'ORDENES'!$A988&lt;&gt;""),1,0)</f>
        <v/>
      </c>
      <c r="L992" s="24">
        <f>IF(K992=1,IFERROR(MATCH('ORDENES'!$S988,lista_dias,0),9)*1000000000+IFERROR(MATCH('ORDENES'!$AI988,lista_turnos,0),9)*10000000+IFERROR(MATCH('ORDENES'!$AH988,'TECNICOS'!$B$4:$B$19,0),99)*100000+985,9000000000000+985)</f>
        <v/>
      </c>
      <c r="M992" s="24">
        <f>IF(K992=1,SUMPRODUCT(--($L$8:$L$1207&lt;L992))+1,"")</f>
        <v/>
      </c>
      <c r="N992" s="25">
        <f>IF(K992=1,N('ORDENES'!$M988),0)</f>
        <v/>
      </c>
      <c r="O992" s="25">
        <f>IF('ORDENES'!$U988="preventiva",N992,0)</f>
        <v/>
      </c>
      <c r="P992" s="25">
        <f>IF('ORDENES'!$U988="correctiva",N992,0)</f>
        <v/>
      </c>
      <c r="Q992" s="24">
        <f>IF(AND(K992=1,'ORDENES'!$N988="Pendiente"),1,0)</f>
        <v/>
      </c>
      <c r="R992" s="24">
        <f>IF(Q992=1,100000-N992*1000+985*0.01,9000000000000+985)</f>
        <v/>
      </c>
      <c r="S992" s="24">
        <f>IF(Q992=1,SUMPRODUCT(--($R$8:$R$1207&lt;R992))+1,"")</f>
        <v/>
      </c>
      <c r="T992" s="30">
        <f>IF(K992=1,'ORDENES'!$J988,"")</f>
        <v/>
      </c>
    </row>
    <row r="993">
      <c r="K993" s="24">
        <f>IF(AND(IF($B$3="(todos)",TRUE,'ORDENES'!$O989=$B$3),IF($D$3="(todos)",TRUE,'ORDENES'!$AI989=$D$3),IF($F$3="(todos)",TRUE,'ORDENES'!$AA989=$F$3),IF($H$3="(todos)",TRUE,'ORDENES'!$Z989=$H$3),'ORDENES'!$AG989=TRUE,'ORDENES'!$A989&lt;&gt;""),1,0)</f>
        <v/>
      </c>
      <c r="L993" s="24">
        <f>IF(K993=1,IFERROR(MATCH('ORDENES'!$S989,lista_dias,0),9)*1000000000+IFERROR(MATCH('ORDENES'!$AI989,lista_turnos,0),9)*10000000+IFERROR(MATCH('ORDENES'!$AH989,'TECNICOS'!$B$4:$B$19,0),99)*100000+986,9000000000000+986)</f>
        <v/>
      </c>
      <c r="M993" s="24">
        <f>IF(K993=1,SUMPRODUCT(--($L$8:$L$1207&lt;L993))+1,"")</f>
        <v/>
      </c>
      <c r="N993" s="25">
        <f>IF(K993=1,N('ORDENES'!$M989),0)</f>
        <v/>
      </c>
      <c r="O993" s="25">
        <f>IF('ORDENES'!$U989="preventiva",N993,0)</f>
        <v/>
      </c>
      <c r="P993" s="25">
        <f>IF('ORDENES'!$U989="correctiva",N993,0)</f>
        <v/>
      </c>
      <c r="Q993" s="24">
        <f>IF(AND(K993=1,'ORDENES'!$N989="Pendiente"),1,0)</f>
        <v/>
      </c>
      <c r="R993" s="24">
        <f>IF(Q993=1,100000-N993*1000+986*0.01,9000000000000+986)</f>
        <v/>
      </c>
      <c r="S993" s="24">
        <f>IF(Q993=1,SUMPRODUCT(--($R$8:$R$1207&lt;R993))+1,"")</f>
        <v/>
      </c>
      <c r="T993" s="30">
        <f>IF(K993=1,'ORDENES'!$J989,"")</f>
        <v/>
      </c>
    </row>
    <row r="994">
      <c r="K994" s="24">
        <f>IF(AND(IF($B$3="(todos)",TRUE,'ORDENES'!$O990=$B$3),IF($D$3="(todos)",TRUE,'ORDENES'!$AI990=$D$3),IF($F$3="(todos)",TRUE,'ORDENES'!$AA990=$F$3),IF($H$3="(todos)",TRUE,'ORDENES'!$Z990=$H$3),'ORDENES'!$AG990=TRUE,'ORDENES'!$A990&lt;&gt;""),1,0)</f>
        <v/>
      </c>
      <c r="L994" s="24">
        <f>IF(K994=1,IFERROR(MATCH('ORDENES'!$S990,lista_dias,0),9)*1000000000+IFERROR(MATCH('ORDENES'!$AI990,lista_turnos,0),9)*10000000+IFERROR(MATCH('ORDENES'!$AH990,'TECNICOS'!$B$4:$B$19,0),99)*100000+987,9000000000000+987)</f>
        <v/>
      </c>
      <c r="M994" s="24">
        <f>IF(K994=1,SUMPRODUCT(--($L$8:$L$1207&lt;L994))+1,"")</f>
        <v/>
      </c>
      <c r="N994" s="25">
        <f>IF(K994=1,N('ORDENES'!$M990),0)</f>
        <v/>
      </c>
      <c r="O994" s="25">
        <f>IF('ORDENES'!$U990="preventiva",N994,0)</f>
        <v/>
      </c>
      <c r="P994" s="25">
        <f>IF('ORDENES'!$U990="correctiva",N994,0)</f>
        <v/>
      </c>
      <c r="Q994" s="24">
        <f>IF(AND(K994=1,'ORDENES'!$N990="Pendiente"),1,0)</f>
        <v/>
      </c>
      <c r="R994" s="24">
        <f>IF(Q994=1,100000-N994*1000+987*0.01,9000000000000+987)</f>
        <v/>
      </c>
      <c r="S994" s="24">
        <f>IF(Q994=1,SUMPRODUCT(--($R$8:$R$1207&lt;R994))+1,"")</f>
        <v/>
      </c>
      <c r="T994" s="30">
        <f>IF(K994=1,'ORDENES'!$J990,"")</f>
        <v/>
      </c>
    </row>
    <row r="995">
      <c r="K995" s="24">
        <f>IF(AND(IF($B$3="(todos)",TRUE,'ORDENES'!$O991=$B$3),IF($D$3="(todos)",TRUE,'ORDENES'!$AI991=$D$3),IF($F$3="(todos)",TRUE,'ORDENES'!$AA991=$F$3),IF($H$3="(todos)",TRUE,'ORDENES'!$Z991=$H$3),'ORDENES'!$AG991=TRUE,'ORDENES'!$A991&lt;&gt;""),1,0)</f>
        <v/>
      </c>
      <c r="L995" s="24">
        <f>IF(K995=1,IFERROR(MATCH('ORDENES'!$S991,lista_dias,0),9)*1000000000+IFERROR(MATCH('ORDENES'!$AI991,lista_turnos,0),9)*10000000+IFERROR(MATCH('ORDENES'!$AH991,'TECNICOS'!$B$4:$B$19,0),99)*100000+988,9000000000000+988)</f>
        <v/>
      </c>
      <c r="M995" s="24">
        <f>IF(K995=1,SUMPRODUCT(--($L$8:$L$1207&lt;L995))+1,"")</f>
        <v/>
      </c>
      <c r="N995" s="25">
        <f>IF(K995=1,N('ORDENES'!$M991),0)</f>
        <v/>
      </c>
      <c r="O995" s="25">
        <f>IF('ORDENES'!$U991="preventiva",N995,0)</f>
        <v/>
      </c>
      <c r="P995" s="25">
        <f>IF('ORDENES'!$U991="correctiva",N995,0)</f>
        <v/>
      </c>
      <c r="Q995" s="24">
        <f>IF(AND(K995=1,'ORDENES'!$N991="Pendiente"),1,0)</f>
        <v/>
      </c>
      <c r="R995" s="24">
        <f>IF(Q995=1,100000-N995*1000+988*0.01,9000000000000+988)</f>
        <v/>
      </c>
      <c r="S995" s="24">
        <f>IF(Q995=1,SUMPRODUCT(--($R$8:$R$1207&lt;R995))+1,"")</f>
        <v/>
      </c>
      <c r="T995" s="30">
        <f>IF(K995=1,'ORDENES'!$J991,"")</f>
        <v/>
      </c>
    </row>
    <row r="996">
      <c r="K996" s="24">
        <f>IF(AND(IF($B$3="(todos)",TRUE,'ORDENES'!$O992=$B$3),IF($D$3="(todos)",TRUE,'ORDENES'!$AI992=$D$3),IF($F$3="(todos)",TRUE,'ORDENES'!$AA992=$F$3),IF($H$3="(todos)",TRUE,'ORDENES'!$Z992=$H$3),'ORDENES'!$AG992=TRUE,'ORDENES'!$A992&lt;&gt;""),1,0)</f>
        <v/>
      </c>
      <c r="L996" s="24">
        <f>IF(K996=1,IFERROR(MATCH('ORDENES'!$S992,lista_dias,0),9)*1000000000+IFERROR(MATCH('ORDENES'!$AI992,lista_turnos,0),9)*10000000+IFERROR(MATCH('ORDENES'!$AH992,'TECNICOS'!$B$4:$B$19,0),99)*100000+989,9000000000000+989)</f>
        <v/>
      </c>
      <c r="M996" s="24">
        <f>IF(K996=1,SUMPRODUCT(--($L$8:$L$1207&lt;L996))+1,"")</f>
        <v/>
      </c>
      <c r="N996" s="25">
        <f>IF(K996=1,N('ORDENES'!$M992),0)</f>
        <v/>
      </c>
      <c r="O996" s="25">
        <f>IF('ORDENES'!$U992="preventiva",N996,0)</f>
        <v/>
      </c>
      <c r="P996" s="25">
        <f>IF('ORDENES'!$U992="correctiva",N996,0)</f>
        <v/>
      </c>
      <c r="Q996" s="24">
        <f>IF(AND(K996=1,'ORDENES'!$N992="Pendiente"),1,0)</f>
        <v/>
      </c>
      <c r="R996" s="24">
        <f>IF(Q996=1,100000-N996*1000+989*0.01,9000000000000+989)</f>
        <v/>
      </c>
      <c r="S996" s="24">
        <f>IF(Q996=1,SUMPRODUCT(--($R$8:$R$1207&lt;R996))+1,"")</f>
        <v/>
      </c>
      <c r="T996" s="30">
        <f>IF(K996=1,'ORDENES'!$J992,"")</f>
        <v/>
      </c>
    </row>
    <row r="997">
      <c r="K997" s="24">
        <f>IF(AND(IF($B$3="(todos)",TRUE,'ORDENES'!$O993=$B$3),IF($D$3="(todos)",TRUE,'ORDENES'!$AI993=$D$3),IF($F$3="(todos)",TRUE,'ORDENES'!$AA993=$F$3),IF($H$3="(todos)",TRUE,'ORDENES'!$Z993=$H$3),'ORDENES'!$AG993=TRUE,'ORDENES'!$A993&lt;&gt;""),1,0)</f>
        <v/>
      </c>
      <c r="L997" s="24">
        <f>IF(K997=1,IFERROR(MATCH('ORDENES'!$S993,lista_dias,0),9)*1000000000+IFERROR(MATCH('ORDENES'!$AI993,lista_turnos,0),9)*10000000+IFERROR(MATCH('ORDENES'!$AH993,'TECNICOS'!$B$4:$B$19,0),99)*100000+990,9000000000000+990)</f>
        <v/>
      </c>
      <c r="M997" s="24">
        <f>IF(K997=1,SUMPRODUCT(--($L$8:$L$1207&lt;L997))+1,"")</f>
        <v/>
      </c>
      <c r="N997" s="25">
        <f>IF(K997=1,N('ORDENES'!$M993),0)</f>
        <v/>
      </c>
      <c r="O997" s="25">
        <f>IF('ORDENES'!$U993="preventiva",N997,0)</f>
        <v/>
      </c>
      <c r="P997" s="25">
        <f>IF('ORDENES'!$U993="correctiva",N997,0)</f>
        <v/>
      </c>
      <c r="Q997" s="24">
        <f>IF(AND(K997=1,'ORDENES'!$N993="Pendiente"),1,0)</f>
        <v/>
      </c>
      <c r="R997" s="24">
        <f>IF(Q997=1,100000-N997*1000+990*0.01,9000000000000+990)</f>
        <v/>
      </c>
      <c r="S997" s="24">
        <f>IF(Q997=1,SUMPRODUCT(--($R$8:$R$1207&lt;R997))+1,"")</f>
        <v/>
      </c>
      <c r="T997" s="30">
        <f>IF(K997=1,'ORDENES'!$J993,"")</f>
        <v/>
      </c>
    </row>
    <row r="998">
      <c r="K998" s="24">
        <f>IF(AND(IF($B$3="(todos)",TRUE,'ORDENES'!$O994=$B$3),IF($D$3="(todos)",TRUE,'ORDENES'!$AI994=$D$3),IF($F$3="(todos)",TRUE,'ORDENES'!$AA994=$F$3),IF($H$3="(todos)",TRUE,'ORDENES'!$Z994=$H$3),'ORDENES'!$AG994=TRUE,'ORDENES'!$A994&lt;&gt;""),1,0)</f>
        <v/>
      </c>
      <c r="L998" s="24">
        <f>IF(K998=1,IFERROR(MATCH('ORDENES'!$S994,lista_dias,0),9)*1000000000+IFERROR(MATCH('ORDENES'!$AI994,lista_turnos,0),9)*10000000+IFERROR(MATCH('ORDENES'!$AH994,'TECNICOS'!$B$4:$B$19,0),99)*100000+991,9000000000000+991)</f>
        <v/>
      </c>
      <c r="M998" s="24">
        <f>IF(K998=1,SUMPRODUCT(--($L$8:$L$1207&lt;L998))+1,"")</f>
        <v/>
      </c>
      <c r="N998" s="25">
        <f>IF(K998=1,N('ORDENES'!$M994),0)</f>
        <v/>
      </c>
      <c r="O998" s="25">
        <f>IF('ORDENES'!$U994="preventiva",N998,0)</f>
        <v/>
      </c>
      <c r="P998" s="25">
        <f>IF('ORDENES'!$U994="correctiva",N998,0)</f>
        <v/>
      </c>
      <c r="Q998" s="24">
        <f>IF(AND(K998=1,'ORDENES'!$N994="Pendiente"),1,0)</f>
        <v/>
      </c>
      <c r="R998" s="24">
        <f>IF(Q998=1,100000-N998*1000+991*0.01,9000000000000+991)</f>
        <v/>
      </c>
      <c r="S998" s="24">
        <f>IF(Q998=1,SUMPRODUCT(--($R$8:$R$1207&lt;R998))+1,"")</f>
        <v/>
      </c>
      <c r="T998" s="30">
        <f>IF(K998=1,'ORDENES'!$J994,"")</f>
        <v/>
      </c>
    </row>
    <row r="999">
      <c r="K999" s="24">
        <f>IF(AND(IF($B$3="(todos)",TRUE,'ORDENES'!$O995=$B$3),IF($D$3="(todos)",TRUE,'ORDENES'!$AI995=$D$3),IF($F$3="(todos)",TRUE,'ORDENES'!$AA995=$F$3),IF($H$3="(todos)",TRUE,'ORDENES'!$Z995=$H$3),'ORDENES'!$AG995=TRUE,'ORDENES'!$A995&lt;&gt;""),1,0)</f>
        <v/>
      </c>
      <c r="L999" s="24">
        <f>IF(K999=1,IFERROR(MATCH('ORDENES'!$S995,lista_dias,0),9)*1000000000+IFERROR(MATCH('ORDENES'!$AI995,lista_turnos,0),9)*10000000+IFERROR(MATCH('ORDENES'!$AH995,'TECNICOS'!$B$4:$B$19,0),99)*100000+992,9000000000000+992)</f>
        <v/>
      </c>
      <c r="M999" s="24">
        <f>IF(K999=1,SUMPRODUCT(--($L$8:$L$1207&lt;L999))+1,"")</f>
        <v/>
      </c>
      <c r="N999" s="25">
        <f>IF(K999=1,N('ORDENES'!$M995),0)</f>
        <v/>
      </c>
      <c r="O999" s="25">
        <f>IF('ORDENES'!$U995="preventiva",N999,0)</f>
        <v/>
      </c>
      <c r="P999" s="25">
        <f>IF('ORDENES'!$U995="correctiva",N999,0)</f>
        <v/>
      </c>
      <c r="Q999" s="24">
        <f>IF(AND(K999=1,'ORDENES'!$N995="Pendiente"),1,0)</f>
        <v/>
      </c>
      <c r="R999" s="24">
        <f>IF(Q999=1,100000-N999*1000+992*0.01,9000000000000+992)</f>
        <v/>
      </c>
      <c r="S999" s="24">
        <f>IF(Q999=1,SUMPRODUCT(--($R$8:$R$1207&lt;R999))+1,"")</f>
        <v/>
      </c>
      <c r="T999" s="30">
        <f>IF(K999=1,'ORDENES'!$J995,"")</f>
        <v/>
      </c>
    </row>
    <row r="1000">
      <c r="K1000" s="24">
        <f>IF(AND(IF($B$3="(todos)",TRUE,'ORDENES'!$O996=$B$3),IF($D$3="(todos)",TRUE,'ORDENES'!$AI996=$D$3),IF($F$3="(todos)",TRUE,'ORDENES'!$AA996=$F$3),IF($H$3="(todos)",TRUE,'ORDENES'!$Z996=$H$3),'ORDENES'!$AG996=TRUE,'ORDENES'!$A996&lt;&gt;""),1,0)</f>
        <v/>
      </c>
      <c r="L1000" s="24">
        <f>IF(K1000=1,IFERROR(MATCH('ORDENES'!$S996,lista_dias,0),9)*1000000000+IFERROR(MATCH('ORDENES'!$AI996,lista_turnos,0),9)*10000000+IFERROR(MATCH('ORDENES'!$AH996,'TECNICOS'!$B$4:$B$19,0),99)*100000+993,9000000000000+993)</f>
        <v/>
      </c>
      <c r="M1000" s="24">
        <f>IF(K1000=1,SUMPRODUCT(--($L$8:$L$1207&lt;L1000))+1,"")</f>
        <v/>
      </c>
      <c r="N1000" s="25">
        <f>IF(K1000=1,N('ORDENES'!$M996),0)</f>
        <v/>
      </c>
      <c r="O1000" s="25">
        <f>IF('ORDENES'!$U996="preventiva",N1000,0)</f>
        <v/>
      </c>
      <c r="P1000" s="25">
        <f>IF('ORDENES'!$U996="correctiva",N1000,0)</f>
        <v/>
      </c>
      <c r="Q1000" s="24">
        <f>IF(AND(K1000=1,'ORDENES'!$N996="Pendiente"),1,0)</f>
        <v/>
      </c>
      <c r="R1000" s="24">
        <f>IF(Q1000=1,100000-N1000*1000+993*0.01,9000000000000+993)</f>
        <v/>
      </c>
      <c r="S1000" s="24">
        <f>IF(Q1000=1,SUMPRODUCT(--($R$8:$R$1207&lt;R1000))+1,"")</f>
        <v/>
      </c>
      <c r="T1000" s="30">
        <f>IF(K1000=1,'ORDENES'!$J996,"")</f>
        <v/>
      </c>
    </row>
    <row r="1001">
      <c r="K1001" s="24">
        <f>IF(AND(IF($B$3="(todos)",TRUE,'ORDENES'!$O997=$B$3),IF($D$3="(todos)",TRUE,'ORDENES'!$AI997=$D$3),IF($F$3="(todos)",TRUE,'ORDENES'!$AA997=$F$3),IF($H$3="(todos)",TRUE,'ORDENES'!$Z997=$H$3),'ORDENES'!$AG997=TRUE,'ORDENES'!$A997&lt;&gt;""),1,0)</f>
        <v/>
      </c>
      <c r="L1001" s="24">
        <f>IF(K1001=1,IFERROR(MATCH('ORDENES'!$S997,lista_dias,0),9)*1000000000+IFERROR(MATCH('ORDENES'!$AI997,lista_turnos,0),9)*10000000+IFERROR(MATCH('ORDENES'!$AH997,'TECNICOS'!$B$4:$B$19,0),99)*100000+994,9000000000000+994)</f>
        <v/>
      </c>
      <c r="M1001" s="24">
        <f>IF(K1001=1,SUMPRODUCT(--($L$8:$L$1207&lt;L1001))+1,"")</f>
        <v/>
      </c>
      <c r="N1001" s="25">
        <f>IF(K1001=1,N('ORDENES'!$M997),0)</f>
        <v/>
      </c>
      <c r="O1001" s="25">
        <f>IF('ORDENES'!$U997="preventiva",N1001,0)</f>
        <v/>
      </c>
      <c r="P1001" s="25">
        <f>IF('ORDENES'!$U997="correctiva",N1001,0)</f>
        <v/>
      </c>
      <c r="Q1001" s="24">
        <f>IF(AND(K1001=1,'ORDENES'!$N997="Pendiente"),1,0)</f>
        <v/>
      </c>
      <c r="R1001" s="24">
        <f>IF(Q1001=1,100000-N1001*1000+994*0.01,9000000000000+994)</f>
        <v/>
      </c>
      <c r="S1001" s="24">
        <f>IF(Q1001=1,SUMPRODUCT(--($R$8:$R$1207&lt;R1001))+1,"")</f>
        <v/>
      </c>
      <c r="T1001" s="30">
        <f>IF(K1001=1,'ORDENES'!$J997,"")</f>
        <v/>
      </c>
    </row>
    <row r="1002">
      <c r="K1002" s="24">
        <f>IF(AND(IF($B$3="(todos)",TRUE,'ORDENES'!$O998=$B$3),IF($D$3="(todos)",TRUE,'ORDENES'!$AI998=$D$3),IF($F$3="(todos)",TRUE,'ORDENES'!$AA998=$F$3),IF($H$3="(todos)",TRUE,'ORDENES'!$Z998=$H$3),'ORDENES'!$AG998=TRUE,'ORDENES'!$A998&lt;&gt;""),1,0)</f>
        <v/>
      </c>
      <c r="L1002" s="24">
        <f>IF(K1002=1,IFERROR(MATCH('ORDENES'!$S998,lista_dias,0),9)*1000000000+IFERROR(MATCH('ORDENES'!$AI998,lista_turnos,0),9)*10000000+IFERROR(MATCH('ORDENES'!$AH998,'TECNICOS'!$B$4:$B$19,0),99)*100000+995,9000000000000+995)</f>
        <v/>
      </c>
      <c r="M1002" s="24">
        <f>IF(K1002=1,SUMPRODUCT(--($L$8:$L$1207&lt;L1002))+1,"")</f>
        <v/>
      </c>
      <c r="N1002" s="25">
        <f>IF(K1002=1,N('ORDENES'!$M998),0)</f>
        <v/>
      </c>
      <c r="O1002" s="25">
        <f>IF('ORDENES'!$U998="preventiva",N1002,0)</f>
        <v/>
      </c>
      <c r="P1002" s="25">
        <f>IF('ORDENES'!$U998="correctiva",N1002,0)</f>
        <v/>
      </c>
      <c r="Q1002" s="24">
        <f>IF(AND(K1002=1,'ORDENES'!$N998="Pendiente"),1,0)</f>
        <v/>
      </c>
      <c r="R1002" s="24">
        <f>IF(Q1002=1,100000-N1002*1000+995*0.01,9000000000000+995)</f>
        <v/>
      </c>
      <c r="S1002" s="24">
        <f>IF(Q1002=1,SUMPRODUCT(--($R$8:$R$1207&lt;R1002))+1,"")</f>
        <v/>
      </c>
      <c r="T1002" s="30">
        <f>IF(K1002=1,'ORDENES'!$J998,"")</f>
        <v/>
      </c>
    </row>
    <row r="1003">
      <c r="K1003" s="24">
        <f>IF(AND(IF($B$3="(todos)",TRUE,'ORDENES'!$O999=$B$3),IF($D$3="(todos)",TRUE,'ORDENES'!$AI999=$D$3),IF($F$3="(todos)",TRUE,'ORDENES'!$AA999=$F$3),IF($H$3="(todos)",TRUE,'ORDENES'!$Z999=$H$3),'ORDENES'!$AG999=TRUE,'ORDENES'!$A999&lt;&gt;""),1,0)</f>
        <v/>
      </c>
      <c r="L1003" s="24">
        <f>IF(K1003=1,IFERROR(MATCH('ORDENES'!$S999,lista_dias,0),9)*1000000000+IFERROR(MATCH('ORDENES'!$AI999,lista_turnos,0),9)*10000000+IFERROR(MATCH('ORDENES'!$AH999,'TECNICOS'!$B$4:$B$19,0),99)*100000+996,9000000000000+996)</f>
        <v/>
      </c>
      <c r="M1003" s="24">
        <f>IF(K1003=1,SUMPRODUCT(--($L$8:$L$1207&lt;L1003))+1,"")</f>
        <v/>
      </c>
      <c r="N1003" s="25">
        <f>IF(K1003=1,N('ORDENES'!$M999),0)</f>
        <v/>
      </c>
      <c r="O1003" s="25">
        <f>IF('ORDENES'!$U999="preventiva",N1003,0)</f>
        <v/>
      </c>
      <c r="P1003" s="25">
        <f>IF('ORDENES'!$U999="correctiva",N1003,0)</f>
        <v/>
      </c>
      <c r="Q1003" s="24">
        <f>IF(AND(K1003=1,'ORDENES'!$N999="Pendiente"),1,0)</f>
        <v/>
      </c>
      <c r="R1003" s="24">
        <f>IF(Q1003=1,100000-N1003*1000+996*0.01,9000000000000+996)</f>
        <v/>
      </c>
      <c r="S1003" s="24">
        <f>IF(Q1003=1,SUMPRODUCT(--($R$8:$R$1207&lt;R1003))+1,"")</f>
        <v/>
      </c>
      <c r="T1003" s="30">
        <f>IF(K1003=1,'ORDENES'!$J999,"")</f>
        <v/>
      </c>
    </row>
    <row r="1004">
      <c r="K1004" s="24">
        <f>IF(AND(IF($B$3="(todos)",TRUE,'ORDENES'!$O1000=$B$3),IF($D$3="(todos)",TRUE,'ORDENES'!$AI1000=$D$3),IF($F$3="(todos)",TRUE,'ORDENES'!$AA1000=$F$3),IF($H$3="(todos)",TRUE,'ORDENES'!$Z1000=$H$3),'ORDENES'!$AG1000=TRUE,'ORDENES'!$A1000&lt;&gt;""),1,0)</f>
        <v/>
      </c>
      <c r="L1004" s="24">
        <f>IF(K1004=1,IFERROR(MATCH('ORDENES'!$S1000,lista_dias,0),9)*1000000000+IFERROR(MATCH('ORDENES'!$AI1000,lista_turnos,0),9)*10000000+IFERROR(MATCH('ORDENES'!$AH1000,'TECNICOS'!$B$4:$B$19,0),99)*100000+997,9000000000000+997)</f>
        <v/>
      </c>
      <c r="M1004" s="24">
        <f>IF(K1004=1,SUMPRODUCT(--($L$8:$L$1207&lt;L1004))+1,"")</f>
        <v/>
      </c>
      <c r="N1004" s="25">
        <f>IF(K1004=1,N('ORDENES'!$M1000),0)</f>
        <v/>
      </c>
      <c r="O1004" s="25">
        <f>IF('ORDENES'!$U1000="preventiva",N1004,0)</f>
        <v/>
      </c>
      <c r="P1004" s="25">
        <f>IF('ORDENES'!$U1000="correctiva",N1004,0)</f>
        <v/>
      </c>
      <c r="Q1004" s="24">
        <f>IF(AND(K1004=1,'ORDENES'!$N1000="Pendiente"),1,0)</f>
        <v/>
      </c>
      <c r="R1004" s="24">
        <f>IF(Q1004=1,100000-N1004*1000+997*0.01,9000000000000+997)</f>
        <v/>
      </c>
      <c r="S1004" s="24">
        <f>IF(Q1004=1,SUMPRODUCT(--($R$8:$R$1207&lt;R1004))+1,"")</f>
        <v/>
      </c>
      <c r="T1004" s="30">
        <f>IF(K1004=1,'ORDENES'!$J1000,"")</f>
        <v/>
      </c>
    </row>
    <row r="1005">
      <c r="K1005" s="24">
        <f>IF(AND(IF($B$3="(todos)",TRUE,'ORDENES'!$O1001=$B$3),IF($D$3="(todos)",TRUE,'ORDENES'!$AI1001=$D$3),IF($F$3="(todos)",TRUE,'ORDENES'!$AA1001=$F$3),IF($H$3="(todos)",TRUE,'ORDENES'!$Z1001=$H$3),'ORDENES'!$AG1001=TRUE,'ORDENES'!$A1001&lt;&gt;""),1,0)</f>
        <v/>
      </c>
      <c r="L1005" s="24">
        <f>IF(K1005=1,IFERROR(MATCH('ORDENES'!$S1001,lista_dias,0),9)*1000000000+IFERROR(MATCH('ORDENES'!$AI1001,lista_turnos,0),9)*10000000+IFERROR(MATCH('ORDENES'!$AH1001,'TECNICOS'!$B$4:$B$19,0),99)*100000+998,9000000000000+998)</f>
        <v/>
      </c>
      <c r="M1005" s="24">
        <f>IF(K1005=1,SUMPRODUCT(--($L$8:$L$1207&lt;L1005))+1,"")</f>
        <v/>
      </c>
      <c r="N1005" s="25">
        <f>IF(K1005=1,N('ORDENES'!$M1001),0)</f>
        <v/>
      </c>
      <c r="O1005" s="25">
        <f>IF('ORDENES'!$U1001="preventiva",N1005,0)</f>
        <v/>
      </c>
      <c r="P1005" s="25">
        <f>IF('ORDENES'!$U1001="correctiva",N1005,0)</f>
        <v/>
      </c>
      <c r="Q1005" s="24">
        <f>IF(AND(K1005=1,'ORDENES'!$N1001="Pendiente"),1,0)</f>
        <v/>
      </c>
      <c r="R1005" s="24">
        <f>IF(Q1005=1,100000-N1005*1000+998*0.01,9000000000000+998)</f>
        <v/>
      </c>
      <c r="S1005" s="24">
        <f>IF(Q1005=1,SUMPRODUCT(--($R$8:$R$1207&lt;R1005))+1,"")</f>
        <v/>
      </c>
      <c r="T1005" s="30">
        <f>IF(K1005=1,'ORDENES'!$J1001,"")</f>
        <v/>
      </c>
    </row>
    <row r="1006">
      <c r="K1006" s="24">
        <f>IF(AND(IF($B$3="(todos)",TRUE,'ORDENES'!$O1002=$B$3),IF($D$3="(todos)",TRUE,'ORDENES'!$AI1002=$D$3),IF($F$3="(todos)",TRUE,'ORDENES'!$AA1002=$F$3),IF($H$3="(todos)",TRUE,'ORDENES'!$Z1002=$H$3),'ORDENES'!$AG1002=TRUE,'ORDENES'!$A1002&lt;&gt;""),1,0)</f>
        <v/>
      </c>
      <c r="L1006" s="24">
        <f>IF(K1006=1,IFERROR(MATCH('ORDENES'!$S1002,lista_dias,0),9)*1000000000+IFERROR(MATCH('ORDENES'!$AI1002,lista_turnos,0),9)*10000000+IFERROR(MATCH('ORDENES'!$AH1002,'TECNICOS'!$B$4:$B$19,0),99)*100000+999,9000000000000+999)</f>
        <v/>
      </c>
      <c r="M1006" s="24">
        <f>IF(K1006=1,SUMPRODUCT(--($L$8:$L$1207&lt;L1006))+1,"")</f>
        <v/>
      </c>
      <c r="N1006" s="25">
        <f>IF(K1006=1,N('ORDENES'!$M1002),0)</f>
        <v/>
      </c>
      <c r="O1006" s="25">
        <f>IF('ORDENES'!$U1002="preventiva",N1006,0)</f>
        <v/>
      </c>
      <c r="P1006" s="25">
        <f>IF('ORDENES'!$U1002="correctiva",N1006,0)</f>
        <v/>
      </c>
      <c r="Q1006" s="24">
        <f>IF(AND(K1006=1,'ORDENES'!$N1002="Pendiente"),1,0)</f>
        <v/>
      </c>
      <c r="R1006" s="24">
        <f>IF(Q1006=1,100000-N1006*1000+999*0.01,9000000000000+999)</f>
        <v/>
      </c>
      <c r="S1006" s="24">
        <f>IF(Q1006=1,SUMPRODUCT(--($R$8:$R$1207&lt;R1006))+1,"")</f>
        <v/>
      </c>
      <c r="T1006" s="30">
        <f>IF(K1006=1,'ORDENES'!$J1002,"")</f>
        <v/>
      </c>
    </row>
    <row r="1007">
      <c r="K1007" s="24">
        <f>IF(AND(IF($B$3="(todos)",TRUE,'ORDENES'!$O1003=$B$3),IF($D$3="(todos)",TRUE,'ORDENES'!$AI1003=$D$3),IF($F$3="(todos)",TRUE,'ORDENES'!$AA1003=$F$3),IF($H$3="(todos)",TRUE,'ORDENES'!$Z1003=$H$3),'ORDENES'!$AG1003=TRUE,'ORDENES'!$A1003&lt;&gt;""),1,0)</f>
        <v/>
      </c>
      <c r="L1007" s="24">
        <f>IF(K1007=1,IFERROR(MATCH('ORDENES'!$S1003,lista_dias,0),9)*1000000000+IFERROR(MATCH('ORDENES'!$AI1003,lista_turnos,0),9)*10000000+IFERROR(MATCH('ORDENES'!$AH1003,'TECNICOS'!$B$4:$B$19,0),99)*100000+1000,9000000000000+1000)</f>
        <v/>
      </c>
      <c r="M1007" s="24">
        <f>IF(K1007=1,SUMPRODUCT(--($L$8:$L$1207&lt;L1007))+1,"")</f>
        <v/>
      </c>
      <c r="N1007" s="25">
        <f>IF(K1007=1,N('ORDENES'!$M1003),0)</f>
        <v/>
      </c>
      <c r="O1007" s="25">
        <f>IF('ORDENES'!$U1003="preventiva",N1007,0)</f>
        <v/>
      </c>
      <c r="P1007" s="25">
        <f>IF('ORDENES'!$U1003="correctiva",N1007,0)</f>
        <v/>
      </c>
      <c r="Q1007" s="24">
        <f>IF(AND(K1007=1,'ORDENES'!$N1003="Pendiente"),1,0)</f>
        <v/>
      </c>
      <c r="R1007" s="24">
        <f>IF(Q1007=1,100000-N1007*1000+1000*0.01,9000000000000+1000)</f>
        <v/>
      </c>
      <c r="S1007" s="24">
        <f>IF(Q1007=1,SUMPRODUCT(--($R$8:$R$1207&lt;R1007))+1,"")</f>
        <v/>
      </c>
      <c r="T1007" s="30">
        <f>IF(K1007=1,'ORDENES'!$J1003,"")</f>
        <v/>
      </c>
    </row>
    <row r="1008">
      <c r="K1008" s="24">
        <f>IF(AND(IF($B$3="(todos)",TRUE,'ORDENES'!$O1004=$B$3),IF($D$3="(todos)",TRUE,'ORDENES'!$AI1004=$D$3),IF($F$3="(todos)",TRUE,'ORDENES'!$AA1004=$F$3),IF($H$3="(todos)",TRUE,'ORDENES'!$Z1004=$H$3),'ORDENES'!$AG1004=TRUE,'ORDENES'!$A1004&lt;&gt;""),1,0)</f>
        <v/>
      </c>
      <c r="L1008" s="24">
        <f>IF(K1008=1,IFERROR(MATCH('ORDENES'!$S1004,lista_dias,0),9)*1000000000+IFERROR(MATCH('ORDENES'!$AI1004,lista_turnos,0),9)*10000000+IFERROR(MATCH('ORDENES'!$AH1004,'TECNICOS'!$B$4:$B$19,0),99)*100000+1001,9000000000000+1001)</f>
        <v/>
      </c>
      <c r="M1008" s="24">
        <f>IF(K1008=1,SUMPRODUCT(--($L$8:$L$1207&lt;L1008))+1,"")</f>
        <v/>
      </c>
      <c r="N1008" s="25">
        <f>IF(K1008=1,N('ORDENES'!$M1004),0)</f>
        <v/>
      </c>
      <c r="O1008" s="25">
        <f>IF('ORDENES'!$U1004="preventiva",N1008,0)</f>
        <v/>
      </c>
      <c r="P1008" s="25">
        <f>IF('ORDENES'!$U1004="correctiva",N1008,0)</f>
        <v/>
      </c>
      <c r="Q1008" s="24">
        <f>IF(AND(K1008=1,'ORDENES'!$N1004="Pendiente"),1,0)</f>
        <v/>
      </c>
      <c r="R1008" s="24">
        <f>IF(Q1008=1,100000-N1008*1000+1001*0.01,9000000000000+1001)</f>
        <v/>
      </c>
      <c r="S1008" s="24">
        <f>IF(Q1008=1,SUMPRODUCT(--($R$8:$R$1207&lt;R1008))+1,"")</f>
        <v/>
      </c>
      <c r="T1008" s="30">
        <f>IF(K1008=1,'ORDENES'!$J1004,"")</f>
        <v/>
      </c>
    </row>
    <row r="1009">
      <c r="K1009" s="24">
        <f>IF(AND(IF($B$3="(todos)",TRUE,'ORDENES'!$O1005=$B$3),IF($D$3="(todos)",TRUE,'ORDENES'!$AI1005=$D$3),IF($F$3="(todos)",TRUE,'ORDENES'!$AA1005=$F$3),IF($H$3="(todos)",TRUE,'ORDENES'!$Z1005=$H$3),'ORDENES'!$AG1005=TRUE,'ORDENES'!$A1005&lt;&gt;""),1,0)</f>
        <v/>
      </c>
      <c r="L1009" s="24">
        <f>IF(K1009=1,IFERROR(MATCH('ORDENES'!$S1005,lista_dias,0),9)*1000000000+IFERROR(MATCH('ORDENES'!$AI1005,lista_turnos,0),9)*10000000+IFERROR(MATCH('ORDENES'!$AH1005,'TECNICOS'!$B$4:$B$19,0),99)*100000+1002,9000000000000+1002)</f>
        <v/>
      </c>
      <c r="M1009" s="24">
        <f>IF(K1009=1,SUMPRODUCT(--($L$8:$L$1207&lt;L1009))+1,"")</f>
        <v/>
      </c>
      <c r="N1009" s="25">
        <f>IF(K1009=1,N('ORDENES'!$M1005),0)</f>
        <v/>
      </c>
      <c r="O1009" s="25">
        <f>IF('ORDENES'!$U1005="preventiva",N1009,0)</f>
        <v/>
      </c>
      <c r="P1009" s="25">
        <f>IF('ORDENES'!$U1005="correctiva",N1009,0)</f>
        <v/>
      </c>
      <c r="Q1009" s="24">
        <f>IF(AND(K1009=1,'ORDENES'!$N1005="Pendiente"),1,0)</f>
        <v/>
      </c>
      <c r="R1009" s="24">
        <f>IF(Q1009=1,100000-N1009*1000+1002*0.01,9000000000000+1002)</f>
        <v/>
      </c>
      <c r="S1009" s="24">
        <f>IF(Q1009=1,SUMPRODUCT(--($R$8:$R$1207&lt;R1009))+1,"")</f>
        <v/>
      </c>
      <c r="T1009" s="30">
        <f>IF(K1009=1,'ORDENES'!$J1005,"")</f>
        <v/>
      </c>
    </row>
    <row r="1010">
      <c r="K1010" s="24">
        <f>IF(AND(IF($B$3="(todos)",TRUE,'ORDENES'!$O1006=$B$3),IF($D$3="(todos)",TRUE,'ORDENES'!$AI1006=$D$3),IF($F$3="(todos)",TRUE,'ORDENES'!$AA1006=$F$3),IF($H$3="(todos)",TRUE,'ORDENES'!$Z1006=$H$3),'ORDENES'!$AG1006=TRUE,'ORDENES'!$A1006&lt;&gt;""),1,0)</f>
        <v/>
      </c>
      <c r="L1010" s="24">
        <f>IF(K1010=1,IFERROR(MATCH('ORDENES'!$S1006,lista_dias,0),9)*1000000000+IFERROR(MATCH('ORDENES'!$AI1006,lista_turnos,0),9)*10000000+IFERROR(MATCH('ORDENES'!$AH1006,'TECNICOS'!$B$4:$B$19,0),99)*100000+1003,9000000000000+1003)</f>
        <v/>
      </c>
      <c r="M1010" s="24">
        <f>IF(K1010=1,SUMPRODUCT(--($L$8:$L$1207&lt;L1010))+1,"")</f>
        <v/>
      </c>
      <c r="N1010" s="25">
        <f>IF(K1010=1,N('ORDENES'!$M1006),0)</f>
        <v/>
      </c>
      <c r="O1010" s="25">
        <f>IF('ORDENES'!$U1006="preventiva",N1010,0)</f>
        <v/>
      </c>
      <c r="P1010" s="25">
        <f>IF('ORDENES'!$U1006="correctiva",N1010,0)</f>
        <v/>
      </c>
      <c r="Q1010" s="24">
        <f>IF(AND(K1010=1,'ORDENES'!$N1006="Pendiente"),1,0)</f>
        <v/>
      </c>
      <c r="R1010" s="24">
        <f>IF(Q1010=1,100000-N1010*1000+1003*0.01,9000000000000+1003)</f>
        <v/>
      </c>
      <c r="S1010" s="24">
        <f>IF(Q1010=1,SUMPRODUCT(--($R$8:$R$1207&lt;R1010))+1,"")</f>
        <v/>
      </c>
      <c r="T1010" s="30">
        <f>IF(K1010=1,'ORDENES'!$J1006,"")</f>
        <v/>
      </c>
    </row>
    <row r="1011">
      <c r="K1011" s="24">
        <f>IF(AND(IF($B$3="(todos)",TRUE,'ORDENES'!$O1007=$B$3),IF($D$3="(todos)",TRUE,'ORDENES'!$AI1007=$D$3),IF($F$3="(todos)",TRUE,'ORDENES'!$AA1007=$F$3),IF($H$3="(todos)",TRUE,'ORDENES'!$Z1007=$H$3),'ORDENES'!$AG1007=TRUE,'ORDENES'!$A1007&lt;&gt;""),1,0)</f>
        <v/>
      </c>
      <c r="L1011" s="24">
        <f>IF(K1011=1,IFERROR(MATCH('ORDENES'!$S1007,lista_dias,0),9)*1000000000+IFERROR(MATCH('ORDENES'!$AI1007,lista_turnos,0),9)*10000000+IFERROR(MATCH('ORDENES'!$AH1007,'TECNICOS'!$B$4:$B$19,0),99)*100000+1004,9000000000000+1004)</f>
        <v/>
      </c>
      <c r="M1011" s="24">
        <f>IF(K1011=1,SUMPRODUCT(--($L$8:$L$1207&lt;L1011))+1,"")</f>
        <v/>
      </c>
      <c r="N1011" s="25">
        <f>IF(K1011=1,N('ORDENES'!$M1007),0)</f>
        <v/>
      </c>
      <c r="O1011" s="25">
        <f>IF('ORDENES'!$U1007="preventiva",N1011,0)</f>
        <v/>
      </c>
      <c r="P1011" s="25">
        <f>IF('ORDENES'!$U1007="correctiva",N1011,0)</f>
        <v/>
      </c>
      <c r="Q1011" s="24">
        <f>IF(AND(K1011=1,'ORDENES'!$N1007="Pendiente"),1,0)</f>
        <v/>
      </c>
      <c r="R1011" s="24">
        <f>IF(Q1011=1,100000-N1011*1000+1004*0.01,9000000000000+1004)</f>
        <v/>
      </c>
      <c r="S1011" s="24">
        <f>IF(Q1011=1,SUMPRODUCT(--($R$8:$R$1207&lt;R1011))+1,"")</f>
        <v/>
      </c>
      <c r="T1011" s="30">
        <f>IF(K1011=1,'ORDENES'!$J1007,"")</f>
        <v/>
      </c>
    </row>
    <row r="1012">
      <c r="K1012" s="24">
        <f>IF(AND(IF($B$3="(todos)",TRUE,'ORDENES'!$O1008=$B$3),IF($D$3="(todos)",TRUE,'ORDENES'!$AI1008=$D$3),IF($F$3="(todos)",TRUE,'ORDENES'!$AA1008=$F$3),IF($H$3="(todos)",TRUE,'ORDENES'!$Z1008=$H$3),'ORDENES'!$AG1008=TRUE,'ORDENES'!$A1008&lt;&gt;""),1,0)</f>
        <v/>
      </c>
      <c r="L1012" s="24">
        <f>IF(K1012=1,IFERROR(MATCH('ORDENES'!$S1008,lista_dias,0),9)*1000000000+IFERROR(MATCH('ORDENES'!$AI1008,lista_turnos,0),9)*10000000+IFERROR(MATCH('ORDENES'!$AH1008,'TECNICOS'!$B$4:$B$19,0),99)*100000+1005,9000000000000+1005)</f>
        <v/>
      </c>
      <c r="M1012" s="24">
        <f>IF(K1012=1,SUMPRODUCT(--($L$8:$L$1207&lt;L1012))+1,"")</f>
        <v/>
      </c>
      <c r="N1012" s="25">
        <f>IF(K1012=1,N('ORDENES'!$M1008),0)</f>
        <v/>
      </c>
      <c r="O1012" s="25">
        <f>IF('ORDENES'!$U1008="preventiva",N1012,0)</f>
        <v/>
      </c>
      <c r="P1012" s="25">
        <f>IF('ORDENES'!$U1008="correctiva",N1012,0)</f>
        <v/>
      </c>
      <c r="Q1012" s="24">
        <f>IF(AND(K1012=1,'ORDENES'!$N1008="Pendiente"),1,0)</f>
        <v/>
      </c>
      <c r="R1012" s="24">
        <f>IF(Q1012=1,100000-N1012*1000+1005*0.01,9000000000000+1005)</f>
        <v/>
      </c>
      <c r="S1012" s="24">
        <f>IF(Q1012=1,SUMPRODUCT(--($R$8:$R$1207&lt;R1012))+1,"")</f>
        <v/>
      </c>
      <c r="T1012" s="30">
        <f>IF(K1012=1,'ORDENES'!$J1008,"")</f>
        <v/>
      </c>
    </row>
    <row r="1013">
      <c r="K1013" s="24">
        <f>IF(AND(IF($B$3="(todos)",TRUE,'ORDENES'!$O1009=$B$3),IF($D$3="(todos)",TRUE,'ORDENES'!$AI1009=$D$3),IF($F$3="(todos)",TRUE,'ORDENES'!$AA1009=$F$3),IF($H$3="(todos)",TRUE,'ORDENES'!$Z1009=$H$3),'ORDENES'!$AG1009=TRUE,'ORDENES'!$A1009&lt;&gt;""),1,0)</f>
        <v/>
      </c>
      <c r="L1013" s="24">
        <f>IF(K1013=1,IFERROR(MATCH('ORDENES'!$S1009,lista_dias,0),9)*1000000000+IFERROR(MATCH('ORDENES'!$AI1009,lista_turnos,0),9)*10000000+IFERROR(MATCH('ORDENES'!$AH1009,'TECNICOS'!$B$4:$B$19,0),99)*100000+1006,9000000000000+1006)</f>
        <v/>
      </c>
      <c r="M1013" s="24">
        <f>IF(K1013=1,SUMPRODUCT(--($L$8:$L$1207&lt;L1013))+1,"")</f>
        <v/>
      </c>
      <c r="N1013" s="25">
        <f>IF(K1013=1,N('ORDENES'!$M1009),0)</f>
        <v/>
      </c>
      <c r="O1013" s="25">
        <f>IF('ORDENES'!$U1009="preventiva",N1013,0)</f>
        <v/>
      </c>
      <c r="P1013" s="25">
        <f>IF('ORDENES'!$U1009="correctiva",N1013,0)</f>
        <v/>
      </c>
      <c r="Q1013" s="24">
        <f>IF(AND(K1013=1,'ORDENES'!$N1009="Pendiente"),1,0)</f>
        <v/>
      </c>
      <c r="R1013" s="24">
        <f>IF(Q1013=1,100000-N1013*1000+1006*0.01,9000000000000+1006)</f>
        <v/>
      </c>
      <c r="S1013" s="24">
        <f>IF(Q1013=1,SUMPRODUCT(--($R$8:$R$1207&lt;R1013))+1,"")</f>
        <v/>
      </c>
      <c r="T1013" s="30">
        <f>IF(K1013=1,'ORDENES'!$J1009,"")</f>
        <v/>
      </c>
    </row>
    <row r="1014">
      <c r="K1014" s="24">
        <f>IF(AND(IF($B$3="(todos)",TRUE,'ORDENES'!$O1010=$B$3),IF($D$3="(todos)",TRUE,'ORDENES'!$AI1010=$D$3),IF($F$3="(todos)",TRUE,'ORDENES'!$AA1010=$F$3),IF($H$3="(todos)",TRUE,'ORDENES'!$Z1010=$H$3),'ORDENES'!$AG1010=TRUE,'ORDENES'!$A1010&lt;&gt;""),1,0)</f>
        <v/>
      </c>
      <c r="L1014" s="24">
        <f>IF(K1014=1,IFERROR(MATCH('ORDENES'!$S1010,lista_dias,0),9)*1000000000+IFERROR(MATCH('ORDENES'!$AI1010,lista_turnos,0),9)*10000000+IFERROR(MATCH('ORDENES'!$AH1010,'TECNICOS'!$B$4:$B$19,0),99)*100000+1007,9000000000000+1007)</f>
        <v/>
      </c>
      <c r="M1014" s="24">
        <f>IF(K1014=1,SUMPRODUCT(--($L$8:$L$1207&lt;L1014))+1,"")</f>
        <v/>
      </c>
      <c r="N1014" s="25">
        <f>IF(K1014=1,N('ORDENES'!$M1010),0)</f>
        <v/>
      </c>
      <c r="O1014" s="25">
        <f>IF('ORDENES'!$U1010="preventiva",N1014,0)</f>
        <v/>
      </c>
      <c r="P1014" s="25">
        <f>IF('ORDENES'!$U1010="correctiva",N1014,0)</f>
        <v/>
      </c>
      <c r="Q1014" s="24">
        <f>IF(AND(K1014=1,'ORDENES'!$N1010="Pendiente"),1,0)</f>
        <v/>
      </c>
      <c r="R1014" s="24">
        <f>IF(Q1014=1,100000-N1014*1000+1007*0.01,9000000000000+1007)</f>
        <v/>
      </c>
      <c r="S1014" s="24">
        <f>IF(Q1014=1,SUMPRODUCT(--($R$8:$R$1207&lt;R1014))+1,"")</f>
        <v/>
      </c>
      <c r="T1014" s="30">
        <f>IF(K1014=1,'ORDENES'!$J1010,"")</f>
        <v/>
      </c>
    </row>
    <row r="1015">
      <c r="K1015" s="24">
        <f>IF(AND(IF($B$3="(todos)",TRUE,'ORDENES'!$O1011=$B$3),IF($D$3="(todos)",TRUE,'ORDENES'!$AI1011=$D$3),IF($F$3="(todos)",TRUE,'ORDENES'!$AA1011=$F$3),IF($H$3="(todos)",TRUE,'ORDENES'!$Z1011=$H$3),'ORDENES'!$AG1011=TRUE,'ORDENES'!$A1011&lt;&gt;""),1,0)</f>
        <v/>
      </c>
      <c r="L1015" s="24">
        <f>IF(K1015=1,IFERROR(MATCH('ORDENES'!$S1011,lista_dias,0),9)*1000000000+IFERROR(MATCH('ORDENES'!$AI1011,lista_turnos,0),9)*10000000+IFERROR(MATCH('ORDENES'!$AH1011,'TECNICOS'!$B$4:$B$19,0),99)*100000+1008,9000000000000+1008)</f>
        <v/>
      </c>
      <c r="M1015" s="24">
        <f>IF(K1015=1,SUMPRODUCT(--($L$8:$L$1207&lt;L1015))+1,"")</f>
        <v/>
      </c>
      <c r="N1015" s="25">
        <f>IF(K1015=1,N('ORDENES'!$M1011),0)</f>
        <v/>
      </c>
      <c r="O1015" s="25">
        <f>IF('ORDENES'!$U1011="preventiva",N1015,0)</f>
        <v/>
      </c>
      <c r="P1015" s="25">
        <f>IF('ORDENES'!$U1011="correctiva",N1015,0)</f>
        <v/>
      </c>
      <c r="Q1015" s="24">
        <f>IF(AND(K1015=1,'ORDENES'!$N1011="Pendiente"),1,0)</f>
        <v/>
      </c>
      <c r="R1015" s="24">
        <f>IF(Q1015=1,100000-N1015*1000+1008*0.01,9000000000000+1008)</f>
        <v/>
      </c>
      <c r="S1015" s="24">
        <f>IF(Q1015=1,SUMPRODUCT(--($R$8:$R$1207&lt;R1015))+1,"")</f>
        <v/>
      </c>
      <c r="T1015" s="30">
        <f>IF(K1015=1,'ORDENES'!$J1011,"")</f>
        <v/>
      </c>
    </row>
    <row r="1016">
      <c r="K1016" s="24">
        <f>IF(AND(IF($B$3="(todos)",TRUE,'ORDENES'!$O1012=$B$3),IF($D$3="(todos)",TRUE,'ORDENES'!$AI1012=$D$3),IF($F$3="(todos)",TRUE,'ORDENES'!$AA1012=$F$3),IF($H$3="(todos)",TRUE,'ORDENES'!$Z1012=$H$3),'ORDENES'!$AG1012=TRUE,'ORDENES'!$A1012&lt;&gt;""),1,0)</f>
        <v/>
      </c>
      <c r="L1016" s="24">
        <f>IF(K1016=1,IFERROR(MATCH('ORDENES'!$S1012,lista_dias,0),9)*1000000000+IFERROR(MATCH('ORDENES'!$AI1012,lista_turnos,0),9)*10000000+IFERROR(MATCH('ORDENES'!$AH1012,'TECNICOS'!$B$4:$B$19,0),99)*100000+1009,9000000000000+1009)</f>
        <v/>
      </c>
      <c r="M1016" s="24">
        <f>IF(K1016=1,SUMPRODUCT(--($L$8:$L$1207&lt;L1016))+1,"")</f>
        <v/>
      </c>
      <c r="N1016" s="25">
        <f>IF(K1016=1,N('ORDENES'!$M1012),0)</f>
        <v/>
      </c>
      <c r="O1016" s="25">
        <f>IF('ORDENES'!$U1012="preventiva",N1016,0)</f>
        <v/>
      </c>
      <c r="P1016" s="25">
        <f>IF('ORDENES'!$U1012="correctiva",N1016,0)</f>
        <v/>
      </c>
      <c r="Q1016" s="24">
        <f>IF(AND(K1016=1,'ORDENES'!$N1012="Pendiente"),1,0)</f>
        <v/>
      </c>
      <c r="R1016" s="24">
        <f>IF(Q1016=1,100000-N1016*1000+1009*0.01,9000000000000+1009)</f>
        <v/>
      </c>
      <c r="S1016" s="24">
        <f>IF(Q1016=1,SUMPRODUCT(--($R$8:$R$1207&lt;R1016))+1,"")</f>
        <v/>
      </c>
      <c r="T1016" s="30">
        <f>IF(K1016=1,'ORDENES'!$J1012,"")</f>
        <v/>
      </c>
    </row>
    <row r="1017">
      <c r="K1017" s="24">
        <f>IF(AND(IF($B$3="(todos)",TRUE,'ORDENES'!$O1013=$B$3),IF($D$3="(todos)",TRUE,'ORDENES'!$AI1013=$D$3),IF($F$3="(todos)",TRUE,'ORDENES'!$AA1013=$F$3),IF($H$3="(todos)",TRUE,'ORDENES'!$Z1013=$H$3),'ORDENES'!$AG1013=TRUE,'ORDENES'!$A1013&lt;&gt;""),1,0)</f>
        <v/>
      </c>
      <c r="L1017" s="24">
        <f>IF(K1017=1,IFERROR(MATCH('ORDENES'!$S1013,lista_dias,0),9)*1000000000+IFERROR(MATCH('ORDENES'!$AI1013,lista_turnos,0),9)*10000000+IFERROR(MATCH('ORDENES'!$AH1013,'TECNICOS'!$B$4:$B$19,0),99)*100000+1010,9000000000000+1010)</f>
        <v/>
      </c>
      <c r="M1017" s="24">
        <f>IF(K1017=1,SUMPRODUCT(--($L$8:$L$1207&lt;L1017))+1,"")</f>
        <v/>
      </c>
      <c r="N1017" s="25">
        <f>IF(K1017=1,N('ORDENES'!$M1013),0)</f>
        <v/>
      </c>
      <c r="O1017" s="25">
        <f>IF('ORDENES'!$U1013="preventiva",N1017,0)</f>
        <v/>
      </c>
      <c r="P1017" s="25">
        <f>IF('ORDENES'!$U1013="correctiva",N1017,0)</f>
        <v/>
      </c>
      <c r="Q1017" s="24">
        <f>IF(AND(K1017=1,'ORDENES'!$N1013="Pendiente"),1,0)</f>
        <v/>
      </c>
      <c r="R1017" s="24">
        <f>IF(Q1017=1,100000-N1017*1000+1010*0.01,9000000000000+1010)</f>
        <v/>
      </c>
      <c r="S1017" s="24">
        <f>IF(Q1017=1,SUMPRODUCT(--($R$8:$R$1207&lt;R1017))+1,"")</f>
        <v/>
      </c>
      <c r="T1017" s="30">
        <f>IF(K1017=1,'ORDENES'!$J1013,"")</f>
        <v/>
      </c>
    </row>
    <row r="1018">
      <c r="K1018" s="24">
        <f>IF(AND(IF($B$3="(todos)",TRUE,'ORDENES'!$O1014=$B$3),IF($D$3="(todos)",TRUE,'ORDENES'!$AI1014=$D$3),IF($F$3="(todos)",TRUE,'ORDENES'!$AA1014=$F$3),IF($H$3="(todos)",TRUE,'ORDENES'!$Z1014=$H$3),'ORDENES'!$AG1014=TRUE,'ORDENES'!$A1014&lt;&gt;""),1,0)</f>
        <v/>
      </c>
      <c r="L1018" s="24">
        <f>IF(K1018=1,IFERROR(MATCH('ORDENES'!$S1014,lista_dias,0),9)*1000000000+IFERROR(MATCH('ORDENES'!$AI1014,lista_turnos,0),9)*10000000+IFERROR(MATCH('ORDENES'!$AH1014,'TECNICOS'!$B$4:$B$19,0),99)*100000+1011,9000000000000+1011)</f>
        <v/>
      </c>
      <c r="M1018" s="24">
        <f>IF(K1018=1,SUMPRODUCT(--($L$8:$L$1207&lt;L1018))+1,"")</f>
        <v/>
      </c>
      <c r="N1018" s="25">
        <f>IF(K1018=1,N('ORDENES'!$M1014),0)</f>
        <v/>
      </c>
      <c r="O1018" s="25">
        <f>IF('ORDENES'!$U1014="preventiva",N1018,0)</f>
        <v/>
      </c>
      <c r="P1018" s="25">
        <f>IF('ORDENES'!$U1014="correctiva",N1018,0)</f>
        <v/>
      </c>
      <c r="Q1018" s="24">
        <f>IF(AND(K1018=1,'ORDENES'!$N1014="Pendiente"),1,0)</f>
        <v/>
      </c>
      <c r="R1018" s="24">
        <f>IF(Q1018=1,100000-N1018*1000+1011*0.01,9000000000000+1011)</f>
        <v/>
      </c>
      <c r="S1018" s="24">
        <f>IF(Q1018=1,SUMPRODUCT(--($R$8:$R$1207&lt;R1018))+1,"")</f>
        <v/>
      </c>
      <c r="T1018" s="30">
        <f>IF(K1018=1,'ORDENES'!$J1014,"")</f>
        <v/>
      </c>
    </row>
    <row r="1019">
      <c r="K1019" s="24">
        <f>IF(AND(IF($B$3="(todos)",TRUE,'ORDENES'!$O1015=$B$3),IF($D$3="(todos)",TRUE,'ORDENES'!$AI1015=$D$3),IF($F$3="(todos)",TRUE,'ORDENES'!$AA1015=$F$3),IF($H$3="(todos)",TRUE,'ORDENES'!$Z1015=$H$3),'ORDENES'!$AG1015=TRUE,'ORDENES'!$A1015&lt;&gt;""),1,0)</f>
        <v/>
      </c>
      <c r="L1019" s="24">
        <f>IF(K1019=1,IFERROR(MATCH('ORDENES'!$S1015,lista_dias,0),9)*1000000000+IFERROR(MATCH('ORDENES'!$AI1015,lista_turnos,0),9)*10000000+IFERROR(MATCH('ORDENES'!$AH1015,'TECNICOS'!$B$4:$B$19,0),99)*100000+1012,9000000000000+1012)</f>
        <v/>
      </c>
      <c r="M1019" s="24">
        <f>IF(K1019=1,SUMPRODUCT(--($L$8:$L$1207&lt;L1019))+1,"")</f>
        <v/>
      </c>
      <c r="N1019" s="25">
        <f>IF(K1019=1,N('ORDENES'!$M1015),0)</f>
        <v/>
      </c>
      <c r="O1019" s="25">
        <f>IF('ORDENES'!$U1015="preventiva",N1019,0)</f>
        <v/>
      </c>
      <c r="P1019" s="25">
        <f>IF('ORDENES'!$U1015="correctiva",N1019,0)</f>
        <v/>
      </c>
      <c r="Q1019" s="24">
        <f>IF(AND(K1019=1,'ORDENES'!$N1015="Pendiente"),1,0)</f>
        <v/>
      </c>
      <c r="R1019" s="24">
        <f>IF(Q1019=1,100000-N1019*1000+1012*0.01,9000000000000+1012)</f>
        <v/>
      </c>
      <c r="S1019" s="24">
        <f>IF(Q1019=1,SUMPRODUCT(--($R$8:$R$1207&lt;R1019))+1,"")</f>
        <v/>
      </c>
      <c r="T1019" s="30">
        <f>IF(K1019=1,'ORDENES'!$J1015,"")</f>
        <v/>
      </c>
    </row>
    <row r="1020">
      <c r="K1020" s="24">
        <f>IF(AND(IF($B$3="(todos)",TRUE,'ORDENES'!$O1016=$B$3),IF($D$3="(todos)",TRUE,'ORDENES'!$AI1016=$D$3),IF($F$3="(todos)",TRUE,'ORDENES'!$AA1016=$F$3),IF($H$3="(todos)",TRUE,'ORDENES'!$Z1016=$H$3),'ORDENES'!$AG1016=TRUE,'ORDENES'!$A1016&lt;&gt;""),1,0)</f>
        <v/>
      </c>
      <c r="L1020" s="24">
        <f>IF(K1020=1,IFERROR(MATCH('ORDENES'!$S1016,lista_dias,0),9)*1000000000+IFERROR(MATCH('ORDENES'!$AI1016,lista_turnos,0),9)*10000000+IFERROR(MATCH('ORDENES'!$AH1016,'TECNICOS'!$B$4:$B$19,0),99)*100000+1013,9000000000000+1013)</f>
        <v/>
      </c>
      <c r="M1020" s="24">
        <f>IF(K1020=1,SUMPRODUCT(--($L$8:$L$1207&lt;L1020))+1,"")</f>
        <v/>
      </c>
      <c r="N1020" s="25">
        <f>IF(K1020=1,N('ORDENES'!$M1016),0)</f>
        <v/>
      </c>
      <c r="O1020" s="25">
        <f>IF('ORDENES'!$U1016="preventiva",N1020,0)</f>
        <v/>
      </c>
      <c r="P1020" s="25">
        <f>IF('ORDENES'!$U1016="correctiva",N1020,0)</f>
        <v/>
      </c>
      <c r="Q1020" s="24">
        <f>IF(AND(K1020=1,'ORDENES'!$N1016="Pendiente"),1,0)</f>
        <v/>
      </c>
      <c r="R1020" s="24">
        <f>IF(Q1020=1,100000-N1020*1000+1013*0.01,9000000000000+1013)</f>
        <v/>
      </c>
      <c r="S1020" s="24">
        <f>IF(Q1020=1,SUMPRODUCT(--($R$8:$R$1207&lt;R1020))+1,"")</f>
        <v/>
      </c>
      <c r="T1020" s="30">
        <f>IF(K1020=1,'ORDENES'!$J1016,"")</f>
        <v/>
      </c>
    </row>
    <row r="1021">
      <c r="K1021" s="24">
        <f>IF(AND(IF($B$3="(todos)",TRUE,'ORDENES'!$O1017=$B$3),IF($D$3="(todos)",TRUE,'ORDENES'!$AI1017=$D$3),IF($F$3="(todos)",TRUE,'ORDENES'!$AA1017=$F$3),IF($H$3="(todos)",TRUE,'ORDENES'!$Z1017=$H$3),'ORDENES'!$AG1017=TRUE,'ORDENES'!$A1017&lt;&gt;""),1,0)</f>
        <v/>
      </c>
      <c r="L1021" s="24">
        <f>IF(K1021=1,IFERROR(MATCH('ORDENES'!$S1017,lista_dias,0),9)*1000000000+IFERROR(MATCH('ORDENES'!$AI1017,lista_turnos,0),9)*10000000+IFERROR(MATCH('ORDENES'!$AH1017,'TECNICOS'!$B$4:$B$19,0),99)*100000+1014,9000000000000+1014)</f>
        <v/>
      </c>
      <c r="M1021" s="24">
        <f>IF(K1021=1,SUMPRODUCT(--($L$8:$L$1207&lt;L1021))+1,"")</f>
        <v/>
      </c>
      <c r="N1021" s="25">
        <f>IF(K1021=1,N('ORDENES'!$M1017),0)</f>
        <v/>
      </c>
      <c r="O1021" s="25">
        <f>IF('ORDENES'!$U1017="preventiva",N1021,0)</f>
        <v/>
      </c>
      <c r="P1021" s="25">
        <f>IF('ORDENES'!$U1017="correctiva",N1021,0)</f>
        <v/>
      </c>
      <c r="Q1021" s="24">
        <f>IF(AND(K1021=1,'ORDENES'!$N1017="Pendiente"),1,0)</f>
        <v/>
      </c>
      <c r="R1021" s="24">
        <f>IF(Q1021=1,100000-N1021*1000+1014*0.01,9000000000000+1014)</f>
        <v/>
      </c>
      <c r="S1021" s="24">
        <f>IF(Q1021=1,SUMPRODUCT(--($R$8:$R$1207&lt;R1021))+1,"")</f>
        <v/>
      </c>
      <c r="T1021" s="30">
        <f>IF(K1021=1,'ORDENES'!$J1017,"")</f>
        <v/>
      </c>
    </row>
    <row r="1022">
      <c r="K1022" s="24">
        <f>IF(AND(IF($B$3="(todos)",TRUE,'ORDENES'!$O1018=$B$3),IF($D$3="(todos)",TRUE,'ORDENES'!$AI1018=$D$3),IF($F$3="(todos)",TRUE,'ORDENES'!$AA1018=$F$3),IF($H$3="(todos)",TRUE,'ORDENES'!$Z1018=$H$3),'ORDENES'!$AG1018=TRUE,'ORDENES'!$A1018&lt;&gt;""),1,0)</f>
        <v/>
      </c>
      <c r="L1022" s="24">
        <f>IF(K1022=1,IFERROR(MATCH('ORDENES'!$S1018,lista_dias,0),9)*1000000000+IFERROR(MATCH('ORDENES'!$AI1018,lista_turnos,0),9)*10000000+IFERROR(MATCH('ORDENES'!$AH1018,'TECNICOS'!$B$4:$B$19,0),99)*100000+1015,9000000000000+1015)</f>
        <v/>
      </c>
      <c r="M1022" s="24">
        <f>IF(K1022=1,SUMPRODUCT(--($L$8:$L$1207&lt;L1022))+1,"")</f>
        <v/>
      </c>
      <c r="N1022" s="25">
        <f>IF(K1022=1,N('ORDENES'!$M1018),0)</f>
        <v/>
      </c>
      <c r="O1022" s="25">
        <f>IF('ORDENES'!$U1018="preventiva",N1022,0)</f>
        <v/>
      </c>
      <c r="P1022" s="25">
        <f>IF('ORDENES'!$U1018="correctiva",N1022,0)</f>
        <v/>
      </c>
      <c r="Q1022" s="24">
        <f>IF(AND(K1022=1,'ORDENES'!$N1018="Pendiente"),1,0)</f>
        <v/>
      </c>
      <c r="R1022" s="24">
        <f>IF(Q1022=1,100000-N1022*1000+1015*0.01,9000000000000+1015)</f>
        <v/>
      </c>
      <c r="S1022" s="24">
        <f>IF(Q1022=1,SUMPRODUCT(--($R$8:$R$1207&lt;R1022))+1,"")</f>
        <v/>
      </c>
      <c r="T1022" s="30">
        <f>IF(K1022=1,'ORDENES'!$J1018,"")</f>
        <v/>
      </c>
    </row>
    <row r="1023">
      <c r="K1023" s="24">
        <f>IF(AND(IF($B$3="(todos)",TRUE,'ORDENES'!$O1019=$B$3),IF($D$3="(todos)",TRUE,'ORDENES'!$AI1019=$D$3),IF($F$3="(todos)",TRUE,'ORDENES'!$AA1019=$F$3),IF($H$3="(todos)",TRUE,'ORDENES'!$Z1019=$H$3),'ORDENES'!$AG1019=TRUE,'ORDENES'!$A1019&lt;&gt;""),1,0)</f>
        <v/>
      </c>
      <c r="L1023" s="24">
        <f>IF(K1023=1,IFERROR(MATCH('ORDENES'!$S1019,lista_dias,0),9)*1000000000+IFERROR(MATCH('ORDENES'!$AI1019,lista_turnos,0),9)*10000000+IFERROR(MATCH('ORDENES'!$AH1019,'TECNICOS'!$B$4:$B$19,0),99)*100000+1016,9000000000000+1016)</f>
        <v/>
      </c>
      <c r="M1023" s="24">
        <f>IF(K1023=1,SUMPRODUCT(--($L$8:$L$1207&lt;L1023))+1,"")</f>
        <v/>
      </c>
      <c r="N1023" s="25">
        <f>IF(K1023=1,N('ORDENES'!$M1019),0)</f>
        <v/>
      </c>
      <c r="O1023" s="25">
        <f>IF('ORDENES'!$U1019="preventiva",N1023,0)</f>
        <v/>
      </c>
      <c r="P1023" s="25">
        <f>IF('ORDENES'!$U1019="correctiva",N1023,0)</f>
        <v/>
      </c>
      <c r="Q1023" s="24">
        <f>IF(AND(K1023=1,'ORDENES'!$N1019="Pendiente"),1,0)</f>
        <v/>
      </c>
      <c r="R1023" s="24">
        <f>IF(Q1023=1,100000-N1023*1000+1016*0.01,9000000000000+1016)</f>
        <v/>
      </c>
      <c r="S1023" s="24">
        <f>IF(Q1023=1,SUMPRODUCT(--($R$8:$R$1207&lt;R1023))+1,"")</f>
        <v/>
      </c>
      <c r="T1023" s="30">
        <f>IF(K1023=1,'ORDENES'!$J1019,"")</f>
        <v/>
      </c>
    </row>
    <row r="1024">
      <c r="K1024" s="24">
        <f>IF(AND(IF($B$3="(todos)",TRUE,'ORDENES'!$O1020=$B$3),IF($D$3="(todos)",TRUE,'ORDENES'!$AI1020=$D$3),IF($F$3="(todos)",TRUE,'ORDENES'!$AA1020=$F$3),IF($H$3="(todos)",TRUE,'ORDENES'!$Z1020=$H$3),'ORDENES'!$AG1020=TRUE,'ORDENES'!$A1020&lt;&gt;""),1,0)</f>
        <v/>
      </c>
      <c r="L1024" s="24">
        <f>IF(K1024=1,IFERROR(MATCH('ORDENES'!$S1020,lista_dias,0),9)*1000000000+IFERROR(MATCH('ORDENES'!$AI1020,lista_turnos,0),9)*10000000+IFERROR(MATCH('ORDENES'!$AH1020,'TECNICOS'!$B$4:$B$19,0),99)*100000+1017,9000000000000+1017)</f>
        <v/>
      </c>
      <c r="M1024" s="24">
        <f>IF(K1024=1,SUMPRODUCT(--($L$8:$L$1207&lt;L1024))+1,"")</f>
        <v/>
      </c>
      <c r="N1024" s="25">
        <f>IF(K1024=1,N('ORDENES'!$M1020),0)</f>
        <v/>
      </c>
      <c r="O1024" s="25">
        <f>IF('ORDENES'!$U1020="preventiva",N1024,0)</f>
        <v/>
      </c>
      <c r="P1024" s="25">
        <f>IF('ORDENES'!$U1020="correctiva",N1024,0)</f>
        <v/>
      </c>
      <c r="Q1024" s="24">
        <f>IF(AND(K1024=1,'ORDENES'!$N1020="Pendiente"),1,0)</f>
        <v/>
      </c>
      <c r="R1024" s="24">
        <f>IF(Q1024=1,100000-N1024*1000+1017*0.01,9000000000000+1017)</f>
        <v/>
      </c>
      <c r="S1024" s="24">
        <f>IF(Q1024=1,SUMPRODUCT(--($R$8:$R$1207&lt;R1024))+1,"")</f>
        <v/>
      </c>
      <c r="T1024" s="30">
        <f>IF(K1024=1,'ORDENES'!$J1020,"")</f>
        <v/>
      </c>
    </row>
    <row r="1025">
      <c r="K1025" s="24">
        <f>IF(AND(IF($B$3="(todos)",TRUE,'ORDENES'!$O1021=$B$3),IF($D$3="(todos)",TRUE,'ORDENES'!$AI1021=$D$3),IF($F$3="(todos)",TRUE,'ORDENES'!$AA1021=$F$3),IF($H$3="(todos)",TRUE,'ORDENES'!$Z1021=$H$3),'ORDENES'!$AG1021=TRUE,'ORDENES'!$A1021&lt;&gt;""),1,0)</f>
        <v/>
      </c>
      <c r="L1025" s="24">
        <f>IF(K1025=1,IFERROR(MATCH('ORDENES'!$S1021,lista_dias,0),9)*1000000000+IFERROR(MATCH('ORDENES'!$AI1021,lista_turnos,0),9)*10000000+IFERROR(MATCH('ORDENES'!$AH1021,'TECNICOS'!$B$4:$B$19,0),99)*100000+1018,9000000000000+1018)</f>
        <v/>
      </c>
      <c r="M1025" s="24">
        <f>IF(K1025=1,SUMPRODUCT(--($L$8:$L$1207&lt;L1025))+1,"")</f>
        <v/>
      </c>
      <c r="N1025" s="25">
        <f>IF(K1025=1,N('ORDENES'!$M1021),0)</f>
        <v/>
      </c>
      <c r="O1025" s="25">
        <f>IF('ORDENES'!$U1021="preventiva",N1025,0)</f>
        <v/>
      </c>
      <c r="P1025" s="25">
        <f>IF('ORDENES'!$U1021="correctiva",N1025,0)</f>
        <v/>
      </c>
      <c r="Q1025" s="24">
        <f>IF(AND(K1025=1,'ORDENES'!$N1021="Pendiente"),1,0)</f>
        <v/>
      </c>
      <c r="R1025" s="24">
        <f>IF(Q1025=1,100000-N1025*1000+1018*0.01,9000000000000+1018)</f>
        <v/>
      </c>
      <c r="S1025" s="24">
        <f>IF(Q1025=1,SUMPRODUCT(--($R$8:$R$1207&lt;R1025))+1,"")</f>
        <v/>
      </c>
      <c r="T1025" s="30">
        <f>IF(K1025=1,'ORDENES'!$J1021,"")</f>
        <v/>
      </c>
    </row>
    <row r="1026">
      <c r="K1026" s="24">
        <f>IF(AND(IF($B$3="(todos)",TRUE,'ORDENES'!$O1022=$B$3),IF($D$3="(todos)",TRUE,'ORDENES'!$AI1022=$D$3),IF($F$3="(todos)",TRUE,'ORDENES'!$AA1022=$F$3),IF($H$3="(todos)",TRUE,'ORDENES'!$Z1022=$H$3),'ORDENES'!$AG1022=TRUE,'ORDENES'!$A1022&lt;&gt;""),1,0)</f>
        <v/>
      </c>
      <c r="L1026" s="24">
        <f>IF(K1026=1,IFERROR(MATCH('ORDENES'!$S1022,lista_dias,0),9)*1000000000+IFERROR(MATCH('ORDENES'!$AI1022,lista_turnos,0),9)*10000000+IFERROR(MATCH('ORDENES'!$AH1022,'TECNICOS'!$B$4:$B$19,0),99)*100000+1019,9000000000000+1019)</f>
        <v/>
      </c>
      <c r="M1026" s="24">
        <f>IF(K1026=1,SUMPRODUCT(--($L$8:$L$1207&lt;L1026))+1,"")</f>
        <v/>
      </c>
      <c r="N1026" s="25">
        <f>IF(K1026=1,N('ORDENES'!$M1022),0)</f>
        <v/>
      </c>
      <c r="O1026" s="25">
        <f>IF('ORDENES'!$U1022="preventiva",N1026,0)</f>
        <v/>
      </c>
      <c r="P1026" s="25">
        <f>IF('ORDENES'!$U1022="correctiva",N1026,0)</f>
        <v/>
      </c>
      <c r="Q1026" s="24">
        <f>IF(AND(K1026=1,'ORDENES'!$N1022="Pendiente"),1,0)</f>
        <v/>
      </c>
      <c r="R1026" s="24">
        <f>IF(Q1026=1,100000-N1026*1000+1019*0.01,9000000000000+1019)</f>
        <v/>
      </c>
      <c r="S1026" s="24">
        <f>IF(Q1026=1,SUMPRODUCT(--($R$8:$R$1207&lt;R1026))+1,"")</f>
        <v/>
      </c>
      <c r="T1026" s="30">
        <f>IF(K1026=1,'ORDENES'!$J1022,"")</f>
        <v/>
      </c>
    </row>
    <row r="1027">
      <c r="K1027" s="24">
        <f>IF(AND(IF($B$3="(todos)",TRUE,'ORDENES'!$O1023=$B$3),IF($D$3="(todos)",TRUE,'ORDENES'!$AI1023=$D$3),IF($F$3="(todos)",TRUE,'ORDENES'!$AA1023=$F$3),IF($H$3="(todos)",TRUE,'ORDENES'!$Z1023=$H$3),'ORDENES'!$AG1023=TRUE,'ORDENES'!$A1023&lt;&gt;""),1,0)</f>
        <v/>
      </c>
      <c r="L1027" s="24">
        <f>IF(K1027=1,IFERROR(MATCH('ORDENES'!$S1023,lista_dias,0),9)*1000000000+IFERROR(MATCH('ORDENES'!$AI1023,lista_turnos,0),9)*10000000+IFERROR(MATCH('ORDENES'!$AH1023,'TECNICOS'!$B$4:$B$19,0),99)*100000+1020,9000000000000+1020)</f>
        <v/>
      </c>
      <c r="M1027" s="24">
        <f>IF(K1027=1,SUMPRODUCT(--($L$8:$L$1207&lt;L1027))+1,"")</f>
        <v/>
      </c>
      <c r="N1027" s="25">
        <f>IF(K1027=1,N('ORDENES'!$M1023),0)</f>
        <v/>
      </c>
      <c r="O1027" s="25">
        <f>IF('ORDENES'!$U1023="preventiva",N1027,0)</f>
        <v/>
      </c>
      <c r="P1027" s="25">
        <f>IF('ORDENES'!$U1023="correctiva",N1027,0)</f>
        <v/>
      </c>
      <c r="Q1027" s="24">
        <f>IF(AND(K1027=1,'ORDENES'!$N1023="Pendiente"),1,0)</f>
        <v/>
      </c>
      <c r="R1027" s="24">
        <f>IF(Q1027=1,100000-N1027*1000+1020*0.01,9000000000000+1020)</f>
        <v/>
      </c>
      <c r="S1027" s="24">
        <f>IF(Q1027=1,SUMPRODUCT(--($R$8:$R$1207&lt;R1027))+1,"")</f>
        <v/>
      </c>
      <c r="T1027" s="30">
        <f>IF(K1027=1,'ORDENES'!$J1023,"")</f>
        <v/>
      </c>
    </row>
    <row r="1028">
      <c r="K1028" s="24">
        <f>IF(AND(IF($B$3="(todos)",TRUE,'ORDENES'!$O1024=$B$3),IF($D$3="(todos)",TRUE,'ORDENES'!$AI1024=$D$3),IF($F$3="(todos)",TRUE,'ORDENES'!$AA1024=$F$3),IF($H$3="(todos)",TRUE,'ORDENES'!$Z1024=$H$3),'ORDENES'!$AG1024=TRUE,'ORDENES'!$A1024&lt;&gt;""),1,0)</f>
        <v/>
      </c>
      <c r="L1028" s="24">
        <f>IF(K1028=1,IFERROR(MATCH('ORDENES'!$S1024,lista_dias,0),9)*1000000000+IFERROR(MATCH('ORDENES'!$AI1024,lista_turnos,0),9)*10000000+IFERROR(MATCH('ORDENES'!$AH1024,'TECNICOS'!$B$4:$B$19,0),99)*100000+1021,9000000000000+1021)</f>
        <v/>
      </c>
      <c r="M1028" s="24">
        <f>IF(K1028=1,SUMPRODUCT(--($L$8:$L$1207&lt;L1028))+1,"")</f>
        <v/>
      </c>
      <c r="N1028" s="25">
        <f>IF(K1028=1,N('ORDENES'!$M1024),0)</f>
        <v/>
      </c>
      <c r="O1028" s="25">
        <f>IF('ORDENES'!$U1024="preventiva",N1028,0)</f>
        <v/>
      </c>
      <c r="P1028" s="25">
        <f>IF('ORDENES'!$U1024="correctiva",N1028,0)</f>
        <v/>
      </c>
      <c r="Q1028" s="24">
        <f>IF(AND(K1028=1,'ORDENES'!$N1024="Pendiente"),1,0)</f>
        <v/>
      </c>
      <c r="R1028" s="24">
        <f>IF(Q1028=1,100000-N1028*1000+1021*0.01,9000000000000+1021)</f>
        <v/>
      </c>
      <c r="S1028" s="24">
        <f>IF(Q1028=1,SUMPRODUCT(--($R$8:$R$1207&lt;R1028))+1,"")</f>
        <v/>
      </c>
      <c r="T1028" s="30">
        <f>IF(K1028=1,'ORDENES'!$J1024,"")</f>
        <v/>
      </c>
    </row>
    <row r="1029">
      <c r="K1029" s="24">
        <f>IF(AND(IF($B$3="(todos)",TRUE,'ORDENES'!$O1025=$B$3),IF($D$3="(todos)",TRUE,'ORDENES'!$AI1025=$D$3),IF($F$3="(todos)",TRUE,'ORDENES'!$AA1025=$F$3),IF($H$3="(todos)",TRUE,'ORDENES'!$Z1025=$H$3),'ORDENES'!$AG1025=TRUE,'ORDENES'!$A1025&lt;&gt;""),1,0)</f>
        <v/>
      </c>
      <c r="L1029" s="24">
        <f>IF(K1029=1,IFERROR(MATCH('ORDENES'!$S1025,lista_dias,0),9)*1000000000+IFERROR(MATCH('ORDENES'!$AI1025,lista_turnos,0),9)*10000000+IFERROR(MATCH('ORDENES'!$AH1025,'TECNICOS'!$B$4:$B$19,0),99)*100000+1022,9000000000000+1022)</f>
        <v/>
      </c>
      <c r="M1029" s="24">
        <f>IF(K1029=1,SUMPRODUCT(--($L$8:$L$1207&lt;L1029))+1,"")</f>
        <v/>
      </c>
      <c r="N1029" s="25">
        <f>IF(K1029=1,N('ORDENES'!$M1025),0)</f>
        <v/>
      </c>
      <c r="O1029" s="25">
        <f>IF('ORDENES'!$U1025="preventiva",N1029,0)</f>
        <v/>
      </c>
      <c r="P1029" s="25">
        <f>IF('ORDENES'!$U1025="correctiva",N1029,0)</f>
        <v/>
      </c>
      <c r="Q1029" s="24">
        <f>IF(AND(K1029=1,'ORDENES'!$N1025="Pendiente"),1,0)</f>
        <v/>
      </c>
      <c r="R1029" s="24">
        <f>IF(Q1029=1,100000-N1029*1000+1022*0.01,9000000000000+1022)</f>
        <v/>
      </c>
      <c r="S1029" s="24">
        <f>IF(Q1029=1,SUMPRODUCT(--($R$8:$R$1207&lt;R1029))+1,"")</f>
        <v/>
      </c>
      <c r="T1029" s="30">
        <f>IF(K1029=1,'ORDENES'!$J1025,"")</f>
        <v/>
      </c>
    </row>
    <row r="1030">
      <c r="K1030" s="24">
        <f>IF(AND(IF($B$3="(todos)",TRUE,'ORDENES'!$O1026=$B$3),IF($D$3="(todos)",TRUE,'ORDENES'!$AI1026=$D$3),IF($F$3="(todos)",TRUE,'ORDENES'!$AA1026=$F$3),IF($H$3="(todos)",TRUE,'ORDENES'!$Z1026=$H$3),'ORDENES'!$AG1026=TRUE,'ORDENES'!$A1026&lt;&gt;""),1,0)</f>
        <v/>
      </c>
      <c r="L1030" s="24">
        <f>IF(K1030=1,IFERROR(MATCH('ORDENES'!$S1026,lista_dias,0),9)*1000000000+IFERROR(MATCH('ORDENES'!$AI1026,lista_turnos,0),9)*10000000+IFERROR(MATCH('ORDENES'!$AH1026,'TECNICOS'!$B$4:$B$19,0),99)*100000+1023,9000000000000+1023)</f>
        <v/>
      </c>
      <c r="M1030" s="24">
        <f>IF(K1030=1,SUMPRODUCT(--($L$8:$L$1207&lt;L1030))+1,"")</f>
        <v/>
      </c>
      <c r="N1030" s="25">
        <f>IF(K1030=1,N('ORDENES'!$M1026),0)</f>
        <v/>
      </c>
      <c r="O1030" s="25">
        <f>IF('ORDENES'!$U1026="preventiva",N1030,0)</f>
        <v/>
      </c>
      <c r="P1030" s="25">
        <f>IF('ORDENES'!$U1026="correctiva",N1030,0)</f>
        <v/>
      </c>
      <c r="Q1030" s="24">
        <f>IF(AND(K1030=1,'ORDENES'!$N1026="Pendiente"),1,0)</f>
        <v/>
      </c>
      <c r="R1030" s="24">
        <f>IF(Q1030=1,100000-N1030*1000+1023*0.01,9000000000000+1023)</f>
        <v/>
      </c>
      <c r="S1030" s="24">
        <f>IF(Q1030=1,SUMPRODUCT(--($R$8:$R$1207&lt;R1030))+1,"")</f>
        <v/>
      </c>
      <c r="T1030" s="30">
        <f>IF(K1030=1,'ORDENES'!$J1026,"")</f>
        <v/>
      </c>
    </row>
    <row r="1031">
      <c r="K1031" s="24">
        <f>IF(AND(IF($B$3="(todos)",TRUE,'ORDENES'!$O1027=$B$3),IF($D$3="(todos)",TRUE,'ORDENES'!$AI1027=$D$3),IF($F$3="(todos)",TRUE,'ORDENES'!$AA1027=$F$3),IF($H$3="(todos)",TRUE,'ORDENES'!$Z1027=$H$3),'ORDENES'!$AG1027=TRUE,'ORDENES'!$A1027&lt;&gt;""),1,0)</f>
        <v/>
      </c>
      <c r="L1031" s="24">
        <f>IF(K1031=1,IFERROR(MATCH('ORDENES'!$S1027,lista_dias,0),9)*1000000000+IFERROR(MATCH('ORDENES'!$AI1027,lista_turnos,0),9)*10000000+IFERROR(MATCH('ORDENES'!$AH1027,'TECNICOS'!$B$4:$B$19,0),99)*100000+1024,9000000000000+1024)</f>
        <v/>
      </c>
      <c r="M1031" s="24">
        <f>IF(K1031=1,SUMPRODUCT(--($L$8:$L$1207&lt;L1031))+1,"")</f>
        <v/>
      </c>
      <c r="N1031" s="25">
        <f>IF(K1031=1,N('ORDENES'!$M1027),0)</f>
        <v/>
      </c>
      <c r="O1031" s="25">
        <f>IF('ORDENES'!$U1027="preventiva",N1031,0)</f>
        <v/>
      </c>
      <c r="P1031" s="25">
        <f>IF('ORDENES'!$U1027="correctiva",N1031,0)</f>
        <v/>
      </c>
      <c r="Q1031" s="24">
        <f>IF(AND(K1031=1,'ORDENES'!$N1027="Pendiente"),1,0)</f>
        <v/>
      </c>
      <c r="R1031" s="24">
        <f>IF(Q1031=1,100000-N1031*1000+1024*0.01,9000000000000+1024)</f>
        <v/>
      </c>
      <c r="S1031" s="24">
        <f>IF(Q1031=1,SUMPRODUCT(--($R$8:$R$1207&lt;R1031))+1,"")</f>
        <v/>
      </c>
      <c r="T1031" s="30">
        <f>IF(K1031=1,'ORDENES'!$J1027,"")</f>
        <v/>
      </c>
    </row>
    <row r="1032">
      <c r="K1032" s="24">
        <f>IF(AND(IF($B$3="(todos)",TRUE,'ORDENES'!$O1028=$B$3),IF($D$3="(todos)",TRUE,'ORDENES'!$AI1028=$D$3),IF($F$3="(todos)",TRUE,'ORDENES'!$AA1028=$F$3),IF($H$3="(todos)",TRUE,'ORDENES'!$Z1028=$H$3),'ORDENES'!$AG1028=TRUE,'ORDENES'!$A1028&lt;&gt;""),1,0)</f>
        <v/>
      </c>
      <c r="L1032" s="24">
        <f>IF(K1032=1,IFERROR(MATCH('ORDENES'!$S1028,lista_dias,0),9)*1000000000+IFERROR(MATCH('ORDENES'!$AI1028,lista_turnos,0),9)*10000000+IFERROR(MATCH('ORDENES'!$AH1028,'TECNICOS'!$B$4:$B$19,0),99)*100000+1025,9000000000000+1025)</f>
        <v/>
      </c>
      <c r="M1032" s="24">
        <f>IF(K1032=1,SUMPRODUCT(--($L$8:$L$1207&lt;L1032))+1,"")</f>
        <v/>
      </c>
      <c r="N1032" s="25">
        <f>IF(K1032=1,N('ORDENES'!$M1028),0)</f>
        <v/>
      </c>
      <c r="O1032" s="25">
        <f>IF('ORDENES'!$U1028="preventiva",N1032,0)</f>
        <v/>
      </c>
      <c r="P1032" s="25">
        <f>IF('ORDENES'!$U1028="correctiva",N1032,0)</f>
        <v/>
      </c>
      <c r="Q1032" s="24">
        <f>IF(AND(K1032=1,'ORDENES'!$N1028="Pendiente"),1,0)</f>
        <v/>
      </c>
      <c r="R1032" s="24">
        <f>IF(Q1032=1,100000-N1032*1000+1025*0.01,9000000000000+1025)</f>
        <v/>
      </c>
      <c r="S1032" s="24">
        <f>IF(Q1032=1,SUMPRODUCT(--($R$8:$R$1207&lt;R1032))+1,"")</f>
        <v/>
      </c>
      <c r="T1032" s="30">
        <f>IF(K1032=1,'ORDENES'!$J1028,"")</f>
        <v/>
      </c>
    </row>
    <row r="1033">
      <c r="K1033" s="24">
        <f>IF(AND(IF($B$3="(todos)",TRUE,'ORDENES'!$O1029=$B$3),IF($D$3="(todos)",TRUE,'ORDENES'!$AI1029=$D$3),IF($F$3="(todos)",TRUE,'ORDENES'!$AA1029=$F$3),IF($H$3="(todos)",TRUE,'ORDENES'!$Z1029=$H$3),'ORDENES'!$AG1029=TRUE,'ORDENES'!$A1029&lt;&gt;""),1,0)</f>
        <v/>
      </c>
      <c r="L1033" s="24">
        <f>IF(K1033=1,IFERROR(MATCH('ORDENES'!$S1029,lista_dias,0),9)*1000000000+IFERROR(MATCH('ORDENES'!$AI1029,lista_turnos,0),9)*10000000+IFERROR(MATCH('ORDENES'!$AH1029,'TECNICOS'!$B$4:$B$19,0),99)*100000+1026,9000000000000+1026)</f>
        <v/>
      </c>
      <c r="M1033" s="24">
        <f>IF(K1033=1,SUMPRODUCT(--($L$8:$L$1207&lt;L1033))+1,"")</f>
        <v/>
      </c>
      <c r="N1033" s="25">
        <f>IF(K1033=1,N('ORDENES'!$M1029),0)</f>
        <v/>
      </c>
      <c r="O1033" s="25">
        <f>IF('ORDENES'!$U1029="preventiva",N1033,0)</f>
        <v/>
      </c>
      <c r="P1033" s="25">
        <f>IF('ORDENES'!$U1029="correctiva",N1033,0)</f>
        <v/>
      </c>
      <c r="Q1033" s="24">
        <f>IF(AND(K1033=1,'ORDENES'!$N1029="Pendiente"),1,0)</f>
        <v/>
      </c>
      <c r="R1033" s="24">
        <f>IF(Q1033=1,100000-N1033*1000+1026*0.01,9000000000000+1026)</f>
        <v/>
      </c>
      <c r="S1033" s="24">
        <f>IF(Q1033=1,SUMPRODUCT(--($R$8:$R$1207&lt;R1033))+1,"")</f>
        <v/>
      </c>
      <c r="T1033" s="30">
        <f>IF(K1033=1,'ORDENES'!$J1029,"")</f>
        <v/>
      </c>
    </row>
    <row r="1034">
      <c r="K1034" s="24">
        <f>IF(AND(IF($B$3="(todos)",TRUE,'ORDENES'!$O1030=$B$3),IF($D$3="(todos)",TRUE,'ORDENES'!$AI1030=$D$3),IF($F$3="(todos)",TRUE,'ORDENES'!$AA1030=$F$3),IF($H$3="(todos)",TRUE,'ORDENES'!$Z1030=$H$3),'ORDENES'!$AG1030=TRUE,'ORDENES'!$A1030&lt;&gt;""),1,0)</f>
        <v/>
      </c>
      <c r="L1034" s="24">
        <f>IF(K1034=1,IFERROR(MATCH('ORDENES'!$S1030,lista_dias,0),9)*1000000000+IFERROR(MATCH('ORDENES'!$AI1030,lista_turnos,0),9)*10000000+IFERROR(MATCH('ORDENES'!$AH1030,'TECNICOS'!$B$4:$B$19,0),99)*100000+1027,9000000000000+1027)</f>
        <v/>
      </c>
      <c r="M1034" s="24">
        <f>IF(K1034=1,SUMPRODUCT(--($L$8:$L$1207&lt;L1034))+1,"")</f>
        <v/>
      </c>
      <c r="N1034" s="25">
        <f>IF(K1034=1,N('ORDENES'!$M1030),0)</f>
        <v/>
      </c>
      <c r="O1034" s="25">
        <f>IF('ORDENES'!$U1030="preventiva",N1034,0)</f>
        <v/>
      </c>
      <c r="P1034" s="25">
        <f>IF('ORDENES'!$U1030="correctiva",N1034,0)</f>
        <v/>
      </c>
      <c r="Q1034" s="24">
        <f>IF(AND(K1034=1,'ORDENES'!$N1030="Pendiente"),1,0)</f>
        <v/>
      </c>
      <c r="R1034" s="24">
        <f>IF(Q1034=1,100000-N1034*1000+1027*0.01,9000000000000+1027)</f>
        <v/>
      </c>
      <c r="S1034" s="24">
        <f>IF(Q1034=1,SUMPRODUCT(--($R$8:$R$1207&lt;R1034))+1,"")</f>
        <v/>
      </c>
      <c r="T1034" s="30">
        <f>IF(K1034=1,'ORDENES'!$J1030,"")</f>
        <v/>
      </c>
    </row>
    <row r="1035">
      <c r="K1035" s="24">
        <f>IF(AND(IF($B$3="(todos)",TRUE,'ORDENES'!$O1031=$B$3),IF($D$3="(todos)",TRUE,'ORDENES'!$AI1031=$D$3),IF($F$3="(todos)",TRUE,'ORDENES'!$AA1031=$F$3),IF($H$3="(todos)",TRUE,'ORDENES'!$Z1031=$H$3),'ORDENES'!$AG1031=TRUE,'ORDENES'!$A1031&lt;&gt;""),1,0)</f>
        <v/>
      </c>
      <c r="L1035" s="24">
        <f>IF(K1035=1,IFERROR(MATCH('ORDENES'!$S1031,lista_dias,0),9)*1000000000+IFERROR(MATCH('ORDENES'!$AI1031,lista_turnos,0),9)*10000000+IFERROR(MATCH('ORDENES'!$AH1031,'TECNICOS'!$B$4:$B$19,0),99)*100000+1028,9000000000000+1028)</f>
        <v/>
      </c>
      <c r="M1035" s="24">
        <f>IF(K1035=1,SUMPRODUCT(--($L$8:$L$1207&lt;L1035))+1,"")</f>
        <v/>
      </c>
      <c r="N1035" s="25">
        <f>IF(K1035=1,N('ORDENES'!$M1031),0)</f>
        <v/>
      </c>
      <c r="O1035" s="25">
        <f>IF('ORDENES'!$U1031="preventiva",N1035,0)</f>
        <v/>
      </c>
      <c r="P1035" s="25">
        <f>IF('ORDENES'!$U1031="correctiva",N1035,0)</f>
        <v/>
      </c>
      <c r="Q1035" s="24">
        <f>IF(AND(K1035=1,'ORDENES'!$N1031="Pendiente"),1,0)</f>
        <v/>
      </c>
      <c r="R1035" s="24">
        <f>IF(Q1035=1,100000-N1035*1000+1028*0.01,9000000000000+1028)</f>
        <v/>
      </c>
      <c r="S1035" s="24">
        <f>IF(Q1035=1,SUMPRODUCT(--($R$8:$R$1207&lt;R1035))+1,"")</f>
        <v/>
      </c>
      <c r="T1035" s="30">
        <f>IF(K1035=1,'ORDENES'!$J1031,"")</f>
        <v/>
      </c>
    </row>
    <row r="1036">
      <c r="K1036" s="24">
        <f>IF(AND(IF($B$3="(todos)",TRUE,'ORDENES'!$O1032=$B$3),IF($D$3="(todos)",TRUE,'ORDENES'!$AI1032=$D$3),IF($F$3="(todos)",TRUE,'ORDENES'!$AA1032=$F$3),IF($H$3="(todos)",TRUE,'ORDENES'!$Z1032=$H$3),'ORDENES'!$AG1032=TRUE,'ORDENES'!$A1032&lt;&gt;""),1,0)</f>
        <v/>
      </c>
      <c r="L1036" s="24">
        <f>IF(K1036=1,IFERROR(MATCH('ORDENES'!$S1032,lista_dias,0),9)*1000000000+IFERROR(MATCH('ORDENES'!$AI1032,lista_turnos,0),9)*10000000+IFERROR(MATCH('ORDENES'!$AH1032,'TECNICOS'!$B$4:$B$19,0),99)*100000+1029,9000000000000+1029)</f>
        <v/>
      </c>
      <c r="M1036" s="24">
        <f>IF(K1036=1,SUMPRODUCT(--($L$8:$L$1207&lt;L1036))+1,"")</f>
        <v/>
      </c>
      <c r="N1036" s="25">
        <f>IF(K1036=1,N('ORDENES'!$M1032),0)</f>
        <v/>
      </c>
      <c r="O1036" s="25">
        <f>IF('ORDENES'!$U1032="preventiva",N1036,0)</f>
        <v/>
      </c>
      <c r="P1036" s="25">
        <f>IF('ORDENES'!$U1032="correctiva",N1036,0)</f>
        <v/>
      </c>
      <c r="Q1036" s="24">
        <f>IF(AND(K1036=1,'ORDENES'!$N1032="Pendiente"),1,0)</f>
        <v/>
      </c>
      <c r="R1036" s="24">
        <f>IF(Q1036=1,100000-N1036*1000+1029*0.01,9000000000000+1029)</f>
        <v/>
      </c>
      <c r="S1036" s="24">
        <f>IF(Q1036=1,SUMPRODUCT(--($R$8:$R$1207&lt;R1036))+1,"")</f>
        <v/>
      </c>
      <c r="T1036" s="30">
        <f>IF(K1036=1,'ORDENES'!$J1032,"")</f>
        <v/>
      </c>
    </row>
    <row r="1037">
      <c r="K1037" s="24">
        <f>IF(AND(IF($B$3="(todos)",TRUE,'ORDENES'!$O1033=$B$3),IF($D$3="(todos)",TRUE,'ORDENES'!$AI1033=$D$3),IF($F$3="(todos)",TRUE,'ORDENES'!$AA1033=$F$3),IF($H$3="(todos)",TRUE,'ORDENES'!$Z1033=$H$3),'ORDENES'!$AG1033=TRUE,'ORDENES'!$A1033&lt;&gt;""),1,0)</f>
        <v/>
      </c>
      <c r="L1037" s="24">
        <f>IF(K1037=1,IFERROR(MATCH('ORDENES'!$S1033,lista_dias,0),9)*1000000000+IFERROR(MATCH('ORDENES'!$AI1033,lista_turnos,0),9)*10000000+IFERROR(MATCH('ORDENES'!$AH1033,'TECNICOS'!$B$4:$B$19,0),99)*100000+1030,9000000000000+1030)</f>
        <v/>
      </c>
      <c r="M1037" s="24">
        <f>IF(K1037=1,SUMPRODUCT(--($L$8:$L$1207&lt;L1037))+1,"")</f>
        <v/>
      </c>
      <c r="N1037" s="25">
        <f>IF(K1037=1,N('ORDENES'!$M1033),0)</f>
        <v/>
      </c>
      <c r="O1037" s="25">
        <f>IF('ORDENES'!$U1033="preventiva",N1037,0)</f>
        <v/>
      </c>
      <c r="P1037" s="25">
        <f>IF('ORDENES'!$U1033="correctiva",N1037,0)</f>
        <v/>
      </c>
      <c r="Q1037" s="24">
        <f>IF(AND(K1037=1,'ORDENES'!$N1033="Pendiente"),1,0)</f>
        <v/>
      </c>
      <c r="R1037" s="24">
        <f>IF(Q1037=1,100000-N1037*1000+1030*0.01,9000000000000+1030)</f>
        <v/>
      </c>
      <c r="S1037" s="24">
        <f>IF(Q1037=1,SUMPRODUCT(--($R$8:$R$1207&lt;R1037))+1,"")</f>
        <v/>
      </c>
      <c r="T1037" s="30">
        <f>IF(K1037=1,'ORDENES'!$J1033,"")</f>
        <v/>
      </c>
    </row>
    <row r="1038">
      <c r="K1038" s="24">
        <f>IF(AND(IF($B$3="(todos)",TRUE,'ORDENES'!$O1034=$B$3),IF($D$3="(todos)",TRUE,'ORDENES'!$AI1034=$D$3),IF($F$3="(todos)",TRUE,'ORDENES'!$AA1034=$F$3),IF($H$3="(todos)",TRUE,'ORDENES'!$Z1034=$H$3),'ORDENES'!$AG1034=TRUE,'ORDENES'!$A1034&lt;&gt;""),1,0)</f>
        <v/>
      </c>
      <c r="L1038" s="24">
        <f>IF(K1038=1,IFERROR(MATCH('ORDENES'!$S1034,lista_dias,0),9)*1000000000+IFERROR(MATCH('ORDENES'!$AI1034,lista_turnos,0),9)*10000000+IFERROR(MATCH('ORDENES'!$AH1034,'TECNICOS'!$B$4:$B$19,0),99)*100000+1031,9000000000000+1031)</f>
        <v/>
      </c>
      <c r="M1038" s="24">
        <f>IF(K1038=1,SUMPRODUCT(--($L$8:$L$1207&lt;L1038))+1,"")</f>
        <v/>
      </c>
      <c r="N1038" s="25">
        <f>IF(K1038=1,N('ORDENES'!$M1034),0)</f>
        <v/>
      </c>
      <c r="O1038" s="25">
        <f>IF('ORDENES'!$U1034="preventiva",N1038,0)</f>
        <v/>
      </c>
      <c r="P1038" s="25">
        <f>IF('ORDENES'!$U1034="correctiva",N1038,0)</f>
        <v/>
      </c>
      <c r="Q1038" s="24">
        <f>IF(AND(K1038=1,'ORDENES'!$N1034="Pendiente"),1,0)</f>
        <v/>
      </c>
      <c r="R1038" s="24">
        <f>IF(Q1038=1,100000-N1038*1000+1031*0.01,9000000000000+1031)</f>
        <v/>
      </c>
      <c r="S1038" s="24">
        <f>IF(Q1038=1,SUMPRODUCT(--($R$8:$R$1207&lt;R1038))+1,"")</f>
        <v/>
      </c>
      <c r="T1038" s="30">
        <f>IF(K1038=1,'ORDENES'!$J1034,"")</f>
        <v/>
      </c>
    </row>
    <row r="1039">
      <c r="K1039" s="24">
        <f>IF(AND(IF($B$3="(todos)",TRUE,'ORDENES'!$O1035=$B$3),IF($D$3="(todos)",TRUE,'ORDENES'!$AI1035=$D$3),IF($F$3="(todos)",TRUE,'ORDENES'!$AA1035=$F$3),IF($H$3="(todos)",TRUE,'ORDENES'!$Z1035=$H$3),'ORDENES'!$AG1035=TRUE,'ORDENES'!$A1035&lt;&gt;""),1,0)</f>
        <v/>
      </c>
      <c r="L1039" s="24">
        <f>IF(K1039=1,IFERROR(MATCH('ORDENES'!$S1035,lista_dias,0),9)*1000000000+IFERROR(MATCH('ORDENES'!$AI1035,lista_turnos,0),9)*10000000+IFERROR(MATCH('ORDENES'!$AH1035,'TECNICOS'!$B$4:$B$19,0),99)*100000+1032,9000000000000+1032)</f>
        <v/>
      </c>
      <c r="M1039" s="24">
        <f>IF(K1039=1,SUMPRODUCT(--($L$8:$L$1207&lt;L1039))+1,"")</f>
        <v/>
      </c>
      <c r="N1039" s="25">
        <f>IF(K1039=1,N('ORDENES'!$M1035),0)</f>
        <v/>
      </c>
      <c r="O1039" s="25">
        <f>IF('ORDENES'!$U1035="preventiva",N1039,0)</f>
        <v/>
      </c>
      <c r="P1039" s="25">
        <f>IF('ORDENES'!$U1035="correctiva",N1039,0)</f>
        <v/>
      </c>
      <c r="Q1039" s="24">
        <f>IF(AND(K1039=1,'ORDENES'!$N1035="Pendiente"),1,0)</f>
        <v/>
      </c>
      <c r="R1039" s="24">
        <f>IF(Q1039=1,100000-N1039*1000+1032*0.01,9000000000000+1032)</f>
        <v/>
      </c>
      <c r="S1039" s="24">
        <f>IF(Q1039=1,SUMPRODUCT(--($R$8:$R$1207&lt;R1039))+1,"")</f>
        <v/>
      </c>
      <c r="T1039" s="30">
        <f>IF(K1039=1,'ORDENES'!$J1035,"")</f>
        <v/>
      </c>
    </row>
    <row r="1040">
      <c r="K1040" s="24">
        <f>IF(AND(IF($B$3="(todos)",TRUE,'ORDENES'!$O1036=$B$3),IF($D$3="(todos)",TRUE,'ORDENES'!$AI1036=$D$3),IF($F$3="(todos)",TRUE,'ORDENES'!$AA1036=$F$3),IF($H$3="(todos)",TRUE,'ORDENES'!$Z1036=$H$3),'ORDENES'!$AG1036=TRUE,'ORDENES'!$A1036&lt;&gt;""),1,0)</f>
        <v/>
      </c>
      <c r="L1040" s="24">
        <f>IF(K1040=1,IFERROR(MATCH('ORDENES'!$S1036,lista_dias,0),9)*1000000000+IFERROR(MATCH('ORDENES'!$AI1036,lista_turnos,0),9)*10000000+IFERROR(MATCH('ORDENES'!$AH1036,'TECNICOS'!$B$4:$B$19,0),99)*100000+1033,9000000000000+1033)</f>
        <v/>
      </c>
      <c r="M1040" s="24">
        <f>IF(K1040=1,SUMPRODUCT(--($L$8:$L$1207&lt;L1040))+1,"")</f>
        <v/>
      </c>
      <c r="N1040" s="25">
        <f>IF(K1040=1,N('ORDENES'!$M1036),0)</f>
        <v/>
      </c>
      <c r="O1040" s="25">
        <f>IF('ORDENES'!$U1036="preventiva",N1040,0)</f>
        <v/>
      </c>
      <c r="P1040" s="25">
        <f>IF('ORDENES'!$U1036="correctiva",N1040,0)</f>
        <v/>
      </c>
      <c r="Q1040" s="24">
        <f>IF(AND(K1040=1,'ORDENES'!$N1036="Pendiente"),1,0)</f>
        <v/>
      </c>
      <c r="R1040" s="24">
        <f>IF(Q1040=1,100000-N1040*1000+1033*0.01,9000000000000+1033)</f>
        <v/>
      </c>
      <c r="S1040" s="24">
        <f>IF(Q1040=1,SUMPRODUCT(--($R$8:$R$1207&lt;R1040))+1,"")</f>
        <v/>
      </c>
      <c r="T1040" s="30">
        <f>IF(K1040=1,'ORDENES'!$J1036,"")</f>
        <v/>
      </c>
    </row>
    <row r="1041">
      <c r="K1041" s="24">
        <f>IF(AND(IF($B$3="(todos)",TRUE,'ORDENES'!$O1037=$B$3),IF($D$3="(todos)",TRUE,'ORDENES'!$AI1037=$D$3),IF($F$3="(todos)",TRUE,'ORDENES'!$AA1037=$F$3),IF($H$3="(todos)",TRUE,'ORDENES'!$Z1037=$H$3),'ORDENES'!$AG1037=TRUE,'ORDENES'!$A1037&lt;&gt;""),1,0)</f>
        <v/>
      </c>
      <c r="L1041" s="24">
        <f>IF(K1041=1,IFERROR(MATCH('ORDENES'!$S1037,lista_dias,0),9)*1000000000+IFERROR(MATCH('ORDENES'!$AI1037,lista_turnos,0),9)*10000000+IFERROR(MATCH('ORDENES'!$AH1037,'TECNICOS'!$B$4:$B$19,0),99)*100000+1034,9000000000000+1034)</f>
        <v/>
      </c>
      <c r="M1041" s="24">
        <f>IF(K1041=1,SUMPRODUCT(--($L$8:$L$1207&lt;L1041))+1,"")</f>
        <v/>
      </c>
      <c r="N1041" s="25">
        <f>IF(K1041=1,N('ORDENES'!$M1037),0)</f>
        <v/>
      </c>
      <c r="O1041" s="25">
        <f>IF('ORDENES'!$U1037="preventiva",N1041,0)</f>
        <v/>
      </c>
      <c r="P1041" s="25">
        <f>IF('ORDENES'!$U1037="correctiva",N1041,0)</f>
        <v/>
      </c>
      <c r="Q1041" s="24">
        <f>IF(AND(K1041=1,'ORDENES'!$N1037="Pendiente"),1,0)</f>
        <v/>
      </c>
      <c r="R1041" s="24">
        <f>IF(Q1041=1,100000-N1041*1000+1034*0.01,9000000000000+1034)</f>
        <v/>
      </c>
      <c r="S1041" s="24">
        <f>IF(Q1041=1,SUMPRODUCT(--($R$8:$R$1207&lt;R1041))+1,"")</f>
        <v/>
      </c>
      <c r="T1041" s="30">
        <f>IF(K1041=1,'ORDENES'!$J1037,"")</f>
        <v/>
      </c>
    </row>
    <row r="1042">
      <c r="K1042" s="24">
        <f>IF(AND(IF($B$3="(todos)",TRUE,'ORDENES'!$O1038=$B$3),IF($D$3="(todos)",TRUE,'ORDENES'!$AI1038=$D$3),IF($F$3="(todos)",TRUE,'ORDENES'!$AA1038=$F$3),IF($H$3="(todos)",TRUE,'ORDENES'!$Z1038=$H$3),'ORDENES'!$AG1038=TRUE,'ORDENES'!$A1038&lt;&gt;""),1,0)</f>
        <v/>
      </c>
      <c r="L1042" s="24">
        <f>IF(K1042=1,IFERROR(MATCH('ORDENES'!$S1038,lista_dias,0),9)*1000000000+IFERROR(MATCH('ORDENES'!$AI1038,lista_turnos,0),9)*10000000+IFERROR(MATCH('ORDENES'!$AH1038,'TECNICOS'!$B$4:$B$19,0),99)*100000+1035,9000000000000+1035)</f>
        <v/>
      </c>
      <c r="M1042" s="24">
        <f>IF(K1042=1,SUMPRODUCT(--($L$8:$L$1207&lt;L1042))+1,"")</f>
        <v/>
      </c>
      <c r="N1042" s="25">
        <f>IF(K1042=1,N('ORDENES'!$M1038),0)</f>
        <v/>
      </c>
      <c r="O1042" s="25">
        <f>IF('ORDENES'!$U1038="preventiva",N1042,0)</f>
        <v/>
      </c>
      <c r="P1042" s="25">
        <f>IF('ORDENES'!$U1038="correctiva",N1042,0)</f>
        <v/>
      </c>
      <c r="Q1042" s="24">
        <f>IF(AND(K1042=1,'ORDENES'!$N1038="Pendiente"),1,0)</f>
        <v/>
      </c>
      <c r="R1042" s="24">
        <f>IF(Q1042=1,100000-N1042*1000+1035*0.01,9000000000000+1035)</f>
        <v/>
      </c>
      <c r="S1042" s="24">
        <f>IF(Q1042=1,SUMPRODUCT(--($R$8:$R$1207&lt;R1042))+1,"")</f>
        <v/>
      </c>
      <c r="T1042" s="30">
        <f>IF(K1042=1,'ORDENES'!$J1038,"")</f>
        <v/>
      </c>
    </row>
    <row r="1043">
      <c r="K1043" s="24">
        <f>IF(AND(IF($B$3="(todos)",TRUE,'ORDENES'!$O1039=$B$3),IF($D$3="(todos)",TRUE,'ORDENES'!$AI1039=$D$3),IF($F$3="(todos)",TRUE,'ORDENES'!$AA1039=$F$3),IF($H$3="(todos)",TRUE,'ORDENES'!$Z1039=$H$3),'ORDENES'!$AG1039=TRUE,'ORDENES'!$A1039&lt;&gt;""),1,0)</f>
        <v/>
      </c>
      <c r="L1043" s="24">
        <f>IF(K1043=1,IFERROR(MATCH('ORDENES'!$S1039,lista_dias,0),9)*1000000000+IFERROR(MATCH('ORDENES'!$AI1039,lista_turnos,0),9)*10000000+IFERROR(MATCH('ORDENES'!$AH1039,'TECNICOS'!$B$4:$B$19,0),99)*100000+1036,9000000000000+1036)</f>
        <v/>
      </c>
      <c r="M1043" s="24">
        <f>IF(K1043=1,SUMPRODUCT(--($L$8:$L$1207&lt;L1043))+1,"")</f>
        <v/>
      </c>
      <c r="N1043" s="25">
        <f>IF(K1043=1,N('ORDENES'!$M1039),0)</f>
        <v/>
      </c>
      <c r="O1043" s="25">
        <f>IF('ORDENES'!$U1039="preventiva",N1043,0)</f>
        <v/>
      </c>
      <c r="P1043" s="25">
        <f>IF('ORDENES'!$U1039="correctiva",N1043,0)</f>
        <v/>
      </c>
      <c r="Q1043" s="24">
        <f>IF(AND(K1043=1,'ORDENES'!$N1039="Pendiente"),1,0)</f>
        <v/>
      </c>
      <c r="R1043" s="24">
        <f>IF(Q1043=1,100000-N1043*1000+1036*0.01,9000000000000+1036)</f>
        <v/>
      </c>
      <c r="S1043" s="24">
        <f>IF(Q1043=1,SUMPRODUCT(--($R$8:$R$1207&lt;R1043))+1,"")</f>
        <v/>
      </c>
      <c r="T1043" s="30">
        <f>IF(K1043=1,'ORDENES'!$J1039,"")</f>
        <v/>
      </c>
    </row>
    <row r="1044">
      <c r="K1044" s="24">
        <f>IF(AND(IF($B$3="(todos)",TRUE,'ORDENES'!$O1040=$B$3),IF($D$3="(todos)",TRUE,'ORDENES'!$AI1040=$D$3),IF($F$3="(todos)",TRUE,'ORDENES'!$AA1040=$F$3),IF($H$3="(todos)",TRUE,'ORDENES'!$Z1040=$H$3),'ORDENES'!$AG1040=TRUE,'ORDENES'!$A1040&lt;&gt;""),1,0)</f>
        <v/>
      </c>
      <c r="L1044" s="24">
        <f>IF(K1044=1,IFERROR(MATCH('ORDENES'!$S1040,lista_dias,0),9)*1000000000+IFERROR(MATCH('ORDENES'!$AI1040,lista_turnos,0),9)*10000000+IFERROR(MATCH('ORDENES'!$AH1040,'TECNICOS'!$B$4:$B$19,0),99)*100000+1037,9000000000000+1037)</f>
        <v/>
      </c>
      <c r="M1044" s="24">
        <f>IF(K1044=1,SUMPRODUCT(--($L$8:$L$1207&lt;L1044))+1,"")</f>
        <v/>
      </c>
      <c r="N1044" s="25">
        <f>IF(K1044=1,N('ORDENES'!$M1040),0)</f>
        <v/>
      </c>
      <c r="O1044" s="25">
        <f>IF('ORDENES'!$U1040="preventiva",N1044,0)</f>
        <v/>
      </c>
      <c r="P1044" s="25">
        <f>IF('ORDENES'!$U1040="correctiva",N1044,0)</f>
        <v/>
      </c>
      <c r="Q1044" s="24">
        <f>IF(AND(K1044=1,'ORDENES'!$N1040="Pendiente"),1,0)</f>
        <v/>
      </c>
      <c r="R1044" s="24">
        <f>IF(Q1044=1,100000-N1044*1000+1037*0.01,9000000000000+1037)</f>
        <v/>
      </c>
      <c r="S1044" s="24">
        <f>IF(Q1044=1,SUMPRODUCT(--($R$8:$R$1207&lt;R1044))+1,"")</f>
        <v/>
      </c>
      <c r="T1044" s="30">
        <f>IF(K1044=1,'ORDENES'!$J1040,"")</f>
        <v/>
      </c>
    </row>
    <row r="1045">
      <c r="K1045" s="24">
        <f>IF(AND(IF($B$3="(todos)",TRUE,'ORDENES'!$O1041=$B$3),IF($D$3="(todos)",TRUE,'ORDENES'!$AI1041=$D$3),IF($F$3="(todos)",TRUE,'ORDENES'!$AA1041=$F$3),IF($H$3="(todos)",TRUE,'ORDENES'!$Z1041=$H$3),'ORDENES'!$AG1041=TRUE,'ORDENES'!$A1041&lt;&gt;""),1,0)</f>
        <v/>
      </c>
      <c r="L1045" s="24">
        <f>IF(K1045=1,IFERROR(MATCH('ORDENES'!$S1041,lista_dias,0),9)*1000000000+IFERROR(MATCH('ORDENES'!$AI1041,lista_turnos,0),9)*10000000+IFERROR(MATCH('ORDENES'!$AH1041,'TECNICOS'!$B$4:$B$19,0),99)*100000+1038,9000000000000+1038)</f>
        <v/>
      </c>
      <c r="M1045" s="24">
        <f>IF(K1045=1,SUMPRODUCT(--($L$8:$L$1207&lt;L1045))+1,"")</f>
        <v/>
      </c>
      <c r="N1045" s="25">
        <f>IF(K1045=1,N('ORDENES'!$M1041),0)</f>
        <v/>
      </c>
      <c r="O1045" s="25">
        <f>IF('ORDENES'!$U1041="preventiva",N1045,0)</f>
        <v/>
      </c>
      <c r="P1045" s="25">
        <f>IF('ORDENES'!$U1041="correctiva",N1045,0)</f>
        <v/>
      </c>
      <c r="Q1045" s="24">
        <f>IF(AND(K1045=1,'ORDENES'!$N1041="Pendiente"),1,0)</f>
        <v/>
      </c>
      <c r="R1045" s="24">
        <f>IF(Q1045=1,100000-N1045*1000+1038*0.01,9000000000000+1038)</f>
        <v/>
      </c>
      <c r="S1045" s="24">
        <f>IF(Q1045=1,SUMPRODUCT(--($R$8:$R$1207&lt;R1045))+1,"")</f>
        <v/>
      </c>
      <c r="T1045" s="30">
        <f>IF(K1045=1,'ORDENES'!$J1041,"")</f>
        <v/>
      </c>
    </row>
    <row r="1046">
      <c r="K1046" s="24">
        <f>IF(AND(IF($B$3="(todos)",TRUE,'ORDENES'!$O1042=$B$3),IF($D$3="(todos)",TRUE,'ORDENES'!$AI1042=$D$3),IF($F$3="(todos)",TRUE,'ORDENES'!$AA1042=$F$3),IF($H$3="(todos)",TRUE,'ORDENES'!$Z1042=$H$3),'ORDENES'!$AG1042=TRUE,'ORDENES'!$A1042&lt;&gt;""),1,0)</f>
        <v/>
      </c>
      <c r="L1046" s="24">
        <f>IF(K1046=1,IFERROR(MATCH('ORDENES'!$S1042,lista_dias,0),9)*1000000000+IFERROR(MATCH('ORDENES'!$AI1042,lista_turnos,0),9)*10000000+IFERROR(MATCH('ORDENES'!$AH1042,'TECNICOS'!$B$4:$B$19,0),99)*100000+1039,9000000000000+1039)</f>
        <v/>
      </c>
      <c r="M1046" s="24">
        <f>IF(K1046=1,SUMPRODUCT(--($L$8:$L$1207&lt;L1046))+1,"")</f>
        <v/>
      </c>
      <c r="N1046" s="25">
        <f>IF(K1046=1,N('ORDENES'!$M1042),0)</f>
        <v/>
      </c>
      <c r="O1046" s="25">
        <f>IF('ORDENES'!$U1042="preventiva",N1046,0)</f>
        <v/>
      </c>
      <c r="P1046" s="25">
        <f>IF('ORDENES'!$U1042="correctiva",N1046,0)</f>
        <v/>
      </c>
      <c r="Q1046" s="24">
        <f>IF(AND(K1046=1,'ORDENES'!$N1042="Pendiente"),1,0)</f>
        <v/>
      </c>
      <c r="R1046" s="24">
        <f>IF(Q1046=1,100000-N1046*1000+1039*0.01,9000000000000+1039)</f>
        <v/>
      </c>
      <c r="S1046" s="24">
        <f>IF(Q1046=1,SUMPRODUCT(--($R$8:$R$1207&lt;R1046))+1,"")</f>
        <v/>
      </c>
      <c r="T1046" s="30">
        <f>IF(K1046=1,'ORDENES'!$J1042,"")</f>
        <v/>
      </c>
    </row>
    <row r="1047">
      <c r="K1047" s="24">
        <f>IF(AND(IF($B$3="(todos)",TRUE,'ORDENES'!$O1043=$B$3),IF($D$3="(todos)",TRUE,'ORDENES'!$AI1043=$D$3),IF($F$3="(todos)",TRUE,'ORDENES'!$AA1043=$F$3),IF($H$3="(todos)",TRUE,'ORDENES'!$Z1043=$H$3),'ORDENES'!$AG1043=TRUE,'ORDENES'!$A1043&lt;&gt;""),1,0)</f>
        <v/>
      </c>
      <c r="L1047" s="24">
        <f>IF(K1047=1,IFERROR(MATCH('ORDENES'!$S1043,lista_dias,0),9)*1000000000+IFERROR(MATCH('ORDENES'!$AI1043,lista_turnos,0),9)*10000000+IFERROR(MATCH('ORDENES'!$AH1043,'TECNICOS'!$B$4:$B$19,0),99)*100000+1040,9000000000000+1040)</f>
        <v/>
      </c>
      <c r="M1047" s="24">
        <f>IF(K1047=1,SUMPRODUCT(--($L$8:$L$1207&lt;L1047))+1,"")</f>
        <v/>
      </c>
      <c r="N1047" s="25">
        <f>IF(K1047=1,N('ORDENES'!$M1043),0)</f>
        <v/>
      </c>
      <c r="O1047" s="25">
        <f>IF('ORDENES'!$U1043="preventiva",N1047,0)</f>
        <v/>
      </c>
      <c r="P1047" s="25">
        <f>IF('ORDENES'!$U1043="correctiva",N1047,0)</f>
        <v/>
      </c>
      <c r="Q1047" s="24">
        <f>IF(AND(K1047=1,'ORDENES'!$N1043="Pendiente"),1,0)</f>
        <v/>
      </c>
      <c r="R1047" s="24">
        <f>IF(Q1047=1,100000-N1047*1000+1040*0.01,9000000000000+1040)</f>
        <v/>
      </c>
      <c r="S1047" s="24">
        <f>IF(Q1047=1,SUMPRODUCT(--($R$8:$R$1207&lt;R1047))+1,"")</f>
        <v/>
      </c>
      <c r="T1047" s="30">
        <f>IF(K1047=1,'ORDENES'!$J1043,"")</f>
        <v/>
      </c>
    </row>
    <row r="1048">
      <c r="K1048" s="24">
        <f>IF(AND(IF($B$3="(todos)",TRUE,'ORDENES'!$O1044=$B$3),IF($D$3="(todos)",TRUE,'ORDENES'!$AI1044=$D$3),IF($F$3="(todos)",TRUE,'ORDENES'!$AA1044=$F$3),IF($H$3="(todos)",TRUE,'ORDENES'!$Z1044=$H$3),'ORDENES'!$AG1044=TRUE,'ORDENES'!$A1044&lt;&gt;""),1,0)</f>
        <v/>
      </c>
      <c r="L1048" s="24">
        <f>IF(K1048=1,IFERROR(MATCH('ORDENES'!$S1044,lista_dias,0),9)*1000000000+IFERROR(MATCH('ORDENES'!$AI1044,lista_turnos,0),9)*10000000+IFERROR(MATCH('ORDENES'!$AH1044,'TECNICOS'!$B$4:$B$19,0),99)*100000+1041,9000000000000+1041)</f>
        <v/>
      </c>
      <c r="M1048" s="24">
        <f>IF(K1048=1,SUMPRODUCT(--($L$8:$L$1207&lt;L1048))+1,"")</f>
        <v/>
      </c>
      <c r="N1048" s="25">
        <f>IF(K1048=1,N('ORDENES'!$M1044),0)</f>
        <v/>
      </c>
      <c r="O1048" s="25">
        <f>IF('ORDENES'!$U1044="preventiva",N1048,0)</f>
        <v/>
      </c>
      <c r="P1048" s="25">
        <f>IF('ORDENES'!$U1044="correctiva",N1048,0)</f>
        <v/>
      </c>
      <c r="Q1048" s="24">
        <f>IF(AND(K1048=1,'ORDENES'!$N1044="Pendiente"),1,0)</f>
        <v/>
      </c>
      <c r="R1048" s="24">
        <f>IF(Q1048=1,100000-N1048*1000+1041*0.01,9000000000000+1041)</f>
        <v/>
      </c>
      <c r="S1048" s="24">
        <f>IF(Q1048=1,SUMPRODUCT(--($R$8:$R$1207&lt;R1048))+1,"")</f>
        <v/>
      </c>
      <c r="T1048" s="30">
        <f>IF(K1048=1,'ORDENES'!$J1044,"")</f>
        <v/>
      </c>
    </row>
    <row r="1049">
      <c r="K1049" s="24">
        <f>IF(AND(IF($B$3="(todos)",TRUE,'ORDENES'!$O1045=$B$3),IF($D$3="(todos)",TRUE,'ORDENES'!$AI1045=$D$3),IF($F$3="(todos)",TRUE,'ORDENES'!$AA1045=$F$3),IF($H$3="(todos)",TRUE,'ORDENES'!$Z1045=$H$3),'ORDENES'!$AG1045=TRUE,'ORDENES'!$A1045&lt;&gt;""),1,0)</f>
        <v/>
      </c>
      <c r="L1049" s="24">
        <f>IF(K1049=1,IFERROR(MATCH('ORDENES'!$S1045,lista_dias,0),9)*1000000000+IFERROR(MATCH('ORDENES'!$AI1045,lista_turnos,0),9)*10000000+IFERROR(MATCH('ORDENES'!$AH1045,'TECNICOS'!$B$4:$B$19,0),99)*100000+1042,9000000000000+1042)</f>
        <v/>
      </c>
      <c r="M1049" s="24">
        <f>IF(K1049=1,SUMPRODUCT(--($L$8:$L$1207&lt;L1049))+1,"")</f>
        <v/>
      </c>
      <c r="N1049" s="25">
        <f>IF(K1049=1,N('ORDENES'!$M1045),0)</f>
        <v/>
      </c>
      <c r="O1049" s="25">
        <f>IF('ORDENES'!$U1045="preventiva",N1049,0)</f>
        <v/>
      </c>
      <c r="P1049" s="25">
        <f>IF('ORDENES'!$U1045="correctiva",N1049,0)</f>
        <v/>
      </c>
      <c r="Q1049" s="24">
        <f>IF(AND(K1049=1,'ORDENES'!$N1045="Pendiente"),1,0)</f>
        <v/>
      </c>
      <c r="R1049" s="24">
        <f>IF(Q1049=1,100000-N1049*1000+1042*0.01,9000000000000+1042)</f>
        <v/>
      </c>
      <c r="S1049" s="24">
        <f>IF(Q1049=1,SUMPRODUCT(--($R$8:$R$1207&lt;R1049))+1,"")</f>
        <v/>
      </c>
      <c r="T1049" s="30">
        <f>IF(K1049=1,'ORDENES'!$J1045,"")</f>
        <v/>
      </c>
    </row>
    <row r="1050">
      <c r="K1050" s="24">
        <f>IF(AND(IF($B$3="(todos)",TRUE,'ORDENES'!$O1046=$B$3),IF($D$3="(todos)",TRUE,'ORDENES'!$AI1046=$D$3),IF($F$3="(todos)",TRUE,'ORDENES'!$AA1046=$F$3),IF($H$3="(todos)",TRUE,'ORDENES'!$Z1046=$H$3),'ORDENES'!$AG1046=TRUE,'ORDENES'!$A1046&lt;&gt;""),1,0)</f>
        <v/>
      </c>
      <c r="L1050" s="24">
        <f>IF(K1050=1,IFERROR(MATCH('ORDENES'!$S1046,lista_dias,0),9)*1000000000+IFERROR(MATCH('ORDENES'!$AI1046,lista_turnos,0),9)*10000000+IFERROR(MATCH('ORDENES'!$AH1046,'TECNICOS'!$B$4:$B$19,0),99)*100000+1043,9000000000000+1043)</f>
        <v/>
      </c>
      <c r="M1050" s="24">
        <f>IF(K1050=1,SUMPRODUCT(--($L$8:$L$1207&lt;L1050))+1,"")</f>
        <v/>
      </c>
      <c r="N1050" s="25">
        <f>IF(K1050=1,N('ORDENES'!$M1046),0)</f>
        <v/>
      </c>
      <c r="O1050" s="25">
        <f>IF('ORDENES'!$U1046="preventiva",N1050,0)</f>
        <v/>
      </c>
      <c r="P1050" s="25">
        <f>IF('ORDENES'!$U1046="correctiva",N1050,0)</f>
        <v/>
      </c>
      <c r="Q1050" s="24">
        <f>IF(AND(K1050=1,'ORDENES'!$N1046="Pendiente"),1,0)</f>
        <v/>
      </c>
      <c r="R1050" s="24">
        <f>IF(Q1050=1,100000-N1050*1000+1043*0.01,9000000000000+1043)</f>
        <v/>
      </c>
      <c r="S1050" s="24">
        <f>IF(Q1050=1,SUMPRODUCT(--($R$8:$R$1207&lt;R1050))+1,"")</f>
        <v/>
      </c>
      <c r="T1050" s="30">
        <f>IF(K1050=1,'ORDENES'!$J1046,"")</f>
        <v/>
      </c>
    </row>
    <row r="1051">
      <c r="K1051" s="24">
        <f>IF(AND(IF($B$3="(todos)",TRUE,'ORDENES'!$O1047=$B$3),IF($D$3="(todos)",TRUE,'ORDENES'!$AI1047=$D$3),IF($F$3="(todos)",TRUE,'ORDENES'!$AA1047=$F$3),IF($H$3="(todos)",TRUE,'ORDENES'!$Z1047=$H$3),'ORDENES'!$AG1047=TRUE,'ORDENES'!$A1047&lt;&gt;""),1,0)</f>
        <v/>
      </c>
      <c r="L1051" s="24">
        <f>IF(K1051=1,IFERROR(MATCH('ORDENES'!$S1047,lista_dias,0),9)*1000000000+IFERROR(MATCH('ORDENES'!$AI1047,lista_turnos,0),9)*10000000+IFERROR(MATCH('ORDENES'!$AH1047,'TECNICOS'!$B$4:$B$19,0),99)*100000+1044,9000000000000+1044)</f>
        <v/>
      </c>
      <c r="M1051" s="24">
        <f>IF(K1051=1,SUMPRODUCT(--($L$8:$L$1207&lt;L1051))+1,"")</f>
        <v/>
      </c>
      <c r="N1051" s="25">
        <f>IF(K1051=1,N('ORDENES'!$M1047),0)</f>
        <v/>
      </c>
      <c r="O1051" s="25">
        <f>IF('ORDENES'!$U1047="preventiva",N1051,0)</f>
        <v/>
      </c>
      <c r="P1051" s="25">
        <f>IF('ORDENES'!$U1047="correctiva",N1051,0)</f>
        <v/>
      </c>
      <c r="Q1051" s="24">
        <f>IF(AND(K1051=1,'ORDENES'!$N1047="Pendiente"),1,0)</f>
        <v/>
      </c>
      <c r="R1051" s="24">
        <f>IF(Q1051=1,100000-N1051*1000+1044*0.01,9000000000000+1044)</f>
        <v/>
      </c>
      <c r="S1051" s="24">
        <f>IF(Q1051=1,SUMPRODUCT(--($R$8:$R$1207&lt;R1051))+1,"")</f>
        <v/>
      </c>
      <c r="T1051" s="30">
        <f>IF(K1051=1,'ORDENES'!$J1047,"")</f>
        <v/>
      </c>
    </row>
    <row r="1052">
      <c r="K1052" s="24">
        <f>IF(AND(IF($B$3="(todos)",TRUE,'ORDENES'!$O1048=$B$3),IF($D$3="(todos)",TRUE,'ORDENES'!$AI1048=$D$3),IF($F$3="(todos)",TRUE,'ORDENES'!$AA1048=$F$3),IF($H$3="(todos)",TRUE,'ORDENES'!$Z1048=$H$3),'ORDENES'!$AG1048=TRUE,'ORDENES'!$A1048&lt;&gt;""),1,0)</f>
        <v/>
      </c>
      <c r="L1052" s="24">
        <f>IF(K1052=1,IFERROR(MATCH('ORDENES'!$S1048,lista_dias,0),9)*1000000000+IFERROR(MATCH('ORDENES'!$AI1048,lista_turnos,0),9)*10000000+IFERROR(MATCH('ORDENES'!$AH1048,'TECNICOS'!$B$4:$B$19,0),99)*100000+1045,9000000000000+1045)</f>
        <v/>
      </c>
      <c r="M1052" s="24">
        <f>IF(K1052=1,SUMPRODUCT(--($L$8:$L$1207&lt;L1052))+1,"")</f>
        <v/>
      </c>
      <c r="N1052" s="25">
        <f>IF(K1052=1,N('ORDENES'!$M1048),0)</f>
        <v/>
      </c>
      <c r="O1052" s="25">
        <f>IF('ORDENES'!$U1048="preventiva",N1052,0)</f>
        <v/>
      </c>
      <c r="P1052" s="25">
        <f>IF('ORDENES'!$U1048="correctiva",N1052,0)</f>
        <v/>
      </c>
      <c r="Q1052" s="24">
        <f>IF(AND(K1052=1,'ORDENES'!$N1048="Pendiente"),1,0)</f>
        <v/>
      </c>
      <c r="R1052" s="24">
        <f>IF(Q1052=1,100000-N1052*1000+1045*0.01,9000000000000+1045)</f>
        <v/>
      </c>
      <c r="S1052" s="24">
        <f>IF(Q1052=1,SUMPRODUCT(--($R$8:$R$1207&lt;R1052))+1,"")</f>
        <v/>
      </c>
      <c r="T1052" s="30">
        <f>IF(K1052=1,'ORDENES'!$J1048,"")</f>
        <v/>
      </c>
    </row>
    <row r="1053">
      <c r="K1053" s="24">
        <f>IF(AND(IF($B$3="(todos)",TRUE,'ORDENES'!$O1049=$B$3),IF($D$3="(todos)",TRUE,'ORDENES'!$AI1049=$D$3),IF($F$3="(todos)",TRUE,'ORDENES'!$AA1049=$F$3),IF($H$3="(todos)",TRUE,'ORDENES'!$Z1049=$H$3),'ORDENES'!$AG1049=TRUE,'ORDENES'!$A1049&lt;&gt;""),1,0)</f>
        <v/>
      </c>
      <c r="L1053" s="24">
        <f>IF(K1053=1,IFERROR(MATCH('ORDENES'!$S1049,lista_dias,0),9)*1000000000+IFERROR(MATCH('ORDENES'!$AI1049,lista_turnos,0),9)*10000000+IFERROR(MATCH('ORDENES'!$AH1049,'TECNICOS'!$B$4:$B$19,0),99)*100000+1046,9000000000000+1046)</f>
        <v/>
      </c>
      <c r="M1053" s="24">
        <f>IF(K1053=1,SUMPRODUCT(--($L$8:$L$1207&lt;L1053))+1,"")</f>
        <v/>
      </c>
      <c r="N1053" s="25">
        <f>IF(K1053=1,N('ORDENES'!$M1049),0)</f>
        <v/>
      </c>
      <c r="O1053" s="25">
        <f>IF('ORDENES'!$U1049="preventiva",N1053,0)</f>
        <v/>
      </c>
      <c r="P1053" s="25">
        <f>IF('ORDENES'!$U1049="correctiva",N1053,0)</f>
        <v/>
      </c>
      <c r="Q1053" s="24">
        <f>IF(AND(K1053=1,'ORDENES'!$N1049="Pendiente"),1,0)</f>
        <v/>
      </c>
      <c r="R1053" s="24">
        <f>IF(Q1053=1,100000-N1053*1000+1046*0.01,9000000000000+1046)</f>
        <v/>
      </c>
      <c r="S1053" s="24">
        <f>IF(Q1053=1,SUMPRODUCT(--($R$8:$R$1207&lt;R1053))+1,"")</f>
        <v/>
      </c>
      <c r="T1053" s="30">
        <f>IF(K1053=1,'ORDENES'!$J1049,"")</f>
        <v/>
      </c>
    </row>
    <row r="1054">
      <c r="K1054" s="24">
        <f>IF(AND(IF($B$3="(todos)",TRUE,'ORDENES'!$O1050=$B$3),IF($D$3="(todos)",TRUE,'ORDENES'!$AI1050=$D$3),IF($F$3="(todos)",TRUE,'ORDENES'!$AA1050=$F$3),IF($H$3="(todos)",TRUE,'ORDENES'!$Z1050=$H$3),'ORDENES'!$AG1050=TRUE,'ORDENES'!$A1050&lt;&gt;""),1,0)</f>
        <v/>
      </c>
      <c r="L1054" s="24">
        <f>IF(K1054=1,IFERROR(MATCH('ORDENES'!$S1050,lista_dias,0),9)*1000000000+IFERROR(MATCH('ORDENES'!$AI1050,lista_turnos,0),9)*10000000+IFERROR(MATCH('ORDENES'!$AH1050,'TECNICOS'!$B$4:$B$19,0),99)*100000+1047,9000000000000+1047)</f>
        <v/>
      </c>
      <c r="M1054" s="24">
        <f>IF(K1054=1,SUMPRODUCT(--($L$8:$L$1207&lt;L1054))+1,"")</f>
        <v/>
      </c>
      <c r="N1054" s="25">
        <f>IF(K1054=1,N('ORDENES'!$M1050),0)</f>
        <v/>
      </c>
      <c r="O1054" s="25">
        <f>IF('ORDENES'!$U1050="preventiva",N1054,0)</f>
        <v/>
      </c>
      <c r="P1054" s="25">
        <f>IF('ORDENES'!$U1050="correctiva",N1054,0)</f>
        <v/>
      </c>
      <c r="Q1054" s="24">
        <f>IF(AND(K1054=1,'ORDENES'!$N1050="Pendiente"),1,0)</f>
        <v/>
      </c>
      <c r="R1054" s="24">
        <f>IF(Q1054=1,100000-N1054*1000+1047*0.01,9000000000000+1047)</f>
        <v/>
      </c>
      <c r="S1054" s="24">
        <f>IF(Q1054=1,SUMPRODUCT(--($R$8:$R$1207&lt;R1054))+1,"")</f>
        <v/>
      </c>
      <c r="T1054" s="30">
        <f>IF(K1054=1,'ORDENES'!$J1050,"")</f>
        <v/>
      </c>
    </row>
    <row r="1055">
      <c r="K1055" s="24">
        <f>IF(AND(IF($B$3="(todos)",TRUE,'ORDENES'!$O1051=$B$3),IF($D$3="(todos)",TRUE,'ORDENES'!$AI1051=$D$3),IF($F$3="(todos)",TRUE,'ORDENES'!$AA1051=$F$3),IF($H$3="(todos)",TRUE,'ORDENES'!$Z1051=$H$3),'ORDENES'!$AG1051=TRUE,'ORDENES'!$A1051&lt;&gt;""),1,0)</f>
        <v/>
      </c>
      <c r="L1055" s="24">
        <f>IF(K1055=1,IFERROR(MATCH('ORDENES'!$S1051,lista_dias,0),9)*1000000000+IFERROR(MATCH('ORDENES'!$AI1051,lista_turnos,0),9)*10000000+IFERROR(MATCH('ORDENES'!$AH1051,'TECNICOS'!$B$4:$B$19,0),99)*100000+1048,9000000000000+1048)</f>
        <v/>
      </c>
      <c r="M1055" s="24">
        <f>IF(K1055=1,SUMPRODUCT(--($L$8:$L$1207&lt;L1055))+1,"")</f>
        <v/>
      </c>
      <c r="N1055" s="25">
        <f>IF(K1055=1,N('ORDENES'!$M1051),0)</f>
        <v/>
      </c>
      <c r="O1055" s="25">
        <f>IF('ORDENES'!$U1051="preventiva",N1055,0)</f>
        <v/>
      </c>
      <c r="P1055" s="25">
        <f>IF('ORDENES'!$U1051="correctiva",N1055,0)</f>
        <v/>
      </c>
      <c r="Q1055" s="24">
        <f>IF(AND(K1055=1,'ORDENES'!$N1051="Pendiente"),1,0)</f>
        <v/>
      </c>
      <c r="R1055" s="24">
        <f>IF(Q1055=1,100000-N1055*1000+1048*0.01,9000000000000+1048)</f>
        <v/>
      </c>
      <c r="S1055" s="24">
        <f>IF(Q1055=1,SUMPRODUCT(--($R$8:$R$1207&lt;R1055))+1,"")</f>
        <v/>
      </c>
      <c r="T1055" s="30">
        <f>IF(K1055=1,'ORDENES'!$J1051,"")</f>
        <v/>
      </c>
    </row>
    <row r="1056">
      <c r="K1056" s="24">
        <f>IF(AND(IF($B$3="(todos)",TRUE,'ORDENES'!$O1052=$B$3),IF($D$3="(todos)",TRUE,'ORDENES'!$AI1052=$D$3),IF($F$3="(todos)",TRUE,'ORDENES'!$AA1052=$F$3),IF($H$3="(todos)",TRUE,'ORDENES'!$Z1052=$H$3),'ORDENES'!$AG1052=TRUE,'ORDENES'!$A1052&lt;&gt;""),1,0)</f>
        <v/>
      </c>
      <c r="L1056" s="24">
        <f>IF(K1056=1,IFERROR(MATCH('ORDENES'!$S1052,lista_dias,0),9)*1000000000+IFERROR(MATCH('ORDENES'!$AI1052,lista_turnos,0),9)*10000000+IFERROR(MATCH('ORDENES'!$AH1052,'TECNICOS'!$B$4:$B$19,0),99)*100000+1049,9000000000000+1049)</f>
        <v/>
      </c>
      <c r="M1056" s="24">
        <f>IF(K1056=1,SUMPRODUCT(--($L$8:$L$1207&lt;L1056))+1,"")</f>
        <v/>
      </c>
      <c r="N1056" s="25">
        <f>IF(K1056=1,N('ORDENES'!$M1052),0)</f>
        <v/>
      </c>
      <c r="O1056" s="25">
        <f>IF('ORDENES'!$U1052="preventiva",N1056,0)</f>
        <v/>
      </c>
      <c r="P1056" s="25">
        <f>IF('ORDENES'!$U1052="correctiva",N1056,0)</f>
        <v/>
      </c>
      <c r="Q1056" s="24">
        <f>IF(AND(K1056=1,'ORDENES'!$N1052="Pendiente"),1,0)</f>
        <v/>
      </c>
      <c r="R1056" s="24">
        <f>IF(Q1056=1,100000-N1056*1000+1049*0.01,9000000000000+1049)</f>
        <v/>
      </c>
      <c r="S1056" s="24">
        <f>IF(Q1056=1,SUMPRODUCT(--($R$8:$R$1207&lt;R1056))+1,"")</f>
        <v/>
      </c>
      <c r="T1056" s="30">
        <f>IF(K1056=1,'ORDENES'!$J1052,"")</f>
        <v/>
      </c>
    </row>
    <row r="1057">
      <c r="K1057" s="24">
        <f>IF(AND(IF($B$3="(todos)",TRUE,'ORDENES'!$O1053=$B$3),IF($D$3="(todos)",TRUE,'ORDENES'!$AI1053=$D$3),IF($F$3="(todos)",TRUE,'ORDENES'!$AA1053=$F$3),IF($H$3="(todos)",TRUE,'ORDENES'!$Z1053=$H$3),'ORDENES'!$AG1053=TRUE,'ORDENES'!$A1053&lt;&gt;""),1,0)</f>
        <v/>
      </c>
      <c r="L1057" s="24">
        <f>IF(K1057=1,IFERROR(MATCH('ORDENES'!$S1053,lista_dias,0),9)*1000000000+IFERROR(MATCH('ORDENES'!$AI1053,lista_turnos,0),9)*10000000+IFERROR(MATCH('ORDENES'!$AH1053,'TECNICOS'!$B$4:$B$19,0),99)*100000+1050,9000000000000+1050)</f>
        <v/>
      </c>
      <c r="M1057" s="24">
        <f>IF(K1057=1,SUMPRODUCT(--($L$8:$L$1207&lt;L1057))+1,"")</f>
        <v/>
      </c>
      <c r="N1057" s="25">
        <f>IF(K1057=1,N('ORDENES'!$M1053),0)</f>
        <v/>
      </c>
      <c r="O1057" s="25">
        <f>IF('ORDENES'!$U1053="preventiva",N1057,0)</f>
        <v/>
      </c>
      <c r="P1057" s="25">
        <f>IF('ORDENES'!$U1053="correctiva",N1057,0)</f>
        <v/>
      </c>
      <c r="Q1057" s="24">
        <f>IF(AND(K1057=1,'ORDENES'!$N1053="Pendiente"),1,0)</f>
        <v/>
      </c>
      <c r="R1057" s="24">
        <f>IF(Q1057=1,100000-N1057*1000+1050*0.01,9000000000000+1050)</f>
        <v/>
      </c>
      <c r="S1057" s="24">
        <f>IF(Q1057=1,SUMPRODUCT(--($R$8:$R$1207&lt;R1057))+1,"")</f>
        <v/>
      </c>
      <c r="T1057" s="30">
        <f>IF(K1057=1,'ORDENES'!$J1053,"")</f>
        <v/>
      </c>
    </row>
    <row r="1058">
      <c r="K1058" s="24">
        <f>IF(AND(IF($B$3="(todos)",TRUE,'ORDENES'!$O1054=$B$3),IF($D$3="(todos)",TRUE,'ORDENES'!$AI1054=$D$3),IF($F$3="(todos)",TRUE,'ORDENES'!$AA1054=$F$3),IF($H$3="(todos)",TRUE,'ORDENES'!$Z1054=$H$3),'ORDENES'!$AG1054=TRUE,'ORDENES'!$A1054&lt;&gt;""),1,0)</f>
        <v/>
      </c>
      <c r="L1058" s="24">
        <f>IF(K1058=1,IFERROR(MATCH('ORDENES'!$S1054,lista_dias,0),9)*1000000000+IFERROR(MATCH('ORDENES'!$AI1054,lista_turnos,0),9)*10000000+IFERROR(MATCH('ORDENES'!$AH1054,'TECNICOS'!$B$4:$B$19,0),99)*100000+1051,9000000000000+1051)</f>
        <v/>
      </c>
      <c r="M1058" s="24">
        <f>IF(K1058=1,SUMPRODUCT(--($L$8:$L$1207&lt;L1058))+1,"")</f>
        <v/>
      </c>
      <c r="N1058" s="25">
        <f>IF(K1058=1,N('ORDENES'!$M1054),0)</f>
        <v/>
      </c>
      <c r="O1058" s="25">
        <f>IF('ORDENES'!$U1054="preventiva",N1058,0)</f>
        <v/>
      </c>
      <c r="P1058" s="25">
        <f>IF('ORDENES'!$U1054="correctiva",N1058,0)</f>
        <v/>
      </c>
      <c r="Q1058" s="24">
        <f>IF(AND(K1058=1,'ORDENES'!$N1054="Pendiente"),1,0)</f>
        <v/>
      </c>
      <c r="R1058" s="24">
        <f>IF(Q1058=1,100000-N1058*1000+1051*0.01,9000000000000+1051)</f>
        <v/>
      </c>
      <c r="S1058" s="24">
        <f>IF(Q1058=1,SUMPRODUCT(--($R$8:$R$1207&lt;R1058))+1,"")</f>
        <v/>
      </c>
      <c r="T1058" s="30">
        <f>IF(K1058=1,'ORDENES'!$J1054,"")</f>
        <v/>
      </c>
    </row>
    <row r="1059">
      <c r="K1059" s="24">
        <f>IF(AND(IF($B$3="(todos)",TRUE,'ORDENES'!$O1055=$B$3),IF($D$3="(todos)",TRUE,'ORDENES'!$AI1055=$D$3),IF($F$3="(todos)",TRUE,'ORDENES'!$AA1055=$F$3),IF($H$3="(todos)",TRUE,'ORDENES'!$Z1055=$H$3),'ORDENES'!$AG1055=TRUE,'ORDENES'!$A1055&lt;&gt;""),1,0)</f>
        <v/>
      </c>
      <c r="L1059" s="24">
        <f>IF(K1059=1,IFERROR(MATCH('ORDENES'!$S1055,lista_dias,0),9)*1000000000+IFERROR(MATCH('ORDENES'!$AI1055,lista_turnos,0),9)*10000000+IFERROR(MATCH('ORDENES'!$AH1055,'TECNICOS'!$B$4:$B$19,0),99)*100000+1052,9000000000000+1052)</f>
        <v/>
      </c>
      <c r="M1059" s="24">
        <f>IF(K1059=1,SUMPRODUCT(--($L$8:$L$1207&lt;L1059))+1,"")</f>
        <v/>
      </c>
      <c r="N1059" s="25">
        <f>IF(K1059=1,N('ORDENES'!$M1055),0)</f>
        <v/>
      </c>
      <c r="O1059" s="25">
        <f>IF('ORDENES'!$U1055="preventiva",N1059,0)</f>
        <v/>
      </c>
      <c r="P1059" s="25">
        <f>IF('ORDENES'!$U1055="correctiva",N1059,0)</f>
        <v/>
      </c>
      <c r="Q1059" s="24">
        <f>IF(AND(K1059=1,'ORDENES'!$N1055="Pendiente"),1,0)</f>
        <v/>
      </c>
      <c r="R1059" s="24">
        <f>IF(Q1059=1,100000-N1059*1000+1052*0.01,9000000000000+1052)</f>
        <v/>
      </c>
      <c r="S1059" s="24">
        <f>IF(Q1059=1,SUMPRODUCT(--($R$8:$R$1207&lt;R1059))+1,"")</f>
        <v/>
      </c>
      <c r="T1059" s="30">
        <f>IF(K1059=1,'ORDENES'!$J1055,"")</f>
        <v/>
      </c>
    </row>
    <row r="1060">
      <c r="K1060" s="24">
        <f>IF(AND(IF($B$3="(todos)",TRUE,'ORDENES'!$O1056=$B$3),IF($D$3="(todos)",TRUE,'ORDENES'!$AI1056=$D$3),IF($F$3="(todos)",TRUE,'ORDENES'!$AA1056=$F$3),IF($H$3="(todos)",TRUE,'ORDENES'!$Z1056=$H$3),'ORDENES'!$AG1056=TRUE,'ORDENES'!$A1056&lt;&gt;""),1,0)</f>
        <v/>
      </c>
      <c r="L1060" s="24">
        <f>IF(K1060=1,IFERROR(MATCH('ORDENES'!$S1056,lista_dias,0),9)*1000000000+IFERROR(MATCH('ORDENES'!$AI1056,lista_turnos,0),9)*10000000+IFERROR(MATCH('ORDENES'!$AH1056,'TECNICOS'!$B$4:$B$19,0),99)*100000+1053,9000000000000+1053)</f>
        <v/>
      </c>
      <c r="M1060" s="24">
        <f>IF(K1060=1,SUMPRODUCT(--($L$8:$L$1207&lt;L1060))+1,"")</f>
        <v/>
      </c>
      <c r="N1060" s="25">
        <f>IF(K1060=1,N('ORDENES'!$M1056),0)</f>
        <v/>
      </c>
      <c r="O1060" s="25">
        <f>IF('ORDENES'!$U1056="preventiva",N1060,0)</f>
        <v/>
      </c>
      <c r="P1060" s="25">
        <f>IF('ORDENES'!$U1056="correctiva",N1060,0)</f>
        <v/>
      </c>
      <c r="Q1060" s="24">
        <f>IF(AND(K1060=1,'ORDENES'!$N1056="Pendiente"),1,0)</f>
        <v/>
      </c>
      <c r="R1060" s="24">
        <f>IF(Q1060=1,100000-N1060*1000+1053*0.01,9000000000000+1053)</f>
        <v/>
      </c>
      <c r="S1060" s="24">
        <f>IF(Q1060=1,SUMPRODUCT(--($R$8:$R$1207&lt;R1060))+1,"")</f>
        <v/>
      </c>
      <c r="T1060" s="30">
        <f>IF(K1060=1,'ORDENES'!$J1056,"")</f>
        <v/>
      </c>
    </row>
    <row r="1061">
      <c r="K1061" s="24">
        <f>IF(AND(IF($B$3="(todos)",TRUE,'ORDENES'!$O1057=$B$3),IF($D$3="(todos)",TRUE,'ORDENES'!$AI1057=$D$3),IF($F$3="(todos)",TRUE,'ORDENES'!$AA1057=$F$3),IF($H$3="(todos)",TRUE,'ORDENES'!$Z1057=$H$3),'ORDENES'!$AG1057=TRUE,'ORDENES'!$A1057&lt;&gt;""),1,0)</f>
        <v/>
      </c>
      <c r="L1061" s="24">
        <f>IF(K1061=1,IFERROR(MATCH('ORDENES'!$S1057,lista_dias,0),9)*1000000000+IFERROR(MATCH('ORDENES'!$AI1057,lista_turnos,0),9)*10000000+IFERROR(MATCH('ORDENES'!$AH1057,'TECNICOS'!$B$4:$B$19,0),99)*100000+1054,9000000000000+1054)</f>
        <v/>
      </c>
      <c r="M1061" s="24">
        <f>IF(K1061=1,SUMPRODUCT(--($L$8:$L$1207&lt;L1061))+1,"")</f>
        <v/>
      </c>
      <c r="N1061" s="25">
        <f>IF(K1061=1,N('ORDENES'!$M1057),0)</f>
        <v/>
      </c>
      <c r="O1061" s="25">
        <f>IF('ORDENES'!$U1057="preventiva",N1061,0)</f>
        <v/>
      </c>
      <c r="P1061" s="25">
        <f>IF('ORDENES'!$U1057="correctiva",N1061,0)</f>
        <v/>
      </c>
      <c r="Q1061" s="24">
        <f>IF(AND(K1061=1,'ORDENES'!$N1057="Pendiente"),1,0)</f>
        <v/>
      </c>
      <c r="R1061" s="24">
        <f>IF(Q1061=1,100000-N1061*1000+1054*0.01,9000000000000+1054)</f>
        <v/>
      </c>
      <c r="S1061" s="24">
        <f>IF(Q1061=1,SUMPRODUCT(--($R$8:$R$1207&lt;R1061))+1,"")</f>
        <v/>
      </c>
      <c r="T1061" s="30">
        <f>IF(K1061=1,'ORDENES'!$J1057,"")</f>
        <v/>
      </c>
    </row>
    <row r="1062">
      <c r="K1062" s="24">
        <f>IF(AND(IF($B$3="(todos)",TRUE,'ORDENES'!$O1058=$B$3),IF($D$3="(todos)",TRUE,'ORDENES'!$AI1058=$D$3),IF($F$3="(todos)",TRUE,'ORDENES'!$AA1058=$F$3),IF($H$3="(todos)",TRUE,'ORDENES'!$Z1058=$H$3),'ORDENES'!$AG1058=TRUE,'ORDENES'!$A1058&lt;&gt;""),1,0)</f>
        <v/>
      </c>
      <c r="L1062" s="24">
        <f>IF(K1062=1,IFERROR(MATCH('ORDENES'!$S1058,lista_dias,0),9)*1000000000+IFERROR(MATCH('ORDENES'!$AI1058,lista_turnos,0),9)*10000000+IFERROR(MATCH('ORDENES'!$AH1058,'TECNICOS'!$B$4:$B$19,0),99)*100000+1055,9000000000000+1055)</f>
        <v/>
      </c>
      <c r="M1062" s="24">
        <f>IF(K1062=1,SUMPRODUCT(--($L$8:$L$1207&lt;L1062))+1,"")</f>
        <v/>
      </c>
      <c r="N1062" s="25">
        <f>IF(K1062=1,N('ORDENES'!$M1058),0)</f>
        <v/>
      </c>
      <c r="O1062" s="25">
        <f>IF('ORDENES'!$U1058="preventiva",N1062,0)</f>
        <v/>
      </c>
      <c r="P1062" s="25">
        <f>IF('ORDENES'!$U1058="correctiva",N1062,0)</f>
        <v/>
      </c>
      <c r="Q1062" s="24">
        <f>IF(AND(K1062=1,'ORDENES'!$N1058="Pendiente"),1,0)</f>
        <v/>
      </c>
      <c r="R1062" s="24">
        <f>IF(Q1062=1,100000-N1062*1000+1055*0.01,9000000000000+1055)</f>
        <v/>
      </c>
      <c r="S1062" s="24">
        <f>IF(Q1062=1,SUMPRODUCT(--($R$8:$R$1207&lt;R1062))+1,"")</f>
        <v/>
      </c>
      <c r="T1062" s="30">
        <f>IF(K1062=1,'ORDENES'!$J1058,"")</f>
        <v/>
      </c>
    </row>
    <row r="1063">
      <c r="K1063" s="24">
        <f>IF(AND(IF($B$3="(todos)",TRUE,'ORDENES'!$O1059=$B$3),IF($D$3="(todos)",TRUE,'ORDENES'!$AI1059=$D$3),IF($F$3="(todos)",TRUE,'ORDENES'!$AA1059=$F$3),IF($H$3="(todos)",TRUE,'ORDENES'!$Z1059=$H$3),'ORDENES'!$AG1059=TRUE,'ORDENES'!$A1059&lt;&gt;""),1,0)</f>
        <v/>
      </c>
      <c r="L1063" s="24">
        <f>IF(K1063=1,IFERROR(MATCH('ORDENES'!$S1059,lista_dias,0),9)*1000000000+IFERROR(MATCH('ORDENES'!$AI1059,lista_turnos,0),9)*10000000+IFERROR(MATCH('ORDENES'!$AH1059,'TECNICOS'!$B$4:$B$19,0),99)*100000+1056,9000000000000+1056)</f>
        <v/>
      </c>
      <c r="M1063" s="24">
        <f>IF(K1063=1,SUMPRODUCT(--($L$8:$L$1207&lt;L1063))+1,"")</f>
        <v/>
      </c>
      <c r="N1063" s="25">
        <f>IF(K1063=1,N('ORDENES'!$M1059),0)</f>
        <v/>
      </c>
      <c r="O1063" s="25">
        <f>IF('ORDENES'!$U1059="preventiva",N1063,0)</f>
        <v/>
      </c>
      <c r="P1063" s="25">
        <f>IF('ORDENES'!$U1059="correctiva",N1063,0)</f>
        <v/>
      </c>
      <c r="Q1063" s="24">
        <f>IF(AND(K1063=1,'ORDENES'!$N1059="Pendiente"),1,0)</f>
        <v/>
      </c>
      <c r="R1063" s="24">
        <f>IF(Q1063=1,100000-N1063*1000+1056*0.01,9000000000000+1056)</f>
        <v/>
      </c>
      <c r="S1063" s="24">
        <f>IF(Q1063=1,SUMPRODUCT(--($R$8:$R$1207&lt;R1063))+1,"")</f>
        <v/>
      </c>
      <c r="T1063" s="30">
        <f>IF(K1063=1,'ORDENES'!$J1059,"")</f>
        <v/>
      </c>
    </row>
    <row r="1064">
      <c r="K1064" s="24">
        <f>IF(AND(IF($B$3="(todos)",TRUE,'ORDENES'!$O1060=$B$3),IF($D$3="(todos)",TRUE,'ORDENES'!$AI1060=$D$3),IF($F$3="(todos)",TRUE,'ORDENES'!$AA1060=$F$3),IF($H$3="(todos)",TRUE,'ORDENES'!$Z1060=$H$3),'ORDENES'!$AG1060=TRUE,'ORDENES'!$A1060&lt;&gt;""),1,0)</f>
        <v/>
      </c>
      <c r="L1064" s="24">
        <f>IF(K1064=1,IFERROR(MATCH('ORDENES'!$S1060,lista_dias,0),9)*1000000000+IFERROR(MATCH('ORDENES'!$AI1060,lista_turnos,0),9)*10000000+IFERROR(MATCH('ORDENES'!$AH1060,'TECNICOS'!$B$4:$B$19,0),99)*100000+1057,9000000000000+1057)</f>
        <v/>
      </c>
      <c r="M1064" s="24">
        <f>IF(K1064=1,SUMPRODUCT(--($L$8:$L$1207&lt;L1064))+1,"")</f>
        <v/>
      </c>
      <c r="N1064" s="25">
        <f>IF(K1064=1,N('ORDENES'!$M1060),0)</f>
        <v/>
      </c>
      <c r="O1064" s="25">
        <f>IF('ORDENES'!$U1060="preventiva",N1064,0)</f>
        <v/>
      </c>
      <c r="P1064" s="25">
        <f>IF('ORDENES'!$U1060="correctiva",N1064,0)</f>
        <v/>
      </c>
      <c r="Q1064" s="24">
        <f>IF(AND(K1064=1,'ORDENES'!$N1060="Pendiente"),1,0)</f>
        <v/>
      </c>
      <c r="R1064" s="24">
        <f>IF(Q1064=1,100000-N1064*1000+1057*0.01,9000000000000+1057)</f>
        <v/>
      </c>
      <c r="S1064" s="24">
        <f>IF(Q1064=1,SUMPRODUCT(--($R$8:$R$1207&lt;R1064))+1,"")</f>
        <v/>
      </c>
      <c r="T1064" s="30">
        <f>IF(K1064=1,'ORDENES'!$J1060,"")</f>
        <v/>
      </c>
    </row>
    <row r="1065">
      <c r="K1065" s="24">
        <f>IF(AND(IF($B$3="(todos)",TRUE,'ORDENES'!$O1061=$B$3),IF($D$3="(todos)",TRUE,'ORDENES'!$AI1061=$D$3),IF($F$3="(todos)",TRUE,'ORDENES'!$AA1061=$F$3),IF($H$3="(todos)",TRUE,'ORDENES'!$Z1061=$H$3),'ORDENES'!$AG1061=TRUE,'ORDENES'!$A1061&lt;&gt;""),1,0)</f>
        <v/>
      </c>
      <c r="L1065" s="24">
        <f>IF(K1065=1,IFERROR(MATCH('ORDENES'!$S1061,lista_dias,0),9)*1000000000+IFERROR(MATCH('ORDENES'!$AI1061,lista_turnos,0),9)*10000000+IFERROR(MATCH('ORDENES'!$AH1061,'TECNICOS'!$B$4:$B$19,0),99)*100000+1058,9000000000000+1058)</f>
        <v/>
      </c>
      <c r="M1065" s="24">
        <f>IF(K1065=1,SUMPRODUCT(--($L$8:$L$1207&lt;L1065))+1,"")</f>
        <v/>
      </c>
      <c r="N1065" s="25">
        <f>IF(K1065=1,N('ORDENES'!$M1061),0)</f>
        <v/>
      </c>
      <c r="O1065" s="25">
        <f>IF('ORDENES'!$U1061="preventiva",N1065,0)</f>
        <v/>
      </c>
      <c r="P1065" s="25">
        <f>IF('ORDENES'!$U1061="correctiva",N1065,0)</f>
        <v/>
      </c>
      <c r="Q1065" s="24">
        <f>IF(AND(K1065=1,'ORDENES'!$N1061="Pendiente"),1,0)</f>
        <v/>
      </c>
      <c r="R1065" s="24">
        <f>IF(Q1065=1,100000-N1065*1000+1058*0.01,9000000000000+1058)</f>
        <v/>
      </c>
      <c r="S1065" s="24">
        <f>IF(Q1065=1,SUMPRODUCT(--($R$8:$R$1207&lt;R1065))+1,"")</f>
        <v/>
      </c>
      <c r="T1065" s="30">
        <f>IF(K1065=1,'ORDENES'!$J1061,"")</f>
        <v/>
      </c>
    </row>
    <row r="1066">
      <c r="K1066" s="24">
        <f>IF(AND(IF($B$3="(todos)",TRUE,'ORDENES'!$O1062=$B$3),IF($D$3="(todos)",TRUE,'ORDENES'!$AI1062=$D$3),IF($F$3="(todos)",TRUE,'ORDENES'!$AA1062=$F$3),IF($H$3="(todos)",TRUE,'ORDENES'!$Z1062=$H$3),'ORDENES'!$AG1062=TRUE,'ORDENES'!$A1062&lt;&gt;""),1,0)</f>
        <v/>
      </c>
      <c r="L1066" s="24">
        <f>IF(K1066=1,IFERROR(MATCH('ORDENES'!$S1062,lista_dias,0),9)*1000000000+IFERROR(MATCH('ORDENES'!$AI1062,lista_turnos,0),9)*10000000+IFERROR(MATCH('ORDENES'!$AH1062,'TECNICOS'!$B$4:$B$19,0),99)*100000+1059,9000000000000+1059)</f>
        <v/>
      </c>
      <c r="M1066" s="24">
        <f>IF(K1066=1,SUMPRODUCT(--($L$8:$L$1207&lt;L1066))+1,"")</f>
        <v/>
      </c>
      <c r="N1066" s="25">
        <f>IF(K1066=1,N('ORDENES'!$M1062),0)</f>
        <v/>
      </c>
      <c r="O1066" s="25">
        <f>IF('ORDENES'!$U1062="preventiva",N1066,0)</f>
        <v/>
      </c>
      <c r="P1066" s="25">
        <f>IF('ORDENES'!$U1062="correctiva",N1066,0)</f>
        <v/>
      </c>
      <c r="Q1066" s="24">
        <f>IF(AND(K1066=1,'ORDENES'!$N1062="Pendiente"),1,0)</f>
        <v/>
      </c>
      <c r="R1066" s="24">
        <f>IF(Q1066=1,100000-N1066*1000+1059*0.01,9000000000000+1059)</f>
        <v/>
      </c>
      <c r="S1066" s="24">
        <f>IF(Q1066=1,SUMPRODUCT(--($R$8:$R$1207&lt;R1066))+1,"")</f>
        <v/>
      </c>
      <c r="T1066" s="30">
        <f>IF(K1066=1,'ORDENES'!$J1062,"")</f>
        <v/>
      </c>
    </row>
    <row r="1067">
      <c r="K1067" s="24">
        <f>IF(AND(IF($B$3="(todos)",TRUE,'ORDENES'!$O1063=$B$3),IF($D$3="(todos)",TRUE,'ORDENES'!$AI1063=$D$3),IF($F$3="(todos)",TRUE,'ORDENES'!$AA1063=$F$3),IF($H$3="(todos)",TRUE,'ORDENES'!$Z1063=$H$3),'ORDENES'!$AG1063=TRUE,'ORDENES'!$A1063&lt;&gt;""),1,0)</f>
        <v/>
      </c>
      <c r="L1067" s="24">
        <f>IF(K1067=1,IFERROR(MATCH('ORDENES'!$S1063,lista_dias,0),9)*1000000000+IFERROR(MATCH('ORDENES'!$AI1063,lista_turnos,0),9)*10000000+IFERROR(MATCH('ORDENES'!$AH1063,'TECNICOS'!$B$4:$B$19,0),99)*100000+1060,9000000000000+1060)</f>
        <v/>
      </c>
      <c r="M1067" s="24">
        <f>IF(K1067=1,SUMPRODUCT(--($L$8:$L$1207&lt;L1067))+1,"")</f>
        <v/>
      </c>
      <c r="N1067" s="25">
        <f>IF(K1067=1,N('ORDENES'!$M1063),0)</f>
        <v/>
      </c>
      <c r="O1067" s="25">
        <f>IF('ORDENES'!$U1063="preventiva",N1067,0)</f>
        <v/>
      </c>
      <c r="P1067" s="25">
        <f>IF('ORDENES'!$U1063="correctiva",N1067,0)</f>
        <v/>
      </c>
      <c r="Q1067" s="24">
        <f>IF(AND(K1067=1,'ORDENES'!$N1063="Pendiente"),1,0)</f>
        <v/>
      </c>
      <c r="R1067" s="24">
        <f>IF(Q1067=1,100000-N1067*1000+1060*0.01,9000000000000+1060)</f>
        <v/>
      </c>
      <c r="S1067" s="24">
        <f>IF(Q1067=1,SUMPRODUCT(--($R$8:$R$1207&lt;R1067))+1,"")</f>
        <v/>
      </c>
      <c r="T1067" s="30">
        <f>IF(K1067=1,'ORDENES'!$J1063,"")</f>
        <v/>
      </c>
    </row>
    <row r="1068">
      <c r="K1068" s="24">
        <f>IF(AND(IF($B$3="(todos)",TRUE,'ORDENES'!$O1064=$B$3),IF($D$3="(todos)",TRUE,'ORDENES'!$AI1064=$D$3),IF($F$3="(todos)",TRUE,'ORDENES'!$AA1064=$F$3),IF($H$3="(todos)",TRUE,'ORDENES'!$Z1064=$H$3),'ORDENES'!$AG1064=TRUE,'ORDENES'!$A1064&lt;&gt;""),1,0)</f>
        <v/>
      </c>
      <c r="L1068" s="24">
        <f>IF(K1068=1,IFERROR(MATCH('ORDENES'!$S1064,lista_dias,0),9)*1000000000+IFERROR(MATCH('ORDENES'!$AI1064,lista_turnos,0),9)*10000000+IFERROR(MATCH('ORDENES'!$AH1064,'TECNICOS'!$B$4:$B$19,0),99)*100000+1061,9000000000000+1061)</f>
        <v/>
      </c>
      <c r="M1068" s="24">
        <f>IF(K1068=1,SUMPRODUCT(--($L$8:$L$1207&lt;L1068))+1,"")</f>
        <v/>
      </c>
      <c r="N1068" s="25">
        <f>IF(K1068=1,N('ORDENES'!$M1064),0)</f>
        <v/>
      </c>
      <c r="O1068" s="25">
        <f>IF('ORDENES'!$U1064="preventiva",N1068,0)</f>
        <v/>
      </c>
      <c r="P1068" s="25">
        <f>IF('ORDENES'!$U1064="correctiva",N1068,0)</f>
        <v/>
      </c>
      <c r="Q1068" s="24">
        <f>IF(AND(K1068=1,'ORDENES'!$N1064="Pendiente"),1,0)</f>
        <v/>
      </c>
      <c r="R1068" s="24">
        <f>IF(Q1068=1,100000-N1068*1000+1061*0.01,9000000000000+1061)</f>
        <v/>
      </c>
      <c r="S1068" s="24">
        <f>IF(Q1068=1,SUMPRODUCT(--($R$8:$R$1207&lt;R1068))+1,"")</f>
        <v/>
      </c>
      <c r="T1068" s="30">
        <f>IF(K1068=1,'ORDENES'!$J1064,"")</f>
        <v/>
      </c>
    </row>
    <row r="1069">
      <c r="K1069" s="24">
        <f>IF(AND(IF($B$3="(todos)",TRUE,'ORDENES'!$O1065=$B$3),IF($D$3="(todos)",TRUE,'ORDENES'!$AI1065=$D$3),IF($F$3="(todos)",TRUE,'ORDENES'!$AA1065=$F$3),IF($H$3="(todos)",TRUE,'ORDENES'!$Z1065=$H$3),'ORDENES'!$AG1065=TRUE,'ORDENES'!$A1065&lt;&gt;""),1,0)</f>
        <v/>
      </c>
      <c r="L1069" s="24">
        <f>IF(K1069=1,IFERROR(MATCH('ORDENES'!$S1065,lista_dias,0),9)*1000000000+IFERROR(MATCH('ORDENES'!$AI1065,lista_turnos,0),9)*10000000+IFERROR(MATCH('ORDENES'!$AH1065,'TECNICOS'!$B$4:$B$19,0),99)*100000+1062,9000000000000+1062)</f>
        <v/>
      </c>
      <c r="M1069" s="24">
        <f>IF(K1069=1,SUMPRODUCT(--($L$8:$L$1207&lt;L1069))+1,"")</f>
        <v/>
      </c>
      <c r="N1069" s="25">
        <f>IF(K1069=1,N('ORDENES'!$M1065),0)</f>
        <v/>
      </c>
      <c r="O1069" s="25">
        <f>IF('ORDENES'!$U1065="preventiva",N1069,0)</f>
        <v/>
      </c>
      <c r="P1069" s="25">
        <f>IF('ORDENES'!$U1065="correctiva",N1069,0)</f>
        <v/>
      </c>
      <c r="Q1069" s="24">
        <f>IF(AND(K1069=1,'ORDENES'!$N1065="Pendiente"),1,0)</f>
        <v/>
      </c>
      <c r="R1069" s="24">
        <f>IF(Q1069=1,100000-N1069*1000+1062*0.01,9000000000000+1062)</f>
        <v/>
      </c>
      <c r="S1069" s="24">
        <f>IF(Q1069=1,SUMPRODUCT(--($R$8:$R$1207&lt;R1069))+1,"")</f>
        <v/>
      </c>
      <c r="T1069" s="30">
        <f>IF(K1069=1,'ORDENES'!$J1065,"")</f>
        <v/>
      </c>
    </row>
    <row r="1070">
      <c r="K1070" s="24">
        <f>IF(AND(IF($B$3="(todos)",TRUE,'ORDENES'!$O1066=$B$3),IF($D$3="(todos)",TRUE,'ORDENES'!$AI1066=$D$3),IF($F$3="(todos)",TRUE,'ORDENES'!$AA1066=$F$3),IF($H$3="(todos)",TRUE,'ORDENES'!$Z1066=$H$3),'ORDENES'!$AG1066=TRUE,'ORDENES'!$A1066&lt;&gt;""),1,0)</f>
        <v/>
      </c>
      <c r="L1070" s="24">
        <f>IF(K1070=1,IFERROR(MATCH('ORDENES'!$S1066,lista_dias,0),9)*1000000000+IFERROR(MATCH('ORDENES'!$AI1066,lista_turnos,0),9)*10000000+IFERROR(MATCH('ORDENES'!$AH1066,'TECNICOS'!$B$4:$B$19,0),99)*100000+1063,9000000000000+1063)</f>
        <v/>
      </c>
      <c r="M1070" s="24">
        <f>IF(K1070=1,SUMPRODUCT(--($L$8:$L$1207&lt;L1070))+1,"")</f>
        <v/>
      </c>
      <c r="N1070" s="25">
        <f>IF(K1070=1,N('ORDENES'!$M1066),0)</f>
        <v/>
      </c>
      <c r="O1070" s="25">
        <f>IF('ORDENES'!$U1066="preventiva",N1070,0)</f>
        <v/>
      </c>
      <c r="P1070" s="25">
        <f>IF('ORDENES'!$U1066="correctiva",N1070,0)</f>
        <v/>
      </c>
      <c r="Q1070" s="24">
        <f>IF(AND(K1070=1,'ORDENES'!$N1066="Pendiente"),1,0)</f>
        <v/>
      </c>
      <c r="R1070" s="24">
        <f>IF(Q1070=1,100000-N1070*1000+1063*0.01,9000000000000+1063)</f>
        <v/>
      </c>
      <c r="S1070" s="24">
        <f>IF(Q1070=1,SUMPRODUCT(--($R$8:$R$1207&lt;R1070))+1,"")</f>
        <v/>
      </c>
      <c r="T1070" s="30">
        <f>IF(K1070=1,'ORDENES'!$J1066,"")</f>
        <v/>
      </c>
    </row>
    <row r="1071">
      <c r="K1071" s="24">
        <f>IF(AND(IF($B$3="(todos)",TRUE,'ORDENES'!$O1067=$B$3),IF($D$3="(todos)",TRUE,'ORDENES'!$AI1067=$D$3),IF($F$3="(todos)",TRUE,'ORDENES'!$AA1067=$F$3),IF($H$3="(todos)",TRUE,'ORDENES'!$Z1067=$H$3),'ORDENES'!$AG1067=TRUE,'ORDENES'!$A1067&lt;&gt;""),1,0)</f>
        <v/>
      </c>
      <c r="L1071" s="24">
        <f>IF(K1071=1,IFERROR(MATCH('ORDENES'!$S1067,lista_dias,0),9)*1000000000+IFERROR(MATCH('ORDENES'!$AI1067,lista_turnos,0),9)*10000000+IFERROR(MATCH('ORDENES'!$AH1067,'TECNICOS'!$B$4:$B$19,0),99)*100000+1064,9000000000000+1064)</f>
        <v/>
      </c>
      <c r="M1071" s="24">
        <f>IF(K1071=1,SUMPRODUCT(--($L$8:$L$1207&lt;L1071))+1,"")</f>
        <v/>
      </c>
      <c r="N1071" s="25">
        <f>IF(K1071=1,N('ORDENES'!$M1067),0)</f>
        <v/>
      </c>
      <c r="O1071" s="25">
        <f>IF('ORDENES'!$U1067="preventiva",N1071,0)</f>
        <v/>
      </c>
      <c r="P1071" s="25">
        <f>IF('ORDENES'!$U1067="correctiva",N1071,0)</f>
        <v/>
      </c>
      <c r="Q1071" s="24">
        <f>IF(AND(K1071=1,'ORDENES'!$N1067="Pendiente"),1,0)</f>
        <v/>
      </c>
      <c r="R1071" s="24">
        <f>IF(Q1071=1,100000-N1071*1000+1064*0.01,9000000000000+1064)</f>
        <v/>
      </c>
      <c r="S1071" s="24">
        <f>IF(Q1071=1,SUMPRODUCT(--($R$8:$R$1207&lt;R1071))+1,"")</f>
        <v/>
      </c>
      <c r="T1071" s="30">
        <f>IF(K1071=1,'ORDENES'!$J1067,"")</f>
        <v/>
      </c>
    </row>
    <row r="1072">
      <c r="K1072" s="24">
        <f>IF(AND(IF($B$3="(todos)",TRUE,'ORDENES'!$O1068=$B$3),IF($D$3="(todos)",TRUE,'ORDENES'!$AI1068=$D$3),IF($F$3="(todos)",TRUE,'ORDENES'!$AA1068=$F$3),IF($H$3="(todos)",TRUE,'ORDENES'!$Z1068=$H$3),'ORDENES'!$AG1068=TRUE,'ORDENES'!$A1068&lt;&gt;""),1,0)</f>
        <v/>
      </c>
      <c r="L1072" s="24">
        <f>IF(K1072=1,IFERROR(MATCH('ORDENES'!$S1068,lista_dias,0),9)*1000000000+IFERROR(MATCH('ORDENES'!$AI1068,lista_turnos,0),9)*10000000+IFERROR(MATCH('ORDENES'!$AH1068,'TECNICOS'!$B$4:$B$19,0),99)*100000+1065,9000000000000+1065)</f>
        <v/>
      </c>
      <c r="M1072" s="24">
        <f>IF(K1072=1,SUMPRODUCT(--($L$8:$L$1207&lt;L1072))+1,"")</f>
        <v/>
      </c>
      <c r="N1072" s="25">
        <f>IF(K1072=1,N('ORDENES'!$M1068),0)</f>
        <v/>
      </c>
      <c r="O1072" s="25">
        <f>IF('ORDENES'!$U1068="preventiva",N1072,0)</f>
        <v/>
      </c>
      <c r="P1072" s="25">
        <f>IF('ORDENES'!$U1068="correctiva",N1072,0)</f>
        <v/>
      </c>
      <c r="Q1072" s="24">
        <f>IF(AND(K1072=1,'ORDENES'!$N1068="Pendiente"),1,0)</f>
        <v/>
      </c>
      <c r="R1072" s="24">
        <f>IF(Q1072=1,100000-N1072*1000+1065*0.01,9000000000000+1065)</f>
        <v/>
      </c>
      <c r="S1072" s="24">
        <f>IF(Q1072=1,SUMPRODUCT(--($R$8:$R$1207&lt;R1072))+1,"")</f>
        <v/>
      </c>
      <c r="T1072" s="30">
        <f>IF(K1072=1,'ORDENES'!$J1068,"")</f>
        <v/>
      </c>
    </row>
    <row r="1073">
      <c r="K1073" s="24">
        <f>IF(AND(IF($B$3="(todos)",TRUE,'ORDENES'!$O1069=$B$3),IF($D$3="(todos)",TRUE,'ORDENES'!$AI1069=$D$3),IF($F$3="(todos)",TRUE,'ORDENES'!$AA1069=$F$3),IF($H$3="(todos)",TRUE,'ORDENES'!$Z1069=$H$3),'ORDENES'!$AG1069=TRUE,'ORDENES'!$A1069&lt;&gt;""),1,0)</f>
        <v/>
      </c>
      <c r="L1073" s="24">
        <f>IF(K1073=1,IFERROR(MATCH('ORDENES'!$S1069,lista_dias,0),9)*1000000000+IFERROR(MATCH('ORDENES'!$AI1069,lista_turnos,0),9)*10000000+IFERROR(MATCH('ORDENES'!$AH1069,'TECNICOS'!$B$4:$B$19,0),99)*100000+1066,9000000000000+1066)</f>
        <v/>
      </c>
      <c r="M1073" s="24">
        <f>IF(K1073=1,SUMPRODUCT(--($L$8:$L$1207&lt;L1073))+1,"")</f>
        <v/>
      </c>
      <c r="N1073" s="25">
        <f>IF(K1073=1,N('ORDENES'!$M1069),0)</f>
        <v/>
      </c>
      <c r="O1073" s="25">
        <f>IF('ORDENES'!$U1069="preventiva",N1073,0)</f>
        <v/>
      </c>
      <c r="P1073" s="25">
        <f>IF('ORDENES'!$U1069="correctiva",N1073,0)</f>
        <v/>
      </c>
      <c r="Q1073" s="24">
        <f>IF(AND(K1073=1,'ORDENES'!$N1069="Pendiente"),1,0)</f>
        <v/>
      </c>
      <c r="R1073" s="24">
        <f>IF(Q1073=1,100000-N1073*1000+1066*0.01,9000000000000+1066)</f>
        <v/>
      </c>
      <c r="S1073" s="24">
        <f>IF(Q1073=1,SUMPRODUCT(--($R$8:$R$1207&lt;R1073))+1,"")</f>
        <v/>
      </c>
      <c r="T1073" s="30">
        <f>IF(K1073=1,'ORDENES'!$J1069,"")</f>
        <v/>
      </c>
    </row>
    <row r="1074">
      <c r="K1074" s="24">
        <f>IF(AND(IF($B$3="(todos)",TRUE,'ORDENES'!$O1070=$B$3),IF($D$3="(todos)",TRUE,'ORDENES'!$AI1070=$D$3),IF($F$3="(todos)",TRUE,'ORDENES'!$AA1070=$F$3),IF($H$3="(todos)",TRUE,'ORDENES'!$Z1070=$H$3),'ORDENES'!$AG1070=TRUE,'ORDENES'!$A1070&lt;&gt;""),1,0)</f>
        <v/>
      </c>
      <c r="L1074" s="24">
        <f>IF(K1074=1,IFERROR(MATCH('ORDENES'!$S1070,lista_dias,0),9)*1000000000+IFERROR(MATCH('ORDENES'!$AI1070,lista_turnos,0),9)*10000000+IFERROR(MATCH('ORDENES'!$AH1070,'TECNICOS'!$B$4:$B$19,0),99)*100000+1067,9000000000000+1067)</f>
        <v/>
      </c>
      <c r="M1074" s="24">
        <f>IF(K1074=1,SUMPRODUCT(--($L$8:$L$1207&lt;L1074))+1,"")</f>
        <v/>
      </c>
      <c r="N1074" s="25">
        <f>IF(K1074=1,N('ORDENES'!$M1070),0)</f>
        <v/>
      </c>
      <c r="O1074" s="25">
        <f>IF('ORDENES'!$U1070="preventiva",N1074,0)</f>
        <v/>
      </c>
      <c r="P1074" s="25">
        <f>IF('ORDENES'!$U1070="correctiva",N1074,0)</f>
        <v/>
      </c>
      <c r="Q1074" s="24">
        <f>IF(AND(K1074=1,'ORDENES'!$N1070="Pendiente"),1,0)</f>
        <v/>
      </c>
      <c r="R1074" s="24">
        <f>IF(Q1074=1,100000-N1074*1000+1067*0.01,9000000000000+1067)</f>
        <v/>
      </c>
      <c r="S1074" s="24">
        <f>IF(Q1074=1,SUMPRODUCT(--($R$8:$R$1207&lt;R1074))+1,"")</f>
        <v/>
      </c>
      <c r="T1074" s="30">
        <f>IF(K1074=1,'ORDENES'!$J1070,"")</f>
        <v/>
      </c>
    </row>
    <row r="1075">
      <c r="K1075" s="24">
        <f>IF(AND(IF($B$3="(todos)",TRUE,'ORDENES'!$O1071=$B$3),IF($D$3="(todos)",TRUE,'ORDENES'!$AI1071=$D$3),IF($F$3="(todos)",TRUE,'ORDENES'!$AA1071=$F$3),IF($H$3="(todos)",TRUE,'ORDENES'!$Z1071=$H$3),'ORDENES'!$AG1071=TRUE,'ORDENES'!$A1071&lt;&gt;""),1,0)</f>
        <v/>
      </c>
      <c r="L1075" s="24">
        <f>IF(K1075=1,IFERROR(MATCH('ORDENES'!$S1071,lista_dias,0),9)*1000000000+IFERROR(MATCH('ORDENES'!$AI1071,lista_turnos,0),9)*10000000+IFERROR(MATCH('ORDENES'!$AH1071,'TECNICOS'!$B$4:$B$19,0),99)*100000+1068,9000000000000+1068)</f>
        <v/>
      </c>
      <c r="M1075" s="24">
        <f>IF(K1075=1,SUMPRODUCT(--($L$8:$L$1207&lt;L1075))+1,"")</f>
        <v/>
      </c>
      <c r="N1075" s="25">
        <f>IF(K1075=1,N('ORDENES'!$M1071),0)</f>
        <v/>
      </c>
      <c r="O1075" s="25">
        <f>IF('ORDENES'!$U1071="preventiva",N1075,0)</f>
        <v/>
      </c>
      <c r="P1075" s="25">
        <f>IF('ORDENES'!$U1071="correctiva",N1075,0)</f>
        <v/>
      </c>
      <c r="Q1075" s="24">
        <f>IF(AND(K1075=1,'ORDENES'!$N1071="Pendiente"),1,0)</f>
        <v/>
      </c>
      <c r="R1075" s="24">
        <f>IF(Q1075=1,100000-N1075*1000+1068*0.01,9000000000000+1068)</f>
        <v/>
      </c>
      <c r="S1075" s="24">
        <f>IF(Q1075=1,SUMPRODUCT(--($R$8:$R$1207&lt;R1075))+1,"")</f>
        <v/>
      </c>
      <c r="T1075" s="30">
        <f>IF(K1075=1,'ORDENES'!$J1071,"")</f>
        <v/>
      </c>
    </row>
    <row r="1076">
      <c r="K1076" s="24">
        <f>IF(AND(IF($B$3="(todos)",TRUE,'ORDENES'!$O1072=$B$3),IF($D$3="(todos)",TRUE,'ORDENES'!$AI1072=$D$3),IF($F$3="(todos)",TRUE,'ORDENES'!$AA1072=$F$3),IF($H$3="(todos)",TRUE,'ORDENES'!$Z1072=$H$3),'ORDENES'!$AG1072=TRUE,'ORDENES'!$A1072&lt;&gt;""),1,0)</f>
        <v/>
      </c>
      <c r="L1076" s="24">
        <f>IF(K1076=1,IFERROR(MATCH('ORDENES'!$S1072,lista_dias,0),9)*1000000000+IFERROR(MATCH('ORDENES'!$AI1072,lista_turnos,0),9)*10000000+IFERROR(MATCH('ORDENES'!$AH1072,'TECNICOS'!$B$4:$B$19,0),99)*100000+1069,9000000000000+1069)</f>
        <v/>
      </c>
      <c r="M1076" s="24">
        <f>IF(K1076=1,SUMPRODUCT(--($L$8:$L$1207&lt;L1076))+1,"")</f>
        <v/>
      </c>
      <c r="N1076" s="25">
        <f>IF(K1076=1,N('ORDENES'!$M1072),0)</f>
        <v/>
      </c>
      <c r="O1076" s="25">
        <f>IF('ORDENES'!$U1072="preventiva",N1076,0)</f>
        <v/>
      </c>
      <c r="P1076" s="25">
        <f>IF('ORDENES'!$U1072="correctiva",N1076,0)</f>
        <v/>
      </c>
      <c r="Q1076" s="24">
        <f>IF(AND(K1076=1,'ORDENES'!$N1072="Pendiente"),1,0)</f>
        <v/>
      </c>
      <c r="R1076" s="24">
        <f>IF(Q1076=1,100000-N1076*1000+1069*0.01,9000000000000+1069)</f>
        <v/>
      </c>
      <c r="S1076" s="24">
        <f>IF(Q1076=1,SUMPRODUCT(--($R$8:$R$1207&lt;R1076))+1,"")</f>
        <v/>
      </c>
      <c r="T1076" s="30">
        <f>IF(K1076=1,'ORDENES'!$J1072,"")</f>
        <v/>
      </c>
    </row>
    <row r="1077">
      <c r="K1077" s="24">
        <f>IF(AND(IF($B$3="(todos)",TRUE,'ORDENES'!$O1073=$B$3),IF($D$3="(todos)",TRUE,'ORDENES'!$AI1073=$D$3),IF($F$3="(todos)",TRUE,'ORDENES'!$AA1073=$F$3),IF($H$3="(todos)",TRUE,'ORDENES'!$Z1073=$H$3),'ORDENES'!$AG1073=TRUE,'ORDENES'!$A1073&lt;&gt;""),1,0)</f>
        <v/>
      </c>
      <c r="L1077" s="24">
        <f>IF(K1077=1,IFERROR(MATCH('ORDENES'!$S1073,lista_dias,0),9)*1000000000+IFERROR(MATCH('ORDENES'!$AI1073,lista_turnos,0),9)*10000000+IFERROR(MATCH('ORDENES'!$AH1073,'TECNICOS'!$B$4:$B$19,0),99)*100000+1070,9000000000000+1070)</f>
        <v/>
      </c>
      <c r="M1077" s="24">
        <f>IF(K1077=1,SUMPRODUCT(--($L$8:$L$1207&lt;L1077))+1,"")</f>
        <v/>
      </c>
      <c r="N1077" s="25">
        <f>IF(K1077=1,N('ORDENES'!$M1073),0)</f>
        <v/>
      </c>
      <c r="O1077" s="25">
        <f>IF('ORDENES'!$U1073="preventiva",N1077,0)</f>
        <v/>
      </c>
      <c r="P1077" s="25">
        <f>IF('ORDENES'!$U1073="correctiva",N1077,0)</f>
        <v/>
      </c>
      <c r="Q1077" s="24">
        <f>IF(AND(K1077=1,'ORDENES'!$N1073="Pendiente"),1,0)</f>
        <v/>
      </c>
      <c r="R1077" s="24">
        <f>IF(Q1077=1,100000-N1077*1000+1070*0.01,9000000000000+1070)</f>
        <v/>
      </c>
      <c r="S1077" s="24">
        <f>IF(Q1077=1,SUMPRODUCT(--($R$8:$R$1207&lt;R1077))+1,"")</f>
        <v/>
      </c>
      <c r="T1077" s="30">
        <f>IF(K1077=1,'ORDENES'!$J1073,"")</f>
        <v/>
      </c>
    </row>
    <row r="1078">
      <c r="K1078" s="24">
        <f>IF(AND(IF($B$3="(todos)",TRUE,'ORDENES'!$O1074=$B$3),IF($D$3="(todos)",TRUE,'ORDENES'!$AI1074=$D$3),IF($F$3="(todos)",TRUE,'ORDENES'!$AA1074=$F$3),IF($H$3="(todos)",TRUE,'ORDENES'!$Z1074=$H$3),'ORDENES'!$AG1074=TRUE,'ORDENES'!$A1074&lt;&gt;""),1,0)</f>
        <v/>
      </c>
      <c r="L1078" s="24">
        <f>IF(K1078=1,IFERROR(MATCH('ORDENES'!$S1074,lista_dias,0),9)*1000000000+IFERROR(MATCH('ORDENES'!$AI1074,lista_turnos,0),9)*10000000+IFERROR(MATCH('ORDENES'!$AH1074,'TECNICOS'!$B$4:$B$19,0),99)*100000+1071,9000000000000+1071)</f>
        <v/>
      </c>
      <c r="M1078" s="24">
        <f>IF(K1078=1,SUMPRODUCT(--($L$8:$L$1207&lt;L1078))+1,"")</f>
        <v/>
      </c>
      <c r="N1078" s="25">
        <f>IF(K1078=1,N('ORDENES'!$M1074),0)</f>
        <v/>
      </c>
      <c r="O1078" s="25">
        <f>IF('ORDENES'!$U1074="preventiva",N1078,0)</f>
        <v/>
      </c>
      <c r="P1078" s="25">
        <f>IF('ORDENES'!$U1074="correctiva",N1078,0)</f>
        <v/>
      </c>
      <c r="Q1078" s="24">
        <f>IF(AND(K1078=1,'ORDENES'!$N1074="Pendiente"),1,0)</f>
        <v/>
      </c>
      <c r="R1078" s="24">
        <f>IF(Q1078=1,100000-N1078*1000+1071*0.01,9000000000000+1071)</f>
        <v/>
      </c>
      <c r="S1078" s="24">
        <f>IF(Q1078=1,SUMPRODUCT(--($R$8:$R$1207&lt;R1078))+1,"")</f>
        <v/>
      </c>
      <c r="T1078" s="30">
        <f>IF(K1078=1,'ORDENES'!$J1074,"")</f>
        <v/>
      </c>
    </row>
    <row r="1079">
      <c r="K1079" s="24">
        <f>IF(AND(IF($B$3="(todos)",TRUE,'ORDENES'!$O1075=$B$3),IF($D$3="(todos)",TRUE,'ORDENES'!$AI1075=$D$3),IF($F$3="(todos)",TRUE,'ORDENES'!$AA1075=$F$3),IF($H$3="(todos)",TRUE,'ORDENES'!$Z1075=$H$3),'ORDENES'!$AG1075=TRUE,'ORDENES'!$A1075&lt;&gt;""),1,0)</f>
        <v/>
      </c>
      <c r="L1079" s="24">
        <f>IF(K1079=1,IFERROR(MATCH('ORDENES'!$S1075,lista_dias,0),9)*1000000000+IFERROR(MATCH('ORDENES'!$AI1075,lista_turnos,0),9)*10000000+IFERROR(MATCH('ORDENES'!$AH1075,'TECNICOS'!$B$4:$B$19,0),99)*100000+1072,9000000000000+1072)</f>
        <v/>
      </c>
      <c r="M1079" s="24">
        <f>IF(K1079=1,SUMPRODUCT(--($L$8:$L$1207&lt;L1079))+1,"")</f>
        <v/>
      </c>
      <c r="N1079" s="25">
        <f>IF(K1079=1,N('ORDENES'!$M1075),0)</f>
        <v/>
      </c>
      <c r="O1079" s="25">
        <f>IF('ORDENES'!$U1075="preventiva",N1079,0)</f>
        <v/>
      </c>
      <c r="P1079" s="25">
        <f>IF('ORDENES'!$U1075="correctiva",N1079,0)</f>
        <v/>
      </c>
      <c r="Q1079" s="24">
        <f>IF(AND(K1079=1,'ORDENES'!$N1075="Pendiente"),1,0)</f>
        <v/>
      </c>
      <c r="R1079" s="24">
        <f>IF(Q1079=1,100000-N1079*1000+1072*0.01,9000000000000+1072)</f>
        <v/>
      </c>
      <c r="S1079" s="24">
        <f>IF(Q1079=1,SUMPRODUCT(--($R$8:$R$1207&lt;R1079))+1,"")</f>
        <v/>
      </c>
      <c r="T1079" s="30">
        <f>IF(K1079=1,'ORDENES'!$J1075,"")</f>
        <v/>
      </c>
    </row>
    <row r="1080">
      <c r="K1080" s="24">
        <f>IF(AND(IF($B$3="(todos)",TRUE,'ORDENES'!$O1076=$B$3),IF($D$3="(todos)",TRUE,'ORDENES'!$AI1076=$D$3),IF($F$3="(todos)",TRUE,'ORDENES'!$AA1076=$F$3),IF($H$3="(todos)",TRUE,'ORDENES'!$Z1076=$H$3),'ORDENES'!$AG1076=TRUE,'ORDENES'!$A1076&lt;&gt;""),1,0)</f>
        <v/>
      </c>
      <c r="L1080" s="24">
        <f>IF(K1080=1,IFERROR(MATCH('ORDENES'!$S1076,lista_dias,0),9)*1000000000+IFERROR(MATCH('ORDENES'!$AI1076,lista_turnos,0),9)*10000000+IFERROR(MATCH('ORDENES'!$AH1076,'TECNICOS'!$B$4:$B$19,0),99)*100000+1073,9000000000000+1073)</f>
        <v/>
      </c>
      <c r="M1080" s="24">
        <f>IF(K1080=1,SUMPRODUCT(--($L$8:$L$1207&lt;L1080))+1,"")</f>
        <v/>
      </c>
      <c r="N1080" s="25">
        <f>IF(K1080=1,N('ORDENES'!$M1076),0)</f>
        <v/>
      </c>
      <c r="O1080" s="25">
        <f>IF('ORDENES'!$U1076="preventiva",N1080,0)</f>
        <v/>
      </c>
      <c r="P1080" s="25">
        <f>IF('ORDENES'!$U1076="correctiva",N1080,0)</f>
        <v/>
      </c>
      <c r="Q1080" s="24">
        <f>IF(AND(K1080=1,'ORDENES'!$N1076="Pendiente"),1,0)</f>
        <v/>
      </c>
      <c r="R1080" s="24">
        <f>IF(Q1080=1,100000-N1080*1000+1073*0.01,9000000000000+1073)</f>
        <v/>
      </c>
      <c r="S1080" s="24">
        <f>IF(Q1080=1,SUMPRODUCT(--($R$8:$R$1207&lt;R1080))+1,"")</f>
        <v/>
      </c>
      <c r="T1080" s="30">
        <f>IF(K1080=1,'ORDENES'!$J1076,"")</f>
        <v/>
      </c>
    </row>
    <row r="1081">
      <c r="K1081" s="24">
        <f>IF(AND(IF($B$3="(todos)",TRUE,'ORDENES'!$O1077=$B$3),IF($D$3="(todos)",TRUE,'ORDENES'!$AI1077=$D$3),IF($F$3="(todos)",TRUE,'ORDENES'!$AA1077=$F$3),IF($H$3="(todos)",TRUE,'ORDENES'!$Z1077=$H$3),'ORDENES'!$AG1077=TRUE,'ORDENES'!$A1077&lt;&gt;""),1,0)</f>
        <v/>
      </c>
      <c r="L1081" s="24">
        <f>IF(K1081=1,IFERROR(MATCH('ORDENES'!$S1077,lista_dias,0),9)*1000000000+IFERROR(MATCH('ORDENES'!$AI1077,lista_turnos,0),9)*10000000+IFERROR(MATCH('ORDENES'!$AH1077,'TECNICOS'!$B$4:$B$19,0),99)*100000+1074,9000000000000+1074)</f>
        <v/>
      </c>
      <c r="M1081" s="24">
        <f>IF(K1081=1,SUMPRODUCT(--($L$8:$L$1207&lt;L1081))+1,"")</f>
        <v/>
      </c>
      <c r="N1081" s="25">
        <f>IF(K1081=1,N('ORDENES'!$M1077),0)</f>
        <v/>
      </c>
      <c r="O1081" s="25">
        <f>IF('ORDENES'!$U1077="preventiva",N1081,0)</f>
        <v/>
      </c>
      <c r="P1081" s="25">
        <f>IF('ORDENES'!$U1077="correctiva",N1081,0)</f>
        <v/>
      </c>
      <c r="Q1081" s="24">
        <f>IF(AND(K1081=1,'ORDENES'!$N1077="Pendiente"),1,0)</f>
        <v/>
      </c>
      <c r="R1081" s="24">
        <f>IF(Q1081=1,100000-N1081*1000+1074*0.01,9000000000000+1074)</f>
        <v/>
      </c>
      <c r="S1081" s="24">
        <f>IF(Q1081=1,SUMPRODUCT(--($R$8:$R$1207&lt;R1081))+1,"")</f>
        <v/>
      </c>
      <c r="T1081" s="30">
        <f>IF(K1081=1,'ORDENES'!$J1077,"")</f>
        <v/>
      </c>
    </row>
    <row r="1082">
      <c r="K1082" s="24">
        <f>IF(AND(IF($B$3="(todos)",TRUE,'ORDENES'!$O1078=$B$3),IF($D$3="(todos)",TRUE,'ORDENES'!$AI1078=$D$3),IF($F$3="(todos)",TRUE,'ORDENES'!$AA1078=$F$3),IF($H$3="(todos)",TRUE,'ORDENES'!$Z1078=$H$3),'ORDENES'!$AG1078=TRUE,'ORDENES'!$A1078&lt;&gt;""),1,0)</f>
        <v/>
      </c>
      <c r="L1082" s="24">
        <f>IF(K1082=1,IFERROR(MATCH('ORDENES'!$S1078,lista_dias,0),9)*1000000000+IFERROR(MATCH('ORDENES'!$AI1078,lista_turnos,0),9)*10000000+IFERROR(MATCH('ORDENES'!$AH1078,'TECNICOS'!$B$4:$B$19,0),99)*100000+1075,9000000000000+1075)</f>
        <v/>
      </c>
      <c r="M1082" s="24">
        <f>IF(K1082=1,SUMPRODUCT(--($L$8:$L$1207&lt;L1082))+1,"")</f>
        <v/>
      </c>
      <c r="N1082" s="25">
        <f>IF(K1082=1,N('ORDENES'!$M1078),0)</f>
        <v/>
      </c>
      <c r="O1082" s="25">
        <f>IF('ORDENES'!$U1078="preventiva",N1082,0)</f>
        <v/>
      </c>
      <c r="P1082" s="25">
        <f>IF('ORDENES'!$U1078="correctiva",N1082,0)</f>
        <v/>
      </c>
      <c r="Q1082" s="24">
        <f>IF(AND(K1082=1,'ORDENES'!$N1078="Pendiente"),1,0)</f>
        <v/>
      </c>
      <c r="R1082" s="24">
        <f>IF(Q1082=1,100000-N1082*1000+1075*0.01,9000000000000+1075)</f>
        <v/>
      </c>
      <c r="S1082" s="24">
        <f>IF(Q1082=1,SUMPRODUCT(--($R$8:$R$1207&lt;R1082))+1,"")</f>
        <v/>
      </c>
      <c r="T1082" s="30">
        <f>IF(K1082=1,'ORDENES'!$J1078,"")</f>
        <v/>
      </c>
    </row>
    <row r="1083">
      <c r="K1083" s="24">
        <f>IF(AND(IF($B$3="(todos)",TRUE,'ORDENES'!$O1079=$B$3),IF($D$3="(todos)",TRUE,'ORDENES'!$AI1079=$D$3),IF($F$3="(todos)",TRUE,'ORDENES'!$AA1079=$F$3),IF($H$3="(todos)",TRUE,'ORDENES'!$Z1079=$H$3),'ORDENES'!$AG1079=TRUE,'ORDENES'!$A1079&lt;&gt;""),1,0)</f>
        <v/>
      </c>
      <c r="L1083" s="24">
        <f>IF(K1083=1,IFERROR(MATCH('ORDENES'!$S1079,lista_dias,0),9)*1000000000+IFERROR(MATCH('ORDENES'!$AI1079,lista_turnos,0),9)*10000000+IFERROR(MATCH('ORDENES'!$AH1079,'TECNICOS'!$B$4:$B$19,0),99)*100000+1076,9000000000000+1076)</f>
        <v/>
      </c>
      <c r="M1083" s="24">
        <f>IF(K1083=1,SUMPRODUCT(--($L$8:$L$1207&lt;L1083))+1,"")</f>
        <v/>
      </c>
      <c r="N1083" s="25">
        <f>IF(K1083=1,N('ORDENES'!$M1079),0)</f>
        <v/>
      </c>
      <c r="O1083" s="25">
        <f>IF('ORDENES'!$U1079="preventiva",N1083,0)</f>
        <v/>
      </c>
      <c r="P1083" s="25">
        <f>IF('ORDENES'!$U1079="correctiva",N1083,0)</f>
        <v/>
      </c>
      <c r="Q1083" s="24">
        <f>IF(AND(K1083=1,'ORDENES'!$N1079="Pendiente"),1,0)</f>
        <v/>
      </c>
      <c r="R1083" s="24">
        <f>IF(Q1083=1,100000-N1083*1000+1076*0.01,9000000000000+1076)</f>
        <v/>
      </c>
      <c r="S1083" s="24">
        <f>IF(Q1083=1,SUMPRODUCT(--($R$8:$R$1207&lt;R1083))+1,"")</f>
        <v/>
      </c>
      <c r="T1083" s="30">
        <f>IF(K1083=1,'ORDENES'!$J1079,"")</f>
        <v/>
      </c>
    </row>
    <row r="1084">
      <c r="K1084" s="24">
        <f>IF(AND(IF($B$3="(todos)",TRUE,'ORDENES'!$O1080=$B$3),IF($D$3="(todos)",TRUE,'ORDENES'!$AI1080=$D$3),IF($F$3="(todos)",TRUE,'ORDENES'!$AA1080=$F$3),IF($H$3="(todos)",TRUE,'ORDENES'!$Z1080=$H$3),'ORDENES'!$AG1080=TRUE,'ORDENES'!$A1080&lt;&gt;""),1,0)</f>
        <v/>
      </c>
      <c r="L1084" s="24">
        <f>IF(K1084=1,IFERROR(MATCH('ORDENES'!$S1080,lista_dias,0),9)*1000000000+IFERROR(MATCH('ORDENES'!$AI1080,lista_turnos,0),9)*10000000+IFERROR(MATCH('ORDENES'!$AH1080,'TECNICOS'!$B$4:$B$19,0),99)*100000+1077,9000000000000+1077)</f>
        <v/>
      </c>
      <c r="M1084" s="24">
        <f>IF(K1084=1,SUMPRODUCT(--($L$8:$L$1207&lt;L1084))+1,"")</f>
        <v/>
      </c>
      <c r="N1084" s="25">
        <f>IF(K1084=1,N('ORDENES'!$M1080),0)</f>
        <v/>
      </c>
      <c r="O1084" s="25">
        <f>IF('ORDENES'!$U1080="preventiva",N1084,0)</f>
        <v/>
      </c>
      <c r="P1084" s="25">
        <f>IF('ORDENES'!$U1080="correctiva",N1084,0)</f>
        <v/>
      </c>
      <c r="Q1084" s="24">
        <f>IF(AND(K1084=1,'ORDENES'!$N1080="Pendiente"),1,0)</f>
        <v/>
      </c>
      <c r="R1084" s="24">
        <f>IF(Q1084=1,100000-N1084*1000+1077*0.01,9000000000000+1077)</f>
        <v/>
      </c>
      <c r="S1084" s="24">
        <f>IF(Q1084=1,SUMPRODUCT(--($R$8:$R$1207&lt;R1084))+1,"")</f>
        <v/>
      </c>
      <c r="T1084" s="30">
        <f>IF(K1084=1,'ORDENES'!$J1080,"")</f>
        <v/>
      </c>
    </row>
    <row r="1085">
      <c r="K1085" s="24">
        <f>IF(AND(IF($B$3="(todos)",TRUE,'ORDENES'!$O1081=$B$3),IF($D$3="(todos)",TRUE,'ORDENES'!$AI1081=$D$3),IF($F$3="(todos)",TRUE,'ORDENES'!$AA1081=$F$3),IF($H$3="(todos)",TRUE,'ORDENES'!$Z1081=$H$3),'ORDENES'!$AG1081=TRUE,'ORDENES'!$A1081&lt;&gt;""),1,0)</f>
        <v/>
      </c>
      <c r="L1085" s="24">
        <f>IF(K1085=1,IFERROR(MATCH('ORDENES'!$S1081,lista_dias,0),9)*1000000000+IFERROR(MATCH('ORDENES'!$AI1081,lista_turnos,0),9)*10000000+IFERROR(MATCH('ORDENES'!$AH1081,'TECNICOS'!$B$4:$B$19,0),99)*100000+1078,9000000000000+1078)</f>
        <v/>
      </c>
      <c r="M1085" s="24">
        <f>IF(K1085=1,SUMPRODUCT(--($L$8:$L$1207&lt;L1085))+1,"")</f>
        <v/>
      </c>
      <c r="N1085" s="25">
        <f>IF(K1085=1,N('ORDENES'!$M1081),0)</f>
        <v/>
      </c>
      <c r="O1085" s="25">
        <f>IF('ORDENES'!$U1081="preventiva",N1085,0)</f>
        <v/>
      </c>
      <c r="P1085" s="25">
        <f>IF('ORDENES'!$U1081="correctiva",N1085,0)</f>
        <v/>
      </c>
      <c r="Q1085" s="24">
        <f>IF(AND(K1085=1,'ORDENES'!$N1081="Pendiente"),1,0)</f>
        <v/>
      </c>
      <c r="R1085" s="24">
        <f>IF(Q1085=1,100000-N1085*1000+1078*0.01,9000000000000+1078)</f>
        <v/>
      </c>
      <c r="S1085" s="24">
        <f>IF(Q1085=1,SUMPRODUCT(--($R$8:$R$1207&lt;R1085))+1,"")</f>
        <v/>
      </c>
      <c r="T1085" s="30">
        <f>IF(K1085=1,'ORDENES'!$J1081,"")</f>
        <v/>
      </c>
    </row>
    <row r="1086">
      <c r="K1086" s="24">
        <f>IF(AND(IF($B$3="(todos)",TRUE,'ORDENES'!$O1082=$B$3),IF($D$3="(todos)",TRUE,'ORDENES'!$AI1082=$D$3),IF($F$3="(todos)",TRUE,'ORDENES'!$AA1082=$F$3),IF($H$3="(todos)",TRUE,'ORDENES'!$Z1082=$H$3),'ORDENES'!$AG1082=TRUE,'ORDENES'!$A1082&lt;&gt;""),1,0)</f>
        <v/>
      </c>
      <c r="L1086" s="24">
        <f>IF(K1086=1,IFERROR(MATCH('ORDENES'!$S1082,lista_dias,0),9)*1000000000+IFERROR(MATCH('ORDENES'!$AI1082,lista_turnos,0),9)*10000000+IFERROR(MATCH('ORDENES'!$AH1082,'TECNICOS'!$B$4:$B$19,0),99)*100000+1079,9000000000000+1079)</f>
        <v/>
      </c>
      <c r="M1086" s="24">
        <f>IF(K1086=1,SUMPRODUCT(--($L$8:$L$1207&lt;L1086))+1,"")</f>
        <v/>
      </c>
      <c r="N1086" s="25">
        <f>IF(K1086=1,N('ORDENES'!$M1082),0)</f>
        <v/>
      </c>
      <c r="O1086" s="25">
        <f>IF('ORDENES'!$U1082="preventiva",N1086,0)</f>
        <v/>
      </c>
      <c r="P1086" s="25">
        <f>IF('ORDENES'!$U1082="correctiva",N1086,0)</f>
        <v/>
      </c>
      <c r="Q1086" s="24">
        <f>IF(AND(K1086=1,'ORDENES'!$N1082="Pendiente"),1,0)</f>
        <v/>
      </c>
      <c r="R1086" s="24">
        <f>IF(Q1086=1,100000-N1086*1000+1079*0.01,9000000000000+1079)</f>
        <v/>
      </c>
      <c r="S1086" s="24">
        <f>IF(Q1086=1,SUMPRODUCT(--($R$8:$R$1207&lt;R1086))+1,"")</f>
        <v/>
      </c>
      <c r="T1086" s="30">
        <f>IF(K1086=1,'ORDENES'!$J1082,"")</f>
        <v/>
      </c>
    </row>
    <row r="1087">
      <c r="K1087" s="24">
        <f>IF(AND(IF($B$3="(todos)",TRUE,'ORDENES'!$O1083=$B$3),IF($D$3="(todos)",TRUE,'ORDENES'!$AI1083=$D$3),IF($F$3="(todos)",TRUE,'ORDENES'!$AA1083=$F$3),IF($H$3="(todos)",TRUE,'ORDENES'!$Z1083=$H$3),'ORDENES'!$AG1083=TRUE,'ORDENES'!$A1083&lt;&gt;""),1,0)</f>
        <v/>
      </c>
      <c r="L1087" s="24">
        <f>IF(K1087=1,IFERROR(MATCH('ORDENES'!$S1083,lista_dias,0),9)*1000000000+IFERROR(MATCH('ORDENES'!$AI1083,lista_turnos,0),9)*10000000+IFERROR(MATCH('ORDENES'!$AH1083,'TECNICOS'!$B$4:$B$19,0),99)*100000+1080,9000000000000+1080)</f>
        <v/>
      </c>
      <c r="M1087" s="24">
        <f>IF(K1087=1,SUMPRODUCT(--($L$8:$L$1207&lt;L1087))+1,"")</f>
        <v/>
      </c>
      <c r="N1087" s="25">
        <f>IF(K1087=1,N('ORDENES'!$M1083),0)</f>
        <v/>
      </c>
      <c r="O1087" s="25">
        <f>IF('ORDENES'!$U1083="preventiva",N1087,0)</f>
        <v/>
      </c>
      <c r="P1087" s="25">
        <f>IF('ORDENES'!$U1083="correctiva",N1087,0)</f>
        <v/>
      </c>
      <c r="Q1087" s="24">
        <f>IF(AND(K1087=1,'ORDENES'!$N1083="Pendiente"),1,0)</f>
        <v/>
      </c>
      <c r="R1087" s="24">
        <f>IF(Q1087=1,100000-N1087*1000+1080*0.01,9000000000000+1080)</f>
        <v/>
      </c>
      <c r="S1087" s="24">
        <f>IF(Q1087=1,SUMPRODUCT(--($R$8:$R$1207&lt;R1087))+1,"")</f>
        <v/>
      </c>
      <c r="T1087" s="30">
        <f>IF(K1087=1,'ORDENES'!$J1083,"")</f>
        <v/>
      </c>
    </row>
    <row r="1088">
      <c r="K1088" s="24">
        <f>IF(AND(IF($B$3="(todos)",TRUE,'ORDENES'!$O1084=$B$3),IF($D$3="(todos)",TRUE,'ORDENES'!$AI1084=$D$3),IF($F$3="(todos)",TRUE,'ORDENES'!$AA1084=$F$3),IF($H$3="(todos)",TRUE,'ORDENES'!$Z1084=$H$3),'ORDENES'!$AG1084=TRUE,'ORDENES'!$A1084&lt;&gt;""),1,0)</f>
        <v/>
      </c>
      <c r="L1088" s="24">
        <f>IF(K1088=1,IFERROR(MATCH('ORDENES'!$S1084,lista_dias,0),9)*1000000000+IFERROR(MATCH('ORDENES'!$AI1084,lista_turnos,0),9)*10000000+IFERROR(MATCH('ORDENES'!$AH1084,'TECNICOS'!$B$4:$B$19,0),99)*100000+1081,9000000000000+1081)</f>
        <v/>
      </c>
      <c r="M1088" s="24">
        <f>IF(K1088=1,SUMPRODUCT(--($L$8:$L$1207&lt;L1088))+1,"")</f>
        <v/>
      </c>
      <c r="N1088" s="25">
        <f>IF(K1088=1,N('ORDENES'!$M1084),0)</f>
        <v/>
      </c>
      <c r="O1088" s="25">
        <f>IF('ORDENES'!$U1084="preventiva",N1088,0)</f>
        <v/>
      </c>
      <c r="P1088" s="25">
        <f>IF('ORDENES'!$U1084="correctiva",N1088,0)</f>
        <v/>
      </c>
      <c r="Q1088" s="24">
        <f>IF(AND(K1088=1,'ORDENES'!$N1084="Pendiente"),1,0)</f>
        <v/>
      </c>
      <c r="R1088" s="24">
        <f>IF(Q1088=1,100000-N1088*1000+1081*0.01,9000000000000+1081)</f>
        <v/>
      </c>
      <c r="S1088" s="24">
        <f>IF(Q1088=1,SUMPRODUCT(--($R$8:$R$1207&lt;R1088))+1,"")</f>
        <v/>
      </c>
      <c r="T1088" s="30">
        <f>IF(K1088=1,'ORDENES'!$J1084,"")</f>
        <v/>
      </c>
    </row>
    <row r="1089">
      <c r="K1089" s="24">
        <f>IF(AND(IF($B$3="(todos)",TRUE,'ORDENES'!$O1085=$B$3),IF($D$3="(todos)",TRUE,'ORDENES'!$AI1085=$D$3),IF($F$3="(todos)",TRUE,'ORDENES'!$AA1085=$F$3),IF($H$3="(todos)",TRUE,'ORDENES'!$Z1085=$H$3),'ORDENES'!$AG1085=TRUE,'ORDENES'!$A1085&lt;&gt;""),1,0)</f>
        <v/>
      </c>
      <c r="L1089" s="24">
        <f>IF(K1089=1,IFERROR(MATCH('ORDENES'!$S1085,lista_dias,0),9)*1000000000+IFERROR(MATCH('ORDENES'!$AI1085,lista_turnos,0),9)*10000000+IFERROR(MATCH('ORDENES'!$AH1085,'TECNICOS'!$B$4:$B$19,0),99)*100000+1082,9000000000000+1082)</f>
        <v/>
      </c>
      <c r="M1089" s="24">
        <f>IF(K1089=1,SUMPRODUCT(--($L$8:$L$1207&lt;L1089))+1,"")</f>
        <v/>
      </c>
      <c r="N1089" s="25">
        <f>IF(K1089=1,N('ORDENES'!$M1085),0)</f>
        <v/>
      </c>
      <c r="O1089" s="25">
        <f>IF('ORDENES'!$U1085="preventiva",N1089,0)</f>
        <v/>
      </c>
      <c r="P1089" s="25">
        <f>IF('ORDENES'!$U1085="correctiva",N1089,0)</f>
        <v/>
      </c>
      <c r="Q1089" s="24">
        <f>IF(AND(K1089=1,'ORDENES'!$N1085="Pendiente"),1,0)</f>
        <v/>
      </c>
      <c r="R1089" s="24">
        <f>IF(Q1089=1,100000-N1089*1000+1082*0.01,9000000000000+1082)</f>
        <v/>
      </c>
      <c r="S1089" s="24">
        <f>IF(Q1089=1,SUMPRODUCT(--($R$8:$R$1207&lt;R1089))+1,"")</f>
        <v/>
      </c>
      <c r="T1089" s="30">
        <f>IF(K1089=1,'ORDENES'!$J1085,"")</f>
        <v/>
      </c>
    </row>
    <row r="1090">
      <c r="K1090" s="24">
        <f>IF(AND(IF($B$3="(todos)",TRUE,'ORDENES'!$O1086=$B$3),IF($D$3="(todos)",TRUE,'ORDENES'!$AI1086=$D$3),IF($F$3="(todos)",TRUE,'ORDENES'!$AA1086=$F$3),IF($H$3="(todos)",TRUE,'ORDENES'!$Z1086=$H$3),'ORDENES'!$AG1086=TRUE,'ORDENES'!$A1086&lt;&gt;""),1,0)</f>
        <v/>
      </c>
      <c r="L1090" s="24">
        <f>IF(K1090=1,IFERROR(MATCH('ORDENES'!$S1086,lista_dias,0),9)*1000000000+IFERROR(MATCH('ORDENES'!$AI1086,lista_turnos,0),9)*10000000+IFERROR(MATCH('ORDENES'!$AH1086,'TECNICOS'!$B$4:$B$19,0),99)*100000+1083,9000000000000+1083)</f>
        <v/>
      </c>
      <c r="M1090" s="24">
        <f>IF(K1090=1,SUMPRODUCT(--($L$8:$L$1207&lt;L1090))+1,"")</f>
        <v/>
      </c>
      <c r="N1090" s="25">
        <f>IF(K1090=1,N('ORDENES'!$M1086),0)</f>
        <v/>
      </c>
      <c r="O1090" s="25">
        <f>IF('ORDENES'!$U1086="preventiva",N1090,0)</f>
        <v/>
      </c>
      <c r="P1090" s="25">
        <f>IF('ORDENES'!$U1086="correctiva",N1090,0)</f>
        <v/>
      </c>
      <c r="Q1090" s="24">
        <f>IF(AND(K1090=1,'ORDENES'!$N1086="Pendiente"),1,0)</f>
        <v/>
      </c>
      <c r="R1090" s="24">
        <f>IF(Q1090=1,100000-N1090*1000+1083*0.01,9000000000000+1083)</f>
        <v/>
      </c>
      <c r="S1090" s="24">
        <f>IF(Q1090=1,SUMPRODUCT(--($R$8:$R$1207&lt;R1090))+1,"")</f>
        <v/>
      </c>
      <c r="T1090" s="30">
        <f>IF(K1090=1,'ORDENES'!$J1086,"")</f>
        <v/>
      </c>
    </row>
    <row r="1091">
      <c r="K1091" s="24">
        <f>IF(AND(IF($B$3="(todos)",TRUE,'ORDENES'!$O1087=$B$3),IF($D$3="(todos)",TRUE,'ORDENES'!$AI1087=$D$3),IF($F$3="(todos)",TRUE,'ORDENES'!$AA1087=$F$3),IF($H$3="(todos)",TRUE,'ORDENES'!$Z1087=$H$3),'ORDENES'!$AG1087=TRUE,'ORDENES'!$A1087&lt;&gt;""),1,0)</f>
        <v/>
      </c>
      <c r="L1091" s="24">
        <f>IF(K1091=1,IFERROR(MATCH('ORDENES'!$S1087,lista_dias,0),9)*1000000000+IFERROR(MATCH('ORDENES'!$AI1087,lista_turnos,0),9)*10000000+IFERROR(MATCH('ORDENES'!$AH1087,'TECNICOS'!$B$4:$B$19,0),99)*100000+1084,9000000000000+1084)</f>
        <v/>
      </c>
      <c r="M1091" s="24">
        <f>IF(K1091=1,SUMPRODUCT(--($L$8:$L$1207&lt;L1091))+1,"")</f>
        <v/>
      </c>
      <c r="N1091" s="25">
        <f>IF(K1091=1,N('ORDENES'!$M1087),0)</f>
        <v/>
      </c>
      <c r="O1091" s="25">
        <f>IF('ORDENES'!$U1087="preventiva",N1091,0)</f>
        <v/>
      </c>
      <c r="P1091" s="25">
        <f>IF('ORDENES'!$U1087="correctiva",N1091,0)</f>
        <v/>
      </c>
      <c r="Q1091" s="24">
        <f>IF(AND(K1091=1,'ORDENES'!$N1087="Pendiente"),1,0)</f>
        <v/>
      </c>
      <c r="R1091" s="24">
        <f>IF(Q1091=1,100000-N1091*1000+1084*0.01,9000000000000+1084)</f>
        <v/>
      </c>
      <c r="S1091" s="24">
        <f>IF(Q1091=1,SUMPRODUCT(--($R$8:$R$1207&lt;R1091))+1,"")</f>
        <v/>
      </c>
      <c r="T1091" s="30">
        <f>IF(K1091=1,'ORDENES'!$J1087,"")</f>
        <v/>
      </c>
    </row>
    <row r="1092">
      <c r="K1092" s="24">
        <f>IF(AND(IF($B$3="(todos)",TRUE,'ORDENES'!$O1088=$B$3),IF($D$3="(todos)",TRUE,'ORDENES'!$AI1088=$D$3),IF($F$3="(todos)",TRUE,'ORDENES'!$AA1088=$F$3),IF($H$3="(todos)",TRUE,'ORDENES'!$Z1088=$H$3),'ORDENES'!$AG1088=TRUE,'ORDENES'!$A1088&lt;&gt;""),1,0)</f>
        <v/>
      </c>
      <c r="L1092" s="24">
        <f>IF(K1092=1,IFERROR(MATCH('ORDENES'!$S1088,lista_dias,0),9)*1000000000+IFERROR(MATCH('ORDENES'!$AI1088,lista_turnos,0),9)*10000000+IFERROR(MATCH('ORDENES'!$AH1088,'TECNICOS'!$B$4:$B$19,0),99)*100000+1085,9000000000000+1085)</f>
        <v/>
      </c>
      <c r="M1092" s="24">
        <f>IF(K1092=1,SUMPRODUCT(--($L$8:$L$1207&lt;L1092))+1,"")</f>
        <v/>
      </c>
      <c r="N1092" s="25">
        <f>IF(K1092=1,N('ORDENES'!$M1088),0)</f>
        <v/>
      </c>
      <c r="O1092" s="25">
        <f>IF('ORDENES'!$U1088="preventiva",N1092,0)</f>
        <v/>
      </c>
      <c r="P1092" s="25">
        <f>IF('ORDENES'!$U1088="correctiva",N1092,0)</f>
        <v/>
      </c>
      <c r="Q1092" s="24">
        <f>IF(AND(K1092=1,'ORDENES'!$N1088="Pendiente"),1,0)</f>
        <v/>
      </c>
      <c r="R1092" s="24">
        <f>IF(Q1092=1,100000-N1092*1000+1085*0.01,9000000000000+1085)</f>
        <v/>
      </c>
      <c r="S1092" s="24">
        <f>IF(Q1092=1,SUMPRODUCT(--($R$8:$R$1207&lt;R1092))+1,"")</f>
        <v/>
      </c>
      <c r="T1092" s="30">
        <f>IF(K1092=1,'ORDENES'!$J1088,"")</f>
        <v/>
      </c>
    </row>
    <row r="1093">
      <c r="K1093" s="24">
        <f>IF(AND(IF($B$3="(todos)",TRUE,'ORDENES'!$O1089=$B$3),IF($D$3="(todos)",TRUE,'ORDENES'!$AI1089=$D$3),IF($F$3="(todos)",TRUE,'ORDENES'!$AA1089=$F$3),IF($H$3="(todos)",TRUE,'ORDENES'!$Z1089=$H$3),'ORDENES'!$AG1089=TRUE,'ORDENES'!$A1089&lt;&gt;""),1,0)</f>
        <v/>
      </c>
      <c r="L1093" s="24">
        <f>IF(K1093=1,IFERROR(MATCH('ORDENES'!$S1089,lista_dias,0),9)*1000000000+IFERROR(MATCH('ORDENES'!$AI1089,lista_turnos,0),9)*10000000+IFERROR(MATCH('ORDENES'!$AH1089,'TECNICOS'!$B$4:$B$19,0),99)*100000+1086,9000000000000+1086)</f>
        <v/>
      </c>
      <c r="M1093" s="24">
        <f>IF(K1093=1,SUMPRODUCT(--($L$8:$L$1207&lt;L1093))+1,"")</f>
        <v/>
      </c>
      <c r="N1093" s="25">
        <f>IF(K1093=1,N('ORDENES'!$M1089),0)</f>
        <v/>
      </c>
      <c r="O1093" s="25">
        <f>IF('ORDENES'!$U1089="preventiva",N1093,0)</f>
        <v/>
      </c>
      <c r="P1093" s="25">
        <f>IF('ORDENES'!$U1089="correctiva",N1093,0)</f>
        <v/>
      </c>
      <c r="Q1093" s="24">
        <f>IF(AND(K1093=1,'ORDENES'!$N1089="Pendiente"),1,0)</f>
        <v/>
      </c>
      <c r="R1093" s="24">
        <f>IF(Q1093=1,100000-N1093*1000+1086*0.01,9000000000000+1086)</f>
        <v/>
      </c>
      <c r="S1093" s="24">
        <f>IF(Q1093=1,SUMPRODUCT(--($R$8:$R$1207&lt;R1093))+1,"")</f>
        <v/>
      </c>
      <c r="T1093" s="30">
        <f>IF(K1093=1,'ORDENES'!$J1089,"")</f>
        <v/>
      </c>
    </row>
    <row r="1094">
      <c r="K1094" s="24">
        <f>IF(AND(IF($B$3="(todos)",TRUE,'ORDENES'!$O1090=$B$3),IF($D$3="(todos)",TRUE,'ORDENES'!$AI1090=$D$3),IF($F$3="(todos)",TRUE,'ORDENES'!$AA1090=$F$3),IF($H$3="(todos)",TRUE,'ORDENES'!$Z1090=$H$3),'ORDENES'!$AG1090=TRUE,'ORDENES'!$A1090&lt;&gt;""),1,0)</f>
        <v/>
      </c>
      <c r="L1094" s="24">
        <f>IF(K1094=1,IFERROR(MATCH('ORDENES'!$S1090,lista_dias,0),9)*1000000000+IFERROR(MATCH('ORDENES'!$AI1090,lista_turnos,0),9)*10000000+IFERROR(MATCH('ORDENES'!$AH1090,'TECNICOS'!$B$4:$B$19,0),99)*100000+1087,9000000000000+1087)</f>
        <v/>
      </c>
      <c r="M1094" s="24">
        <f>IF(K1094=1,SUMPRODUCT(--($L$8:$L$1207&lt;L1094))+1,"")</f>
        <v/>
      </c>
      <c r="N1094" s="25">
        <f>IF(K1094=1,N('ORDENES'!$M1090),0)</f>
        <v/>
      </c>
      <c r="O1094" s="25">
        <f>IF('ORDENES'!$U1090="preventiva",N1094,0)</f>
        <v/>
      </c>
      <c r="P1094" s="25">
        <f>IF('ORDENES'!$U1090="correctiva",N1094,0)</f>
        <v/>
      </c>
      <c r="Q1094" s="24">
        <f>IF(AND(K1094=1,'ORDENES'!$N1090="Pendiente"),1,0)</f>
        <v/>
      </c>
      <c r="R1094" s="24">
        <f>IF(Q1094=1,100000-N1094*1000+1087*0.01,9000000000000+1087)</f>
        <v/>
      </c>
      <c r="S1094" s="24">
        <f>IF(Q1094=1,SUMPRODUCT(--($R$8:$R$1207&lt;R1094))+1,"")</f>
        <v/>
      </c>
      <c r="T1094" s="30">
        <f>IF(K1094=1,'ORDENES'!$J1090,"")</f>
        <v/>
      </c>
    </row>
    <row r="1095">
      <c r="K1095" s="24">
        <f>IF(AND(IF($B$3="(todos)",TRUE,'ORDENES'!$O1091=$B$3),IF($D$3="(todos)",TRUE,'ORDENES'!$AI1091=$D$3),IF($F$3="(todos)",TRUE,'ORDENES'!$AA1091=$F$3),IF($H$3="(todos)",TRUE,'ORDENES'!$Z1091=$H$3),'ORDENES'!$AG1091=TRUE,'ORDENES'!$A1091&lt;&gt;""),1,0)</f>
        <v/>
      </c>
      <c r="L1095" s="24">
        <f>IF(K1095=1,IFERROR(MATCH('ORDENES'!$S1091,lista_dias,0),9)*1000000000+IFERROR(MATCH('ORDENES'!$AI1091,lista_turnos,0),9)*10000000+IFERROR(MATCH('ORDENES'!$AH1091,'TECNICOS'!$B$4:$B$19,0),99)*100000+1088,9000000000000+1088)</f>
        <v/>
      </c>
      <c r="M1095" s="24">
        <f>IF(K1095=1,SUMPRODUCT(--($L$8:$L$1207&lt;L1095))+1,"")</f>
        <v/>
      </c>
      <c r="N1095" s="25">
        <f>IF(K1095=1,N('ORDENES'!$M1091),0)</f>
        <v/>
      </c>
      <c r="O1095" s="25">
        <f>IF('ORDENES'!$U1091="preventiva",N1095,0)</f>
        <v/>
      </c>
      <c r="P1095" s="25">
        <f>IF('ORDENES'!$U1091="correctiva",N1095,0)</f>
        <v/>
      </c>
      <c r="Q1095" s="24">
        <f>IF(AND(K1095=1,'ORDENES'!$N1091="Pendiente"),1,0)</f>
        <v/>
      </c>
      <c r="R1095" s="24">
        <f>IF(Q1095=1,100000-N1095*1000+1088*0.01,9000000000000+1088)</f>
        <v/>
      </c>
      <c r="S1095" s="24">
        <f>IF(Q1095=1,SUMPRODUCT(--($R$8:$R$1207&lt;R1095))+1,"")</f>
        <v/>
      </c>
      <c r="T1095" s="30">
        <f>IF(K1095=1,'ORDENES'!$J1091,"")</f>
        <v/>
      </c>
    </row>
    <row r="1096">
      <c r="K1096" s="24">
        <f>IF(AND(IF($B$3="(todos)",TRUE,'ORDENES'!$O1092=$B$3),IF($D$3="(todos)",TRUE,'ORDENES'!$AI1092=$D$3),IF($F$3="(todos)",TRUE,'ORDENES'!$AA1092=$F$3),IF($H$3="(todos)",TRUE,'ORDENES'!$Z1092=$H$3),'ORDENES'!$AG1092=TRUE,'ORDENES'!$A1092&lt;&gt;""),1,0)</f>
        <v/>
      </c>
      <c r="L1096" s="24">
        <f>IF(K1096=1,IFERROR(MATCH('ORDENES'!$S1092,lista_dias,0),9)*1000000000+IFERROR(MATCH('ORDENES'!$AI1092,lista_turnos,0),9)*10000000+IFERROR(MATCH('ORDENES'!$AH1092,'TECNICOS'!$B$4:$B$19,0),99)*100000+1089,9000000000000+1089)</f>
        <v/>
      </c>
      <c r="M1096" s="24">
        <f>IF(K1096=1,SUMPRODUCT(--($L$8:$L$1207&lt;L1096))+1,"")</f>
        <v/>
      </c>
      <c r="N1096" s="25">
        <f>IF(K1096=1,N('ORDENES'!$M1092),0)</f>
        <v/>
      </c>
      <c r="O1096" s="25">
        <f>IF('ORDENES'!$U1092="preventiva",N1096,0)</f>
        <v/>
      </c>
      <c r="P1096" s="25">
        <f>IF('ORDENES'!$U1092="correctiva",N1096,0)</f>
        <v/>
      </c>
      <c r="Q1096" s="24">
        <f>IF(AND(K1096=1,'ORDENES'!$N1092="Pendiente"),1,0)</f>
        <v/>
      </c>
      <c r="R1096" s="24">
        <f>IF(Q1096=1,100000-N1096*1000+1089*0.01,9000000000000+1089)</f>
        <v/>
      </c>
      <c r="S1096" s="24">
        <f>IF(Q1096=1,SUMPRODUCT(--($R$8:$R$1207&lt;R1096))+1,"")</f>
        <v/>
      </c>
      <c r="T1096" s="30">
        <f>IF(K1096=1,'ORDENES'!$J1092,"")</f>
        <v/>
      </c>
    </row>
    <row r="1097">
      <c r="K1097" s="24">
        <f>IF(AND(IF($B$3="(todos)",TRUE,'ORDENES'!$O1093=$B$3),IF($D$3="(todos)",TRUE,'ORDENES'!$AI1093=$D$3),IF($F$3="(todos)",TRUE,'ORDENES'!$AA1093=$F$3),IF($H$3="(todos)",TRUE,'ORDENES'!$Z1093=$H$3),'ORDENES'!$AG1093=TRUE,'ORDENES'!$A1093&lt;&gt;""),1,0)</f>
        <v/>
      </c>
      <c r="L1097" s="24">
        <f>IF(K1097=1,IFERROR(MATCH('ORDENES'!$S1093,lista_dias,0),9)*1000000000+IFERROR(MATCH('ORDENES'!$AI1093,lista_turnos,0),9)*10000000+IFERROR(MATCH('ORDENES'!$AH1093,'TECNICOS'!$B$4:$B$19,0),99)*100000+1090,9000000000000+1090)</f>
        <v/>
      </c>
      <c r="M1097" s="24">
        <f>IF(K1097=1,SUMPRODUCT(--($L$8:$L$1207&lt;L1097))+1,"")</f>
        <v/>
      </c>
      <c r="N1097" s="25">
        <f>IF(K1097=1,N('ORDENES'!$M1093),0)</f>
        <v/>
      </c>
      <c r="O1097" s="25">
        <f>IF('ORDENES'!$U1093="preventiva",N1097,0)</f>
        <v/>
      </c>
      <c r="P1097" s="25">
        <f>IF('ORDENES'!$U1093="correctiva",N1097,0)</f>
        <v/>
      </c>
      <c r="Q1097" s="24">
        <f>IF(AND(K1097=1,'ORDENES'!$N1093="Pendiente"),1,0)</f>
        <v/>
      </c>
      <c r="R1097" s="24">
        <f>IF(Q1097=1,100000-N1097*1000+1090*0.01,9000000000000+1090)</f>
        <v/>
      </c>
      <c r="S1097" s="24">
        <f>IF(Q1097=1,SUMPRODUCT(--($R$8:$R$1207&lt;R1097))+1,"")</f>
        <v/>
      </c>
      <c r="T1097" s="30">
        <f>IF(K1097=1,'ORDENES'!$J1093,"")</f>
        <v/>
      </c>
    </row>
    <row r="1098">
      <c r="K1098" s="24">
        <f>IF(AND(IF($B$3="(todos)",TRUE,'ORDENES'!$O1094=$B$3),IF($D$3="(todos)",TRUE,'ORDENES'!$AI1094=$D$3),IF($F$3="(todos)",TRUE,'ORDENES'!$AA1094=$F$3),IF($H$3="(todos)",TRUE,'ORDENES'!$Z1094=$H$3),'ORDENES'!$AG1094=TRUE,'ORDENES'!$A1094&lt;&gt;""),1,0)</f>
        <v/>
      </c>
      <c r="L1098" s="24">
        <f>IF(K1098=1,IFERROR(MATCH('ORDENES'!$S1094,lista_dias,0),9)*1000000000+IFERROR(MATCH('ORDENES'!$AI1094,lista_turnos,0),9)*10000000+IFERROR(MATCH('ORDENES'!$AH1094,'TECNICOS'!$B$4:$B$19,0),99)*100000+1091,9000000000000+1091)</f>
        <v/>
      </c>
      <c r="M1098" s="24">
        <f>IF(K1098=1,SUMPRODUCT(--($L$8:$L$1207&lt;L1098))+1,"")</f>
        <v/>
      </c>
      <c r="N1098" s="25">
        <f>IF(K1098=1,N('ORDENES'!$M1094),0)</f>
        <v/>
      </c>
      <c r="O1098" s="25">
        <f>IF('ORDENES'!$U1094="preventiva",N1098,0)</f>
        <v/>
      </c>
      <c r="P1098" s="25">
        <f>IF('ORDENES'!$U1094="correctiva",N1098,0)</f>
        <v/>
      </c>
      <c r="Q1098" s="24">
        <f>IF(AND(K1098=1,'ORDENES'!$N1094="Pendiente"),1,0)</f>
        <v/>
      </c>
      <c r="R1098" s="24">
        <f>IF(Q1098=1,100000-N1098*1000+1091*0.01,9000000000000+1091)</f>
        <v/>
      </c>
      <c r="S1098" s="24">
        <f>IF(Q1098=1,SUMPRODUCT(--($R$8:$R$1207&lt;R1098))+1,"")</f>
        <v/>
      </c>
      <c r="T1098" s="30">
        <f>IF(K1098=1,'ORDENES'!$J1094,"")</f>
        <v/>
      </c>
    </row>
    <row r="1099">
      <c r="K1099" s="24">
        <f>IF(AND(IF($B$3="(todos)",TRUE,'ORDENES'!$O1095=$B$3),IF($D$3="(todos)",TRUE,'ORDENES'!$AI1095=$D$3),IF($F$3="(todos)",TRUE,'ORDENES'!$AA1095=$F$3),IF($H$3="(todos)",TRUE,'ORDENES'!$Z1095=$H$3),'ORDENES'!$AG1095=TRUE,'ORDENES'!$A1095&lt;&gt;""),1,0)</f>
        <v/>
      </c>
      <c r="L1099" s="24">
        <f>IF(K1099=1,IFERROR(MATCH('ORDENES'!$S1095,lista_dias,0),9)*1000000000+IFERROR(MATCH('ORDENES'!$AI1095,lista_turnos,0),9)*10000000+IFERROR(MATCH('ORDENES'!$AH1095,'TECNICOS'!$B$4:$B$19,0),99)*100000+1092,9000000000000+1092)</f>
        <v/>
      </c>
      <c r="M1099" s="24">
        <f>IF(K1099=1,SUMPRODUCT(--($L$8:$L$1207&lt;L1099))+1,"")</f>
        <v/>
      </c>
      <c r="N1099" s="25">
        <f>IF(K1099=1,N('ORDENES'!$M1095),0)</f>
        <v/>
      </c>
      <c r="O1099" s="25">
        <f>IF('ORDENES'!$U1095="preventiva",N1099,0)</f>
        <v/>
      </c>
      <c r="P1099" s="25">
        <f>IF('ORDENES'!$U1095="correctiva",N1099,0)</f>
        <v/>
      </c>
      <c r="Q1099" s="24">
        <f>IF(AND(K1099=1,'ORDENES'!$N1095="Pendiente"),1,0)</f>
        <v/>
      </c>
      <c r="R1099" s="24">
        <f>IF(Q1099=1,100000-N1099*1000+1092*0.01,9000000000000+1092)</f>
        <v/>
      </c>
      <c r="S1099" s="24">
        <f>IF(Q1099=1,SUMPRODUCT(--($R$8:$R$1207&lt;R1099))+1,"")</f>
        <v/>
      </c>
      <c r="T1099" s="30">
        <f>IF(K1099=1,'ORDENES'!$J1095,"")</f>
        <v/>
      </c>
    </row>
    <row r="1100">
      <c r="K1100" s="24">
        <f>IF(AND(IF($B$3="(todos)",TRUE,'ORDENES'!$O1096=$B$3),IF($D$3="(todos)",TRUE,'ORDENES'!$AI1096=$D$3),IF($F$3="(todos)",TRUE,'ORDENES'!$AA1096=$F$3),IF($H$3="(todos)",TRUE,'ORDENES'!$Z1096=$H$3),'ORDENES'!$AG1096=TRUE,'ORDENES'!$A1096&lt;&gt;""),1,0)</f>
        <v/>
      </c>
      <c r="L1100" s="24">
        <f>IF(K1100=1,IFERROR(MATCH('ORDENES'!$S1096,lista_dias,0),9)*1000000000+IFERROR(MATCH('ORDENES'!$AI1096,lista_turnos,0),9)*10000000+IFERROR(MATCH('ORDENES'!$AH1096,'TECNICOS'!$B$4:$B$19,0),99)*100000+1093,9000000000000+1093)</f>
        <v/>
      </c>
      <c r="M1100" s="24">
        <f>IF(K1100=1,SUMPRODUCT(--($L$8:$L$1207&lt;L1100))+1,"")</f>
        <v/>
      </c>
      <c r="N1100" s="25">
        <f>IF(K1100=1,N('ORDENES'!$M1096),0)</f>
        <v/>
      </c>
      <c r="O1100" s="25">
        <f>IF('ORDENES'!$U1096="preventiva",N1100,0)</f>
        <v/>
      </c>
      <c r="P1100" s="25">
        <f>IF('ORDENES'!$U1096="correctiva",N1100,0)</f>
        <v/>
      </c>
      <c r="Q1100" s="24">
        <f>IF(AND(K1100=1,'ORDENES'!$N1096="Pendiente"),1,0)</f>
        <v/>
      </c>
      <c r="R1100" s="24">
        <f>IF(Q1100=1,100000-N1100*1000+1093*0.01,9000000000000+1093)</f>
        <v/>
      </c>
      <c r="S1100" s="24">
        <f>IF(Q1100=1,SUMPRODUCT(--($R$8:$R$1207&lt;R1100))+1,"")</f>
        <v/>
      </c>
      <c r="T1100" s="30">
        <f>IF(K1100=1,'ORDENES'!$J1096,"")</f>
        <v/>
      </c>
    </row>
    <row r="1101">
      <c r="K1101" s="24">
        <f>IF(AND(IF($B$3="(todos)",TRUE,'ORDENES'!$O1097=$B$3),IF($D$3="(todos)",TRUE,'ORDENES'!$AI1097=$D$3),IF($F$3="(todos)",TRUE,'ORDENES'!$AA1097=$F$3),IF($H$3="(todos)",TRUE,'ORDENES'!$Z1097=$H$3),'ORDENES'!$AG1097=TRUE,'ORDENES'!$A1097&lt;&gt;""),1,0)</f>
        <v/>
      </c>
      <c r="L1101" s="24">
        <f>IF(K1101=1,IFERROR(MATCH('ORDENES'!$S1097,lista_dias,0),9)*1000000000+IFERROR(MATCH('ORDENES'!$AI1097,lista_turnos,0),9)*10000000+IFERROR(MATCH('ORDENES'!$AH1097,'TECNICOS'!$B$4:$B$19,0),99)*100000+1094,9000000000000+1094)</f>
        <v/>
      </c>
      <c r="M1101" s="24">
        <f>IF(K1101=1,SUMPRODUCT(--($L$8:$L$1207&lt;L1101))+1,"")</f>
        <v/>
      </c>
      <c r="N1101" s="25">
        <f>IF(K1101=1,N('ORDENES'!$M1097),0)</f>
        <v/>
      </c>
      <c r="O1101" s="25">
        <f>IF('ORDENES'!$U1097="preventiva",N1101,0)</f>
        <v/>
      </c>
      <c r="P1101" s="25">
        <f>IF('ORDENES'!$U1097="correctiva",N1101,0)</f>
        <v/>
      </c>
      <c r="Q1101" s="24">
        <f>IF(AND(K1101=1,'ORDENES'!$N1097="Pendiente"),1,0)</f>
        <v/>
      </c>
      <c r="R1101" s="24">
        <f>IF(Q1101=1,100000-N1101*1000+1094*0.01,9000000000000+1094)</f>
        <v/>
      </c>
      <c r="S1101" s="24">
        <f>IF(Q1101=1,SUMPRODUCT(--($R$8:$R$1207&lt;R1101))+1,"")</f>
        <v/>
      </c>
      <c r="T1101" s="30">
        <f>IF(K1101=1,'ORDENES'!$J1097,"")</f>
        <v/>
      </c>
    </row>
    <row r="1102">
      <c r="K1102" s="24">
        <f>IF(AND(IF($B$3="(todos)",TRUE,'ORDENES'!$O1098=$B$3),IF($D$3="(todos)",TRUE,'ORDENES'!$AI1098=$D$3),IF($F$3="(todos)",TRUE,'ORDENES'!$AA1098=$F$3),IF($H$3="(todos)",TRUE,'ORDENES'!$Z1098=$H$3),'ORDENES'!$AG1098=TRUE,'ORDENES'!$A1098&lt;&gt;""),1,0)</f>
        <v/>
      </c>
      <c r="L1102" s="24">
        <f>IF(K1102=1,IFERROR(MATCH('ORDENES'!$S1098,lista_dias,0),9)*1000000000+IFERROR(MATCH('ORDENES'!$AI1098,lista_turnos,0),9)*10000000+IFERROR(MATCH('ORDENES'!$AH1098,'TECNICOS'!$B$4:$B$19,0),99)*100000+1095,9000000000000+1095)</f>
        <v/>
      </c>
      <c r="M1102" s="24">
        <f>IF(K1102=1,SUMPRODUCT(--($L$8:$L$1207&lt;L1102))+1,"")</f>
        <v/>
      </c>
      <c r="N1102" s="25">
        <f>IF(K1102=1,N('ORDENES'!$M1098),0)</f>
        <v/>
      </c>
      <c r="O1102" s="25">
        <f>IF('ORDENES'!$U1098="preventiva",N1102,0)</f>
        <v/>
      </c>
      <c r="P1102" s="25">
        <f>IF('ORDENES'!$U1098="correctiva",N1102,0)</f>
        <v/>
      </c>
      <c r="Q1102" s="24">
        <f>IF(AND(K1102=1,'ORDENES'!$N1098="Pendiente"),1,0)</f>
        <v/>
      </c>
      <c r="R1102" s="24">
        <f>IF(Q1102=1,100000-N1102*1000+1095*0.01,9000000000000+1095)</f>
        <v/>
      </c>
      <c r="S1102" s="24">
        <f>IF(Q1102=1,SUMPRODUCT(--($R$8:$R$1207&lt;R1102))+1,"")</f>
        <v/>
      </c>
      <c r="T1102" s="30">
        <f>IF(K1102=1,'ORDENES'!$J1098,"")</f>
        <v/>
      </c>
    </row>
    <row r="1103">
      <c r="K1103" s="24">
        <f>IF(AND(IF($B$3="(todos)",TRUE,'ORDENES'!$O1099=$B$3),IF($D$3="(todos)",TRUE,'ORDENES'!$AI1099=$D$3),IF($F$3="(todos)",TRUE,'ORDENES'!$AA1099=$F$3),IF($H$3="(todos)",TRUE,'ORDENES'!$Z1099=$H$3),'ORDENES'!$AG1099=TRUE,'ORDENES'!$A1099&lt;&gt;""),1,0)</f>
        <v/>
      </c>
      <c r="L1103" s="24">
        <f>IF(K1103=1,IFERROR(MATCH('ORDENES'!$S1099,lista_dias,0),9)*1000000000+IFERROR(MATCH('ORDENES'!$AI1099,lista_turnos,0),9)*10000000+IFERROR(MATCH('ORDENES'!$AH1099,'TECNICOS'!$B$4:$B$19,0),99)*100000+1096,9000000000000+1096)</f>
        <v/>
      </c>
      <c r="M1103" s="24">
        <f>IF(K1103=1,SUMPRODUCT(--($L$8:$L$1207&lt;L1103))+1,"")</f>
        <v/>
      </c>
      <c r="N1103" s="25">
        <f>IF(K1103=1,N('ORDENES'!$M1099),0)</f>
        <v/>
      </c>
      <c r="O1103" s="25">
        <f>IF('ORDENES'!$U1099="preventiva",N1103,0)</f>
        <v/>
      </c>
      <c r="P1103" s="25">
        <f>IF('ORDENES'!$U1099="correctiva",N1103,0)</f>
        <v/>
      </c>
      <c r="Q1103" s="24">
        <f>IF(AND(K1103=1,'ORDENES'!$N1099="Pendiente"),1,0)</f>
        <v/>
      </c>
      <c r="R1103" s="24">
        <f>IF(Q1103=1,100000-N1103*1000+1096*0.01,9000000000000+1096)</f>
        <v/>
      </c>
      <c r="S1103" s="24">
        <f>IF(Q1103=1,SUMPRODUCT(--($R$8:$R$1207&lt;R1103))+1,"")</f>
        <v/>
      </c>
      <c r="T1103" s="30">
        <f>IF(K1103=1,'ORDENES'!$J1099,"")</f>
        <v/>
      </c>
    </row>
    <row r="1104">
      <c r="K1104" s="24">
        <f>IF(AND(IF($B$3="(todos)",TRUE,'ORDENES'!$O1100=$B$3),IF($D$3="(todos)",TRUE,'ORDENES'!$AI1100=$D$3),IF($F$3="(todos)",TRUE,'ORDENES'!$AA1100=$F$3),IF($H$3="(todos)",TRUE,'ORDENES'!$Z1100=$H$3),'ORDENES'!$AG1100=TRUE,'ORDENES'!$A1100&lt;&gt;""),1,0)</f>
        <v/>
      </c>
      <c r="L1104" s="24">
        <f>IF(K1104=1,IFERROR(MATCH('ORDENES'!$S1100,lista_dias,0),9)*1000000000+IFERROR(MATCH('ORDENES'!$AI1100,lista_turnos,0),9)*10000000+IFERROR(MATCH('ORDENES'!$AH1100,'TECNICOS'!$B$4:$B$19,0),99)*100000+1097,9000000000000+1097)</f>
        <v/>
      </c>
      <c r="M1104" s="24">
        <f>IF(K1104=1,SUMPRODUCT(--($L$8:$L$1207&lt;L1104))+1,"")</f>
        <v/>
      </c>
      <c r="N1104" s="25">
        <f>IF(K1104=1,N('ORDENES'!$M1100),0)</f>
        <v/>
      </c>
      <c r="O1104" s="25">
        <f>IF('ORDENES'!$U1100="preventiva",N1104,0)</f>
        <v/>
      </c>
      <c r="P1104" s="25">
        <f>IF('ORDENES'!$U1100="correctiva",N1104,0)</f>
        <v/>
      </c>
      <c r="Q1104" s="24">
        <f>IF(AND(K1104=1,'ORDENES'!$N1100="Pendiente"),1,0)</f>
        <v/>
      </c>
      <c r="R1104" s="24">
        <f>IF(Q1104=1,100000-N1104*1000+1097*0.01,9000000000000+1097)</f>
        <v/>
      </c>
      <c r="S1104" s="24">
        <f>IF(Q1104=1,SUMPRODUCT(--($R$8:$R$1207&lt;R1104))+1,"")</f>
        <v/>
      </c>
      <c r="T1104" s="30">
        <f>IF(K1104=1,'ORDENES'!$J1100,"")</f>
        <v/>
      </c>
    </row>
    <row r="1105">
      <c r="K1105" s="24">
        <f>IF(AND(IF($B$3="(todos)",TRUE,'ORDENES'!$O1101=$B$3),IF($D$3="(todos)",TRUE,'ORDENES'!$AI1101=$D$3),IF($F$3="(todos)",TRUE,'ORDENES'!$AA1101=$F$3),IF($H$3="(todos)",TRUE,'ORDENES'!$Z1101=$H$3),'ORDENES'!$AG1101=TRUE,'ORDENES'!$A1101&lt;&gt;""),1,0)</f>
        <v/>
      </c>
      <c r="L1105" s="24">
        <f>IF(K1105=1,IFERROR(MATCH('ORDENES'!$S1101,lista_dias,0),9)*1000000000+IFERROR(MATCH('ORDENES'!$AI1101,lista_turnos,0),9)*10000000+IFERROR(MATCH('ORDENES'!$AH1101,'TECNICOS'!$B$4:$B$19,0),99)*100000+1098,9000000000000+1098)</f>
        <v/>
      </c>
      <c r="M1105" s="24">
        <f>IF(K1105=1,SUMPRODUCT(--($L$8:$L$1207&lt;L1105))+1,"")</f>
        <v/>
      </c>
      <c r="N1105" s="25">
        <f>IF(K1105=1,N('ORDENES'!$M1101),0)</f>
        <v/>
      </c>
      <c r="O1105" s="25">
        <f>IF('ORDENES'!$U1101="preventiva",N1105,0)</f>
        <v/>
      </c>
      <c r="P1105" s="25">
        <f>IF('ORDENES'!$U1101="correctiva",N1105,0)</f>
        <v/>
      </c>
      <c r="Q1105" s="24">
        <f>IF(AND(K1105=1,'ORDENES'!$N1101="Pendiente"),1,0)</f>
        <v/>
      </c>
      <c r="R1105" s="24">
        <f>IF(Q1105=1,100000-N1105*1000+1098*0.01,9000000000000+1098)</f>
        <v/>
      </c>
      <c r="S1105" s="24">
        <f>IF(Q1105=1,SUMPRODUCT(--($R$8:$R$1207&lt;R1105))+1,"")</f>
        <v/>
      </c>
      <c r="T1105" s="30">
        <f>IF(K1105=1,'ORDENES'!$J1101,"")</f>
        <v/>
      </c>
    </row>
    <row r="1106">
      <c r="K1106" s="24">
        <f>IF(AND(IF($B$3="(todos)",TRUE,'ORDENES'!$O1102=$B$3),IF($D$3="(todos)",TRUE,'ORDENES'!$AI1102=$D$3),IF($F$3="(todos)",TRUE,'ORDENES'!$AA1102=$F$3),IF($H$3="(todos)",TRUE,'ORDENES'!$Z1102=$H$3),'ORDENES'!$AG1102=TRUE,'ORDENES'!$A1102&lt;&gt;""),1,0)</f>
        <v/>
      </c>
      <c r="L1106" s="24">
        <f>IF(K1106=1,IFERROR(MATCH('ORDENES'!$S1102,lista_dias,0),9)*1000000000+IFERROR(MATCH('ORDENES'!$AI1102,lista_turnos,0),9)*10000000+IFERROR(MATCH('ORDENES'!$AH1102,'TECNICOS'!$B$4:$B$19,0),99)*100000+1099,9000000000000+1099)</f>
        <v/>
      </c>
      <c r="M1106" s="24">
        <f>IF(K1106=1,SUMPRODUCT(--($L$8:$L$1207&lt;L1106))+1,"")</f>
        <v/>
      </c>
      <c r="N1106" s="25">
        <f>IF(K1106=1,N('ORDENES'!$M1102),0)</f>
        <v/>
      </c>
      <c r="O1106" s="25">
        <f>IF('ORDENES'!$U1102="preventiva",N1106,0)</f>
        <v/>
      </c>
      <c r="P1106" s="25">
        <f>IF('ORDENES'!$U1102="correctiva",N1106,0)</f>
        <v/>
      </c>
      <c r="Q1106" s="24">
        <f>IF(AND(K1106=1,'ORDENES'!$N1102="Pendiente"),1,0)</f>
        <v/>
      </c>
      <c r="R1106" s="24">
        <f>IF(Q1106=1,100000-N1106*1000+1099*0.01,9000000000000+1099)</f>
        <v/>
      </c>
      <c r="S1106" s="24">
        <f>IF(Q1106=1,SUMPRODUCT(--($R$8:$R$1207&lt;R1106))+1,"")</f>
        <v/>
      </c>
      <c r="T1106" s="30">
        <f>IF(K1106=1,'ORDENES'!$J1102,"")</f>
        <v/>
      </c>
    </row>
    <row r="1107">
      <c r="K1107" s="24">
        <f>IF(AND(IF($B$3="(todos)",TRUE,'ORDENES'!$O1103=$B$3),IF($D$3="(todos)",TRUE,'ORDENES'!$AI1103=$D$3),IF($F$3="(todos)",TRUE,'ORDENES'!$AA1103=$F$3),IF($H$3="(todos)",TRUE,'ORDENES'!$Z1103=$H$3),'ORDENES'!$AG1103=TRUE,'ORDENES'!$A1103&lt;&gt;""),1,0)</f>
        <v/>
      </c>
      <c r="L1107" s="24">
        <f>IF(K1107=1,IFERROR(MATCH('ORDENES'!$S1103,lista_dias,0),9)*1000000000+IFERROR(MATCH('ORDENES'!$AI1103,lista_turnos,0),9)*10000000+IFERROR(MATCH('ORDENES'!$AH1103,'TECNICOS'!$B$4:$B$19,0),99)*100000+1100,9000000000000+1100)</f>
        <v/>
      </c>
      <c r="M1107" s="24">
        <f>IF(K1107=1,SUMPRODUCT(--($L$8:$L$1207&lt;L1107))+1,"")</f>
        <v/>
      </c>
      <c r="N1107" s="25">
        <f>IF(K1107=1,N('ORDENES'!$M1103),0)</f>
        <v/>
      </c>
      <c r="O1107" s="25">
        <f>IF('ORDENES'!$U1103="preventiva",N1107,0)</f>
        <v/>
      </c>
      <c r="P1107" s="25">
        <f>IF('ORDENES'!$U1103="correctiva",N1107,0)</f>
        <v/>
      </c>
      <c r="Q1107" s="24">
        <f>IF(AND(K1107=1,'ORDENES'!$N1103="Pendiente"),1,0)</f>
        <v/>
      </c>
      <c r="R1107" s="24">
        <f>IF(Q1107=1,100000-N1107*1000+1100*0.01,9000000000000+1100)</f>
        <v/>
      </c>
      <c r="S1107" s="24">
        <f>IF(Q1107=1,SUMPRODUCT(--($R$8:$R$1207&lt;R1107))+1,"")</f>
        <v/>
      </c>
      <c r="T1107" s="30">
        <f>IF(K1107=1,'ORDENES'!$J1103,"")</f>
        <v/>
      </c>
    </row>
    <row r="1108">
      <c r="K1108" s="24">
        <f>IF(AND(IF($B$3="(todos)",TRUE,'ORDENES'!$O1104=$B$3),IF($D$3="(todos)",TRUE,'ORDENES'!$AI1104=$D$3),IF($F$3="(todos)",TRUE,'ORDENES'!$AA1104=$F$3),IF($H$3="(todos)",TRUE,'ORDENES'!$Z1104=$H$3),'ORDENES'!$AG1104=TRUE,'ORDENES'!$A1104&lt;&gt;""),1,0)</f>
        <v/>
      </c>
      <c r="L1108" s="24">
        <f>IF(K1108=1,IFERROR(MATCH('ORDENES'!$S1104,lista_dias,0),9)*1000000000+IFERROR(MATCH('ORDENES'!$AI1104,lista_turnos,0),9)*10000000+IFERROR(MATCH('ORDENES'!$AH1104,'TECNICOS'!$B$4:$B$19,0),99)*100000+1101,9000000000000+1101)</f>
        <v/>
      </c>
      <c r="M1108" s="24">
        <f>IF(K1108=1,SUMPRODUCT(--($L$8:$L$1207&lt;L1108))+1,"")</f>
        <v/>
      </c>
      <c r="N1108" s="25">
        <f>IF(K1108=1,N('ORDENES'!$M1104),0)</f>
        <v/>
      </c>
      <c r="O1108" s="25">
        <f>IF('ORDENES'!$U1104="preventiva",N1108,0)</f>
        <v/>
      </c>
      <c r="P1108" s="25">
        <f>IF('ORDENES'!$U1104="correctiva",N1108,0)</f>
        <v/>
      </c>
      <c r="Q1108" s="24">
        <f>IF(AND(K1108=1,'ORDENES'!$N1104="Pendiente"),1,0)</f>
        <v/>
      </c>
      <c r="R1108" s="24">
        <f>IF(Q1108=1,100000-N1108*1000+1101*0.01,9000000000000+1101)</f>
        <v/>
      </c>
      <c r="S1108" s="24">
        <f>IF(Q1108=1,SUMPRODUCT(--($R$8:$R$1207&lt;R1108))+1,"")</f>
        <v/>
      </c>
      <c r="T1108" s="30">
        <f>IF(K1108=1,'ORDENES'!$J1104,"")</f>
        <v/>
      </c>
    </row>
    <row r="1109">
      <c r="K1109" s="24">
        <f>IF(AND(IF($B$3="(todos)",TRUE,'ORDENES'!$O1105=$B$3),IF($D$3="(todos)",TRUE,'ORDENES'!$AI1105=$D$3),IF($F$3="(todos)",TRUE,'ORDENES'!$AA1105=$F$3),IF($H$3="(todos)",TRUE,'ORDENES'!$Z1105=$H$3),'ORDENES'!$AG1105=TRUE,'ORDENES'!$A1105&lt;&gt;""),1,0)</f>
        <v/>
      </c>
      <c r="L1109" s="24">
        <f>IF(K1109=1,IFERROR(MATCH('ORDENES'!$S1105,lista_dias,0),9)*1000000000+IFERROR(MATCH('ORDENES'!$AI1105,lista_turnos,0),9)*10000000+IFERROR(MATCH('ORDENES'!$AH1105,'TECNICOS'!$B$4:$B$19,0),99)*100000+1102,9000000000000+1102)</f>
        <v/>
      </c>
      <c r="M1109" s="24">
        <f>IF(K1109=1,SUMPRODUCT(--($L$8:$L$1207&lt;L1109))+1,"")</f>
        <v/>
      </c>
      <c r="N1109" s="25">
        <f>IF(K1109=1,N('ORDENES'!$M1105),0)</f>
        <v/>
      </c>
      <c r="O1109" s="25">
        <f>IF('ORDENES'!$U1105="preventiva",N1109,0)</f>
        <v/>
      </c>
      <c r="P1109" s="25">
        <f>IF('ORDENES'!$U1105="correctiva",N1109,0)</f>
        <v/>
      </c>
      <c r="Q1109" s="24">
        <f>IF(AND(K1109=1,'ORDENES'!$N1105="Pendiente"),1,0)</f>
        <v/>
      </c>
      <c r="R1109" s="24">
        <f>IF(Q1109=1,100000-N1109*1000+1102*0.01,9000000000000+1102)</f>
        <v/>
      </c>
      <c r="S1109" s="24">
        <f>IF(Q1109=1,SUMPRODUCT(--($R$8:$R$1207&lt;R1109))+1,"")</f>
        <v/>
      </c>
      <c r="T1109" s="30">
        <f>IF(K1109=1,'ORDENES'!$J1105,"")</f>
        <v/>
      </c>
    </row>
    <row r="1110">
      <c r="K1110" s="24">
        <f>IF(AND(IF($B$3="(todos)",TRUE,'ORDENES'!$O1106=$B$3),IF($D$3="(todos)",TRUE,'ORDENES'!$AI1106=$D$3),IF($F$3="(todos)",TRUE,'ORDENES'!$AA1106=$F$3),IF($H$3="(todos)",TRUE,'ORDENES'!$Z1106=$H$3),'ORDENES'!$AG1106=TRUE,'ORDENES'!$A1106&lt;&gt;""),1,0)</f>
        <v/>
      </c>
      <c r="L1110" s="24">
        <f>IF(K1110=1,IFERROR(MATCH('ORDENES'!$S1106,lista_dias,0),9)*1000000000+IFERROR(MATCH('ORDENES'!$AI1106,lista_turnos,0),9)*10000000+IFERROR(MATCH('ORDENES'!$AH1106,'TECNICOS'!$B$4:$B$19,0),99)*100000+1103,9000000000000+1103)</f>
        <v/>
      </c>
      <c r="M1110" s="24">
        <f>IF(K1110=1,SUMPRODUCT(--($L$8:$L$1207&lt;L1110))+1,"")</f>
        <v/>
      </c>
      <c r="N1110" s="25">
        <f>IF(K1110=1,N('ORDENES'!$M1106),0)</f>
        <v/>
      </c>
      <c r="O1110" s="25">
        <f>IF('ORDENES'!$U1106="preventiva",N1110,0)</f>
        <v/>
      </c>
      <c r="P1110" s="25">
        <f>IF('ORDENES'!$U1106="correctiva",N1110,0)</f>
        <v/>
      </c>
      <c r="Q1110" s="24">
        <f>IF(AND(K1110=1,'ORDENES'!$N1106="Pendiente"),1,0)</f>
        <v/>
      </c>
      <c r="R1110" s="24">
        <f>IF(Q1110=1,100000-N1110*1000+1103*0.01,9000000000000+1103)</f>
        <v/>
      </c>
      <c r="S1110" s="24">
        <f>IF(Q1110=1,SUMPRODUCT(--($R$8:$R$1207&lt;R1110))+1,"")</f>
        <v/>
      </c>
      <c r="T1110" s="30">
        <f>IF(K1110=1,'ORDENES'!$J1106,"")</f>
        <v/>
      </c>
    </row>
    <row r="1111">
      <c r="K1111" s="24">
        <f>IF(AND(IF($B$3="(todos)",TRUE,'ORDENES'!$O1107=$B$3),IF($D$3="(todos)",TRUE,'ORDENES'!$AI1107=$D$3),IF($F$3="(todos)",TRUE,'ORDENES'!$AA1107=$F$3),IF($H$3="(todos)",TRUE,'ORDENES'!$Z1107=$H$3),'ORDENES'!$AG1107=TRUE,'ORDENES'!$A1107&lt;&gt;""),1,0)</f>
        <v/>
      </c>
      <c r="L1111" s="24">
        <f>IF(K1111=1,IFERROR(MATCH('ORDENES'!$S1107,lista_dias,0),9)*1000000000+IFERROR(MATCH('ORDENES'!$AI1107,lista_turnos,0),9)*10000000+IFERROR(MATCH('ORDENES'!$AH1107,'TECNICOS'!$B$4:$B$19,0),99)*100000+1104,9000000000000+1104)</f>
        <v/>
      </c>
      <c r="M1111" s="24">
        <f>IF(K1111=1,SUMPRODUCT(--($L$8:$L$1207&lt;L1111))+1,"")</f>
        <v/>
      </c>
      <c r="N1111" s="25">
        <f>IF(K1111=1,N('ORDENES'!$M1107),0)</f>
        <v/>
      </c>
      <c r="O1111" s="25">
        <f>IF('ORDENES'!$U1107="preventiva",N1111,0)</f>
        <v/>
      </c>
      <c r="P1111" s="25">
        <f>IF('ORDENES'!$U1107="correctiva",N1111,0)</f>
        <v/>
      </c>
      <c r="Q1111" s="24">
        <f>IF(AND(K1111=1,'ORDENES'!$N1107="Pendiente"),1,0)</f>
        <v/>
      </c>
      <c r="R1111" s="24">
        <f>IF(Q1111=1,100000-N1111*1000+1104*0.01,9000000000000+1104)</f>
        <v/>
      </c>
      <c r="S1111" s="24">
        <f>IF(Q1111=1,SUMPRODUCT(--($R$8:$R$1207&lt;R1111))+1,"")</f>
        <v/>
      </c>
      <c r="T1111" s="30">
        <f>IF(K1111=1,'ORDENES'!$J1107,"")</f>
        <v/>
      </c>
    </row>
    <row r="1112">
      <c r="K1112" s="24">
        <f>IF(AND(IF($B$3="(todos)",TRUE,'ORDENES'!$O1108=$B$3),IF($D$3="(todos)",TRUE,'ORDENES'!$AI1108=$D$3),IF($F$3="(todos)",TRUE,'ORDENES'!$AA1108=$F$3),IF($H$3="(todos)",TRUE,'ORDENES'!$Z1108=$H$3),'ORDENES'!$AG1108=TRUE,'ORDENES'!$A1108&lt;&gt;""),1,0)</f>
        <v/>
      </c>
      <c r="L1112" s="24">
        <f>IF(K1112=1,IFERROR(MATCH('ORDENES'!$S1108,lista_dias,0),9)*1000000000+IFERROR(MATCH('ORDENES'!$AI1108,lista_turnos,0),9)*10000000+IFERROR(MATCH('ORDENES'!$AH1108,'TECNICOS'!$B$4:$B$19,0),99)*100000+1105,9000000000000+1105)</f>
        <v/>
      </c>
      <c r="M1112" s="24">
        <f>IF(K1112=1,SUMPRODUCT(--($L$8:$L$1207&lt;L1112))+1,"")</f>
        <v/>
      </c>
      <c r="N1112" s="25">
        <f>IF(K1112=1,N('ORDENES'!$M1108),0)</f>
        <v/>
      </c>
      <c r="O1112" s="25">
        <f>IF('ORDENES'!$U1108="preventiva",N1112,0)</f>
        <v/>
      </c>
      <c r="P1112" s="25">
        <f>IF('ORDENES'!$U1108="correctiva",N1112,0)</f>
        <v/>
      </c>
      <c r="Q1112" s="24">
        <f>IF(AND(K1112=1,'ORDENES'!$N1108="Pendiente"),1,0)</f>
        <v/>
      </c>
      <c r="R1112" s="24">
        <f>IF(Q1112=1,100000-N1112*1000+1105*0.01,9000000000000+1105)</f>
        <v/>
      </c>
      <c r="S1112" s="24">
        <f>IF(Q1112=1,SUMPRODUCT(--($R$8:$R$1207&lt;R1112))+1,"")</f>
        <v/>
      </c>
      <c r="T1112" s="30">
        <f>IF(K1112=1,'ORDENES'!$J1108,"")</f>
        <v/>
      </c>
    </row>
    <row r="1113">
      <c r="K1113" s="24">
        <f>IF(AND(IF($B$3="(todos)",TRUE,'ORDENES'!$O1109=$B$3),IF($D$3="(todos)",TRUE,'ORDENES'!$AI1109=$D$3),IF($F$3="(todos)",TRUE,'ORDENES'!$AA1109=$F$3),IF($H$3="(todos)",TRUE,'ORDENES'!$Z1109=$H$3),'ORDENES'!$AG1109=TRUE,'ORDENES'!$A1109&lt;&gt;""),1,0)</f>
        <v/>
      </c>
      <c r="L1113" s="24">
        <f>IF(K1113=1,IFERROR(MATCH('ORDENES'!$S1109,lista_dias,0),9)*1000000000+IFERROR(MATCH('ORDENES'!$AI1109,lista_turnos,0),9)*10000000+IFERROR(MATCH('ORDENES'!$AH1109,'TECNICOS'!$B$4:$B$19,0),99)*100000+1106,9000000000000+1106)</f>
        <v/>
      </c>
      <c r="M1113" s="24">
        <f>IF(K1113=1,SUMPRODUCT(--($L$8:$L$1207&lt;L1113))+1,"")</f>
        <v/>
      </c>
      <c r="N1113" s="25">
        <f>IF(K1113=1,N('ORDENES'!$M1109),0)</f>
        <v/>
      </c>
      <c r="O1113" s="25">
        <f>IF('ORDENES'!$U1109="preventiva",N1113,0)</f>
        <v/>
      </c>
      <c r="P1113" s="25">
        <f>IF('ORDENES'!$U1109="correctiva",N1113,0)</f>
        <v/>
      </c>
      <c r="Q1113" s="24">
        <f>IF(AND(K1113=1,'ORDENES'!$N1109="Pendiente"),1,0)</f>
        <v/>
      </c>
      <c r="R1113" s="24">
        <f>IF(Q1113=1,100000-N1113*1000+1106*0.01,9000000000000+1106)</f>
        <v/>
      </c>
      <c r="S1113" s="24">
        <f>IF(Q1113=1,SUMPRODUCT(--($R$8:$R$1207&lt;R1113))+1,"")</f>
        <v/>
      </c>
      <c r="T1113" s="30">
        <f>IF(K1113=1,'ORDENES'!$J1109,"")</f>
        <v/>
      </c>
    </row>
    <row r="1114">
      <c r="K1114" s="24">
        <f>IF(AND(IF($B$3="(todos)",TRUE,'ORDENES'!$O1110=$B$3),IF($D$3="(todos)",TRUE,'ORDENES'!$AI1110=$D$3),IF($F$3="(todos)",TRUE,'ORDENES'!$AA1110=$F$3),IF($H$3="(todos)",TRUE,'ORDENES'!$Z1110=$H$3),'ORDENES'!$AG1110=TRUE,'ORDENES'!$A1110&lt;&gt;""),1,0)</f>
        <v/>
      </c>
      <c r="L1114" s="24">
        <f>IF(K1114=1,IFERROR(MATCH('ORDENES'!$S1110,lista_dias,0),9)*1000000000+IFERROR(MATCH('ORDENES'!$AI1110,lista_turnos,0),9)*10000000+IFERROR(MATCH('ORDENES'!$AH1110,'TECNICOS'!$B$4:$B$19,0),99)*100000+1107,9000000000000+1107)</f>
        <v/>
      </c>
      <c r="M1114" s="24">
        <f>IF(K1114=1,SUMPRODUCT(--($L$8:$L$1207&lt;L1114))+1,"")</f>
        <v/>
      </c>
      <c r="N1114" s="25">
        <f>IF(K1114=1,N('ORDENES'!$M1110),0)</f>
        <v/>
      </c>
      <c r="O1114" s="25">
        <f>IF('ORDENES'!$U1110="preventiva",N1114,0)</f>
        <v/>
      </c>
      <c r="P1114" s="25">
        <f>IF('ORDENES'!$U1110="correctiva",N1114,0)</f>
        <v/>
      </c>
      <c r="Q1114" s="24">
        <f>IF(AND(K1114=1,'ORDENES'!$N1110="Pendiente"),1,0)</f>
        <v/>
      </c>
      <c r="R1114" s="24">
        <f>IF(Q1114=1,100000-N1114*1000+1107*0.01,9000000000000+1107)</f>
        <v/>
      </c>
      <c r="S1114" s="24">
        <f>IF(Q1114=1,SUMPRODUCT(--($R$8:$R$1207&lt;R1114))+1,"")</f>
        <v/>
      </c>
      <c r="T1114" s="30">
        <f>IF(K1114=1,'ORDENES'!$J1110,"")</f>
        <v/>
      </c>
    </row>
    <row r="1115">
      <c r="K1115" s="24">
        <f>IF(AND(IF($B$3="(todos)",TRUE,'ORDENES'!$O1111=$B$3),IF($D$3="(todos)",TRUE,'ORDENES'!$AI1111=$D$3),IF($F$3="(todos)",TRUE,'ORDENES'!$AA1111=$F$3),IF($H$3="(todos)",TRUE,'ORDENES'!$Z1111=$H$3),'ORDENES'!$AG1111=TRUE,'ORDENES'!$A1111&lt;&gt;""),1,0)</f>
        <v/>
      </c>
      <c r="L1115" s="24">
        <f>IF(K1115=1,IFERROR(MATCH('ORDENES'!$S1111,lista_dias,0),9)*1000000000+IFERROR(MATCH('ORDENES'!$AI1111,lista_turnos,0),9)*10000000+IFERROR(MATCH('ORDENES'!$AH1111,'TECNICOS'!$B$4:$B$19,0),99)*100000+1108,9000000000000+1108)</f>
        <v/>
      </c>
      <c r="M1115" s="24">
        <f>IF(K1115=1,SUMPRODUCT(--($L$8:$L$1207&lt;L1115))+1,"")</f>
        <v/>
      </c>
      <c r="N1115" s="25">
        <f>IF(K1115=1,N('ORDENES'!$M1111),0)</f>
        <v/>
      </c>
      <c r="O1115" s="25">
        <f>IF('ORDENES'!$U1111="preventiva",N1115,0)</f>
        <v/>
      </c>
      <c r="P1115" s="25">
        <f>IF('ORDENES'!$U1111="correctiva",N1115,0)</f>
        <v/>
      </c>
      <c r="Q1115" s="24">
        <f>IF(AND(K1115=1,'ORDENES'!$N1111="Pendiente"),1,0)</f>
        <v/>
      </c>
      <c r="R1115" s="24">
        <f>IF(Q1115=1,100000-N1115*1000+1108*0.01,9000000000000+1108)</f>
        <v/>
      </c>
      <c r="S1115" s="24">
        <f>IF(Q1115=1,SUMPRODUCT(--($R$8:$R$1207&lt;R1115))+1,"")</f>
        <v/>
      </c>
      <c r="T1115" s="30">
        <f>IF(K1115=1,'ORDENES'!$J1111,"")</f>
        <v/>
      </c>
    </row>
    <row r="1116">
      <c r="K1116" s="24">
        <f>IF(AND(IF($B$3="(todos)",TRUE,'ORDENES'!$O1112=$B$3),IF($D$3="(todos)",TRUE,'ORDENES'!$AI1112=$D$3),IF($F$3="(todos)",TRUE,'ORDENES'!$AA1112=$F$3),IF($H$3="(todos)",TRUE,'ORDENES'!$Z1112=$H$3),'ORDENES'!$AG1112=TRUE,'ORDENES'!$A1112&lt;&gt;""),1,0)</f>
        <v/>
      </c>
      <c r="L1116" s="24">
        <f>IF(K1116=1,IFERROR(MATCH('ORDENES'!$S1112,lista_dias,0),9)*1000000000+IFERROR(MATCH('ORDENES'!$AI1112,lista_turnos,0),9)*10000000+IFERROR(MATCH('ORDENES'!$AH1112,'TECNICOS'!$B$4:$B$19,0),99)*100000+1109,9000000000000+1109)</f>
        <v/>
      </c>
      <c r="M1116" s="24">
        <f>IF(K1116=1,SUMPRODUCT(--($L$8:$L$1207&lt;L1116))+1,"")</f>
        <v/>
      </c>
      <c r="N1116" s="25">
        <f>IF(K1116=1,N('ORDENES'!$M1112),0)</f>
        <v/>
      </c>
      <c r="O1116" s="25">
        <f>IF('ORDENES'!$U1112="preventiva",N1116,0)</f>
        <v/>
      </c>
      <c r="P1116" s="25">
        <f>IF('ORDENES'!$U1112="correctiva",N1116,0)</f>
        <v/>
      </c>
      <c r="Q1116" s="24">
        <f>IF(AND(K1116=1,'ORDENES'!$N1112="Pendiente"),1,0)</f>
        <v/>
      </c>
      <c r="R1116" s="24">
        <f>IF(Q1116=1,100000-N1116*1000+1109*0.01,9000000000000+1109)</f>
        <v/>
      </c>
      <c r="S1116" s="24">
        <f>IF(Q1116=1,SUMPRODUCT(--($R$8:$R$1207&lt;R1116))+1,"")</f>
        <v/>
      </c>
      <c r="T1116" s="30">
        <f>IF(K1116=1,'ORDENES'!$J1112,"")</f>
        <v/>
      </c>
    </row>
    <row r="1117">
      <c r="K1117" s="24">
        <f>IF(AND(IF($B$3="(todos)",TRUE,'ORDENES'!$O1113=$B$3),IF($D$3="(todos)",TRUE,'ORDENES'!$AI1113=$D$3),IF($F$3="(todos)",TRUE,'ORDENES'!$AA1113=$F$3),IF($H$3="(todos)",TRUE,'ORDENES'!$Z1113=$H$3),'ORDENES'!$AG1113=TRUE,'ORDENES'!$A1113&lt;&gt;""),1,0)</f>
        <v/>
      </c>
      <c r="L1117" s="24">
        <f>IF(K1117=1,IFERROR(MATCH('ORDENES'!$S1113,lista_dias,0),9)*1000000000+IFERROR(MATCH('ORDENES'!$AI1113,lista_turnos,0),9)*10000000+IFERROR(MATCH('ORDENES'!$AH1113,'TECNICOS'!$B$4:$B$19,0),99)*100000+1110,9000000000000+1110)</f>
        <v/>
      </c>
      <c r="M1117" s="24">
        <f>IF(K1117=1,SUMPRODUCT(--($L$8:$L$1207&lt;L1117))+1,"")</f>
        <v/>
      </c>
      <c r="N1117" s="25">
        <f>IF(K1117=1,N('ORDENES'!$M1113),0)</f>
        <v/>
      </c>
      <c r="O1117" s="25">
        <f>IF('ORDENES'!$U1113="preventiva",N1117,0)</f>
        <v/>
      </c>
      <c r="P1117" s="25">
        <f>IF('ORDENES'!$U1113="correctiva",N1117,0)</f>
        <v/>
      </c>
      <c r="Q1117" s="24">
        <f>IF(AND(K1117=1,'ORDENES'!$N1113="Pendiente"),1,0)</f>
        <v/>
      </c>
      <c r="R1117" s="24">
        <f>IF(Q1117=1,100000-N1117*1000+1110*0.01,9000000000000+1110)</f>
        <v/>
      </c>
      <c r="S1117" s="24">
        <f>IF(Q1117=1,SUMPRODUCT(--($R$8:$R$1207&lt;R1117))+1,"")</f>
        <v/>
      </c>
      <c r="T1117" s="30">
        <f>IF(K1117=1,'ORDENES'!$J1113,"")</f>
        <v/>
      </c>
    </row>
    <row r="1118">
      <c r="K1118" s="24">
        <f>IF(AND(IF($B$3="(todos)",TRUE,'ORDENES'!$O1114=$B$3),IF($D$3="(todos)",TRUE,'ORDENES'!$AI1114=$D$3),IF($F$3="(todos)",TRUE,'ORDENES'!$AA1114=$F$3),IF($H$3="(todos)",TRUE,'ORDENES'!$Z1114=$H$3),'ORDENES'!$AG1114=TRUE,'ORDENES'!$A1114&lt;&gt;""),1,0)</f>
        <v/>
      </c>
      <c r="L1118" s="24">
        <f>IF(K1118=1,IFERROR(MATCH('ORDENES'!$S1114,lista_dias,0),9)*1000000000+IFERROR(MATCH('ORDENES'!$AI1114,lista_turnos,0),9)*10000000+IFERROR(MATCH('ORDENES'!$AH1114,'TECNICOS'!$B$4:$B$19,0),99)*100000+1111,9000000000000+1111)</f>
        <v/>
      </c>
      <c r="M1118" s="24">
        <f>IF(K1118=1,SUMPRODUCT(--($L$8:$L$1207&lt;L1118))+1,"")</f>
        <v/>
      </c>
      <c r="N1118" s="25">
        <f>IF(K1118=1,N('ORDENES'!$M1114),0)</f>
        <v/>
      </c>
      <c r="O1118" s="25">
        <f>IF('ORDENES'!$U1114="preventiva",N1118,0)</f>
        <v/>
      </c>
      <c r="P1118" s="25">
        <f>IF('ORDENES'!$U1114="correctiva",N1118,0)</f>
        <v/>
      </c>
      <c r="Q1118" s="24">
        <f>IF(AND(K1118=1,'ORDENES'!$N1114="Pendiente"),1,0)</f>
        <v/>
      </c>
      <c r="R1118" s="24">
        <f>IF(Q1118=1,100000-N1118*1000+1111*0.01,9000000000000+1111)</f>
        <v/>
      </c>
      <c r="S1118" s="24">
        <f>IF(Q1118=1,SUMPRODUCT(--($R$8:$R$1207&lt;R1118))+1,"")</f>
        <v/>
      </c>
      <c r="T1118" s="30">
        <f>IF(K1118=1,'ORDENES'!$J1114,"")</f>
        <v/>
      </c>
    </row>
    <row r="1119">
      <c r="K1119" s="24">
        <f>IF(AND(IF($B$3="(todos)",TRUE,'ORDENES'!$O1115=$B$3),IF($D$3="(todos)",TRUE,'ORDENES'!$AI1115=$D$3),IF($F$3="(todos)",TRUE,'ORDENES'!$AA1115=$F$3),IF($H$3="(todos)",TRUE,'ORDENES'!$Z1115=$H$3),'ORDENES'!$AG1115=TRUE,'ORDENES'!$A1115&lt;&gt;""),1,0)</f>
        <v/>
      </c>
      <c r="L1119" s="24">
        <f>IF(K1119=1,IFERROR(MATCH('ORDENES'!$S1115,lista_dias,0),9)*1000000000+IFERROR(MATCH('ORDENES'!$AI1115,lista_turnos,0),9)*10000000+IFERROR(MATCH('ORDENES'!$AH1115,'TECNICOS'!$B$4:$B$19,0),99)*100000+1112,9000000000000+1112)</f>
        <v/>
      </c>
      <c r="M1119" s="24">
        <f>IF(K1119=1,SUMPRODUCT(--($L$8:$L$1207&lt;L1119))+1,"")</f>
        <v/>
      </c>
      <c r="N1119" s="25">
        <f>IF(K1119=1,N('ORDENES'!$M1115),0)</f>
        <v/>
      </c>
      <c r="O1119" s="25">
        <f>IF('ORDENES'!$U1115="preventiva",N1119,0)</f>
        <v/>
      </c>
      <c r="P1119" s="25">
        <f>IF('ORDENES'!$U1115="correctiva",N1119,0)</f>
        <v/>
      </c>
      <c r="Q1119" s="24">
        <f>IF(AND(K1119=1,'ORDENES'!$N1115="Pendiente"),1,0)</f>
        <v/>
      </c>
      <c r="R1119" s="24">
        <f>IF(Q1119=1,100000-N1119*1000+1112*0.01,9000000000000+1112)</f>
        <v/>
      </c>
      <c r="S1119" s="24">
        <f>IF(Q1119=1,SUMPRODUCT(--($R$8:$R$1207&lt;R1119))+1,"")</f>
        <v/>
      </c>
      <c r="T1119" s="30">
        <f>IF(K1119=1,'ORDENES'!$J1115,"")</f>
        <v/>
      </c>
    </row>
    <row r="1120">
      <c r="K1120" s="24">
        <f>IF(AND(IF($B$3="(todos)",TRUE,'ORDENES'!$O1116=$B$3),IF($D$3="(todos)",TRUE,'ORDENES'!$AI1116=$D$3),IF($F$3="(todos)",TRUE,'ORDENES'!$AA1116=$F$3),IF($H$3="(todos)",TRUE,'ORDENES'!$Z1116=$H$3),'ORDENES'!$AG1116=TRUE,'ORDENES'!$A1116&lt;&gt;""),1,0)</f>
        <v/>
      </c>
      <c r="L1120" s="24">
        <f>IF(K1120=1,IFERROR(MATCH('ORDENES'!$S1116,lista_dias,0),9)*1000000000+IFERROR(MATCH('ORDENES'!$AI1116,lista_turnos,0),9)*10000000+IFERROR(MATCH('ORDENES'!$AH1116,'TECNICOS'!$B$4:$B$19,0),99)*100000+1113,9000000000000+1113)</f>
        <v/>
      </c>
      <c r="M1120" s="24">
        <f>IF(K1120=1,SUMPRODUCT(--($L$8:$L$1207&lt;L1120))+1,"")</f>
        <v/>
      </c>
      <c r="N1120" s="25">
        <f>IF(K1120=1,N('ORDENES'!$M1116),0)</f>
        <v/>
      </c>
      <c r="O1120" s="25">
        <f>IF('ORDENES'!$U1116="preventiva",N1120,0)</f>
        <v/>
      </c>
      <c r="P1120" s="25">
        <f>IF('ORDENES'!$U1116="correctiva",N1120,0)</f>
        <v/>
      </c>
      <c r="Q1120" s="24">
        <f>IF(AND(K1120=1,'ORDENES'!$N1116="Pendiente"),1,0)</f>
        <v/>
      </c>
      <c r="R1120" s="24">
        <f>IF(Q1120=1,100000-N1120*1000+1113*0.01,9000000000000+1113)</f>
        <v/>
      </c>
      <c r="S1120" s="24">
        <f>IF(Q1120=1,SUMPRODUCT(--($R$8:$R$1207&lt;R1120))+1,"")</f>
        <v/>
      </c>
      <c r="T1120" s="30">
        <f>IF(K1120=1,'ORDENES'!$J1116,"")</f>
        <v/>
      </c>
    </row>
    <row r="1121">
      <c r="K1121" s="24">
        <f>IF(AND(IF($B$3="(todos)",TRUE,'ORDENES'!$O1117=$B$3),IF($D$3="(todos)",TRUE,'ORDENES'!$AI1117=$D$3),IF($F$3="(todos)",TRUE,'ORDENES'!$AA1117=$F$3),IF($H$3="(todos)",TRUE,'ORDENES'!$Z1117=$H$3),'ORDENES'!$AG1117=TRUE,'ORDENES'!$A1117&lt;&gt;""),1,0)</f>
        <v/>
      </c>
      <c r="L1121" s="24">
        <f>IF(K1121=1,IFERROR(MATCH('ORDENES'!$S1117,lista_dias,0),9)*1000000000+IFERROR(MATCH('ORDENES'!$AI1117,lista_turnos,0),9)*10000000+IFERROR(MATCH('ORDENES'!$AH1117,'TECNICOS'!$B$4:$B$19,0),99)*100000+1114,9000000000000+1114)</f>
        <v/>
      </c>
      <c r="M1121" s="24">
        <f>IF(K1121=1,SUMPRODUCT(--($L$8:$L$1207&lt;L1121))+1,"")</f>
        <v/>
      </c>
      <c r="N1121" s="25">
        <f>IF(K1121=1,N('ORDENES'!$M1117),0)</f>
        <v/>
      </c>
      <c r="O1121" s="25">
        <f>IF('ORDENES'!$U1117="preventiva",N1121,0)</f>
        <v/>
      </c>
      <c r="P1121" s="25">
        <f>IF('ORDENES'!$U1117="correctiva",N1121,0)</f>
        <v/>
      </c>
      <c r="Q1121" s="24">
        <f>IF(AND(K1121=1,'ORDENES'!$N1117="Pendiente"),1,0)</f>
        <v/>
      </c>
      <c r="R1121" s="24">
        <f>IF(Q1121=1,100000-N1121*1000+1114*0.01,9000000000000+1114)</f>
        <v/>
      </c>
      <c r="S1121" s="24">
        <f>IF(Q1121=1,SUMPRODUCT(--($R$8:$R$1207&lt;R1121))+1,"")</f>
        <v/>
      </c>
      <c r="T1121" s="30">
        <f>IF(K1121=1,'ORDENES'!$J1117,"")</f>
        <v/>
      </c>
    </row>
    <row r="1122">
      <c r="K1122" s="24">
        <f>IF(AND(IF($B$3="(todos)",TRUE,'ORDENES'!$O1118=$B$3),IF($D$3="(todos)",TRUE,'ORDENES'!$AI1118=$D$3),IF($F$3="(todos)",TRUE,'ORDENES'!$AA1118=$F$3),IF($H$3="(todos)",TRUE,'ORDENES'!$Z1118=$H$3),'ORDENES'!$AG1118=TRUE,'ORDENES'!$A1118&lt;&gt;""),1,0)</f>
        <v/>
      </c>
      <c r="L1122" s="24">
        <f>IF(K1122=1,IFERROR(MATCH('ORDENES'!$S1118,lista_dias,0),9)*1000000000+IFERROR(MATCH('ORDENES'!$AI1118,lista_turnos,0),9)*10000000+IFERROR(MATCH('ORDENES'!$AH1118,'TECNICOS'!$B$4:$B$19,0),99)*100000+1115,9000000000000+1115)</f>
        <v/>
      </c>
      <c r="M1122" s="24">
        <f>IF(K1122=1,SUMPRODUCT(--($L$8:$L$1207&lt;L1122))+1,"")</f>
        <v/>
      </c>
      <c r="N1122" s="25">
        <f>IF(K1122=1,N('ORDENES'!$M1118),0)</f>
        <v/>
      </c>
      <c r="O1122" s="25">
        <f>IF('ORDENES'!$U1118="preventiva",N1122,0)</f>
        <v/>
      </c>
      <c r="P1122" s="25">
        <f>IF('ORDENES'!$U1118="correctiva",N1122,0)</f>
        <v/>
      </c>
      <c r="Q1122" s="24">
        <f>IF(AND(K1122=1,'ORDENES'!$N1118="Pendiente"),1,0)</f>
        <v/>
      </c>
      <c r="R1122" s="24">
        <f>IF(Q1122=1,100000-N1122*1000+1115*0.01,9000000000000+1115)</f>
        <v/>
      </c>
      <c r="S1122" s="24">
        <f>IF(Q1122=1,SUMPRODUCT(--($R$8:$R$1207&lt;R1122))+1,"")</f>
        <v/>
      </c>
      <c r="T1122" s="30">
        <f>IF(K1122=1,'ORDENES'!$J1118,"")</f>
        <v/>
      </c>
    </row>
    <row r="1123">
      <c r="K1123" s="24">
        <f>IF(AND(IF($B$3="(todos)",TRUE,'ORDENES'!$O1119=$B$3),IF($D$3="(todos)",TRUE,'ORDENES'!$AI1119=$D$3),IF($F$3="(todos)",TRUE,'ORDENES'!$AA1119=$F$3),IF($H$3="(todos)",TRUE,'ORDENES'!$Z1119=$H$3),'ORDENES'!$AG1119=TRUE,'ORDENES'!$A1119&lt;&gt;""),1,0)</f>
        <v/>
      </c>
      <c r="L1123" s="24">
        <f>IF(K1123=1,IFERROR(MATCH('ORDENES'!$S1119,lista_dias,0),9)*1000000000+IFERROR(MATCH('ORDENES'!$AI1119,lista_turnos,0),9)*10000000+IFERROR(MATCH('ORDENES'!$AH1119,'TECNICOS'!$B$4:$B$19,0),99)*100000+1116,9000000000000+1116)</f>
        <v/>
      </c>
      <c r="M1123" s="24">
        <f>IF(K1123=1,SUMPRODUCT(--($L$8:$L$1207&lt;L1123))+1,"")</f>
        <v/>
      </c>
      <c r="N1123" s="25">
        <f>IF(K1123=1,N('ORDENES'!$M1119),0)</f>
        <v/>
      </c>
      <c r="O1123" s="25">
        <f>IF('ORDENES'!$U1119="preventiva",N1123,0)</f>
        <v/>
      </c>
      <c r="P1123" s="25">
        <f>IF('ORDENES'!$U1119="correctiva",N1123,0)</f>
        <v/>
      </c>
      <c r="Q1123" s="24">
        <f>IF(AND(K1123=1,'ORDENES'!$N1119="Pendiente"),1,0)</f>
        <v/>
      </c>
      <c r="R1123" s="24">
        <f>IF(Q1123=1,100000-N1123*1000+1116*0.01,9000000000000+1116)</f>
        <v/>
      </c>
      <c r="S1123" s="24">
        <f>IF(Q1123=1,SUMPRODUCT(--($R$8:$R$1207&lt;R1123))+1,"")</f>
        <v/>
      </c>
      <c r="T1123" s="30">
        <f>IF(K1123=1,'ORDENES'!$J1119,"")</f>
        <v/>
      </c>
    </row>
    <row r="1124">
      <c r="K1124" s="24">
        <f>IF(AND(IF($B$3="(todos)",TRUE,'ORDENES'!$O1120=$B$3),IF($D$3="(todos)",TRUE,'ORDENES'!$AI1120=$D$3),IF($F$3="(todos)",TRUE,'ORDENES'!$AA1120=$F$3),IF($H$3="(todos)",TRUE,'ORDENES'!$Z1120=$H$3),'ORDENES'!$AG1120=TRUE,'ORDENES'!$A1120&lt;&gt;""),1,0)</f>
        <v/>
      </c>
      <c r="L1124" s="24">
        <f>IF(K1124=1,IFERROR(MATCH('ORDENES'!$S1120,lista_dias,0),9)*1000000000+IFERROR(MATCH('ORDENES'!$AI1120,lista_turnos,0),9)*10000000+IFERROR(MATCH('ORDENES'!$AH1120,'TECNICOS'!$B$4:$B$19,0),99)*100000+1117,9000000000000+1117)</f>
        <v/>
      </c>
      <c r="M1124" s="24">
        <f>IF(K1124=1,SUMPRODUCT(--($L$8:$L$1207&lt;L1124))+1,"")</f>
        <v/>
      </c>
      <c r="N1124" s="25">
        <f>IF(K1124=1,N('ORDENES'!$M1120),0)</f>
        <v/>
      </c>
      <c r="O1124" s="25">
        <f>IF('ORDENES'!$U1120="preventiva",N1124,0)</f>
        <v/>
      </c>
      <c r="P1124" s="25">
        <f>IF('ORDENES'!$U1120="correctiva",N1124,0)</f>
        <v/>
      </c>
      <c r="Q1124" s="24">
        <f>IF(AND(K1124=1,'ORDENES'!$N1120="Pendiente"),1,0)</f>
        <v/>
      </c>
      <c r="R1124" s="24">
        <f>IF(Q1124=1,100000-N1124*1000+1117*0.01,9000000000000+1117)</f>
        <v/>
      </c>
      <c r="S1124" s="24">
        <f>IF(Q1124=1,SUMPRODUCT(--($R$8:$R$1207&lt;R1124))+1,"")</f>
        <v/>
      </c>
      <c r="T1124" s="30">
        <f>IF(K1124=1,'ORDENES'!$J1120,"")</f>
        <v/>
      </c>
    </row>
    <row r="1125">
      <c r="K1125" s="24">
        <f>IF(AND(IF($B$3="(todos)",TRUE,'ORDENES'!$O1121=$B$3),IF($D$3="(todos)",TRUE,'ORDENES'!$AI1121=$D$3),IF($F$3="(todos)",TRUE,'ORDENES'!$AA1121=$F$3),IF($H$3="(todos)",TRUE,'ORDENES'!$Z1121=$H$3),'ORDENES'!$AG1121=TRUE,'ORDENES'!$A1121&lt;&gt;""),1,0)</f>
        <v/>
      </c>
      <c r="L1125" s="24">
        <f>IF(K1125=1,IFERROR(MATCH('ORDENES'!$S1121,lista_dias,0),9)*1000000000+IFERROR(MATCH('ORDENES'!$AI1121,lista_turnos,0),9)*10000000+IFERROR(MATCH('ORDENES'!$AH1121,'TECNICOS'!$B$4:$B$19,0),99)*100000+1118,9000000000000+1118)</f>
        <v/>
      </c>
      <c r="M1125" s="24">
        <f>IF(K1125=1,SUMPRODUCT(--($L$8:$L$1207&lt;L1125))+1,"")</f>
        <v/>
      </c>
      <c r="N1125" s="25">
        <f>IF(K1125=1,N('ORDENES'!$M1121),0)</f>
        <v/>
      </c>
      <c r="O1125" s="25">
        <f>IF('ORDENES'!$U1121="preventiva",N1125,0)</f>
        <v/>
      </c>
      <c r="P1125" s="25">
        <f>IF('ORDENES'!$U1121="correctiva",N1125,0)</f>
        <v/>
      </c>
      <c r="Q1125" s="24">
        <f>IF(AND(K1125=1,'ORDENES'!$N1121="Pendiente"),1,0)</f>
        <v/>
      </c>
      <c r="R1125" s="24">
        <f>IF(Q1125=1,100000-N1125*1000+1118*0.01,9000000000000+1118)</f>
        <v/>
      </c>
      <c r="S1125" s="24">
        <f>IF(Q1125=1,SUMPRODUCT(--($R$8:$R$1207&lt;R1125))+1,"")</f>
        <v/>
      </c>
      <c r="T1125" s="30">
        <f>IF(K1125=1,'ORDENES'!$J1121,"")</f>
        <v/>
      </c>
    </row>
    <row r="1126">
      <c r="K1126" s="24">
        <f>IF(AND(IF($B$3="(todos)",TRUE,'ORDENES'!$O1122=$B$3),IF($D$3="(todos)",TRUE,'ORDENES'!$AI1122=$D$3),IF($F$3="(todos)",TRUE,'ORDENES'!$AA1122=$F$3),IF($H$3="(todos)",TRUE,'ORDENES'!$Z1122=$H$3),'ORDENES'!$AG1122=TRUE,'ORDENES'!$A1122&lt;&gt;""),1,0)</f>
        <v/>
      </c>
      <c r="L1126" s="24">
        <f>IF(K1126=1,IFERROR(MATCH('ORDENES'!$S1122,lista_dias,0),9)*1000000000+IFERROR(MATCH('ORDENES'!$AI1122,lista_turnos,0),9)*10000000+IFERROR(MATCH('ORDENES'!$AH1122,'TECNICOS'!$B$4:$B$19,0),99)*100000+1119,9000000000000+1119)</f>
        <v/>
      </c>
      <c r="M1126" s="24">
        <f>IF(K1126=1,SUMPRODUCT(--($L$8:$L$1207&lt;L1126))+1,"")</f>
        <v/>
      </c>
      <c r="N1126" s="25">
        <f>IF(K1126=1,N('ORDENES'!$M1122),0)</f>
        <v/>
      </c>
      <c r="O1126" s="25">
        <f>IF('ORDENES'!$U1122="preventiva",N1126,0)</f>
        <v/>
      </c>
      <c r="P1126" s="25">
        <f>IF('ORDENES'!$U1122="correctiva",N1126,0)</f>
        <v/>
      </c>
      <c r="Q1126" s="24">
        <f>IF(AND(K1126=1,'ORDENES'!$N1122="Pendiente"),1,0)</f>
        <v/>
      </c>
      <c r="R1126" s="24">
        <f>IF(Q1126=1,100000-N1126*1000+1119*0.01,9000000000000+1119)</f>
        <v/>
      </c>
      <c r="S1126" s="24">
        <f>IF(Q1126=1,SUMPRODUCT(--($R$8:$R$1207&lt;R1126))+1,"")</f>
        <v/>
      </c>
      <c r="T1126" s="30">
        <f>IF(K1126=1,'ORDENES'!$J1122,"")</f>
        <v/>
      </c>
    </row>
    <row r="1127">
      <c r="K1127" s="24">
        <f>IF(AND(IF($B$3="(todos)",TRUE,'ORDENES'!$O1123=$B$3),IF($D$3="(todos)",TRUE,'ORDENES'!$AI1123=$D$3),IF($F$3="(todos)",TRUE,'ORDENES'!$AA1123=$F$3),IF($H$3="(todos)",TRUE,'ORDENES'!$Z1123=$H$3),'ORDENES'!$AG1123=TRUE,'ORDENES'!$A1123&lt;&gt;""),1,0)</f>
        <v/>
      </c>
      <c r="L1127" s="24">
        <f>IF(K1127=1,IFERROR(MATCH('ORDENES'!$S1123,lista_dias,0),9)*1000000000+IFERROR(MATCH('ORDENES'!$AI1123,lista_turnos,0),9)*10000000+IFERROR(MATCH('ORDENES'!$AH1123,'TECNICOS'!$B$4:$B$19,0),99)*100000+1120,9000000000000+1120)</f>
        <v/>
      </c>
      <c r="M1127" s="24">
        <f>IF(K1127=1,SUMPRODUCT(--($L$8:$L$1207&lt;L1127))+1,"")</f>
        <v/>
      </c>
      <c r="N1127" s="25">
        <f>IF(K1127=1,N('ORDENES'!$M1123),0)</f>
        <v/>
      </c>
      <c r="O1127" s="25">
        <f>IF('ORDENES'!$U1123="preventiva",N1127,0)</f>
        <v/>
      </c>
      <c r="P1127" s="25">
        <f>IF('ORDENES'!$U1123="correctiva",N1127,0)</f>
        <v/>
      </c>
      <c r="Q1127" s="24">
        <f>IF(AND(K1127=1,'ORDENES'!$N1123="Pendiente"),1,0)</f>
        <v/>
      </c>
      <c r="R1127" s="24">
        <f>IF(Q1127=1,100000-N1127*1000+1120*0.01,9000000000000+1120)</f>
        <v/>
      </c>
      <c r="S1127" s="24">
        <f>IF(Q1127=1,SUMPRODUCT(--($R$8:$R$1207&lt;R1127))+1,"")</f>
        <v/>
      </c>
      <c r="T1127" s="30">
        <f>IF(K1127=1,'ORDENES'!$J1123,"")</f>
        <v/>
      </c>
    </row>
    <row r="1128">
      <c r="K1128" s="24">
        <f>IF(AND(IF($B$3="(todos)",TRUE,'ORDENES'!$O1124=$B$3),IF($D$3="(todos)",TRUE,'ORDENES'!$AI1124=$D$3),IF($F$3="(todos)",TRUE,'ORDENES'!$AA1124=$F$3),IF($H$3="(todos)",TRUE,'ORDENES'!$Z1124=$H$3),'ORDENES'!$AG1124=TRUE,'ORDENES'!$A1124&lt;&gt;""),1,0)</f>
        <v/>
      </c>
      <c r="L1128" s="24">
        <f>IF(K1128=1,IFERROR(MATCH('ORDENES'!$S1124,lista_dias,0),9)*1000000000+IFERROR(MATCH('ORDENES'!$AI1124,lista_turnos,0),9)*10000000+IFERROR(MATCH('ORDENES'!$AH1124,'TECNICOS'!$B$4:$B$19,0),99)*100000+1121,9000000000000+1121)</f>
        <v/>
      </c>
      <c r="M1128" s="24">
        <f>IF(K1128=1,SUMPRODUCT(--($L$8:$L$1207&lt;L1128))+1,"")</f>
        <v/>
      </c>
      <c r="N1128" s="25">
        <f>IF(K1128=1,N('ORDENES'!$M1124),0)</f>
        <v/>
      </c>
      <c r="O1128" s="25">
        <f>IF('ORDENES'!$U1124="preventiva",N1128,0)</f>
        <v/>
      </c>
      <c r="P1128" s="25">
        <f>IF('ORDENES'!$U1124="correctiva",N1128,0)</f>
        <v/>
      </c>
      <c r="Q1128" s="24">
        <f>IF(AND(K1128=1,'ORDENES'!$N1124="Pendiente"),1,0)</f>
        <v/>
      </c>
      <c r="R1128" s="24">
        <f>IF(Q1128=1,100000-N1128*1000+1121*0.01,9000000000000+1121)</f>
        <v/>
      </c>
      <c r="S1128" s="24">
        <f>IF(Q1128=1,SUMPRODUCT(--($R$8:$R$1207&lt;R1128))+1,"")</f>
        <v/>
      </c>
      <c r="T1128" s="30">
        <f>IF(K1128=1,'ORDENES'!$J1124,"")</f>
        <v/>
      </c>
    </row>
    <row r="1129">
      <c r="K1129" s="24">
        <f>IF(AND(IF($B$3="(todos)",TRUE,'ORDENES'!$O1125=$B$3),IF($D$3="(todos)",TRUE,'ORDENES'!$AI1125=$D$3),IF($F$3="(todos)",TRUE,'ORDENES'!$AA1125=$F$3),IF($H$3="(todos)",TRUE,'ORDENES'!$Z1125=$H$3),'ORDENES'!$AG1125=TRUE,'ORDENES'!$A1125&lt;&gt;""),1,0)</f>
        <v/>
      </c>
      <c r="L1129" s="24">
        <f>IF(K1129=1,IFERROR(MATCH('ORDENES'!$S1125,lista_dias,0),9)*1000000000+IFERROR(MATCH('ORDENES'!$AI1125,lista_turnos,0),9)*10000000+IFERROR(MATCH('ORDENES'!$AH1125,'TECNICOS'!$B$4:$B$19,0),99)*100000+1122,9000000000000+1122)</f>
        <v/>
      </c>
      <c r="M1129" s="24">
        <f>IF(K1129=1,SUMPRODUCT(--($L$8:$L$1207&lt;L1129))+1,"")</f>
        <v/>
      </c>
      <c r="N1129" s="25">
        <f>IF(K1129=1,N('ORDENES'!$M1125),0)</f>
        <v/>
      </c>
      <c r="O1129" s="25">
        <f>IF('ORDENES'!$U1125="preventiva",N1129,0)</f>
        <v/>
      </c>
      <c r="P1129" s="25">
        <f>IF('ORDENES'!$U1125="correctiva",N1129,0)</f>
        <v/>
      </c>
      <c r="Q1129" s="24">
        <f>IF(AND(K1129=1,'ORDENES'!$N1125="Pendiente"),1,0)</f>
        <v/>
      </c>
      <c r="R1129" s="24">
        <f>IF(Q1129=1,100000-N1129*1000+1122*0.01,9000000000000+1122)</f>
        <v/>
      </c>
      <c r="S1129" s="24">
        <f>IF(Q1129=1,SUMPRODUCT(--($R$8:$R$1207&lt;R1129))+1,"")</f>
        <v/>
      </c>
      <c r="T1129" s="30">
        <f>IF(K1129=1,'ORDENES'!$J1125,"")</f>
        <v/>
      </c>
    </row>
    <row r="1130">
      <c r="K1130" s="24">
        <f>IF(AND(IF($B$3="(todos)",TRUE,'ORDENES'!$O1126=$B$3),IF($D$3="(todos)",TRUE,'ORDENES'!$AI1126=$D$3),IF($F$3="(todos)",TRUE,'ORDENES'!$AA1126=$F$3),IF($H$3="(todos)",TRUE,'ORDENES'!$Z1126=$H$3),'ORDENES'!$AG1126=TRUE,'ORDENES'!$A1126&lt;&gt;""),1,0)</f>
        <v/>
      </c>
      <c r="L1130" s="24">
        <f>IF(K1130=1,IFERROR(MATCH('ORDENES'!$S1126,lista_dias,0),9)*1000000000+IFERROR(MATCH('ORDENES'!$AI1126,lista_turnos,0),9)*10000000+IFERROR(MATCH('ORDENES'!$AH1126,'TECNICOS'!$B$4:$B$19,0),99)*100000+1123,9000000000000+1123)</f>
        <v/>
      </c>
      <c r="M1130" s="24">
        <f>IF(K1130=1,SUMPRODUCT(--($L$8:$L$1207&lt;L1130))+1,"")</f>
        <v/>
      </c>
      <c r="N1130" s="25">
        <f>IF(K1130=1,N('ORDENES'!$M1126),0)</f>
        <v/>
      </c>
      <c r="O1130" s="25">
        <f>IF('ORDENES'!$U1126="preventiva",N1130,0)</f>
        <v/>
      </c>
      <c r="P1130" s="25">
        <f>IF('ORDENES'!$U1126="correctiva",N1130,0)</f>
        <v/>
      </c>
      <c r="Q1130" s="24">
        <f>IF(AND(K1130=1,'ORDENES'!$N1126="Pendiente"),1,0)</f>
        <v/>
      </c>
      <c r="R1130" s="24">
        <f>IF(Q1130=1,100000-N1130*1000+1123*0.01,9000000000000+1123)</f>
        <v/>
      </c>
      <c r="S1130" s="24">
        <f>IF(Q1130=1,SUMPRODUCT(--($R$8:$R$1207&lt;R1130))+1,"")</f>
        <v/>
      </c>
      <c r="T1130" s="30">
        <f>IF(K1130=1,'ORDENES'!$J1126,"")</f>
        <v/>
      </c>
    </row>
    <row r="1131">
      <c r="K1131" s="24">
        <f>IF(AND(IF($B$3="(todos)",TRUE,'ORDENES'!$O1127=$B$3),IF($D$3="(todos)",TRUE,'ORDENES'!$AI1127=$D$3),IF($F$3="(todos)",TRUE,'ORDENES'!$AA1127=$F$3),IF($H$3="(todos)",TRUE,'ORDENES'!$Z1127=$H$3),'ORDENES'!$AG1127=TRUE,'ORDENES'!$A1127&lt;&gt;""),1,0)</f>
        <v/>
      </c>
      <c r="L1131" s="24">
        <f>IF(K1131=1,IFERROR(MATCH('ORDENES'!$S1127,lista_dias,0),9)*1000000000+IFERROR(MATCH('ORDENES'!$AI1127,lista_turnos,0),9)*10000000+IFERROR(MATCH('ORDENES'!$AH1127,'TECNICOS'!$B$4:$B$19,0),99)*100000+1124,9000000000000+1124)</f>
        <v/>
      </c>
      <c r="M1131" s="24">
        <f>IF(K1131=1,SUMPRODUCT(--($L$8:$L$1207&lt;L1131))+1,"")</f>
        <v/>
      </c>
      <c r="N1131" s="25">
        <f>IF(K1131=1,N('ORDENES'!$M1127),0)</f>
        <v/>
      </c>
      <c r="O1131" s="25">
        <f>IF('ORDENES'!$U1127="preventiva",N1131,0)</f>
        <v/>
      </c>
      <c r="P1131" s="25">
        <f>IF('ORDENES'!$U1127="correctiva",N1131,0)</f>
        <v/>
      </c>
      <c r="Q1131" s="24">
        <f>IF(AND(K1131=1,'ORDENES'!$N1127="Pendiente"),1,0)</f>
        <v/>
      </c>
      <c r="R1131" s="24">
        <f>IF(Q1131=1,100000-N1131*1000+1124*0.01,9000000000000+1124)</f>
        <v/>
      </c>
      <c r="S1131" s="24">
        <f>IF(Q1131=1,SUMPRODUCT(--($R$8:$R$1207&lt;R1131))+1,"")</f>
        <v/>
      </c>
      <c r="T1131" s="30">
        <f>IF(K1131=1,'ORDENES'!$J1127,"")</f>
        <v/>
      </c>
    </row>
    <row r="1132">
      <c r="K1132" s="24">
        <f>IF(AND(IF($B$3="(todos)",TRUE,'ORDENES'!$O1128=$B$3),IF($D$3="(todos)",TRUE,'ORDENES'!$AI1128=$D$3),IF($F$3="(todos)",TRUE,'ORDENES'!$AA1128=$F$3),IF($H$3="(todos)",TRUE,'ORDENES'!$Z1128=$H$3),'ORDENES'!$AG1128=TRUE,'ORDENES'!$A1128&lt;&gt;""),1,0)</f>
        <v/>
      </c>
      <c r="L1132" s="24">
        <f>IF(K1132=1,IFERROR(MATCH('ORDENES'!$S1128,lista_dias,0),9)*1000000000+IFERROR(MATCH('ORDENES'!$AI1128,lista_turnos,0),9)*10000000+IFERROR(MATCH('ORDENES'!$AH1128,'TECNICOS'!$B$4:$B$19,0),99)*100000+1125,9000000000000+1125)</f>
        <v/>
      </c>
      <c r="M1132" s="24">
        <f>IF(K1132=1,SUMPRODUCT(--($L$8:$L$1207&lt;L1132))+1,"")</f>
        <v/>
      </c>
      <c r="N1132" s="25">
        <f>IF(K1132=1,N('ORDENES'!$M1128),0)</f>
        <v/>
      </c>
      <c r="O1132" s="25">
        <f>IF('ORDENES'!$U1128="preventiva",N1132,0)</f>
        <v/>
      </c>
      <c r="P1132" s="25">
        <f>IF('ORDENES'!$U1128="correctiva",N1132,0)</f>
        <v/>
      </c>
      <c r="Q1132" s="24">
        <f>IF(AND(K1132=1,'ORDENES'!$N1128="Pendiente"),1,0)</f>
        <v/>
      </c>
      <c r="R1132" s="24">
        <f>IF(Q1132=1,100000-N1132*1000+1125*0.01,9000000000000+1125)</f>
        <v/>
      </c>
      <c r="S1132" s="24">
        <f>IF(Q1132=1,SUMPRODUCT(--($R$8:$R$1207&lt;R1132))+1,"")</f>
        <v/>
      </c>
      <c r="T1132" s="30">
        <f>IF(K1132=1,'ORDENES'!$J1128,"")</f>
        <v/>
      </c>
    </row>
    <row r="1133">
      <c r="K1133" s="24">
        <f>IF(AND(IF($B$3="(todos)",TRUE,'ORDENES'!$O1129=$B$3),IF($D$3="(todos)",TRUE,'ORDENES'!$AI1129=$D$3),IF($F$3="(todos)",TRUE,'ORDENES'!$AA1129=$F$3),IF($H$3="(todos)",TRUE,'ORDENES'!$Z1129=$H$3),'ORDENES'!$AG1129=TRUE,'ORDENES'!$A1129&lt;&gt;""),1,0)</f>
        <v/>
      </c>
      <c r="L1133" s="24">
        <f>IF(K1133=1,IFERROR(MATCH('ORDENES'!$S1129,lista_dias,0),9)*1000000000+IFERROR(MATCH('ORDENES'!$AI1129,lista_turnos,0),9)*10000000+IFERROR(MATCH('ORDENES'!$AH1129,'TECNICOS'!$B$4:$B$19,0),99)*100000+1126,9000000000000+1126)</f>
        <v/>
      </c>
      <c r="M1133" s="24">
        <f>IF(K1133=1,SUMPRODUCT(--($L$8:$L$1207&lt;L1133))+1,"")</f>
        <v/>
      </c>
      <c r="N1133" s="25">
        <f>IF(K1133=1,N('ORDENES'!$M1129),0)</f>
        <v/>
      </c>
      <c r="O1133" s="25">
        <f>IF('ORDENES'!$U1129="preventiva",N1133,0)</f>
        <v/>
      </c>
      <c r="P1133" s="25">
        <f>IF('ORDENES'!$U1129="correctiva",N1133,0)</f>
        <v/>
      </c>
      <c r="Q1133" s="24">
        <f>IF(AND(K1133=1,'ORDENES'!$N1129="Pendiente"),1,0)</f>
        <v/>
      </c>
      <c r="R1133" s="24">
        <f>IF(Q1133=1,100000-N1133*1000+1126*0.01,9000000000000+1126)</f>
        <v/>
      </c>
      <c r="S1133" s="24">
        <f>IF(Q1133=1,SUMPRODUCT(--($R$8:$R$1207&lt;R1133))+1,"")</f>
        <v/>
      </c>
      <c r="T1133" s="30">
        <f>IF(K1133=1,'ORDENES'!$J1129,"")</f>
        <v/>
      </c>
    </row>
    <row r="1134">
      <c r="K1134" s="24">
        <f>IF(AND(IF($B$3="(todos)",TRUE,'ORDENES'!$O1130=$B$3),IF($D$3="(todos)",TRUE,'ORDENES'!$AI1130=$D$3),IF($F$3="(todos)",TRUE,'ORDENES'!$AA1130=$F$3),IF($H$3="(todos)",TRUE,'ORDENES'!$Z1130=$H$3),'ORDENES'!$AG1130=TRUE,'ORDENES'!$A1130&lt;&gt;""),1,0)</f>
        <v/>
      </c>
      <c r="L1134" s="24">
        <f>IF(K1134=1,IFERROR(MATCH('ORDENES'!$S1130,lista_dias,0),9)*1000000000+IFERROR(MATCH('ORDENES'!$AI1130,lista_turnos,0),9)*10000000+IFERROR(MATCH('ORDENES'!$AH1130,'TECNICOS'!$B$4:$B$19,0),99)*100000+1127,9000000000000+1127)</f>
        <v/>
      </c>
      <c r="M1134" s="24">
        <f>IF(K1134=1,SUMPRODUCT(--($L$8:$L$1207&lt;L1134))+1,"")</f>
        <v/>
      </c>
      <c r="N1134" s="25">
        <f>IF(K1134=1,N('ORDENES'!$M1130),0)</f>
        <v/>
      </c>
      <c r="O1134" s="25">
        <f>IF('ORDENES'!$U1130="preventiva",N1134,0)</f>
        <v/>
      </c>
      <c r="P1134" s="25">
        <f>IF('ORDENES'!$U1130="correctiva",N1134,0)</f>
        <v/>
      </c>
      <c r="Q1134" s="24">
        <f>IF(AND(K1134=1,'ORDENES'!$N1130="Pendiente"),1,0)</f>
        <v/>
      </c>
      <c r="R1134" s="24">
        <f>IF(Q1134=1,100000-N1134*1000+1127*0.01,9000000000000+1127)</f>
        <v/>
      </c>
      <c r="S1134" s="24">
        <f>IF(Q1134=1,SUMPRODUCT(--($R$8:$R$1207&lt;R1134))+1,"")</f>
        <v/>
      </c>
      <c r="T1134" s="30">
        <f>IF(K1134=1,'ORDENES'!$J1130,"")</f>
        <v/>
      </c>
    </row>
    <row r="1135">
      <c r="K1135" s="24">
        <f>IF(AND(IF($B$3="(todos)",TRUE,'ORDENES'!$O1131=$B$3),IF($D$3="(todos)",TRUE,'ORDENES'!$AI1131=$D$3),IF($F$3="(todos)",TRUE,'ORDENES'!$AA1131=$F$3),IF($H$3="(todos)",TRUE,'ORDENES'!$Z1131=$H$3),'ORDENES'!$AG1131=TRUE,'ORDENES'!$A1131&lt;&gt;""),1,0)</f>
        <v/>
      </c>
      <c r="L1135" s="24">
        <f>IF(K1135=1,IFERROR(MATCH('ORDENES'!$S1131,lista_dias,0),9)*1000000000+IFERROR(MATCH('ORDENES'!$AI1131,lista_turnos,0),9)*10000000+IFERROR(MATCH('ORDENES'!$AH1131,'TECNICOS'!$B$4:$B$19,0),99)*100000+1128,9000000000000+1128)</f>
        <v/>
      </c>
      <c r="M1135" s="24">
        <f>IF(K1135=1,SUMPRODUCT(--($L$8:$L$1207&lt;L1135))+1,"")</f>
        <v/>
      </c>
      <c r="N1135" s="25">
        <f>IF(K1135=1,N('ORDENES'!$M1131),0)</f>
        <v/>
      </c>
      <c r="O1135" s="25">
        <f>IF('ORDENES'!$U1131="preventiva",N1135,0)</f>
        <v/>
      </c>
      <c r="P1135" s="25">
        <f>IF('ORDENES'!$U1131="correctiva",N1135,0)</f>
        <v/>
      </c>
      <c r="Q1135" s="24">
        <f>IF(AND(K1135=1,'ORDENES'!$N1131="Pendiente"),1,0)</f>
        <v/>
      </c>
      <c r="R1135" s="24">
        <f>IF(Q1135=1,100000-N1135*1000+1128*0.01,9000000000000+1128)</f>
        <v/>
      </c>
      <c r="S1135" s="24">
        <f>IF(Q1135=1,SUMPRODUCT(--($R$8:$R$1207&lt;R1135))+1,"")</f>
        <v/>
      </c>
      <c r="T1135" s="30">
        <f>IF(K1135=1,'ORDENES'!$J1131,"")</f>
        <v/>
      </c>
    </row>
    <row r="1136">
      <c r="K1136" s="24">
        <f>IF(AND(IF($B$3="(todos)",TRUE,'ORDENES'!$O1132=$B$3),IF($D$3="(todos)",TRUE,'ORDENES'!$AI1132=$D$3),IF($F$3="(todos)",TRUE,'ORDENES'!$AA1132=$F$3),IF($H$3="(todos)",TRUE,'ORDENES'!$Z1132=$H$3),'ORDENES'!$AG1132=TRUE,'ORDENES'!$A1132&lt;&gt;""),1,0)</f>
        <v/>
      </c>
      <c r="L1136" s="24">
        <f>IF(K1136=1,IFERROR(MATCH('ORDENES'!$S1132,lista_dias,0),9)*1000000000+IFERROR(MATCH('ORDENES'!$AI1132,lista_turnos,0),9)*10000000+IFERROR(MATCH('ORDENES'!$AH1132,'TECNICOS'!$B$4:$B$19,0),99)*100000+1129,9000000000000+1129)</f>
        <v/>
      </c>
      <c r="M1136" s="24">
        <f>IF(K1136=1,SUMPRODUCT(--($L$8:$L$1207&lt;L1136))+1,"")</f>
        <v/>
      </c>
      <c r="N1136" s="25">
        <f>IF(K1136=1,N('ORDENES'!$M1132),0)</f>
        <v/>
      </c>
      <c r="O1136" s="25">
        <f>IF('ORDENES'!$U1132="preventiva",N1136,0)</f>
        <v/>
      </c>
      <c r="P1136" s="25">
        <f>IF('ORDENES'!$U1132="correctiva",N1136,0)</f>
        <v/>
      </c>
      <c r="Q1136" s="24">
        <f>IF(AND(K1136=1,'ORDENES'!$N1132="Pendiente"),1,0)</f>
        <v/>
      </c>
      <c r="R1136" s="24">
        <f>IF(Q1136=1,100000-N1136*1000+1129*0.01,9000000000000+1129)</f>
        <v/>
      </c>
      <c r="S1136" s="24">
        <f>IF(Q1136=1,SUMPRODUCT(--($R$8:$R$1207&lt;R1136))+1,"")</f>
        <v/>
      </c>
      <c r="T1136" s="30">
        <f>IF(K1136=1,'ORDENES'!$J1132,"")</f>
        <v/>
      </c>
    </row>
    <row r="1137">
      <c r="K1137" s="24">
        <f>IF(AND(IF($B$3="(todos)",TRUE,'ORDENES'!$O1133=$B$3),IF($D$3="(todos)",TRUE,'ORDENES'!$AI1133=$D$3),IF($F$3="(todos)",TRUE,'ORDENES'!$AA1133=$F$3),IF($H$3="(todos)",TRUE,'ORDENES'!$Z1133=$H$3),'ORDENES'!$AG1133=TRUE,'ORDENES'!$A1133&lt;&gt;""),1,0)</f>
        <v/>
      </c>
      <c r="L1137" s="24">
        <f>IF(K1137=1,IFERROR(MATCH('ORDENES'!$S1133,lista_dias,0),9)*1000000000+IFERROR(MATCH('ORDENES'!$AI1133,lista_turnos,0),9)*10000000+IFERROR(MATCH('ORDENES'!$AH1133,'TECNICOS'!$B$4:$B$19,0),99)*100000+1130,9000000000000+1130)</f>
        <v/>
      </c>
      <c r="M1137" s="24">
        <f>IF(K1137=1,SUMPRODUCT(--($L$8:$L$1207&lt;L1137))+1,"")</f>
        <v/>
      </c>
      <c r="N1137" s="25">
        <f>IF(K1137=1,N('ORDENES'!$M1133),0)</f>
        <v/>
      </c>
      <c r="O1137" s="25">
        <f>IF('ORDENES'!$U1133="preventiva",N1137,0)</f>
        <v/>
      </c>
      <c r="P1137" s="25">
        <f>IF('ORDENES'!$U1133="correctiva",N1137,0)</f>
        <v/>
      </c>
      <c r="Q1137" s="24">
        <f>IF(AND(K1137=1,'ORDENES'!$N1133="Pendiente"),1,0)</f>
        <v/>
      </c>
      <c r="R1137" s="24">
        <f>IF(Q1137=1,100000-N1137*1000+1130*0.01,9000000000000+1130)</f>
        <v/>
      </c>
      <c r="S1137" s="24">
        <f>IF(Q1137=1,SUMPRODUCT(--($R$8:$R$1207&lt;R1137))+1,"")</f>
        <v/>
      </c>
      <c r="T1137" s="30">
        <f>IF(K1137=1,'ORDENES'!$J1133,"")</f>
        <v/>
      </c>
    </row>
    <row r="1138">
      <c r="K1138" s="24">
        <f>IF(AND(IF($B$3="(todos)",TRUE,'ORDENES'!$O1134=$B$3),IF($D$3="(todos)",TRUE,'ORDENES'!$AI1134=$D$3),IF($F$3="(todos)",TRUE,'ORDENES'!$AA1134=$F$3),IF($H$3="(todos)",TRUE,'ORDENES'!$Z1134=$H$3),'ORDENES'!$AG1134=TRUE,'ORDENES'!$A1134&lt;&gt;""),1,0)</f>
        <v/>
      </c>
      <c r="L1138" s="24">
        <f>IF(K1138=1,IFERROR(MATCH('ORDENES'!$S1134,lista_dias,0),9)*1000000000+IFERROR(MATCH('ORDENES'!$AI1134,lista_turnos,0),9)*10000000+IFERROR(MATCH('ORDENES'!$AH1134,'TECNICOS'!$B$4:$B$19,0),99)*100000+1131,9000000000000+1131)</f>
        <v/>
      </c>
      <c r="M1138" s="24">
        <f>IF(K1138=1,SUMPRODUCT(--($L$8:$L$1207&lt;L1138))+1,"")</f>
        <v/>
      </c>
      <c r="N1138" s="25">
        <f>IF(K1138=1,N('ORDENES'!$M1134),0)</f>
        <v/>
      </c>
      <c r="O1138" s="25">
        <f>IF('ORDENES'!$U1134="preventiva",N1138,0)</f>
        <v/>
      </c>
      <c r="P1138" s="25">
        <f>IF('ORDENES'!$U1134="correctiva",N1138,0)</f>
        <v/>
      </c>
      <c r="Q1138" s="24">
        <f>IF(AND(K1138=1,'ORDENES'!$N1134="Pendiente"),1,0)</f>
        <v/>
      </c>
      <c r="R1138" s="24">
        <f>IF(Q1138=1,100000-N1138*1000+1131*0.01,9000000000000+1131)</f>
        <v/>
      </c>
      <c r="S1138" s="24">
        <f>IF(Q1138=1,SUMPRODUCT(--($R$8:$R$1207&lt;R1138))+1,"")</f>
        <v/>
      </c>
      <c r="T1138" s="30">
        <f>IF(K1138=1,'ORDENES'!$J1134,"")</f>
        <v/>
      </c>
    </row>
    <row r="1139">
      <c r="K1139" s="24">
        <f>IF(AND(IF($B$3="(todos)",TRUE,'ORDENES'!$O1135=$B$3),IF($D$3="(todos)",TRUE,'ORDENES'!$AI1135=$D$3),IF($F$3="(todos)",TRUE,'ORDENES'!$AA1135=$F$3),IF($H$3="(todos)",TRUE,'ORDENES'!$Z1135=$H$3),'ORDENES'!$AG1135=TRUE,'ORDENES'!$A1135&lt;&gt;""),1,0)</f>
        <v/>
      </c>
      <c r="L1139" s="24">
        <f>IF(K1139=1,IFERROR(MATCH('ORDENES'!$S1135,lista_dias,0),9)*1000000000+IFERROR(MATCH('ORDENES'!$AI1135,lista_turnos,0),9)*10000000+IFERROR(MATCH('ORDENES'!$AH1135,'TECNICOS'!$B$4:$B$19,0),99)*100000+1132,9000000000000+1132)</f>
        <v/>
      </c>
      <c r="M1139" s="24">
        <f>IF(K1139=1,SUMPRODUCT(--($L$8:$L$1207&lt;L1139))+1,"")</f>
        <v/>
      </c>
      <c r="N1139" s="25">
        <f>IF(K1139=1,N('ORDENES'!$M1135),0)</f>
        <v/>
      </c>
      <c r="O1139" s="25">
        <f>IF('ORDENES'!$U1135="preventiva",N1139,0)</f>
        <v/>
      </c>
      <c r="P1139" s="25">
        <f>IF('ORDENES'!$U1135="correctiva",N1139,0)</f>
        <v/>
      </c>
      <c r="Q1139" s="24">
        <f>IF(AND(K1139=1,'ORDENES'!$N1135="Pendiente"),1,0)</f>
        <v/>
      </c>
      <c r="R1139" s="24">
        <f>IF(Q1139=1,100000-N1139*1000+1132*0.01,9000000000000+1132)</f>
        <v/>
      </c>
      <c r="S1139" s="24">
        <f>IF(Q1139=1,SUMPRODUCT(--($R$8:$R$1207&lt;R1139))+1,"")</f>
        <v/>
      </c>
      <c r="T1139" s="30">
        <f>IF(K1139=1,'ORDENES'!$J1135,"")</f>
        <v/>
      </c>
    </row>
    <row r="1140">
      <c r="K1140" s="24">
        <f>IF(AND(IF($B$3="(todos)",TRUE,'ORDENES'!$O1136=$B$3),IF($D$3="(todos)",TRUE,'ORDENES'!$AI1136=$D$3),IF($F$3="(todos)",TRUE,'ORDENES'!$AA1136=$F$3),IF($H$3="(todos)",TRUE,'ORDENES'!$Z1136=$H$3),'ORDENES'!$AG1136=TRUE,'ORDENES'!$A1136&lt;&gt;""),1,0)</f>
        <v/>
      </c>
      <c r="L1140" s="24">
        <f>IF(K1140=1,IFERROR(MATCH('ORDENES'!$S1136,lista_dias,0),9)*1000000000+IFERROR(MATCH('ORDENES'!$AI1136,lista_turnos,0),9)*10000000+IFERROR(MATCH('ORDENES'!$AH1136,'TECNICOS'!$B$4:$B$19,0),99)*100000+1133,9000000000000+1133)</f>
        <v/>
      </c>
      <c r="M1140" s="24">
        <f>IF(K1140=1,SUMPRODUCT(--($L$8:$L$1207&lt;L1140))+1,"")</f>
        <v/>
      </c>
      <c r="N1140" s="25">
        <f>IF(K1140=1,N('ORDENES'!$M1136),0)</f>
        <v/>
      </c>
      <c r="O1140" s="25">
        <f>IF('ORDENES'!$U1136="preventiva",N1140,0)</f>
        <v/>
      </c>
      <c r="P1140" s="25">
        <f>IF('ORDENES'!$U1136="correctiva",N1140,0)</f>
        <v/>
      </c>
      <c r="Q1140" s="24">
        <f>IF(AND(K1140=1,'ORDENES'!$N1136="Pendiente"),1,0)</f>
        <v/>
      </c>
      <c r="R1140" s="24">
        <f>IF(Q1140=1,100000-N1140*1000+1133*0.01,9000000000000+1133)</f>
        <v/>
      </c>
      <c r="S1140" s="24">
        <f>IF(Q1140=1,SUMPRODUCT(--($R$8:$R$1207&lt;R1140))+1,"")</f>
        <v/>
      </c>
      <c r="T1140" s="30">
        <f>IF(K1140=1,'ORDENES'!$J1136,"")</f>
        <v/>
      </c>
    </row>
    <row r="1141">
      <c r="K1141" s="24">
        <f>IF(AND(IF($B$3="(todos)",TRUE,'ORDENES'!$O1137=$B$3),IF($D$3="(todos)",TRUE,'ORDENES'!$AI1137=$D$3),IF($F$3="(todos)",TRUE,'ORDENES'!$AA1137=$F$3),IF($H$3="(todos)",TRUE,'ORDENES'!$Z1137=$H$3),'ORDENES'!$AG1137=TRUE,'ORDENES'!$A1137&lt;&gt;""),1,0)</f>
        <v/>
      </c>
      <c r="L1141" s="24">
        <f>IF(K1141=1,IFERROR(MATCH('ORDENES'!$S1137,lista_dias,0),9)*1000000000+IFERROR(MATCH('ORDENES'!$AI1137,lista_turnos,0),9)*10000000+IFERROR(MATCH('ORDENES'!$AH1137,'TECNICOS'!$B$4:$B$19,0),99)*100000+1134,9000000000000+1134)</f>
        <v/>
      </c>
      <c r="M1141" s="24">
        <f>IF(K1141=1,SUMPRODUCT(--($L$8:$L$1207&lt;L1141))+1,"")</f>
        <v/>
      </c>
      <c r="N1141" s="25">
        <f>IF(K1141=1,N('ORDENES'!$M1137),0)</f>
        <v/>
      </c>
      <c r="O1141" s="25">
        <f>IF('ORDENES'!$U1137="preventiva",N1141,0)</f>
        <v/>
      </c>
      <c r="P1141" s="25">
        <f>IF('ORDENES'!$U1137="correctiva",N1141,0)</f>
        <v/>
      </c>
      <c r="Q1141" s="24">
        <f>IF(AND(K1141=1,'ORDENES'!$N1137="Pendiente"),1,0)</f>
        <v/>
      </c>
      <c r="R1141" s="24">
        <f>IF(Q1141=1,100000-N1141*1000+1134*0.01,9000000000000+1134)</f>
        <v/>
      </c>
      <c r="S1141" s="24">
        <f>IF(Q1141=1,SUMPRODUCT(--($R$8:$R$1207&lt;R1141))+1,"")</f>
        <v/>
      </c>
      <c r="T1141" s="30">
        <f>IF(K1141=1,'ORDENES'!$J1137,"")</f>
        <v/>
      </c>
    </row>
    <row r="1142">
      <c r="K1142" s="24">
        <f>IF(AND(IF($B$3="(todos)",TRUE,'ORDENES'!$O1138=$B$3),IF($D$3="(todos)",TRUE,'ORDENES'!$AI1138=$D$3),IF($F$3="(todos)",TRUE,'ORDENES'!$AA1138=$F$3),IF($H$3="(todos)",TRUE,'ORDENES'!$Z1138=$H$3),'ORDENES'!$AG1138=TRUE,'ORDENES'!$A1138&lt;&gt;""),1,0)</f>
        <v/>
      </c>
      <c r="L1142" s="24">
        <f>IF(K1142=1,IFERROR(MATCH('ORDENES'!$S1138,lista_dias,0),9)*1000000000+IFERROR(MATCH('ORDENES'!$AI1138,lista_turnos,0),9)*10000000+IFERROR(MATCH('ORDENES'!$AH1138,'TECNICOS'!$B$4:$B$19,0),99)*100000+1135,9000000000000+1135)</f>
        <v/>
      </c>
      <c r="M1142" s="24">
        <f>IF(K1142=1,SUMPRODUCT(--($L$8:$L$1207&lt;L1142))+1,"")</f>
        <v/>
      </c>
      <c r="N1142" s="25">
        <f>IF(K1142=1,N('ORDENES'!$M1138),0)</f>
        <v/>
      </c>
      <c r="O1142" s="25">
        <f>IF('ORDENES'!$U1138="preventiva",N1142,0)</f>
        <v/>
      </c>
      <c r="P1142" s="25">
        <f>IF('ORDENES'!$U1138="correctiva",N1142,0)</f>
        <v/>
      </c>
      <c r="Q1142" s="24">
        <f>IF(AND(K1142=1,'ORDENES'!$N1138="Pendiente"),1,0)</f>
        <v/>
      </c>
      <c r="R1142" s="24">
        <f>IF(Q1142=1,100000-N1142*1000+1135*0.01,9000000000000+1135)</f>
        <v/>
      </c>
      <c r="S1142" s="24">
        <f>IF(Q1142=1,SUMPRODUCT(--($R$8:$R$1207&lt;R1142))+1,"")</f>
        <v/>
      </c>
      <c r="T1142" s="30">
        <f>IF(K1142=1,'ORDENES'!$J1138,"")</f>
        <v/>
      </c>
    </row>
    <row r="1143">
      <c r="K1143" s="24">
        <f>IF(AND(IF($B$3="(todos)",TRUE,'ORDENES'!$O1139=$B$3),IF($D$3="(todos)",TRUE,'ORDENES'!$AI1139=$D$3),IF($F$3="(todos)",TRUE,'ORDENES'!$AA1139=$F$3),IF($H$3="(todos)",TRUE,'ORDENES'!$Z1139=$H$3),'ORDENES'!$AG1139=TRUE,'ORDENES'!$A1139&lt;&gt;""),1,0)</f>
        <v/>
      </c>
      <c r="L1143" s="24">
        <f>IF(K1143=1,IFERROR(MATCH('ORDENES'!$S1139,lista_dias,0),9)*1000000000+IFERROR(MATCH('ORDENES'!$AI1139,lista_turnos,0),9)*10000000+IFERROR(MATCH('ORDENES'!$AH1139,'TECNICOS'!$B$4:$B$19,0),99)*100000+1136,9000000000000+1136)</f>
        <v/>
      </c>
      <c r="M1143" s="24">
        <f>IF(K1143=1,SUMPRODUCT(--($L$8:$L$1207&lt;L1143))+1,"")</f>
        <v/>
      </c>
      <c r="N1143" s="25">
        <f>IF(K1143=1,N('ORDENES'!$M1139),0)</f>
        <v/>
      </c>
      <c r="O1143" s="25">
        <f>IF('ORDENES'!$U1139="preventiva",N1143,0)</f>
        <v/>
      </c>
      <c r="P1143" s="25">
        <f>IF('ORDENES'!$U1139="correctiva",N1143,0)</f>
        <v/>
      </c>
      <c r="Q1143" s="24">
        <f>IF(AND(K1143=1,'ORDENES'!$N1139="Pendiente"),1,0)</f>
        <v/>
      </c>
      <c r="R1143" s="24">
        <f>IF(Q1143=1,100000-N1143*1000+1136*0.01,9000000000000+1136)</f>
        <v/>
      </c>
      <c r="S1143" s="24">
        <f>IF(Q1143=1,SUMPRODUCT(--($R$8:$R$1207&lt;R1143))+1,"")</f>
        <v/>
      </c>
      <c r="T1143" s="30">
        <f>IF(K1143=1,'ORDENES'!$J1139,"")</f>
        <v/>
      </c>
    </row>
    <row r="1144">
      <c r="K1144" s="24">
        <f>IF(AND(IF($B$3="(todos)",TRUE,'ORDENES'!$O1140=$B$3),IF($D$3="(todos)",TRUE,'ORDENES'!$AI1140=$D$3),IF($F$3="(todos)",TRUE,'ORDENES'!$AA1140=$F$3),IF($H$3="(todos)",TRUE,'ORDENES'!$Z1140=$H$3),'ORDENES'!$AG1140=TRUE,'ORDENES'!$A1140&lt;&gt;""),1,0)</f>
        <v/>
      </c>
      <c r="L1144" s="24">
        <f>IF(K1144=1,IFERROR(MATCH('ORDENES'!$S1140,lista_dias,0),9)*1000000000+IFERROR(MATCH('ORDENES'!$AI1140,lista_turnos,0),9)*10000000+IFERROR(MATCH('ORDENES'!$AH1140,'TECNICOS'!$B$4:$B$19,0),99)*100000+1137,9000000000000+1137)</f>
        <v/>
      </c>
      <c r="M1144" s="24">
        <f>IF(K1144=1,SUMPRODUCT(--($L$8:$L$1207&lt;L1144))+1,"")</f>
        <v/>
      </c>
      <c r="N1144" s="25">
        <f>IF(K1144=1,N('ORDENES'!$M1140),0)</f>
        <v/>
      </c>
      <c r="O1144" s="25">
        <f>IF('ORDENES'!$U1140="preventiva",N1144,0)</f>
        <v/>
      </c>
      <c r="P1144" s="25">
        <f>IF('ORDENES'!$U1140="correctiva",N1144,0)</f>
        <v/>
      </c>
      <c r="Q1144" s="24">
        <f>IF(AND(K1144=1,'ORDENES'!$N1140="Pendiente"),1,0)</f>
        <v/>
      </c>
      <c r="R1144" s="24">
        <f>IF(Q1144=1,100000-N1144*1000+1137*0.01,9000000000000+1137)</f>
        <v/>
      </c>
      <c r="S1144" s="24">
        <f>IF(Q1144=1,SUMPRODUCT(--($R$8:$R$1207&lt;R1144))+1,"")</f>
        <v/>
      </c>
      <c r="T1144" s="30">
        <f>IF(K1144=1,'ORDENES'!$J1140,"")</f>
        <v/>
      </c>
    </row>
    <row r="1145">
      <c r="K1145" s="24">
        <f>IF(AND(IF($B$3="(todos)",TRUE,'ORDENES'!$O1141=$B$3),IF($D$3="(todos)",TRUE,'ORDENES'!$AI1141=$D$3),IF($F$3="(todos)",TRUE,'ORDENES'!$AA1141=$F$3),IF($H$3="(todos)",TRUE,'ORDENES'!$Z1141=$H$3),'ORDENES'!$AG1141=TRUE,'ORDENES'!$A1141&lt;&gt;""),1,0)</f>
        <v/>
      </c>
      <c r="L1145" s="24">
        <f>IF(K1145=1,IFERROR(MATCH('ORDENES'!$S1141,lista_dias,0),9)*1000000000+IFERROR(MATCH('ORDENES'!$AI1141,lista_turnos,0),9)*10000000+IFERROR(MATCH('ORDENES'!$AH1141,'TECNICOS'!$B$4:$B$19,0),99)*100000+1138,9000000000000+1138)</f>
        <v/>
      </c>
      <c r="M1145" s="24">
        <f>IF(K1145=1,SUMPRODUCT(--($L$8:$L$1207&lt;L1145))+1,"")</f>
        <v/>
      </c>
      <c r="N1145" s="25">
        <f>IF(K1145=1,N('ORDENES'!$M1141),0)</f>
        <v/>
      </c>
      <c r="O1145" s="25">
        <f>IF('ORDENES'!$U1141="preventiva",N1145,0)</f>
        <v/>
      </c>
      <c r="P1145" s="25">
        <f>IF('ORDENES'!$U1141="correctiva",N1145,0)</f>
        <v/>
      </c>
      <c r="Q1145" s="24">
        <f>IF(AND(K1145=1,'ORDENES'!$N1141="Pendiente"),1,0)</f>
        <v/>
      </c>
      <c r="R1145" s="24">
        <f>IF(Q1145=1,100000-N1145*1000+1138*0.01,9000000000000+1138)</f>
        <v/>
      </c>
      <c r="S1145" s="24">
        <f>IF(Q1145=1,SUMPRODUCT(--($R$8:$R$1207&lt;R1145))+1,"")</f>
        <v/>
      </c>
      <c r="T1145" s="30">
        <f>IF(K1145=1,'ORDENES'!$J1141,"")</f>
        <v/>
      </c>
    </row>
    <row r="1146">
      <c r="K1146" s="24">
        <f>IF(AND(IF($B$3="(todos)",TRUE,'ORDENES'!$O1142=$B$3),IF($D$3="(todos)",TRUE,'ORDENES'!$AI1142=$D$3),IF($F$3="(todos)",TRUE,'ORDENES'!$AA1142=$F$3),IF($H$3="(todos)",TRUE,'ORDENES'!$Z1142=$H$3),'ORDENES'!$AG1142=TRUE,'ORDENES'!$A1142&lt;&gt;""),1,0)</f>
        <v/>
      </c>
      <c r="L1146" s="24">
        <f>IF(K1146=1,IFERROR(MATCH('ORDENES'!$S1142,lista_dias,0),9)*1000000000+IFERROR(MATCH('ORDENES'!$AI1142,lista_turnos,0),9)*10000000+IFERROR(MATCH('ORDENES'!$AH1142,'TECNICOS'!$B$4:$B$19,0),99)*100000+1139,9000000000000+1139)</f>
        <v/>
      </c>
      <c r="M1146" s="24">
        <f>IF(K1146=1,SUMPRODUCT(--($L$8:$L$1207&lt;L1146))+1,"")</f>
        <v/>
      </c>
      <c r="N1146" s="25">
        <f>IF(K1146=1,N('ORDENES'!$M1142),0)</f>
        <v/>
      </c>
      <c r="O1146" s="25">
        <f>IF('ORDENES'!$U1142="preventiva",N1146,0)</f>
        <v/>
      </c>
      <c r="P1146" s="25">
        <f>IF('ORDENES'!$U1142="correctiva",N1146,0)</f>
        <v/>
      </c>
      <c r="Q1146" s="24">
        <f>IF(AND(K1146=1,'ORDENES'!$N1142="Pendiente"),1,0)</f>
        <v/>
      </c>
      <c r="R1146" s="24">
        <f>IF(Q1146=1,100000-N1146*1000+1139*0.01,9000000000000+1139)</f>
        <v/>
      </c>
      <c r="S1146" s="24">
        <f>IF(Q1146=1,SUMPRODUCT(--($R$8:$R$1207&lt;R1146))+1,"")</f>
        <v/>
      </c>
      <c r="T1146" s="30">
        <f>IF(K1146=1,'ORDENES'!$J1142,"")</f>
        <v/>
      </c>
    </row>
    <row r="1147">
      <c r="K1147" s="24">
        <f>IF(AND(IF($B$3="(todos)",TRUE,'ORDENES'!$O1143=$B$3),IF($D$3="(todos)",TRUE,'ORDENES'!$AI1143=$D$3),IF($F$3="(todos)",TRUE,'ORDENES'!$AA1143=$F$3),IF($H$3="(todos)",TRUE,'ORDENES'!$Z1143=$H$3),'ORDENES'!$AG1143=TRUE,'ORDENES'!$A1143&lt;&gt;""),1,0)</f>
        <v/>
      </c>
      <c r="L1147" s="24">
        <f>IF(K1147=1,IFERROR(MATCH('ORDENES'!$S1143,lista_dias,0),9)*1000000000+IFERROR(MATCH('ORDENES'!$AI1143,lista_turnos,0),9)*10000000+IFERROR(MATCH('ORDENES'!$AH1143,'TECNICOS'!$B$4:$B$19,0),99)*100000+1140,9000000000000+1140)</f>
        <v/>
      </c>
      <c r="M1147" s="24">
        <f>IF(K1147=1,SUMPRODUCT(--($L$8:$L$1207&lt;L1147))+1,"")</f>
        <v/>
      </c>
      <c r="N1147" s="25">
        <f>IF(K1147=1,N('ORDENES'!$M1143),0)</f>
        <v/>
      </c>
      <c r="O1147" s="25">
        <f>IF('ORDENES'!$U1143="preventiva",N1147,0)</f>
        <v/>
      </c>
      <c r="P1147" s="25">
        <f>IF('ORDENES'!$U1143="correctiva",N1147,0)</f>
        <v/>
      </c>
      <c r="Q1147" s="24">
        <f>IF(AND(K1147=1,'ORDENES'!$N1143="Pendiente"),1,0)</f>
        <v/>
      </c>
      <c r="R1147" s="24">
        <f>IF(Q1147=1,100000-N1147*1000+1140*0.01,9000000000000+1140)</f>
        <v/>
      </c>
      <c r="S1147" s="24">
        <f>IF(Q1147=1,SUMPRODUCT(--($R$8:$R$1207&lt;R1147))+1,"")</f>
        <v/>
      </c>
      <c r="T1147" s="30">
        <f>IF(K1147=1,'ORDENES'!$J1143,"")</f>
        <v/>
      </c>
    </row>
    <row r="1148">
      <c r="K1148" s="24">
        <f>IF(AND(IF($B$3="(todos)",TRUE,'ORDENES'!$O1144=$B$3),IF($D$3="(todos)",TRUE,'ORDENES'!$AI1144=$D$3),IF($F$3="(todos)",TRUE,'ORDENES'!$AA1144=$F$3),IF($H$3="(todos)",TRUE,'ORDENES'!$Z1144=$H$3),'ORDENES'!$AG1144=TRUE,'ORDENES'!$A1144&lt;&gt;""),1,0)</f>
        <v/>
      </c>
      <c r="L1148" s="24">
        <f>IF(K1148=1,IFERROR(MATCH('ORDENES'!$S1144,lista_dias,0),9)*1000000000+IFERROR(MATCH('ORDENES'!$AI1144,lista_turnos,0),9)*10000000+IFERROR(MATCH('ORDENES'!$AH1144,'TECNICOS'!$B$4:$B$19,0),99)*100000+1141,9000000000000+1141)</f>
        <v/>
      </c>
      <c r="M1148" s="24">
        <f>IF(K1148=1,SUMPRODUCT(--($L$8:$L$1207&lt;L1148))+1,"")</f>
        <v/>
      </c>
      <c r="N1148" s="25">
        <f>IF(K1148=1,N('ORDENES'!$M1144),0)</f>
        <v/>
      </c>
      <c r="O1148" s="25">
        <f>IF('ORDENES'!$U1144="preventiva",N1148,0)</f>
        <v/>
      </c>
      <c r="P1148" s="25">
        <f>IF('ORDENES'!$U1144="correctiva",N1148,0)</f>
        <v/>
      </c>
      <c r="Q1148" s="24">
        <f>IF(AND(K1148=1,'ORDENES'!$N1144="Pendiente"),1,0)</f>
        <v/>
      </c>
      <c r="R1148" s="24">
        <f>IF(Q1148=1,100000-N1148*1000+1141*0.01,9000000000000+1141)</f>
        <v/>
      </c>
      <c r="S1148" s="24">
        <f>IF(Q1148=1,SUMPRODUCT(--($R$8:$R$1207&lt;R1148))+1,"")</f>
        <v/>
      </c>
      <c r="T1148" s="30">
        <f>IF(K1148=1,'ORDENES'!$J1144,"")</f>
        <v/>
      </c>
    </row>
    <row r="1149">
      <c r="K1149" s="24">
        <f>IF(AND(IF($B$3="(todos)",TRUE,'ORDENES'!$O1145=$B$3),IF($D$3="(todos)",TRUE,'ORDENES'!$AI1145=$D$3),IF($F$3="(todos)",TRUE,'ORDENES'!$AA1145=$F$3),IF($H$3="(todos)",TRUE,'ORDENES'!$Z1145=$H$3),'ORDENES'!$AG1145=TRUE,'ORDENES'!$A1145&lt;&gt;""),1,0)</f>
        <v/>
      </c>
      <c r="L1149" s="24">
        <f>IF(K1149=1,IFERROR(MATCH('ORDENES'!$S1145,lista_dias,0),9)*1000000000+IFERROR(MATCH('ORDENES'!$AI1145,lista_turnos,0),9)*10000000+IFERROR(MATCH('ORDENES'!$AH1145,'TECNICOS'!$B$4:$B$19,0),99)*100000+1142,9000000000000+1142)</f>
        <v/>
      </c>
      <c r="M1149" s="24">
        <f>IF(K1149=1,SUMPRODUCT(--($L$8:$L$1207&lt;L1149))+1,"")</f>
        <v/>
      </c>
      <c r="N1149" s="25">
        <f>IF(K1149=1,N('ORDENES'!$M1145),0)</f>
        <v/>
      </c>
      <c r="O1149" s="25">
        <f>IF('ORDENES'!$U1145="preventiva",N1149,0)</f>
        <v/>
      </c>
      <c r="P1149" s="25">
        <f>IF('ORDENES'!$U1145="correctiva",N1149,0)</f>
        <v/>
      </c>
      <c r="Q1149" s="24">
        <f>IF(AND(K1149=1,'ORDENES'!$N1145="Pendiente"),1,0)</f>
        <v/>
      </c>
      <c r="R1149" s="24">
        <f>IF(Q1149=1,100000-N1149*1000+1142*0.01,9000000000000+1142)</f>
        <v/>
      </c>
      <c r="S1149" s="24">
        <f>IF(Q1149=1,SUMPRODUCT(--($R$8:$R$1207&lt;R1149))+1,"")</f>
        <v/>
      </c>
      <c r="T1149" s="30">
        <f>IF(K1149=1,'ORDENES'!$J1145,"")</f>
        <v/>
      </c>
    </row>
    <row r="1150">
      <c r="K1150" s="24">
        <f>IF(AND(IF($B$3="(todos)",TRUE,'ORDENES'!$O1146=$B$3),IF($D$3="(todos)",TRUE,'ORDENES'!$AI1146=$D$3),IF($F$3="(todos)",TRUE,'ORDENES'!$AA1146=$F$3),IF($H$3="(todos)",TRUE,'ORDENES'!$Z1146=$H$3),'ORDENES'!$AG1146=TRUE,'ORDENES'!$A1146&lt;&gt;""),1,0)</f>
        <v/>
      </c>
      <c r="L1150" s="24">
        <f>IF(K1150=1,IFERROR(MATCH('ORDENES'!$S1146,lista_dias,0),9)*1000000000+IFERROR(MATCH('ORDENES'!$AI1146,lista_turnos,0),9)*10000000+IFERROR(MATCH('ORDENES'!$AH1146,'TECNICOS'!$B$4:$B$19,0),99)*100000+1143,9000000000000+1143)</f>
        <v/>
      </c>
      <c r="M1150" s="24">
        <f>IF(K1150=1,SUMPRODUCT(--($L$8:$L$1207&lt;L1150))+1,"")</f>
        <v/>
      </c>
      <c r="N1150" s="25">
        <f>IF(K1150=1,N('ORDENES'!$M1146),0)</f>
        <v/>
      </c>
      <c r="O1150" s="25">
        <f>IF('ORDENES'!$U1146="preventiva",N1150,0)</f>
        <v/>
      </c>
      <c r="P1150" s="25">
        <f>IF('ORDENES'!$U1146="correctiva",N1150,0)</f>
        <v/>
      </c>
      <c r="Q1150" s="24">
        <f>IF(AND(K1150=1,'ORDENES'!$N1146="Pendiente"),1,0)</f>
        <v/>
      </c>
      <c r="R1150" s="24">
        <f>IF(Q1150=1,100000-N1150*1000+1143*0.01,9000000000000+1143)</f>
        <v/>
      </c>
      <c r="S1150" s="24">
        <f>IF(Q1150=1,SUMPRODUCT(--($R$8:$R$1207&lt;R1150))+1,"")</f>
        <v/>
      </c>
      <c r="T1150" s="30">
        <f>IF(K1150=1,'ORDENES'!$J1146,"")</f>
        <v/>
      </c>
    </row>
    <row r="1151">
      <c r="K1151" s="24">
        <f>IF(AND(IF($B$3="(todos)",TRUE,'ORDENES'!$O1147=$B$3),IF($D$3="(todos)",TRUE,'ORDENES'!$AI1147=$D$3),IF($F$3="(todos)",TRUE,'ORDENES'!$AA1147=$F$3),IF($H$3="(todos)",TRUE,'ORDENES'!$Z1147=$H$3),'ORDENES'!$AG1147=TRUE,'ORDENES'!$A1147&lt;&gt;""),1,0)</f>
        <v/>
      </c>
      <c r="L1151" s="24">
        <f>IF(K1151=1,IFERROR(MATCH('ORDENES'!$S1147,lista_dias,0),9)*1000000000+IFERROR(MATCH('ORDENES'!$AI1147,lista_turnos,0),9)*10000000+IFERROR(MATCH('ORDENES'!$AH1147,'TECNICOS'!$B$4:$B$19,0),99)*100000+1144,9000000000000+1144)</f>
        <v/>
      </c>
      <c r="M1151" s="24">
        <f>IF(K1151=1,SUMPRODUCT(--($L$8:$L$1207&lt;L1151))+1,"")</f>
        <v/>
      </c>
      <c r="N1151" s="25">
        <f>IF(K1151=1,N('ORDENES'!$M1147),0)</f>
        <v/>
      </c>
      <c r="O1151" s="25">
        <f>IF('ORDENES'!$U1147="preventiva",N1151,0)</f>
        <v/>
      </c>
      <c r="P1151" s="25">
        <f>IF('ORDENES'!$U1147="correctiva",N1151,0)</f>
        <v/>
      </c>
      <c r="Q1151" s="24">
        <f>IF(AND(K1151=1,'ORDENES'!$N1147="Pendiente"),1,0)</f>
        <v/>
      </c>
      <c r="R1151" s="24">
        <f>IF(Q1151=1,100000-N1151*1000+1144*0.01,9000000000000+1144)</f>
        <v/>
      </c>
      <c r="S1151" s="24">
        <f>IF(Q1151=1,SUMPRODUCT(--($R$8:$R$1207&lt;R1151))+1,"")</f>
        <v/>
      </c>
      <c r="T1151" s="30">
        <f>IF(K1151=1,'ORDENES'!$J1147,"")</f>
        <v/>
      </c>
    </row>
    <row r="1152">
      <c r="K1152" s="24">
        <f>IF(AND(IF($B$3="(todos)",TRUE,'ORDENES'!$O1148=$B$3),IF($D$3="(todos)",TRUE,'ORDENES'!$AI1148=$D$3),IF($F$3="(todos)",TRUE,'ORDENES'!$AA1148=$F$3),IF($H$3="(todos)",TRUE,'ORDENES'!$Z1148=$H$3),'ORDENES'!$AG1148=TRUE,'ORDENES'!$A1148&lt;&gt;""),1,0)</f>
        <v/>
      </c>
      <c r="L1152" s="24">
        <f>IF(K1152=1,IFERROR(MATCH('ORDENES'!$S1148,lista_dias,0),9)*1000000000+IFERROR(MATCH('ORDENES'!$AI1148,lista_turnos,0),9)*10000000+IFERROR(MATCH('ORDENES'!$AH1148,'TECNICOS'!$B$4:$B$19,0),99)*100000+1145,9000000000000+1145)</f>
        <v/>
      </c>
      <c r="M1152" s="24">
        <f>IF(K1152=1,SUMPRODUCT(--($L$8:$L$1207&lt;L1152))+1,"")</f>
        <v/>
      </c>
      <c r="N1152" s="25">
        <f>IF(K1152=1,N('ORDENES'!$M1148),0)</f>
        <v/>
      </c>
      <c r="O1152" s="25">
        <f>IF('ORDENES'!$U1148="preventiva",N1152,0)</f>
        <v/>
      </c>
      <c r="P1152" s="25">
        <f>IF('ORDENES'!$U1148="correctiva",N1152,0)</f>
        <v/>
      </c>
      <c r="Q1152" s="24">
        <f>IF(AND(K1152=1,'ORDENES'!$N1148="Pendiente"),1,0)</f>
        <v/>
      </c>
      <c r="R1152" s="24">
        <f>IF(Q1152=1,100000-N1152*1000+1145*0.01,9000000000000+1145)</f>
        <v/>
      </c>
      <c r="S1152" s="24">
        <f>IF(Q1152=1,SUMPRODUCT(--($R$8:$R$1207&lt;R1152))+1,"")</f>
        <v/>
      </c>
      <c r="T1152" s="30">
        <f>IF(K1152=1,'ORDENES'!$J1148,"")</f>
        <v/>
      </c>
    </row>
    <row r="1153">
      <c r="K1153" s="24">
        <f>IF(AND(IF($B$3="(todos)",TRUE,'ORDENES'!$O1149=$B$3),IF($D$3="(todos)",TRUE,'ORDENES'!$AI1149=$D$3),IF($F$3="(todos)",TRUE,'ORDENES'!$AA1149=$F$3),IF($H$3="(todos)",TRUE,'ORDENES'!$Z1149=$H$3),'ORDENES'!$AG1149=TRUE,'ORDENES'!$A1149&lt;&gt;""),1,0)</f>
        <v/>
      </c>
      <c r="L1153" s="24">
        <f>IF(K1153=1,IFERROR(MATCH('ORDENES'!$S1149,lista_dias,0),9)*1000000000+IFERROR(MATCH('ORDENES'!$AI1149,lista_turnos,0),9)*10000000+IFERROR(MATCH('ORDENES'!$AH1149,'TECNICOS'!$B$4:$B$19,0),99)*100000+1146,9000000000000+1146)</f>
        <v/>
      </c>
      <c r="M1153" s="24">
        <f>IF(K1153=1,SUMPRODUCT(--($L$8:$L$1207&lt;L1153))+1,"")</f>
        <v/>
      </c>
      <c r="N1153" s="25">
        <f>IF(K1153=1,N('ORDENES'!$M1149),0)</f>
        <v/>
      </c>
      <c r="O1153" s="25">
        <f>IF('ORDENES'!$U1149="preventiva",N1153,0)</f>
        <v/>
      </c>
      <c r="P1153" s="25">
        <f>IF('ORDENES'!$U1149="correctiva",N1153,0)</f>
        <v/>
      </c>
      <c r="Q1153" s="24">
        <f>IF(AND(K1153=1,'ORDENES'!$N1149="Pendiente"),1,0)</f>
        <v/>
      </c>
      <c r="R1153" s="24">
        <f>IF(Q1153=1,100000-N1153*1000+1146*0.01,9000000000000+1146)</f>
        <v/>
      </c>
      <c r="S1153" s="24">
        <f>IF(Q1153=1,SUMPRODUCT(--($R$8:$R$1207&lt;R1153))+1,"")</f>
        <v/>
      </c>
      <c r="T1153" s="30">
        <f>IF(K1153=1,'ORDENES'!$J1149,"")</f>
        <v/>
      </c>
    </row>
    <row r="1154">
      <c r="K1154" s="24">
        <f>IF(AND(IF($B$3="(todos)",TRUE,'ORDENES'!$O1150=$B$3),IF($D$3="(todos)",TRUE,'ORDENES'!$AI1150=$D$3),IF($F$3="(todos)",TRUE,'ORDENES'!$AA1150=$F$3),IF($H$3="(todos)",TRUE,'ORDENES'!$Z1150=$H$3),'ORDENES'!$AG1150=TRUE,'ORDENES'!$A1150&lt;&gt;""),1,0)</f>
        <v/>
      </c>
      <c r="L1154" s="24">
        <f>IF(K1154=1,IFERROR(MATCH('ORDENES'!$S1150,lista_dias,0),9)*1000000000+IFERROR(MATCH('ORDENES'!$AI1150,lista_turnos,0),9)*10000000+IFERROR(MATCH('ORDENES'!$AH1150,'TECNICOS'!$B$4:$B$19,0),99)*100000+1147,9000000000000+1147)</f>
        <v/>
      </c>
      <c r="M1154" s="24">
        <f>IF(K1154=1,SUMPRODUCT(--($L$8:$L$1207&lt;L1154))+1,"")</f>
        <v/>
      </c>
      <c r="N1154" s="25">
        <f>IF(K1154=1,N('ORDENES'!$M1150),0)</f>
        <v/>
      </c>
      <c r="O1154" s="25">
        <f>IF('ORDENES'!$U1150="preventiva",N1154,0)</f>
        <v/>
      </c>
      <c r="P1154" s="25">
        <f>IF('ORDENES'!$U1150="correctiva",N1154,0)</f>
        <v/>
      </c>
      <c r="Q1154" s="24">
        <f>IF(AND(K1154=1,'ORDENES'!$N1150="Pendiente"),1,0)</f>
        <v/>
      </c>
      <c r="R1154" s="24">
        <f>IF(Q1154=1,100000-N1154*1000+1147*0.01,9000000000000+1147)</f>
        <v/>
      </c>
      <c r="S1154" s="24">
        <f>IF(Q1154=1,SUMPRODUCT(--($R$8:$R$1207&lt;R1154))+1,"")</f>
        <v/>
      </c>
      <c r="T1154" s="30">
        <f>IF(K1154=1,'ORDENES'!$J1150,"")</f>
        <v/>
      </c>
    </row>
    <row r="1155">
      <c r="K1155" s="24">
        <f>IF(AND(IF($B$3="(todos)",TRUE,'ORDENES'!$O1151=$B$3),IF($D$3="(todos)",TRUE,'ORDENES'!$AI1151=$D$3),IF($F$3="(todos)",TRUE,'ORDENES'!$AA1151=$F$3),IF($H$3="(todos)",TRUE,'ORDENES'!$Z1151=$H$3),'ORDENES'!$AG1151=TRUE,'ORDENES'!$A1151&lt;&gt;""),1,0)</f>
        <v/>
      </c>
      <c r="L1155" s="24">
        <f>IF(K1155=1,IFERROR(MATCH('ORDENES'!$S1151,lista_dias,0),9)*1000000000+IFERROR(MATCH('ORDENES'!$AI1151,lista_turnos,0),9)*10000000+IFERROR(MATCH('ORDENES'!$AH1151,'TECNICOS'!$B$4:$B$19,0),99)*100000+1148,9000000000000+1148)</f>
        <v/>
      </c>
      <c r="M1155" s="24">
        <f>IF(K1155=1,SUMPRODUCT(--($L$8:$L$1207&lt;L1155))+1,"")</f>
        <v/>
      </c>
      <c r="N1155" s="25">
        <f>IF(K1155=1,N('ORDENES'!$M1151),0)</f>
        <v/>
      </c>
      <c r="O1155" s="25">
        <f>IF('ORDENES'!$U1151="preventiva",N1155,0)</f>
        <v/>
      </c>
      <c r="P1155" s="25">
        <f>IF('ORDENES'!$U1151="correctiva",N1155,0)</f>
        <v/>
      </c>
      <c r="Q1155" s="24">
        <f>IF(AND(K1155=1,'ORDENES'!$N1151="Pendiente"),1,0)</f>
        <v/>
      </c>
      <c r="R1155" s="24">
        <f>IF(Q1155=1,100000-N1155*1000+1148*0.01,9000000000000+1148)</f>
        <v/>
      </c>
      <c r="S1155" s="24">
        <f>IF(Q1155=1,SUMPRODUCT(--($R$8:$R$1207&lt;R1155))+1,"")</f>
        <v/>
      </c>
      <c r="T1155" s="30">
        <f>IF(K1155=1,'ORDENES'!$J1151,"")</f>
        <v/>
      </c>
    </row>
    <row r="1156">
      <c r="K1156" s="24">
        <f>IF(AND(IF($B$3="(todos)",TRUE,'ORDENES'!$O1152=$B$3),IF($D$3="(todos)",TRUE,'ORDENES'!$AI1152=$D$3),IF($F$3="(todos)",TRUE,'ORDENES'!$AA1152=$F$3),IF($H$3="(todos)",TRUE,'ORDENES'!$Z1152=$H$3),'ORDENES'!$AG1152=TRUE,'ORDENES'!$A1152&lt;&gt;""),1,0)</f>
        <v/>
      </c>
      <c r="L1156" s="24">
        <f>IF(K1156=1,IFERROR(MATCH('ORDENES'!$S1152,lista_dias,0),9)*1000000000+IFERROR(MATCH('ORDENES'!$AI1152,lista_turnos,0),9)*10000000+IFERROR(MATCH('ORDENES'!$AH1152,'TECNICOS'!$B$4:$B$19,0),99)*100000+1149,9000000000000+1149)</f>
        <v/>
      </c>
      <c r="M1156" s="24">
        <f>IF(K1156=1,SUMPRODUCT(--($L$8:$L$1207&lt;L1156))+1,"")</f>
        <v/>
      </c>
      <c r="N1156" s="25">
        <f>IF(K1156=1,N('ORDENES'!$M1152),0)</f>
        <v/>
      </c>
      <c r="O1156" s="25">
        <f>IF('ORDENES'!$U1152="preventiva",N1156,0)</f>
        <v/>
      </c>
      <c r="P1156" s="25">
        <f>IF('ORDENES'!$U1152="correctiva",N1156,0)</f>
        <v/>
      </c>
      <c r="Q1156" s="24">
        <f>IF(AND(K1156=1,'ORDENES'!$N1152="Pendiente"),1,0)</f>
        <v/>
      </c>
      <c r="R1156" s="24">
        <f>IF(Q1156=1,100000-N1156*1000+1149*0.01,9000000000000+1149)</f>
        <v/>
      </c>
      <c r="S1156" s="24">
        <f>IF(Q1156=1,SUMPRODUCT(--($R$8:$R$1207&lt;R1156))+1,"")</f>
        <v/>
      </c>
      <c r="T1156" s="30">
        <f>IF(K1156=1,'ORDENES'!$J1152,"")</f>
        <v/>
      </c>
    </row>
    <row r="1157">
      <c r="K1157" s="24">
        <f>IF(AND(IF($B$3="(todos)",TRUE,'ORDENES'!$O1153=$B$3),IF($D$3="(todos)",TRUE,'ORDENES'!$AI1153=$D$3),IF($F$3="(todos)",TRUE,'ORDENES'!$AA1153=$F$3),IF($H$3="(todos)",TRUE,'ORDENES'!$Z1153=$H$3),'ORDENES'!$AG1153=TRUE,'ORDENES'!$A1153&lt;&gt;""),1,0)</f>
        <v/>
      </c>
      <c r="L1157" s="24">
        <f>IF(K1157=1,IFERROR(MATCH('ORDENES'!$S1153,lista_dias,0),9)*1000000000+IFERROR(MATCH('ORDENES'!$AI1153,lista_turnos,0),9)*10000000+IFERROR(MATCH('ORDENES'!$AH1153,'TECNICOS'!$B$4:$B$19,0),99)*100000+1150,9000000000000+1150)</f>
        <v/>
      </c>
      <c r="M1157" s="24">
        <f>IF(K1157=1,SUMPRODUCT(--($L$8:$L$1207&lt;L1157))+1,"")</f>
        <v/>
      </c>
      <c r="N1157" s="25">
        <f>IF(K1157=1,N('ORDENES'!$M1153),0)</f>
        <v/>
      </c>
      <c r="O1157" s="25">
        <f>IF('ORDENES'!$U1153="preventiva",N1157,0)</f>
        <v/>
      </c>
      <c r="P1157" s="25">
        <f>IF('ORDENES'!$U1153="correctiva",N1157,0)</f>
        <v/>
      </c>
      <c r="Q1157" s="24">
        <f>IF(AND(K1157=1,'ORDENES'!$N1153="Pendiente"),1,0)</f>
        <v/>
      </c>
      <c r="R1157" s="24">
        <f>IF(Q1157=1,100000-N1157*1000+1150*0.01,9000000000000+1150)</f>
        <v/>
      </c>
      <c r="S1157" s="24">
        <f>IF(Q1157=1,SUMPRODUCT(--($R$8:$R$1207&lt;R1157))+1,"")</f>
        <v/>
      </c>
      <c r="T1157" s="30">
        <f>IF(K1157=1,'ORDENES'!$J1153,"")</f>
        <v/>
      </c>
    </row>
    <row r="1158">
      <c r="K1158" s="24">
        <f>IF(AND(IF($B$3="(todos)",TRUE,'ORDENES'!$O1154=$B$3),IF($D$3="(todos)",TRUE,'ORDENES'!$AI1154=$D$3),IF($F$3="(todos)",TRUE,'ORDENES'!$AA1154=$F$3),IF($H$3="(todos)",TRUE,'ORDENES'!$Z1154=$H$3),'ORDENES'!$AG1154=TRUE,'ORDENES'!$A1154&lt;&gt;""),1,0)</f>
        <v/>
      </c>
      <c r="L1158" s="24">
        <f>IF(K1158=1,IFERROR(MATCH('ORDENES'!$S1154,lista_dias,0),9)*1000000000+IFERROR(MATCH('ORDENES'!$AI1154,lista_turnos,0),9)*10000000+IFERROR(MATCH('ORDENES'!$AH1154,'TECNICOS'!$B$4:$B$19,0),99)*100000+1151,9000000000000+1151)</f>
        <v/>
      </c>
      <c r="M1158" s="24">
        <f>IF(K1158=1,SUMPRODUCT(--($L$8:$L$1207&lt;L1158))+1,"")</f>
        <v/>
      </c>
      <c r="N1158" s="25">
        <f>IF(K1158=1,N('ORDENES'!$M1154),0)</f>
        <v/>
      </c>
      <c r="O1158" s="25">
        <f>IF('ORDENES'!$U1154="preventiva",N1158,0)</f>
        <v/>
      </c>
      <c r="P1158" s="25">
        <f>IF('ORDENES'!$U1154="correctiva",N1158,0)</f>
        <v/>
      </c>
      <c r="Q1158" s="24">
        <f>IF(AND(K1158=1,'ORDENES'!$N1154="Pendiente"),1,0)</f>
        <v/>
      </c>
      <c r="R1158" s="24">
        <f>IF(Q1158=1,100000-N1158*1000+1151*0.01,9000000000000+1151)</f>
        <v/>
      </c>
      <c r="S1158" s="24">
        <f>IF(Q1158=1,SUMPRODUCT(--($R$8:$R$1207&lt;R1158))+1,"")</f>
        <v/>
      </c>
      <c r="T1158" s="30">
        <f>IF(K1158=1,'ORDENES'!$J1154,"")</f>
        <v/>
      </c>
    </row>
    <row r="1159">
      <c r="K1159" s="24">
        <f>IF(AND(IF($B$3="(todos)",TRUE,'ORDENES'!$O1155=$B$3),IF($D$3="(todos)",TRUE,'ORDENES'!$AI1155=$D$3),IF($F$3="(todos)",TRUE,'ORDENES'!$AA1155=$F$3),IF($H$3="(todos)",TRUE,'ORDENES'!$Z1155=$H$3),'ORDENES'!$AG1155=TRUE,'ORDENES'!$A1155&lt;&gt;""),1,0)</f>
        <v/>
      </c>
      <c r="L1159" s="24">
        <f>IF(K1159=1,IFERROR(MATCH('ORDENES'!$S1155,lista_dias,0),9)*1000000000+IFERROR(MATCH('ORDENES'!$AI1155,lista_turnos,0),9)*10000000+IFERROR(MATCH('ORDENES'!$AH1155,'TECNICOS'!$B$4:$B$19,0),99)*100000+1152,9000000000000+1152)</f>
        <v/>
      </c>
      <c r="M1159" s="24">
        <f>IF(K1159=1,SUMPRODUCT(--($L$8:$L$1207&lt;L1159))+1,"")</f>
        <v/>
      </c>
      <c r="N1159" s="25">
        <f>IF(K1159=1,N('ORDENES'!$M1155),0)</f>
        <v/>
      </c>
      <c r="O1159" s="25">
        <f>IF('ORDENES'!$U1155="preventiva",N1159,0)</f>
        <v/>
      </c>
      <c r="P1159" s="25">
        <f>IF('ORDENES'!$U1155="correctiva",N1159,0)</f>
        <v/>
      </c>
      <c r="Q1159" s="24">
        <f>IF(AND(K1159=1,'ORDENES'!$N1155="Pendiente"),1,0)</f>
        <v/>
      </c>
      <c r="R1159" s="24">
        <f>IF(Q1159=1,100000-N1159*1000+1152*0.01,9000000000000+1152)</f>
        <v/>
      </c>
      <c r="S1159" s="24">
        <f>IF(Q1159=1,SUMPRODUCT(--($R$8:$R$1207&lt;R1159))+1,"")</f>
        <v/>
      </c>
      <c r="T1159" s="30">
        <f>IF(K1159=1,'ORDENES'!$J1155,"")</f>
        <v/>
      </c>
    </row>
    <row r="1160">
      <c r="K1160" s="24">
        <f>IF(AND(IF($B$3="(todos)",TRUE,'ORDENES'!$O1156=$B$3),IF($D$3="(todos)",TRUE,'ORDENES'!$AI1156=$D$3),IF($F$3="(todos)",TRUE,'ORDENES'!$AA1156=$F$3),IF($H$3="(todos)",TRUE,'ORDENES'!$Z1156=$H$3),'ORDENES'!$AG1156=TRUE,'ORDENES'!$A1156&lt;&gt;""),1,0)</f>
        <v/>
      </c>
      <c r="L1160" s="24">
        <f>IF(K1160=1,IFERROR(MATCH('ORDENES'!$S1156,lista_dias,0),9)*1000000000+IFERROR(MATCH('ORDENES'!$AI1156,lista_turnos,0),9)*10000000+IFERROR(MATCH('ORDENES'!$AH1156,'TECNICOS'!$B$4:$B$19,0),99)*100000+1153,9000000000000+1153)</f>
        <v/>
      </c>
      <c r="M1160" s="24">
        <f>IF(K1160=1,SUMPRODUCT(--($L$8:$L$1207&lt;L1160))+1,"")</f>
        <v/>
      </c>
      <c r="N1160" s="25">
        <f>IF(K1160=1,N('ORDENES'!$M1156),0)</f>
        <v/>
      </c>
      <c r="O1160" s="25">
        <f>IF('ORDENES'!$U1156="preventiva",N1160,0)</f>
        <v/>
      </c>
      <c r="P1160" s="25">
        <f>IF('ORDENES'!$U1156="correctiva",N1160,0)</f>
        <v/>
      </c>
      <c r="Q1160" s="24">
        <f>IF(AND(K1160=1,'ORDENES'!$N1156="Pendiente"),1,0)</f>
        <v/>
      </c>
      <c r="R1160" s="24">
        <f>IF(Q1160=1,100000-N1160*1000+1153*0.01,9000000000000+1153)</f>
        <v/>
      </c>
      <c r="S1160" s="24">
        <f>IF(Q1160=1,SUMPRODUCT(--($R$8:$R$1207&lt;R1160))+1,"")</f>
        <v/>
      </c>
      <c r="T1160" s="30">
        <f>IF(K1160=1,'ORDENES'!$J1156,"")</f>
        <v/>
      </c>
    </row>
    <row r="1161">
      <c r="K1161" s="24">
        <f>IF(AND(IF($B$3="(todos)",TRUE,'ORDENES'!$O1157=$B$3),IF($D$3="(todos)",TRUE,'ORDENES'!$AI1157=$D$3),IF($F$3="(todos)",TRUE,'ORDENES'!$AA1157=$F$3),IF($H$3="(todos)",TRUE,'ORDENES'!$Z1157=$H$3),'ORDENES'!$AG1157=TRUE,'ORDENES'!$A1157&lt;&gt;""),1,0)</f>
        <v/>
      </c>
      <c r="L1161" s="24">
        <f>IF(K1161=1,IFERROR(MATCH('ORDENES'!$S1157,lista_dias,0),9)*1000000000+IFERROR(MATCH('ORDENES'!$AI1157,lista_turnos,0),9)*10000000+IFERROR(MATCH('ORDENES'!$AH1157,'TECNICOS'!$B$4:$B$19,0),99)*100000+1154,9000000000000+1154)</f>
        <v/>
      </c>
      <c r="M1161" s="24">
        <f>IF(K1161=1,SUMPRODUCT(--($L$8:$L$1207&lt;L1161))+1,"")</f>
        <v/>
      </c>
      <c r="N1161" s="25">
        <f>IF(K1161=1,N('ORDENES'!$M1157),0)</f>
        <v/>
      </c>
      <c r="O1161" s="25">
        <f>IF('ORDENES'!$U1157="preventiva",N1161,0)</f>
        <v/>
      </c>
      <c r="P1161" s="25">
        <f>IF('ORDENES'!$U1157="correctiva",N1161,0)</f>
        <v/>
      </c>
      <c r="Q1161" s="24">
        <f>IF(AND(K1161=1,'ORDENES'!$N1157="Pendiente"),1,0)</f>
        <v/>
      </c>
      <c r="R1161" s="24">
        <f>IF(Q1161=1,100000-N1161*1000+1154*0.01,9000000000000+1154)</f>
        <v/>
      </c>
      <c r="S1161" s="24">
        <f>IF(Q1161=1,SUMPRODUCT(--($R$8:$R$1207&lt;R1161))+1,"")</f>
        <v/>
      </c>
      <c r="T1161" s="30">
        <f>IF(K1161=1,'ORDENES'!$J1157,"")</f>
        <v/>
      </c>
    </row>
    <row r="1162">
      <c r="K1162" s="24">
        <f>IF(AND(IF($B$3="(todos)",TRUE,'ORDENES'!$O1158=$B$3),IF($D$3="(todos)",TRUE,'ORDENES'!$AI1158=$D$3),IF($F$3="(todos)",TRUE,'ORDENES'!$AA1158=$F$3),IF($H$3="(todos)",TRUE,'ORDENES'!$Z1158=$H$3),'ORDENES'!$AG1158=TRUE,'ORDENES'!$A1158&lt;&gt;""),1,0)</f>
        <v/>
      </c>
      <c r="L1162" s="24">
        <f>IF(K1162=1,IFERROR(MATCH('ORDENES'!$S1158,lista_dias,0),9)*1000000000+IFERROR(MATCH('ORDENES'!$AI1158,lista_turnos,0),9)*10000000+IFERROR(MATCH('ORDENES'!$AH1158,'TECNICOS'!$B$4:$B$19,0),99)*100000+1155,9000000000000+1155)</f>
        <v/>
      </c>
      <c r="M1162" s="24">
        <f>IF(K1162=1,SUMPRODUCT(--($L$8:$L$1207&lt;L1162))+1,"")</f>
        <v/>
      </c>
      <c r="N1162" s="25">
        <f>IF(K1162=1,N('ORDENES'!$M1158),0)</f>
        <v/>
      </c>
      <c r="O1162" s="25">
        <f>IF('ORDENES'!$U1158="preventiva",N1162,0)</f>
        <v/>
      </c>
      <c r="P1162" s="25">
        <f>IF('ORDENES'!$U1158="correctiva",N1162,0)</f>
        <v/>
      </c>
      <c r="Q1162" s="24">
        <f>IF(AND(K1162=1,'ORDENES'!$N1158="Pendiente"),1,0)</f>
        <v/>
      </c>
      <c r="R1162" s="24">
        <f>IF(Q1162=1,100000-N1162*1000+1155*0.01,9000000000000+1155)</f>
        <v/>
      </c>
      <c r="S1162" s="24">
        <f>IF(Q1162=1,SUMPRODUCT(--($R$8:$R$1207&lt;R1162))+1,"")</f>
        <v/>
      </c>
      <c r="T1162" s="30">
        <f>IF(K1162=1,'ORDENES'!$J1158,"")</f>
        <v/>
      </c>
    </row>
    <row r="1163">
      <c r="K1163" s="24">
        <f>IF(AND(IF($B$3="(todos)",TRUE,'ORDENES'!$O1159=$B$3),IF($D$3="(todos)",TRUE,'ORDENES'!$AI1159=$D$3),IF($F$3="(todos)",TRUE,'ORDENES'!$AA1159=$F$3),IF($H$3="(todos)",TRUE,'ORDENES'!$Z1159=$H$3),'ORDENES'!$AG1159=TRUE,'ORDENES'!$A1159&lt;&gt;""),1,0)</f>
        <v/>
      </c>
      <c r="L1163" s="24">
        <f>IF(K1163=1,IFERROR(MATCH('ORDENES'!$S1159,lista_dias,0),9)*1000000000+IFERROR(MATCH('ORDENES'!$AI1159,lista_turnos,0),9)*10000000+IFERROR(MATCH('ORDENES'!$AH1159,'TECNICOS'!$B$4:$B$19,0),99)*100000+1156,9000000000000+1156)</f>
        <v/>
      </c>
      <c r="M1163" s="24">
        <f>IF(K1163=1,SUMPRODUCT(--($L$8:$L$1207&lt;L1163))+1,"")</f>
        <v/>
      </c>
      <c r="N1163" s="25">
        <f>IF(K1163=1,N('ORDENES'!$M1159),0)</f>
        <v/>
      </c>
      <c r="O1163" s="25">
        <f>IF('ORDENES'!$U1159="preventiva",N1163,0)</f>
        <v/>
      </c>
      <c r="P1163" s="25">
        <f>IF('ORDENES'!$U1159="correctiva",N1163,0)</f>
        <v/>
      </c>
      <c r="Q1163" s="24">
        <f>IF(AND(K1163=1,'ORDENES'!$N1159="Pendiente"),1,0)</f>
        <v/>
      </c>
      <c r="R1163" s="24">
        <f>IF(Q1163=1,100000-N1163*1000+1156*0.01,9000000000000+1156)</f>
        <v/>
      </c>
      <c r="S1163" s="24">
        <f>IF(Q1163=1,SUMPRODUCT(--($R$8:$R$1207&lt;R1163))+1,"")</f>
        <v/>
      </c>
      <c r="T1163" s="30">
        <f>IF(K1163=1,'ORDENES'!$J1159,"")</f>
        <v/>
      </c>
    </row>
    <row r="1164">
      <c r="K1164" s="24">
        <f>IF(AND(IF($B$3="(todos)",TRUE,'ORDENES'!$O1160=$B$3),IF($D$3="(todos)",TRUE,'ORDENES'!$AI1160=$D$3),IF($F$3="(todos)",TRUE,'ORDENES'!$AA1160=$F$3),IF($H$3="(todos)",TRUE,'ORDENES'!$Z1160=$H$3),'ORDENES'!$AG1160=TRUE,'ORDENES'!$A1160&lt;&gt;""),1,0)</f>
        <v/>
      </c>
      <c r="L1164" s="24">
        <f>IF(K1164=1,IFERROR(MATCH('ORDENES'!$S1160,lista_dias,0),9)*1000000000+IFERROR(MATCH('ORDENES'!$AI1160,lista_turnos,0),9)*10000000+IFERROR(MATCH('ORDENES'!$AH1160,'TECNICOS'!$B$4:$B$19,0),99)*100000+1157,9000000000000+1157)</f>
        <v/>
      </c>
      <c r="M1164" s="24">
        <f>IF(K1164=1,SUMPRODUCT(--($L$8:$L$1207&lt;L1164))+1,"")</f>
        <v/>
      </c>
      <c r="N1164" s="25">
        <f>IF(K1164=1,N('ORDENES'!$M1160),0)</f>
        <v/>
      </c>
      <c r="O1164" s="25">
        <f>IF('ORDENES'!$U1160="preventiva",N1164,0)</f>
        <v/>
      </c>
      <c r="P1164" s="25">
        <f>IF('ORDENES'!$U1160="correctiva",N1164,0)</f>
        <v/>
      </c>
      <c r="Q1164" s="24">
        <f>IF(AND(K1164=1,'ORDENES'!$N1160="Pendiente"),1,0)</f>
        <v/>
      </c>
      <c r="R1164" s="24">
        <f>IF(Q1164=1,100000-N1164*1000+1157*0.01,9000000000000+1157)</f>
        <v/>
      </c>
      <c r="S1164" s="24">
        <f>IF(Q1164=1,SUMPRODUCT(--($R$8:$R$1207&lt;R1164))+1,"")</f>
        <v/>
      </c>
      <c r="T1164" s="30">
        <f>IF(K1164=1,'ORDENES'!$J1160,"")</f>
        <v/>
      </c>
    </row>
    <row r="1165">
      <c r="K1165" s="24">
        <f>IF(AND(IF($B$3="(todos)",TRUE,'ORDENES'!$O1161=$B$3),IF($D$3="(todos)",TRUE,'ORDENES'!$AI1161=$D$3),IF($F$3="(todos)",TRUE,'ORDENES'!$AA1161=$F$3),IF($H$3="(todos)",TRUE,'ORDENES'!$Z1161=$H$3),'ORDENES'!$AG1161=TRUE,'ORDENES'!$A1161&lt;&gt;""),1,0)</f>
        <v/>
      </c>
      <c r="L1165" s="24">
        <f>IF(K1165=1,IFERROR(MATCH('ORDENES'!$S1161,lista_dias,0),9)*1000000000+IFERROR(MATCH('ORDENES'!$AI1161,lista_turnos,0),9)*10000000+IFERROR(MATCH('ORDENES'!$AH1161,'TECNICOS'!$B$4:$B$19,0),99)*100000+1158,9000000000000+1158)</f>
        <v/>
      </c>
      <c r="M1165" s="24">
        <f>IF(K1165=1,SUMPRODUCT(--($L$8:$L$1207&lt;L1165))+1,"")</f>
        <v/>
      </c>
      <c r="N1165" s="25">
        <f>IF(K1165=1,N('ORDENES'!$M1161),0)</f>
        <v/>
      </c>
      <c r="O1165" s="25">
        <f>IF('ORDENES'!$U1161="preventiva",N1165,0)</f>
        <v/>
      </c>
      <c r="P1165" s="25">
        <f>IF('ORDENES'!$U1161="correctiva",N1165,0)</f>
        <v/>
      </c>
      <c r="Q1165" s="24">
        <f>IF(AND(K1165=1,'ORDENES'!$N1161="Pendiente"),1,0)</f>
        <v/>
      </c>
      <c r="R1165" s="24">
        <f>IF(Q1165=1,100000-N1165*1000+1158*0.01,9000000000000+1158)</f>
        <v/>
      </c>
      <c r="S1165" s="24">
        <f>IF(Q1165=1,SUMPRODUCT(--($R$8:$R$1207&lt;R1165))+1,"")</f>
        <v/>
      </c>
      <c r="T1165" s="30">
        <f>IF(K1165=1,'ORDENES'!$J1161,"")</f>
        <v/>
      </c>
    </row>
    <row r="1166">
      <c r="K1166" s="24">
        <f>IF(AND(IF($B$3="(todos)",TRUE,'ORDENES'!$O1162=$B$3),IF($D$3="(todos)",TRUE,'ORDENES'!$AI1162=$D$3),IF($F$3="(todos)",TRUE,'ORDENES'!$AA1162=$F$3),IF($H$3="(todos)",TRUE,'ORDENES'!$Z1162=$H$3),'ORDENES'!$AG1162=TRUE,'ORDENES'!$A1162&lt;&gt;""),1,0)</f>
        <v/>
      </c>
      <c r="L1166" s="24">
        <f>IF(K1166=1,IFERROR(MATCH('ORDENES'!$S1162,lista_dias,0),9)*1000000000+IFERROR(MATCH('ORDENES'!$AI1162,lista_turnos,0),9)*10000000+IFERROR(MATCH('ORDENES'!$AH1162,'TECNICOS'!$B$4:$B$19,0),99)*100000+1159,9000000000000+1159)</f>
        <v/>
      </c>
      <c r="M1166" s="24">
        <f>IF(K1166=1,SUMPRODUCT(--($L$8:$L$1207&lt;L1166))+1,"")</f>
        <v/>
      </c>
      <c r="N1166" s="25">
        <f>IF(K1166=1,N('ORDENES'!$M1162),0)</f>
        <v/>
      </c>
      <c r="O1166" s="25">
        <f>IF('ORDENES'!$U1162="preventiva",N1166,0)</f>
        <v/>
      </c>
      <c r="P1166" s="25">
        <f>IF('ORDENES'!$U1162="correctiva",N1166,0)</f>
        <v/>
      </c>
      <c r="Q1166" s="24">
        <f>IF(AND(K1166=1,'ORDENES'!$N1162="Pendiente"),1,0)</f>
        <v/>
      </c>
      <c r="R1166" s="24">
        <f>IF(Q1166=1,100000-N1166*1000+1159*0.01,9000000000000+1159)</f>
        <v/>
      </c>
      <c r="S1166" s="24">
        <f>IF(Q1166=1,SUMPRODUCT(--($R$8:$R$1207&lt;R1166))+1,"")</f>
        <v/>
      </c>
      <c r="T1166" s="30">
        <f>IF(K1166=1,'ORDENES'!$J1162,"")</f>
        <v/>
      </c>
    </row>
    <row r="1167">
      <c r="K1167" s="24">
        <f>IF(AND(IF($B$3="(todos)",TRUE,'ORDENES'!$O1163=$B$3),IF($D$3="(todos)",TRUE,'ORDENES'!$AI1163=$D$3),IF($F$3="(todos)",TRUE,'ORDENES'!$AA1163=$F$3),IF($H$3="(todos)",TRUE,'ORDENES'!$Z1163=$H$3),'ORDENES'!$AG1163=TRUE,'ORDENES'!$A1163&lt;&gt;""),1,0)</f>
        <v/>
      </c>
      <c r="L1167" s="24">
        <f>IF(K1167=1,IFERROR(MATCH('ORDENES'!$S1163,lista_dias,0),9)*1000000000+IFERROR(MATCH('ORDENES'!$AI1163,lista_turnos,0),9)*10000000+IFERROR(MATCH('ORDENES'!$AH1163,'TECNICOS'!$B$4:$B$19,0),99)*100000+1160,9000000000000+1160)</f>
        <v/>
      </c>
      <c r="M1167" s="24">
        <f>IF(K1167=1,SUMPRODUCT(--($L$8:$L$1207&lt;L1167))+1,"")</f>
        <v/>
      </c>
      <c r="N1167" s="25">
        <f>IF(K1167=1,N('ORDENES'!$M1163),0)</f>
        <v/>
      </c>
      <c r="O1167" s="25">
        <f>IF('ORDENES'!$U1163="preventiva",N1167,0)</f>
        <v/>
      </c>
      <c r="P1167" s="25">
        <f>IF('ORDENES'!$U1163="correctiva",N1167,0)</f>
        <v/>
      </c>
      <c r="Q1167" s="24">
        <f>IF(AND(K1167=1,'ORDENES'!$N1163="Pendiente"),1,0)</f>
        <v/>
      </c>
      <c r="R1167" s="24">
        <f>IF(Q1167=1,100000-N1167*1000+1160*0.01,9000000000000+1160)</f>
        <v/>
      </c>
      <c r="S1167" s="24">
        <f>IF(Q1167=1,SUMPRODUCT(--($R$8:$R$1207&lt;R1167))+1,"")</f>
        <v/>
      </c>
      <c r="T1167" s="30">
        <f>IF(K1167=1,'ORDENES'!$J1163,"")</f>
        <v/>
      </c>
    </row>
    <row r="1168">
      <c r="K1168" s="24">
        <f>IF(AND(IF($B$3="(todos)",TRUE,'ORDENES'!$O1164=$B$3),IF($D$3="(todos)",TRUE,'ORDENES'!$AI1164=$D$3),IF($F$3="(todos)",TRUE,'ORDENES'!$AA1164=$F$3),IF($H$3="(todos)",TRUE,'ORDENES'!$Z1164=$H$3),'ORDENES'!$AG1164=TRUE,'ORDENES'!$A1164&lt;&gt;""),1,0)</f>
        <v/>
      </c>
      <c r="L1168" s="24">
        <f>IF(K1168=1,IFERROR(MATCH('ORDENES'!$S1164,lista_dias,0),9)*1000000000+IFERROR(MATCH('ORDENES'!$AI1164,lista_turnos,0),9)*10000000+IFERROR(MATCH('ORDENES'!$AH1164,'TECNICOS'!$B$4:$B$19,0),99)*100000+1161,9000000000000+1161)</f>
        <v/>
      </c>
      <c r="M1168" s="24">
        <f>IF(K1168=1,SUMPRODUCT(--($L$8:$L$1207&lt;L1168))+1,"")</f>
        <v/>
      </c>
      <c r="N1168" s="25">
        <f>IF(K1168=1,N('ORDENES'!$M1164),0)</f>
        <v/>
      </c>
      <c r="O1168" s="25">
        <f>IF('ORDENES'!$U1164="preventiva",N1168,0)</f>
        <v/>
      </c>
      <c r="P1168" s="25">
        <f>IF('ORDENES'!$U1164="correctiva",N1168,0)</f>
        <v/>
      </c>
      <c r="Q1168" s="24">
        <f>IF(AND(K1168=1,'ORDENES'!$N1164="Pendiente"),1,0)</f>
        <v/>
      </c>
      <c r="R1168" s="24">
        <f>IF(Q1168=1,100000-N1168*1000+1161*0.01,9000000000000+1161)</f>
        <v/>
      </c>
      <c r="S1168" s="24">
        <f>IF(Q1168=1,SUMPRODUCT(--($R$8:$R$1207&lt;R1168))+1,"")</f>
        <v/>
      </c>
      <c r="T1168" s="30">
        <f>IF(K1168=1,'ORDENES'!$J1164,"")</f>
        <v/>
      </c>
    </row>
    <row r="1169">
      <c r="K1169" s="24">
        <f>IF(AND(IF($B$3="(todos)",TRUE,'ORDENES'!$O1165=$B$3),IF($D$3="(todos)",TRUE,'ORDENES'!$AI1165=$D$3),IF($F$3="(todos)",TRUE,'ORDENES'!$AA1165=$F$3),IF($H$3="(todos)",TRUE,'ORDENES'!$Z1165=$H$3),'ORDENES'!$AG1165=TRUE,'ORDENES'!$A1165&lt;&gt;""),1,0)</f>
        <v/>
      </c>
      <c r="L1169" s="24">
        <f>IF(K1169=1,IFERROR(MATCH('ORDENES'!$S1165,lista_dias,0),9)*1000000000+IFERROR(MATCH('ORDENES'!$AI1165,lista_turnos,0),9)*10000000+IFERROR(MATCH('ORDENES'!$AH1165,'TECNICOS'!$B$4:$B$19,0),99)*100000+1162,9000000000000+1162)</f>
        <v/>
      </c>
      <c r="M1169" s="24">
        <f>IF(K1169=1,SUMPRODUCT(--($L$8:$L$1207&lt;L1169))+1,"")</f>
        <v/>
      </c>
      <c r="N1169" s="25">
        <f>IF(K1169=1,N('ORDENES'!$M1165),0)</f>
        <v/>
      </c>
      <c r="O1169" s="25">
        <f>IF('ORDENES'!$U1165="preventiva",N1169,0)</f>
        <v/>
      </c>
      <c r="P1169" s="25">
        <f>IF('ORDENES'!$U1165="correctiva",N1169,0)</f>
        <v/>
      </c>
      <c r="Q1169" s="24">
        <f>IF(AND(K1169=1,'ORDENES'!$N1165="Pendiente"),1,0)</f>
        <v/>
      </c>
      <c r="R1169" s="24">
        <f>IF(Q1169=1,100000-N1169*1000+1162*0.01,9000000000000+1162)</f>
        <v/>
      </c>
      <c r="S1169" s="24">
        <f>IF(Q1169=1,SUMPRODUCT(--($R$8:$R$1207&lt;R1169))+1,"")</f>
        <v/>
      </c>
      <c r="T1169" s="30">
        <f>IF(K1169=1,'ORDENES'!$J1165,"")</f>
        <v/>
      </c>
    </row>
    <row r="1170">
      <c r="K1170" s="24">
        <f>IF(AND(IF($B$3="(todos)",TRUE,'ORDENES'!$O1166=$B$3),IF($D$3="(todos)",TRUE,'ORDENES'!$AI1166=$D$3),IF($F$3="(todos)",TRUE,'ORDENES'!$AA1166=$F$3),IF($H$3="(todos)",TRUE,'ORDENES'!$Z1166=$H$3),'ORDENES'!$AG1166=TRUE,'ORDENES'!$A1166&lt;&gt;""),1,0)</f>
        <v/>
      </c>
      <c r="L1170" s="24">
        <f>IF(K1170=1,IFERROR(MATCH('ORDENES'!$S1166,lista_dias,0),9)*1000000000+IFERROR(MATCH('ORDENES'!$AI1166,lista_turnos,0),9)*10000000+IFERROR(MATCH('ORDENES'!$AH1166,'TECNICOS'!$B$4:$B$19,0),99)*100000+1163,9000000000000+1163)</f>
        <v/>
      </c>
      <c r="M1170" s="24">
        <f>IF(K1170=1,SUMPRODUCT(--($L$8:$L$1207&lt;L1170))+1,"")</f>
        <v/>
      </c>
      <c r="N1170" s="25">
        <f>IF(K1170=1,N('ORDENES'!$M1166),0)</f>
        <v/>
      </c>
      <c r="O1170" s="25">
        <f>IF('ORDENES'!$U1166="preventiva",N1170,0)</f>
        <v/>
      </c>
      <c r="P1170" s="25">
        <f>IF('ORDENES'!$U1166="correctiva",N1170,0)</f>
        <v/>
      </c>
      <c r="Q1170" s="24">
        <f>IF(AND(K1170=1,'ORDENES'!$N1166="Pendiente"),1,0)</f>
        <v/>
      </c>
      <c r="R1170" s="24">
        <f>IF(Q1170=1,100000-N1170*1000+1163*0.01,9000000000000+1163)</f>
        <v/>
      </c>
      <c r="S1170" s="24">
        <f>IF(Q1170=1,SUMPRODUCT(--($R$8:$R$1207&lt;R1170))+1,"")</f>
        <v/>
      </c>
      <c r="T1170" s="30">
        <f>IF(K1170=1,'ORDENES'!$J1166,"")</f>
        <v/>
      </c>
    </row>
    <row r="1171">
      <c r="K1171" s="24">
        <f>IF(AND(IF($B$3="(todos)",TRUE,'ORDENES'!$O1167=$B$3),IF($D$3="(todos)",TRUE,'ORDENES'!$AI1167=$D$3),IF($F$3="(todos)",TRUE,'ORDENES'!$AA1167=$F$3),IF($H$3="(todos)",TRUE,'ORDENES'!$Z1167=$H$3),'ORDENES'!$AG1167=TRUE,'ORDENES'!$A1167&lt;&gt;""),1,0)</f>
        <v/>
      </c>
      <c r="L1171" s="24">
        <f>IF(K1171=1,IFERROR(MATCH('ORDENES'!$S1167,lista_dias,0),9)*1000000000+IFERROR(MATCH('ORDENES'!$AI1167,lista_turnos,0),9)*10000000+IFERROR(MATCH('ORDENES'!$AH1167,'TECNICOS'!$B$4:$B$19,0),99)*100000+1164,9000000000000+1164)</f>
        <v/>
      </c>
      <c r="M1171" s="24">
        <f>IF(K1171=1,SUMPRODUCT(--($L$8:$L$1207&lt;L1171))+1,"")</f>
        <v/>
      </c>
      <c r="N1171" s="25">
        <f>IF(K1171=1,N('ORDENES'!$M1167),0)</f>
        <v/>
      </c>
      <c r="O1171" s="25">
        <f>IF('ORDENES'!$U1167="preventiva",N1171,0)</f>
        <v/>
      </c>
      <c r="P1171" s="25">
        <f>IF('ORDENES'!$U1167="correctiva",N1171,0)</f>
        <v/>
      </c>
      <c r="Q1171" s="24">
        <f>IF(AND(K1171=1,'ORDENES'!$N1167="Pendiente"),1,0)</f>
        <v/>
      </c>
      <c r="R1171" s="24">
        <f>IF(Q1171=1,100000-N1171*1000+1164*0.01,9000000000000+1164)</f>
        <v/>
      </c>
      <c r="S1171" s="24">
        <f>IF(Q1171=1,SUMPRODUCT(--($R$8:$R$1207&lt;R1171))+1,"")</f>
        <v/>
      </c>
      <c r="T1171" s="30">
        <f>IF(K1171=1,'ORDENES'!$J1167,"")</f>
        <v/>
      </c>
    </row>
    <row r="1172">
      <c r="K1172" s="24">
        <f>IF(AND(IF($B$3="(todos)",TRUE,'ORDENES'!$O1168=$B$3),IF($D$3="(todos)",TRUE,'ORDENES'!$AI1168=$D$3),IF($F$3="(todos)",TRUE,'ORDENES'!$AA1168=$F$3),IF($H$3="(todos)",TRUE,'ORDENES'!$Z1168=$H$3),'ORDENES'!$AG1168=TRUE,'ORDENES'!$A1168&lt;&gt;""),1,0)</f>
        <v/>
      </c>
      <c r="L1172" s="24">
        <f>IF(K1172=1,IFERROR(MATCH('ORDENES'!$S1168,lista_dias,0),9)*1000000000+IFERROR(MATCH('ORDENES'!$AI1168,lista_turnos,0),9)*10000000+IFERROR(MATCH('ORDENES'!$AH1168,'TECNICOS'!$B$4:$B$19,0),99)*100000+1165,9000000000000+1165)</f>
        <v/>
      </c>
      <c r="M1172" s="24">
        <f>IF(K1172=1,SUMPRODUCT(--($L$8:$L$1207&lt;L1172))+1,"")</f>
        <v/>
      </c>
      <c r="N1172" s="25">
        <f>IF(K1172=1,N('ORDENES'!$M1168),0)</f>
        <v/>
      </c>
      <c r="O1172" s="25">
        <f>IF('ORDENES'!$U1168="preventiva",N1172,0)</f>
        <v/>
      </c>
      <c r="P1172" s="25">
        <f>IF('ORDENES'!$U1168="correctiva",N1172,0)</f>
        <v/>
      </c>
      <c r="Q1172" s="24">
        <f>IF(AND(K1172=1,'ORDENES'!$N1168="Pendiente"),1,0)</f>
        <v/>
      </c>
      <c r="R1172" s="24">
        <f>IF(Q1172=1,100000-N1172*1000+1165*0.01,9000000000000+1165)</f>
        <v/>
      </c>
      <c r="S1172" s="24">
        <f>IF(Q1172=1,SUMPRODUCT(--($R$8:$R$1207&lt;R1172))+1,"")</f>
        <v/>
      </c>
      <c r="T1172" s="30">
        <f>IF(K1172=1,'ORDENES'!$J1168,"")</f>
        <v/>
      </c>
    </row>
    <row r="1173">
      <c r="K1173" s="24">
        <f>IF(AND(IF($B$3="(todos)",TRUE,'ORDENES'!$O1169=$B$3),IF($D$3="(todos)",TRUE,'ORDENES'!$AI1169=$D$3),IF($F$3="(todos)",TRUE,'ORDENES'!$AA1169=$F$3),IF($H$3="(todos)",TRUE,'ORDENES'!$Z1169=$H$3),'ORDENES'!$AG1169=TRUE,'ORDENES'!$A1169&lt;&gt;""),1,0)</f>
        <v/>
      </c>
      <c r="L1173" s="24">
        <f>IF(K1173=1,IFERROR(MATCH('ORDENES'!$S1169,lista_dias,0),9)*1000000000+IFERROR(MATCH('ORDENES'!$AI1169,lista_turnos,0),9)*10000000+IFERROR(MATCH('ORDENES'!$AH1169,'TECNICOS'!$B$4:$B$19,0),99)*100000+1166,9000000000000+1166)</f>
        <v/>
      </c>
      <c r="M1173" s="24">
        <f>IF(K1173=1,SUMPRODUCT(--($L$8:$L$1207&lt;L1173))+1,"")</f>
        <v/>
      </c>
      <c r="N1173" s="25">
        <f>IF(K1173=1,N('ORDENES'!$M1169),0)</f>
        <v/>
      </c>
      <c r="O1173" s="25">
        <f>IF('ORDENES'!$U1169="preventiva",N1173,0)</f>
        <v/>
      </c>
      <c r="P1173" s="25">
        <f>IF('ORDENES'!$U1169="correctiva",N1173,0)</f>
        <v/>
      </c>
      <c r="Q1173" s="24">
        <f>IF(AND(K1173=1,'ORDENES'!$N1169="Pendiente"),1,0)</f>
        <v/>
      </c>
      <c r="R1173" s="24">
        <f>IF(Q1173=1,100000-N1173*1000+1166*0.01,9000000000000+1166)</f>
        <v/>
      </c>
      <c r="S1173" s="24">
        <f>IF(Q1173=1,SUMPRODUCT(--($R$8:$R$1207&lt;R1173))+1,"")</f>
        <v/>
      </c>
      <c r="T1173" s="30">
        <f>IF(K1173=1,'ORDENES'!$J1169,"")</f>
        <v/>
      </c>
    </row>
    <row r="1174">
      <c r="K1174" s="24">
        <f>IF(AND(IF($B$3="(todos)",TRUE,'ORDENES'!$O1170=$B$3),IF($D$3="(todos)",TRUE,'ORDENES'!$AI1170=$D$3),IF($F$3="(todos)",TRUE,'ORDENES'!$AA1170=$F$3),IF($H$3="(todos)",TRUE,'ORDENES'!$Z1170=$H$3),'ORDENES'!$AG1170=TRUE,'ORDENES'!$A1170&lt;&gt;""),1,0)</f>
        <v/>
      </c>
      <c r="L1174" s="24">
        <f>IF(K1174=1,IFERROR(MATCH('ORDENES'!$S1170,lista_dias,0),9)*1000000000+IFERROR(MATCH('ORDENES'!$AI1170,lista_turnos,0),9)*10000000+IFERROR(MATCH('ORDENES'!$AH1170,'TECNICOS'!$B$4:$B$19,0),99)*100000+1167,9000000000000+1167)</f>
        <v/>
      </c>
      <c r="M1174" s="24">
        <f>IF(K1174=1,SUMPRODUCT(--($L$8:$L$1207&lt;L1174))+1,"")</f>
        <v/>
      </c>
      <c r="N1174" s="25">
        <f>IF(K1174=1,N('ORDENES'!$M1170),0)</f>
        <v/>
      </c>
      <c r="O1174" s="25">
        <f>IF('ORDENES'!$U1170="preventiva",N1174,0)</f>
        <v/>
      </c>
      <c r="P1174" s="25">
        <f>IF('ORDENES'!$U1170="correctiva",N1174,0)</f>
        <v/>
      </c>
      <c r="Q1174" s="24">
        <f>IF(AND(K1174=1,'ORDENES'!$N1170="Pendiente"),1,0)</f>
        <v/>
      </c>
      <c r="R1174" s="24">
        <f>IF(Q1174=1,100000-N1174*1000+1167*0.01,9000000000000+1167)</f>
        <v/>
      </c>
      <c r="S1174" s="24">
        <f>IF(Q1174=1,SUMPRODUCT(--($R$8:$R$1207&lt;R1174))+1,"")</f>
        <v/>
      </c>
      <c r="T1174" s="30">
        <f>IF(K1174=1,'ORDENES'!$J1170,"")</f>
        <v/>
      </c>
    </row>
    <row r="1175">
      <c r="K1175" s="24">
        <f>IF(AND(IF($B$3="(todos)",TRUE,'ORDENES'!$O1171=$B$3),IF($D$3="(todos)",TRUE,'ORDENES'!$AI1171=$D$3),IF($F$3="(todos)",TRUE,'ORDENES'!$AA1171=$F$3),IF($H$3="(todos)",TRUE,'ORDENES'!$Z1171=$H$3),'ORDENES'!$AG1171=TRUE,'ORDENES'!$A1171&lt;&gt;""),1,0)</f>
        <v/>
      </c>
      <c r="L1175" s="24">
        <f>IF(K1175=1,IFERROR(MATCH('ORDENES'!$S1171,lista_dias,0),9)*1000000000+IFERROR(MATCH('ORDENES'!$AI1171,lista_turnos,0),9)*10000000+IFERROR(MATCH('ORDENES'!$AH1171,'TECNICOS'!$B$4:$B$19,0),99)*100000+1168,9000000000000+1168)</f>
        <v/>
      </c>
      <c r="M1175" s="24">
        <f>IF(K1175=1,SUMPRODUCT(--($L$8:$L$1207&lt;L1175))+1,"")</f>
        <v/>
      </c>
      <c r="N1175" s="25">
        <f>IF(K1175=1,N('ORDENES'!$M1171),0)</f>
        <v/>
      </c>
      <c r="O1175" s="25">
        <f>IF('ORDENES'!$U1171="preventiva",N1175,0)</f>
        <v/>
      </c>
      <c r="P1175" s="25">
        <f>IF('ORDENES'!$U1171="correctiva",N1175,0)</f>
        <v/>
      </c>
      <c r="Q1175" s="24">
        <f>IF(AND(K1175=1,'ORDENES'!$N1171="Pendiente"),1,0)</f>
        <v/>
      </c>
      <c r="R1175" s="24">
        <f>IF(Q1175=1,100000-N1175*1000+1168*0.01,9000000000000+1168)</f>
        <v/>
      </c>
      <c r="S1175" s="24">
        <f>IF(Q1175=1,SUMPRODUCT(--($R$8:$R$1207&lt;R1175))+1,"")</f>
        <v/>
      </c>
      <c r="T1175" s="30">
        <f>IF(K1175=1,'ORDENES'!$J1171,"")</f>
        <v/>
      </c>
    </row>
    <row r="1176">
      <c r="K1176" s="24">
        <f>IF(AND(IF($B$3="(todos)",TRUE,'ORDENES'!$O1172=$B$3),IF($D$3="(todos)",TRUE,'ORDENES'!$AI1172=$D$3),IF($F$3="(todos)",TRUE,'ORDENES'!$AA1172=$F$3),IF($H$3="(todos)",TRUE,'ORDENES'!$Z1172=$H$3),'ORDENES'!$AG1172=TRUE,'ORDENES'!$A1172&lt;&gt;""),1,0)</f>
        <v/>
      </c>
      <c r="L1176" s="24">
        <f>IF(K1176=1,IFERROR(MATCH('ORDENES'!$S1172,lista_dias,0),9)*1000000000+IFERROR(MATCH('ORDENES'!$AI1172,lista_turnos,0),9)*10000000+IFERROR(MATCH('ORDENES'!$AH1172,'TECNICOS'!$B$4:$B$19,0),99)*100000+1169,9000000000000+1169)</f>
        <v/>
      </c>
      <c r="M1176" s="24">
        <f>IF(K1176=1,SUMPRODUCT(--($L$8:$L$1207&lt;L1176))+1,"")</f>
        <v/>
      </c>
      <c r="N1176" s="25">
        <f>IF(K1176=1,N('ORDENES'!$M1172),0)</f>
        <v/>
      </c>
      <c r="O1176" s="25">
        <f>IF('ORDENES'!$U1172="preventiva",N1176,0)</f>
        <v/>
      </c>
      <c r="P1176" s="25">
        <f>IF('ORDENES'!$U1172="correctiva",N1176,0)</f>
        <v/>
      </c>
      <c r="Q1176" s="24">
        <f>IF(AND(K1176=1,'ORDENES'!$N1172="Pendiente"),1,0)</f>
        <v/>
      </c>
      <c r="R1176" s="24">
        <f>IF(Q1176=1,100000-N1176*1000+1169*0.01,9000000000000+1169)</f>
        <v/>
      </c>
      <c r="S1176" s="24">
        <f>IF(Q1176=1,SUMPRODUCT(--($R$8:$R$1207&lt;R1176))+1,"")</f>
        <v/>
      </c>
      <c r="T1176" s="30">
        <f>IF(K1176=1,'ORDENES'!$J1172,"")</f>
        <v/>
      </c>
    </row>
    <row r="1177">
      <c r="K1177" s="24">
        <f>IF(AND(IF($B$3="(todos)",TRUE,'ORDENES'!$O1173=$B$3),IF($D$3="(todos)",TRUE,'ORDENES'!$AI1173=$D$3),IF($F$3="(todos)",TRUE,'ORDENES'!$AA1173=$F$3),IF($H$3="(todos)",TRUE,'ORDENES'!$Z1173=$H$3),'ORDENES'!$AG1173=TRUE,'ORDENES'!$A1173&lt;&gt;""),1,0)</f>
        <v/>
      </c>
      <c r="L1177" s="24">
        <f>IF(K1177=1,IFERROR(MATCH('ORDENES'!$S1173,lista_dias,0),9)*1000000000+IFERROR(MATCH('ORDENES'!$AI1173,lista_turnos,0),9)*10000000+IFERROR(MATCH('ORDENES'!$AH1173,'TECNICOS'!$B$4:$B$19,0),99)*100000+1170,9000000000000+1170)</f>
        <v/>
      </c>
      <c r="M1177" s="24">
        <f>IF(K1177=1,SUMPRODUCT(--($L$8:$L$1207&lt;L1177))+1,"")</f>
        <v/>
      </c>
      <c r="N1177" s="25">
        <f>IF(K1177=1,N('ORDENES'!$M1173),0)</f>
        <v/>
      </c>
      <c r="O1177" s="25">
        <f>IF('ORDENES'!$U1173="preventiva",N1177,0)</f>
        <v/>
      </c>
      <c r="P1177" s="25">
        <f>IF('ORDENES'!$U1173="correctiva",N1177,0)</f>
        <v/>
      </c>
      <c r="Q1177" s="24">
        <f>IF(AND(K1177=1,'ORDENES'!$N1173="Pendiente"),1,0)</f>
        <v/>
      </c>
      <c r="R1177" s="24">
        <f>IF(Q1177=1,100000-N1177*1000+1170*0.01,9000000000000+1170)</f>
        <v/>
      </c>
      <c r="S1177" s="24">
        <f>IF(Q1177=1,SUMPRODUCT(--($R$8:$R$1207&lt;R1177))+1,"")</f>
        <v/>
      </c>
      <c r="T1177" s="30">
        <f>IF(K1177=1,'ORDENES'!$J1173,"")</f>
        <v/>
      </c>
    </row>
    <row r="1178">
      <c r="K1178" s="24">
        <f>IF(AND(IF($B$3="(todos)",TRUE,'ORDENES'!$O1174=$B$3),IF($D$3="(todos)",TRUE,'ORDENES'!$AI1174=$D$3),IF($F$3="(todos)",TRUE,'ORDENES'!$AA1174=$F$3),IF($H$3="(todos)",TRUE,'ORDENES'!$Z1174=$H$3),'ORDENES'!$AG1174=TRUE,'ORDENES'!$A1174&lt;&gt;""),1,0)</f>
        <v/>
      </c>
      <c r="L1178" s="24">
        <f>IF(K1178=1,IFERROR(MATCH('ORDENES'!$S1174,lista_dias,0),9)*1000000000+IFERROR(MATCH('ORDENES'!$AI1174,lista_turnos,0),9)*10000000+IFERROR(MATCH('ORDENES'!$AH1174,'TECNICOS'!$B$4:$B$19,0),99)*100000+1171,9000000000000+1171)</f>
        <v/>
      </c>
      <c r="M1178" s="24">
        <f>IF(K1178=1,SUMPRODUCT(--($L$8:$L$1207&lt;L1178))+1,"")</f>
        <v/>
      </c>
      <c r="N1178" s="25">
        <f>IF(K1178=1,N('ORDENES'!$M1174),0)</f>
        <v/>
      </c>
      <c r="O1178" s="25">
        <f>IF('ORDENES'!$U1174="preventiva",N1178,0)</f>
        <v/>
      </c>
      <c r="P1178" s="25">
        <f>IF('ORDENES'!$U1174="correctiva",N1178,0)</f>
        <v/>
      </c>
      <c r="Q1178" s="24">
        <f>IF(AND(K1178=1,'ORDENES'!$N1174="Pendiente"),1,0)</f>
        <v/>
      </c>
      <c r="R1178" s="24">
        <f>IF(Q1178=1,100000-N1178*1000+1171*0.01,9000000000000+1171)</f>
        <v/>
      </c>
      <c r="S1178" s="24">
        <f>IF(Q1178=1,SUMPRODUCT(--($R$8:$R$1207&lt;R1178))+1,"")</f>
        <v/>
      </c>
      <c r="T1178" s="30">
        <f>IF(K1178=1,'ORDENES'!$J1174,"")</f>
        <v/>
      </c>
    </row>
    <row r="1179">
      <c r="K1179" s="24">
        <f>IF(AND(IF($B$3="(todos)",TRUE,'ORDENES'!$O1175=$B$3),IF($D$3="(todos)",TRUE,'ORDENES'!$AI1175=$D$3),IF($F$3="(todos)",TRUE,'ORDENES'!$AA1175=$F$3),IF($H$3="(todos)",TRUE,'ORDENES'!$Z1175=$H$3),'ORDENES'!$AG1175=TRUE,'ORDENES'!$A1175&lt;&gt;""),1,0)</f>
        <v/>
      </c>
      <c r="L1179" s="24">
        <f>IF(K1179=1,IFERROR(MATCH('ORDENES'!$S1175,lista_dias,0),9)*1000000000+IFERROR(MATCH('ORDENES'!$AI1175,lista_turnos,0),9)*10000000+IFERROR(MATCH('ORDENES'!$AH1175,'TECNICOS'!$B$4:$B$19,0),99)*100000+1172,9000000000000+1172)</f>
        <v/>
      </c>
      <c r="M1179" s="24">
        <f>IF(K1179=1,SUMPRODUCT(--($L$8:$L$1207&lt;L1179))+1,"")</f>
        <v/>
      </c>
      <c r="N1179" s="25">
        <f>IF(K1179=1,N('ORDENES'!$M1175),0)</f>
        <v/>
      </c>
      <c r="O1179" s="25">
        <f>IF('ORDENES'!$U1175="preventiva",N1179,0)</f>
        <v/>
      </c>
      <c r="P1179" s="25">
        <f>IF('ORDENES'!$U1175="correctiva",N1179,0)</f>
        <v/>
      </c>
      <c r="Q1179" s="24">
        <f>IF(AND(K1179=1,'ORDENES'!$N1175="Pendiente"),1,0)</f>
        <v/>
      </c>
      <c r="R1179" s="24">
        <f>IF(Q1179=1,100000-N1179*1000+1172*0.01,9000000000000+1172)</f>
        <v/>
      </c>
      <c r="S1179" s="24">
        <f>IF(Q1179=1,SUMPRODUCT(--($R$8:$R$1207&lt;R1179))+1,"")</f>
        <v/>
      </c>
      <c r="T1179" s="30">
        <f>IF(K1179=1,'ORDENES'!$J1175,"")</f>
        <v/>
      </c>
    </row>
    <row r="1180">
      <c r="K1180" s="24">
        <f>IF(AND(IF($B$3="(todos)",TRUE,'ORDENES'!$O1176=$B$3),IF($D$3="(todos)",TRUE,'ORDENES'!$AI1176=$D$3),IF($F$3="(todos)",TRUE,'ORDENES'!$AA1176=$F$3),IF($H$3="(todos)",TRUE,'ORDENES'!$Z1176=$H$3),'ORDENES'!$AG1176=TRUE,'ORDENES'!$A1176&lt;&gt;""),1,0)</f>
        <v/>
      </c>
      <c r="L1180" s="24">
        <f>IF(K1180=1,IFERROR(MATCH('ORDENES'!$S1176,lista_dias,0),9)*1000000000+IFERROR(MATCH('ORDENES'!$AI1176,lista_turnos,0),9)*10000000+IFERROR(MATCH('ORDENES'!$AH1176,'TECNICOS'!$B$4:$B$19,0),99)*100000+1173,9000000000000+1173)</f>
        <v/>
      </c>
      <c r="M1180" s="24">
        <f>IF(K1180=1,SUMPRODUCT(--($L$8:$L$1207&lt;L1180))+1,"")</f>
        <v/>
      </c>
      <c r="N1180" s="25">
        <f>IF(K1180=1,N('ORDENES'!$M1176),0)</f>
        <v/>
      </c>
      <c r="O1180" s="25">
        <f>IF('ORDENES'!$U1176="preventiva",N1180,0)</f>
        <v/>
      </c>
      <c r="P1180" s="25">
        <f>IF('ORDENES'!$U1176="correctiva",N1180,0)</f>
        <v/>
      </c>
      <c r="Q1180" s="24">
        <f>IF(AND(K1180=1,'ORDENES'!$N1176="Pendiente"),1,0)</f>
        <v/>
      </c>
      <c r="R1180" s="24">
        <f>IF(Q1180=1,100000-N1180*1000+1173*0.01,9000000000000+1173)</f>
        <v/>
      </c>
      <c r="S1180" s="24">
        <f>IF(Q1180=1,SUMPRODUCT(--($R$8:$R$1207&lt;R1180))+1,"")</f>
        <v/>
      </c>
      <c r="T1180" s="30">
        <f>IF(K1180=1,'ORDENES'!$J1176,"")</f>
        <v/>
      </c>
    </row>
    <row r="1181">
      <c r="K1181" s="24">
        <f>IF(AND(IF($B$3="(todos)",TRUE,'ORDENES'!$O1177=$B$3),IF($D$3="(todos)",TRUE,'ORDENES'!$AI1177=$D$3),IF($F$3="(todos)",TRUE,'ORDENES'!$AA1177=$F$3),IF($H$3="(todos)",TRUE,'ORDENES'!$Z1177=$H$3),'ORDENES'!$AG1177=TRUE,'ORDENES'!$A1177&lt;&gt;""),1,0)</f>
        <v/>
      </c>
      <c r="L1181" s="24">
        <f>IF(K1181=1,IFERROR(MATCH('ORDENES'!$S1177,lista_dias,0),9)*1000000000+IFERROR(MATCH('ORDENES'!$AI1177,lista_turnos,0),9)*10000000+IFERROR(MATCH('ORDENES'!$AH1177,'TECNICOS'!$B$4:$B$19,0),99)*100000+1174,9000000000000+1174)</f>
        <v/>
      </c>
      <c r="M1181" s="24">
        <f>IF(K1181=1,SUMPRODUCT(--($L$8:$L$1207&lt;L1181))+1,"")</f>
        <v/>
      </c>
      <c r="N1181" s="25">
        <f>IF(K1181=1,N('ORDENES'!$M1177),0)</f>
        <v/>
      </c>
      <c r="O1181" s="25">
        <f>IF('ORDENES'!$U1177="preventiva",N1181,0)</f>
        <v/>
      </c>
      <c r="P1181" s="25">
        <f>IF('ORDENES'!$U1177="correctiva",N1181,0)</f>
        <v/>
      </c>
      <c r="Q1181" s="24">
        <f>IF(AND(K1181=1,'ORDENES'!$N1177="Pendiente"),1,0)</f>
        <v/>
      </c>
      <c r="R1181" s="24">
        <f>IF(Q1181=1,100000-N1181*1000+1174*0.01,9000000000000+1174)</f>
        <v/>
      </c>
      <c r="S1181" s="24">
        <f>IF(Q1181=1,SUMPRODUCT(--($R$8:$R$1207&lt;R1181))+1,"")</f>
        <v/>
      </c>
      <c r="T1181" s="30">
        <f>IF(K1181=1,'ORDENES'!$J1177,"")</f>
        <v/>
      </c>
    </row>
    <row r="1182">
      <c r="K1182" s="24">
        <f>IF(AND(IF($B$3="(todos)",TRUE,'ORDENES'!$O1178=$B$3),IF($D$3="(todos)",TRUE,'ORDENES'!$AI1178=$D$3),IF($F$3="(todos)",TRUE,'ORDENES'!$AA1178=$F$3),IF($H$3="(todos)",TRUE,'ORDENES'!$Z1178=$H$3),'ORDENES'!$AG1178=TRUE,'ORDENES'!$A1178&lt;&gt;""),1,0)</f>
        <v/>
      </c>
      <c r="L1182" s="24">
        <f>IF(K1182=1,IFERROR(MATCH('ORDENES'!$S1178,lista_dias,0),9)*1000000000+IFERROR(MATCH('ORDENES'!$AI1178,lista_turnos,0),9)*10000000+IFERROR(MATCH('ORDENES'!$AH1178,'TECNICOS'!$B$4:$B$19,0),99)*100000+1175,9000000000000+1175)</f>
        <v/>
      </c>
      <c r="M1182" s="24">
        <f>IF(K1182=1,SUMPRODUCT(--($L$8:$L$1207&lt;L1182))+1,"")</f>
        <v/>
      </c>
      <c r="N1182" s="25">
        <f>IF(K1182=1,N('ORDENES'!$M1178),0)</f>
        <v/>
      </c>
      <c r="O1182" s="25">
        <f>IF('ORDENES'!$U1178="preventiva",N1182,0)</f>
        <v/>
      </c>
      <c r="P1182" s="25">
        <f>IF('ORDENES'!$U1178="correctiva",N1182,0)</f>
        <v/>
      </c>
      <c r="Q1182" s="24">
        <f>IF(AND(K1182=1,'ORDENES'!$N1178="Pendiente"),1,0)</f>
        <v/>
      </c>
      <c r="R1182" s="24">
        <f>IF(Q1182=1,100000-N1182*1000+1175*0.01,9000000000000+1175)</f>
        <v/>
      </c>
      <c r="S1182" s="24">
        <f>IF(Q1182=1,SUMPRODUCT(--($R$8:$R$1207&lt;R1182))+1,"")</f>
        <v/>
      </c>
      <c r="T1182" s="30">
        <f>IF(K1182=1,'ORDENES'!$J1178,"")</f>
        <v/>
      </c>
    </row>
    <row r="1183">
      <c r="K1183" s="24">
        <f>IF(AND(IF($B$3="(todos)",TRUE,'ORDENES'!$O1179=$B$3),IF($D$3="(todos)",TRUE,'ORDENES'!$AI1179=$D$3),IF($F$3="(todos)",TRUE,'ORDENES'!$AA1179=$F$3),IF($H$3="(todos)",TRUE,'ORDENES'!$Z1179=$H$3),'ORDENES'!$AG1179=TRUE,'ORDENES'!$A1179&lt;&gt;""),1,0)</f>
        <v/>
      </c>
      <c r="L1183" s="24">
        <f>IF(K1183=1,IFERROR(MATCH('ORDENES'!$S1179,lista_dias,0),9)*1000000000+IFERROR(MATCH('ORDENES'!$AI1179,lista_turnos,0),9)*10000000+IFERROR(MATCH('ORDENES'!$AH1179,'TECNICOS'!$B$4:$B$19,0),99)*100000+1176,9000000000000+1176)</f>
        <v/>
      </c>
      <c r="M1183" s="24">
        <f>IF(K1183=1,SUMPRODUCT(--($L$8:$L$1207&lt;L1183))+1,"")</f>
        <v/>
      </c>
      <c r="N1183" s="25">
        <f>IF(K1183=1,N('ORDENES'!$M1179),0)</f>
        <v/>
      </c>
      <c r="O1183" s="25">
        <f>IF('ORDENES'!$U1179="preventiva",N1183,0)</f>
        <v/>
      </c>
      <c r="P1183" s="25">
        <f>IF('ORDENES'!$U1179="correctiva",N1183,0)</f>
        <v/>
      </c>
      <c r="Q1183" s="24">
        <f>IF(AND(K1183=1,'ORDENES'!$N1179="Pendiente"),1,0)</f>
        <v/>
      </c>
      <c r="R1183" s="24">
        <f>IF(Q1183=1,100000-N1183*1000+1176*0.01,9000000000000+1176)</f>
        <v/>
      </c>
      <c r="S1183" s="24">
        <f>IF(Q1183=1,SUMPRODUCT(--($R$8:$R$1207&lt;R1183))+1,"")</f>
        <v/>
      </c>
      <c r="T1183" s="30">
        <f>IF(K1183=1,'ORDENES'!$J1179,"")</f>
        <v/>
      </c>
    </row>
    <row r="1184">
      <c r="K1184" s="24">
        <f>IF(AND(IF($B$3="(todos)",TRUE,'ORDENES'!$O1180=$B$3),IF($D$3="(todos)",TRUE,'ORDENES'!$AI1180=$D$3),IF($F$3="(todos)",TRUE,'ORDENES'!$AA1180=$F$3),IF($H$3="(todos)",TRUE,'ORDENES'!$Z1180=$H$3),'ORDENES'!$AG1180=TRUE,'ORDENES'!$A1180&lt;&gt;""),1,0)</f>
        <v/>
      </c>
      <c r="L1184" s="24">
        <f>IF(K1184=1,IFERROR(MATCH('ORDENES'!$S1180,lista_dias,0),9)*1000000000+IFERROR(MATCH('ORDENES'!$AI1180,lista_turnos,0),9)*10000000+IFERROR(MATCH('ORDENES'!$AH1180,'TECNICOS'!$B$4:$B$19,0),99)*100000+1177,9000000000000+1177)</f>
        <v/>
      </c>
      <c r="M1184" s="24">
        <f>IF(K1184=1,SUMPRODUCT(--($L$8:$L$1207&lt;L1184))+1,"")</f>
        <v/>
      </c>
      <c r="N1184" s="25">
        <f>IF(K1184=1,N('ORDENES'!$M1180),0)</f>
        <v/>
      </c>
      <c r="O1184" s="25">
        <f>IF('ORDENES'!$U1180="preventiva",N1184,0)</f>
        <v/>
      </c>
      <c r="P1184" s="25">
        <f>IF('ORDENES'!$U1180="correctiva",N1184,0)</f>
        <v/>
      </c>
      <c r="Q1184" s="24">
        <f>IF(AND(K1184=1,'ORDENES'!$N1180="Pendiente"),1,0)</f>
        <v/>
      </c>
      <c r="R1184" s="24">
        <f>IF(Q1184=1,100000-N1184*1000+1177*0.01,9000000000000+1177)</f>
        <v/>
      </c>
      <c r="S1184" s="24">
        <f>IF(Q1184=1,SUMPRODUCT(--($R$8:$R$1207&lt;R1184))+1,"")</f>
        <v/>
      </c>
      <c r="T1184" s="30">
        <f>IF(K1184=1,'ORDENES'!$J1180,"")</f>
        <v/>
      </c>
    </row>
    <row r="1185">
      <c r="K1185" s="24">
        <f>IF(AND(IF($B$3="(todos)",TRUE,'ORDENES'!$O1181=$B$3),IF($D$3="(todos)",TRUE,'ORDENES'!$AI1181=$D$3),IF($F$3="(todos)",TRUE,'ORDENES'!$AA1181=$F$3),IF($H$3="(todos)",TRUE,'ORDENES'!$Z1181=$H$3),'ORDENES'!$AG1181=TRUE,'ORDENES'!$A1181&lt;&gt;""),1,0)</f>
        <v/>
      </c>
      <c r="L1185" s="24">
        <f>IF(K1185=1,IFERROR(MATCH('ORDENES'!$S1181,lista_dias,0),9)*1000000000+IFERROR(MATCH('ORDENES'!$AI1181,lista_turnos,0),9)*10000000+IFERROR(MATCH('ORDENES'!$AH1181,'TECNICOS'!$B$4:$B$19,0),99)*100000+1178,9000000000000+1178)</f>
        <v/>
      </c>
      <c r="M1185" s="24">
        <f>IF(K1185=1,SUMPRODUCT(--($L$8:$L$1207&lt;L1185))+1,"")</f>
        <v/>
      </c>
      <c r="N1185" s="25">
        <f>IF(K1185=1,N('ORDENES'!$M1181),0)</f>
        <v/>
      </c>
      <c r="O1185" s="25">
        <f>IF('ORDENES'!$U1181="preventiva",N1185,0)</f>
        <v/>
      </c>
      <c r="P1185" s="25">
        <f>IF('ORDENES'!$U1181="correctiva",N1185,0)</f>
        <v/>
      </c>
      <c r="Q1185" s="24">
        <f>IF(AND(K1185=1,'ORDENES'!$N1181="Pendiente"),1,0)</f>
        <v/>
      </c>
      <c r="R1185" s="24">
        <f>IF(Q1185=1,100000-N1185*1000+1178*0.01,9000000000000+1178)</f>
        <v/>
      </c>
      <c r="S1185" s="24">
        <f>IF(Q1185=1,SUMPRODUCT(--($R$8:$R$1207&lt;R1185))+1,"")</f>
        <v/>
      </c>
      <c r="T1185" s="30">
        <f>IF(K1185=1,'ORDENES'!$J1181,"")</f>
        <v/>
      </c>
    </row>
    <row r="1186">
      <c r="K1186" s="24">
        <f>IF(AND(IF($B$3="(todos)",TRUE,'ORDENES'!$O1182=$B$3),IF($D$3="(todos)",TRUE,'ORDENES'!$AI1182=$D$3),IF($F$3="(todos)",TRUE,'ORDENES'!$AA1182=$F$3),IF($H$3="(todos)",TRUE,'ORDENES'!$Z1182=$H$3),'ORDENES'!$AG1182=TRUE,'ORDENES'!$A1182&lt;&gt;""),1,0)</f>
        <v/>
      </c>
      <c r="L1186" s="24">
        <f>IF(K1186=1,IFERROR(MATCH('ORDENES'!$S1182,lista_dias,0),9)*1000000000+IFERROR(MATCH('ORDENES'!$AI1182,lista_turnos,0),9)*10000000+IFERROR(MATCH('ORDENES'!$AH1182,'TECNICOS'!$B$4:$B$19,0),99)*100000+1179,9000000000000+1179)</f>
        <v/>
      </c>
      <c r="M1186" s="24">
        <f>IF(K1186=1,SUMPRODUCT(--($L$8:$L$1207&lt;L1186))+1,"")</f>
        <v/>
      </c>
      <c r="N1186" s="25">
        <f>IF(K1186=1,N('ORDENES'!$M1182),0)</f>
        <v/>
      </c>
      <c r="O1186" s="25">
        <f>IF('ORDENES'!$U1182="preventiva",N1186,0)</f>
        <v/>
      </c>
      <c r="P1186" s="25">
        <f>IF('ORDENES'!$U1182="correctiva",N1186,0)</f>
        <v/>
      </c>
      <c r="Q1186" s="24">
        <f>IF(AND(K1186=1,'ORDENES'!$N1182="Pendiente"),1,0)</f>
        <v/>
      </c>
      <c r="R1186" s="24">
        <f>IF(Q1186=1,100000-N1186*1000+1179*0.01,9000000000000+1179)</f>
        <v/>
      </c>
      <c r="S1186" s="24">
        <f>IF(Q1186=1,SUMPRODUCT(--($R$8:$R$1207&lt;R1186))+1,"")</f>
        <v/>
      </c>
      <c r="T1186" s="30">
        <f>IF(K1186=1,'ORDENES'!$J1182,"")</f>
        <v/>
      </c>
    </row>
    <row r="1187">
      <c r="K1187" s="24">
        <f>IF(AND(IF($B$3="(todos)",TRUE,'ORDENES'!$O1183=$B$3),IF($D$3="(todos)",TRUE,'ORDENES'!$AI1183=$D$3),IF($F$3="(todos)",TRUE,'ORDENES'!$AA1183=$F$3),IF($H$3="(todos)",TRUE,'ORDENES'!$Z1183=$H$3),'ORDENES'!$AG1183=TRUE,'ORDENES'!$A1183&lt;&gt;""),1,0)</f>
        <v/>
      </c>
      <c r="L1187" s="24">
        <f>IF(K1187=1,IFERROR(MATCH('ORDENES'!$S1183,lista_dias,0),9)*1000000000+IFERROR(MATCH('ORDENES'!$AI1183,lista_turnos,0),9)*10000000+IFERROR(MATCH('ORDENES'!$AH1183,'TECNICOS'!$B$4:$B$19,0),99)*100000+1180,9000000000000+1180)</f>
        <v/>
      </c>
      <c r="M1187" s="24">
        <f>IF(K1187=1,SUMPRODUCT(--($L$8:$L$1207&lt;L1187))+1,"")</f>
        <v/>
      </c>
      <c r="N1187" s="25">
        <f>IF(K1187=1,N('ORDENES'!$M1183),0)</f>
        <v/>
      </c>
      <c r="O1187" s="25">
        <f>IF('ORDENES'!$U1183="preventiva",N1187,0)</f>
        <v/>
      </c>
      <c r="P1187" s="25">
        <f>IF('ORDENES'!$U1183="correctiva",N1187,0)</f>
        <v/>
      </c>
      <c r="Q1187" s="24">
        <f>IF(AND(K1187=1,'ORDENES'!$N1183="Pendiente"),1,0)</f>
        <v/>
      </c>
      <c r="R1187" s="24">
        <f>IF(Q1187=1,100000-N1187*1000+1180*0.01,9000000000000+1180)</f>
        <v/>
      </c>
      <c r="S1187" s="24">
        <f>IF(Q1187=1,SUMPRODUCT(--($R$8:$R$1207&lt;R1187))+1,"")</f>
        <v/>
      </c>
      <c r="T1187" s="30">
        <f>IF(K1187=1,'ORDENES'!$J1183,"")</f>
        <v/>
      </c>
    </row>
    <row r="1188">
      <c r="K1188" s="24">
        <f>IF(AND(IF($B$3="(todos)",TRUE,'ORDENES'!$O1184=$B$3),IF($D$3="(todos)",TRUE,'ORDENES'!$AI1184=$D$3),IF($F$3="(todos)",TRUE,'ORDENES'!$AA1184=$F$3),IF($H$3="(todos)",TRUE,'ORDENES'!$Z1184=$H$3),'ORDENES'!$AG1184=TRUE,'ORDENES'!$A1184&lt;&gt;""),1,0)</f>
        <v/>
      </c>
      <c r="L1188" s="24">
        <f>IF(K1188=1,IFERROR(MATCH('ORDENES'!$S1184,lista_dias,0),9)*1000000000+IFERROR(MATCH('ORDENES'!$AI1184,lista_turnos,0),9)*10000000+IFERROR(MATCH('ORDENES'!$AH1184,'TECNICOS'!$B$4:$B$19,0),99)*100000+1181,9000000000000+1181)</f>
        <v/>
      </c>
      <c r="M1188" s="24">
        <f>IF(K1188=1,SUMPRODUCT(--($L$8:$L$1207&lt;L1188))+1,"")</f>
        <v/>
      </c>
      <c r="N1188" s="25">
        <f>IF(K1188=1,N('ORDENES'!$M1184),0)</f>
        <v/>
      </c>
      <c r="O1188" s="25">
        <f>IF('ORDENES'!$U1184="preventiva",N1188,0)</f>
        <v/>
      </c>
      <c r="P1188" s="25">
        <f>IF('ORDENES'!$U1184="correctiva",N1188,0)</f>
        <v/>
      </c>
      <c r="Q1188" s="24">
        <f>IF(AND(K1188=1,'ORDENES'!$N1184="Pendiente"),1,0)</f>
        <v/>
      </c>
      <c r="R1188" s="24">
        <f>IF(Q1188=1,100000-N1188*1000+1181*0.01,9000000000000+1181)</f>
        <v/>
      </c>
      <c r="S1188" s="24">
        <f>IF(Q1188=1,SUMPRODUCT(--($R$8:$R$1207&lt;R1188))+1,"")</f>
        <v/>
      </c>
      <c r="T1188" s="30">
        <f>IF(K1188=1,'ORDENES'!$J1184,"")</f>
        <v/>
      </c>
    </row>
    <row r="1189">
      <c r="K1189" s="24">
        <f>IF(AND(IF($B$3="(todos)",TRUE,'ORDENES'!$O1185=$B$3),IF($D$3="(todos)",TRUE,'ORDENES'!$AI1185=$D$3),IF($F$3="(todos)",TRUE,'ORDENES'!$AA1185=$F$3),IF($H$3="(todos)",TRUE,'ORDENES'!$Z1185=$H$3),'ORDENES'!$AG1185=TRUE,'ORDENES'!$A1185&lt;&gt;""),1,0)</f>
        <v/>
      </c>
      <c r="L1189" s="24">
        <f>IF(K1189=1,IFERROR(MATCH('ORDENES'!$S1185,lista_dias,0),9)*1000000000+IFERROR(MATCH('ORDENES'!$AI1185,lista_turnos,0),9)*10000000+IFERROR(MATCH('ORDENES'!$AH1185,'TECNICOS'!$B$4:$B$19,0),99)*100000+1182,9000000000000+1182)</f>
        <v/>
      </c>
      <c r="M1189" s="24">
        <f>IF(K1189=1,SUMPRODUCT(--($L$8:$L$1207&lt;L1189))+1,"")</f>
        <v/>
      </c>
      <c r="N1189" s="25">
        <f>IF(K1189=1,N('ORDENES'!$M1185),0)</f>
        <v/>
      </c>
      <c r="O1189" s="25">
        <f>IF('ORDENES'!$U1185="preventiva",N1189,0)</f>
        <v/>
      </c>
      <c r="P1189" s="25">
        <f>IF('ORDENES'!$U1185="correctiva",N1189,0)</f>
        <v/>
      </c>
      <c r="Q1189" s="24">
        <f>IF(AND(K1189=1,'ORDENES'!$N1185="Pendiente"),1,0)</f>
        <v/>
      </c>
      <c r="R1189" s="24">
        <f>IF(Q1189=1,100000-N1189*1000+1182*0.01,9000000000000+1182)</f>
        <v/>
      </c>
      <c r="S1189" s="24">
        <f>IF(Q1189=1,SUMPRODUCT(--($R$8:$R$1207&lt;R1189))+1,"")</f>
        <v/>
      </c>
      <c r="T1189" s="30">
        <f>IF(K1189=1,'ORDENES'!$J1185,"")</f>
        <v/>
      </c>
    </row>
    <row r="1190">
      <c r="K1190" s="24">
        <f>IF(AND(IF($B$3="(todos)",TRUE,'ORDENES'!$O1186=$B$3),IF($D$3="(todos)",TRUE,'ORDENES'!$AI1186=$D$3),IF($F$3="(todos)",TRUE,'ORDENES'!$AA1186=$F$3),IF($H$3="(todos)",TRUE,'ORDENES'!$Z1186=$H$3),'ORDENES'!$AG1186=TRUE,'ORDENES'!$A1186&lt;&gt;""),1,0)</f>
        <v/>
      </c>
      <c r="L1190" s="24">
        <f>IF(K1190=1,IFERROR(MATCH('ORDENES'!$S1186,lista_dias,0),9)*1000000000+IFERROR(MATCH('ORDENES'!$AI1186,lista_turnos,0),9)*10000000+IFERROR(MATCH('ORDENES'!$AH1186,'TECNICOS'!$B$4:$B$19,0),99)*100000+1183,9000000000000+1183)</f>
        <v/>
      </c>
      <c r="M1190" s="24">
        <f>IF(K1190=1,SUMPRODUCT(--($L$8:$L$1207&lt;L1190))+1,"")</f>
        <v/>
      </c>
      <c r="N1190" s="25">
        <f>IF(K1190=1,N('ORDENES'!$M1186),0)</f>
        <v/>
      </c>
      <c r="O1190" s="25">
        <f>IF('ORDENES'!$U1186="preventiva",N1190,0)</f>
        <v/>
      </c>
      <c r="P1190" s="25">
        <f>IF('ORDENES'!$U1186="correctiva",N1190,0)</f>
        <v/>
      </c>
      <c r="Q1190" s="24">
        <f>IF(AND(K1190=1,'ORDENES'!$N1186="Pendiente"),1,0)</f>
        <v/>
      </c>
      <c r="R1190" s="24">
        <f>IF(Q1190=1,100000-N1190*1000+1183*0.01,9000000000000+1183)</f>
        <v/>
      </c>
      <c r="S1190" s="24">
        <f>IF(Q1190=1,SUMPRODUCT(--($R$8:$R$1207&lt;R1190))+1,"")</f>
        <v/>
      </c>
      <c r="T1190" s="30">
        <f>IF(K1190=1,'ORDENES'!$J1186,"")</f>
        <v/>
      </c>
    </row>
    <row r="1191">
      <c r="K1191" s="24">
        <f>IF(AND(IF($B$3="(todos)",TRUE,'ORDENES'!$O1187=$B$3),IF($D$3="(todos)",TRUE,'ORDENES'!$AI1187=$D$3),IF($F$3="(todos)",TRUE,'ORDENES'!$AA1187=$F$3),IF($H$3="(todos)",TRUE,'ORDENES'!$Z1187=$H$3),'ORDENES'!$AG1187=TRUE,'ORDENES'!$A1187&lt;&gt;""),1,0)</f>
        <v/>
      </c>
      <c r="L1191" s="24">
        <f>IF(K1191=1,IFERROR(MATCH('ORDENES'!$S1187,lista_dias,0),9)*1000000000+IFERROR(MATCH('ORDENES'!$AI1187,lista_turnos,0),9)*10000000+IFERROR(MATCH('ORDENES'!$AH1187,'TECNICOS'!$B$4:$B$19,0),99)*100000+1184,9000000000000+1184)</f>
        <v/>
      </c>
      <c r="M1191" s="24">
        <f>IF(K1191=1,SUMPRODUCT(--($L$8:$L$1207&lt;L1191))+1,"")</f>
        <v/>
      </c>
      <c r="N1191" s="25">
        <f>IF(K1191=1,N('ORDENES'!$M1187),0)</f>
        <v/>
      </c>
      <c r="O1191" s="25">
        <f>IF('ORDENES'!$U1187="preventiva",N1191,0)</f>
        <v/>
      </c>
      <c r="P1191" s="25">
        <f>IF('ORDENES'!$U1187="correctiva",N1191,0)</f>
        <v/>
      </c>
      <c r="Q1191" s="24">
        <f>IF(AND(K1191=1,'ORDENES'!$N1187="Pendiente"),1,0)</f>
        <v/>
      </c>
      <c r="R1191" s="24">
        <f>IF(Q1191=1,100000-N1191*1000+1184*0.01,9000000000000+1184)</f>
        <v/>
      </c>
      <c r="S1191" s="24">
        <f>IF(Q1191=1,SUMPRODUCT(--($R$8:$R$1207&lt;R1191))+1,"")</f>
        <v/>
      </c>
      <c r="T1191" s="30">
        <f>IF(K1191=1,'ORDENES'!$J1187,"")</f>
        <v/>
      </c>
    </row>
    <row r="1192">
      <c r="K1192" s="24">
        <f>IF(AND(IF($B$3="(todos)",TRUE,'ORDENES'!$O1188=$B$3),IF($D$3="(todos)",TRUE,'ORDENES'!$AI1188=$D$3),IF($F$3="(todos)",TRUE,'ORDENES'!$AA1188=$F$3),IF($H$3="(todos)",TRUE,'ORDENES'!$Z1188=$H$3),'ORDENES'!$AG1188=TRUE,'ORDENES'!$A1188&lt;&gt;""),1,0)</f>
        <v/>
      </c>
      <c r="L1192" s="24">
        <f>IF(K1192=1,IFERROR(MATCH('ORDENES'!$S1188,lista_dias,0),9)*1000000000+IFERROR(MATCH('ORDENES'!$AI1188,lista_turnos,0),9)*10000000+IFERROR(MATCH('ORDENES'!$AH1188,'TECNICOS'!$B$4:$B$19,0),99)*100000+1185,9000000000000+1185)</f>
        <v/>
      </c>
      <c r="M1192" s="24">
        <f>IF(K1192=1,SUMPRODUCT(--($L$8:$L$1207&lt;L1192))+1,"")</f>
        <v/>
      </c>
      <c r="N1192" s="25">
        <f>IF(K1192=1,N('ORDENES'!$M1188),0)</f>
        <v/>
      </c>
      <c r="O1192" s="25">
        <f>IF('ORDENES'!$U1188="preventiva",N1192,0)</f>
        <v/>
      </c>
      <c r="P1192" s="25">
        <f>IF('ORDENES'!$U1188="correctiva",N1192,0)</f>
        <v/>
      </c>
      <c r="Q1192" s="24">
        <f>IF(AND(K1192=1,'ORDENES'!$N1188="Pendiente"),1,0)</f>
        <v/>
      </c>
      <c r="R1192" s="24">
        <f>IF(Q1192=1,100000-N1192*1000+1185*0.01,9000000000000+1185)</f>
        <v/>
      </c>
      <c r="S1192" s="24">
        <f>IF(Q1192=1,SUMPRODUCT(--($R$8:$R$1207&lt;R1192))+1,"")</f>
        <v/>
      </c>
      <c r="T1192" s="30">
        <f>IF(K1192=1,'ORDENES'!$J1188,"")</f>
        <v/>
      </c>
    </row>
    <row r="1193">
      <c r="K1193" s="24">
        <f>IF(AND(IF($B$3="(todos)",TRUE,'ORDENES'!$O1189=$B$3),IF($D$3="(todos)",TRUE,'ORDENES'!$AI1189=$D$3),IF($F$3="(todos)",TRUE,'ORDENES'!$AA1189=$F$3),IF($H$3="(todos)",TRUE,'ORDENES'!$Z1189=$H$3),'ORDENES'!$AG1189=TRUE,'ORDENES'!$A1189&lt;&gt;""),1,0)</f>
        <v/>
      </c>
      <c r="L1193" s="24">
        <f>IF(K1193=1,IFERROR(MATCH('ORDENES'!$S1189,lista_dias,0),9)*1000000000+IFERROR(MATCH('ORDENES'!$AI1189,lista_turnos,0),9)*10000000+IFERROR(MATCH('ORDENES'!$AH1189,'TECNICOS'!$B$4:$B$19,0),99)*100000+1186,9000000000000+1186)</f>
        <v/>
      </c>
      <c r="M1193" s="24">
        <f>IF(K1193=1,SUMPRODUCT(--($L$8:$L$1207&lt;L1193))+1,"")</f>
        <v/>
      </c>
      <c r="N1193" s="25">
        <f>IF(K1193=1,N('ORDENES'!$M1189),0)</f>
        <v/>
      </c>
      <c r="O1193" s="25">
        <f>IF('ORDENES'!$U1189="preventiva",N1193,0)</f>
        <v/>
      </c>
      <c r="P1193" s="25">
        <f>IF('ORDENES'!$U1189="correctiva",N1193,0)</f>
        <v/>
      </c>
      <c r="Q1193" s="24">
        <f>IF(AND(K1193=1,'ORDENES'!$N1189="Pendiente"),1,0)</f>
        <v/>
      </c>
      <c r="R1193" s="24">
        <f>IF(Q1193=1,100000-N1193*1000+1186*0.01,9000000000000+1186)</f>
        <v/>
      </c>
      <c r="S1193" s="24">
        <f>IF(Q1193=1,SUMPRODUCT(--($R$8:$R$1207&lt;R1193))+1,"")</f>
        <v/>
      </c>
      <c r="T1193" s="30">
        <f>IF(K1193=1,'ORDENES'!$J1189,"")</f>
        <v/>
      </c>
    </row>
    <row r="1194">
      <c r="K1194" s="24">
        <f>IF(AND(IF($B$3="(todos)",TRUE,'ORDENES'!$O1190=$B$3),IF($D$3="(todos)",TRUE,'ORDENES'!$AI1190=$D$3),IF($F$3="(todos)",TRUE,'ORDENES'!$AA1190=$F$3),IF($H$3="(todos)",TRUE,'ORDENES'!$Z1190=$H$3),'ORDENES'!$AG1190=TRUE,'ORDENES'!$A1190&lt;&gt;""),1,0)</f>
        <v/>
      </c>
      <c r="L1194" s="24">
        <f>IF(K1194=1,IFERROR(MATCH('ORDENES'!$S1190,lista_dias,0),9)*1000000000+IFERROR(MATCH('ORDENES'!$AI1190,lista_turnos,0),9)*10000000+IFERROR(MATCH('ORDENES'!$AH1190,'TECNICOS'!$B$4:$B$19,0),99)*100000+1187,9000000000000+1187)</f>
        <v/>
      </c>
      <c r="M1194" s="24">
        <f>IF(K1194=1,SUMPRODUCT(--($L$8:$L$1207&lt;L1194))+1,"")</f>
        <v/>
      </c>
      <c r="N1194" s="25">
        <f>IF(K1194=1,N('ORDENES'!$M1190),0)</f>
        <v/>
      </c>
      <c r="O1194" s="25">
        <f>IF('ORDENES'!$U1190="preventiva",N1194,0)</f>
        <v/>
      </c>
      <c r="P1194" s="25">
        <f>IF('ORDENES'!$U1190="correctiva",N1194,0)</f>
        <v/>
      </c>
      <c r="Q1194" s="24">
        <f>IF(AND(K1194=1,'ORDENES'!$N1190="Pendiente"),1,0)</f>
        <v/>
      </c>
      <c r="R1194" s="24">
        <f>IF(Q1194=1,100000-N1194*1000+1187*0.01,9000000000000+1187)</f>
        <v/>
      </c>
      <c r="S1194" s="24">
        <f>IF(Q1194=1,SUMPRODUCT(--($R$8:$R$1207&lt;R1194))+1,"")</f>
        <v/>
      </c>
      <c r="T1194" s="30">
        <f>IF(K1194=1,'ORDENES'!$J1190,"")</f>
        <v/>
      </c>
    </row>
    <row r="1195">
      <c r="K1195" s="24">
        <f>IF(AND(IF($B$3="(todos)",TRUE,'ORDENES'!$O1191=$B$3),IF($D$3="(todos)",TRUE,'ORDENES'!$AI1191=$D$3),IF($F$3="(todos)",TRUE,'ORDENES'!$AA1191=$F$3),IF($H$3="(todos)",TRUE,'ORDENES'!$Z1191=$H$3),'ORDENES'!$AG1191=TRUE,'ORDENES'!$A1191&lt;&gt;""),1,0)</f>
        <v/>
      </c>
      <c r="L1195" s="24">
        <f>IF(K1195=1,IFERROR(MATCH('ORDENES'!$S1191,lista_dias,0),9)*1000000000+IFERROR(MATCH('ORDENES'!$AI1191,lista_turnos,0),9)*10000000+IFERROR(MATCH('ORDENES'!$AH1191,'TECNICOS'!$B$4:$B$19,0),99)*100000+1188,9000000000000+1188)</f>
        <v/>
      </c>
      <c r="M1195" s="24">
        <f>IF(K1195=1,SUMPRODUCT(--($L$8:$L$1207&lt;L1195))+1,"")</f>
        <v/>
      </c>
      <c r="N1195" s="25">
        <f>IF(K1195=1,N('ORDENES'!$M1191),0)</f>
        <v/>
      </c>
      <c r="O1195" s="25">
        <f>IF('ORDENES'!$U1191="preventiva",N1195,0)</f>
        <v/>
      </c>
      <c r="P1195" s="25">
        <f>IF('ORDENES'!$U1191="correctiva",N1195,0)</f>
        <v/>
      </c>
      <c r="Q1195" s="24">
        <f>IF(AND(K1195=1,'ORDENES'!$N1191="Pendiente"),1,0)</f>
        <v/>
      </c>
      <c r="R1195" s="24">
        <f>IF(Q1195=1,100000-N1195*1000+1188*0.01,9000000000000+1188)</f>
        <v/>
      </c>
      <c r="S1195" s="24">
        <f>IF(Q1195=1,SUMPRODUCT(--($R$8:$R$1207&lt;R1195))+1,"")</f>
        <v/>
      </c>
      <c r="T1195" s="30">
        <f>IF(K1195=1,'ORDENES'!$J1191,"")</f>
        <v/>
      </c>
    </row>
    <row r="1196">
      <c r="K1196" s="24">
        <f>IF(AND(IF($B$3="(todos)",TRUE,'ORDENES'!$O1192=$B$3),IF($D$3="(todos)",TRUE,'ORDENES'!$AI1192=$D$3),IF($F$3="(todos)",TRUE,'ORDENES'!$AA1192=$F$3),IF($H$3="(todos)",TRUE,'ORDENES'!$Z1192=$H$3),'ORDENES'!$AG1192=TRUE,'ORDENES'!$A1192&lt;&gt;""),1,0)</f>
        <v/>
      </c>
      <c r="L1196" s="24">
        <f>IF(K1196=1,IFERROR(MATCH('ORDENES'!$S1192,lista_dias,0),9)*1000000000+IFERROR(MATCH('ORDENES'!$AI1192,lista_turnos,0),9)*10000000+IFERROR(MATCH('ORDENES'!$AH1192,'TECNICOS'!$B$4:$B$19,0),99)*100000+1189,9000000000000+1189)</f>
        <v/>
      </c>
      <c r="M1196" s="24">
        <f>IF(K1196=1,SUMPRODUCT(--($L$8:$L$1207&lt;L1196))+1,"")</f>
        <v/>
      </c>
      <c r="N1196" s="25">
        <f>IF(K1196=1,N('ORDENES'!$M1192),0)</f>
        <v/>
      </c>
      <c r="O1196" s="25">
        <f>IF('ORDENES'!$U1192="preventiva",N1196,0)</f>
        <v/>
      </c>
      <c r="P1196" s="25">
        <f>IF('ORDENES'!$U1192="correctiva",N1196,0)</f>
        <v/>
      </c>
      <c r="Q1196" s="24">
        <f>IF(AND(K1196=1,'ORDENES'!$N1192="Pendiente"),1,0)</f>
        <v/>
      </c>
      <c r="R1196" s="24">
        <f>IF(Q1196=1,100000-N1196*1000+1189*0.01,9000000000000+1189)</f>
        <v/>
      </c>
      <c r="S1196" s="24">
        <f>IF(Q1196=1,SUMPRODUCT(--($R$8:$R$1207&lt;R1196))+1,"")</f>
        <v/>
      </c>
      <c r="T1196" s="30">
        <f>IF(K1196=1,'ORDENES'!$J1192,"")</f>
        <v/>
      </c>
    </row>
    <row r="1197">
      <c r="K1197" s="24">
        <f>IF(AND(IF($B$3="(todos)",TRUE,'ORDENES'!$O1193=$B$3),IF($D$3="(todos)",TRUE,'ORDENES'!$AI1193=$D$3),IF($F$3="(todos)",TRUE,'ORDENES'!$AA1193=$F$3),IF($H$3="(todos)",TRUE,'ORDENES'!$Z1193=$H$3),'ORDENES'!$AG1193=TRUE,'ORDENES'!$A1193&lt;&gt;""),1,0)</f>
        <v/>
      </c>
      <c r="L1197" s="24">
        <f>IF(K1197=1,IFERROR(MATCH('ORDENES'!$S1193,lista_dias,0),9)*1000000000+IFERROR(MATCH('ORDENES'!$AI1193,lista_turnos,0),9)*10000000+IFERROR(MATCH('ORDENES'!$AH1193,'TECNICOS'!$B$4:$B$19,0),99)*100000+1190,9000000000000+1190)</f>
        <v/>
      </c>
      <c r="M1197" s="24">
        <f>IF(K1197=1,SUMPRODUCT(--($L$8:$L$1207&lt;L1197))+1,"")</f>
        <v/>
      </c>
      <c r="N1197" s="25">
        <f>IF(K1197=1,N('ORDENES'!$M1193),0)</f>
        <v/>
      </c>
      <c r="O1197" s="25">
        <f>IF('ORDENES'!$U1193="preventiva",N1197,0)</f>
        <v/>
      </c>
      <c r="P1197" s="25">
        <f>IF('ORDENES'!$U1193="correctiva",N1197,0)</f>
        <v/>
      </c>
      <c r="Q1197" s="24">
        <f>IF(AND(K1197=1,'ORDENES'!$N1193="Pendiente"),1,0)</f>
        <v/>
      </c>
      <c r="R1197" s="24">
        <f>IF(Q1197=1,100000-N1197*1000+1190*0.01,9000000000000+1190)</f>
        <v/>
      </c>
      <c r="S1197" s="24">
        <f>IF(Q1197=1,SUMPRODUCT(--($R$8:$R$1207&lt;R1197))+1,"")</f>
        <v/>
      </c>
      <c r="T1197" s="30">
        <f>IF(K1197=1,'ORDENES'!$J1193,"")</f>
        <v/>
      </c>
    </row>
    <row r="1198">
      <c r="K1198" s="24">
        <f>IF(AND(IF($B$3="(todos)",TRUE,'ORDENES'!$O1194=$B$3),IF($D$3="(todos)",TRUE,'ORDENES'!$AI1194=$D$3),IF($F$3="(todos)",TRUE,'ORDENES'!$AA1194=$F$3),IF($H$3="(todos)",TRUE,'ORDENES'!$Z1194=$H$3),'ORDENES'!$AG1194=TRUE,'ORDENES'!$A1194&lt;&gt;""),1,0)</f>
        <v/>
      </c>
      <c r="L1198" s="24">
        <f>IF(K1198=1,IFERROR(MATCH('ORDENES'!$S1194,lista_dias,0),9)*1000000000+IFERROR(MATCH('ORDENES'!$AI1194,lista_turnos,0),9)*10000000+IFERROR(MATCH('ORDENES'!$AH1194,'TECNICOS'!$B$4:$B$19,0),99)*100000+1191,9000000000000+1191)</f>
        <v/>
      </c>
      <c r="M1198" s="24">
        <f>IF(K1198=1,SUMPRODUCT(--($L$8:$L$1207&lt;L1198))+1,"")</f>
        <v/>
      </c>
      <c r="N1198" s="25">
        <f>IF(K1198=1,N('ORDENES'!$M1194),0)</f>
        <v/>
      </c>
      <c r="O1198" s="25">
        <f>IF('ORDENES'!$U1194="preventiva",N1198,0)</f>
        <v/>
      </c>
      <c r="P1198" s="25">
        <f>IF('ORDENES'!$U1194="correctiva",N1198,0)</f>
        <v/>
      </c>
      <c r="Q1198" s="24">
        <f>IF(AND(K1198=1,'ORDENES'!$N1194="Pendiente"),1,0)</f>
        <v/>
      </c>
      <c r="R1198" s="24">
        <f>IF(Q1198=1,100000-N1198*1000+1191*0.01,9000000000000+1191)</f>
        <v/>
      </c>
      <c r="S1198" s="24">
        <f>IF(Q1198=1,SUMPRODUCT(--($R$8:$R$1207&lt;R1198))+1,"")</f>
        <v/>
      </c>
      <c r="T1198" s="30">
        <f>IF(K1198=1,'ORDENES'!$J1194,"")</f>
        <v/>
      </c>
    </row>
    <row r="1199">
      <c r="K1199" s="24">
        <f>IF(AND(IF($B$3="(todos)",TRUE,'ORDENES'!$O1195=$B$3),IF($D$3="(todos)",TRUE,'ORDENES'!$AI1195=$D$3),IF($F$3="(todos)",TRUE,'ORDENES'!$AA1195=$F$3),IF($H$3="(todos)",TRUE,'ORDENES'!$Z1195=$H$3),'ORDENES'!$AG1195=TRUE,'ORDENES'!$A1195&lt;&gt;""),1,0)</f>
        <v/>
      </c>
      <c r="L1199" s="24">
        <f>IF(K1199=1,IFERROR(MATCH('ORDENES'!$S1195,lista_dias,0),9)*1000000000+IFERROR(MATCH('ORDENES'!$AI1195,lista_turnos,0),9)*10000000+IFERROR(MATCH('ORDENES'!$AH1195,'TECNICOS'!$B$4:$B$19,0),99)*100000+1192,9000000000000+1192)</f>
        <v/>
      </c>
      <c r="M1199" s="24">
        <f>IF(K1199=1,SUMPRODUCT(--($L$8:$L$1207&lt;L1199))+1,"")</f>
        <v/>
      </c>
      <c r="N1199" s="25">
        <f>IF(K1199=1,N('ORDENES'!$M1195),0)</f>
        <v/>
      </c>
      <c r="O1199" s="25">
        <f>IF('ORDENES'!$U1195="preventiva",N1199,0)</f>
        <v/>
      </c>
      <c r="P1199" s="25">
        <f>IF('ORDENES'!$U1195="correctiva",N1199,0)</f>
        <v/>
      </c>
      <c r="Q1199" s="24">
        <f>IF(AND(K1199=1,'ORDENES'!$N1195="Pendiente"),1,0)</f>
        <v/>
      </c>
      <c r="R1199" s="24">
        <f>IF(Q1199=1,100000-N1199*1000+1192*0.01,9000000000000+1192)</f>
        <v/>
      </c>
      <c r="S1199" s="24">
        <f>IF(Q1199=1,SUMPRODUCT(--($R$8:$R$1207&lt;R1199))+1,"")</f>
        <v/>
      </c>
      <c r="T1199" s="30">
        <f>IF(K1199=1,'ORDENES'!$J1195,"")</f>
        <v/>
      </c>
    </row>
    <row r="1200">
      <c r="K1200" s="24">
        <f>IF(AND(IF($B$3="(todos)",TRUE,'ORDENES'!$O1196=$B$3),IF($D$3="(todos)",TRUE,'ORDENES'!$AI1196=$D$3),IF($F$3="(todos)",TRUE,'ORDENES'!$AA1196=$F$3),IF($H$3="(todos)",TRUE,'ORDENES'!$Z1196=$H$3),'ORDENES'!$AG1196=TRUE,'ORDENES'!$A1196&lt;&gt;""),1,0)</f>
        <v/>
      </c>
      <c r="L1200" s="24">
        <f>IF(K1200=1,IFERROR(MATCH('ORDENES'!$S1196,lista_dias,0),9)*1000000000+IFERROR(MATCH('ORDENES'!$AI1196,lista_turnos,0),9)*10000000+IFERROR(MATCH('ORDENES'!$AH1196,'TECNICOS'!$B$4:$B$19,0),99)*100000+1193,9000000000000+1193)</f>
        <v/>
      </c>
      <c r="M1200" s="24">
        <f>IF(K1200=1,SUMPRODUCT(--($L$8:$L$1207&lt;L1200))+1,"")</f>
        <v/>
      </c>
      <c r="N1200" s="25">
        <f>IF(K1200=1,N('ORDENES'!$M1196),0)</f>
        <v/>
      </c>
      <c r="O1200" s="25">
        <f>IF('ORDENES'!$U1196="preventiva",N1200,0)</f>
        <v/>
      </c>
      <c r="P1200" s="25">
        <f>IF('ORDENES'!$U1196="correctiva",N1200,0)</f>
        <v/>
      </c>
      <c r="Q1200" s="24">
        <f>IF(AND(K1200=1,'ORDENES'!$N1196="Pendiente"),1,0)</f>
        <v/>
      </c>
      <c r="R1200" s="24">
        <f>IF(Q1200=1,100000-N1200*1000+1193*0.01,9000000000000+1193)</f>
        <v/>
      </c>
      <c r="S1200" s="24">
        <f>IF(Q1200=1,SUMPRODUCT(--($R$8:$R$1207&lt;R1200))+1,"")</f>
        <v/>
      </c>
      <c r="T1200" s="30">
        <f>IF(K1200=1,'ORDENES'!$J1196,"")</f>
        <v/>
      </c>
    </row>
    <row r="1201">
      <c r="K1201" s="24">
        <f>IF(AND(IF($B$3="(todos)",TRUE,'ORDENES'!$O1197=$B$3),IF($D$3="(todos)",TRUE,'ORDENES'!$AI1197=$D$3),IF($F$3="(todos)",TRUE,'ORDENES'!$AA1197=$F$3),IF($H$3="(todos)",TRUE,'ORDENES'!$Z1197=$H$3),'ORDENES'!$AG1197=TRUE,'ORDENES'!$A1197&lt;&gt;""),1,0)</f>
        <v/>
      </c>
      <c r="L1201" s="24">
        <f>IF(K1201=1,IFERROR(MATCH('ORDENES'!$S1197,lista_dias,0),9)*1000000000+IFERROR(MATCH('ORDENES'!$AI1197,lista_turnos,0),9)*10000000+IFERROR(MATCH('ORDENES'!$AH1197,'TECNICOS'!$B$4:$B$19,0),99)*100000+1194,9000000000000+1194)</f>
        <v/>
      </c>
      <c r="M1201" s="24">
        <f>IF(K1201=1,SUMPRODUCT(--($L$8:$L$1207&lt;L1201))+1,"")</f>
        <v/>
      </c>
      <c r="N1201" s="25">
        <f>IF(K1201=1,N('ORDENES'!$M1197),0)</f>
        <v/>
      </c>
      <c r="O1201" s="25">
        <f>IF('ORDENES'!$U1197="preventiva",N1201,0)</f>
        <v/>
      </c>
      <c r="P1201" s="25">
        <f>IF('ORDENES'!$U1197="correctiva",N1201,0)</f>
        <v/>
      </c>
      <c r="Q1201" s="24">
        <f>IF(AND(K1201=1,'ORDENES'!$N1197="Pendiente"),1,0)</f>
        <v/>
      </c>
      <c r="R1201" s="24">
        <f>IF(Q1201=1,100000-N1201*1000+1194*0.01,9000000000000+1194)</f>
        <v/>
      </c>
      <c r="S1201" s="24">
        <f>IF(Q1201=1,SUMPRODUCT(--($R$8:$R$1207&lt;R1201))+1,"")</f>
        <v/>
      </c>
      <c r="T1201" s="30">
        <f>IF(K1201=1,'ORDENES'!$J1197,"")</f>
        <v/>
      </c>
    </row>
    <row r="1202">
      <c r="K1202" s="24">
        <f>IF(AND(IF($B$3="(todos)",TRUE,'ORDENES'!$O1198=$B$3),IF($D$3="(todos)",TRUE,'ORDENES'!$AI1198=$D$3),IF($F$3="(todos)",TRUE,'ORDENES'!$AA1198=$F$3),IF($H$3="(todos)",TRUE,'ORDENES'!$Z1198=$H$3),'ORDENES'!$AG1198=TRUE,'ORDENES'!$A1198&lt;&gt;""),1,0)</f>
        <v/>
      </c>
      <c r="L1202" s="24">
        <f>IF(K1202=1,IFERROR(MATCH('ORDENES'!$S1198,lista_dias,0),9)*1000000000+IFERROR(MATCH('ORDENES'!$AI1198,lista_turnos,0),9)*10000000+IFERROR(MATCH('ORDENES'!$AH1198,'TECNICOS'!$B$4:$B$19,0),99)*100000+1195,9000000000000+1195)</f>
        <v/>
      </c>
      <c r="M1202" s="24">
        <f>IF(K1202=1,SUMPRODUCT(--($L$8:$L$1207&lt;L1202))+1,"")</f>
        <v/>
      </c>
      <c r="N1202" s="25">
        <f>IF(K1202=1,N('ORDENES'!$M1198),0)</f>
        <v/>
      </c>
      <c r="O1202" s="25">
        <f>IF('ORDENES'!$U1198="preventiva",N1202,0)</f>
        <v/>
      </c>
      <c r="P1202" s="25">
        <f>IF('ORDENES'!$U1198="correctiva",N1202,0)</f>
        <v/>
      </c>
      <c r="Q1202" s="24">
        <f>IF(AND(K1202=1,'ORDENES'!$N1198="Pendiente"),1,0)</f>
        <v/>
      </c>
      <c r="R1202" s="24">
        <f>IF(Q1202=1,100000-N1202*1000+1195*0.01,9000000000000+1195)</f>
        <v/>
      </c>
      <c r="S1202" s="24">
        <f>IF(Q1202=1,SUMPRODUCT(--($R$8:$R$1207&lt;R1202))+1,"")</f>
        <v/>
      </c>
      <c r="T1202" s="30">
        <f>IF(K1202=1,'ORDENES'!$J1198,"")</f>
        <v/>
      </c>
    </row>
    <row r="1203">
      <c r="K1203" s="24">
        <f>IF(AND(IF($B$3="(todos)",TRUE,'ORDENES'!$O1199=$B$3),IF($D$3="(todos)",TRUE,'ORDENES'!$AI1199=$D$3),IF($F$3="(todos)",TRUE,'ORDENES'!$AA1199=$F$3),IF($H$3="(todos)",TRUE,'ORDENES'!$Z1199=$H$3),'ORDENES'!$AG1199=TRUE,'ORDENES'!$A1199&lt;&gt;""),1,0)</f>
        <v/>
      </c>
      <c r="L1203" s="24">
        <f>IF(K1203=1,IFERROR(MATCH('ORDENES'!$S1199,lista_dias,0),9)*1000000000+IFERROR(MATCH('ORDENES'!$AI1199,lista_turnos,0),9)*10000000+IFERROR(MATCH('ORDENES'!$AH1199,'TECNICOS'!$B$4:$B$19,0),99)*100000+1196,9000000000000+1196)</f>
        <v/>
      </c>
      <c r="M1203" s="24">
        <f>IF(K1203=1,SUMPRODUCT(--($L$8:$L$1207&lt;L1203))+1,"")</f>
        <v/>
      </c>
      <c r="N1203" s="25">
        <f>IF(K1203=1,N('ORDENES'!$M1199),0)</f>
        <v/>
      </c>
      <c r="O1203" s="25">
        <f>IF('ORDENES'!$U1199="preventiva",N1203,0)</f>
        <v/>
      </c>
      <c r="P1203" s="25">
        <f>IF('ORDENES'!$U1199="correctiva",N1203,0)</f>
        <v/>
      </c>
      <c r="Q1203" s="24">
        <f>IF(AND(K1203=1,'ORDENES'!$N1199="Pendiente"),1,0)</f>
        <v/>
      </c>
      <c r="R1203" s="24">
        <f>IF(Q1203=1,100000-N1203*1000+1196*0.01,9000000000000+1196)</f>
        <v/>
      </c>
      <c r="S1203" s="24">
        <f>IF(Q1203=1,SUMPRODUCT(--($R$8:$R$1207&lt;R1203))+1,"")</f>
        <v/>
      </c>
      <c r="T1203" s="30">
        <f>IF(K1203=1,'ORDENES'!$J1199,"")</f>
        <v/>
      </c>
    </row>
    <row r="1204">
      <c r="K1204" s="24">
        <f>IF(AND(IF($B$3="(todos)",TRUE,'ORDENES'!$O1200=$B$3),IF($D$3="(todos)",TRUE,'ORDENES'!$AI1200=$D$3),IF($F$3="(todos)",TRUE,'ORDENES'!$AA1200=$F$3),IF($H$3="(todos)",TRUE,'ORDENES'!$Z1200=$H$3),'ORDENES'!$AG1200=TRUE,'ORDENES'!$A1200&lt;&gt;""),1,0)</f>
        <v/>
      </c>
      <c r="L1204" s="24">
        <f>IF(K1204=1,IFERROR(MATCH('ORDENES'!$S1200,lista_dias,0),9)*1000000000+IFERROR(MATCH('ORDENES'!$AI1200,lista_turnos,0),9)*10000000+IFERROR(MATCH('ORDENES'!$AH1200,'TECNICOS'!$B$4:$B$19,0),99)*100000+1197,9000000000000+1197)</f>
        <v/>
      </c>
      <c r="M1204" s="24">
        <f>IF(K1204=1,SUMPRODUCT(--($L$8:$L$1207&lt;L1204))+1,"")</f>
        <v/>
      </c>
      <c r="N1204" s="25">
        <f>IF(K1204=1,N('ORDENES'!$M1200),0)</f>
        <v/>
      </c>
      <c r="O1204" s="25">
        <f>IF('ORDENES'!$U1200="preventiva",N1204,0)</f>
        <v/>
      </c>
      <c r="P1204" s="25">
        <f>IF('ORDENES'!$U1200="correctiva",N1204,0)</f>
        <v/>
      </c>
      <c r="Q1204" s="24">
        <f>IF(AND(K1204=1,'ORDENES'!$N1200="Pendiente"),1,0)</f>
        <v/>
      </c>
      <c r="R1204" s="24">
        <f>IF(Q1204=1,100000-N1204*1000+1197*0.01,9000000000000+1197)</f>
        <v/>
      </c>
      <c r="S1204" s="24">
        <f>IF(Q1204=1,SUMPRODUCT(--($R$8:$R$1207&lt;R1204))+1,"")</f>
        <v/>
      </c>
      <c r="T1204" s="30">
        <f>IF(K1204=1,'ORDENES'!$J1200,"")</f>
        <v/>
      </c>
    </row>
    <row r="1205">
      <c r="K1205" s="24">
        <f>IF(AND(IF($B$3="(todos)",TRUE,'ORDENES'!$O1201=$B$3),IF($D$3="(todos)",TRUE,'ORDENES'!$AI1201=$D$3),IF($F$3="(todos)",TRUE,'ORDENES'!$AA1201=$F$3),IF($H$3="(todos)",TRUE,'ORDENES'!$Z1201=$H$3),'ORDENES'!$AG1201=TRUE,'ORDENES'!$A1201&lt;&gt;""),1,0)</f>
        <v/>
      </c>
      <c r="L1205" s="24">
        <f>IF(K1205=1,IFERROR(MATCH('ORDENES'!$S1201,lista_dias,0),9)*1000000000+IFERROR(MATCH('ORDENES'!$AI1201,lista_turnos,0),9)*10000000+IFERROR(MATCH('ORDENES'!$AH1201,'TECNICOS'!$B$4:$B$19,0),99)*100000+1198,9000000000000+1198)</f>
        <v/>
      </c>
      <c r="M1205" s="24">
        <f>IF(K1205=1,SUMPRODUCT(--($L$8:$L$1207&lt;L1205))+1,"")</f>
        <v/>
      </c>
      <c r="N1205" s="25">
        <f>IF(K1205=1,N('ORDENES'!$M1201),0)</f>
        <v/>
      </c>
      <c r="O1205" s="25">
        <f>IF('ORDENES'!$U1201="preventiva",N1205,0)</f>
        <v/>
      </c>
      <c r="P1205" s="25">
        <f>IF('ORDENES'!$U1201="correctiva",N1205,0)</f>
        <v/>
      </c>
      <c r="Q1205" s="24">
        <f>IF(AND(K1205=1,'ORDENES'!$N1201="Pendiente"),1,0)</f>
        <v/>
      </c>
      <c r="R1205" s="24">
        <f>IF(Q1205=1,100000-N1205*1000+1198*0.01,9000000000000+1198)</f>
        <v/>
      </c>
      <c r="S1205" s="24">
        <f>IF(Q1205=1,SUMPRODUCT(--($R$8:$R$1207&lt;R1205))+1,"")</f>
        <v/>
      </c>
      <c r="T1205" s="30">
        <f>IF(K1205=1,'ORDENES'!$J1201,"")</f>
        <v/>
      </c>
    </row>
    <row r="1206">
      <c r="K1206" s="24">
        <f>IF(AND(IF($B$3="(todos)",TRUE,'ORDENES'!$O1202=$B$3),IF($D$3="(todos)",TRUE,'ORDENES'!$AI1202=$D$3),IF($F$3="(todos)",TRUE,'ORDENES'!$AA1202=$F$3),IF($H$3="(todos)",TRUE,'ORDENES'!$Z1202=$H$3),'ORDENES'!$AG1202=TRUE,'ORDENES'!$A1202&lt;&gt;""),1,0)</f>
        <v/>
      </c>
      <c r="L1206" s="24">
        <f>IF(K1206=1,IFERROR(MATCH('ORDENES'!$S1202,lista_dias,0),9)*1000000000+IFERROR(MATCH('ORDENES'!$AI1202,lista_turnos,0),9)*10000000+IFERROR(MATCH('ORDENES'!$AH1202,'TECNICOS'!$B$4:$B$19,0),99)*100000+1199,9000000000000+1199)</f>
        <v/>
      </c>
      <c r="M1206" s="24">
        <f>IF(K1206=1,SUMPRODUCT(--($L$8:$L$1207&lt;L1206))+1,"")</f>
        <v/>
      </c>
      <c r="N1206" s="25">
        <f>IF(K1206=1,N('ORDENES'!$M1202),0)</f>
        <v/>
      </c>
      <c r="O1206" s="25">
        <f>IF('ORDENES'!$U1202="preventiva",N1206,0)</f>
        <v/>
      </c>
      <c r="P1206" s="25">
        <f>IF('ORDENES'!$U1202="correctiva",N1206,0)</f>
        <v/>
      </c>
      <c r="Q1206" s="24">
        <f>IF(AND(K1206=1,'ORDENES'!$N1202="Pendiente"),1,0)</f>
        <v/>
      </c>
      <c r="R1206" s="24">
        <f>IF(Q1206=1,100000-N1206*1000+1199*0.01,9000000000000+1199)</f>
        <v/>
      </c>
      <c r="S1206" s="24">
        <f>IF(Q1206=1,SUMPRODUCT(--($R$8:$R$1207&lt;R1206))+1,"")</f>
        <v/>
      </c>
      <c r="T1206" s="30">
        <f>IF(K1206=1,'ORDENES'!$J1202,"")</f>
        <v/>
      </c>
    </row>
    <row r="1207">
      <c r="K1207" s="24">
        <f>IF(AND(IF($B$3="(todos)",TRUE,'ORDENES'!$O1203=$B$3),IF($D$3="(todos)",TRUE,'ORDENES'!$AI1203=$D$3),IF($F$3="(todos)",TRUE,'ORDENES'!$AA1203=$F$3),IF($H$3="(todos)",TRUE,'ORDENES'!$Z1203=$H$3),'ORDENES'!$AG1203=TRUE,'ORDENES'!$A1203&lt;&gt;""),1,0)</f>
        <v/>
      </c>
      <c r="L1207" s="24">
        <f>IF(K1207=1,IFERROR(MATCH('ORDENES'!$S1203,lista_dias,0),9)*1000000000+IFERROR(MATCH('ORDENES'!$AI1203,lista_turnos,0),9)*10000000+IFERROR(MATCH('ORDENES'!$AH1203,'TECNICOS'!$B$4:$B$19,0),99)*100000+1200,9000000000000+1200)</f>
        <v/>
      </c>
      <c r="M1207" s="24">
        <f>IF(K1207=1,SUMPRODUCT(--($L$8:$L$1207&lt;L1207))+1,"")</f>
        <v/>
      </c>
      <c r="N1207" s="25">
        <f>IF(K1207=1,N('ORDENES'!$M1203),0)</f>
        <v/>
      </c>
      <c r="O1207" s="25">
        <f>IF('ORDENES'!$U1203="preventiva",N1207,0)</f>
        <v/>
      </c>
      <c r="P1207" s="25">
        <f>IF('ORDENES'!$U1203="correctiva",N1207,0)</f>
        <v/>
      </c>
      <c r="Q1207" s="24">
        <f>IF(AND(K1207=1,'ORDENES'!$N1203="Pendiente"),1,0)</f>
        <v/>
      </c>
      <c r="R1207" s="24">
        <f>IF(Q1207=1,100000-N1207*1000+1200*0.01,9000000000000+1200)</f>
        <v/>
      </c>
      <c r="S1207" s="24">
        <f>IF(Q1207=1,SUMPRODUCT(--($R$8:$R$1207&lt;R1207))+1,"")</f>
        <v/>
      </c>
      <c r="T1207" s="30">
        <f>IF(K1207=1,'ORDENES'!$J1203,"")</f>
        <v/>
      </c>
    </row>
  </sheetData>
  <mergeCells count="1">
    <mergeCell ref="A6:H110"/>
  </mergeCells>
  <dataValidations count="4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lista_f_turno</formula1>
    </dataValidation>
    <dataValidation sqref="F3" showDropDown="0" showInputMessage="0" showErrorMessage="0" allowBlank="0" type="list">
      <formula1>lista_f_coordinador</formula1>
    </dataValidation>
    <dataValidation sqref="H3" showDropDown="0" showInputMessage="0" showErrorMessage="0" allowBlank="0" type="list">
      <formula1>lista_f_subarea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AU1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4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</cols>
  <sheetData>
    <row r="1">
      <c r="A1" s="3" t="inlineStr">
        <is>
          <t>ORDENES — tabla madre (tblOrdenes). Azul = editable; el resto se calcula solo.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orden</t>
        </is>
      </c>
      <c r="B3" s="14" t="inlineStr">
        <is>
          <t>operacion</t>
        </is>
      </c>
      <c r="C3" s="14" t="inlineStr">
        <is>
          <t>descripcion_general</t>
        </is>
      </c>
      <c r="D3" s="14" t="inlineStr">
        <is>
          <t>descripcion_operacion</t>
        </is>
      </c>
      <c r="E3" s="14" t="inlineStr">
        <is>
          <t>equipo</t>
        </is>
      </c>
      <c r="F3" s="14" t="inlineStr">
        <is>
          <t>centro_costo</t>
        </is>
      </c>
      <c r="G3" s="14" t="inlineStr">
        <is>
          <t>puesto_trabajo</t>
        </is>
      </c>
      <c r="H3" s="14" t="inlineStr">
        <is>
          <t>cod_actividad</t>
        </is>
      </c>
      <c r="I3" s="14" t="inlineStr">
        <is>
          <t>tipo_ot</t>
        </is>
      </c>
      <c r="J3" s="14" t="inlineStr">
        <is>
          <t>fecha_inicio</t>
        </is>
      </c>
      <c r="K3" s="14" t="inlineStr">
        <is>
          <t>horas_estimadas</t>
        </is>
      </c>
      <c r="L3" s="14" t="inlineStr">
        <is>
          <t>costo_plan</t>
        </is>
      </c>
      <c r="M3" s="23" t="inlineStr">
        <is>
          <t>horas_efectivas</t>
        </is>
      </c>
      <c r="N3" s="23" t="inlineStr">
        <is>
          <t>estado</t>
        </is>
      </c>
      <c r="O3" s="23" t="inlineStr">
        <is>
          <t>semana</t>
        </is>
      </c>
      <c r="P3" s="23" t="inlineStr">
        <is>
          <t>anio</t>
        </is>
      </c>
      <c r="Q3" s="23" t="inlineStr">
        <is>
          <t>mes</t>
        </is>
      </c>
      <c r="R3" s="23" t="inlineStr">
        <is>
          <t>mes_clave</t>
        </is>
      </c>
      <c r="S3" s="23" t="inlineStr">
        <is>
          <t>dia_semana</t>
        </is>
      </c>
      <c r="T3" s="23" t="inlineStr">
        <is>
          <t>es_habil</t>
        </is>
      </c>
      <c r="U3" s="23" t="inlineStr">
        <is>
          <t>clasificacion</t>
        </is>
      </c>
      <c r="V3" s="23" t="inlineStr">
        <is>
          <t>clase_mantenimiento</t>
        </is>
      </c>
      <c r="W3" s="23" t="inlineStr">
        <is>
          <t>rubro</t>
        </is>
      </c>
      <c r="X3" s="23" t="inlineStr">
        <is>
          <t>linea</t>
        </is>
      </c>
      <c r="Y3" s="23" t="inlineStr">
        <is>
          <t>area</t>
        </is>
      </c>
      <c r="Z3" s="23" t="inlineStr">
        <is>
          <t>sub_area</t>
        </is>
      </c>
      <c r="AA3" s="23" t="inlineStr">
        <is>
          <t>coordinador</t>
        </is>
      </c>
      <c r="AB3" s="23" t="inlineStr">
        <is>
          <t>especialidad</t>
        </is>
      </c>
      <c r="AC3" s="23" t="inlineStr">
        <is>
          <t>actividad</t>
        </is>
      </c>
      <c r="AD3" s="23" t="inlineStr">
        <is>
          <t>backlog_dias</t>
        </is>
      </c>
      <c r="AE3" s="23" t="inlineStr">
        <is>
          <t>backlog_habiles</t>
        </is>
      </c>
      <c r="AF3" s="23" t="inlineStr">
        <is>
          <t>estado_backlog</t>
        </is>
      </c>
      <c r="AG3" s="23" t="inlineStr">
        <is>
          <t>en_plan</t>
        </is>
      </c>
      <c r="AH3" s="14" t="inlineStr">
        <is>
          <t>tecnico_asignado</t>
        </is>
      </c>
      <c r="AI3" s="23" t="inlineStr">
        <is>
          <t>turno_asignado</t>
        </is>
      </c>
      <c r="AJ3" s="23" t="inlineStr">
        <is>
          <t>HHA</t>
        </is>
      </c>
      <c r="AK3" s="23" t="inlineStr">
        <is>
          <t>HHD</t>
        </is>
      </c>
      <c r="AL3" s="23" t="inlineStr">
        <is>
          <t>costo_servicio</t>
        </is>
      </c>
      <c r="AM3" s="23" t="inlineStr">
        <is>
          <t>costo_materiales</t>
        </is>
      </c>
      <c r="AN3" s="23" t="inlineStr">
        <is>
          <t>costo_total</t>
        </is>
      </c>
      <c r="AO3" s="23" t="inlineStr">
        <is>
          <t>categoria_presupuesto</t>
        </is>
      </c>
      <c r="AP3" s="14" t="inlineStr">
        <is>
          <t>permiso_requerido</t>
        </is>
      </c>
      <c r="AQ3" s="14" t="inlineStr">
        <is>
          <t>bloqueo_energia</t>
        </is>
      </c>
      <c r="AR3" s="14" t="inlineStr">
        <is>
          <t>link_checklist</t>
        </is>
      </c>
      <c r="AS3" s="23" t="inlineStr">
        <is>
          <t>abrir_checklist</t>
        </is>
      </c>
      <c r="AT3" s="14" t="inlineStr">
        <is>
          <t>observaciones</t>
        </is>
      </c>
      <c r="AU3" s="23" t="inlineStr">
        <is>
          <t>id_operacion</t>
        </is>
      </c>
    </row>
    <row r="4">
      <c r="A4" s="35" t="inlineStr">
        <is>
          <t>OT-EJEMPLO-001</t>
        </is>
      </c>
      <c r="B4" s="35" t="inlineStr">
        <is>
          <t>0010</t>
        </is>
      </c>
      <c r="C4" s="35" t="inlineStr">
        <is>
          <t>EJEMPLO — BORRAR ANTES DE USAR — Inspección de rutina</t>
        </is>
      </c>
      <c r="D4" s="35" t="inlineStr">
        <is>
          <t>EJEMPLO — BORRAR ANTES DE USAR — Inspección de rutina en EQ-EJEMPLO</t>
        </is>
      </c>
      <c r="E4" s="35" t="inlineStr">
        <is>
          <t>EQ-EJEMPLO</t>
        </is>
      </c>
      <c r="F4" s="35" t="inlineStr">
        <is>
          <t>CC-110</t>
        </is>
      </c>
      <c r="G4" s="35" t="inlineStr">
        <is>
          <t>PU-MEC</t>
        </is>
      </c>
      <c r="H4" s="35" t="inlineStr">
        <is>
          <t>ACT-01</t>
        </is>
      </c>
      <c r="I4" s="35" t="inlineStr">
        <is>
          <t>TIPO-P1</t>
        </is>
      </c>
      <c r="J4" s="36" t="n">
        <v>46230</v>
      </c>
      <c r="K4" s="35" t="n">
        <v>6</v>
      </c>
      <c r="L4" s="37" t="n">
        <v>150</v>
      </c>
      <c r="M4" s="35">
        <f>IF($A4="","",IFERROR(INDEX('AJUSTES'!$B$4:$B$303,MATCH($AU4,'AJUSTES'!$A$4:$A$303,0)),IF($K4="","",$K4)))</f>
        <v/>
      </c>
      <c r="N4" s="35">
        <f>IF($A4="","",IFERROR(INDEX('CAT_ESTADOS_ERP'!$B$4:$B$22,MATCH(IFERROR(INDEX('2_IMPORTAR_EJECUCION'!$C$9:$C$1208,MATCH($AU4,'2_IMPORTAR_EJECUCION'!$J$9:$J$1208,0)),""),'CAT_ESTADOS_ERP'!$A$4:$A$22,0)),"Pendiente"))</f>
        <v/>
      </c>
      <c r="O4" s="35">
        <f>IF($J4="","",YEAR($J4+4-WEEKDAY($J4,2))&amp;"-S"&amp;TEXT(_xlfn.ISOWEEKNUM($J4),"00"))</f>
        <v/>
      </c>
      <c r="P4" s="35">
        <f>IF($J4="","",YEAR($J4))</f>
        <v/>
      </c>
      <c r="Q4" s="35">
        <f>IF($J4="","",MONTH($J4))</f>
        <v/>
      </c>
      <c r="R4" s="35">
        <f>IF($J4="","",$P4&amp;"-"&amp;TEXT($Q4,"00"))</f>
        <v/>
      </c>
      <c r="S4" s="35">
        <f>IF($J4="","",INDEX(lista_dias,WEEKDAY($J4,2)))</f>
        <v/>
      </c>
      <c r="T4" s="35">
        <f>IF($J4="","",IFERROR(INDEX('CALENDARIO'!$C$15:$C$214,MATCH(TEXT($J4,"yyyy-mm-dd")&amp;"|"&amp;$Y4&amp;"|"&amp;$Z4,'CALENDARIO'!$G$15:$G$214,0)),IFERROR(INDEX('CALENDARIO'!$C$15:$C$214,MATCH(TEXT($J4,"yyyy-mm-dd")&amp;"|"&amp;$Y4&amp;"|",'CALENDARIO'!$G$15:$G$214,0)),IFERROR(INDEX('CALENDARIO'!$C$15:$C$214,MATCH(TEXT($J4,"yyyy-mm-dd")&amp;"||",'CALENDARIO'!$G$15:$G$214,0)),INDEX(patronHabil,WEEKDAY($J4,2))))))</f>
        <v/>
      </c>
      <c r="U4" s="35">
        <f>IF($I4="","",IFERROR(INDEX('CAT_TIPOS_OT'!$C$4:$C$23,MATCH($I4,'CAT_TIPOS_OT'!$A$4:$A$23,0)),"sin_clasificar"))</f>
        <v/>
      </c>
      <c r="V4" s="35">
        <f>IF($I4="","",IF(IFERROR(INDEX('CAT_TIPOS_OT'!$D$4:$D$23,MATCH($I4,'CAT_TIPOS_OT'!$A$4:$A$23,0)),"SIN CLASIFICAR")="","SIN CLASIFICAR",IFERROR(INDEX('CAT_TIPOS_OT'!$D$4:$D$23,MATCH($I4,'CAT_TIPOS_OT'!$A$4:$A$23,0)),"SIN CLASIFICAR")))</f>
        <v/>
      </c>
      <c r="W4" s="35">
        <f>IF($H4="","",IF(IFERROR(INDEX('CAT_ACTIVIDADES'!$F$4:$F$26,MATCH($H4,'CAT_ACTIVIDADES'!$A$4:$A$26,0)),"")=0,"",IFERROR(INDEX('CAT_ACTIVIDADES'!$F$4:$F$26,MATCH($H4,'CAT_ACTIVIDADES'!$A$4:$A$26,0)),"")))</f>
        <v/>
      </c>
      <c r="X4" s="35">
        <f>IF($F4="","",IFERROR(INDEX('CAT_CENTROS_COSTO'!$F$4:$F$28,MATCH($F4,'CAT_CENTROS_COSTO'!$A$4:$A$28,0)),"(sin catálogo)"))</f>
        <v/>
      </c>
      <c r="Y4" s="35">
        <f>IF($F4="","",IFERROR(INDEX('CAT_CENTROS_COSTO'!$D$4:$D$28,MATCH($F4,'CAT_CENTROS_COSTO'!$A$4:$A$28,0)),"(sin catálogo)"))</f>
        <v/>
      </c>
      <c r="Z4" s="35">
        <f>IF($F4="","",IF((IFERROR(INDEX('CAT_CENTROS_COSTO'!$E$4:$E$28,MATCH($F4,'CAT_CENTROS_COSTO'!$A$4:$A$28,0)),""))&lt;&gt;"",IFERROR(INDEX('CAT_CENTROS_COSTO'!$E$4:$E$28,MATCH($F4,'CAT_CENTROS_COSTO'!$A$4:$A$28,0)),""),$Y4))</f>
        <v/>
      </c>
      <c r="AA4" s="35">
        <f>IF($F4="","",IFERROR(INDEX('CAT_CENTROS_COSTO'!$G$4:$G$28,MATCH($F4,'CAT_CENTROS_COSTO'!$A$4:$A$28,0)),"(sin catálogo)"))</f>
        <v/>
      </c>
      <c r="AB4" s="35">
        <f>IF($G4="","",IFERROR(INDEX('CAT_PUESTOS'!$B$4:$B$23,MATCH($G4,'CAT_PUESTOS'!$A$4:$A$23,0)),"(sin catálogo)"))</f>
        <v/>
      </c>
      <c r="AC4" s="35">
        <f>IF($H4="","",IFERROR(INDEX('CAT_ACTIVIDADES'!$B$4:$B$26,MATCH($H4,'CAT_ACTIVIDADES'!$A$4:$A$26,0)),"(sin catálogo)"))</f>
        <v/>
      </c>
      <c r="AD4" s="38">
        <f>IF($J4="","",TODAY()-$J4)</f>
        <v/>
      </c>
      <c r="AE4" s="38">
        <f>IF($J4="","",IF($J4&lt;=TODAY(),COUNTIFS(cal_fechas,"&gt;="&amp;$J4,cal_fechas,"&lt;"&amp;TODAY(),cal_habil,"sí"),-COUNTIFS(cal_fechas,"&gt;="&amp;TODAY(),cal_fechas,"&lt;"&amp;$J4,cal_habil,"sí")))</f>
        <v/>
      </c>
      <c r="AF4" s="35">
        <f>IF($AE4="","",IF($AE4&lt;0,"FUTURO",IF($AE4&gt;p_dias_backlog_max,"BACKLOG","MES CORRIENTE")))</f>
        <v/>
      </c>
      <c r="AG4" s="35">
        <f>IF($AE4="",FALSE,AND($AE4&gt;p_dias_backlog_min,$AE4&lt;=p_dias_backlog_max))</f>
        <v/>
      </c>
      <c r="AH4" s="39" t="inlineStr">
        <is>
          <t>Carlos Pérez</t>
        </is>
      </c>
      <c r="AI4" s="35">
        <f>IF($AH4="","",IF((IFERROR(INDEX('ASIGNACIONES'!$J$4:$J$451,MATCH($O4&amp;"|"&amp;$S4&amp;"|"&amp;$AH4,'ASIGNACIONES'!$N$4:$N$451,0)),""))=0,"",IFERROR(INDEX('ASIGNACIONES'!$J$4:$J$451,MATCH($O4&amp;"|"&amp;$S4&amp;"|"&amp;$AH4,'ASIGNACIONES'!$N$4:$N$451,0)),"")))</f>
        <v/>
      </c>
      <c r="AJ4" s="40">
        <f>IF($AH4="","",SUMIFS('ORDENES'!$M$4:$M$1203,'ORDENES'!$AH$4:$AH$1203,$AH4,'ORDENES'!$O$4:$O$1203,$O4,'ORDENES'!$S$4:$S$1203,$S4))</f>
        <v/>
      </c>
      <c r="AK4" s="40">
        <f>IF($AJ4="","",p_factor_productividad*IFERROR(INDEX('ASIGNACIONES'!$M$4:$M$451,MATCH($O4&amp;"|"&amp;$S4&amp;"|"&amp;$AH4,'ASIGNACIONES'!$N$4:$N$451,0)),0)-$AJ4)</f>
        <v/>
      </c>
      <c r="AL4" s="37">
        <f>IF($A4="","",IFERROR(INDEX('2_IMPORTAR_EJECUCION'!$F$9:$F$1208,MATCH($AU4,'2_IMPORTAR_EJECUCION'!$J$9:$J$1208,0)),0))</f>
        <v/>
      </c>
      <c r="AM4" s="37">
        <f>IF($A4="","",MAX(0,IFERROR(INDEX('2_IMPORTAR_EJECUCION'!$H$9:$H$1208,MATCH($AU4,'2_IMPORTAR_EJECUCION'!$J$9:$J$1208,0)),0)-$AL4))</f>
        <v/>
      </c>
      <c r="AN4" s="37">
        <f>IF($A4="","",$AL4+$AM4)</f>
        <v/>
      </c>
      <c r="AO4" s="35">
        <f>IF($A4="","",IF(OR((IFERROR(INDEX('CAT_ACTIVIDADES'!$D$4:$D$26,MATCH($H4,'CAT_ACTIVIDADES'!$A$4:$A$26,0)),""))=0,(IFERROR(INDEX('CAT_ACTIVIDADES'!$D$4:$D$26,MATCH($H4,'CAT_ACTIVIDADES'!$A$4:$A$26,0)),""))=""),"SIN CLASIFICAR",IFERROR(INDEX('CAT_ACTIVIDADES'!$D$4:$D$26,MATCH($H4,'CAT_ACTIVIDADES'!$A$4:$A$26,0)),"")))</f>
        <v/>
      </c>
      <c r="AP4" s="39" t="inlineStr"/>
      <c r="AQ4" s="39" t="inlineStr"/>
      <c r="AR4" s="39" t="inlineStr"/>
      <c r="AS4" s="35">
        <f>IF($AR4="","",HYPERLINK(p_ruta_base_checklists&amp;$AR4,"abrir"))</f>
        <v/>
      </c>
      <c r="AT4" s="39" t="inlineStr">
        <is>
          <t>EJEMPLO — BORRAR ANTES DE USAR</t>
        </is>
      </c>
      <c r="AU4" s="35">
        <f>IF($A4="","",$A4&amp;IF($B4="","0010",$B4))</f>
        <v/>
      </c>
    </row>
    <row r="5">
      <c r="A5" s="35" t="inlineStr">
        <is>
          <t>OT-EJEMPLO-002</t>
        </is>
      </c>
      <c r="B5" s="35" t="inlineStr">
        <is>
          <t>0010</t>
        </is>
      </c>
      <c r="C5" s="35" t="inlineStr">
        <is>
          <t>EJEMPLO — BORRAR ANTES DE USAR — Lubricación programada</t>
        </is>
      </c>
      <c r="D5" s="35" t="inlineStr">
        <is>
          <t>EJEMPLO — BORRAR ANTES DE USAR — Lubricación programada en EQ-EJEMPLO</t>
        </is>
      </c>
      <c r="E5" s="35" t="inlineStr">
        <is>
          <t>EQ-EJEMPLO</t>
        </is>
      </c>
      <c r="F5" s="35" t="inlineStr">
        <is>
          <t>CC-110</t>
        </is>
      </c>
      <c r="G5" s="35" t="inlineStr">
        <is>
          <t>PU-MEC</t>
        </is>
      </c>
      <c r="H5" s="35" t="inlineStr">
        <is>
          <t>ACT-02</t>
        </is>
      </c>
      <c r="I5" s="35" t="inlineStr">
        <is>
          <t>TIPO-P1</t>
        </is>
      </c>
      <c r="J5" s="36" t="n">
        <v>46231</v>
      </c>
      <c r="K5" s="35" t="n">
        <v>4</v>
      </c>
      <c r="L5" s="37" t="n">
        <v>100</v>
      </c>
      <c r="M5" s="35">
        <f>IF($A5="","",IFERROR(INDEX('AJUSTES'!$B$4:$B$303,MATCH($AU5,'AJUSTES'!$A$4:$A$303,0)),IF($K5="","",$K5)))</f>
        <v/>
      </c>
      <c r="N5" s="35">
        <f>IF($A5="","",IFERROR(INDEX('CAT_ESTADOS_ERP'!$B$4:$B$22,MATCH(IFERROR(INDEX('2_IMPORTAR_EJECUCION'!$C$9:$C$1208,MATCH($AU5,'2_IMPORTAR_EJECUCION'!$J$9:$J$1208,0)),""),'CAT_ESTADOS_ERP'!$A$4:$A$22,0)),"Pendiente"))</f>
        <v/>
      </c>
      <c r="O5" s="35">
        <f>IF($J5="","",YEAR($J5+4-WEEKDAY($J5,2))&amp;"-S"&amp;TEXT(_xlfn.ISOWEEKNUM($J5),"00"))</f>
        <v/>
      </c>
      <c r="P5" s="35">
        <f>IF($J5="","",YEAR($J5))</f>
        <v/>
      </c>
      <c r="Q5" s="35">
        <f>IF($J5="","",MONTH($J5))</f>
        <v/>
      </c>
      <c r="R5" s="35">
        <f>IF($J5="","",$P5&amp;"-"&amp;TEXT($Q5,"00"))</f>
        <v/>
      </c>
      <c r="S5" s="35">
        <f>IF($J5="","",INDEX(lista_dias,WEEKDAY($J5,2)))</f>
        <v/>
      </c>
      <c r="T5" s="35">
        <f>IF($J5="","",IFERROR(INDEX('CALENDARIO'!$C$15:$C$214,MATCH(TEXT($J5,"yyyy-mm-dd")&amp;"|"&amp;$Y5&amp;"|"&amp;$Z5,'CALENDARIO'!$G$15:$G$214,0)),IFERROR(INDEX('CALENDARIO'!$C$15:$C$214,MATCH(TEXT($J5,"yyyy-mm-dd")&amp;"|"&amp;$Y5&amp;"|",'CALENDARIO'!$G$15:$G$214,0)),IFERROR(INDEX('CALENDARIO'!$C$15:$C$214,MATCH(TEXT($J5,"yyyy-mm-dd")&amp;"||",'CALENDARIO'!$G$15:$G$214,0)),INDEX(patronHabil,WEEKDAY($J5,2))))))</f>
        <v/>
      </c>
      <c r="U5" s="35">
        <f>IF($I5="","",IFERROR(INDEX('CAT_TIPOS_OT'!$C$4:$C$23,MATCH($I5,'CAT_TIPOS_OT'!$A$4:$A$23,0)),"sin_clasificar"))</f>
        <v/>
      </c>
      <c r="V5" s="35">
        <f>IF($I5="","",IF(IFERROR(INDEX('CAT_TIPOS_OT'!$D$4:$D$23,MATCH($I5,'CAT_TIPOS_OT'!$A$4:$A$23,0)),"SIN CLASIFICAR")="","SIN CLASIFICAR",IFERROR(INDEX('CAT_TIPOS_OT'!$D$4:$D$23,MATCH($I5,'CAT_TIPOS_OT'!$A$4:$A$23,0)),"SIN CLASIFICAR")))</f>
        <v/>
      </c>
      <c r="W5" s="35">
        <f>IF($H5="","",IF(IFERROR(INDEX('CAT_ACTIVIDADES'!$F$4:$F$26,MATCH($H5,'CAT_ACTIVIDADES'!$A$4:$A$26,0)),"")=0,"",IFERROR(INDEX('CAT_ACTIVIDADES'!$F$4:$F$26,MATCH($H5,'CAT_ACTIVIDADES'!$A$4:$A$26,0)),"")))</f>
        <v/>
      </c>
      <c r="X5" s="35">
        <f>IF($F5="","",IFERROR(INDEX('CAT_CENTROS_COSTO'!$F$4:$F$28,MATCH($F5,'CAT_CENTROS_COSTO'!$A$4:$A$28,0)),"(sin catálogo)"))</f>
        <v/>
      </c>
      <c r="Y5" s="35">
        <f>IF($F5="","",IFERROR(INDEX('CAT_CENTROS_COSTO'!$D$4:$D$28,MATCH($F5,'CAT_CENTROS_COSTO'!$A$4:$A$28,0)),"(sin catálogo)"))</f>
        <v/>
      </c>
      <c r="Z5" s="35">
        <f>IF($F5="","",IF((IFERROR(INDEX('CAT_CENTROS_COSTO'!$E$4:$E$28,MATCH($F5,'CAT_CENTROS_COSTO'!$A$4:$A$28,0)),""))&lt;&gt;"",IFERROR(INDEX('CAT_CENTROS_COSTO'!$E$4:$E$28,MATCH($F5,'CAT_CENTROS_COSTO'!$A$4:$A$28,0)),""),$Y5))</f>
        <v/>
      </c>
      <c r="AA5" s="35">
        <f>IF($F5="","",IFERROR(INDEX('CAT_CENTROS_COSTO'!$G$4:$G$28,MATCH($F5,'CAT_CENTROS_COSTO'!$A$4:$A$28,0)),"(sin catálogo)"))</f>
        <v/>
      </c>
      <c r="AB5" s="35">
        <f>IF($G5="","",IFERROR(INDEX('CAT_PUESTOS'!$B$4:$B$23,MATCH($G5,'CAT_PUESTOS'!$A$4:$A$23,0)),"(sin catálogo)"))</f>
        <v/>
      </c>
      <c r="AC5" s="35">
        <f>IF($H5="","",IFERROR(INDEX('CAT_ACTIVIDADES'!$B$4:$B$26,MATCH($H5,'CAT_ACTIVIDADES'!$A$4:$A$26,0)),"(sin catálogo)"))</f>
        <v/>
      </c>
      <c r="AD5" s="38">
        <f>IF($J5="","",TODAY()-$J5)</f>
        <v/>
      </c>
      <c r="AE5" s="38">
        <f>IF($J5="","",IF($J5&lt;=TODAY(),COUNTIFS(cal_fechas,"&gt;="&amp;$J5,cal_fechas,"&lt;"&amp;TODAY(),cal_habil,"sí"),-COUNTIFS(cal_fechas,"&gt;="&amp;TODAY(),cal_fechas,"&lt;"&amp;$J5,cal_habil,"sí")))</f>
        <v/>
      </c>
      <c r="AF5" s="35">
        <f>IF($AE5="","",IF($AE5&lt;0,"FUTURO",IF($AE5&gt;p_dias_backlog_max,"BACKLOG","MES CORRIENTE")))</f>
        <v/>
      </c>
      <c r="AG5" s="35">
        <f>IF($AE5="",FALSE,AND($AE5&gt;p_dias_backlog_min,$AE5&lt;=p_dias_backlog_max))</f>
        <v/>
      </c>
      <c r="AH5" s="39" t="inlineStr">
        <is>
          <t>Carlos Pérez</t>
        </is>
      </c>
      <c r="AI5" s="35">
        <f>IF($AH5="","",IF((IFERROR(INDEX('ASIGNACIONES'!$J$4:$J$451,MATCH($O5&amp;"|"&amp;$S5&amp;"|"&amp;$AH5,'ASIGNACIONES'!$N$4:$N$451,0)),""))=0,"",IFERROR(INDEX('ASIGNACIONES'!$J$4:$J$451,MATCH($O5&amp;"|"&amp;$S5&amp;"|"&amp;$AH5,'ASIGNACIONES'!$N$4:$N$451,0)),"")))</f>
        <v/>
      </c>
      <c r="AJ5" s="40">
        <f>IF($AH5="","",SUMIFS('ORDENES'!$M$4:$M$1203,'ORDENES'!$AH$4:$AH$1203,$AH5,'ORDENES'!$O$4:$O$1203,$O5,'ORDENES'!$S$4:$S$1203,$S5))</f>
        <v/>
      </c>
      <c r="AK5" s="40">
        <f>IF($AJ5="","",p_factor_productividad*IFERROR(INDEX('ASIGNACIONES'!$M$4:$M$451,MATCH($O5&amp;"|"&amp;$S5&amp;"|"&amp;$AH5,'ASIGNACIONES'!$N$4:$N$451,0)),0)-$AJ5)</f>
        <v/>
      </c>
      <c r="AL5" s="37">
        <f>IF($A5="","",IFERROR(INDEX('2_IMPORTAR_EJECUCION'!$F$9:$F$1208,MATCH($AU5,'2_IMPORTAR_EJECUCION'!$J$9:$J$1208,0)),0))</f>
        <v/>
      </c>
      <c r="AM5" s="37">
        <f>IF($A5="","",MAX(0,IFERROR(INDEX('2_IMPORTAR_EJECUCION'!$H$9:$H$1208,MATCH($AU5,'2_IMPORTAR_EJECUCION'!$J$9:$J$1208,0)),0)-$AL5))</f>
        <v/>
      </c>
      <c r="AN5" s="37">
        <f>IF($A5="","",$AL5+$AM5)</f>
        <v/>
      </c>
      <c r="AO5" s="35">
        <f>IF($A5="","",IF(OR((IFERROR(INDEX('CAT_ACTIVIDADES'!$D$4:$D$26,MATCH($H5,'CAT_ACTIVIDADES'!$A$4:$A$26,0)),""))=0,(IFERROR(INDEX('CAT_ACTIVIDADES'!$D$4:$D$26,MATCH($H5,'CAT_ACTIVIDADES'!$A$4:$A$26,0)),""))=""),"SIN CLASIFICAR",IFERROR(INDEX('CAT_ACTIVIDADES'!$D$4:$D$26,MATCH($H5,'CAT_ACTIVIDADES'!$A$4:$A$26,0)),"")))</f>
        <v/>
      </c>
      <c r="AP5" s="39" t="inlineStr"/>
      <c r="AQ5" s="39" t="inlineStr"/>
      <c r="AR5" s="39" t="inlineStr"/>
      <c r="AS5" s="35">
        <f>IF($AR5="","",HYPERLINK(p_ruta_base_checklists&amp;$AR5,"abrir"))</f>
        <v/>
      </c>
      <c r="AT5" s="39" t="inlineStr">
        <is>
          <t>EJEMPLO — BORRAR ANTES DE USAR</t>
        </is>
      </c>
      <c r="AU5" s="35">
        <f>IF($A5="","",$A5&amp;IF($B5="","0010",$B5))</f>
        <v/>
      </c>
    </row>
    <row r="6">
      <c r="A6" s="35" t="inlineStr">
        <is>
          <t>OT-EJEMPLO-003</t>
        </is>
      </c>
      <c r="B6" s="35" t="inlineStr">
        <is>
          <t>0010</t>
        </is>
      </c>
      <c r="C6" s="35" t="inlineStr">
        <is>
          <t>EJEMPLO — BORRAR ANTES DE USAR — Análisis predictivo</t>
        </is>
      </c>
      <c r="D6" s="35" t="inlineStr">
        <is>
          <t>EJEMPLO — BORRAR ANTES DE USAR — Análisis predictivo en EQ-EJEMPLO</t>
        </is>
      </c>
      <c r="E6" s="35" t="inlineStr">
        <is>
          <t>EQ-EJEMPLO</t>
        </is>
      </c>
      <c r="F6" s="35" t="inlineStr">
        <is>
          <t>CC-120</t>
        </is>
      </c>
      <c r="G6" s="35" t="inlineStr">
        <is>
          <t>PU-ELE</t>
        </is>
      </c>
      <c r="H6" s="35" t="inlineStr">
        <is>
          <t>ACT-04</t>
        </is>
      </c>
      <c r="I6" s="35" t="inlineStr">
        <is>
          <t>TIPO-P2</t>
        </is>
      </c>
      <c r="J6" s="36" t="n">
        <v>46231</v>
      </c>
      <c r="K6" s="35" t="n">
        <v>8</v>
      </c>
      <c r="L6" s="37" t="n">
        <v>200</v>
      </c>
      <c r="M6" s="35">
        <f>IF($A6="","",IFERROR(INDEX('AJUSTES'!$B$4:$B$303,MATCH($AU6,'AJUSTES'!$A$4:$A$303,0)),IF($K6="","",$K6)))</f>
        <v/>
      </c>
      <c r="N6" s="35">
        <f>IF($A6="","",IFERROR(INDEX('CAT_ESTADOS_ERP'!$B$4:$B$22,MATCH(IFERROR(INDEX('2_IMPORTAR_EJECUCION'!$C$9:$C$1208,MATCH($AU6,'2_IMPORTAR_EJECUCION'!$J$9:$J$1208,0)),""),'CAT_ESTADOS_ERP'!$A$4:$A$22,0)),"Pendiente"))</f>
        <v/>
      </c>
      <c r="O6" s="35">
        <f>IF($J6="","",YEAR($J6+4-WEEKDAY($J6,2))&amp;"-S"&amp;TEXT(_xlfn.ISOWEEKNUM($J6),"00"))</f>
        <v/>
      </c>
      <c r="P6" s="35">
        <f>IF($J6="","",YEAR($J6))</f>
        <v/>
      </c>
      <c r="Q6" s="35">
        <f>IF($J6="","",MONTH($J6))</f>
        <v/>
      </c>
      <c r="R6" s="35">
        <f>IF($J6="","",$P6&amp;"-"&amp;TEXT($Q6,"00"))</f>
        <v/>
      </c>
      <c r="S6" s="35">
        <f>IF($J6="","",INDEX(lista_dias,WEEKDAY($J6,2)))</f>
        <v/>
      </c>
      <c r="T6" s="35">
        <f>IF($J6="","",IFERROR(INDEX('CALENDARIO'!$C$15:$C$214,MATCH(TEXT($J6,"yyyy-mm-dd")&amp;"|"&amp;$Y6&amp;"|"&amp;$Z6,'CALENDARIO'!$G$15:$G$214,0)),IFERROR(INDEX('CALENDARIO'!$C$15:$C$214,MATCH(TEXT($J6,"yyyy-mm-dd")&amp;"|"&amp;$Y6&amp;"|",'CALENDARIO'!$G$15:$G$214,0)),IFERROR(INDEX('CALENDARIO'!$C$15:$C$214,MATCH(TEXT($J6,"yyyy-mm-dd")&amp;"||",'CALENDARIO'!$G$15:$G$214,0)),INDEX(patronHabil,WEEKDAY($J6,2))))))</f>
        <v/>
      </c>
      <c r="U6" s="35">
        <f>IF($I6="","",IFERROR(INDEX('CAT_TIPOS_OT'!$C$4:$C$23,MATCH($I6,'CAT_TIPOS_OT'!$A$4:$A$23,0)),"sin_clasificar"))</f>
        <v/>
      </c>
      <c r="V6" s="35">
        <f>IF($I6="","",IF(IFERROR(INDEX('CAT_TIPOS_OT'!$D$4:$D$23,MATCH($I6,'CAT_TIPOS_OT'!$A$4:$A$23,0)),"SIN CLASIFICAR")="","SIN CLASIFICAR",IFERROR(INDEX('CAT_TIPOS_OT'!$D$4:$D$23,MATCH($I6,'CAT_TIPOS_OT'!$A$4:$A$23,0)),"SIN CLASIFICAR")))</f>
        <v/>
      </c>
      <c r="W6" s="35">
        <f>IF($H6="","",IF(IFERROR(INDEX('CAT_ACTIVIDADES'!$F$4:$F$26,MATCH($H6,'CAT_ACTIVIDADES'!$A$4:$A$26,0)),"")=0,"",IFERROR(INDEX('CAT_ACTIVIDADES'!$F$4:$F$26,MATCH($H6,'CAT_ACTIVIDADES'!$A$4:$A$26,0)),"")))</f>
        <v/>
      </c>
      <c r="X6" s="35">
        <f>IF($F6="","",IFERROR(INDEX('CAT_CENTROS_COSTO'!$F$4:$F$28,MATCH($F6,'CAT_CENTROS_COSTO'!$A$4:$A$28,0)),"(sin catálogo)"))</f>
        <v/>
      </c>
      <c r="Y6" s="35">
        <f>IF($F6="","",IFERROR(INDEX('CAT_CENTROS_COSTO'!$D$4:$D$28,MATCH($F6,'CAT_CENTROS_COSTO'!$A$4:$A$28,0)),"(sin catálogo)"))</f>
        <v/>
      </c>
      <c r="Z6" s="35">
        <f>IF($F6="","",IF((IFERROR(INDEX('CAT_CENTROS_COSTO'!$E$4:$E$28,MATCH($F6,'CAT_CENTROS_COSTO'!$A$4:$A$28,0)),""))&lt;&gt;"",IFERROR(INDEX('CAT_CENTROS_COSTO'!$E$4:$E$28,MATCH($F6,'CAT_CENTROS_COSTO'!$A$4:$A$28,0)),""),$Y6))</f>
        <v/>
      </c>
      <c r="AA6" s="35">
        <f>IF($F6="","",IFERROR(INDEX('CAT_CENTROS_COSTO'!$G$4:$G$28,MATCH($F6,'CAT_CENTROS_COSTO'!$A$4:$A$28,0)),"(sin catálogo)"))</f>
        <v/>
      </c>
      <c r="AB6" s="35">
        <f>IF($G6="","",IFERROR(INDEX('CAT_PUESTOS'!$B$4:$B$23,MATCH($G6,'CAT_PUESTOS'!$A$4:$A$23,0)),"(sin catálogo)"))</f>
        <v/>
      </c>
      <c r="AC6" s="35">
        <f>IF($H6="","",IFERROR(INDEX('CAT_ACTIVIDADES'!$B$4:$B$26,MATCH($H6,'CAT_ACTIVIDADES'!$A$4:$A$26,0)),"(sin catálogo)"))</f>
        <v/>
      </c>
      <c r="AD6" s="38">
        <f>IF($J6="","",TODAY()-$J6)</f>
        <v/>
      </c>
      <c r="AE6" s="38">
        <f>IF($J6="","",IF($J6&lt;=TODAY(),COUNTIFS(cal_fechas,"&gt;="&amp;$J6,cal_fechas,"&lt;"&amp;TODAY(),cal_habil,"sí"),-COUNTIFS(cal_fechas,"&gt;="&amp;TODAY(),cal_fechas,"&lt;"&amp;$J6,cal_habil,"sí")))</f>
        <v/>
      </c>
      <c r="AF6" s="35">
        <f>IF($AE6="","",IF($AE6&lt;0,"FUTURO",IF($AE6&gt;p_dias_backlog_max,"BACKLOG","MES CORRIENTE")))</f>
        <v/>
      </c>
      <c r="AG6" s="35">
        <f>IF($AE6="",FALSE,AND($AE6&gt;p_dias_backlog_min,$AE6&lt;=p_dias_backlog_max))</f>
        <v/>
      </c>
      <c r="AH6" s="39" t="inlineStr">
        <is>
          <t>Jorge Díaz</t>
        </is>
      </c>
      <c r="AI6" s="35">
        <f>IF($AH6="","",IF((IFERROR(INDEX('ASIGNACIONES'!$J$4:$J$451,MATCH($O6&amp;"|"&amp;$S6&amp;"|"&amp;$AH6,'ASIGNACIONES'!$N$4:$N$451,0)),""))=0,"",IFERROR(INDEX('ASIGNACIONES'!$J$4:$J$451,MATCH($O6&amp;"|"&amp;$S6&amp;"|"&amp;$AH6,'ASIGNACIONES'!$N$4:$N$451,0)),"")))</f>
        <v/>
      </c>
      <c r="AJ6" s="40">
        <f>IF($AH6="","",SUMIFS('ORDENES'!$M$4:$M$1203,'ORDENES'!$AH$4:$AH$1203,$AH6,'ORDENES'!$O$4:$O$1203,$O6,'ORDENES'!$S$4:$S$1203,$S6))</f>
        <v/>
      </c>
      <c r="AK6" s="40">
        <f>IF($AJ6="","",p_factor_productividad*IFERROR(INDEX('ASIGNACIONES'!$M$4:$M$451,MATCH($O6&amp;"|"&amp;$S6&amp;"|"&amp;$AH6,'ASIGNACIONES'!$N$4:$N$451,0)),0)-$AJ6)</f>
        <v/>
      </c>
      <c r="AL6" s="37">
        <f>IF($A6="","",IFERROR(INDEX('2_IMPORTAR_EJECUCION'!$F$9:$F$1208,MATCH($AU6,'2_IMPORTAR_EJECUCION'!$J$9:$J$1208,0)),0))</f>
        <v/>
      </c>
      <c r="AM6" s="37">
        <f>IF($A6="","",MAX(0,IFERROR(INDEX('2_IMPORTAR_EJECUCION'!$H$9:$H$1208,MATCH($AU6,'2_IMPORTAR_EJECUCION'!$J$9:$J$1208,0)),0)-$AL6))</f>
        <v/>
      </c>
      <c r="AN6" s="37">
        <f>IF($A6="","",$AL6+$AM6)</f>
        <v/>
      </c>
      <c r="AO6" s="35">
        <f>IF($A6="","",IF(OR((IFERROR(INDEX('CAT_ACTIVIDADES'!$D$4:$D$26,MATCH($H6,'CAT_ACTIVIDADES'!$A$4:$A$26,0)),""))=0,(IFERROR(INDEX('CAT_ACTIVIDADES'!$D$4:$D$26,MATCH($H6,'CAT_ACTIVIDADES'!$A$4:$A$26,0)),""))=""),"SIN CLASIFICAR",IFERROR(INDEX('CAT_ACTIVIDADES'!$D$4:$D$26,MATCH($H6,'CAT_ACTIVIDADES'!$A$4:$A$26,0)),"")))</f>
        <v/>
      </c>
      <c r="AP6" s="39" t="inlineStr"/>
      <c r="AQ6" s="39" t="inlineStr"/>
      <c r="AR6" s="39" t="inlineStr"/>
      <c r="AS6" s="35">
        <f>IF($AR6="","",HYPERLINK(p_ruta_base_checklists&amp;$AR6,"abrir"))</f>
        <v/>
      </c>
      <c r="AT6" s="39" t="inlineStr">
        <is>
          <t>EJEMPLO — BORRAR ANTES DE USAR</t>
        </is>
      </c>
      <c r="AU6" s="35">
        <f>IF($A6="","",$A6&amp;IF($B6="","0010",$B6))</f>
        <v/>
      </c>
    </row>
    <row r="7">
      <c r="A7" s="35" t="inlineStr">
        <is>
          <t>OT-EJEMPLO-004</t>
        </is>
      </c>
      <c r="B7" s="35" t="inlineStr">
        <is>
          <t>0010</t>
        </is>
      </c>
      <c r="C7" s="35" t="inlineStr">
        <is>
          <t>EJEMPLO — BORRAR ANTES DE USAR — Reparación de falla</t>
        </is>
      </c>
      <c r="D7" s="35" t="inlineStr">
        <is>
          <t>EJEMPLO — BORRAR ANTES DE USAR — Reparación de falla en EQ-EJEMPLO</t>
        </is>
      </c>
      <c r="E7" s="35" t="inlineStr">
        <is>
          <t>EQ-EJEMPLO</t>
        </is>
      </c>
      <c r="F7" s="35" t="inlineStr">
        <is>
          <t>CC-120</t>
        </is>
      </c>
      <c r="G7" s="35" t="inlineStr">
        <is>
          <t>PU-ELE</t>
        </is>
      </c>
      <c r="H7" s="35" t="inlineStr">
        <is>
          <t>ACT-03</t>
        </is>
      </c>
      <c r="I7" s="35" t="inlineStr">
        <is>
          <t>TIPO-C1</t>
        </is>
      </c>
      <c r="J7" s="36" t="n">
        <v>46232</v>
      </c>
      <c r="K7" s="35" t="n">
        <v>5</v>
      </c>
      <c r="L7" s="37" t="n">
        <v>200</v>
      </c>
      <c r="M7" s="35">
        <f>IF($A7="","",IFERROR(INDEX('AJUSTES'!$B$4:$B$303,MATCH($AU7,'AJUSTES'!$A$4:$A$303,0)),IF($K7="","",$K7)))</f>
        <v/>
      </c>
      <c r="N7" s="35">
        <f>IF($A7="","",IFERROR(INDEX('CAT_ESTADOS_ERP'!$B$4:$B$22,MATCH(IFERROR(INDEX('2_IMPORTAR_EJECUCION'!$C$9:$C$1208,MATCH($AU7,'2_IMPORTAR_EJECUCION'!$J$9:$J$1208,0)),""),'CAT_ESTADOS_ERP'!$A$4:$A$22,0)),"Pendiente"))</f>
        <v/>
      </c>
      <c r="O7" s="35">
        <f>IF($J7="","",YEAR($J7+4-WEEKDAY($J7,2))&amp;"-S"&amp;TEXT(_xlfn.ISOWEEKNUM($J7),"00"))</f>
        <v/>
      </c>
      <c r="P7" s="35">
        <f>IF($J7="","",YEAR($J7))</f>
        <v/>
      </c>
      <c r="Q7" s="35">
        <f>IF($J7="","",MONTH($J7))</f>
        <v/>
      </c>
      <c r="R7" s="35">
        <f>IF($J7="","",$P7&amp;"-"&amp;TEXT($Q7,"00"))</f>
        <v/>
      </c>
      <c r="S7" s="35">
        <f>IF($J7="","",INDEX(lista_dias,WEEKDAY($J7,2)))</f>
        <v/>
      </c>
      <c r="T7" s="35">
        <f>IF($J7="","",IFERROR(INDEX('CALENDARIO'!$C$15:$C$214,MATCH(TEXT($J7,"yyyy-mm-dd")&amp;"|"&amp;$Y7&amp;"|"&amp;$Z7,'CALENDARIO'!$G$15:$G$214,0)),IFERROR(INDEX('CALENDARIO'!$C$15:$C$214,MATCH(TEXT($J7,"yyyy-mm-dd")&amp;"|"&amp;$Y7&amp;"|",'CALENDARIO'!$G$15:$G$214,0)),IFERROR(INDEX('CALENDARIO'!$C$15:$C$214,MATCH(TEXT($J7,"yyyy-mm-dd")&amp;"||",'CALENDARIO'!$G$15:$G$214,0)),INDEX(patronHabil,WEEKDAY($J7,2))))))</f>
        <v/>
      </c>
      <c r="U7" s="35">
        <f>IF($I7="","",IFERROR(INDEX('CAT_TIPOS_OT'!$C$4:$C$23,MATCH($I7,'CAT_TIPOS_OT'!$A$4:$A$23,0)),"sin_clasificar"))</f>
        <v/>
      </c>
      <c r="V7" s="35">
        <f>IF($I7="","",IF(IFERROR(INDEX('CAT_TIPOS_OT'!$D$4:$D$23,MATCH($I7,'CAT_TIPOS_OT'!$A$4:$A$23,0)),"SIN CLASIFICAR")="","SIN CLASIFICAR",IFERROR(INDEX('CAT_TIPOS_OT'!$D$4:$D$23,MATCH($I7,'CAT_TIPOS_OT'!$A$4:$A$23,0)),"SIN CLASIFICAR")))</f>
        <v/>
      </c>
      <c r="W7" s="35">
        <f>IF($H7="","",IF(IFERROR(INDEX('CAT_ACTIVIDADES'!$F$4:$F$26,MATCH($H7,'CAT_ACTIVIDADES'!$A$4:$A$26,0)),"")=0,"",IFERROR(INDEX('CAT_ACTIVIDADES'!$F$4:$F$26,MATCH($H7,'CAT_ACTIVIDADES'!$A$4:$A$26,0)),"")))</f>
        <v/>
      </c>
      <c r="X7" s="35">
        <f>IF($F7="","",IFERROR(INDEX('CAT_CENTROS_COSTO'!$F$4:$F$28,MATCH($F7,'CAT_CENTROS_COSTO'!$A$4:$A$28,0)),"(sin catálogo)"))</f>
        <v/>
      </c>
      <c r="Y7" s="35">
        <f>IF($F7="","",IFERROR(INDEX('CAT_CENTROS_COSTO'!$D$4:$D$28,MATCH($F7,'CAT_CENTROS_COSTO'!$A$4:$A$28,0)),"(sin catálogo)"))</f>
        <v/>
      </c>
      <c r="Z7" s="35">
        <f>IF($F7="","",IF((IFERROR(INDEX('CAT_CENTROS_COSTO'!$E$4:$E$28,MATCH($F7,'CAT_CENTROS_COSTO'!$A$4:$A$28,0)),""))&lt;&gt;"",IFERROR(INDEX('CAT_CENTROS_COSTO'!$E$4:$E$28,MATCH($F7,'CAT_CENTROS_COSTO'!$A$4:$A$28,0)),""),$Y7))</f>
        <v/>
      </c>
      <c r="AA7" s="35">
        <f>IF($F7="","",IFERROR(INDEX('CAT_CENTROS_COSTO'!$G$4:$G$28,MATCH($F7,'CAT_CENTROS_COSTO'!$A$4:$A$28,0)),"(sin catálogo)"))</f>
        <v/>
      </c>
      <c r="AB7" s="35">
        <f>IF($G7="","",IFERROR(INDEX('CAT_PUESTOS'!$B$4:$B$23,MATCH($G7,'CAT_PUESTOS'!$A$4:$A$23,0)),"(sin catálogo)"))</f>
        <v/>
      </c>
      <c r="AC7" s="35">
        <f>IF($H7="","",IFERROR(INDEX('CAT_ACTIVIDADES'!$B$4:$B$26,MATCH($H7,'CAT_ACTIVIDADES'!$A$4:$A$26,0)),"(sin catálogo)"))</f>
        <v/>
      </c>
      <c r="AD7" s="38">
        <f>IF($J7="","",TODAY()-$J7)</f>
        <v/>
      </c>
      <c r="AE7" s="38">
        <f>IF($J7="","",IF($J7&lt;=TODAY(),COUNTIFS(cal_fechas,"&gt;="&amp;$J7,cal_fechas,"&lt;"&amp;TODAY(),cal_habil,"sí"),-COUNTIFS(cal_fechas,"&gt;="&amp;TODAY(),cal_fechas,"&lt;"&amp;$J7,cal_habil,"sí")))</f>
        <v/>
      </c>
      <c r="AF7" s="35">
        <f>IF($AE7="","",IF($AE7&lt;0,"FUTURO",IF($AE7&gt;p_dias_backlog_max,"BACKLOG","MES CORRIENTE")))</f>
        <v/>
      </c>
      <c r="AG7" s="35">
        <f>IF($AE7="",FALSE,AND($AE7&gt;p_dias_backlog_min,$AE7&lt;=p_dias_backlog_max))</f>
        <v/>
      </c>
      <c r="AH7" s="39" t="inlineStr">
        <is>
          <t>Jorge Díaz</t>
        </is>
      </c>
      <c r="AI7" s="35">
        <f>IF($AH7="","",IF((IFERROR(INDEX('ASIGNACIONES'!$J$4:$J$451,MATCH($O7&amp;"|"&amp;$S7&amp;"|"&amp;$AH7,'ASIGNACIONES'!$N$4:$N$451,0)),""))=0,"",IFERROR(INDEX('ASIGNACIONES'!$J$4:$J$451,MATCH($O7&amp;"|"&amp;$S7&amp;"|"&amp;$AH7,'ASIGNACIONES'!$N$4:$N$451,0)),"")))</f>
        <v/>
      </c>
      <c r="AJ7" s="40">
        <f>IF($AH7="","",SUMIFS('ORDENES'!$M$4:$M$1203,'ORDENES'!$AH$4:$AH$1203,$AH7,'ORDENES'!$O$4:$O$1203,$O7,'ORDENES'!$S$4:$S$1203,$S7))</f>
        <v/>
      </c>
      <c r="AK7" s="40">
        <f>IF($AJ7="","",p_factor_productividad*IFERROR(INDEX('ASIGNACIONES'!$M$4:$M$451,MATCH($O7&amp;"|"&amp;$S7&amp;"|"&amp;$AH7,'ASIGNACIONES'!$N$4:$N$451,0)),0)-$AJ7)</f>
        <v/>
      </c>
      <c r="AL7" s="37">
        <f>IF($A7="","",IFERROR(INDEX('2_IMPORTAR_EJECUCION'!$F$9:$F$1208,MATCH($AU7,'2_IMPORTAR_EJECUCION'!$J$9:$J$1208,0)),0))</f>
        <v/>
      </c>
      <c r="AM7" s="37">
        <f>IF($A7="","",MAX(0,IFERROR(INDEX('2_IMPORTAR_EJECUCION'!$H$9:$H$1208,MATCH($AU7,'2_IMPORTAR_EJECUCION'!$J$9:$J$1208,0)),0)-$AL7))</f>
        <v/>
      </c>
      <c r="AN7" s="37">
        <f>IF($A7="","",$AL7+$AM7)</f>
        <v/>
      </c>
      <c r="AO7" s="35">
        <f>IF($A7="","",IF(OR((IFERROR(INDEX('CAT_ACTIVIDADES'!$D$4:$D$26,MATCH($H7,'CAT_ACTIVIDADES'!$A$4:$A$26,0)),""))=0,(IFERROR(INDEX('CAT_ACTIVIDADES'!$D$4:$D$26,MATCH($H7,'CAT_ACTIVIDADES'!$A$4:$A$26,0)),""))=""),"SIN CLASIFICAR",IFERROR(INDEX('CAT_ACTIVIDADES'!$D$4:$D$26,MATCH($H7,'CAT_ACTIVIDADES'!$A$4:$A$26,0)),"")))</f>
        <v/>
      </c>
      <c r="AP7" s="39" t="inlineStr"/>
      <c r="AQ7" s="39" t="inlineStr"/>
      <c r="AR7" s="39" t="inlineStr"/>
      <c r="AS7" s="35">
        <f>IF($AR7="","",HYPERLINK(p_ruta_base_checklists&amp;$AR7,"abrir"))</f>
        <v/>
      </c>
      <c r="AT7" s="39" t="inlineStr">
        <is>
          <t>EJEMPLO — BORRAR ANTES DE USAR</t>
        </is>
      </c>
      <c r="AU7" s="35">
        <f>IF($A7="","",$A7&amp;IF($B7="","0010",$B7))</f>
        <v/>
      </c>
    </row>
    <row r="8">
      <c r="A8" s="35" t="inlineStr">
        <is>
          <t>OT-EJEMPLO-005</t>
        </is>
      </c>
      <c r="B8" s="35" t="inlineStr">
        <is>
          <t>0010</t>
        </is>
      </c>
      <c r="C8" s="35" t="inlineStr">
        <is>
          <t>EJEMPLO — BORRAR ANTES DE USAR — Análisis predictivo</t>
        </is>
      </c>
      <c r="D8" s="35" t="inlineStr">
        <is>
          <t>EJEMPLO — BORRAR ANTES DE USAR — Análisis predictivo en EQ-EJEMPLO</t>
        </is>
      </c>
      <c r="E8" s="35" t="inlineStr">
        <is>
          <t>EQ-EJEMPLO</t>
        </is>
      </c>
      <c r="F8" s="35" t="inlineStr">
        <is>
          <t>CC-220</t>
        </is>
      </c>
      <c r="G8" s="35" t="inlineStr">
        <is>
          <t>PU-AUT</t>
        </is>
      </c>
      <c r="H8" s="35" t="inlineStr">
        <is>
          <t>ACT-04</t>
        </is>
      </c>
      <c r="I8" s="35" t="inlineStr">
        <is>
          <t>TIPO-P2</t>
        </is>
      </c>
      <c r="J8" s="36" t="n">
        <v>46233</v>
      </c>
      <c r="K8" s="35" t="n">
        <v>6</v>
      </c>
      <c r="L8" s="37" t="n">
        <v>150</v>
      </c>
      <c r="M8" s="35">
        <f>IF($A8="","",IFERROR(INDEX('AJUSTES'!$B$4:$B$303,MATCH($AU8,'AJUSTES'!$A$4:$A$303,0)),IF($K8="","",$K8)))</f>
        <v/>
      </c>
      <c r="N8" s="35">
        <f>IF($A8="","",IFERROR(INDEX('CAT_ESTADOS_ERP'!$B$4:$B$22,MATCH(IFERROR(INDEX('2_IMPORTAR_EJECUCION'!$C$9:$C$1208,MATCH($AU8,'2_IMPORTAR_EJECUCION'!$J$9:$J$1208,0)),""),'CAT_ESTADOS_ERP'!$A$4:$A$22,0)),"Pendiente"))</f>
        <v/>
      </c>
      <c r="O8" s="35">
        <f>IF($J8="","",YEAR($J8+4-WEEKDAY($J8,2))&amp;"-S"&amp;TEXT(_xlfn.ISOWEEKNUM($J8),"00"))</f>
        <v/>
      </c>
      <c r="P8" s="35">
        <f>IF($J8="","",YEAR($J8))</f>
        <v/>
      </c>
      <c r="Q8" s="35">
        <f>IF($J8="","",MONTH($J8))</f>
        <v/>
      </c>
      <c r="R8" s="35">
        <f>IF($J8="","",$P8&amp;"-"&amp;TEXT($Q8,"00"))</f>
        <v/>
      </c>
      <c r="S8" s="35">
        <f>IF($J8="","",INDEX(lista_dias,WEEKDAY($J8,2)))</f>
        <v/>
      </c>
      <c r="T8" s="35">
        <f>IF($J8="","",IFERROR(INDEX('CALENDARIO'!$C$15:$C$214,MATCH(TEXT($J8,"yyyy-mm-dd")&amp;"|"&amp;$Y8&amp;"|"&amp;$Z8,'CALENDARIO'!$G$15:$G$214,0)),IFERROR(INDEX('CALENDARIO'!$C$15:$C$214,MATCH(TEXT($J8,"yyyy-mm-dd")&amp;"|"&amp;$Y8&amp;"|",'CALENDARIO'!$G$15:$G$214,0)),IFERROR(INDEX('CALENDARIO'!$C$15:$C$214,MATCH(TEXT($J8,"yyyy-mm-dd")&amp;"||",'CALENDARIO'!$G$15:$G$214,0)),INDEX(patronHabil,WEEKDAY($J8,2))))))</f>
        <v/>
      </c>
      <c r="U8" s="35">
        <f>IF($I8="","",IFERROR(INDEX('CAT_TIPOS_OT'!$C$4:$C$23,MATCH($I8,'CAT_TIPOS_OT'!$A$4:$A$23,0)),"sin_clasificar"))</f>
        <v/>
      </c>
      <c r="V8" s="35">
        <f>IF($I8="","",IF(IFERROR(INDEX('CAT_TIPOS_OT'!$D$4:$D$23,MATCH($I8,'CAT_TIPOS_OT'!$A$4:$A$23,0)),"SIN CLASIFICAR")="","SIN CLASIFICAR",IFERROR(INDEX('CAT_TIPOS_OT'!$D$4:$D$23,MATCH($I8,'CAT_TIPOS_OT'!$A$4:$A$23,0)),"SIN CLASIFICAR")))</f>
        <v/>
      </c>
      <c r="W8" s="35">
        <f>IF($H8="","",IF(IFERROR(INDEX('CAT_ACTIVIDADES'!$F$4:$F$26,MATCH($H8,'CAT_ACTIVIDADES'!$A$4:$A$26,0)),"")=0,"",IFERROR(INDEX('CAT_ACTIVIDADES'!$F$4:$F$26,MATCH($H8,'CAT_ACTIVIDADES'!$A$4:$A$26,0)),"")))</f>
        <v/>
      </c>
      <c r="X8" s="35">
        <f>IF($F8="","",IFERROR(INDEX('CAT_CENTROS_COSTO'!$F$4:$F$28,MATCH($F8,'CAT_CENTROS_COSTO'!$A$4:$A$28,0)),"(sin catálogo)"))</f>
        <v/>
      </c>
      <c r="Y8" s="35">
        <f>IF($F8="","",IFERROR(INDEX('CAT_CENTROS_COSTO'!$D$4:$D$28,MATCH($F8,'CAT_CENTROS_COSTO'!$A$4:$A$28,0)),"(sin catálogo)"))</f>
        <v/>
      </c>
      <c r="Z8" s="35">
        <f>IF($F8="","",IF((IFERROR(INDEX('CAT_CENTROS_COSTO'!$E$4:$E$28,MATCH($F8,'CAT_CENTROS_COSTO'!$A$4:$A$28,0)),""))&lt;&gt;"",IFERROR(INDEX('CAT_CENTROS_COSTO'!$E$4:$E$28,MATCH($F8,'CAT_CENTROS_COSTO'!$A$4:$A$28,0)),""),$Y8))</f>
        <v/>
      </c>
      <c r="AA8" s="35">
        <f>IF($F8="","",IFERROR(INDEX('CAT_CENTROS_COSTO'!$G$4:$G$28,MATCH($F8,'CAT_CENTROS_COSTO'!$A$4:$A$28,0)),"(sin catálogo)"))</f>
        <v/>
      </c>
      <c r="AB8" s="35">
        <f>IF($G8="","",IFERROR(INDEX('CAT_PUESTOS'!$B$4:$B$23,MATCH($G8,'CAT_PUESTOS'!$A$4:$A$23,0)),"(sin catálogo)"))</f>
        <v/>
      </c>
      <c r="AC8" s="35">
        <f>IF($H8="","",IFERROR(INDEX('CAT_ACTIVIDADES'!$B$4:$B$26,MATCH($H8,'CAT_ACTIVIDADES'!$A$4:$A$26,0)),"(sin catálogo)"))</f>
        <v/>
      </c>
      <c r="AD8" s="38">
        <f>IF($J8="","",TODAY()-$J8)</f>
        <v/>
      </c>
      <c r="AE8" s="38">
        <f>IF($J8="","",IF($J8&lt;=TODAY(),COUNTIFS(cal_fechas,"&gt;="&amp;$J8,cal_fechas,"&lt;"&amp;TODAY(),cal_habil,"sí"),-COUNTIFS(cal_fechas,"&gt;="&amp;TODAY(),cal_fechas,"&lt;"&amp;$J8,cal_habil,"sí")))</f>
        <v/>
      </c>
      <c r="AF8" s="35">
        <f>IF($AE8="","",IF($AE8&lt;0,"FUTURO",IF($AE8&gt;p_dias_backlog_max,"BACKLOG","MES CORRIENTE")))</f>
        <v/>
      </c>
      <c r="AG8" s="35">
        <f>IF($AE8="",FALSE,AND($AE8&gt;p_dias_backlog_min,$AE8&lt;=p_dias_backlog_max))</f>
        <v/>
      </c>
      <c r="AH8" s="39" t="inlineStr">
        <is>
          <t>Daniela Medina</t>
        </is>
      </c>
      <c r="AI8" s="35">
        <f>IF($AH8="","",IF((IFERROR(INDEX('ASIGNACIONES'!$J$4:$J$451,MATCH($O8&amp;"|"&amp;$S8&amp;"|"&amp;$AH8,'ASIGNACIONES'!$N$4:$N$451,0)),""))=0,"",IFERROR(INDEX('ASIGNACIONES'!$J$4:$J$451,MATCH($O8&amp;"|"&amp;$S8&amp;"|"&amp;$AH8,'ASIGNACIONES'!$N$4:$N$451,0)),"")))</f>
        <v/>
      </c>
      <c r="AJ8" s="40">
        <f>IF($AH8="","",SUMIFS('ORDENES'!$M$4:$M$1203,'ORDENES'!$AH$4:$AH$1203,$AH8,'ORDENES'!$O$4:$O$1203,$O8,'ORDENES'!$S$4:$S$1203,$S8))</f>
        <v/>
      </c>
      <c r="AK8" s="40">
        <f>IF($AJ8="","",p_factor_productividad*IFERROR(INDEX('ASIGNACIONES'!$M$4:$M$451,MATCH($O8&amp;"|"&amp;$S8&amp;"|"&amp;$AH8,'ASIGNACIONES'!$N$4:$N$451,0)),0)-$AJ8)</f>
        <v/>
      </c>
      <c r="AL8" s="37">
        <f>IF($A8="","",IFERROR(INDEX('2_IMPORTAR_EJECUCION'!$F$9:$F$1208,MATCH($AU8,'2_IMPORTAR_EJECUCION'!$J$9:$J$1208,0)),0))</f>
        <v/>
      </c>
      <c r="AM8" s="37">
        <f>IF($A8="","",MAX(0,IFERROR(INDEX('2_IMPORTAR_EJECUCION'!$H$9:$H$1208,MATCH($AU8,'2_IMPORTAR_EJECUCION'!$J$9:$J$1208,0)),0)-$AL8))</f>
        <v/>
      </c>
      <c r="AN8" s="37">
        <f>IF($A8="","",$AL8+$AM8)</f>
        <v/>
      </c>
      <c r="AO8" s="35">
        <f>IF($A8="","",IF(OR((IFERROR(INDEX('CAT_ACTIVIDADES'!$D$4:$D$26,MATCH($H8,'CAT_ACTIVIDADES'!$A$4:$A$26,0)),""))=0,(IFERROR(INDEX('CAT_ACTIVIDADES'!$D$4:$D$26,MATCH($H8,'CAT_ACTIVIDADES'!$A$4:$A$26,0)),""))=""),"SIN CLASIFICAR",IFERROR(INDEX('CAT_ACTIVIDADES'!$D$4:$D$26,MATCH($H8,'CAT_ACTIVIDADES'!$A$4:$A$26,0)),"")))</f>
        <v/>
      </c>
      <c r="AP8" s="39" t="inlineStr"/>
      <c r="AQ8" s="39" t="inlineStr"/>
      <c r="AR8" s="39" t="inlineStr"/>
      <c r="AS8" s="35">
        <f>IF($AR8="","",HYPERLINK(p_ruta_base_checklists&amp;$AR8,"abrir"))</f>
        <v/>
      </c>
      <c r="AT8" s="39" t="inlineStr">
        <is>
          <t>EJEMPLO — BORRAR ANTES DE USAR</t>
        </is>
      </c>
      <c r="AU8" s="35">
        <f>IF($A8="","",$A8&amp;IF($B8="","0010",$B8))</f>
        <v/>
      </c>
    </row>
    <row r="9">
      <c r="A9" s="35" t="inlineStr">
        <is>
          <t>OT-EJEMPLO-006</t>
        </is>
      </c>
      <c r="B9" s="35" t="inlineStr">
        <is>
          <t>0010</t>
        </is>
      </c>
      <c r="C9" s="35" t="inlineStr">
        <is>
          <t>EJEMPLO — BORRAR ANTES DE USAR — Reparación de falla</t>
        </is>
      </c>
      <c r="D9" s="35" t="inlineStr">
        <is>
          <t>EJEMPLO — BORRAR ANTES DE USAR — Reparación de falla en EQ-EJEMPLO</t>
        </is>
      </c>
      <c r="E9" s="35" t="inlineStr">
        <is>
          <t>EQ-EJEMPLO</t>
        </is>
      </c>
      <c r="F9" s="35" t="inlineStr">
        <is>
          <t>CC-210</t>
        </is>
      </c>
      <c r="G9" s="35" t="inlineStr">
        <is>
          <t>PU-MEC</t>
        </is>
      </c>
      <c r="H9" s="35" t="inlineStr">
        <is>
          <t>ACT-03</t>
        </is>
      </c>
      <c r="I9" s="35" t="inlineStr">
        <is>
          <t>TIPO-C2</t>
        </is>
      </c>
      <c r="J9" s="36" t="n">
        <v>46234</v>
      </c>
      <c r="K9" s="35" t="n">
        <v>3</v>
      </c>
      <c r="L9" s="37" t="n">
        <v>120</v>
      </c>
      <c r="M9" s="35">
        <f>IF($A9="","",IFERROR(INDEX('AJUSTES'!$B$4:$B$303,MATCH($AU9,'AJUSTES'!$A$4:$A$303,0)),IF($K9="","",$K9)))</f>
        <v/>
      </c>
      <c r="N9" s="35">
        <f>IF($A9="","",IFERROR(INDEX('CAT_ESTADOS_ERP'!$B$4:$B$22,MATCH(IFERROR(INDEX('2_IMPORTAR_EJECUCION'!$C$9:$C$1208,MATCH($AU9,'2_IMPORTAR_EJECUCION'!$J$9:$J$1208,0)),""),'CAT_ESTADOS_ERP'!$A$4:$A$22,0)),"Pendiente"))</f>
        <v/>
      </c>
      <c r="O9" s="35">
        <f>IF($J9="","",YEAR($J9+4-WEEKDAY($J9,2))&amp;"-S"&amp;TEXT(_xlfn.ISOWEEKNUM($J9),"00"))</f>
        <v/>
      </c>
      <c r="P9" s="35">
        <f>IF($J9="","",YEAR($J9))</f>
        <v/>
      </c>
      <c r="Q9" s="35">
        <f>IF($J9="","",MONTH($J9))</f>
        <v/>
      </c>
      <c r="R9" s="35">
        <f>IF($J9="","",$P9&amp;"-"&amp;TEXT($Q9,"00"))</f>
        <v/>
      </c>
      <c r="S9" s="35">
        <f>IF($J9="","",INDEX(lista_dias,WEEKDAY($J9,2)))</f>
        <v/>
      </c>
      <c r="T9" s="35">
        <f>IF($J9="","",IFERROR(INDEX('CALENDARIO'!$C$15:$C$214,MATCH(TEXT($J9,"yyyy-mm-dd")&amp;"|"&amp;$Y9&amp;"|"&amp;$Z9,'CALENDARIO'!$G$15:$G$214,0)),IFERROR(INDEX('CALENDARIO'!$C$15:$C$214,MATCH(TEXT($J9,"yyyy-mm-dd")&amp;"|"&amp;$Y9&amp;"|",'CALENDARIO'!$G$15:$G$214,0)),IFERROR(INDEX('CALENDARIO'!$C$15:$C$214,MATCH(TEXT($J9,"yyyy-mm-dd")&amp;"||",'CALENDARIO'!$G$15:$G$214,0)),INDEX(patronHabil,WEEKDAY($J9,2))))))</f>
        <v/>
      </c>
      <c r="U9" s="35">
        <f>IF($I9="","",IFERROR(INDEX('CAT_TIPOS_OT'!$C$4:$C$23,MATCH($I9,'CAT_TIPOS_OT'!$A$4:$A$23,0)),"sin_clasificar"))</f>
        <v/>
      </c>
      <c r="V9" s="35">
        <f>IF($I9="","",IF(IFERROR(INDEX('CAT_TIPOS_OT'!$D$4:$D$23,MATCH($I9,'CAT_TIPOS_OT'!$A$4:$A$23,0)),"SIN CLASIFICAR")="","SIN CLASIFICAR",IFERROR(INDEX('CAT_TIPOS_OT'!$D$4:$D$23,MATCH($I9,'CAT_TIPOS_OT'!$A$4:$A$23,0)),"SIN CLASIFICAR")))</f>
        <v/>
      </c>
      <c r="W9" s="35">
        <f>IF($H9="","",IF(IFERROR(INDEX('CAT_ACTIVIDADES'!$F$4:$F$26,MATCH($H9,'CAT_ACTIVIDADES'!$A$4:$A$26,0)),"")=0,"",IFERROR(INDEX('CAT_ACTIVIDADES'!$F$4:$F$26,MATCH($H9,'CAT_ACTIVIDADES'!$A$4:$A$26,0)),"")))</f>
        <v/>
      </c>
      <c r="X9" s="35">
        <f>IF($F9="","",IFERROR(INDEX('CAT_CENTROS_COSTO'!$F$4:$F$28,MATCH($F9,'CAT_CENTROS_COSTO'!$A$4:$A$28,0)),"(sin catálogo)"))</f>
        <v/>
      </c>
      <c r="Y9" s="35">
        <f>IF($F9="","",IFERROR(INDEX('CAT_CENTROS_COSTO'!$D$4:$D$28,MATCH($F9,'CAT_CENTROS_COSTO'!$A$4:$A$28,0)),"(sin catálogo)"))</f>
        <v/>
      </c>
      <c r="Z9" s="35">
        <f>IF($F9="","",IF((IFERROR(INDEX('CAT_CENTROS_COSTO'!$E$4:$E$28,MATCH($F9,'CAT_CENTROS_COSTO'!$A$4:$A$28,0)),""))&lt;&gt;"",IFERROR(INDEX('CAT_CENTROS_COSTO'!$E$4:$E$28,MATCH($F9,'CAT_CENTROS_COSTO'!$A$4:$A$28,0)),""),$Y9))</f>
        <v/>
      </c>
      <c r="AA9" s="35">
        <f>IF($F9="","",IFERROR(INDEX('CAT_CENTROS_COSTO'!$G$4:$G$28,MATCH($F9,'CAT_CENTROS_COSTO'!$A$4:$A$28,0)),"(sin catálogo)"))</f>
        <v/>
      </c>
      <c r="AB9" s="35">
        <f>IF($G9="","",IFERROR(INDEX('CAT_PUESTOS'!$B$4:$B$23,MATCH($G9,'CAT_PUESTOS'!$A$4:$A$23,0)),"(sin catálogo)"))</f>
        <v/>
      </c>
      <c r="AC9" s="35">
        <f>IF($H9="","",IFERROR(INDEX('CAT_ACTIVIDADES'!$B$4:$B$26,MATCH($H9,'CAT_ACTIVIDADES'!$A$4:$A$26,0)),"(sin catálogo)"))</f>
        <v/>
      </c>
      <c r="AD9" s="38">
        <f>IF($J9="","",TODAY()-$J9)</f>
        <v/>
      </c>
      <c r="AE9" s="38">
        <f>IF($J9="","",IF($J9&lt;=TODAY(),COUNTIFS(cal_fechas,"&gt;="&amp;$J9,cal_fechas,"&lt;"&amp;TODAY(),cal_habil,"sí"),-COUNTIFS(cal_fechas,"&gt;="&amp;TODAY(),cal_fechas,"&lt;"&amp;$J9,cal_habil,"sí")))</f>
        <v/>
      </c>
      <c r="AF9" s="35">
        <f>IF($AE9="","",IF($AE9&lt;0,"FUTURO",IF($AE9&gt;p_dias_backlog_max,"BACKLOG","MES CORRIENTE")))</f>
        <v/>
      </c>
      <c r="AG9" s="35">
        <f>IF($AE9="",FALSE,AND($AE9&gt;p_dias_backlog_min,$AE9&lt;=p_dias_backlog_max))</f>
        <v/>
      </c>
      <c r="AH9" s="39" t="inlineStr">
        <is>
          <t>Carlos Pérez</t>
        </is>
      </c>
      <c r="AI9" s="35">
        <f>IF($AH9="","",IF((IFERROR(INDEX('ASIGNACIONES'!$J$4:$J$451,MATCH($O9&amp;"|"&amp;$S9&amp;"|"&amp;$AH9,'ASIGNACIONES'!$N$4:$N$451,0)),""))=0,"",IFERROR(INDEX('ASIGNACIONES'!$J$4:$J$451,MATCH($O9&amp;"|"&amp;$S9&amp;"|"&amp;$AH9,'ASIGNACIONES'!$N$4:$N$451,0)),"")))</f>
        <v/>
      </c>
      <c r="AJ9" s="40">
        <f>IF($AH9="","",SUMIFS('ORDENES'!$M$4:$M$1203,'ORDENES'!$AH$4:$AH$1203,$AH9,'ORDENES'!$O$4:$O$1203,$O9,'ORDENES'!$S$4:$S$1203,$S9))</f>
        <v/>
      </c>
      <c r="AK9" s="40">
        <f>IF($AJ9="","",p_factor_productividad*IFERROR(INDEX('ASIGNACIONES'!$M$4:$M$451,MATCH($O9&amp;"|"&amp;$S9&amp;"|"&amp;$AH9,'ASIGNACIONES'!$N$4:$N$451,0)),0)-$AJ9)</f>
        <v/>
      </c>
      <c r="AL9" s="37">
        <f>IF($A9="","",IFERROR(INDEX('2_IMPORTAR_EJECUCION'!$F$9:$F$1208,MATCH($AU9,'2_IMPORTAR_EJECUCION'!$J$9:$J$1208,0)),0))</f>
        <v/>
      </c>
      <c r="AM9" s="37">
        <f>IF($A9="","",MAX(0,IFERROR(INDEX('2_IMPORTAR_EJECUCION'!$H$9:$H$1208,MATCH($AU9,'2_IMPORTAR_EJECUCION'!$J$9:$J$1208,0)),0)-$AL9))</f>
        <v/>
      </c>
      <c r="AN9" s="37">
        <f>IF($A9="","",$AL9+$AM9)</f>
        <v/>
      </c>
      <c r="AO9" s="35">
        <f>IF($A9="","",IF(OR((IFERROR(INDEX('CAT_ACTIVIDADES'!$D$4:$D$26,MATCH($H9,'CAT_ACTIVIDADES'!$A$4:$A$26,0)),""))=0,(IFERROR(INDEX('CAT_ACTIVIDADES'!$D$4:$D$26,MATCH($H9,'CAT_ACTIVIDADES'!$A$4:$A$26,0)),""))=""),"SIN CLASIFICAR",IFERROR(INDEX('CAT_ACTIVIDADES'!$D$4:$D$26,MATCH($H9,'CAT_ACTIVIDADES'!$A$4:$A$26,0)),"")))</f>
        <v/>
      </c>
      <c r="AP9" s="39" t="inlineStr"/>
      <c r="AQ9" s="39" t="inlineStr"/>
      <c r="AR9" s="39" t="inlineStr"/>
      <c r="AS9" s="35">
        <f>IF($AR9="","",HYPERLINK(p_ruta_base_checklists&amp;$AR9,"abrir"))</f>
        <v/>
      </c>
      <c r="AT9" s="39" t="inlineStr">
        <is>
          <t>EJEMPLO — BORRAR ANTES DE USAR</t>
        </is>
      </c>
      <c r="AU9" s="35">
        <f>IF($A9="","",$A9&amp;IF($B9="","0010",$B9))</f>
        <v/>
      </c>
    </row>
    <row r="10">
      <c r="A10" s="35" t="inlineStr">
        <is>
          <t>OT-EJEMPLO-007</t>
        </is>
      </c>
      <c r="B10" s="35" t="inlineStr">
        <is>
          <t>0010</t>
        </is>
      </c>
      <c r="C10" s="35" t="inlineStr">
        <is>
          <t>EJEMPLO — BORRAR ANTES DE USAR — Inspección de rutina</t>
        </is>
      </c>
      <c r="D10" s="35" t="inlineStr">
        <is>
          <t>EJEMPLO — BORRAR ANTES DE USAR — Inspección de rutina en EQ-EJEMPLO</t>
        </is>
      </c>
      <c r="E10" s="35" t="inlineStr">
        <is>
          <t>EQ-EJEMPLO</t>
        </is>
      </c>
      <c r="F10" s="35" t="inlineStr">
        <is>
          <t>CC-120</t>
        </is>
      </c>
      <c r="G10" s="35" t="inlineStr">
        <is>
          <t>PU-ELE</t>
        </is>
      </c>
      <c r="H10" s="35" t="inlineStr">
        <is>
          <t>ACT-01</t>
        </is>
      </c>
      <c r="I10" s="35" t="inlineStr">
        <is>
          <t>TIPO-P1</t>
        </is>
      </c>
      <c r="J10" s="36" t="n">
        <v>46238</v>
      </c>
      <c r="K10" s="35" t="n">
        <v>4</v>
      </c>
      <c r="L10" s="37" t="n">
        <v>100</v>
      </c>
      <c r="M10" s="35">
        <f>IF($A10="","",IFERROR(INDEX('AJUSTES'!$B$4:$B$303,MATCH($AU10,'AJUSTES'!$A$4:$A$303,0)),IF($K10="","",$K10)))</f>
        <v/>
      </c>
      <c r="N10" s="35">
        <f>IF($A10="","",IFERROR(INDEX('CAT_ESTADOS_ERP'!$B$4:$B$22,MATCH(IFERROR(INDEX('2_IMPORTAR_EJECUCION'!$C$9:$C$1208,MATCH($AU10,'2_IMPORTAR_EJECUCION'!$J$9:$J$1208,0)),""),'CAT_ESTADOS_ERP'!$A$4:$A$22,0)),"Pendiente"))</f>
        <v/>
      </c>
      <c r="O10" s="35">
        <f>IF($J10="","",YEAR($J10+4-WEEKDAY($J10,2))&amp;"-S"&amp;TEXT(_xlfn.ISOWEEKNUM($J10),"00"))</f>
        <v/>
      </c>
      <c r="P10" s="35">
        <f>IF($J10="","",YEAR($J10))</f>
        <v/>
      </c>
      <c r="Q10" s="35">
        <f>IF($J10="","",MONTH($J10))</f>
        <v/>
      </c>
      <c r="R10" s="35">
        <f>IF($J10="","",$P10&amp;"-"&amp;TEXT($Q10,"00"))</f>
        <v/>
      </c>
      <c r="S10" s="35">
        <f>IF($J10="","",INDEX(lista_dias,WEEKDAY($J10,2)))</f>
        <v/>
      </c>
      <c r="T10" s="35">
        <f>IF($J10="","",IFERROR(INDEX('CALENDARIO'!$C$15:$C$214,MATCH(TEXT($J10,"yyyy-mm-dd")&amp;"|"&amp;$Y10&amp;"|"&amp;$Z10,'CALENDARIO'!$G$15:$G$214,0)),IFERROR(INDEX('CALENDARIO'!$C$15:$C$214,MATCH(TEXT($J10,"yyyy-mm-dd")&amp;"|"&amp;$Y10&amp;"|",'CALENDARIO'!$G$15:$G$214,0)),IFERROR(INDEX('CALENDARIO'!$C$15:$C$214,MATCH(TEXT($J10,"yyyy-mm-dd")&amp;"||",'CALENDARIO'!$G$15:$G$214,0)),INDEX(patronHabil,WEEKDAY($J10,2))))))</f>
        <v/>
      </c>
      <c r="U10" s="35">
        <f>IF($I10="","",IFERROR(INDEX('CAT_TIPOS_OT'!$C$4:$C$23,MATCH($I10,'CAT_TIPOS_OT'!$A$4:$A$23,0)),"sin_clasificar"))</f>
        <v/>
      </c>
      <c r="V10" s="35">
        <f>IF($I10="","",IF(IFERROR(INDEX('CAT_TIPOS_OT'!$D$4:$D$23,MATCH($I10,'CAT_TIPOS_OT'!$A$4:$A$23,0)),"SIN CLASIFICAR")="","SIN CLASIFICAR",IFERROR(INDEX('CAT_TIPOS_OT'!$D$4:$D$23,MATCH($I10,'CAT_TIPOS_OT'!$A$4:$A$23,0)),"SIN CLASIFICAR")))</f>
        <v/>
      </c>
      <c r="W10" s="35">
        <f>IF($H10="","",IF(IFERROR(INDEX('CAT_ACTIVIDADES'!$F$4:$F$26,MATCH($H10,'CAT_ACTIVIDADES'!$A$4:$A$26,0)),"")=0,"",IFERROR(INDEX('CAT_ACTIVIDADES'!$F$4:$F$26,MATCH($H10,'CAT_ACTIVIDADES'!$A$4:$A$26,0)),"")))</f>
        <v/>
      </c>
      <c r="X10" s="35">
        <f>IF($F10="","",IFERROR(INDEX('CAT_CENTROS_COSTO'!$F$4:$F$28,MATCH($F10,'CAT_CENTROS_COSTO'!$A$4:$A$28,0)),"(sin catálogo)"))</f>
        <v/>
      </c>
      <c r="Y10" s="35">
        <f>IF($F10="","",IFERROR(INDEX('CAT_CENTROS_COSTO'!$D$4:$D$28,MATCH($F10,'CAT_CENTROS_COSTO'!$A$4:$A$28,0)),"(sin catálogo)"))</f>
        <v/>
      </c>
      <c r="Z10" s="35">
        <f>IF($F10="","",IF((IFERROR(INDEX('CAT_CENTROS_COSTO'!$E$4:$E$28,MATCH($F10,'CAT_CENTROS_COSTO'!$A$4:$A$28,0)),""))&lt;&gt;"",IFERROR(INDEX('CAT_CENTROS_COSTO'!$E$4:$E$28,MATCH($F10,'CAT_CENTROS_COSTO'!$A$4:$A$28,0)),""),$Y10))</f>
        <v/>
      </c>
      <c r="AA10" s="35">
        <f>IF($F10="","",IFERROR(INDEX('CAT_CENTROS_COSTO'!$G$4:$G$28,MATCH($F10,'CAT_CENTROS_COSTO'!$A$4:$A$28,0)),"(sin catálogo)"))</f>
        <v/>
      </c>
      <c r="AB10" s="35">
        <f>IF($G10="","",IFERROR(INDEX('CAT_PUESTOS'!$B$4:$B$23,MATCH($G10,'CAT_PUESTOS'!$A$4:$A$23,0)),"(sin catálogo)"))</f>
        <v/>
      </c>
      <c r="AC10" s="35">
        <f>IF($H10="","",IFERROR(INDEX('CAT_ACTIVIDADES'!$B$4:$B$26,MATCH($H10,'CAT_ACTIVIDADES'!$A$4:$A$26,0)),"(sin catálogo)"))</f>
        <v/>
      </c>
      <c r="AD10" s="38">
        <f>IF($J10="","",TODAY()-$J10)</f>
        <v/>
      </c>
      <c r="AE10" s="38">
        <f>IF($J10="","",IF($J10&lt;=TODAY(),COUNTIFS(cal_fechas,"&gt;="&amp;$J10,cal_fechas,"&lt;"&amp;TODAY(),cal_habil,"sí"),-COUNTIFS(cal_fechas,"&gt;="&amp;TODAY(),cal_fechas,"&lt;"&amp;$J10,cal_habil,"sí")))</f>
        <v/>
      </c>
      <c r="AF10" s="35">
        <f>IF($AE10="","",IF($AE10&lt;0,"FUTURO",IF($AE10&gt;p_dias_backlog_max,"BACKLOG","MES CORRIENTE")))</f>
        <v/>
      </c>
      <c r="AG10" s="35">
        <f>IF($AE10="",FALSE,AND($AE10&gt;p_dias_backlog_min,$AE10&lt;=p_dias_backlog_max))</f>
        <v/>
      </c>
      <c r="AH10" s="39" t="inlineStr">
        <is>
          <t>Jorge Díaz</t>
        </is>
      </c>
      <c r="AI10" s="35">
        <f>IF($AH10="","",IF((IFERROR(INDEX('ASIGNACIONES'!$J$4:$J$451,MATCH($O10&amp;"|"&amp;$S10&amp;"|"&amp;$AH10,'ASIGNACIONES'!$N$4:$N$451,0)),""))=0,"",IFERROR(INDEX('ASIGNACIONES'!$J$4:$J$451,MATCH($O10&amp;"|"&amp;$S10&amp;"|"&amp;$AH10,'ASIGNACIONES'!$N$4:$N$451,0)),"")))</f>
        <v/>
      </c>
      <c r="AJ10" s="40">
        <f>IF($AH10="","",SUMIFS('ORDENES'!$M$4:$M$1203,'ORDENES'!$AH$4:$AH$1203,$AH10,'ORDENES'!$O$4:$O$1203,$O10,'ORDENES'!$S$4:$S$1203,$S10))</f>
        <v/>
      </c>
      <c r="AK10" s="40">
        <f>IF($AJ10="","",p_factor_productividad*IFERROR(INDEX('ASIGNACIONES'!$M$4:$M$451,MATCH($O10&amp;"|"&amp;$S10&amp;"|"&amp;$AH10,'ASIGNACIONES'!$N$4:$N$451,0)),0)-$AJ10)</f>
        <v/>
      </c>
      <c r="AL10" s="37">
        <f>IF($A10="","",IFERROR(INDEX('2_IMPORTAR_EJECUCION'!$F$9:$F$1208,MATCH($AU10,'2_IMPORTAR_EJECUCION'!$J$9:$J$1208,0)),0))</f>
        <v/>
      </c>
      <c r="AM10" s="37">
        <f>IF($A10="","",MAX(0,IFERROR(INDEX('2_IMPORTAR_EJECUCION'!$H$9:$H$1208,MATCH($AU10,'2_IMPORTAR_EJECUCION'!$J$9:$J$1208,0)),0)-$AL10))</f>
        <v/>
      </c>
      <c r="AN10" s="37">
        <f>IF($A10="","",$AL10+$AM10)</f>
        <v/>
      </c>
      <c r="AO10" s="35">
        <f>IF($A10="","",IF(OR((IFERROR(INDEX('CAT_ACTIVIDADES'!$D$4:$D$26,MATCH($H10,'CAT_ACTIVIDADES'!$A$4:$A$26,0)),""))=0,(IFERROR(INDEX('CAT_ACTIVIDADES'!$D$4:$D$26,MATCH($H10,'CAT_ACTIVIDADES'!$A$4:$A$26,0)),""))=""),"SIN CLASIFICAR",IFERROR(INDEX('CAT_ACTIVIDADES'!$D$4:$D$26,MATCH($H10,'CAT_ACTIVIDADES'!$A$4:$A$26,0)),"")))</f>
        <v/>
      </c>
      <c r="AP10" s="39" t="inlineStr"/>
      <c r="AQ10" s="39" t="inlineStr"/>
      <c r="AR10" s="39" t="inlineStr"/>
      <c r="AS10" s="35">
        <f>IF($AR10="","",HYPERLINK(p_ruta_base_checklists&amp;$AR10,"abrir"))</f>
        <v/>
      </c>
      <c r="AT10" s="39" t="inlineStr">
        <is>
          <t>EJEMPLO — BORRAR ANTES DE USAR</t>
        </is>
      </c>
      <c r="AU10" s="35">
        <f>IF($A10="","",$A10&amp;IF($B10="","0010",$B10))</f>
        <v/>
      </c>
    </row>
    <row r="11">
      <c r="A11" s="35" t="inlineStr">
        <is>
          <t>OT-EJEMPLO-008</t>
        </is>
      </c>
      <c r="B11" s="35" t="inlineStr">
        <is>
          <t>0010</t>
        </is>
      </c>
      <c r="C11" s="35" t="inlineStr">
        <is>
          <t>EJEMPLO — BORRAR ANTES DE USAR — Certificación legal</t>
        </is>
      </c>
      <c r="D11" s="35" t="inlineStr">
        <is>
          <t>EJEMPLO — BORRAR ANTES DE USAR — Certificación legal en EQ-EJEMPLO</t>
        </is>
      </c>
      <c r="E11" s="35" t="inlineStr">
        <is>
          <t>EQ-EJEMPLO</t>
        </is>
      </c>
      <c r="F11" s="35" t="inlineStr">
        <is>
          <t>CC-310</t>
        </is>
      </c>
      <c r="G11" s="35" t="inlineStr">
        <is>
          <t>PU-TER</t>
        </is>
      </c>
      <c r="H11" s="35" t="inlineStr">
        <is>
          <t>ACT-05</t>
        </is>
      </c>
      <c r="I11" s="35" t="inlineStr">
        <is>
          <t>TIPO-P3</t>
        </is>
      </c>
      <c r="J11" s="36" t="n">
        <v>46239</v>
      </c>
      <c r="K11" s="35" t="n">
        <v>8</v>
      </c>
      <c r="L11" s="37" t="n">
        <v>200</v>
      </c>
      <c r="M11" s="35">
        <f>IF($A11="","",IFERROR(INDEX('AJUSTES'!$B$4:$B$303,MATCH($AU11,'AJUSTES'!$A$4:$A$303,0)),IF($K11="","",$K11)))</f>
        <v/>
      </c>
      <c r="N11" s="35">
        <f>IF($A11="","",IFERROR(INDEX('CAT_ESTADOS_ERP'!$B$4:$B$22,MATCH(IFERROR(INDEX('2_IMPORTAR_EJECUCION'!$C$9:$C$1208,MATCH($AU11,'2_IMPORTAR_EJECUCION'!$J$9:$J$1208,0)),""),'CAT_ESTADOS_ERP'!$A$4:$A$22,0)),"Pendiente"))</f>
        <v/>
      </c>
      <c r="O11" s="35">
        <f>IF($J11="","",YEAR($J11+4-WEEKDAY($J11,2))&amp;"-S"&amp;TEXT(_xlfn.ISOWEEKNUM($J11),"00"))</f>
        <v/>
      </c>
      <c r="P11" s="35">
        <f>IF($J11="","",YEAR($J11))</f>
        <v/>
      </c>
      <c r="Q11" s="35">
        <f>IF($J11="","",MONTH($J11))</f>
        <v/>
      </c>
      <c r="R11" s="35">
        <f>IF($J11="","",$P11&amp;"-"&amp;TEXT($Q11,"00"))</f>
        <v/>
      </c>
      <c r="S11" s="35">
        <f>IF($J11="","",INDEX(lista_dias,WEEKDAY($J11,2)))</f>
        <v/>
      </c>
      <c r="T11" s="35">
        <f>IF($J11="","",IFERROR(INDEX('CALENDARIO'!$C$15:$C$214,MATCH(TEXT($J11,"yyyy-mm-dd")&amp;"|"&amp;$Y11&amp;"|"&amp;$Z11,'CALENDARIO'!$G$15:$G$214,0)),IFERROR(INDEX('CALENDARIO'!$C$15:$C$214,MATCH(TEXT($J11,"yyyy-mm-dd")&amp;"|"&amp;$Y11&amp;"|",'CALENDARIO'!$G$15:$G$214,0)),IFERROR(INDEX('CALENDARIO'!$C$15:$C$214,MATCH(TEXT($J11,"yyyy-mm-dd")&amp;"||",'CALENDARIO'!$G$15:$G$214,0)),INDEX(patronHabil,WEEKDAY($J11,2))))))</f>
        <v/>
      </c>
      <c r="U11" s="35">
        <f>IF($I11="","",IFERROR(INDEX('CAT_TIPOS_OT'!$C$4:$C$23,MATCH($I11,'CAT_TIPOS_OT'!$A$4:$A$23,0)),"sin_clasificar"))</f>
        <v/>
      </c>
      <c r="V11" s="35">
        <f>IF($I11="","",IF(IFERROR(INDEX('CAT_TIPOS_OT'!$D$4:$D$23,MATCH($I11,'CAT_TIPOS_OT'!$A$4:$A$23,0)),"SIN CLASIFICAR")="","SIN CLASIFICAR",IFERROR(INDEX('CAT_TIPOS_OT'!$D$4:$D$23,MATCH($I11,'CAT_TIPOS_OT'!$A$4:$A$23,0)),"SIN CLASIFICAR")))</f>
        <v/>
      </c>
      <c r="W11" s="35">
        <f>IF($H11="","",IF(IFERROR(INDEX('CAT_ACTIVIDADES'!$F$4:$F$26,MATCH($H11,'CAT_ACTIVIDADES'!$A$4:$A$26,0)),"")=0,"",IFERROR(INDEX('CAT_ACTIVIDADES'!$F$4:$F$26,MATCH($H11,'CAT_ACTIVIDADES'!$A$4:$A$26,0)),"")))</f>
        <v/>
      </c>
      <c r="X11" s="35">
        <f>IF($F11="","",IFERROR(INDEX('CAT_CENTROS_COSTO'!$F$4:$F$28,MATCH($F11,'CAT_CENTROS_COSTO'!$A$4:$A$28,0)),"(sin catálogo)"))</f>
        <v/>
      </c>
      <c r="Y11" s="35">
        <f>IF($F11="","",IFERROR(INDEX('CAT_CENTROS_COSTO'!$D$4:$D$28,MATCH($F11,'CAT_CENTROS_COSTO'!$A$4:$A$28,0)),"(sin catálogo)"))</f>
        <v/>
      </c>
      <c r="Z11" s="35">
        <f>IF($F11="","",IF((IFERROR(INDEX('CAT_CENTROS_COSTO'!$E$4:$E$28,MATCH($F11,'CAT_CENTROS_COSTO'!$A$4:$A$28,0)),""))&lt;&gt;"",IFERROR(INDEX('CAT_CENTROS_COSTO'!$E$4:$E$28,MATCH($F11,'CAT_CENTROS_COSTO'!$A$4:$A$28,0)),""),$Y11))</f>
        <v/>
      </c>
      <c r="AA11" s="35">
        <f>IF($F11="","",IFERROR(INDEX('CAT_CENTROS_COSTO'!$G$4:$G$28,MATCH($F11,'CAT_CENTROS_COSTO'!$A$4:$A$28,0)),"(sin catálogo)"))</f>
        <v/>
      </c>
      <c r="AB11" s="35">
        <f>IF($G11="","",IFERROR(INDEX('CAT_PUESTOS'!$B$4:$B$23,MATCH($G11,'CAT_PUESTOS'!$A$4:$A$23,0)),"(sin catálogo)"))</f>
        <v/>
      </c>
      <c r="AC11" s="35">
        <f>IF($H11="","",IFERROR(INDEX('CAT_ACTIVIDADES'!$B$4:$B$26,MATCH($H11,'CAT_ACTIVIDADES'!$A$4:$A$26,0)),"(sin catálogo)"))</f>
        <v/>
      </c>
      <c r="AD11" s="38">
        <f>IF($J11="","",TODAY()-$J11)</f>
        <v/>
      </c>
      <c r="AE11" s="38">
        <f>IF($J11="","",IF($J11&lt;=TODAY(),COUNTIFS(cal_fechas,"&gt;="&amp;$J11,cal_fechas,"&lt;"&amp;TODAY(),cal_habil,"sí"),-COUNTIFS(cal_fechas,"&gt;="&amp;TODAY(),cal_fechas,"&lt;"&amp;$J11,cal_habil,"sí")))</f>
        <v/>
      </c>
      <c r="AF11" s="35">
        <f>IF($AE11="","",IF($AE11&lt;0,"FUTURO",IF($AE11&gt;p_dias_backlog_max,"BACKLOG","MES CORRIENTE")))</f>
        <v/>
      </c>
      <c r="AG11" s="35">
        <f>IF($AE11="",FALSE,AND($AE11&gt;p_dias_backlog_min,$AE11&lt;=p_dias_backlog_max))</f>
        <v/>
      </c>
      <c r="AH11" s="39" t="inlineStr"/>
      <c r="AI11" s="35">
        <f>IF($AH11="","",IF((IFERROR(INDEX('ASIGNACIONES'!$J$4:$J$451,MATCH($O11&amp;"|"&amp;$S11&amp;"|"&amp;$AH11,'ASIGNACIONES'!$N$4:$N$451,0)),""))=0,"",IFERROR(INDEX('ASIGNACIONES'!$J$4:$J$451,MATCH($O11&amp;"|"&amp;$S11&amp;"|"&amp;$AH11,'ASIGNACIONES'!$N$4:$N$451,0)),"")))</f>
        <v/>
      </c>
      <c r="AJ11" s="40">
        <f>IF($AH11="","",SUMIFS('ORDENES'!$M$4:$M$1203,'ORDENES'!$AH$4:$AH$1203,$AH11,'ORDENES'!$O$4:$O$1203,$O11,'ORDENES'!$S$4:$S$1203,$S11))</f>
        <v/>
      </c>
      <c r="AK11" s="40">
        <f>IF($AJ11="","",p_factor_productividad*IFERROR(INDEX('ASIGNACIONES'!$M$4:$M$451,MATCH($O11&amp;"|"&amp;$S11&amp;"|"&amp;$AH11,'ASIGNACIONES'!$N$4:$N$451,0)),0)-$AJ11)</f>
        <v/>
      </c>
      <c r="AL11" s="37">
        <f>IF($A11="","",IFERROR(INDEX('2_IMPORTAR_EJECUCION'!$F$9:$F$1208,MATCH($AU11,'2_IMPORTAR_EJECUCION'!$J$9:$J$1208,0)),0))</f>
        <v/>
      </c>
      <c r="AM11" s="37">
        <f>IF($A11="","",MAX(0,IFERROR(INDEX('2_IMPORTAR_EJECUCION'!$H$9:$H$1208,MATCH($AU11,'2_IMPORTAR_EJECUCION'!$J$9:$J$1208,0)),0)-$AL11))</f>
        <v/>
      </c>
      <c r="AN11" s="37">
        <f>IF($A11="","",$AL11+$AM11)</f>
        <v/>
      </c>
      <c r="AO11" s="35">
        <f>IF($A11="","",IF(OR((IFERROR(INDEX('CAT_ACTIVIDADES'!$D$4:$D$26,MATCH($H11,'CAT_ACTIVIDADES'!$A$4:$A$26,0)),""))=0,(IFERROR(INDEX('CAT_ACTIVIDADES'!$D$4:$D$26,MATCH($H11,'CAT_ACTIVIDADES'!$A$4:$A$26,0)),""))=""),"SIN CLASIFICAR",IFERROR(INDEX('CAT_ACTIVIDADES'!$D$4:$D$26,MATCH($H11,'CAT_ACTIVIDADES'!$A$4:$A$26,0)),"")))</f>
        <v/>
      </c>
      <c r="AP11" s="39" t="inlineStr"/>
      <c r="AQ11" s="39" t="inlineStr"/>
      <c r="AR11" s="39" t="inlineStr"/>
      <c r="AS11" s="35">
        <f>IF($AR11="","",HYPERLINK(p_ruta_base_checklists&amp;$AR11,"abrir"))</f>
        <v/>
      </c>
      <c r="AT11" s="39" t="inlineStr">
        <is>
          <t>EJEMPLO — BORRAR ANTES DE USAR</t>
        </is>
      </c>
      <c r="AU11" s="35">
        <f>IF($A11="","",$A11&amp;IF($B11="","0010",$B11))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1" t="n"/>
      <c r="K12" s="5" t="n"/>
      <c r="L12" s="18" t="n"/>
      <c r="M12" s="24">
        <f>IF($A12="","",IFERROR(INDEX('AJUSTES'!$B$4:$B$303,MATCH($AU12,'AJUSTES'!$A$4:$A$303,0)),IF($K12="","",$K12)))</f>
        <v/>
      </c>
      <c r="N12" s="24">
        <f>IF($A12="","",IFERROR(INDEX('CAT_ESTADOS_ERP'!$B$4:$B$22,MATCH(IFERROR(INDEX('2_IMPORTAR_EJECUCION'!$C$9:$C$1208,MATCH($AU12,'2_IMPORTAR_EJECUCION'!$J$9:$J$1208,0)),""),'CAT_ESTADOS_ERP'!$A$4:$A$22,0)),"Pendiente"))</f>
        <v/>
      </c>
      <c r="O12" s="24">
        <f>IF($J12="","",YEAR($J12+4-WEEKDAY($J12,2))&amp;"-S"&amp;TEXT(_xlfn.ISOWEEKNUM($J12),"00"))</f>
        <v/>
      </c>
      <c r="P12" s="24">
        <f>IF($J12="","",YEAR($J12))</f>
        <v/>
      </c>
      <c r="Q12" s="24">
        <f>IF($J12="","",MONTH($J12))</f>
        <v/>
      </c>
      <c r="R12" s="24">
        <f>IF($J12="","",$P12&amp;"-"&amp;TEXT($Q12,"00"))</f>
        <v/>
      </c>
      <c r="S12" s="24">
        <f>IF($J12="","",INDEX(lista_dias,WEEKDAY($J12,2)))</f>
        <v/>
      </c>
      <c r="T12" s="24">
        <f>IF($J12="","",IFERROR(INDEX('CALENDARIO'!$C$15:$C$214,MATCH(TEXT($J12,"yyyy-mm-dd")&amp;"|"&amp;$Y12&amp;"|"&amp;$Z12,'CALENDARIO'!$G$15:$G$214,0)),IFERROR(INDEX('CALENDARIO'!$C$15:$C$214,MATCH(TEXT($J12,"yyyy-mm-dd")&amp;"|"&amp;$Y12&amp;"|",'CALENDARIO'!$G$15:$G$214,0)),IFERROR(INDEX('CALENDARIO'!$C$15:$C$214,MATCH(TEXT($J12,"yyyy-mm-dd")&amp;"||",'CALENDARIO'!$G$15:$G$214,0)),INDEX(patronHabil,WEEKDAY($J12,2))))))</f>
        <v/>
      </c>
      <c r="U12" s="24">
        <f>IF($I12="","",IFERROR(INDEX('CAT_TIPOS_OT'!$C$4:$C$23,MATCH($I12,'CAT_TIPOS_OT'!$A$4:$A$23,0)),"sin_clasificar"))</f>
        <v/>
      </c>
      <c r="V12" s="24">
        <f>IF($I12="","",IF(IFERROR(INDEX('CAT_TIPOS_OT'!$D$4:$D$23,MATCH($I12,'CAT_TIPOS_OT'!$A$4:$A$23,0)),"SIN CLASIFICAR")="","SIN CLASIFICAR",IFERROR(INDEX('CAT_TIPOS_OT'!$D$4:$D$23,MATCH($I12,'CAT_TIPOS_OT'!$A$4:$A$23,0)),"SIN CLASIFICAR")))</f>
        <v/>
      </c>
      <c r="W12" s="24">
        <f>IF($H12="","",IF(IFERROR(INDEX('CAT_ACTIVIDADES'!$F$4:$F$26,MATCH($H12,'CAT_ACTIVIDADES'!$A$4:$A$26,0)),"")=0,"",IFERROR(INDEX('CAT_ACTIVIDADES'!$F$4:$F$26,MATCH($H12,'CAT_ACTIVIDADES'!$A$4:$A$26,0)),"")))</f>
        <v/>
      </c>
      <c r="X12" s="24">
        <f>IF($F12="","",IFERROR(INDEX('CAT_CENTROS_COSTO'!$F$4:$F$28,MATCH($F12,'CAT_CENTROS_COSTO'!$A$4:$A$28,0)),"(sin catálogo)"))</f>
        <v/>
      </c>
      <c r="Y12" s="24">
        <f>IF($F12="","",IFERROR(INDEX('CAT_CENTROS_COSTO'!$D$4:$D$28,MATCH($F12,'CAT_CENTROS_COSTO'!$A$4:$A$28,0)),"(sin catálogo)"))</f>
        <v/>
      </c>
      <c r="Z12" s="24">
        <f>IF($F12="","",IF((IFERROR(INDEX('CAT_CENTROS_COSTO'!$E$4:$E$28,MATCH($F12,'CAT_CENTROS_COSTO'!$A$4:$A$28,0)),""))&lt;&gt;"",IFERROR(INDEX('CAT_CENTROS_COSTO'!$E$4:$E$28,MATCH($F12,'CAT_CENTROS_COSTO'!$A$4:$A$28,0)),""),$Y12))</f>
        <v/>
      </c>
      <c r="AA12" s="24">
        <f>IF($F12="","",IFERROR(INDEX('CAT_CENTROS_COSTO'!$G$4:$G$28,MATCH($F12,'CAT_CENTROS_COSTO'!$A$4:$A$28,0)),"(sin catálogo)"))</f>
        <v/>
      </c>
      <c r="AB12" s="24">
        <f>IF($G12="","",IFERROR(INDEX('CAT_PUESTOS'!$B$4:$B$23,MATCH($G12,'CAT_PUESTOS'!$A$4:$A$23,0)),"(sin catálogo)"))</f>
        <v/>
      </c>
      <c r="AC12" s="24">
        <f>IF($H12="","",IFERROR(INDEX('CAT_ACTIVIDADES'!$B$4:$B$26,MATCH($H12,'CAT_ACTIVIDADES'!$A$4:$A$26,0)),"(sin catálogo)"))</f>
        <v/>
      </c>
      <c r="AD12" s="26">
        <f>IF($J12="","",TODAY()-$J12)</f>
        <v/>
      </c>
      <c r="AE12" s="26">
        <f>IF($J12="","",IF($J12&lt;=TODAY(),COUNTIFS(cal_fechas,"&gt;="&amp;$J12,cal_fechas,"&lt;"&amp;TODAY(),cal_habil,"sí"),-COUNTIFS(cal_fechas,"&gt;="&amp;TODAY(),cal_fechas,"&lt;"&amp;$J12,cal_habil,"sí")))</f>
        <v/>
      </c>
      <c r="AF12" s="24">
        <f>IF($AE12="","",IF($AE12&lt;0,"FUTURO",IF($AE12&gt;p_dias_backlog_max,"BACKLOG","MES CORRIENTE")))</f>
        <v/>
      </c>
      <c r="AG12" s="24">
        <f>IF($AE12="",FALSE,AND($AE12&gt;p_dias_backlog_min,$AE12&lt;=p_dias_backlog_max))</f>
        <v/>
      </c>
      <c r="AH12" s="4" t="n"/>
      <c r="AI12" s="24">
        <f>IF($AH12="","",IF((IFERROR(INDEX('ASIGNACIONES'!$J$4:$J$451,MATCH($O12&amp;"|"&amp;$S12&amp;"|"&amp;$AH12,'ASIGNACIONES'!$N$4:$N$451,0)),""))=0,"",IFERROR(INDEX('ASIGNACIONES'!$J$4:$J$451,MATCH($O12&amp;"|"&amp;$S12&amp;"|"&amp;$AH12,'ASIGNACIONES'!$N$4:$N$451,0)),"")))</f>
        <v/>
      </c>
      <c r="AJ12" s="42">
        <f>IF($AH12="","",SUMIFS('ORDENES'!$M$4:$M$1203,'ORDENES'!$AH$4:$AH$1203,$AH12,'ORDENES'!$O$4:$O$1203,$O12,'ORDENES'!$S$4:$S$1203,$S12))</f>
        <v/>
      </c>
      <c r="AK12" s="42">
        <f>IF($AJ12="","",p_factor_productividad*IFERROR(INDEX('ASIGNACIONES'!$M$4:$M$451,MATCH($O12&amp;"|"&amp;$S12&amp;"|"&amp;$AH12,'ASIGNACIONES'!$N$4:$N$451,0)),0)-$AJ12)</f>
        <v/>
      </c>
      <c r="AL12" s="32">
        <f>IF($A12="","",IFERROR(INDEX('2_IMPORTAR_EJECUCION'!$F$9:$F$1208,MATCH($AU12,'2_IMPORTAR_EJECUCION'!$J$9:$J$1208,0)),0))</f>
        <v/>
      </c>
      <c r="AM12" s="32">
        <f>IF($A12="","",MAX(0,IFERROR(INDEX('2_IMPORTAR_EJECUCION'!$H$9:$H$1208,MATCH($AU12,'2_IMPORTAR_EJECUCION'!$J$9:$J$1208,0)),0)-$AL12))</f>
        <v/>
      </c>
      <c r="AN12" s="32">
        <f>IF($A12="","",$AL12+$AM12)</f>
        <v/>
      </c>
      <c r="AO12" s="24">
        <f>IF($A12="","",IF(OR((IFERROR(INDEX('CAT_ACTIVIDADES'!$D$4:$D$26,MATCH($H12,'CAT_ACTIVIDADES'!$A$4:$A$26,0)),""))=0,(IFERROR(INDEX('CAT_ACTIVIDADES'!$D$4:$D$26,MATCH($H12,'CAT_ACTIVIDADES'!$A$4:$A$26,0)),""))=""),"SIN CLASIFICAR",IFERROR(INDEX('CAT_ACTIVIDADES'!$D$4:$D$26,MATCH($H12,'CAT_ACTIVIDADES'!$A$4:$A$26,0)),"")))</f>
        <v/>
      </c>
      <c r="AP12" s="4" t="n"/>
      <c r="AQ12" s="4" t="n"/>
      <c r="AR12" s="4" t="n"/>
      <c r="AS12" s="24">
        <f>IF($AR12="","",HYPERLINK(p_ruta_base_checklists&amp;$AR12,"abrir"))</f>
        <v/>
      </c>
      <c r="AT12" s="4" t="n"/>
      <c r="AU12" s="24">
        <f>IF($A12="","",$A12&amp;IF($B12="","0010",$B12))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1" t="n"/>
      <c r="K13" s="5" t="n"/>
      <c r="L13" s="18" t="n"/>
      <c r="M13" s="24">
        <f>IF($A13="","",IFERROR(INDEX('AJUSTES'!$B$4:$B$303,MATCH($AU13,'AJUSTES'!$A$4:$A$303,0)),IF($K13="","",$K13)))</f>
        <v/>
      </c>
      <c r="N13" s="24">
        <f>IF($A13="","",IFERROR(INDEX('CAT_ESTADOS_ERP'!$B$4:$B$22,MATCH(IFERROR(INDEX('2_IMPORTAR_EJECUCION'!$C$9:$C$1208,MATCH($AU13,'2_IMPORTAR_EJECUCION'!$J$9:$J$1208,0)),""),'CAT_ESTADOS_ERP'!$A$4:$A$22,0)),"Pendiente"))</f>
        <v/>
      </c>
      <c r="O13" s="24">
        <f>IF($J13="","",YEAR($J13+4-WEEKDAY($J13,2))&amp;"-S"&amp;TEXT(_xlfn.ISOWEEKNUM($J13),"00"))</f>
        <v/>
      </c>
      <c r="P13" s="24">
        <f>IF($J13="","",YEAR($J13))</f>
        <v/>
      </c>
      <c r="Q13" s="24">
        <f>IF($J13="","",MONTH($J13))</f>
        <v/>
      </c>
      <c r="R13" s="24">
        <f>IF($J13="","",$P13&amp;"-"&amp;TEXT($Q13,"00"))</f>
        <v/>
      </c>
      <c r="S13" s="24">
        <f>IF($J13="","",INDEX(lista_dias,WEEKDAY($J13,2)))</f>
        <v/>
      </c>
      <c r="T13" s="24">
        <f>IF($J13="","",IFERROR(INDEX('CALENDARIO'!$C$15:$C$214,MATCH(TEXT($J13,"yyyy-mm-dd")&amp;"|"&amp;$Y13&amp;"|"&amp;$Z13,'CALENDARIO'!$G$15:$G$214,0)),IFERROR(INDEX('CALENDARIO'!$C$15:$C$214,MATCH(TEXT($J13,"yyyy-mm-dd")&amp;"|"&amp;$Y13&amp;"|",'CALENDARIO'!$G$15:$G$214,0)),IFERROR(INDEX('CALENDARIO'!$C$15:$C$214,MATCH(TEXT($J13,"yyyy-mm-dd")&amp;"||",'CALENDARIO'!$G$15:$G$214,0)),INDEX(patronHabil,WEEKDAY($J13,2))))))</f>
        <v/>
      </c>
      <c r="U13" s="24">
        <f>IF($I13="","",IFERROR(INDEX('CAT_TIPOS_OT'!$C$4:$C$23,MATCH($I13,'CAT_TIPOS_OT'!$A$4:$A$23,0)),"sin_clasificar"))</f>
        <v/>
      </c>
      <c r="V13" s="24">
        <f>IF($I13="","",IF(IFERROR(INDEX('CAT_TIPOS_OT'!$D$4:$D$23,MATCH($I13,'CAT_TIPOS_OT'!$A$4:$A$23,0)),"SIN CLASIFICAR")="","SIN CLASIFICAR",IFERROR(INDEX('CAT_TIPOS_OT'!$D$4:$D$23,MATCH($I13,'CAT_TIPOS_OT'!$A$4:$A$23,0)),"SIN CLASIFICAR")))</f>
        <v/>
      </c>
      <c r="W13" s="24">
        <f>IF($H13="","",IF(IFERROR(INDEX('CAT_ACTIVIDADES'!$F$4:$F$26,MATCH($H13,'CAT_ACTIVIDADES'!$A$4:$A$26,0)),"")=0,"",IFERROR(INDEX('CAT_ACTIVIDADES'!$F$4:$F$26,MATCH($H13,'CAT_ACTIVIDADES'!$A$4:$A$26,0)),"")))</f>
        <v/>
      </c>
      <c r="X13" s="24">
        <f>IF($F13="","",IFERROR(INDEX('CAT_CENTROS_COSTO'!$F$4:$F$28,MATCH($F13,'CAT_CENTROS_COSTO'!$A$4:$A$28,0)),"(sin catálogo)"))</f>
        <v/>
      </c>
      <c r="Y13" s="24">
        <f>IF($F13="","",IFERROR(INDEX('CAT_CENTROS_COSTO'!$D$4:$D$28,MATCH($F13,'CAT_CENTROS_COSTO'!$A$4:$A$28,0)),"(sin catálogo)"))</f>
        <v/>
      </c>
      <c r="Z13" s="24">
        <f>IF($F13="","",IF((IFERROR(INDEX('CAT_CENTROS_COSTO'!$E$4:$E$28,MATCH($F13,'CAT_CENTROS_COSTO'!$A$4:$A$28,0)),""))&lt;&gt;"",IFERROR(INDEX('CAT_CENTROS_COSTO'!$E$4:$E$28,MATCH($F13,'CAT_CENTROS_COSTO'!$A$4:$A$28,0)),""),$Y13))</f>
        <v/>
      </c>
      <c r="AA13" s="24">
        <f>IF($F13="","",IFERROR(INDEX('CAT_CENTROS_COSTO'!$G$4:$G$28,MATCH($F13,'CAT_CENTROS_COSTO'!$A$4:$A$28,0)),"(sin catálogo)"))</f>
        <v/>
      </c>
      <c r="AB13" s="24">
        <f>IF($G13="","",IFERROR(INDEX('CAT_PUESTOS'!$B$4:$B$23,MATCH($G13,'CAT_PUESTOS'!$A$4:$A$23,0)),"(sin catálogo)"))</f>
        <v/>
      </c>
      <c r="AC13" s="24">
        <f>IF($H13="","",IFERROR(INDEX('CAT_ACTIVIDADES'!$B$4:$B$26,MATCH($H13,'CAT_ACTIVIDADES'!$A$4:$A$26,0)),"(sin catálogo)"))</f>
        <v/>
      </c>
      <c r="AD13" s="26">
        <f>IF($J13="","",TODAY()-$J13)</f>
        <v/>
      </c>
      <c r="AE13" s="26">
        <f>IF($J13="","",IF($J13&lt;=TODAY(),COUNTIFS(cal_fechas,"&gt;="&amp;$J13,cal_fechas,"&lt;"&amp;TODAY(),cal_habil,"sí"),-COUNTIFS(cal_fechas,"&gt;="&amp;TODAY(),cal_fechas,"&lt;"&amp;$J13,cal_habil,"sí")))</f>
        <v/>
      </c>
      <c r="AF13" s="24">
        <f>IF($AE13="","",IF($AE13&lt;0,"FUTURO",IF($AE13&gt;p_dias_backlog_max,"BACKLOG","MES CORRIENTE")))</f>
        <v/>
      </c>
      <c r="AG13" s="24">
        <f>IF($AE13="",FALSE,AND($AE13&gt;p_dias_backlog_min,$AE13&lt;=p_dias_backlog_max))</f>
        <v/>
      </c>
      <c r="AH13" s="4" t="n"/>
      <c r="AI13" s="24">
        <f>IF($AH13="","",IF((IFERROR(INDEX('ASIGNACIONES'!$J$4:$J$451,MATCH($O13&amp;"|"&amp;$S13&amp;"|"&amp;$AH13,'ASIGNACIONES'!$N$4:$N$451,0)),""))=0,"",IFERROR(INDEX('ASIGNACIONES'!$J$4:$J$451,MATCH($O13&amp;"|"&amp;$S13&amp;"|"&amp;$AH13,'ASIGNACIONES'!$N$4:$N$451,0)),"")))</f>
        <v/>
      </c>
      <c r="AJ13" s="42">
        <f>IF($AH13="","",SUMIFS('ORDENES'!$M$4:$M$1203,'ORDENES'!$AH$4:$AH$1203,$AH13,'ORDENES'!$O$4:$O$1203,$O13,'ORDENES'!$S$4:$S$1203,$S13))</f>
        <v/>
      </c>
      <c r="AK13" s="42">
        <f>IF($AJ13="","",p_factor_productividad*IFERROR(INDEX('ASIGNACIONES'!$M$4:$M$451,MATCH($O13&amp;"|"&amp;$S13&amp;"|"&amp;$AH13,'ASIGNACIONES'!$N$4:$N$451,0)),0)-$AJ13)</f>
        <v/>
      </c>
      <c r="AL13" s="32">
        <f>IF($A13="","",IFERROR(INDEX('2_IMPORTAR_EJECUCION'!$F$9:$F$1208,MATCH($AU13,'2_IMPORTAR_EJECUCION'!$J$9:$J$1208,0)),0))</f>
        <v/>
      </c>
      <c r="AM13" s="32">
        <f>IF($A13="","",MAX(0,IFERROR(INDEX('2_IMPORTAR_EJECUCION'!$H$9:$H$1208,MATCH($AU13,'2_IMPORTAR_EJECUCION'!$J$9:$J$1208,0)),0)-$AL13))</f>
        <v/>
      </c>
      <c r="AN13" s="32">
        <f>IF($A13="","",$AL13+$AM13)</f>
        <v/>
      </c>
      <c r="AO13" s="24">
        <f>IF($A13="","",IF(OR((IFERROR(INDEX('CAT_ACTIVIDADES'!$D$4:$D$26,MATCH($H13,'CAT_ACTIVIDADES'!$A$4:$A$26,0)),""))=0,(IFERROR(INDEX('CAT_ACTIVIDADES'!$D$4:$D$26,MATCH($H13,'CAT_ACTIVIDADES'!$A$4:$A$26,0)),""))=""),"SIN CLASIFICAR",IFERROR(INDEX('CAT_ACTIVIDADES'!$D$4:$D$26,MATCH($H13,'CAT_ACTIVIDADES'!$A$4:$A$26,0)),"")))</f>
        <v/>
      </c>
      <c r="AP13" s="4" t="n"/>
      <c r="AQ13" s="4" t="n"/>
      <c r="AR13" s="4" t="n"/>
      <c r="AS13" s="24">
        <f>IF($AR13="","",HYPERLINK(p_ruta_base_checklists&amp;$AR13,"abrir"))</f>
        <v/>
      </c>
      <c r="AT13" s="4" t="n"/>
      <c r="AU13" s="24">
        <f>IF($A13="","",$A13&amp;IF($B13="","0010",$B13))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1" t="n"/>
      <c r="K14" s="5" t="n"/>
      <c r="L14" s="18" t="n"/>
      <c r="M14" s="24">
        <f>IF($A14="","",IFERROR(INDEX('AJUSTES'!$B$4:$B$303,MATCH($AU14,'AJUSTES'!$A$4:$A$303,0)),IF($K14="","",$K14)))</f>
        <v/>
      </c>
      <c r="N14" s="24">
        <f>IF($A14="","",IFERROR(INDEX('CAT_ESTADOS_ERP'!$B$4:$B$22,MATCH(IFERROR(INDEX('2_IMPORTAR_EJECUCION'!$C$9:$C$1208,MATCH($AU14,'2_IMPORTAR_EJECUCION'!$J$9:$J$1208,0)),""),'CAT_ESTADOS_ERP'!$A$4:$A$22,0)),"Pendiente"))</f>
        <v/>
      </c>
      <c r="O14" s="24">
        <f>IF($J14="","",YEAR($J14+4-WEEKDAY($J14,2))&amp;"-S"&amp;TEXT(_xlfn.ISOWEEKNUM($J14),"00"))</f>
        <v/>
      </c>
      <c r="P14" s="24">
        <f>IF($J14="","",YEAR($J14))</f>
        <v/>
      </c>
      <c r="Q14" s="24">
        <f>IF($J14="","",MONTH($J14))</f>
        <v/>
      </c>
      <c r="R14" s="24">
        <f>IF($J14="","",$P14&amp;"-"&amp;TEXT($Q14,"00"))</f>
        <v/>
      </c>
      <c r="S14" s="24">
        <f>IF($J14="","",INDEX(lista_dias,WEEKDAY($J14,2)))</f>
        <v/>
      </c>
      <c r="T14" s="24">
        <f>IF($J14="","",IFERROR(INDEX('CALENDARIO'!$C$15:$C$214,MATCH(TEXT($J14,"yyyy-mm-dd")&amp;"|"&amp;$Y14&amp;"|"&amp;$Z14,'CALENDARIO'!$G$15:$G$214,0)),IFERROR(INDEX('CALENDARIO'!$C$15:$C$214,MATCH(TEXT($J14,"yyyy-mm-dd")&amp;"|"&amp;$Y14&amp;"|",'CALENDARIO'!$G$15:$G$214,0)),IFERROR(INDEX('CALENDARIO'!$C$15:$C$214,MATCH(TEXT($J14,"yyyy-mm-dd")&amp;"||",'CALENDARIO'!$G$15:$G$214,0)),INDEX(patronHabil,WEEKDAY($J14,2))))))</f>
        <v/>
      </c>
      <c r="U14" s="24">
        <f>IF($I14="","",IFERROR(INDEX('CAT_TIPOS_OT'!$C$4:$C$23,MATCH($I14,'CAT_TIPOS_OT'!$A$4:$A$23,0)),"sin_clasificar"))</f>
        <v/>
      </c>
      <c r="V14" s="24">
        <f>IF($I14="","",IF(IFERROR(INDEX('CAT_TIPOS_OT'!$D$4:$D$23,MATCH($I14,'CAT_TIPOS_OT'!$A$4:$A$23,0)),"SIN CLASIFICAR")="","SIN CLASIFICAR",IFERROR(INDEX('CAT_TIPOS_OT'!$D$4:$D$23,MATCH($I14,'CAT_TIPOS_OT'!$A$4:$A$23,0)),"SIN CLASIFICAR")))</f>
        <v/>
      </c>
      <c r="W14" s="24">
        <f>IF($H14="","",IF(IFERROR(INDEX('CAT_ACTIVIDADES'!$F$4:$F$26,MATCH($H14,'CAT_ACTIVIDADES'!$A$4:$A$26,0)),"")=0,"",IFERROR(INDEX('CAT_ACTIVIDADES'!$F$4:$F$26,MATCH($H14,'CAT_ACTIVIDADES'!$A$4:$A$26,0)),"")))</f>
        <v/>
      </c>
      <c r="X14" s="24">
        <f>IF($F14="","",IFERROR(INDEX('CAT_CENTROS_COSTO'!$F$4:$F$28,MATCH($F14,'CAT_CENTROS_COSTO'!$A$4:$A$28,0)),"(sin catálogo)"))</f>
        <v/>
      </c>
      <c r="Y14" s="24">
        <f>IF($F14="","",IFERROR(INDEX('CAT_CENTROS_COSTO'!$D$4:$D$28,MATCH($F14,'CAT_CENTROS_COSTO'!$A$4:$A$28,0)),"(sin catálogo)"))</f>
        <v/>
      </c>
      <c r="Z14" s="24">
        <f>IF($F14="","",IF((IFERROR(INDEX('CAT_CENTROS_COSTO'!$E$4:$E$28,MATCH($F14,'CAT_CENTROS_COSTO'!$A$4:$A$28,0)),""))&lt;&gt;"",IFERROR(INDEX('CAT_CENTROS_COSTO'!$E$4:$E$28,MATCH($F14,'CAT_CENTROS_COSTO'!$A$4:$A$28,0)),""),$Y14))</f>
        <v/>
      </c>
      <c r="AA14" s="24">
        <f>IF($F14="","",IFERROR(INDEX('CAT_CENTROS_COSTO'!$G$4:$G$28,MATCH($F14,'CAT_CENTROS_COSTO'!$A$4:$A$28,0)),"(sin catálogo)"))</f>
        <v/>
      </c>
      <c r="AB14" s="24">
        <f>IF($G14="","",IFERROR(INDEX('CAT_PUESTOS'!$B$4:$B$23,MATCH($G14,'CAT_PUESTOS'!$A$4:$A$23,0)),"(sin catálogo)"))</f>
        <v/>
      </c>
      <c r="AC14" s="24">
        <f>IF($H14="","",IFERROR(INDEX('CAT_ACTIVIDADES'!$B$4:$B$26,MATCH($H14,'CAT_ACTIVIDADES'!$A$4:$A$26,0)),"(sin catálogo)"))</f>
        <v/>
      </c>
      <c r="AD14" s="26">
        <f>IF($J14="","",TODAY()-$J14)</f>
        <v/>
      </c>
      <c r="AE14" s="26">
        <f>IF($J14="","",IF($J14&lt;=TODAY(),COUNTIFS(cal_fechas,"&gt;="&amp;$J14,cal_fechas,"&lt;"&amp;TODAY(),cal_habil,"sí"),-COUNTIFS(cal_fechas,"&gt;="&amp;TODAY(),cal_fechas,"&lt;"&amp;$J14,cal_habil,"sí")))</f>
        <v/>
      </c>
      <c r="AF14" s="24">
        <f>IF($AE14="","",IF($AE14&lt;0,"FUTURO",IF($AE14&gt;p_dias_backlog_max,"BACKLOG","MES CORRIENTE")))</f>
        <v/>
      </c>
      <c r="AG14" s="24">
        <f>IF($AE14="",FALSE,AND($AE14&gt;p_dias_backlog_min,$AE14&lt;=p_dias_backlog_max))</f>
        <v/>
      </c>
      <c r="AH14" s="4" t="n"/>
      <c r="AI14" s="24">
        <f>IF($AH14="","",IF((IFERROR(INDEX('ASIGNACIONES'!$J$4:$J$451,MATCH($O14&amp;"|"&amp;$S14&amp;"|"&amp;$AH14,'ASIGNACIONES'!$N$4:$N$451,0)),""))=0,"",IFERROR(INDEX('ASIGNACIONES'!$J$4:$J$451,MATCH($O14&amp;"|"&amp;$S14&amp;"|"&amp;$AH14,'ASIGNACIONES'!$N$4:$N$451,0)),"")))</f>
        <v/>
      </c>
      <c r="AJ14" s="42">
        <f>IF($AH14="","",SUMIFS('ORDENES'!$M$4:$M$1203,'ORDENES'!$AH$4:$AH$1203,$AH14,'ORDENES'!$O$4:$O$1203,$O14,'ORDENES'!$S$4:$S$1203,$S14))</f>
        <v/>
      </c>
      <c r="AK14" s="42">
        <f>IF($AJ14="","",p_factor_productividad*IFERROR(INDEX('ASIGNACIONES'!$M$4:$M$451,MATCH($O14&amp;"|"&amp;$S14&amp;"|"&amp;$AH14,'ASIGNACIONES'!$N$4:$N$451,0)),0)-$AJ14)</f>
        <v/>
      </c>
      <c r="AL14" s="32">
        <f>IF($A14="","",IFERROR(INDEX('2_IMPORTAR_EJECUCION'!$F$9:$F$1208,MATCH($AU14,'2_IMPORTAR_EJECUCION'!$J$9:$J$1208,0)),0))</f>
        <v/>
      </c>
      <c r="AM14" s="32">
        <f>IF($A14="","",MAX(0,IFERROR(INDEX('2_IMPORTAR_EJECUCION'!$H$9:$H$1208,MATCH($AU14,'2_IMPORTAR_EJECUCION'!$J$9:$J$1208,0)),0)-$AL14))</f>
        <v/>
      </c>
      <c r="AN14" s="32">
        <f>IF($A14="","",$AL14+$AM14)</f>
        <v/>
      </c>
      <c r="AO14" s="24">
        <f>IF($A14="","",IF(OR((IFERROR(INDEX('CAT_ACTIVIDADES'!$D$4:$D$26,MATCH($H14,'CAT_ACTIVIDADES'!$A$4:$A$26,0)),""))=0,(IFERROR(INDEX('CAT_ACTIVIDADES'!$D$4:$D$26,MATCH($H14,'CAT_ACTIVIDADES'!$A$4:$A$26,0)),""))=""),"SIN CLASIFICAR",IFERROR(INDEX('CAT_ACTIVIDADES'!$D$4:$D$26,MATCH($H14,'CAT_ACTIVIDADES'!$A$4:$A$26,0)),"")))</f>
        <v/>
      </c>
      <c r="AP14" s="4" t="n"/>
      <c r="AQ14" s="4" t="n"/>
      <c r="AR14" s="4" t="n"/>
      <c r="AS14" s="24">
        <f>IF($AR14="","",HYPERLINK(p_ruta_base_checklists&amp;$AR14,"abrir"))</f>
        <v/>
      </c>
      <c r="AT14" s="4" t="n"/>
      <c r="AU14" s="24">
        <f>IF($A14="","",$A14&amp;IF($B14="","0010",$B14))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1" t="n"/>
      <c r="K15" s="5" t="n"/>
      <c r="L15" s="18" t="n"/>
      <c r="M15" s="24">
        <f>IF($A15="","",IFERROR(INDEX('AJUSTES'!$B$4:$B$303,MATCH($AU15,'AJUSTES'!$A$4:$A$303,0)),IF($K15="","",$K15)))</f>
        <v/>
      </c>
      <c r="N15" s="24">
        <f>IF($A15="","",IFERROR(INDEX('CAT_ESTADOS_ERP'!$B$4:$B$22,MATCH(IFERROR(INDEX('2_IMPORTAR_EJECUCION'!$C$9:$C$1208,MATCH($AU15,'2_IMPORTAR_EJECUCION'!$J$9:$J$1208,0)),""),'CAT_ESTADOS_ERP'!$A$4:$A$22,0)),"Pendiente"))</f>
        <v/>
      </c>
      <c r="O15" s="24">
        <f>IF($J15="","",YEAR($J15+4-WEEKDAY($J15,2))&amp;"-S"&amp;TEXT(_xlfn.ISOWEEKNUM($J15),"00"))</f>
        <v/>
      </c>
      <c r="P15" s="24">
        <f>IF($J15="","",YEAR($J15))</f>
        <v/>
      </c>
      <c r="Q15" s="24">
        <f>IF($J15="","",MONTH($J15))</f>
        <v/>
      </c>
      <c r="R15" s="24">
        <f>IF($J15="","",$P15&amp;"-"&amp;TEXT($Q15,"00"))</f>
        <v/>
      </c>
      <c r="S15" s="24">
        <f>IF($J15="","",INDEX(lista_dias,WEEKDAY($J15,2)))</f>
        <v/>
      </c>
      <c r="T15" s="24">
        <f>IF($J15="","",IFERROR(INDEX('CALENDARIO'!$C$15:$C$214,MATCH(TEXT($J15,"yyyy-mm-dd")&amp;"|"&amp;$Y15&amp;"|"&amp;$Z15,'CALENDARIO'!$G$15:$G$214,0)),IFERROR(INDEX('CALENDARIO'!$C$15:$C$214,MATCH(TEXT($J15,"yyyy-mm-dd")&amp;"|"&amp;$Y15&amp;"|",'CALENDARIO'!$G$15:$G$214,0)),IFERROR(INDEX('CALENDARIO'!$C$15:$C$214,MATCH(TEXT($J15,"yyyy-mm-dd")&amp;"||",'CALENDARIO'!$G$15:$G$214,0)),INDEX(patronHabil,WEEKDAY($J15,2))))))</f>
        <v/>
      </c>
      <c r="U15" s="24">
        <f>IF($I15="","",IFERROR(INDEX('CAT_TIPOS_OT'!$C$4:$C$23,MATCH($I15,'CAT_TIPOS_OT'!$A$4:$A$23,0)),"sin_clasificar"))</f>
        <v/>
      </c>
      <c r="V15" s="24">
        <f>IF($I15="","",IF(IFERROR(INDEX('CAT_TIPOS_OT'!$D$4:$D$23,MATCH($I15,'CAT_TIPOS_OT'!$A$4:$A$23,0)),"SIN CLASIFICAR")="","SIN CLASIFICAR",IFERROR(INDEX('CAT_TIPOS_OT'!$D$4:$D$23,MATCH($I15,'CAT_TIPOS_OT'!$A$4:$A$23,0)),"SIN CLASIFICAR")))</f>
        <v/>
      </c>
      <c r="W15" s="24">
        <f>IF($H15="","",IF(IFERROR(INDEX('CAT_ACTIVIDADES'!$F$4:$F$26,MATCH($H15,'CAT_ACTIVIDADES'!$A$4:$A$26,0)),"")=0,"",IFERROR(INDEX('CAT_ACTIVIDADES'!$F$4:$F$26,MATCH($H15,'CAT_ACTIVIDADES'!$A$4:$A$26,0)),"")))</f>
        <v/>
      </c>
      <c r="X15" s="24">
        <f>IF($F15="","",IFERROR(INDEX('CAT_CENTROS_COSTO'!$F$4:$F$28,MATCH($F15,'CAT_CENTROS_COSTO'!$A$4:$A$28,0)),"(sin catálogo)"))</f>
        <v/>
      </c>
      <c r="Y15" s="24">
        <f>IF($F15="","",IFERROR(INDEX('CAT_CENTROS_COSTO'!$D$4:$D$28,MATCH($F15,'CAT_CENTROS_COSTO'!$A$4:$A$28,0)),"(sin catálogo)"))</f>
        <v/>
      </c>
      <c r="Z15" s="24">
        <f>IF($F15="","",IF((IFERROR(INDEX('CAT_CENTROS_COSTO'!$E$4:$E$28,MATCH($F15,'CAT_CENTROS_COSTO'!$A$4:$A$28,0)),""))&lt;&gt;"",IFERROR(INDEX('CAT_CENTROS_COSTO'!$E$4:$E$28,MATCH($F15,'CAT_CENTROS_COSTO'!$A$4:$A$28,0)),""),$Y15))</f>
        <v/>
      </c>
      <c r="AA15" s="24">
        <f>IF($F15="","",IFERROR(INDEX('CAT_CENTROS_COSTO'!$G$4:$G$28,MATCH($F15,'CAT_CENTROS_COSTO'!$A$4:$A$28,0)),"(sin catálogo)"))</f>
        <v/>
      </c>
      <c r="AB15" s="24">
        <f>IF($G15="","",IFERROR(INDEX('CAT_PUESTOS'!$B$4:$B$23,MATCH($G15,'CAT_PUESTOS'!$A$4:$A$23,0)),"(sin catálogo)"))</f>
        <v/>
      </c>
      <c r="AC15" s="24">
        <f>IF($H15="","",IFERROR(INDEX('CAT_ACTIVIDADES'!$B$4:$B$26,MATCH($H15,'CAT_ACTIVIDADES'!$A$4:$A$26,0)),"(sin catálogo)"))</f>
        <v/>
      </c>
      <c r="AD15" s="26">
        <f>IF($J15="","",TODAY()-$J15)</f>
        <v/>
      </c>
      <c r="AE15" s="26">
        <f>IF($J15="","",IF($J15&lt;=TODAY(),COUNTIFS(cal_fechas,"&gt;="&amp;$J15,cal_fechas,"&lt;"&amp;TODAY(),cal_habil,"sí"),-COUNTIFS(cal_fechas,"&gt;="&amp;TODAY(),cal_fechas,"&lt;"&amp;$J15,cal_habil,"sí")))</f>
        <v/>
      </c>
      <c r="AF15" s="24">
        <f>IF($AE15="","",IF($AE15&lt;0,"FUTURO",IF($AE15&gt;p_dias_backlog_max,"BACKLOG","MES CORRIENTE")))</f>
        <v/>
      </c>
      <c r="AG15" s="24">
        <f>IF($AE15="",FALSE,AND($AE15&gt;p_dias_backlog_min,$AE15&lt;=p_dias_backlog_max))</f>
        <v/>
      </c>
      <c r="AH15" s="4" t="n"/>
      <c r="AI15" s="24">
        <f>IF($AH15="","",IF((IFERROR(INDEX('ASIGNACIONES'!$J$4:$J$451,MATCH($O15&amp;"|"&amp;$S15&amp;"|"&amp;$AH15,'ASIGNACIONES'!$N$4:$N$451,0)),""))=0,"",IFERROR(INDEX('ASIGNACIONES'!$J$4:$J$451,MATCH($O15&amp;"|"&amp;$S15&amp;"|"&amp;$AH15,'ASIGNACIONES'!$N$4:$N$451,0)),"")))</f>
        <v/>
      </c>
      <c r="AJ15" s="42">
        <f>IF($AH15="","",SUMIFS('ORDENES'!$M$4:$M$1203,'ORDENES'!$AH$4:$AH$1203,$AH15,'ORDENES'!$O$4:$O$1203,$O15,'ORDENES'!$S$4:$S$1203,$S15))</f>
        <v/>
      </c>
      <c r="AK15" s="42">
        <f>IF($AJ15="","",p_factor_productividad*IFERROR(INDEX('ASIGNACIONES'!$M$4:$M$451,MATCH($O15&amp;"|"&amp;$S15&amp;"|"&amp;$AH15,'ASIGNACIONES'!$N$4:$N$451,0)),0)-$AJ15)</f>
        <v/>
      </c>
      <c r="AL15" s="32">
        <f>IF($A15="","",IFERROR(INDEX('2_IMPORTAR_EJECUCION'!$F$9:$F$1208,MATCH($AU15,'2_IMPORTAR_EJECUCION'!$J$9:$J$1208,0)),0))</f>
        <v/>
      </c>
      <c r="AM15" s="32">
        <f>IF($A15="","",MAX(0,IFERROR(INDEX('2_IMPORTAR_EJECUCION'!$H$9:$H$1208,MATCH($AU15,'2_IMPORTAR_EJECUCION'!$J$9:$J$1208,0)),0)-$AL15))</f>
        <v/>
      </c>
      <c r="AN15" s="32">
        <f>IF($A15="","",$AL15+$AM15)</f>
        <v/>
      </c>
      <c r="AO15" s="24">
        <f>IF($A15="","",IF(OR((IFERROR(INDEX('CAT_ACTIVIDADES'!$D$4:$D$26,MATCH($H15,'CAT_ACTIVIDADES'!$A$4:$A$26,0)),""))=0,(IFERROR(INDEX('CAT_ACTIVIDADES'!$D$4:$D$26,MATCH($H15,'CAT_ACTIVIDADES'!$A$4:$A$26,0)),""))=""),"SIN CLASIFICAR",IFERROR(INDEX('CAT_ACTIVIDADES'!$D$4:$D$26,MATCH($H15,'CAT_ACTIVIDADES'!$A$4:$A$26,0)),"")))</f>
        <v/>
      </c>
      <c r="AP15" s="4" t="n"/>
      <c r="AQ15" s="4" t="n"/>
      <c r="AR15" s="4" t="n"/>
      <c r="AS15" s="24">
        <f>IF($AR15="","",HYPERLINK(p_ruta_base_checklists&amp;$AR15,"abrir"))</f>
        <v/>
      </c>
      <c r="AT15" s="4" t="n"/>
      <c r="AU15" s="24">
        <f>IF($A15="","",$A15&amp;IF($B15="","0010",$B15))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1" t="n"/>
      <c r="K16" s="5" t="n"/>
      <c r="L16" s="18" t="n"/>
      <c r="M16" s="24">
        <f>IF($A16="","",IFERROR(INDEX('AJUSTES'!$B$4:$B$303,MATCH($AU16,'AJUSTES'!$A$4:$A$303,0)),IF($K16="","",$K16)))</f>
        <v/>
      </c>
      <c r="N16" s="24">
        <f>IF($A16="","",IFERROR(INDEX('CAT_ESTADOS_ERP'!$B$4:$B$22,MATCH(IFERROR(INDEX('2_IMPORTAR_EJECUCION'!$C$9:$C$1208,MATCH($AU16,'2_IMPORTAR_EJECUCION'!$J$9:$J$1208,0)),""),'CAT_ESTADOS_ERP'!$A$4:$A$22,0)),"Pendiente"))</f>
        <v/>
      </c>
      <c r="O16" s="24">
        <f>IF($J16="","",YEAR($J16+4-WEEKDAY($J16,2))&amp;"-S"&amp;TEXT(_xlfn.ISOWEEKNUM($J16),"00"))</f>
        <v/>
      </c>
      <c r="P16" s="24">
        <f>IF($J16="","",YEAR($J16))</f>
        <v/>
      </c>
      <c r="Q16" s="24">
        <f>IF($J16="","",MONTH($J16))</f>
        <v/>
      </c>
      <c r="R16" s="24">
        <f>IF($J16="","",$P16&amp;"-"&amp;TEXT($Q16,"00"))</f>
        <v/>
      </c>
      <c r="S16" s="24">
        <f>IF($J16="","",INDEX(lista_dias,WEEKDAY($J16,2)))</f>
        <v/>
      </c>
      <c r="T16" s="24">
        <f>IF($J16="","",IFERROR(INDEX('CALENDARIO'!$C$15:$C$214,MATCH(TEXT($J16,"yyyy-mm-dd")&amp;"|"&amp;$Y16&amp;"|"&amp;$Z16,'CALENDARIO'!$G$15:$G$214,0)),IFERROR(INDEX('CALENDARIO'!$C$15:$C$214,MATCH(TEXT($J16,"yyyy-mm-dd")&amp;"|"&amp;$Y16&amp;"|",'CALENDARIO'!$G$15:$G$214,0)),IFERROR(INDEX('CALENDARIO'!$C$15:$C$214,MATCH(TEXT($J16,"yyyy-mm-dd")&amp;"||",'CALENDARIO'!$G$15:$G$214,0)),INDEX(patronHabil,WEEKDAY($J16,2))))))</f>
        <v/>
      </c>
      <c r="U16" s="24">
        <f>IF($I16="","",IFERROR(INDEX('CAT_TIPOS_OT'!$C$4:$C$23,MATCH($I16,'CAT_TIPOS_OT'!$A$4:$A$23,0)),"sin_clasificar"))</f>
        <v/>
      </c>
      <c r="V16" s="24">
        <f>IF($I16="","",IF(IFERROR(INDEX('CAT_TIPOS_OT'!$D$4:$D$23,MATCH($I16,'CAT_TIPOS_OT'!$A$4:$A$23,0)),"SIN CLASIFICAR")="","SIN CLASIFICAR",IFERROR(INDEX('CAT_TIPOS_OT'!$D$4:$D$23,MATCH($I16,'CAT_TIPOS_OT'!$A$4:$A$23,0)),"SIN CLASIFICAR")))</f>
        <v/>
      </c>
      <c r="W16" s="24">
        <f>IF($H16="","",IF(IFERROR(INDEX('CAT_ACTIVIDADES'!$F$4:$F$26,MATCH($H16,'CAT_ACTIVIDADES'!$A$4:$A$26,0)),"")=0,"",IFERROR(INDEX('CAT_ACTIVIDADES'!$F$4:$F$26,MATCH($H16,'CAT_ACTIVIDADES'!$A$4:$A$26,0)),"")))</f>
        <v/>
      </c>
      <c r="X16" s="24">
        <f>IF($F16="","",IFERROR(INDEX('CAT_CENTROS_COSTO'!$F$4:$F$28,MATCH($F16,'CAT_CENTROS_COSTO'!$A$4:$A$28,0)),"(sin catálogo)"))</f>
        <v/>
      </c>
      <c r="Y16" s="24">
        <f>IF($F16="","",IFERROR(INDEX('CAT_CENTROS_COSTO'!$D$4:$D$28,MATCH($F16,'CAT_CENTROS_COSTO'!$A$4:$A$28,0)),"(sin catálogo)"))</f>
        <v/>
      </c>
      <c r="Z16" s="24">
        <f>IF($F16="","",IF((IFERROR(INDEX('CAT_CENTROS_COSTO'!$E$4:$E$28,MATCH($F16,'CAT_CENTROS_COSTO'!$A$4:$A$28,0)),""))&lt;&gt;"",IFERROR(INDEX('CAT_CENTROS_COSTO'!$E$4:$E$28,MATCH($F16,'CAT_CENTROS_COSTO'!$A$4:$A$28,0)),""),$Y16))</f>
        <v/>
      </c>
      <c r="AA16" s="24">
        <f>IF($F16="","",IFERROR(INDEX('CAT_CENTROS_COSTO'!$G$4:$G$28,MATCH($F16,'CAT_CENTROS_COSTO'!$A$4:$A$28,0)),"(sin catálogo)"))</f>
        <v/>
      </c>
      <c r="AB16" s="24">
        <f>IF($G16="","",IFERROR(INDEX('CAT_PUESTOS'!$B$4:$B$23,MATCH($G16,'CAT_PUESTOS'!$A$4:$A$23,0)),"(sin catálogo)"))</f>
        <v/>
      </c>
      <c r="AC16" s="24">
        <f>IF($H16="","",IFERROR(INDEX('CAT_ACTIVIDADES'!$B$4:$B$26,MATCH($H16,'CAT_ACTIVIDADES'!$A$4:$A$26,0)),"(sin catálogo)"))</f>
        <v/>
      </c>
      <c r="AD16" s="26">
        <f>IF($J16="","",TODAY()-$J16)</f>
        <v/>
      </c>
      <c r="AE16" s="26">
        <f>IF($J16="","",IF($J16&lt;=TODAY(),COUNTIFS(cal_fechas,"&gt;="&amp;$J16,cal_fechas,"&lt;"&amp;TODAY(),cal_habil,"sí"),-COUNTIFS(cal_fechas,"&gt;="&amp;TODAY(),cal_fechas,"&lt;"&amp;$J16,cal_habil,"sí")))</f>
        <v/>
      </c>
      <c r="AF16" s="24">
        <f>IF($AE16="","",IF($AE16&lt;0,"FUTURO",IF($AE16&gt;p_dias_backlog_max,"BACKLOG","MES CORRIENTE")))</f>
        <v/>
      </c>
      <c r="AG16" s="24">
        <f>IF($AE16="",FALSE,AND($AE16&gt;p_dias_backlog_min,$AE16&lt;=p_dias_backlog_max))</f>
        <v/>
      </c>
      <c r="AH16" s="4" t="n"/>
      <c r="AI16" s="24">
        <f>IF($AH16="","",IF((IFERROR(INDEX('ASIGNACIONES'!$J$4:$J$451,MATCH($O16&amp;"|"&amp;$S16&amp;"|"&amp;$AH16,'ASIGNACIONES'!$N$4:$N$451,0)),""))=0,"",IFERROR(INDEX('ASIGNACIONES'!$J$4:$J$451,MATCH($O16&amp;"|"&amp;$S16&amp;"|"&amp;$AH16,'ASIGNACIONES'!$N$4:$N$451,0)),"")))</f>
        <v/>
      </c>
      <c r="AJ16" s="42">
        <f>IF($AH16="","",SUMIFS('ORDENES'!$M$4:$M$1203,'ORDENES'!$AH$4:$AH$1203,$AH16,'ORDENES'!$O$4:$O$1203,$O16,'ORDENES'!$S$4:$S$1203,$S16))</f>
        <v/>
      </c>
      <c r="AK16" s="42">
        <f>IF($AJ16="","",p_factor_productividad*IFERROR(INDEX('ASIGNACIONES'!$M$4:$M$451,MATCH($O16&amp;"|"&amp;$S16&amp;"|"&amp;$AH16,'ASIGNACIONES'!$N$4:$N$451,0)),0)-$AJ16)</f>
        <v/>
      </c>
      <c r="AL16" s="32">
        <f>IF($A16="","",IFERROR(INDEX('2_IMPORTAR_EJECUCION'!$F$9:$F$1208,MATCH($AU16,'2_IMPORTAR_EJECUCION'!$J$9:$J$1208,0)),0))</f>
        <v/>
      </c>
      <c r="AM16" s="32">
        <f>IF($A16="","",MAX(0,IFERROR(INDEX('2_IMPORTAR_EJECUCION'!$H$9:$H$1208,MATCH($AU16,'2_IMPORTAR_EJECUCION'!$J$9:$J$1208,0)),0)-$AL16))</f>
        <v/>
      </c>
      <c r="AN16" s="32">
        <f>IF($A16="","",$AL16+$AM16)</f>
        <v/>
      </c>
      <c r="AO16" s="24">
        <f>IF($A16="","",IF(OR((IFERROR(INDEX('CAT_ACTIVIDADES'!$D$4:$D$26,MATCH($H16,'CAT_ACTIVIDADES'!$A$4:$A$26,0)),""))=0,(IFERROR(INDEX('CAT_ACTIVIDADES'!$D$4:$D$26,MATCH($H16,'CAT_ACTIVIDADES'!$A$4:$A$26,0)),""))=""),"SIN CLASIFICAR",IFERROR(INDEX('CAT_ACTIVIDADES'!$D$4:$D$26,MATCH($H16,'CAT_ACTIVIDADES'!$A$4:$A$26,0)),"")))</f>
        <v/>
      </c>
      <c r="AP16" s="4" t="n"/>
      <c r="AQ16" s="4" t="n"/>
      <c r="AR16" s="4" t="n"/>
      <c r="AS16" s="24">
        <f>IF($AR16="","",HYPERLINK(p_ruta_base_checklists&amp;$AR16,"abrir"))</f>
        <v/>
      </c>
      <c r="AT16" s="4" t="n"/>
      <c r="AU16" s="24">
        <f>IF($A16="","",$A16&amp;IF($B16="","0010",$B16))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1" t="n"/>
      <c r="K17" s="5" t="n"/>
      <c r="L17" s="18" t="n"/>
      <c r="M17" s="24">
        <f>IF($A17="","",IFERROR(INDEX('AJUSTES'!$B$4:$B$303,MATCH($AU17,'AJUSTES'!$A$4:$A$303,0)),IF($K17="","",$K17)))</f>
        <v/>
      </c>
      <c r="N17" s="24">
        <f>IF($A17="","",IFERROR(INDEX('CAT_ESTADOS_ERP'!$B$4:$B$22,MATCH(IFERROR(INDEX('2_IMPORTAR_EJECUCION'!$C$9:$C$1208,MATCH($AU17,'2_IMPORTAR_EJECUCION'!$J$9:$J$1208,0)),""),'CAT_ESTADOS_ERP'!$A$4:$A$22,0)),"Pendiente"))</f>
        <v/>
      </c>
      <c r="O17" s="24">
        <f>IF($J17="","",YEAR($J17+4-WEEKDAY($J17,2))&amp;"-S"&amp;TEXT(_xlfn.ISOWEEKNUM($J17),"00"))</f>
        <v/>
      </c>
      <c r="P17" s="24">
        <f>IF($J17="","",YEAR($J17))</f>
        <v/>
      </c>
      <c r="Q17" s="24">
        <f>IF($J17="","",MONTH($J17))</f>
        <v/>
      </c>
      <c r="R17" s="24">
        <f>IF($J17="","",$P17&amp;"-"&amp;TEXT($Q17,"00"))</f>
        <v/>
      </c>
      <c r="S17" s="24">
        <f>IF($J17="","",INDEX(lista_dias,WEEKDAY($J17,2)))</f>
        <v/>
      </c>
      <c r="T17" s="24">
        <f>IF($J17="","",IFERROR(INDEX('CALENDARIO'!$C$15:$C$214,MATCH(TEXT($J17,"yyyy-mm-dd")&amp;"|"&amp;$Y17&amp;"|"&amp;$Z17,'CALENDARIO'!$G$15:$G$214,0)),IFERROR(INDEX('CALENDARIO'!$C$15:$C$214,MATCH(TEXT($J17,"yyyy-mm-dd")&amp;"|"&amp;$Y17&amp;"|",'CALENDARIO'!$G$15:$G$214,0)),IFERROR(INDEX('CALENDARIO'!$C$15:$C$214,MATCH(TEXT($J17,"yyyy-mm-dd")&amp;"||",'CALENDARIO'!$G$15:$G$214,0)),INDEX(patronHabil,WEEKDAY($J17,2))))))</f>
        <v/>
      </c>
      <c r="U17" s="24">
        <f>IF($I17="","",IFERROR(INDEX('CAT_TIPOS_OT'!$C$4:$C$23,MATCH($I17,'CAT_TIPOS_OT'!$A$4:$A$23,0)),"sin_clasificar"))</f>
        <v/>
      </c>
      <c r="V17" s="24">
        <f>IF($I17="","",IF(IFERROR(INDEX('CAT_TIPOS_OT'!$D$4:$D$23,MATCH($I17,'CAT_TIPOS_OT'!$A$4:$A$23,0)),"SIN CLASIFICAR")="","SIN CLASIFICAR",IFERROR(INDEX('CAT_TIPOS_OT'!$D$4:$D$23,MATCH($I17,'CAT_TIPOS_OT'!$A$4:$A$23,0)),"SIN CLASIFICAR")))</f>
        <v/>
      </c>
      <c r="W17" s="24">
        <f>IF($H17="","",IF(IFERROR(INDEX('CAT_ACTIVIDADES'!$F$4:$F$26,MATCH($H17,'CAT_ACTIVIDADES'!$A$4:$A$26,0)),"")=0,"",IFERROR(INDEX('CAT_ACTIVIDADES'!$F$4:$F$26,MATCH($H17,'CAT_ACTIVIDADES'!$A$4:$A$26,0)),"")))</f>
        <v/>
      </c>
      <c r="X17" s="24">
        <f>IF($F17="","",IFERROR(INDEX('CAT_CENTROS_COSTO'!$F$4:$F$28,MATCH($F17,'CAT_CENTROS_COSTO'!$A$4:$A$28,0)),"(sin catálogo)"))</f>
        <v/>
      </c>
      <c r="Y17" s="24">
        <f>IF($F17="","",IFERROR(INDEX('CAT_CENTROS_COSTO'!$D$4:$D$28,MATCH($F17,'CAT_CENTROS_COSTO'!$A$4:$A$28,0)),"(sin catálogo)"))</f>
        <v/>
      </c>
      <c r="Z17" s="24">
        <f>IF($F17="","",IF((IFERROR(INDEX('CAT_CENTROS_COSTO'!$E$4:$E$28,MATCH($F17,'CAT_CENTROS_COSTO'!$A$4:$A$28,0)),""))&lt;&gt;"",IFERROR(INDEX('CAT_CENTROS_COSTO'!$E$4:$E$28,MATCH($F17,'CAT_CENTROS_COSTO'!$A$4:$A$28,0)),""),$Y17))</f>
        <v/>
      </c>
      <c r="AA17" s="24">
        <f>IF($F17="","",IFERROR(INDEX('CAT_CENTROS_COSTO'!$G$4:$G$28,MATCH($F17,'CAT_CENTROS_COSTO'!$A$4:$A$28,0)),"(sin catálogo)"))</f>
        <v/>
      </c>
      <c r="AB17" s="24">
        <f>IF($G17="","",IFERROR(INDEX('CAT_PUESTOS'!$B$4:$B$23,MATCH($G17,'CAT_PUESTOS'!$A$4:$A$23,0)),"(sin catálogo)"))</f>
        <v/>
      </c>
      <c r="AC17" s="24">
        <f>IF($H17="","",IFERROR(INDEX('CAT_ACTIVIDADES'!$B$4:$B$26,MATCH($H17,'CAT_ACTIVIDADES'!$A$4:$A$26,0)),"(sin catálogo)"))</f>
        <v/>
      </c>
      <c r="AD17" s="26">
        <f>IF($J17="","",TODAY()-$J17)</f>
        <v/>
      </c>
      <c r="AE17" s="26">
        <f>IF($J17="","",IF($J17&lt;=TODAY(),COUNTIFS(cal_fechas,"&gt;="&amp;$J17,cal_fechas,"&lt;"&amp;TODAY(),cal_habil,"sí"),-COUNTIFS(cal_fechas,"&gt;="&amp;TODAY(),cal_fechas,"&lt;"&amp;$J17,cal_habil,"sí")))</f>
        <v/>
      </c>
      <c r="AF17" s="24">
        <f>IF($AE17="","",IF($AE17&lt;0,"FUTURO",IF($AE17&gt;p_dias_backlog_max,"BACKLOG","MES CORRIENTE")))</f>
        <v/>
      </c>
      <c r="AG17" s="24">
        <f>IF($AE17="",FALSE,AND($AE17&gt;p_dias_backlog_min,$AE17&lt;=p_dias_backlog_max))</f>
        <v/>
      </c>
      <c r="AH17" s="4" t="n"/>
      <c r="AI17" s="24">
        <f>IF($AH17="","",IF((IFERROR(INDEX('ASIGNACIONES'!$J$4:$J$451,MATCH($O17&amp;"|"&amp;$S17&amp;"|"&amp;$AH17,'ASIGNACIONES'!$N$4:$N$451,0)),""))=0,"",IFERROR(INDEX('ASIGNACIONES'!$J$4:$J$451,MATCH($O17&amp;"|"&amp;$S17&amp;"|"&amp;$AH17,'ASIGNACIONES'!$N$4:$N$451,0)),"")))</f>
        <v/>
      </c>
      <c r="AJ17" s="42">
        <f>IF($AH17="","",SUMIFS('ORDENES'!$M$4:$M$1203,'ORDENES'!$AH$4:$AH$1203,$AH17,'ORDENES'!$O$4:$O$1203,$O17,'ORDENES'!$S$4:$S$1203,$S17))</f>
        <v/>
      </c>
      <c r="AK17" s="42">
        <f>IF($AJ17="","",p_factor_productividad*IFERROR(INDEX('ASIGNACIONES'!$M$4:$M$451,MATCH($O17&amp;"|"&amp;$S17&amp;"|"&amp;$AH17,'ASIGNACIONES'!$N$4:$N$451,0)),0)-$AJ17)</f>
        <v/>
      </c>
      <c r="AL17" s="32">
        <f>IF($A17="","",IFERROR(INDEX('2_IMPORTAR_EJECUCION'!$F$9:$F$1208,MATCH($AU17,'2_IMPORTAR_EJECUCION'!$J$9:$J$1208,0)),0))</f>
        <v/>
      </c>
      <c r="AM17" s="32">
        <f>IF($A17="","",MAX(0,IFERROR(INDEX('2_IMPORTAR_EJECUCION'!$H$9:$H$1208,MATCH($AU17,'2_IMPORTAR_EJECUCION'!$J$9:$J$1208,0)),0)-$AL17))</f>
        <v/>
      </c>
      <c r="AN17" s="32">
        <f>IF($A17="","",$AL17+$AM17)</f>
        <v/>
      </c>
      <c r="AO17" s="24">
        <f>IF($A17="","",IF(OR((IFERROR(INDEX('CAT_ACTIVIDADES'!$D$4:$D$26,MATCH($H17,'CAT_ACTIVIDADES'!$A$4:$A$26,0)),""))=0,(IFERROR(INDEX('CAT_ACTIVIDADES'!$D$4:$D$26,MATCH($H17,'CAT_ACTIVIDADES'!$A$4:$A$26,0)),""))=""),"SIN CLASIFICAR",IFERROR(INDEX('CAT_ACTIVIDADES'!$D$4:$D$26,MATCH($H17,'CAT_ACTIVIDADES'!$A$4:$A$26,0)),"")))</f>
        <v/>
      </c>
      <c r="AP17" s="4" t="n"/>
      <c r="AQ17" s="4" t="n"/>
      <c r="AR17" s="4" t="n"/>
      <c r="AS17" s="24">
        <f>IF($AR17="","",HYPERLINK(p_ruta_base_checklists&amp;$AR17,"abrir"))</f>
        <v/>
      </c>
      <c r="AT17" s="4" t="n"/>
      <c r="AU17" s="24">
        <f>IF($A17="","",$A17&amp;IF($B17="","0010",$B17))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1" t="n"/>
      <c r="K18" s="5" t="n"/>
      <c r="L18" s="18" t="n"/>
      <c r="M18" s="24">
        <f>IF($A18="","",IFERROR(INDEX('AJUSTES'!$B$4:$B$303,MATCH($AU18,'AJUSTES'!$A$4:$A$303,0)),IF($K18="","",$K18)))</f>
        <v/>
      </c>
      <c r="N18" s="24">
        <f>IF($A18="","",IFERROR(INDEX('CAT_ESTADOS_ERP'!$B$4:$B$22,MATCH(IFERROR(INDEX('2_IMPORTAR_EJECUCION'!$C$9:$C$1208,MATCH($AU18,'2_IMPORTAR_EJECUCION'!$J$9:$J$1208,0)),""),'CAT_ESTADOS_ERP'!$A$4:$A$22,0)),"Pendiente"))</f>
        <v/>
      </c>
      <c r="O18" s="24">
        <f>IF($J18="","",YEAR($J18+4-WEEKDAY($J18,2))&amp;"-S"&amp;TEXT(_xlfn.ISOWEEKNUM($J18),"00"))</f>
        <v/>
      </c>
      <c r="P18" s="24">
        <f>IF($J18="","",YEAR($J18))</f>
        <v/>
      </c>
      <c r="Q18" s="24">
        <f>IF($J18="","",MONTH($J18))</f>
        <v/>
      </c>
      <c r="R18" s="24">
        <f>IF($J18="","",$P18&amp;"-"&amp;TEXT($Q18,"00"))</f>
        <v/>
      </c>
      <c r="S18" s="24">
        <f>IF($J18="","",INDEX(lista_dias,WEEKDAY($J18,2)))</f>
        <v/>
      </c>
      <c r="T18" s="24">
        <f>IF($J18="","",IFERROR(INDEX('CALENDARIO'!$C$15:$C$214,MATCH(TEXT($J18,"yyyy-mm-dd")&amp;"|"&amp;$Y18&amp;"|"&amp;$Z18,'CALENDARIO'!$G$15:$G$214,0)),IFERROR(INDEX('CALENDARIO'!$C$15:$C$214,MATCH(TEXT($J18,"yyyy-mm-dd")&amp;"|"&amp;$Y18&amp;"|",'CALENDARIO'!$G$15:$G$214,0)),IFERROR(INDEX('CALENDARIO'!$C$15:$C$214,MATCH(TEXT($J18,"yyyy-mm-dd")&amp;"||",'CALENDARIO'!$G$15:$G$214,0)),INDEX(patronHabil,WEEKDAY($J18,2))))))</f>
        <v/>
      </c>
      <c r="U18" s="24">
        <f>IF($I18="","",IFERROR(INDEX('CAT_TIPOS_OT'!$C$4:$C$23,MATCH($I18,'CAT_TIPOS_OT'!$A$4:$A$23,0)),"sin_clasificar"))</f>
        <v/>
      </c>
      <c r="V18" s="24">
        <f>IF($I18="","",IF(IFERROR(INDEX('CAT_TIPOS_OT'!$D$4:$D$23,MATCH($I18,'CAT_TIPOS_OT'!$A$4:$A$23,0)),"SIN CLASIFICAR")="","SIN CLASIFICAR",IFERROR(INDEX('CAT_TIPOS_OT'!$D$4:$D$23,MATCH($I18,'CAT_TIPOS_OT'!$A$4:$A$23,0)),"SIN CLASIFICAR")))</f>
        <v/>
      </c>
      <c r="W18" s="24">
        <f>IF($H18="","",IF(IFERROR(INDEX('CAT_ACTIVIDADES'!$F$4:$F$26,MATCH($H18,'CAT_ACTIVIDADES'!$A$4:$A$26,0)),"")=0,"",IFERROR(INDEX('CAT_ACTIVIDADES'!$F$4:$F$26,MATCH($H18,'CAT_ACTIVIDADES'!$A$4:$A$26,0)),"")))</f>
        <v/>
      </c>
      <c r="X18" s="24">
        <f>IF($F18="","",IFERROR(INDEX('CAT_CENTROS_COSTO'!$F$4:$F$28,MATCH($F18,'CAT_CENTROS_COSTO'!$A$4:$A$28,0)),"(sin catálogo)"))</f>
        <v/>
      </c>
      <c r="Y18" s="24">
        <f>IF($F18="","",IFERROR(INDEX('CAT_CENTROS_COSTO'!$D$4:$D$28,MATCH($F18,'CAT_CENTROS_COSTO'!$A$4:$A$28,0)),"(sin catálogo)"))</f>
        <v/>
      </c>
      <c r="Z18" s="24">
        <f>IF($F18="","",IF((IFERROR(INDEX('CAT_CENTROS_COSTO'!$E$4:$E$28,MATCH($F18,'CAT_CENTROS_COSTO'!$A$4:$A$28,0)),""))&lt;&gt;"",IFERROR(INDEX('CAT_CENTROS_COSTO'!$E$4:$E$28,MATCH($F18,'CAT_CENTROS_COSTO'!$A$4:$A$28,0)),""),$Y18))</f>
        <v/>
      </c>
      <c r="AA18" s="24">
        <f>IF($F18="","",IFERROR(INDEX('CAT_CENTROS_COSTO'!$G$4:$G$28,MATCH($F18,'CAT_CENTROS_COSTO'!$A$4:$A$28,0)),"(sin catálogo)"))</f>
        <v/>
      </c>
      <c r="AB18" s="24">
        <f>IF($G18="","",IFERROR(INDEX('CAT_PUESTOS'!$B$4:$B$23,MATCH($G18,'CAT_PUESTOS'!$A$4:$A$23,0)),"(sin catálogo)"))</f>
        <v/>
      </c>
      <c r="AC18" s="24">
        <f>IF($H18="","",IFERROR(INDEX('CAT_ACTIVIDADES'!$B$4:$B$26,MATCH($H18,'CAT_ACTIVIDADES'!$A$4:$A$26,0)),"(sin catálogo)"))</f>
        <v/>
      </c>
      <c r="AD18" s="26">
        <f>IF($J18="","",TODAY()-$J18)</f>
        <v/>
      </c>
      <c r="AE18" s="26">
        <f>IF($J18="","",IF($J18&lt;=TODAY(),COUNTIFS(cal_fechas,"&gt;="&amp;$J18,cal_fechas,"&lt;"&amp;TODAY(),cal_habil,"sí"),-COUNTIFS(cal_fechas,"&gt;="&amp;TODAY(),cal_fechas,"&lt;"&amp;$J18,cal_habil,"sí")))</f>
        <v/>
      </c>
      <c r="AF18" s="24">
        <f>IF($AE18="","",IF($AE18&lt;0,"FUTURO",IF($AE18&gt;p_dias_backlog_max,"BACKLOG","MES CORRIENTE")))</f>
        <v/>
      </c>
      <c r="AG18" s="24">
        <f>IF($AE18="",FALSE,AND($AE18&gt;p_dias_backlog_min,$AE18&lt;=p_dias_backlog_max))</f>
        <v/>
      </c>
      <c r="AH18" s="4" t="n"/>
      <c r="AI18" s="24">
        <f>IF($AH18="","",IF((IFERROR(INDEX('ASIGNACIONES'!$J$4:$J$451,MATCH($O18&amp;"|"&amp;$S18&amp;"|"&amp;$AH18,'ASIGNACIONES'!$N$4:$N$451,0)),""))=0,"",IFERROR(INDEX('ASIGNACIONES'!$J$4:$J$451,MATCH($O18&amp;"|"&amp;$S18&amp;"|"&amp;$AH18,'ASIGNACIONES'!$N$4:$N$451,0)),"")))</f>
        <v/>
      </c>
      <c r="AJ18" s="42">
        <f>IF($AH18="","",SUMIFS('ORDENES'!$M$4:$M$1203,'ORDENES'!$AH$4:$AH$1203,$AH18,'ORDENES'!$O$4:$O$1203,$O18,'ORDENES'!$S$4:$S$1203,$S18))</f>
        <v/>
      </c>
      <c r="AK18" s="42">
        <f>IF($AJ18="","",p_factor_productividad*IFERROR(INDEX('ASIGNACIONES'!$M$4:$M$451,MATCH($O18&amp;"|"&amp;$S18&amp;"|"&amp;$AH18,'ASIGNACIONES'!$N$4:$N$451,0)),0)-$AJ18)</f>
        <v/>
      </c>
      <c r="AL18" s="32">
        <f>IF($A18="","",IFERROR(INDEX('2_IMPORTAR_EJECUCION'!$F$9:$F$1208,MATCH($AU18,'2_IMPORTAR_EJECUCION'!$J$9:$J$1208,0)),0))</f>
        <v/>
      </c>
      <c r="AM18" s="32">
        <f>IF($A18="","",MAX(0,IFERROR(INDEX('2_IMPORTAR_EJECUCION'!$H$9:$H$1208,MATCH($AU18,'2_IMPORTAR_EJECUCION'!$J$9:$J$1208,0)),0)-$AL18))</f>
        <v/>
      </c>
      <c r="AN18" s="32">
        <f>IF($A18="","",$AL18+$AM18)</f>
        <v/>
      </c>
      <c r="AO18" s="24">
        <f>IF($A18="","",IF(OR((IFERROR(INDEX('CAT_ACTIVIDADES'!$D$4:$D$26,MATCH($H18,'CAT_ACTIVIDADES'!$A$4:$A$26,0)),""))=0,(IFERROR(INDEX('CAT_ACTIVIDADES'!$D$4:$D$26,MATCH($H18,'CAT_ACTIVIDADES'!$A$4:$A$26,0)),""))=""),"SIN CLASIFICAR",IFERROR(INDEX('CAT_ACTIVIDADES'!$D$4:$D$26,MATCH($H18,'CAT_ACTIVIDADES'!$A$4:$A$26,0)),"")))</f>
        <v/>
      </c>
      <c r="AP18" s="4" t="n"/>
      <c r="AQ18" s="4" t="n"/>
      <c r="AR18" s="4" t="n"/>
      <c r="AS18" s="24">
        <f>IF($AR18="","",HYPERLINK(p_ruta_base_checklists&amp;$AR18,"abrir"))</f>
        <v/>
      </c>
      <c r="AT18" s="4" t="n"/>
      <c r="AU18" s="24">
        <f>IF($A18="","",$A18&amp;IF($B18="","0010",$B18))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1" t="n"/>
      <c r="K19" s="5" t="n"/>
      <c r="L19" s="18" t="n"/>
      <c r="M19" s="24">
        <f>IF($A19="","",IFERROR(INDEX('AJUSTES'!$B$4:$B$303,MATCH($AU19,'AJUSTES'!$A$4:$A$303,0)),IF($K19="","",$K19)))</f>
        <v/>
      </c>
      <c r="N19" s="24">
        <f>IF($A19="","",IFERROR(INDEX('CAT_ESTADOS_ERP'!$B$4:$B$22,MATCH(IFERROR(INDEX('2_IMPORTAR_EJECUCION'!$C$9:$C$1208,MATCH($AU19,'2_IMPORTAR_EJECUCION'!$J$9:$J$1208,0)),""),'CAT_ESTADOS_ERP'!$A$4:$A$22,0)),"Pendiente"))</f>
        <v/>
      </c>
      <c r="O19" s="24">
        <f>IF($J19="","",YEAR($J19+4-WEEKDAY($J19,2))&amp;"-S"&amp;TEXT(_xlfn.ISOWEEKNUM($J19),"00"))</f>
        <v/>
      </c>
      <c r="P19" s="24">
        <f>IF($J19="","",YEAR($J19))</f>
        <v/>
      </c>
      <c r="Q19" s="24">
        <f>IF($J19="","",MONTH($J19))</f>
        <v/>
      </c>
      <c r="R19" s="24">
        <f>IF($J19="","",$P19&amp;"-"&amp;TEXT($Q19,"00"))</f>
        <v/>
      </c>
      <c r="S19" s="24">
        <f>IF($J19="","",INDEX(lista_dias,WEEKDAY($J19,2)))</f>
        <v/>
      </c>
      <c r="T19" s="24">
        <f>IF($J19="","",IFERROR(INDEX('CALENDARIO'!$C$15:$C$214,MATCH(TEXT($J19,"yyyy-mm-dd")&amp;"|"&amp;$Y19&amp;"|"&amp;$Z19,'CALENDARIO'!$G$15:$G$214,0)),IFERROR(INDEX('CALENDARIO'!$C$15:$C$214,MATCH(TEXT($J19,"yyyy-mm-dd")&amp;"|"&amp;$Y19&amp;"|",'CALENDARIO'!$G$15:$G$214,0)),IFERROR(INDEX('CALENDARIO'!$C$15:$C$214,MATCH(TEXT($J19,"yyyy-mm-dd")&amp;"||",'CALENDARIO'!$G$15:$G$214,0)),INDEX(patronHabil,WEEKDAY($J19,2))))))</f>
        <v/>
      </c>
      <c r="U19" s="24">
        <f>IF($I19="","",IFERROR(INDEX('CAT_TIPOS_OT'!$C$4:$C$23,MATCH($I19,'CAT_TIPOS_OT'!$A$4:$A$23,0)),"sin_clasificar"))</f>
        <v/>
      </c>
      <c r="V19" s="24">
        <f>IF($I19="","",IF(IFERROR(INDEX('CAT_TIPOS_OT'!$D$4:$D$23,MATCH($I19,'CAT_TIPOS_OT'!$A$4:$A$23,0)),"SIN CLASIFICAR")="","SIN CLASIFICAR",IFERROR(INDEX('CAT_TIPOS_OT'!$D$4:$D$23,MATCH($I19,'CAT_TIPOS_OT'!$A$4:$A$23,0)),"SIN CLASIFICAR")))</f>
        <v/>
      </c>
      <c r="W19" s="24">
        <f>IF($H19="","",IF(IFERROR(INDEX('CAT_ACTIVIDADES'!$F$4:$F$26,MATCH($H19,'CAT_ACTIVIDADES'!$A$4:$A$26,0)),"")=0,"",IFERROR(INDEX('CAT_ACTIVIDADES'!$F$4:$F$26,MATCH($H19,'CAT_ACTIVIDADES'!$A$4:$A$26,0)),"")))</f>
        <v/>
      </c>
      <c r="X19" s="24">
        <f>IF($F19="","",IFERROR(INDEX('CAT_CENTROS_COSTO'!$F$4:$F$28,MATCH($F19,'CAT_CENTROS_COSTO'!$A$4:$A$28,0)),"(sin catálogo)"))</f>
        <v/>
      </c>
      <c r="Y19" s="24">
        <f>IF($F19="","",IFERROR(INDEX('CAT_CENTROS_COSTO'!$D$4:$D$28,MATCH($F19,'CAT_CENTROS_COSTO'!$A$4:$A$28,0)),"(sin catálogo)"))</f>
        <v/>
      </c>
      <c r="Z19" s="24">
        <f>IF($F19="","",IF((IFERROR(INDEX('CAT_CENTROS_COSTO'!$E$4:$E$28,MATCH($F19,'CAT_CENTROS_COSTO'!$A$4:$A$28,0)),""))&lt;&gt;"",IFERROR(INDEX('CAT_CENTROS_COSTO'!$E$4:$E$28,MATCH($F19,'CAT_CENTROS_COSTO'!$A$4:$A$28,0)),""),$Y19))</f>
        <v/>
      </c>
      <c r="AA19" s="24">
        <f>IF($F19="","",IFERROR(INDEX('CAT_CENTROS_COSTO'!$G$4:$G$28,MATCH($F19,'CAT_CENTROS_COSTO'!$A$4:$A$28,0)),"(sin catálogo)"))</f>
        <v/>
      </c>
      <c r="AB19" s="24">
        <f>IF($G19="","",IFERROR(INDEX('CAT_PUESTOS'!$B$4:$B$23,MATCH($G19,'CAT_PUESTOS'!$A$4:$A$23,0)),"(sin catálogo)"))</f>
        <v/>
      </c>
      <c r="AC19" s="24">
        <f>IF($H19="","",IFERROR(INDEX('CAT_ACTIVIDADES'!$B$4:$B$26,MATCH($H19,'CAT_ACTIVIDADES'!$A$4:$A$26,0)),"(sin catálogo)"))</f>
        <v/>
      </c>
      <c r="AD19" s="26">
        <f>IF($J19="","",TODAY()-$J19)</f>
        <v/>
      </c>
      <c r="AE19" s="26">
        <f>IF($J19="","",IF($J19&lt;=TODAY(),COUNTIFS(cal_fechas,"&gt;="&amp;$J19,cal_fechas,"&lt;"&amp;TODAY(),cal_habil,"sí"),-COUNTIFS(cal_fechas,"&gt;="&amp;TODAY(),cal_fechas,"&lt;"&amp;$J19,cal_habil,"sí")))</f>
        <v/>
      </c>
      <c r="AF19" s="24">
        <f>IF($AE19="","",IF($AE19&lt;0,"FUTURO",IF($AE19&gt;p_dias_backlog_max,"BACKLOG","MES CORRIENTE")))</f>
        <v/>
      </c>
      <c r="AG19" s="24">
        <f>IF($AE19="",FALSE,AND($AE19&gt;p_dias_backlog_min,$AE19&lt;=p_dias_backlog_max))</f>
        <v/>
      </c>
      <c r="AH19" s="4" t="n"/>
      <c r="AI19" s="24">
        <f>IF($AH19="","",IF((IFERROR(INDEX('ASIGNACIONES'!$J$4:$J$451,MATCH($O19&amp;"|"&amp;$S19&amp;"|"&amp;$AH19,'ASIGNACIONES'!$N$4:$N$451,0)),""))=0,"",IFERROR(INDEX('ASIGNACIONES'!$J$4:$J$451,MATCH($O19&amp;"|"&amp;$S19&amp;"|"&amp;$AH19,'ASIGNACIONES'!$N$4:$N$451,0)),"")))</f>
        <v/>
      </c>
      <c r="AJ19" s="42">
        <f>IF($AH19="","",SUMIFS('ORDENES'!$M$4:$M$1203,'ORDENES'!$AH$4:$AH$1203,$AH19,'ORDENES'!$O$4:$O$1203,$O19,'ORDENES'!$S$4:$S$1203,$S19))</f>
        <v/>
      </c>
      <c r="AK19" s="42">
        <f>IF($AJ19="","",p_factor_productividad*IFERROR(INDEX('ASIGNACIONES'!$M$4:$M$451,MATCH($O19&amp;"|"&amp;$S19&amp;"|"&amp;$AH19,'ASIGNACIONES'!$N$4:$N$451,0)),0)-$AJ19)</f>
        <v/>
      </c>
      <c r="AL19" s="32">
        <f>IF($A19="","",IFERROR(INDEX('2_IMPORTAR_EJECUCION'!$F$9:$F$1208,MATCH($AU19,'2_IMPORTAR_EJECUCION'!$J$9:$J$1208,0)),0))</f>
        <v/>
      </c>
      <c r="AM19" s="32">
        <f>IF($A19="","",MAX(0,IFERROR(INDEX('2_IMPORTAR_EJECUCION'!$H$9:$H$1208,MATCH($AU19,'2_IMPORTAR_EJECUCION'!$J$9:$J$1208,0)),0)-$AL19))</f>
        <v/>
      </c>
      <c r="AN19" s="32">
        <f>IF($A19="","",$AL19+$AM19)</f>
        <v/>
      </c>
      <c r="AO19" s="24">
        <f>IF($A19="","",IF(OR((IFERROR(INDEX('CAT_ACTIVIDADES'!$D$4:$D$26,MATCH($H19,'CAT_ACTIVIDADES'!$A$4:$A$26,0)),""))=0,(IFERROR(INDEX('CAT_ACTIVIDADES'!$D$4:$D$26,MATCH($H19,'CAT_ACTIVIDADES'!$A$4:$A$26,0)),""))=""),"SIN CLASIFICAR",IFERROR(INDEX('CAT_ACTIVIDADES'!$D$4:$D$26,MATCH($H19,'CAT_ACTIVIDADES'!$A$4:$A$26,0)),"")))</f>
        <v/>
      </c>
      <c r="AP19" s="4" t="n"/>
      <c r="AQ19" s="4" t="n"/>
      <c r="AR19" s="4" t="n"/>
      <c r="AS19" s="24">
        <f>IF($AR19="","",HYPERLINK(p_ruta_base_checklists&amp;$AR19,"abrir"))</f>
        <v/>
      </c>
      <c r="AT19" s="4" t="n"/>
      <c r="AU19" s="24">
        <f>IF($A19="","",$A19&amp;IF($B19="","0010",$B19))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1" t="n"/>
      <c r="K20" s="5" t="n"/>
      <c r="L20" s="18" t="n"/>
      <c r="M20" s="24">
        <f>IF($A20="","",IFERROR(INDEX('AJUSTES'!$B$4:$B$303,MATCH($AU20,'AJUSTES'!$A$4:$A$303,0)),IF($K20="","",$K20)))</f>
        <v/>
      </c>
      <c r="N20" s="24">
        <f>IF($A20="","",IFERROR(INDEX('CAT_ESTADOS_ERP'!$B$4:$B$22,MATCH(IFERROR(INDEX('2_IMPORTAR_EJECUCION'!$C$9:$C$1208,MATCH($AU20,'2_IMPORTAR_EJECUCION'!$J$9:$J$1208,0)),""),'CAT_ESTADOS_ERP'!$A$4:$A$22,0)),"Pendiente"))</f>
        <v/>
      </c>
      <c r="O20" s="24">
        <f>IF($J20="","",YEAR($J20+4-WEEKDAY($J20,2))&amp;"-S"&amp;TEXT(_xlfn.ISOWEEKNUM($J20),"00"))</f>
        <v/>
      </c>
      <c r="P20" s="24">
        <f>IF($J20="","",YEAR($J20))</f>
        <v/>
      </c>
      <c r="Q20" s="24">
        <f>IF($J20="","",MONTH($J20))</f>
        <v/>
      </c>
      <c r="R20" s="24">
        <f>IF($J20="","",$P20&amp;"-"&amp;TEXT($Q20,"00"))</f>
        <v/>
      </c>
      <c r="S20" s="24">
        <f>IF($J20="","",INDEX(lista_dias,WEEKDAY($J20,2)))</f>
        <v/>
      </c>
      <c r="T20" s="24">
        <f>IF($J20="","",IFERROR(INDEX('CALENDARIO'!$C$15:$C$214,MATCH(TEXT($J20,"yyyy-mm-dd")&amp;"|"&amp;$Y20&amp;"|"&amp;$Z20,'CALENDARIO'!$G$15:$G$214,0)),IFERROR(INDEX('CALENDARIO'!$C$15:$C$214,MATCH(TEXT($J20,"yyyy-mm-dd")&amp;"|"&amp;$Y20&amp;"|",'CALENDARIO'!$G$15:$G$214,0)),IFERROR(INDEX('CALENDARIO'!$C$15:$C$214,MATCH(TEXT($J20,"yyyy-mm-dd")&amp;"||",'CALENDARIO'!$G$15:$G$214,0)),INDEX(patronHabil,WEEKDAY($J20,2))))))</f>
        <v/>
      </c>
      <c r="U20" s="24">
        <f>IF($I20="","",IFERROR(INDEX('CAT_TIPOS_OT'!$C$4:$C$23,MATCH($I20,'CAT_TIPOS_OT'!$A$4:$A$23,0)),"sin_clasificar"))</f>
        <v/>
      </c>
      <c r="V20" s="24">
        <f>IF($I20="","",IF(IFERROR(INDEX('CAT_TIPOS_OT'!$D$4:$D$23,MATCH($I20,'CAT_TIPOS_OT'!$A$4:$A$23,0)),"SIN CLASIFICAR")="","SIN CLASIFICAR",IFERROR(INDEX('CAT_TIPOS_OT'!$D$4:$D$23,MATCH($I20,'CAT_TIPOS_OT'!$A$4:$A$23,0)),"SIN CLASIFICAR")))</f>
        <v/>
      </c>
      <c r="W20" s="24">
        <f>IF($H20="","",IF(IFERROR(INDEX('CAT_ACTIVIDADES'!$F$4:$F$26,MATCH($H20,'CAT_ACTIVIDADES'!$A$4:$A$26,0)),"")=0,"",IFERROR(INDEX('CAT_ACTIVIDADES'!$F$4:$F$26,MATCH($H20,'CAT_ACTIVIDADES'!$A$4:$A$26,0)),"")))</f>
        <v/>
      </c>
      <c r="X20" s="24">
        <f>IF($F20="","",IFERROR(INDEX('CAT_CENTROS_COSTO'!$F$4:$F$28,MATCH($F20,'CAT_CENTROS_COSTO'!$A$4:$A$28,0)),"(sin catálogo)"))</f>
        <v/>
      </c>
      <c r="Y20" s="24">
        <f>IF($F20="","",IFERROR(INDEX('CAT_CENTROS_COSTO'!$D$4:$D$28,MATCH($F20,'CAT_CENTROS_COSTO'!$A$4:$A$28,0)),"(sin catálogo)"))</f>
        <v/>
      </c>
      <c r="Z20" s="24">
        <f>IF($F20="","",IF((IFERROR(INDEX('CAT_CENTROS_COSTO'!$E$4:$E$28,MATCH($F20,'CAT_CENTROS_COSTO'!$A$4:$A$28,0)),""))&lt;&gt;"",IFERROR(INDEX('CAT_CENTROS_COSTO'!$E$4:$E$28,MATCH($F20,'CAT_CENTROS_COSTO'!$A$4:$A$28,0)),""),$Y20))</f>
        <v/>
      </c>
      <c r="AA20" s="24">
        <f>IF($F20="","",IFERROR(INDEX('CAT_CENTROS_COSTO'!$G$4:$G$28,MATCH($F20,'CAT_CENTROS_COSTO'!$A$4:$A$28,0)),"(sin catálogo)"))</f>
        <v/>
      </c>
      <c r="AB20" s="24">
        <f>IF($G20="","",IFERROR(INDEX('CAT_PUESTOS'!$B$4:$B$23,MATCH($G20,'CAT_PUESTOS'!$A$4:$A$23,0)),"(sin catálogo)"))</f>
        <v/>
      </c>
      <c r="AC20" s="24">
        <f>IF($H20="","",IFERROR(INDEX('CAT_ACTIVIDADES'!$B$4:$B$26,MATCH($H20,'CAT_ACTIVIDADES'!$A$4:$A$26,0)),"(sin catálogo)"))</f>
        <v/>
      </c>
      <c r="AD20" s="26">
        <f>IF($J20="","",TODAY()-$J20)</f>
        <v/>
      </c>
      <c r="AE20" s="26">
        <f>IF($J20="","",IF($J20&lt;=TODAY(),COUNTIFS(cal_fechas,"&gt;="&amp;$J20,cal_fechas,"&lt;"&amp;TODAY(),cal_habil,"sí"),-COUNTIFS(cal_fechas,"&gt;="&amp;TODAY(),cal_fechas,"&lt;"&amp;$J20,cal_habil,"sí")))</f>
        <v/>
      </c>
      <c r="AF20" s="24">
        <f>IF($AE20="","",IF($AE20&lt;0,"FUTURO",IF($AE20&gt;p_dias_backlog_max,"BACKLOG","MES CORRIENTE")))</f>
        <v/>
      </c>
      <c r="AG20" s="24">
        <f>IF($AE20="",FALSE,AND($AE20&gt;p_dias_backlog_min,$AE20&lt;=p_dias_backlog_max))</f>
        <v/>
      </c>
      <c r="AH20" s="4" t="n"/>
      <c r="AI20" s="24">
        <f>IF($AH20="","",IF((IFERROR(INDEX('ASIGNACIONES'!$J$4:$J$451,MATCH($O20&amp;"|"&amp;$S20&amp;"|"&amp;$AH20,'ASIGNACIONES'!$N$4:$N$451,0)),""))=0,"",IFERROR(INDEX('ASIGNACIONES'!$J$4:$J$451,MATCH($O20&amp;"|"&amp;$S20&amp;"|"&amp;$AH20,'ASIGNACIONES'!$N$4:$N$451,0)),"")))</f>
        <v/>
      </c>
      <c r="AJ20" s="42">
        <f>IF($AH20="","",SUMIFS('ORDENES'!$M$4:$M$1203,'ORDENES'!$AH$4:$AH$1203,$AH20,'ORDENES'!$O$4:$O$1203,$O20,'ORDENES'!$S$4:$S$1203,$S20))</f>
        <v/>
      </c>
      <c r="AK20" s="42">
        <f>IF($AJ20="","",p_factor_productividad*IFERROR(INDEX('ASIGNACIONES'!$M$4:$M$451,MATCH($O20&amp;"|"&amp;$S20&amp;"|"&amp;$AH20,'ASIGNACIONES'!$N$4:$N$451,0)),0)-$AJ20)</f>
        <v/>
      </c>
      <c r="AL20" s="32">
        <f>IF($A20="","",IFERROR(INDEX('2_IMPORTAR_EJECUCION'!$F$9:$F$1208,MATCH($AU20,'2_IMPORTAR_EJECUCION'!$J$9:$J$1208,0)),0))</f>
        <v/>
      </c>
      <c r="AM20" s="32">
        <f>IF($A20="","",MAX(0,IFERROR(INDEX('2_IMPORTAR_EJECUCION'!$H$9:$H$1208,MATCH($AU20,'2_IMPORTAR_EJECUCION'!$J$9:$J$1208,0)),0)-$AL20))</f>
        <v/>
      </c>
      <c r="AN20" s="32">
        <f>IF($A20="","",$AL20+$AM20)</f>
        <v/>
      </c>
      <c r="AO20" s="24">
        <f>IF($A20="","",IF(OR((IFERROR(INDEX('CAT_ACTIVIDADES'!$D$4:$D$26,MATCH($H20,'CAT_ACTIVIDADES'!$A$4:$A$26,0)),""))=0,(IFERROR(INDEX('CAT_ACTIVIDADES'!$D$4:$D$26,MATCH($H20,'CAT_ACTIVIDADES'!$A$4:$A$26,0)),""))=""),"SIN CLASIFICAR",IFERROR(INDEX('CAT_ACTIVIDADES'!$D$4:$D$26,MATCH($H20,'CAT_ACTIVIDADES'!$A$4:$A$26,0)),"")))</f>
        <v/>
      </c>
      <c r="AP20" s="4" t="n"/>
      <c r="AQ20" s="4" t="n"/>
      <c r="AR20" s="4" t="n"/>
      <c r="AS20" s="24">
        <f>IF($AR20="","",HYPERLINK(p_ruta_base_checklists&amp;$AR20,"abrir"))</f>
        <v/>
      </c>
      <c r="AT20" s="4" t="n"/>
      <c r="AU20" s="24">
        <f>IF($A20="","",$A20&amp;IF($B20="","0010",$B20))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1" t="n"/>
      <c r="K21" s="5" t="n"/>
      <c r="L21" s="18" t="n"/>
      <c r="M21" s="24">
        <f>IF($A21="","",IFERROR(INDEX('AJUSTES'!$B$4:$B$303,MATCH($AU21,'AJUSTES'!$A$4:$A$303,0)),IF($K21="","",$K21)))</f>
        <v/>
      </c>
      <c r="N21" s="24">
        <f>IF($A21="","",IFERROR(INDEX('CAT_ESTADOS_ERP'!$B$4:$B$22,MATCH(IFERROR(INDEX('2_IMPORTAR_EJECUCION'!$C$9:$C$1208,MATCH($AU21,'2_IMPORTAR_EJECUCION'!$J$9:$J$1208,0)),""),'CAT_ESTADOS_ERP'!$A$4:$A$22,0)),"Pendiente"))</f>
        <v/>
      </c>
      <c r="O21" s="24">
        <f>IF($J21="","",YEAR($J21+4-WEEKDAY($J21,2))&amp;"-S"&amp;TEXT(_xlfn.ISOWEEKNUM($J21),"00"))</f>
        <v/>
      </c>
      <c r="P21" s="24">
        <f>IF($J21="","",YEAR($J21))</f>
        <v/>
      </c>
      <c r="Q21" s="24">
        <f>IF($J21="","",MONTH($J21))</f>
        <v/>
      </c>
      <c r="R21" s="24">
        <f>IF($J21="","",$P21&amp;"-"&amp;TEXT($Q21,"00"))</f>
        <v/>
      </c>
      <c r="S21" s="24">
        <f>IF($J21="","",INDEX(lista_dias,WEEKDAY($J21,2)))</f>
        <v/>
      </c>
      <c r="T21" s="24">
        <f>IF($J21="","",IFERROR(INDEX('CALENDARIO'!$C$15:$C$214,MATCH(TEXT($J21,"yyyy-mm-dd")&amp;"|"&amp;$Y21&amp;"|"&amp;$Z21,'CALENDARIO'!$G$15:$G$214,0)),IFERROR(INDEX('CALENDARIO'!$C$15:$C$214,MATCH(TEXT($J21,"yyyy-mm-dd")&amp;"|"&amp;$Y21&amp;"|",'CALENDARIO'!$G$15:$G$214,0)),IFERROR(INDEX('CALENDARIO'!$C$15:$C$214,MATCH(TEXT($J21,"yyyy-mm-dd")&amp;"||",'CALENDARIO'!$G$15:$G$214,0)),INDEX(patronHabil,WEEKDAY($J21,2))))))</f>
        <v/>
      </c>
      <c r="U21" s="24">
        <f>IF($I21="","",IFERROR(INDEX('CAT_TIPOS_OT'!$C$4:$C$23,MATCH($I21,'CAT_TIPOS_OT'!$A$4:$A$23,0)),"sin_clasificar"))</f>
        <v/>
      </c>
      <c r="V21" s="24">
        <f>IF($I21="","",IF(IFERROR(INDEX('CAT_TIPOS_OT'!$D$4:$D$23,MATCH($I21,'CAT_TIPOS_OT'!$A$4:$A$23,0)),"SIN CLASIFICAR")="","SIN CLASIFICAR",IFERROR(INDEX('CAT_TIPOS_OT'!$D$4:$D$23,MATCH($I21,'CAT_TIPOS_OT'!$A$4:$A$23,0)),"SIN CLASIFICAR")))</f>
        <v/>
      </c>
      <c r="W21" s="24">
        <f>IF($H21="","",IF(IFERROR(INDEX('CAT_ACTIVIDADES'!$F$4:$F$26,MATCH($H21,'CAT_ACTIVIDADES'!$A$4:$A$26,0)),"")=0,"",IFERROR(INDEX('CAT_ACTIVIDADES'!$F$4:$F$26,MATCH($H21,'CAT_ACTIVIDADES'!$A$4:$A$26,0)),"")))</f>
        <v/>
      </c>
      <c r="X21" s="24">
        <f>IF($F21="","",IFERROR(INDEX('CAT_CENTROS_COSTO'!$F$4:$F$28,MATCH($F21,'CAT_CENTROS_COSTO'!$A$4:$A$28,0)),"(sin catálogo)"))</f>
        <v/>
      </c>
      <c r="Y21" s="24">
        <f>IF($F21="","",IFERROR(INDEX('CAT_CENTROS_COSTO'!$D$4:$D$28,MATCH($F21,'CAT_CENTROS_COSTO'!$A$4:$A$28,0)),"(sin catálogo)"))</f>
        <v/>
      </c>
      <c r="Z21" s="24">
        <f>IF($F21="","",IF((IFERROR(INDEX('CAT_CENTROS_COSTO'!$E$4:$E$28,MATCH($F21,'CAT_CENTROS_COSTO'!$A$4:$A$28,0)),""))&lt;&gt;"",IFERROR(INDEX('CAT_CENTROS_COSTO'!$E$4:$E$28,MATCH($F21,'CAT_CENTROS_COSTO'!$A$4:$A$28,0)),""),$Y21))</f>
        <v/>
      </c>
      <c r="AA21" s="24">
        <f>IF($F21="","",IFERROR(INDEX('CAT_CENTROS_COSTO'!$G$4:$G$28,MATCH($F21,'CAT_CENTROS_COSTO'!$A$4:$A$28,0)),"(sin catálogo)"))</f>
        <v/>
      </c>
      <c r="AB21" s="24">
        <f>IF($G21="","",IFERROR(INDEX('CAT_PUESTOS'!$B$4:$B$23,MATCH($G21,'CAT_PUESTOS'!$A$4:$A$23,0)),"(sin catálogo)"))</f>
        <v/>
      </c>
      <c r="AC21" s="24">
        <f>IF($H21="","",IFERROR(INDEX('CAT_ACTIVIDADES'!$B$4:$B$26,MATCH($H21,'CAT_ACTIVIDADES'!$A$4:$A$26,0)),"(sin catálogo)"))</f>
        <v/>
      </c>
      <c r="AD21" s="26">
        <f>IF($J21="","",TODAY()-$J21)</f>
        <v/>
      </c>
      <c r="AE21" s="26">
        <f>IF($J21="","",IF($J21&lt;=TODAY(),COUNTIFS(cal_fechas,"&gt;="&amp;$J21,cal_fechas,"&lt;"&amp;TODAY(),cal_habil,"sí"),-COUNTIFS(cal_fechas,"&gt;="&amp;TODAY(),cal_fechas,"&lt;"&amp;$J21,cal_habil,"sí")))</f>
        <v/>
      </c>
      <c r="AF21" s="24">
        <f>IF($AE21="","",IF($AE21&lt;0,"FUTURO",IF($AE21&gt;p_dias_backlog_max,"BACKLOG","MES CORRIENTE")))</f>
        <v/>
      </c>
      <c r="AG21" s="24">
        <f>IF($AE21="",FALSE,AND($AE21&gt;p_dias_backlog_min,$AE21&lt;=p_dias_backlog_max))</f>
        <v/>
      </c>
      <c r="AH21" s="4" t="n"/>
      <c r="AI21" s="24">
        <f>IF($AH21="","",IF((IFERROR(INDEX('ASIGNACIONES'!$J$4:$J$451,MATCH($O21&amp;"|"&amp;$S21&amp;"|"&amp;$AH21,'ASIGNACIONES'!$N$4:$N$451,0)),""))=0,"",IFERROR(INDEX('ASIGNACIONES'!$J$4:$J$451,MATCH($O21&amp;"|"&amp;$S21&amp;"|"&amp;$AH21,'ASIGNACIONES'!$N$4:$N$451,0)),"")))</f>
        <v/>
      </c>
      <c r="AJ21" s="42">
        <f>IF($AH21="","",SUMIFS('ORDENES'!$M$4:$M$1203,'ORDENES'!$AH$4:$AH$1203,$AH21,'ORDENES'!$O$4:$O$1203,$O21,'ORDENES'!$S$4:$S$1203,$S21))</f>
        <v/>
      </c>
      <c r="AK21" s="42">
        <f>IF($AJ21="","",p_factor_productividad*IFERROR(INDEX('ASIGNACIONES'!$M$4:$M$451,MATCH($O21&amp;"|"&amp;$S21&amp;"|"&amp;$AH21,'ASIGNACIONES'!$N$4:$N$451,0)),0)-$AJ21)</f>
        <v/>
      </c>
      <c r="AL21" s="32">
        <f>IF($A21="","",IFERROR(INDEX('2_IMPORTAR_EJECUCION'!$F$9:$F$1208,MATCH($AU21,'2_IMPORTAR_EJECUCION'!$J$9:$J$1208,0)),0))</f>
        <v/>
      </c>
      <c r="AM21" s="32">
        <f>IF($A21="","",MAX(0,IFERROR(INDEX('2_IMPORTAR_EJECUCION'!$H$9:$H$1208,MATCH($AU21,'2_IMPORTAR_EJECUCION'!$J$9:$J$1208,0)),0)-$AL21))</f>
        <v/>
      </c>
      <c r="AN21" s="32">
        <f>IF($A21="","",$AL21+$AM21)</f>
        <v/>
      </c>
      <c r="AO21" s="24">
        <f>IF($A21="","",IF(OR((IFERROR(INDEX('CAT_ACTIVIDADES'!$D$4:$D$26,MATCH($H21,'CAT_ACTIVIDADES'!$A$4:$A$26,0)),""))=0,(IFERROR(INDEX('CAT_ACTIVIDADES'!$D$4:$D$26,MATCH($H21,'CAT_ACTIVIDADES'!$A$4:$A$26,0)),""))=""),"SIN CLASIFICAR",IFERROR(INDEX('CAT_ACTIVIDADES'!$D$4:$D$26,MATCH($H21,'CAT_ACTIVIDADES'!$A$4:$A$26,0)),"")))</f>
        <v/>
      </c>
      <c r="AP21" s="4" t="n"/>
      <c r="AQ21" s="4" t="n"/>
      <c r="AR21" s="4" t="n"/>
      <c r="AS21" s="24">
        <f>IF($AR21="","",HYPERLINK(p_ruta_base_checklists&amp;$AR21,"abrir"))</f>
        <v/>
      </c>
      <c r="AT21" s="4" t="n"/>
      <c r="AU21" s="24">
        <f>IF($A21="","",$A21&amp;IF($B21="","0010",$B21))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1" t="n"/>
      <c r="K22" s="5" t="n"/>
      <c r="L22" s="18" t="n"/>
      <c r="M22" s="24">
        <f>IF($A22="","",IFERROR(INDEX('AJUSTES'!$B$4:$B$303,MATCH($AU22,'AJUSTES'!$A$4:$A$303,0)),IF($K22="","",$K22)))</f>
        <v/>
      </c>
      <c r="N22" s="24">
        <f>IF($A22="","",IFERROR(INDEX('CAT_ESTADOS_ERP'!$B$4:$B$22,MATCH(IFERROR(INDEX('2_IMPORTAR_EJECUCION'!$C$9:$C$1208,MATCH($AU22,'2_IMPORTAR_EJECUCION'!$J$9:$J$1208,0)),""),'CAT_ESTADOS_ERP'!$A$4:$A$22,0)),"Pendiente"))</f>
        <v/>
      </c>
      <c r="O22" s="24">
        <f>IF($J22="","",YEAR($J22+4-WEEKDAY($J22,2))&amp;"-S"&amp;TEXT(_xlfn.ISOWEEKNUM($J22),"00"))</f>
        <v/>
      </c>
      <c r="P22" s="24">
        <f>IF($J22="","",YEAR($J22))</f>
        <v/>
      </c>
      <c r="Q22" s="24">
        <f>IF($J22="","",MONTH($J22))</f>
        <v/>
      </c>
      <c r="R22" s="24">
        <f>IF($J22="","",$P22&amp;"-"&amp;TEXT($Q22,"00"))</f>
        <v/>
      </c>
      <c r="S22" s="24">
        <f>IF($J22="","",INDEX(lista_dias,WEEKDAY($J22,2)))</f>
        <v/>
      </c>
      <c r="T22" s="24">
        <f>IF($J22="","",IFERROR(INDEX('CALENDARIO'!$C$15:$C$214,MATCH(TEXT($J22,"yyyy-mm-dd")&amp;"|"&amp;$Y22&amp;"|"&amp;$Z22,'CALENDARIO'!$G$15:$G$214,0)),IFERROR(INDEX('CALENDARIO'!$C$15:$C$214,MATCH(TEXT($J22,"yyyy-mm-dd")&amp;"|"&amp;$Y22&amp;"|",'CALENDARIO'!$G$15:$G$214,0)),IFERROR(INDEX('CALENDARIO'!$C$15:$C$214,MATCH(TEXT($J22,"yyyy-mm-dd")&amp;"||",'CALENDARIO'!$G$15:$G$214,0)),INDEX(patronHabil,WEEKDAY($J22,2))))))</f>
        <v/>
      </c>
      <c r="U22" s="24">
        <f>IF($I22="","",IFERROR(INDEX('CAT_TIPOS_OT'!$C$4:$C$23,MATCH($I22,'CAT_TIPOS_OT'!$A$4:$A$23,0)),"sin_clasificar"))</f>
        <v/>
      </c>
      <c r="V22" s="24">
        <f>IF($I22="","",IF(IFERROR(INDEX('CAT_TIPOS_OT'!$D$4:$D$23,MATCH($I22,'CAT_TIPOS_OT'!$A$4:$A$23,0)),"SIN CLASIFICAR")="","SIN CLASIFICAR",IFERROR(INDEX('CAT_TIPOS_OT'!$D$4:$D$23,MATCH($I22,'CAT_TIPOS_OT'!$A$4:$A$23,0)),"SIN CLASIFICAR")))</f>
        <v/>
      </c>
      <c r="W22" s="24">
        <f>IF($H22="","",IF(IFERROR(INDEX('CAT_ACTIVIDADES'!$F$4:$F$26,MATCH($H22,'CAT_ACTIVIDADES'!$A$4:$A$26,0)),"")=0,"",IFERROR(INDEX('CAT_ACTIVIDADES'!$F$4:$F$26,MATCH($H22,'CAT_ACTIVIDADES'!$A$4:$A$26,0)),"")))</f>
        <v/>
      </c>
      <c r="X22" s="24">
        <f>IF($F22="","",IFERROR(INDEX('CAT_CENTROS_COSTO'!$F$4:$F$28,MATCH($F22,'CAT_CENTROS_COSTO'!$A$4:$A$28,0)),"(sin catálogo)"))</f>
        <v/>
      </c>
      <c r="Y22" s="24">
        <f>IF($F22="","",IFERROR(INDEX('CAT_CENTROS_COSTO'!$D$4:$D$28,MATCH($F22,'CAT_CENTROS_COSTO'!$A$4:$A$28,0)),"(sin catálogo)"))</f>
        <v/>
      </c>
      <c r="Z22" s="24">
        <f>IF($F22="","",IF((IFERROR(INDEX('CAT_CENTROS_COSTO'!$E$4:$E$28,MATCH($F22,'CAT_CENTROS_COSTO'!$A$4:$A$28,0)),""))&lt;&gt;"",IFERROR(INDEX('CAT_CENTROS_COSTO'!$E$4:$E$28,MATCH($F22,'CAT_CENTROS_COSTO'!$A$4:$A$28,0)),""),$Y22))</f>
        <v/>
      </c>
      <c r="AA22" s="24">
        <f>IF($F22="","",IFERROR(INDEX('CAT_CENTROS_COSTO'!$G$4:$G$28,MATCH($F22,'CAT_CENTROS_COSTO'!$A$4:$A$28,0)),"(sin catálogo)"))</f>
        <v/>
      </c>
      <c r="AB22" s="24">
        <f>IF($G22="","",IFERROR(INDEX('CAT_PUESTOS'!$B$4:$B$23,MATCH($G22,'CAT_PUESTOS'!$A$4:$A$23,0)),"(sin catálogo)"))</f>
        <v/>
      </c>
      <c r="AC22" s="24">
        <f>IF($H22="","",IFERROR(INDEX('CAT_ACTIVIDADES'!$B$4:$B$26,MATCH($H22,'CAT_ACTIVIDADES'!$A$4:$A$26,0)),"(sin catálogo)"))</f>
        <v/>
      </c>
      <c r="AD22" s="26">
        <f>IF($J22="","",TODAY()-$J22)</f>
        <v/>
      </c>
      <c r="AE22" s="26">
        <f>IF($J22="","",IF($J22&lt;=TODAY(),COUNTIFS(cal_fechas,"&gt;="&amp;$J22,cal_fechas,"&lt;"&amp;TODAY(),cal_habil,"sí"),-COUNTIFS(cal_fechas,"&gt;="&amp;TODAY(),cal_fechas,"&lt;"&amp;$J22,cal_habil,"sí")))</f>
        <v/>
      </c>
      <c r="AF22" s="24">
        <f>IF($AE22="","",IF($AE22&lt;0,"FUTURO",IF($AE22&gt;p_dias_backlog_max,"BACKLOG","MES CORRIENTE")))</f>
        <v/>
      </c>
      <c r="AG22" s="24">
        <f>IF($AE22="",FALSE,AND($AE22&gt;p_dias_backlog_min,$AE22&lt;=p_dias_backlog_max))</f>
        <v/>
      </c>
      <c r="AH22" s="4" t="n"/>
      <c r="AI22" s="24">
        <f>IF($AH22="","",IF((IFERROR(INDEX('ASIGNACIONES'!$J$4:$J$451,MATCH($O22&amp;"|"&amp;$S22&amp;"|"&amp;$AH22,'ASIGNACIONES'!$N$4:$N$451,0)),""))=0,"",IFERROR(INDEX('ASIGNACIONES'!$J$4:$J$451,MATCH($O22&amp;"|"&amp;$S22&amp;"|"&amp;$AH22,'ASIGNACIONES'!$N$4:$N$451,0)),"")))</f>
        <v/>
      </c>
      <c r="AJ22" s="42">
        <f>IF($AH22="","",SUMIFS('ORDENES'!$M$4:$M$1203,'ORDENES'!$AH$4:$AH$1203,$AH22,'ORDENES'!$O$4:$O$1203,$O22,'ORDENES'!$S$4:$S$1203,$S22))</f>
        <v/>
      </c>
      <c r="AK22" s="42">
        <f>IF($AJ22="","",p_factor_productividad*IFERROR(INDEX('ASIGNACIONES'!$M$4:$M$451,MATCH($O22&amp;"|"&amp;$S22&amp;"|"&amp;$AH22,'ASIGNACIONES'!$N$4:$N$451,0)),0)-$AJ22)</f>
        <v/>
      </c>
      <c r="AL22" s="32">
        <f>IF($A22="","",IFERROR(INDEX('2_IMPORTAR_EJECUCION'!$F$9:$F$1208,MATCH($AU22,'2_IMPORTAR_EJECUCION'!$J$9:$J$1208,0)),0))</f>
        <v/>
      </c>
      <c r="AM22" s="32">
        <f>IF($A22="","",MAX(0,IFERROR(INDEX('2_IMPORTAR_EJECUCION'!$H$9:$H$1208,MATCH($AU22,'2_IMPORTAR_EJECUCION'!$J$9:$J$1208,0)),0)-$AL22))</f>
        <v/>
      </c>
      <c r="AN22" s="32">
        <f>IF($A22="","",$AL22+$AM22)</f>
        <v/>
      </c>
      <c r="AO22" s="24">
        <f>IF($A22="","",IF(OR((IFERROR(INDEX('CAT_ACTIVIDADES'!$D$4:$D$26,MATCH($H22,'CAT_ACTIVIDADES'!$A$4:$A$26,0)),""))=0,(IFERROR(INDEX('CAT_ACTIVIDADES'!$D$4:$D$26,MATCH($H22,'CAT_ACTIVIDADES'!$A$4:$A$26,0)),""))=""),"SIN CLASIFICAR",IFERROR(INDEX('CAT_ACTIVIDADES'!$D$4:$D$26,MATCH($H22,'CAT_ACTIVIDADES'!$A$4:$A$26,0)),"")))</f>
        <v/>
      </c>
      <c r="AP22" s="4" t="n"/>
      <c r="AQ22" s="4" t="n"/>
      <c r="AR22" s="4" t="n"/>
      <c r="AS22" s="24">
        <f>IF($AR22="","",HYPERLINK(p_ruta_base_checklists&amp;$AR22,"abrir"))</f>
        <v/>
      </c>
      <c r="AT22" s="4" t="n"/>
      <c r="AU22" s="24">
        <f>IF($A22="","",$A22&amp;IF($B22="","0010",$B22))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1" t="n"/>
      <c r="K23" s="5" t="n"/>
      <c r="L23" s="18" t="n"/>
      <c r="M23" s="24">
        <f>IF($A23="","",IFERROR(INDEX('AJUSTES'!$B$4:$B$303,MATCH($AU23,'AJUSTES'!$A$4:$A$303,0)),IF($K23="","",$K23)))</f>
        <v/>
      </c>
      <c r="N23" s="24">
        <f>IF($A23="","",IFERROR(INDEX('CAT_ESTADOS_ERP'!$B$4:$B$22,MATCH(IFERROR(INDEX('2_IMPORTAR_EJECUCION'!$C$9:$C$1208,MATCH($AU23,'2_IMPORTAR_EJECUCION'!$J$9:$J$1208,0)),""),'CAT_ESTADOS_ERP'!$A$4:$A$22,0)),"Pendiente"))</f>
        <v/>
      </c>
      <c r="O23" s="24">
        <f>IF($J23="","",YEAR($J23+4-WEEKDAY($J23,2))&amp;"-S"&amp;TEXT(_xlfn.ISOWEEKNUM($J23),"00"))</f>
        <v/>
      </c>
      <c r="P23" s="24">
        <f>IF($J23="","",YEAR($J23))</f>
        <v/>
      </c>
      <c r="Q23" s="24">
        <f>IF($J23="","",MONTH($J23))</f>
        <v/>
      </c>
      <c r="R23" s="24">
        <f>IF($J23="","",$P23&amp;"-"&amp;TEXT($Q23,"00"))</f>
        <v/>
      </c>
      <c r="S23" s="24">
        <f>IF($J23="","",INDEX(lista_dias,WEEKDAY($J23,2)))</f>
        <v/>
      </c>
      <c r="T23" s="24">
        <f>IF($J23="","",IFERROR(INDEX('CALENDARIO'!$C$15:$C$214,MATCH(TEXT($J23,"yyyy-mm-dd")&amp;"|"&amp;$Y23&amp;"|"&amp;$Z23,'CALENDARIO'!$G$15:$G$214,0)),IFERROR(INDEX('CALENDARIO'!$C$15:$C$214,MATCH(TEXT($J23,"yyyy-mm-dd")&amp;"|"&amp;$Y23&amp;"|",'CALENDARIO'!$G$15:$G$214,0)),IFERROR(INDEX('CALENDARIO'!$C$15:$C$214,MATCH(TEXT($J23,"yyyy-mm-dd")&amp;"||",'CALENDARIO'!$G$15:$G$214,0)),INDEX(patronHabil,WEEKDAY($J23,2))))))</f>
        <v/>
      </c>
      <c r="U23" s="24">
        <f>IF($I23="","",IFERROR(INDEX('CAT_TIPOS_OT'!$C$4:$C$23,MATCH($I23,'CAT_TIPOS_OT'!$A$4:$A$23,0)),"sin_clasificar"))</f>
        <v/>
      </c>
      <c r="V23" s="24">
        <f>IF($I23="","",IF(IFERROR(INDEX('CAT_TIPOS_OT'!$D$4:$D$23,MATCH($I23,'CAT_TIPOS_OT'!$A$4:$A$23,0)),"SIN CLASIFICAR")="","SIN CLASIFICAR",IFERROR(INDEX('CAT_TIPOS_OT'!$D$4:$D$23,MATCH($I23,'CAT_TIPOS_OT'!$A$4:$A$23,0)),"SIN CLASIFICAR")))</f>
        <v/>
      </c>
      <c r="W23" s="24">
        <f>IF($H23="","",IF(IFERROR(INDEX('CAT_ACTIVIDADES'!$F$4:$F$26,MATCH($H23,'CAT_ACTIVIDADES'!$A$4:$A$26,0)),"")=0,"",IFERROR(INDEX('CAT_ACTIVIDADES'!$F$4:$F$26,MATCH($H23,'CAT_ACTIVIDADES'!$A$4:$A$26,0)),"")))</f>
        <v/>
      </c>
      <c r="X23" s="24">
        <f>IF($F23="","",IFERROR(INDEX('CAT_CENTROS_COSTO'!$F$4:$F$28,MATCH($F23,'CAT_CENTROS_COSTO'!$A$4:$A$28,0)),"(sin catálogo)"))</f>
        <v/>
      </c>
      <c r="Y23" s="24">
        <f>IF($F23="","",IFERROR(INDEX('CAT_CENTROS_COSTO'!$D$4:$D$28,MATCH($F23,'CAT_CENTROS_COSTO'!$A$4:$A$28,0)),"(sin catálogo)"))</f>
        <v/>
      </c>
      <c r="Z23" s="24">
        <f>IF($F23="","",IF((IFERROR(INDEX('CAT_CENTROS_COSTO'!$E$4:$E$28,MATCH($F23,'CAT_CENTROS_COSTO'!$A$4:$A$28,0)),""))&lt;&gt;"",IFERROR(INDEX('CAT_CENTROS_COSTO'!$E$4:$E$28,MATCH($F23,'CAT_CENTROS_COSTO'!$A$4:$A$28,0)),""),$Y23))</f>
        <v/>
      </c>
      <c r="AA23" s="24">
        <f>IF($F23="","",IFERROR(INDEX('CAT_CENTROS_COSTO'!$G$4:$G$28,MATCH($F23,'CAT_CENTROS_COSTO'!$A$4:$A$28,0)),"(sin catálogo)"))</f>
        <v/>
      </c>
      <c r="AB23" s="24">
        <f>IF($G23="","",IFERROR(INDEX('CAT_PUESTOS'!$B$4:$B$23,MATCH($G23,'CAT_PUESTOS'!$A$4:$A$23,0)),"(sin catálogo)"))</f>
        <v/>
      </c>
      <c r="AC23" s="24">
        <f>IF($H23="","",IFERROR(INDEX('CAT_ACTIVIDADES'!$B$4:$B$26,MATCH($H23,'CAT_ACTIVIDADES'!$A$4:$A$26,0)),"(sin catálogo)"))</f>
        <v/>
      </c>
      <c r="AD23" s="26">
        <f>IF($J23="","",TODAY()-$J23)</f>
        <v/>
      </c>
      <c r="AE23" s="26">
        <f>IF($J23="","",IF($J23&lt;=TODAY(),COUNTIFS(cal_fechas,"&gt;="&amp;$J23,cal_fechas,"&lt;"&amp;TODAY(),cal_habil,"sí"),-COUNTIFS(cal_fechas,"&gt;="&amp;TODAY(),cal_fechas,"&lt;"&amp;$J23,cal_habil,"sí")))</f>
        <v/>
      </c>
      <c r="AF23" s="24">
        <f>IF($AE23="","",IF($AE23&lt;0,"FUTURO",IF($AE23&gt;p_dias_backlog_max,"BACKLOG","MES CORRIENTE")))</f>
        <v/>
      </c>
      <c r="AG23" s="24">
        <f>IF($AE23="",FALSE,AND($AE23&gt;p_dias_backlog_min,$AE23&lt;=p_dias_backlog_max))</f>
        <v/>
      </c>
      <c r="AH23" s="4" t="n"/>
      <c r="AI23" s="24">
        <f>IF($AH23="","",IF((IFERROR(INDEX('ASIGNACIONES'!$J$4:$J$451,MATCH($O23&amp;"|"&amp;$S23&amp;"|"&amp;$AH23,'ASIGNACIONES'!$N$4:$N$451,0)),""))=0,"",IFERROR(INDEX('ASIGNACIONES'!$J$4:$J$451,MATCH($O23&amp;"|"&amp;$S23&amp;"|"&amp;$AH23,'ASIGNACIONES'!$N$4:$N$451,0)),"")))</f>
        <v/>
      </c>
      <c r="AJ23" s="42">
        <f>IF($AH23="","",SUMIFS('ORDENES'!$M$4:$M$1203,'ORDENES'!$AH$4:$AH$1203,$AH23,'ORDENES'!$O$4:$O$1203,$O23,'ORDENES'!$S$4:$S$1203,$S23))</f>
        <v/>
      </c>
      <c r="AK23" s="42">
        <f>IF($AJ23="","",p_factor_productividad*IFERROR(INDEX('ASIGNACIONES'!$M$4:$M$451,MATCH($O23&amp;"|"&amp;$S23&amp;"|"&amp;$AH23,'ASIGNACIONES'!$N$4:$N$451,0)),0)-$AJ23)</f>
        <v/>
      </c>
      <c r="AL23" s="32">
        <f>IF($A23="","",IFERROR(INDEX('2_IMPORTAR_EJECUCION'!$F$9:$F$1208,MATCH($AU23,'2_IMPORTAR_EJECUCION'!$J$9:$J$1208,0)),0))</f>
        <v/>
      </c>
      <c r="AM23" s="32">
        <f>IF($A23="","",MAX(0,IFERROR(INDEX('2_IMPORTAR_EJECUCION'!$H$9:$H$1208,MATCH($AU23,'2_IMPORTAR_EJECUCION'!$J$9:$J$1208,0)),0)-$AL23))</f>
        <v/>
      </c>
      <c r="AN23" s="32">
        <f>IF($A23="","",$AL23+$AM23)</f>
        <v/>
      </c>
      <c r="AO23" s="24">
        <f>IF($A23="","",IF(OR((IFERROR(INDEX('CAT_ACTIVIDADES'!$D$4:$D$26,MATCH($H23,'CAT_ACTIVIDADES'!$A$4:$A$26,0)),""))=0,(IFERROR(INDEX('CAT_ACTIVIDADES'!$D$4:$D$26,MATCH($H23,'CAT_ACTIVIDADES'!$A$4:$A$26,0)),""))=""),"SIN CLASIFICAR",IFERROR(INDEX('CAT_ACTIVIDADES'!$D$4:$D$26,MATCH($H23,'CAT_ACTIVIDADES'!$A$4:$A$26,0)),"")))</f>
        <v/>
      </c>
      <c r="AP23" s="4" t="n"/>
      <c r="AQ23" s="4" t="n"/>
      <c r="AR23" s="4" t="n"/>
      <c r="AS23" s="24">
        <f>IF($AR23="","",HYPERLINK(p_ruta_base_checklists&amp;$AR23,"abrir"))</f>
        <v/>
      </c>
      <c r="AT23" s="4" t="n"/>
      <c r="AU23" s="24">
        <f>IF($A23="","",$A23&amp;IF($B23="","0010",$B23))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1" t="n"/>
      <c r="K24" s="5" t="n"/>
      <c r="L24" s="18" t="n"/>
      <c r="M24" s="24">
        <f>IF($A24="","",IFERROR(INDEX('AJUSTES'!$B$4:$B$303,MATCH($AU24,'AJUSTES'!$A$4:$A$303,0)),IF($K24="","",$K24)))</f>
        <v/>
      </c>
      <c r="N24" s="24">
        <f>IF($A24="","",IFERROR(INDEX('CAT_ESTADOS_ERP'!$B$4:$B$22,MATCH(IFERROR(INDEX('2_IMPORTAR_EJECUCION'!$C$9:$C$1208,MATCH($AU24,'2_IMPORTAR_EJECUCION'!$J$9:$J$1208,0)),""),'CAT_ESTADOS_ERP'!$A$4:$A$22,0)),"Pendiente"))</f>
        <v/>
      </c>
      <c r="O24" s="24">
        <f>IF($J24="","",YEAR($J24+4-WEEKDAY($J24,2))&amp;"-S"&amp;TEXT(_xlfn.ISOWEEKNUM($J24),"00"))</f>
        <v/>
      </c>
      <c r="P24" s="24">
        <f>IF($J24="","",YEAR($J24))</f>
        <v/>
      </c>
      <c r="Q24" s="24">
        <f>IF($J24="","",MONTH($J24))</f>
        <v/>
      </c>
      <c r="R24" s="24">
        <f>IF($J24="","",$P24&amp;"-"&amp;TEXT($Q24,"00"))</f>
        <v/>
      </c>
      <c r="S24" s="24">
        <f>IF($J24="","",INDEX(lista_dias,WEEKDAY($J24,2)))</f>
        <v/>
      </c>
      <c r="T24" s="24">
        <f>IF($J24="","",IFERROR(INDEX('CALENDARIO'!$C$15:$C$214,MATCH(TEXT($J24,"yyyy-mm-dd")&amp;"|"&amp;$Y24&amp;"|"&amp;$Z24,'CALENDARIO'!$G$15:$G$214,0)),IFERROR(INDEX('CALENDARIO'!$C$15:$C$214,MATCH(TEXT($J24,"yyyy-mm-dd")&amp;"|"&amp;$Y24&amp;"|",'CALENDARIO'!$G$15:$G$214,0)),IFERROR(INDEX('CALENDARIO'!$C$15:$C$214,MATCH(TEXT($J24,"yyyy-mm-dd")&amp;"||",'CALENDARIO'!$G$15:$G$214,0)),INDEX(patronHabil,WEEKDAY($J24,2))))))</f>
        <v/>
      </c>
      <c r="U24" s="24">
        <f>IF($I24="","",IFERROR(INDEX('CAT_TIPOS_OT'!$C$4:$C$23,MATCH($I24,'CAT_TIPOS_OT'!$A$4:$A$23,0)),"sin_clasificar"))</f>
        <v/>
      </c>
      <c r="V24" s="24">
        <f>IF($I24="","",IF(IFERROR(INDEX('CAT_TIPOS_OT'!$D$4:$D$23,MATCH($I24,'CAT_TIPOS_OT'!$A$4:$A$23,0)),"SIN CLASIFICAR")="","SIN CLASIFICAR",IFERROR(INDEX('CAT_TIPOS_OT'!$D$4:$D$23,MATCH($I24,'CAT_TIPOS_OT'!$A$4:$A$23,0)),"SIN CLASIFICAR")))</f>
        <v/>
      </c>
      <c r="W24" s="24">
        <f>IF($H24="","",IF(IFERROR(INDEX('CAT_ACTIVIDADES'!$F$4:$F$26,MATCH($H24,'CAT_ACTIVIDADES'!$A$4:$A$26,0)),"")=0,"",IFERROR(INDEX('CAT_ACTIVIDADES'!$F$4:$F$26,MATCH($H24,'CAT_ACTIVIDADES'!$A$4:$A$26,0)),"")))</f>
        <v/>
      </c>
      <c r="X24" s="24">
        <f>IF($F24="","",IFERROR(INDEX('CAT_CENTROS_COSTO'!$F$4:$F$28,MATCH($F24,'CAT_CENTROS_COSTO'!$A$4:$A$28,0)),"(sin catálogo)"))</f>
        <v/>
      </c>
      <c r="Y24" s="24">
        <f>IF($F24="","",IFERROR(INDEX('CAT_CENTROS_COSTO'!$D$4:$D$28,MATCH($F24,'CAT_CENTROS_COSTO'!$A$4:$A$28,0)),"(sin catálogo)"))</f>
        <v/>
      </c>
      <c r="Z24" s="24">
        <f>IF($F24="","",IF((IFERROR(INDEX('CAT_CENTROS_COSTO'!$E$4:$E$28,MATCH($F24,'CAT_CENTROS_COSTO'!$A$4:$A$28,0)),""))&lt;&gt;"",IFERROR(INDEX('CAT_CENTROS_COSTO'!$E$4:$E$28,MATCH($F24,'CAT_CENTROS_COSTO'!$A$4:$A$28,0)),""),$Y24))</f>
        <v/>
      </c>
      <c r="AA24" s="24">
        <f>IF($F24="","",IFERROR(INDEX('CAT_CENTROS_COSTO'!$G$4:$G$28,MATCH($F24,'CAT_CENTROS_COSTO'!$A$4:$A$28,0)),"(sin catálogo)"))</f>
        <v/>
      </c>
      <c r="AB24" s="24">
        <f>IF($G24="","",IFERROR(INDEX('CAT_PUESTOS'!$B$4:$B$23,MATCH($G24,'CAT_PUESTOS'!$A$4:$A$23,0)),"(sin catálogo)"))</f>
        <v/>
      </c>
      <c r="AC24" s="24">
        <f>IF($H24="","",IFERROR(INDEX('CAT_ACTIVIDADES'!$B$4:$B$26,MATCH($H24,'CAT_ACTIVIDADES'!$A$4:$A$26,0)),"(sin catálogo)"))</f>
        <v/>
      </c>
      <c r="AD24" s="26">
        <f>IF($J24="","",TODAY()-$J24)</f>
        <v/>
      </c>
      <c r="AE24" s="26">
        <f>IF($J24="","",IF($J24&lt;=TODAY(),COUNTIFS(cal_fechas,"&gt;="&amp;$J24,cal_fechas,"&lt;"&amp;TODAY(),cal_habil,"sí"),-COUNTIFS(cal_fechas,"&gt;="&amp;TODAY(),cal_fechas,"&lt;"&amp;$J24,cal_habil,"sí")))</f>
        <v/>
      </c>
      <c r="AF24" s="24">
        <f>IF($AE24="","",IF($AE24&lt;0,"FUTURO",IF($AE24&gt;p_dias_backlog_max,"BACKLOG","MES CORRIENTE")))</f>
        <v/>
      </c>
      <c r="AG24" s="24">
        <f>IF($AE24="",FALSE,AND($AE24&gt;p_dias_backlog_min,$AE24&lt;=p_dias_backlog_max))</f>
        <v/>
      </c>
      <c r="AH24" s="4" t="n"/>
      <c r="AI24" s="24">
        <f>IF($AH24="","",IF((IFERROR(INDEX('ASIGNACIONES'!$J$4:$J$451,MATCH($O24&amp;"|"&amp;$S24&amp;"|"&amp;$AH24,'ASIGNACIONES'!$N$4:$N$451,0)),""))=0,"",IFERROR(INDEX('ASIGNACIONES'!$J$4:$J$451,MATCH($O24&amp;"|"&amp;$S24&amp;"|"&amp;$AH24,'ASIGNACIONES'!$N$4:$N$451,0)),"")))</f>
        <v/>
      </c>
      <c r="AJ24" s="42">
        <f>IF($AH24="","",SUMIFS('ORDENES'!$M$4:$M$1203,'ORDENES'!$AH$4:$AH$1203,$AH24,'ORDENES'!$O$4:$O$1203,$O24,'ORDENES'!$S$4:$S$1203,$S24))</f>
        <v/>
      </c>
      <c r="AK24" s="42">
        <f>IF($AJ24="","",p_factor_productividad*IFERROR(INDEX('ASIGNACIONES'!$M$4:$M$451,MATCH($O24&amp;"|"&amp;$S24&amp;"|"&amp;$AH24,'ASIGNACIONES'!$N$4:$N$451,0)),0)-$AJ24)</f>
        <v/>
      </c>
      <c r="AL24" s="32">
        <f>IF($A24="","",IFERROR(INDEX('2_IMPORTAR_EJECUCION'!$F$9:$F$1208,MATCH($AU24,'2_IMPORTAR_EJECUCION'!$J$9:$J$1208,0)),0))</f>
        <v/>
      </c>
      <c r="AM24" s="32">
        <f>IF($A24="","",MAX(0,IFERROR(INDEX('2_IMPORTAR_EJECUCION'!$H$9:$H$1208,MATCH($AU24,'2_IMPORTAR_EJECUCION'!$J$9:$J$1208,0)),0)-$AL24))</f>
        <v/>
      </c>
      <c r="AN24" s="32">
        <f>IF($A24="","",$AL24+$AM24)</f>
        <v/>
      </c>
      <c r="AO24" s="24">
        <f>IF($A24="","",IF(OR((IFERROR(INDEX('CAT_ACTIVIDADES'!$D$4:$D$26,MATCH($H24,'CAT_ACTIVIDADES'!$A$4:$A$26,0)),""))=0,(IFERROR(INDEX('CAT_ACTIVIDADES'!$D$4:$D$26,MATCH($H24,'CAT_ACTIVIDADES'!$A$4:$A$26,0)),""))=""),"SIN CLASIFICAR",IFERROR(INDEX('CAT_ACTIVIDADES'!$D$4:$D$26,MATCH($H24,'CAT_ACTIVIDADES'!$A$4:$A$26,0)),"")))</f>
        <v/>
      </c>
      <c r="AP24" s="4" t="n"/>
      <c r="AQ24" s="4" t="n"/>
      <c r="AR24" s="4" t="n"/>
      <c r="AS24" s="24">
        <f>IF($AR24="","",HYPERLINK(p_ruta_base_checklists&amp;$AR24,"abrir"))</f>
        <v/>
      </c>
      <c r="AT24" s="4" t="n"/>
      <c r="AU24" s="24">
        <f>IF($A24="","",$A24&amp;IF($B24="","0010",$B24))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1" t="n"/>
      <c r="K25" s="5" t="n"/>
      <c r="L25" s="18" t="n"/>
      <c r="M25" s="24">
        <f>IF($A25="","",IFERROR(INDEX('AJUSTES'!$B$4:$B$303,MATCH($AU25,'AJUSTES'!$A$4:$A$303,0)),IF($K25="","",$K25)))</f>
        <v/>
      </c>
      <c r="N25" s="24">
        <f>IF($A25="","",IFERROR(INDEX('CAT_ESTADOS_ERP'!$B$4:$B$22,MATCH(IFERROR(INDEX('2_IMPORTAR_EJECUCION'!$C$9:$C$1208,MATCH($AU25,'2_IMPORTAR_EJECUCION'!$J$9:$J$1208,0)),""),'CAT_ESTADOS_ERP'!$A$4:$A$22,0)),"Pendiente"))</f>
        <v/>
      </c>
      <c r="O25" s="24">
        <f>IF($J25="","",YEAR($J25+4-WEEKDAY($J25,2))&amp;"-S"&amp;TEXT(_xlfn.ISOWEEKNUM($J25),"00"))</f>
        <v/>
      </c>
      <c r="P25" s="24">
        <f>IF($J25="","",YEAR($J25))</f>
        <v/>
      </c>
      <c r="Q25" s="24">
        <f>IF($J25="","",MONTH($J25))</f>
        <v/>
      </c>
      <c r="R25" s="24">
        <f>IF($J25="","",$P25&amp;"-"&amp;TEXT($Q25,"00"))</f>
        <v/>
      </c>
      <c r="S25" s="24">
        <f>IF($J25="","",INDEX(lista_dias,WEEKDAY($J25,2)))</f>
        <v/>
      </c>
      <c r="T25" s="24">
        <f>IF($J25="","",IFERROR(INDEX('CALENDARIO'!$C$15:$C$214,MATCH(TEXT($J25,"yyyy-mm-dd")&amp;"|"&amp;$Y25&amp;"|"&amp;$Z25,'CALENDARIO'!$G$15:$G$214,0)),IFERROR(INDEX('CALENDARIO'!$C$15:$C$214,MATCH(TEXT($J25,"yyyy-mm-dd")&amp;"|"&amp;$Y25&amp;"|",'CALENDARIO'!$G$15:$G$214,0)),IFERROR(INDEX('CALENDARIO'!$C$15:$C$214,MATCH(TEXT($J25,"yyyy-mm-dd")&amp;"||",'CALENDARIO'!$G$15:$G$214,0)),INDEX(patronHabil,WEEKDAY($J25,2))))))</f>
        <v/>
      </c>
      <c r="U25" s="24">
        <f>IF($I25="","",IFERROR(INDEX('CAT_TIPOS_OT'!$C$4:$C$23,MATCH($I25,'CAT_TIPOS_OT'!$A$4:$A$23,0)),"sin_clasificar"))</f>
        <v/>
      </c>
      <c r="V25" s="24">
        <f>IF($I25="","",IF(IFERROR(INDEX('CAT_TIPOS_OT'!$D$4:$D$23,MATCH($I25,'CAT_TIPOS_OT'!$A$4:$A$23,0)),"SIN CLASIFICAR")="","SIN CLASIFICAR",IFERROR(INDEX('CAT_TIPOS_OT'!$D$4:$D$23,MATCH($I25,'CAT_TIPOS_OT'!$A$4:$A$23,0)),"SIN CLASIFICAR")))</f>
        <v/>
      </c>
      <c r="W25" s="24">
        <f>IF($H25="","",IF(IFERROR(INDEX('CAT_ACTIVIDADES'!$F$4:$F$26,MATCH($H25,'CAT_ACTIVIDADES'!$A$4:$A$26,0)),"")=0,"",IFERROR(INDEX('CAT_ACTIVIDADES'!$F$4:$F$26,MATCH($H25,'CAT_ACTIVIDADES'!$A$4:$A$26,0)),"")))</f>
        <v/>
      </c>
      <c r="X25" s="24">
        <f>IF($F25="","",IFERROR(INDEX('CAT_CENTROS_COSTO'!$F$4:$F$28,MATCH($F25,'CAT_CENTROS_COSTO'!$A$4:$A$28,0)),"(sin catálogo)"))</f>
        <v/>
      </c>
      <c r="Y25" s="24">
        <f>IF($F25="","",IFERROR(INDEX('CAT_CENTROS_COSTO'!$D$4:$D$28,MATCH($F25,'CAT_CENTROS_COSTO'!$A$4:$A$28,0)),"(sin catálogo)"))</f>
        <v/>
      </c>
      <c r="Z25" s="24">
        <f>IF($F25="","",IF((IFERROR(INDEX('CAT_CENTROS_COSTO'!$E$4:$E$28,MATCH($F25,'CAT_CENTROS_COSTO'!$A$4:$A$28,0)),""))&lt;&gt;"",IFERROR(INDEX('CAT_CENTROS_COSTO'!$E$4:$E$28,MATCH($F25,'CAT_CENTROS_COSTO'!$A$4:$A$28,0)),""),$Y25))</f>
        <v/>
      </c>
      <c r="AA25" s="24">
        <f>IF($F25="","",IFERROR(INDEX('CAT_CENTROS_COSTO'!$G$4:$G$28,MATCH($F25,'CAT_CENTROS_COSTO'!$A$4:$A$28,0)),"(sin catálogo)"))</f>
        <v/>
      </c>
      <c r="AB25" s="24">
        <f>IF($G25="","",IFERROR(INDEX('CAT_PUESTOS'!$B$4:$B$23,MATCH($G25,'CAT_PUESTOS'!$A$4:$A$23,0)),"(sin catálogo)"))</f>
        <v/>
      </c>
      <c r="AC25" s="24">
        <f>IF($H25="","",IFERROR(INDEX('CAT_ACTIVIDADES'!$B$4:$B$26,MATCH($H25,'CAT_ACTIVIDADES'!$A$4:$A$26,0)),"(sin catálogo)"))</f>
        <v/>
      </c>
      <c r="AD25" s="26">
        <f>IF($J25="","",TODAY()-$J25)</f>
        <v/>
      </c>
      <c r="AE25" s="26">
        <f>IF($J25="","",IF($J25&lt;=TODAY(),COUNTIFS(cal_fechas,"&gt;="&amp;$J25,cal_fechas,"&lt;"&amp;TODAY(),cal_habil,"sí"),-COUNTIFS(cal_fechas,"&gt;="&amp;TODAY(),cal_fechas,"&lt;"&amp;$J25,cal_habil,"sí")))</f>
        <v/>
      </c>
      <c r="AF25" s="24">
        <f>IF($AE25="","",IF($AE25&lt;0,"FUTURO",IF($AE25&gt;p_dias_backlog_max,"BACKLOG","MES CORRIENTE")))</f>
        <v/>
      </c>
      <c r="AG25" s="24">
        <f>IF($AE25="",FALSE,AND($AE25&gt;p_dias_backlog_min,$AE25&lt;=p_dias_backlog_max))</f>
        <v/>
      </c>
      <c r="AH25" s="4" t="n"/>
      <c r="AI25" s="24">
        <f>IF($AH25="","",IF((IFERROR(INDEX('ASIGNACIONES'!$J$4:$J$451,MATCH($O25&amp;"|"&amp;$S25&amp;"|"&amp;$AH25,'ASIGNACIONES'!$N$4:$N$451,0)),""))=0,"",IFERROR(INDEX('ASIGNACIONES'!$J$4:$J$451,MATCH($O25&amp;"|"&amp;$S25&amp;"|"&amp;$AH25,'ASIGNACIONES'!$N$4:$N$451,0)),"")))</f>
        <v/>
      </c>
      <c r="AJ25" s="42">
        <f>IF($AH25="","",SUMIFS('ORDENES'!$M$4:$M$1203,'ORDENES'!$AH$4:$AH$1203,$AH25,'ORDENES'!$O$4:$O$1203,$O25,'ORDENES'!$S$4:$S$1203,$S25))</f>
        <v/>
      </c>
      <c r="AK25" s="42">
        <f>IF($AJ25="","",p_factor_productividad*IFERROR(INDEX('ASIGNACIONES'!$M$4:$M$451,MATCH($O25&amp;"|"&amp;$S25&amp;"|"&amp;$AH25,'ASIGNACIONES'!$N$4:$N$451,0)),0)-$AJ25)</f>
        <v/>
      </c>
      <c r="AL25" s="32">
        <f>IF($A25="","",IFERROR(INDEX('2_IMPORTAR_EJECUCION'!$F$9:$F$1208,MATCH($AU25,'2_IMPORTAR_EJECUCION'!$J$9:$J$1208,0)),0))</f>
        <v/>
      </c>
      <c r="AM25" s="32">
        <f>IF($A25="","",MAX(0,IFERROR(INDEX('2_IMPORTAR_EJECUCION'!$H$9:$H$1208,MATCH($AU25,'2_IMPORTAR_EJECUCION'!$J$9:$J$1208,0)),0)-$AL25))</f>
        <v/>
      </c>
      <c r="AN25" s="32">
        <f>IF($A25="","",$AL25+$AM25)</f>
        <v/>
      </c>
      <c r="AO25" s="24">
        <f>IF($A25="","",IF(OR((IFERROR(INDEX('CAT_ACTIVIDADES'!$D$4:$D$26,MATCH($H25,'CAT_ACTIVIDADES'!$A$4:$A$26,0)),""))=0,(IFERROR(INDEX('CAT_ACTIVIDADES'!$D$4:$D$26,MATCH($H25,'CAT_ACTIVIDADES'!$A$4:$A$26,0)),""))=""),"SIN CLASIFICAR",IFERROR(INDEX('CAT_ACTIVIDADES'!$D$4:$D$26,MATCH($H25,'CAT_ACTIVIDADES'!$A$4:$A$26,0)),"")))</f>
        <v/>
      </c>
      <c r="AP25" s="4" t="n"/>
      <c r="AQ25" s="4" t="n"/>
      <c r="AR25" s="4" t="n"/>
      <c r="AS25" s="24">
        <f>IF($AR25="","",HYPERLINK(p_ruta_base_checklists&amp;$AR25,"abrir"))</f>
        <v/>
      </c>
      <c r="AT25" s="4" t="n"/>
      <c r="AU25" s="24">
        <f>IF($A25="","",$A25&amp;IF($B25="","0010",$B25))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1" t="n"/>
      <c r="K26" s="5" t="n"/>
      <c r="L26" s="18" t="n"/>
      <c r="M26" s="24">
        <f>IF($A26="","",IFERROR(INDEX('AJUSTES'!$B$4:$B$303,MATCH($AU26,'AJUSTES'!$A$4:$A$303,0)),IF($K26="","",$K26)))</f>
        <v/>
      </c>
      <c r="N26" s="24">
        <f>IF($A26="","",IFERROR(INDEX('CAT_ESTADOS_ERP'!$B$4:$B$22,MATCH(IFERROR(INDEX('2_IMPORTAR_EJECUCION'!$C$9:$C$1208,MATCH($AU26,'2_IMPORTAR_EJECUCION'!$J$9:$J$1208,0)),""),'CAT_ESTADOS_ERP'!$A$4:$A$22,0)),"Pendiente"))</f>
        <v/>
      </c>
      <c r="O26" s="24">
        <f>IF($J26="","",YEAR($J26+4-WEEKDAY($J26,2))&amp;"-S"&amp;TEXT(_xlfn.ISOWEEKNUM($J26),"00"))</f>
        <v/>
      </c>
      <c r="P26" s="24">
        <f>IF($J26="","",YEAR($J26))</f>
        <v/>
      </c>
      <c r="Q26" s="24">
        <f>IF($J26="","",MONTH($J26))</f>
        <v/>
      </c>
      <c r="R26" s="24">
        <f>IF($J26="","",$P26&amp;"-"&amp;TEXT($Q26,"00"))</f>
        <v/>
      </c>
      <c r="S26" s="24">
        <f>IF($J26="","",INDEX(lista_dias,WEEKDAY($J26,2)))</f>
        <v/>
      </c>
      <c r="T26" s="24">
        <f>IF($J26="","",IFERROR(INDEX('CALENDARIO'!$C$15:$C$214,MATCH(TEXT($J26,"yyyy-mm-dd")&amp;"|"&amp;$Y26&amp;"|"&amp;$Z26,'CALENDARIO'!$G$15:$G$214,0)),IFERROR(INDEX('CALENDARIO'!$C$15:$C$214,MATCH(TEXT($J26,"yyyy-mm-dd")&amp;"|"&amp;$Y26&amp;"|",'CALENDARIO'!$G$15:$G$214,0)),IFERROR(INDEX('CALENDARIO'!$C$15:$C$214,MATCH(TEXT($J26,"yyyy-mm-dd")&amp;"||",'CALENDARIO'!$G$15:$G$214,0)),INDEX(patronHabil,WEEKDAY($J26,2))))))</f>
        <v/>
      </c>
      <c r="U26" s="24">
        <f>IF($I26="","",IFERROR(INDEX('CAT_TIPOS_OT'!$C$4:$C$23,MATCH($I26,'CAT_TIPOS_OT'!$A$4:$A$23,0)),"sin_clasificar"))</f>
        <v/>
      </c>
      <c r="V26" s="24">
        <f>IF($I26="","",IF(IFERROR(INDEX('CAT_TIPOS_OT'!$D$4:$D$23,MATCH($I26,'CAT_TIPOS_OT'!$A$4:$A$23,0)),"SIN CLASIFICAR")="","SIN CLASIFICAR",IFERROR(INDEX('CAT_TIPOS_OT'!$D$4:$D$23,MATCH($I26,'CAT_TIPOS_OT'!$A$4:$A$23,0)),"SIN CLASIFICAR")))</f>
        <v/>
      </c>
      <c r="W26" s="24">
        <f>IF($H26="","",IF(IFERROR(INDEX('CAT_ACTIVIDADES'!$F$4:$F$26,MATCH($H26,'CAT_ACTIVIDADES'!$A$4:$A$26,0)),"")=0,"",IFERROR(INDEX('CAT_ACTIVIDADES'!$F$4:$F$26,MATCH($H26,'CAT_ACTIVIDADES'!$A$4:$A$26,0)),"")))</f>
        <v/>
      </c>
      <c r="X26" s="24">
        <f>IF($F26="","",IFERROR(INDEX('CAT_CENTROS_COSTO'!$F$4:$F$28,MATCH($F26,'CAT_CENTROS_COSTO'!$A$4:$A$28,0)),"(sin catálogo)"))</f>
        <v/>
      </c>
      <c r="Y26" s="24">
        <f>IF($F26="","",IFERROR(INDEX('CAT_CENTROS_COSTO'!$D$4:$D$28,MATCH($F26,'CAT_CENTROS_COSTO'!$A$4:$A$28,0)),"(sin catálogo)"))</f>
        <v/>
      </c>
      <c r="Z26" s="24">
        <f>IF($F26="","",IF((IFERROR(INDEX('CAT_CENTROS_COSTO'!$E$4:$E$28,MATCH($F26,'CAT_CENTROS_COSTO'!$A$4:$A$28,0)),""))&lt;&gt;"",IFERROR(INDEX('CAT_CENTROS_COSTO'!$E$4:$E$28,MATCH($F26,'CAT_CENTROS_COSTO'!$A$4:$A$28,0)),""),$Y26))</f>
        <v/>
      </c>
      <c r="AA26" s="24">
        <f>IF($F26="","",IFERROR(INDEX('CAT_CENTROS_COSTO'!$G$4:$G$28,MATCH($F26,'CAT_CENTROS_COSTO'!$A$4:$A$28,0)),"(sin catálogo)"))</f>
        <v/>
      </c>
      <c r="AB26" s="24">
        <f>IF($G26="","",IFERROR(INDEX('CAT_PUESTOS'!$B$4:$B$23,MATCH($G26,'CAT_PUESTOS'!$A$4:$A$23,0)),"(sin catálogo)"))</f>
        <v/>
      </c>
      <c r="AC26" s="24">
        <f>IF($H26="","",IFERROR(INDEX('CAT_ACTIVIDADES'!$B$4:$B$26,MATCH($H26,'CAT_ACTIVIDADES'!$A$4:$A$26,0)),"(sin catálogo)"))</f>
        <v/>
      </c>
      <c r="AD26" s="26">
        <f>IF($J26="","",TODAY()-$J26)</f>
        <v/>
      </c>
      <c r="AE26" s="26">
        <f>IF($J26="","",IF($J26&lt;=TODAY(),COUNTIFS(cal_fechas,"&gt;="&amp;$J26,cal_fechas,"&lt;"&amp;TODAY(),cal_habil,"sí"),-COUNTIFS(cal_fechas,"&gt;="&amp;TODAY(),cal_fechas,"&lt;"&amp;$J26,cal_habil,"sí")))</f>
        <v/>
      </c>
      <c r="AF26" s="24">
        <f>IF($AE26="","",IF($AE26&lt;0,"FUTURO",IF($AE26&gt;p_dias_backlog_max,"BACKLOG","MES CORRIENTE")))</f>
        <v/>
      </c>
      <c r="AG26" s="24">
        <f>IF($AE26="",FALSE,AND($AE26&gt;p_dias_backlog_min,$AE26&lt;=p_dias_backlog_max))</f>
        <v/>
      </c>
      <c r="AH26" s="4" t="n"/>
      <c r="AI26" s="24">
        <f>IF($AH26="","",IF((IFERROR(INDEX('ASIGNACIONES'!$J$4:$J$451,MATCH($O26&amp;"|"&amp;$S26&amp;"|"&amp;$AH26,'ASIGNACIONES'!$N$4:$N$451,0)),""))=0,"",IFERROR(INDEX('ASIGNACIONES'!$J$4:$J$451,MATCH($O26&amp;"|"&amp;$S26&amp;"|"&amp;$AH26,'ASIGNACIONES'!$N$4:$N$451,0)),"")))</f>
        <v/>
      </c>
      <c r="AJ26" s="42">
        <f>IF($AH26="","",SUMIFS('ORDENES'!$M$4:$M$1203,'ORDENES'!$AH$4:$AH$1203,$AH26,'ORDENES'!$O$4:$O$1203,$O26,'ORDENES'!$S$4:$S$1203,$S26))</f>
        <v/>
      </c>
      <c r="AK26" s="42">
        <f>IF($AJ26="","",p_factor_productividad*IFERROR(INDEX('ASIGNACIONES'!$M$4:$M$451,MATCH($O26&amp;"|"&amp;$S26&amp;"|"&amp;$AH26,'ASIGNACIONES'!$N$4:$N$451,0)),0)-$AJ26)</f>
        <v/>
      </c>
      <c r="AL26" s="32">
        <f>IF($A26="","",IFERROR(INDEX('2_IMPORTAR_EJECUCION'!$F$9:$F$1208,MATCH($AU26,'2_IMPORTAR_EJECUCION'!$J$9:$J$1208,0)),0))</f>
        <v/>
      </c>
      <c r="AM26" s="32">
        <f>IF($A26="","",MAX(0,IFERROR(INDEX('2_IMPORTAR_EJECUCION'!$H$9:$H$1208,MATCH($AU26,'2_IMPORTAR_EJECUCION'!$J$9:$J$1208,0)),0)-$AL26))</f>
        <v/>
      </c>
      <c r="AN26" s="32">
        <f>IF($A26="","",$AL26+$AM26)</f>
        <v/>
      </c>
      <c r="AO26" s="24">
        <f>IF($A26="","",IF(OR((IFERROR(INDEX('CAT_ACTIVIDADES'!$D$4:$D$26,MATCH($H26,'CAT_ACTIVIDADES'!$A$4:$A$26,0)),""))=0,(IFERROR(INDEX('CAT_ACTIVIDADES'!$D$4:$D$26,MATCH($H26,'CAT_ACTIVIDADES'!$A$4:$A$26,0)),""))=""),"SIN CLASIFICAR",IFERROR(INDEX('CAT_ACTIVIDADES'!$D$4:$D$26,MATCH($H26,'CAT_ACTIVIDADES'!$A$4:$A$26,0)),"")))</f>
        <v/>
      </c>
      <c r="AP26" s="4" t="n"/>
      <c r="AQ26" s="4" t="n"/>
      <c r="AR26" s="4" t="n"/>
      <c r="AS26" s="24">
        <f>IF($AR26="","",HYPERLINK(p_ruta_base_checklists&amp;$AR26,"abrir"))</f>
        <v/>
      </c>
      <c r="AT26" s="4" t="n"/>
      <c r="AU26" s="24">
        <f>IF($A26="","",$A26&amp;IF($B26="","0010",$B26))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1" t="n"/>
      <c r="K27" s="5" t="n"/>
      <c r="L27" s="18" t="n"/>
      <c r="M27" s="24">
        <f>IF($A27="","",IFERROR(INDEX('AJUSTES'!$B$4:$B$303,MATCH($AU27,'AJUSTES'!$A$4:$A$303,0)),IF($K27="","",$K27)))</f>
        <v/>
      </c>
      <c r="N27" s="24">
        <f>IF($A27="","",IFERROR(INDEX('CAT_ESTADOS_ERP'!$B$4:$B$22,MATCH(IFERROR(INDEX('2_IMPORTAR_EJECUCION'!$C$9:$C$1208,MATCH($AU27,'2_IMPORTAR_EJECUCION'!$J$9:$J$1208,0)),""),'CAT_ESTADOS_ERP'!$A$4:$A$22,0)),"Pendiente"))</f>
        <v/>
      </c>
      <c r="O27" s="24">
        <f>IF($J27="","",YEAR($J27+4-WEEKDAY($J27,2))&amp;"-S"&amp;TEXT(_xlfn.ISOWEEKNUM($J27),"00"))</f>
        <v/>
      </c>
      <c r="P27" s="24">
        <f>IF($J27="","",YEAR($J27))</f>
        <v/>
      </c>
      <c r="Q27" s="24">
        <f>IF($J27="","",MONTH($J27))</f>
        <v/>
      </c>
      <c r="R27" s="24">
        <f>IF($J27="","",$P27&amp;"-"&amp;TEXT($Q27,"00"))</f>
        <v/>
      </c>
      <c r="S27" s="24">
        <f>IF($J27="","",INDEX(lista_dias,WEEKDAY($J27,2)))</f>
        <v/>
      </c>
      <c r="T27" s="24">
        <f>IF($J27="","",IFERROR(INDEX('CALENDARIO'!$C$15:$C$214,MATCH(TEXT($J27,"yyyy-mm-dd")&amp;"|"&amp;$Y27&amp;"|"&amp;$Z27,'CALENDARIO'!$G$15:$G$214,0)),IFERROR(INDEX('CALENDARIO'!$C$15:$C$214,MATCH(TEXT($J27,"yyyy-mm-dd")&amp;"|"&amp;$Y27&amp;"|",'CALENDARIO'!$G$15:$G$214,0)),IFERROR(INDEX('CALENDARIO'!$C$15:$C$214,MATCH(TEXT($J27,"yyyy-mm-dd")&amp;"||",'CALENDARIO'!$G$15:$G$214,0)),INDEX(patronHabil,WEEKDAY($J27,2))))))</f>
        <v/>
      </c>
      <c r="U27" s="24">
        <f>IF($I27="","",IFERROR(INDEX('CAT_TIPOS_OT'!$C$4:$C$23,MATCH($I27,'CAT_TIPOS_OT'!$A$4:$A$23,0)),"sin_clasificar"))</f>
        <v/>
      </c>
      <c r="V27" s="24">
        <f>IF($I27="","",IF(IFERROR(INDEX('CAT_TIPOS_OT'!$D$4:$D$23,MATCH($I27,'CAT_TIPOS_OT'!$A$4:$A$23,0)),"SIN CLASIFICAR")="","SIN CLASIFICAR",IFERROR(INDEX('CAT_TIPOS_OT'!$D$4:$D$23,MATCH($I27,'CAT_TIPOS_OT'!$A$4:$A$23,0)),"SIN CLASIFICAR")))</f>
        <v/>
      </c>
      <c r="W27" s="24">
        <f>IF($H27="","",IF(IFERROR(INDEX('CAT_ACTIVIDADES'!$F$4:$F$26,MATCH($H27,'CAT_ACTIVIDADES'!$A$4:$A$26,0)),"")=0,"",IFERROR(INDEX('CAT_ACTIVIDADES'!$F$4:$F$26,MATCH($H27,'CAT_ACTIVIDADES'!$A$4:$A$26,0)),"")))</f>
        <v/>
      </c>
      <c r="X27" s="24">
        <f>IF($F27="","",IFERROR(INDEX('CAT_CENTROS_COSTO'!$F$4:$F$28,MATCH($F27,'CAT_CENTROS_COSTO'!$A$4:$A$28,0)),"(sin catálogo)"))</f>
        <v/>
      </c>
      <c r="Y27" s="24">
        <f>IF($F27="","",IFERROR(INDEX('CAT_CENTROS_COSTO'!$D$4:$D$28,MATCH($F27,'CAT_CENTROS_COSTO'!$A$4:$A$28,0)),"(sin catálogo)"))</f>
        <v/>
      </c>
      <c r="Z27" s="24">
        <f>IF($F27="","",IF((IFERROR(INDEX('CAT_CENTROS_COSTO'!$E$4:$E$28,MATCH($F27,'CAT_CENTROS_COSTO'!$A$4:$A$28,0)),""))&lt;&gt;"",IFERROR(INDEX('CAT_CENTROS_COSTO'!$E$4:$E$28,MATCH($F27,'CAT_CENTROS_COSTO'!$A$4:$A$28,0)),""),$Y27))</f>
        <v/>
      </c>
      <c r="AA27" s="24">
        <f>IF($F27="","",IFERROR(INDEX('CAT_CENTROS_COSTO'!$G$4:$G$28,MATCH($F27,'CAT_CENTROS_COSTO'!$A$4:$A$28,0)),"(sin catálogo)"))</f>
        <v/>
      </c>
      <c r="AB27" s="24">
        <f>IF($G27="","",IFERROR(INDEX('CAT_PUESTOS'!$B$4:$B$23,MATCH($G27,'CAT_PUESTOS'!$A$4:$A$23,0)),"(sin catálogo)"))</f>
        <v/>
      </c>
      <c r="AC27" s="24">
        <f>IF($H27="","",IFERROR(INDEX('CAT_ACTIVIDADES'!$B$4:$B$26,MATCH($H27,'CAT_ACTIVIDADES'!$A$4:$A$26,0)),"(sin catálogo)"))</f>
        <v/>
      </c>
      <c r="AD27" s="26">
        <f>IF($J27="","",TODAY()-$J27)</f>
        <v/>
      </c>
      <c r="AE27" s="26">
        <f>IF($J27="","",IF($J27&lt;=TODAY(),COUNTIFS(cal_fechas,"&gt;="&amp;$J27,cal_fechas,"&lt;"&amp;TODAY(),cal_habil,"sí"),-COUNTIFS(cal_fechas,"&gt;="&amp;TODAY(),cal_fechas,"&lt;"&amp;$J27,cal_habil,"sí")))</f>
        <v/>
      </c>
      <c r="AF27" s="24">
        <f>IF($AE27="","",IF($AE27&lt;0,"FUTURO",IF($AE27&gt;p_dias_backlog_max,"BACKLOG","MES CORRIENTE")))</f>
        <v/>
      </c>
      <c r="AG27" s="24">
        <f>IF($AE27="",FALSE,AND($AE27&gt;p_dias_backlog_min,$AE27&lt;=p_dias_backlog_max))</f>
        <v/>
      </c>
      <c r="AH27" s="4" t="n"/>
      <c r="AI27" s="24">
        <f>IF($AH27="","",IF((IFERROR(INDEX('ASIGNACIONES'!$J$4:$J$451,MATCH($O27&amp;"|"&amp;$S27&amp;"|"&amp;$AH27,'ASIGNACIONES'!$N$4:$N$451,0)),""))=0,"",IFERROR(INDEX('ASIGNACIONES'!$J$4:$J$451,MATCH($O27&amp;"|"&amp;$S27&amp;"|"&amp;$AH27,'ASIGNACIONES'!$N$4:$N$451,0)),"")))</f>
        <v/>
      </c>
      <c r="AJ27" s="42">
        <f>IF($AH27="","",SUMIFS('ORDENES'!$M$4:$M$1203,'ORDENES'!$AH$4:$AH$1203,$AH27,'ORDENES'!$O$4:$O$1203,$O27,'ORDENES'!$S$4:$S$1203,$S27))</f>
        <v/>
      </c>
      <c r="AK27" s="42">
        <f>IF($AJ27="","",p_factor_productividad*IFERROR(INDEX('ASIGNACIONES'!$M$4:$M$451,MATCH($O27&amp;"|"&amp;$S27&amp;"|"&amp;$AH27,'ASIGNACIONES'!$N$4:$N$451,0)),0)-$AJ27)</f>
        <v/>
      </c>
      <c r="AL27" s="32">
        <f>IF($A27="","",IFERROR(INDEX('2_IMPORTAR_EJECUCION'!$F$9:$F$1208,MATCH($AU27,'2_IMPORTAR_EJECUCION'!$J$9:$J$1208,0)),0))</f>
        <v/>
      </c>
      <c r="AM27" s="32">
        <f>IF($A27="","",MAX(0,IFERROR(INDEX('2_IMPORTAR_EJECUCION'!$H$9:$H$1208,MATCH($AU27,'2_IMPORTAR_EJECUCION'!$J$9:$J$1208,0)),0)-$AL27))</f>
        <v/>
      </c>
      <c r="AN27" s="32">
        <f>IF($A27="","",$AL27+$AM27)</f>
        <v/>
      </c>
      <c r="AO27" s="24">
        <f>IF($A27="","",IF(OR((IFERROR(INDEX('CAT_ACTIVIDADES'!$D$4:$D$26,MATCH($H27,'CAT_ACTIVIDADES'!$A$4:$A$26,0)),""))=0,(IFERROR(INDEX('CAT_ACTIVIDADES'!$D$4:$D$26,MATCH($H27,'CAT_ACTIVIDADES'!$A$4:$A$26,0)),""))=""),"SIN CLASIFICAR",IFERROR(INDEX('CAT_ACTIVIDADES'!$D$4:$D$26,MATCH($H27,'CAT_ACTIVIDADES'!$A$4:$A$26,0)),"")))</f>
        <v/>
      </c>
      <c r="AP27" s="4" t="n"/>
      <c r="AQ27" s="4" t="n"/>
      <c r="AR27" s="4" t="n"/>
      <c r="AS27" s="24">
        <f>IF($AR27="","",HYPERLINK(p_ruta_base_checklists&amp;$AR27,"abrir"))</f>
        <v/>
      </c>
      <c r="AT27" s="4" t="n"/>
      <c r="AU27" s="24">
        <f>IF($A27="","",$A27&amp;IF($B27="","0010",$B27))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1" t="n"/>
      <c r="K28" s="5" t="n"/>
      <c r="L28" s="18" t="n"/>
      <c r="M28" s="24">
        <f>IF($A28="","",IFERROR(INDEX('AJUSTES'!$B$4:$B$303,MATCH($AU28,'AJUSTES'!$A$4:$A$303,0)),IF($K28="","",$K28)))</f>
        <v/>
      </c>
      <c r="N28" s="24">
        <f>IF($A28="","",IFERROR(INDEX('CAT_ESTADOS_ERP'!$B$4:$B$22,MATCH(IFERROR(INDEX('2_IMPORTAR_EJECUCION'!$C$9:$C$1208,MATCH($AU28,'2_IMPORTAR_EJECUCION'!$J$9:$J$1208,0)),""),'CAT_ESTADOS_ERP'!$A$4:$A$22,0)),"Pendiente"))</f>
        <v/>
      </c>
      <c r="O28" s="24">
        <f>IF($J28="","",YEAR($J28+4-WEEKDAY($J28,2))&amp;"-S"&amp;TEXT(_xlfn.ISOWEEKNUM($J28),"00"))</f>
        <v/>
      </c>
      <c r="P28" s="24">
        <f>IF($J28="","",YEAR($J28))</f>
        <v/>
      </c>
      <c r="Q28" s="24">
        <f>IF($J28="","",MONTH($J28))</f>
        <v/>
      </c>
      <c r="R28" s="24">
        <f>IF($J28="","",$P28&amp;"-"&amp;TEXT($Q28,"00"))</f>
        <v/>
      </c>
      <c r="S28" s="24">
        <f>IF($J28="","",INDEX(lista_dias,WEEKDAY($J28,2)))</f>
        <v/>
      </c>
      <c r="T28" s="24">
        <f>IF($J28="","",IFERROR(INDEX('CALENDARIO'!$C$15:$C$214,MATCH(TEXT($J28,"yyyy-mm-dd")&amp;"|"&amp;$Y28&amp;"|"&amp;$Z28,'CALENDARIO'!$G$15:$G$214,0)),IFERROR(INDEX('CALENDARIO'!$C$15:$C$214,MATCH(TEXT($J28,"yyyy-mm-dd")&amp;"|"&amp;$Y28&amp;"|",'CALENDARIO'!$G$15:$G$214,0)),IFERROR(INDEX('CALENDARIO'!$C$15:$C$214,MATCH(TEXT($J28,"yyyy-mm-dd")&amp;"||",'CALENDARIO'!$G$15:$G$214,0)),INDEX(patronHabil,WEEKDAY($J28,2))))))</f>
        <v/>
      </c>
      <c r="U28" s="24">
        <f>IF($I28="","",IFERROR(INDEX('CAT_TIPOS_OT'!$C$4:$C$23,MATCH($I28,'CAT_TIPOS_OT'!$A$4:$A$23,0)),"sin_clasificar"))</f>
        <v/>
      </c>
      <c r="V28" s="24">
        <f>IF($I28="","",IF(IFERROR(INDEX('CAT_TIPOS_OT'!$D$4:$D$23,MATCH($I28,'CAT_TIPOS_OT'!$A$4:$A$23,0)),"SIN CLASIFICAR")="","SIN CLASIFICAR",IFERROR(INDEX('CAT_TIPOS_OT'!$D$4:$D$23,MATCH($I28,'CAT_TIPOS_OT'!$A$4:$A$23,0)),"SIN CLASIFICAR")))</f>
        <v/>
      </c>
      <c r="W28" s="24">
        <f>IF($H28="","",IF(IFERROR(INDEX('CAT_ACTIVIDADES'!$F$4:$F$26,MATCH($H28,'CAT_ACTIVIDADES'!$A$4:$A$26,0)),"")=0,"",IFERROR(INDEX('CAT_ACTIVIDADES'!$F$4:$F$26,MATCH($H28,'CAT_ACTIVIDADES'!$A$4:$A$26,0)),"")))</f>
        <v/>
      </c>
      <c r="X28" s="24">
        <f>IF($F28="","",IFERROR(INDEX('CAT_CENTROS_COSTO'!$F$4:$F$28,MATCH($F28,'CAT_CENTROS_COSTO'!$A$4:$A$28,0)),"(sin catálogo)"))</f>
        <v/>
      </c>
      <c r="Y28" s="24">
        <f>IF($F28="","",IFERROR(INDEX('CAT_CENTROS_COSTO'!$D$4:$D$28,MATCH($F28,'CAT_CENTROS_COSTO'!$A$4:$A$28,0)),"(sin catálogo)"))</f>
        <v/>
      </c>
      <c r="Z28" s="24">
        <f>IF($F28="","",IF((IFERROR(INDEX('CAT_CENTROS_COSTO'!$E$4:$E$28,MATCH($F28,'CAT_CENTROS_COSTO'!$A$4:$A$28,0)),""))&lt;&gt;"",IFERROR(INDEX('CAT_CENTROS_COSTO'!$E$4:$E$28,MATCH($F28,'CAT_CENTROS_COSTO'!$A$4:$A$28,0)),""),$Y28))</f>
        <v/>
      </c>
      <c r="AA28" s="24">
        <f>IF($F28="","",IFERROR(INDEX('CAT_CENTROS_COSTO'!$G$4:$G$28,MATCH($F28,'CAT_CENTROS_COSTO'!$A$4:$A$28,0)),"(sin catálogo)"))</f>
        <v/>
      </c>
      <c r="AB28" s="24">
        <f>IF($G28="","",IFERROR(INDEX('CAT_PUESTOS'!$B$4:$B$23,MATCH($G28,'CAT_PUESTOS'!$A$4:$A$23,0)),"(sin catálogo)"))</f>
        <v/>
      </c>
      <c r="AC28" s="24">
        <f>IF($H28="","",IFERROR(INDEX('CAT_ACTIVIDADES'!$B$4:$B$26,MATCH($H28,'CAT_ACTIVIDADES'!$A$4:$A$26,0)),"(sin catálogo)"))</f>
        <v/>
      </c>
      <c r="AD28" s="26">
        <f>IF($J28="","",TODAY()-$J28)</f>
        <v/>
      </c>
      <c r="AE28" s="26">
        <f>IF($J28="","",IF($J28&lt;=TODAY(),COUNTIFS(cal_fechas,"&gt;="&amp;$J28,cal_fechas,"&lt;"&amp;TODAY(),cal_habil,"sí"),-COUNTIFS(cal_fechas,"&gt;="&amp;TODAY(),cal_fechas,"&lt;"&amp;$J28,cal_habil,"sí")))</f>
        <v/>
      </c>
      <c r="AF28" s="24">
        <f>IF($AE28="","",IF($AE28&lt;0,"FUTURO",IF($AE28&gt;p_dias_backlog_max,"BACKLOG","MES CORRIENTE")))</f>
        <v/>
      </c>
      <c r="AG28" s="24">
        <f>IF($AE28="",FALSE,AND($AE28&gt;p_dias_backlog_min,$AE28&lt;=p_dias_backlog_max))</f>
        <v/>
      </c>
      <c r="AH28" s="4" t="n"/>
      <c r="AI28" s="24">
        <f>IF($AH28="","",IF((IFERROR(INDEX('ASIGNACIONES'!$J$4:$J$451,MATCH($O28&amp;"|"&amp;$S28&amp;"|"&amp;$AH28,'ASIGNACIONES'!$N$4:$N$451,0)),""))=0,"",IFERROR(INDEX('ASIGNACIONES'!$J$4:$J$451,MATCH($O28&amp;"|"&amp;$S28&amp;"|"&amp;$AH28,'ASIGNACIONES'!$N$4:$N$451,0)),"")))</f>
        <v/>
      </c>
      <c r="AJ28" s="42">
        <f>IF($AH28="","",SUMIFS('ORDENES'!$M$4:$M$1203,'ORDENES'!$AH$4:$AH$1203,$AH28,'ORDENES'!$O$4:$O$1203,$O28,'ORDENES'!$S$4:$S$1203,$S28))</f>
        <v/>
      </c>
      <c r="AK28" s="42">
        <f>IF($AJ28="","",p_factor_productividad*IFERROR(INDEX('ASIGNACIONES'!$M$4:$M$451,MATCH($O28&amp;"|"&amp;$S28&amp;"|"&amp;$AH28,'ASIGNACIONES'!$N$4:$N$451,0)),0)-$AJ28)</f>
        <v/>
      </c>
      <c r="AL28" s="32">
        <f>IF($A28="","",IFERROR(INDEX('2_IMPORTAR_EJECUCION'!$F$9:$F$1208,MATCH($AU28,'2_IMPORTAR_EJECUCION'!$J$9:$J$1208,0)),0))</f>
        <v/>
      </c>
      <c r="AM28" s="32">
        <f>IF($A28="","",MAX(0,IFERROR(INDEX('2_IMPORTAR_EJECUCION'!$H$9:$H$1208,MATCH($AU28,'2_IMPORTAR_EJECUCION'!$J$9:$J$1208,0)),0)-$AL28))</f>
        <v/>
      </c>
      <c r="AN28" s="32">
        <f>IF($A28="","",$AL28+$AM28)</f>
        <v/>
      </c>
      <c r="AO28" s="24">
        <f>IF($A28="","",IF(OR((IFERROR(INDEX('CAT_ACTIVIDADES'!$D$4:$D$26,MATCH($H28,'CAT_ACTIVIDADES'!$A$4:$A$26,0)),""))=0,(IFERROR(INDEX('CAT_ACTIVIDADES'!$D$4:$D$26,MATCH($H28,'CAT_ACTIVIDADES'!$A$4:$A$26,0)),""))=""),"SIN CLASIFICAR",IFERROR(INDEX('CAT_ACTIVIDADES'!$D$4:$D$26,MATCH($H28,'CAT_ACTIVIDADES'!$A$4:$A$26,0)),"")))</f>
        <v/>
      </c>
      <c r="AP28" s="4" t="n"/>
      <c r="AQ28" s="4" t="n"/>
      <c r="AR28" s="4" t="n"/>
      <c r="AS28" s="24">
        <f>IF($AR28="","",HYPERLINK(p_ruta_base_checklists&amp;$AR28,"abrir"))</f>
        <v/>
      </c>
      <c r="AT28" s="4" t="n"/>
      <c r="AU28" s="24">
        <f>IF($A28="","",$A28&amp;IF($B28="","0010",$B28))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1" t="n"/>
      <c r="K29" s="5" t="n"/>
      <c r="L29" s="18" t="n"/>
      <c r="M29" s="24">
        <f>IF($A29="","",IFERROR(INDEX('AJUSTES'!$B$4:$B$303,MATCH($AU29,'AJUSTES'!$A$4:$A$303,0)),IF($K29="","",$K29)))</f>
        <v/>
      </c>
      <c r="N29" s="24">
        <f>IF($A29="","",IFERROR(INDEX('CAT_ESTADOS_ERP'!$B$4:$B$22,MATCH(IFERROR(INDEX('2_IMPORTAR_EJECUCION'!$C$9:$C$1208,MATCH($AU29,'2_IMPORTAR_EJECUCION'!$J$9:$J$1208,0)),""),'CAT_ESTADOS_ERP'!$A$4:$A$22,0)),"Pendiente"))</f>
        <v/>
      </c>
      <c r="O29" s="24">
        <f>IF($J29="","",YEAR($J29+4-WEEKDAY($J29,2))&amp;"-S"&amp;TEXT(_xlfn.ISOWEEKNUM($J29),"00"))</f>
        <v/>
      </c>
      <c r="P29" s="24">
        <f>IF($J29="","",YEAR($J29))</f>
        <v/>
      </c>
      <c r="Q29" s="24">
        <f>IF($J29="","",MONTH($J29))</f>
        <v/>
      </c>
      <c r="R29" s="24">
        <f>IF($J29="","",$P29&amp;"-"&amp;TEXT($Q29,"00"))</f>
        <v/>
      </c>
      <c r="S29" s="24">
        <f>IF($J29="","",INDEX(lista_dias,WEEKDAY($J29,2)))</f>
        <v/>
      </c>
      <c r="T29" s="24">
        <f>IF($J29="","",IFERROR(INDEX('CALENDARIO'!$C$15:$C$214,MATCH(TEXT($J29,"yyyy-mm-dd")&amp;"|"&amp;$Y29&amp;"|"&amp;$Z29,'CALENDARIO'!$G$15:$G$214,0)),IFERROR(INDEX('CALENDARIO'!$C$15:$C$214,MATCH(TEXT($J29,"yyyy-mm-dd")&amp;"|"&amp;$Y29&amp;"|",'CALENDARIO'!$G$15:$G$214,0)),IFERROR(INDEX('CALENDARIO'!$C$15:$C$214,MATCH(TEXT($J29,"yyyy-mm-dd")&amp;"||",'CALENDARIO'!$G$15:$G$214,0)),INDEX(patronHabil,WEEKDAY($J29,2))))))</f>
        <v/>
      </c>
      <c r="U29" s="24">
        <f>IF($I29="","",IFERROR(INDEX('CAT_TIPOS_OT'!$C$4:$C$23,MATCH($I29,'CAT_TIPOS_OT'!$A$4:$A$23,0)),"sin_clasificar"))</f>
        <v/>
      </c>
      <c r="V29" s="24">
        <f>IF($I29="","",IF(IFERROR(INDEX('CAT_TIPOS_OT'!$D$4:$D$23,MATCH($I29,'CAT_TIPOS_OT'!$A$4:$A$23,0)),"SIN CLASIFICAR")="","SIN CLASIFICAR",IFERROR(INDEX('CAT_TIPOS_OT'!$D$4:$D$23,MATCH($I29,'CAT_TIPOS_OT'!$A$4:$A$23,0)),"SIN CLASIFICAR")))</f>
        <v/>
      </c>
      <c r="W29" s="24">
        <f>IF($H29="","",IF(IFERROR(INDEX('CAT_ACTIVIDADES'!$F$4:$F$26,MATCH($H29,'CAT_ACTIVIDADES'!$A$4:$A$26,0)),"")=0,"",IFERROR(INDEX('CAT_ACTIVIDADES'!$F$4:$F$26,MATCH($H29,'CAT_ACTIVIDADES'!$A$4:$A$26,0)),"")))</f>
        <v/>
      </c>
      <c r="X29" s="24">
        <f>IF($F29="","",IFERROR(INDEX('CAT_CENTROS_COSTO'!$F$4:$F$28,MATCH($F29,'CAT_CENTROS_COSTO'!$A$4:$A$28,0)),"(sin catálogo)"))</f>
        <v/>
      </c>
      <c r="Y29" s="24">
        <f>IF($F29="","",IFERROR(INDEX('CAT_CENTROS_COSTO'!$D$4:$D$28,MATCH($F29,'CAT_CENTROS_COSTO'!$A$4:$A$28,0)),"(sin catálogo)"))</f>
        <v/>
      </c>
      <c r="Z29" s="24">
        <f>IF($F29="","",IF((IFERROR(INDEX('CAT_CENTROS_COSTO'!$E$4:$E$28,MATCH($F29,'CAT_CENTROS_COSTO'!$A$4:$A$28,0)),""))&lt;&gt;"",IFERROR(INDEX('CAT_CENTROS_COSTO'!$E$4:$E$28,MATCH($F29,'CAT_CENTROS_COSTO'!$A$4:$A$28,0)),""),$Y29))</f>
        <v/>
      </c>
      <c r="AA29" s="24">
        <f>IF($F29="","",IFERROR(INDEX('CAT_CENTROS_COSTO'!$G$4:$G$28,MATCH($F29,'CAT_CENTROS_COSTO'!$A$4:$A$28,0)),"(sin catálogo)"))</f>
        <v/>
      </c>
      <c r="AB29" s="24">
        <f>IF($G29="","",IFERROR(INDEX('CAT_PUESTOS'!$B$4:$B$23,MATCH($G29,'CAT_PUESTOS'!$A$4:$A$23,0)),"(sin catálogo)"))</f>
        <v/>
      </c>
      <c r="AC29" s="24">
        <f>IF($H29="","",IFERROR(INDEX('CAT_ACTIVIDADES'!$B$4:$B$26,MATCH($H29,'CAT_ACTIVIDADES'!$A$4:$A$26,0)),"(sin catálogo)"))</f>
        <v/>
      </c>
      <c r="AD29" s="26">
        <f>IF($J29="","",TODAY()-$J29)</f>
        <v/>
      </c>
      <c r="AE29" s="26">
        <f>IF($J29="","",IF($J29&lt;=TODAY(),COUNTIFS(cal_fechas,"&gt;="&amp;$J29,cal_fechas,"&lt;"&amp;TODAY(),cal_habil,"sí"),-COUNTIFS(cal_fechas,"&gt;="&amp;TODAY(),cal_fechas,"&lt;"&amp;$J29,cal_habil,"sí")))</f>
        <v/>
      </c>
      <c r="AF29" s="24">
        <f>IF($AE29="","",IF($AE29&lt;0,"FUTURO",IF($AE29&gt;p_dias_backlog_max,"BACKLOG","MES CORRIENTE")))</f>
        <v/>
      </c>
      <c r="AG29" s="24">
        <f>IF($AE29="",FALSE,AND($AE29&gt;p_dias_backlog_min,$AE29&lt;=p_dias_backlog_max))</f>
        <v/>
      </c>
      <c r="AH29" s="4" t="n"/>
      <c r="AI29" s="24">
        <f>IF($AH29="","",IF((IFERROR(INDEX('ASIGNACIONES'!$J$4:$J$451,MATCH($O29&amp;"|"&amp;$S29&amp;"|"&amp;$AH29,'ASIGNACIONES'!$N$4:$N$451,0)),""))=0,"",IFERROR(INDEX('ASIGNACIONES'!$J$4:$J$451,MATCH($O29&amp;"|"&amp;$S29&amp;"|"&amp;$AH29,'ASIGNACIONES'!$N$4:$N$451,0)),"")))</f>
        <v/>
      </c>
      <c r="AJ29" s="42">
        <f>IF($AH29="","",SUMIFS('ORDENES'!$M$4:$M$1203,'ORDENES'!$AH$4:$AH$1203,$AH29,'ORDENES'!$O$4:$O$1203,$O29,'ORDENES'!$S$4:$S$1203,$S29))</f>
        <v/>
      </c>
      <c r="AK29" s="42">
        <f>IF($AJ29="","",p_factor_productividad*IFERROR(INDEX('ASIGNACIONES'!$M$4:$M$451,MATCH($O29&amp;"|"&amp;$S29&amp;"|"&amp;$AH29,'ASIGNACIONES'!$N$4:$N$451,0)),0)-$AJ29)</f>
        <v/>
      </c>
      <c r="AL29" s="32">
        <f>IF($A29="","",IFERROR(INDEX('2_IMPORTAR_EJECUCION'!$F$9:$F$1208,MATCH($AU29,'2_IMPORTAR_EJECUCION'!$J$9:$J$1208,0)),0))</f>
        <v/>
      </c>
      <c r="AM29" s="32">
        <f>IF($A29="","",MAX(0,IFERROR(INDEX('2_IMPORTAR_EJECUCION'!$H$9:$H$1208,MATCH($AU29,'2_IMPORTAR_EJECUCION'!$J$9:$J$1208,0)),0)-$AL29))</f>
        <v/>
      </c>
      <c r="AN29" s="32">
        <f>IF($A29="","",$AL29+$AM29)</f>
        <v/>
      </c>
      <c r="AO29" s="24">
        <f>IF($A29="","",IF(OR((IFERROR(INDEX('CAT_ACTIVIDADES'!$D$4:$D$26,MATCH($H29,'CAT_ACTIVIDADES'!$A$4:$A$26,0)),""))=0,(IFERROR(INDEX('CAT_ACTIVIDADES'!$D$4:$D$26,MATCH($H29,'CAT_ACTIVIDADES'!$A$4:$A$26,0)),""))=""),"SIN CLASIFICAR",IFERROR(INDEX('CAT_ACTIVIDADES'!$D$4:$D$26,MATCH($H29,'CAT_ACTIVIDADES'!$A$4:$A$26,0)),"")))</f>
        <v/>
      </c>
      <c r="AP29" s="4" t="n"/>
      <c r="AQ29" s="4" t="n"/>
      <c r="AR29" s="4" t="n"/>
      <c r="AS29" s="24">
        <f>IF($AR29="","",HYPERLINK(p_ruta_base_checklists&amp;$AR29,"abrir"))</f>
        <v/>
      </c>
      <c r="AT29" s="4" t="n"/>
      <c r="AU29" s="24">
        <f>IF($A29="","",$A29&amp;IF($B29="","0010",$B29))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1" t="n"/>
      <c r="K30" s="5" t="n"/>
      <c r="L30" s="18" t="n"/>
      <c r="M30" s="24">
        <f>IF($A30="","",IFERROR(INDEX('AJUSTES'!$B$4:$B$303,MATCH($AU30,'AJUSTES'!$A$4:$A$303,0)),IF($K30="","",$K30)))</f>
        <v/>
      </c>
      <c r="N30" s="24">
        <f>IF($A30="","",IFERROR(INDEX('CAT_ESTADOS_ERP'!$B$4:$B$22,MATCH(IFERROR(INDEX('2_IMPORTAR_EJECUCION'!$C$9:$C$1208,MATCH($AU30,'2_IMPORTAR_EJECUCION'!$J$9:$J$1208,0)),""),'CAT_ESTADOS_ERP'!$A$4:$A$22,0)),"Pendiente"))</f>
        <v/>
      </c>
      <c r="O30" s="24">
        <f>IF($J30="","",YEAR($J30+4-WEEKDAY($J30,2))&amp;"-S"&amp;TEXT(_xlfn.ISOWEEKNUM($J30),"00"))</f>
        <v/>
      </c>
      <c r="P30" s="24">
        <f>IF($J30="","",YEAR($J30))</f>
        <v/>
      </c>
      <c r="Q30" s="24">
        <f>IF($J30="","",MONTH($J30))</f>
        <v/>
      </c>
      <c r="R30" s="24">
        <f>IF($J30="","",$P30&amp;"-"&amp;TEXT($Q30,"00"))</f>
        <v/>
      </c>
      <c r="S30" s="24">
        <f>IF($J30="","",INDEX(lista_dias,WEEKDAY($J30,2)))</f>
        <v/>
      </c>
      <c r="T30" s="24">
        <f>IF($J30="","",IFERROR(INDEX('CALENDARIO'!$C$15:$C$214,MATCH(TEXT($J30,"yyyy-mm-dd")&amp;"|"&amp;$Y30&amp;"|"&amp;$Z30,'CALENDARIO'!$G$15:$G$214,0)),IFERROR(INDEX('CALENDARIO'!$C$15:$C$214,MATCH(TEXT($J30,"yyyy-mm-dd")&amp;"|"&amp;$Y30&amp;"|",'CALENDARIO'!$G$15:$G$214,0)),IFERROR(INDEX('CALENDARIO'!$C$15:$C$214,MATCH(TEXT($J30,"yyyy-mm-dd")&amp;"||",'CALENDARIO'!$G$15:$G$214,0)),INDEX(patronHabil,WEEKDAY($J30,2))))))</f>
        <v/>
      </c>
      <c r="U30" s="24">
        <f>IF($I30="","",IFERROR(INDEX('CAT_TIPOS_OT'!$C$4:$C$23,MATCH($I30,'CAT_TIPOS_OT'!$A$4:$A$23,0)),"sin_clasificar"))</f>
        <v/>
      </c>
      <c r="V30" s="24">
        <f>IF($I30="","",IF(IFERROR(INDEX('CAT_TIPOS_OT'!$D$4:$D$23,MATCH($I30,'CAT_TIPOS_OT'!$A$4:$A$23,0)),"SIN CLASIFICAR")="","SIN CLASIFICAR",IFERROR(INDEX('CAT_TIPOS_OT'!$D$4:$D$23,MATCH($I30,'CAT_TIPOS_OT'!$A$4:$A$23,0)),"SIN CLASIFICAR")))</f>
        <v/>
      </c>
      <c r="W30" s="24">
        <f>IF($H30="","",IF(IFERROR(INDEX('CAT_ACTIVIDADES'!$F$4:$F$26,MATCH($H30,'CAT_ACTIVIDADES'!$A$4:$A$26,0)),"")=0,"",IFERROR(INDEX('CAT_ACTIVIDADES'!$F$4:$F$26,MATCH($H30,'CAT_ACTIVIDADES'!$A$4:$A$26,0)),"")))</f>
        <v/>
      </c>
      <c r="X30" s="24">
        <f>IF($F30="","",IFERROR(INDEX('CAT_CENTROS_COSTO'!$F$4:$F$28,MATCH($F30,'CAT_CENTROS_COSTO'!$A$4:$A$28,0)),"(sin catálogo)"))</f>
        <v/>
      </c>
      <c r="Y30" s="24">
        <f>IF($F30="","",IFERROR(INDEX('CAT_CENTROS_COSTO'!$D$4:$D$28,MATCH($F30,'CAT_CENTROS_COSTO'!$A$4:$A$28,0)),"(sin catálogo)"))</f>
        <v/>
      </c>
      <c r="Z30" s="24">
        <f>IF($F30="","",IF((IFERROR(INDEX('CAT_CENTROS_COSTO'!$E$4:$E$28,MATCH($F30,'CAT_CENTROS_COSTO'!$A$4:$A$28,0)),""))&lt;&gt;"",IFERROR(INDEX('CAT_CENTROS_COSTO'!$E$4:$E$28,MATCH($F30,'CAT_CENTROS_COSTO'!$A$4:$A$28,0)),""),$Y30))</f>
        <v/>
      </c>
      <c r="AA30" s="24">
        <f>IF($F30="","",IFERROR(INDEX('CAT_CENTROS_COSTO'!$G$4:$G$28,MATCH($F30,'CAT_CENTROS_COSTO'!$A$4:$A$28,0)),"(sin catálogo)"))</f>
        <v/>
      </c>
      <c r="AB30" s="24">
        <f>IF($G30="","",IFERROR(INDEX('CAT_PUESTOS'!$B$4:$B$23,MATCH($G30,'CAT_PUESTOS'!$A$4:$A$23,0)),"(sin catálogo)"))</f>
        <v/>
      </c>
      <c r="AC30" s="24">
        <f>IF($H30="","",IFERROR(INDEX('CAT_ACTIVIDADES'!$B$4:$B$26,MATCH($H30,'CAT_ACTIVIDADES'!$A$4:$A$26,0)),"(sin catálogo)"))</f>
        <v/>
      </c>
      <c r="AD30" s="26">
        <f>IF($J30="","",TODAY()-$J30)</f>
        <v/>
      </c>
      <c r="AE30" s="26">
        <f>IF($J30="","",IF($J30&lt;=TODAY(),COUNTIFS(cal_fechas,"&gt;="&amp;$J30,cal_fechas,"&lt;"&amp;TODAY(),cal_habil,"sí"),-COUNTIFS(cal_fechas,"&gt;="&amp;TODAY(),cal_fechas,"&lt;"&amp;$J30,cal_habil,"sí")))</f>
        <v/>
      </c>
      <c r="AF30" s="24">
        <f>IF($AE30="","",IF($AE30&lt;0,"FUTURO",IF($AE30&gt;p_dias_backlog_max,"BACKLOG","MES CORRIENTE")))</f>
        <v/>
      </c>
      <c r="AG30" s="24">
        <f>IF($AE30="",FALSE,AND($AE30&gt;p_dias_backlog_min,$AE30&lt;=p_dias_backlog_max))</f>
        <v/>
      </c>
      <c r="AH30" s="4" t="n"/>
      <c r="AI30" s="24">
        <f>IF($AH30="","",IF((IFERROR(INDEX('ASIGNACIONES'!$J$4:$J$451,MATCH($O30&amp;"|"&amp;$S30&amp;"|"&amp;$AH30,'ASIGNACIONES'!$N$4:$N$451,0)),""))=0,"",IFERROR(INDEX('ASIGNACIONES'!$J$4:$J$451,MATCH($O30&amp;"|"&amp;$S30&amp;"|"&amp;$AH30,'ASIGNACIONES'!$N$4:$N$451,0)),"")))</f>
        <v/>
      </c>
      <c r="AJ30" s="42">
        <f>IF($AH30="","",SUMIFS('ORDENES'!$M$4:$M$1203,'ORDENES'!$AH$4:$AH$1203,$AH30,'ORDENES'!$O$4:$O$1203,$O30,'ORDENES'!$S$4:$S$1203,$S30))</f>
        <v/>
      </c>
      <c r="AK30" s="42">
        <f>IF($AJ30="","",p_factor_productividad*IFERROR(INDEX('ASIGNACIONES'!$M$4:$M$451,MATCH($O30&amp;"|"&amp;$S30&amp;"|"&amp;$AH30,'ASIGNACIONES'!$N$4:$N$451,0)),0)-$AJ30)</f>
        <v/>
      </c>
      <c r="AL30" s="32">
        <f>IF($A30="","",IFERROR(INDEX('2_IMPORTAR_EJECUCION'!$F$9:$F$1208,MATCH($AU30,'2_IMPORTAR_EJECUCION'!$J$9:$J$1208,0)),0))</f>
        <v/>
      </c>
      <c r="AM30" s="32">
        <f>IF($A30="","",MAX(0,IFERROR(INDEX('2_IMPORTAR_EJECUCION'!$H$9:$H$1208,MATCH($AU30,'2_IMPORTAR_EJECUCION'!$J$9:$J$1208,0)),0)-$AL30))</f>
        <v/>
      </c>
      <c r="AN30" s="32">
        <f>IF($A30="","",$AL30+$AM30)</f>
        <v/>
      </c>
      <c r="AO30" s="24">
        <f>IF($A30="","",IF(OR((IFERROR(INDEX('CAT_ACTIVIDADES'!$D$4:$D$26,MATCH($H30,'CAT_ACTIVIDADES'!$A$4:$A$26,0)),""))=0,(IFERROR(INDEX('CAT_ACTIVIDADES'!$D$4:$D$26,MATCH($H30,'CAT_ACTIVIDADES'!$A$4:$A$26,0)),""))=""),"SIN CLASIFICAR",IFERROR(INDEX('CAT_ACTIVIDADES'!$D$4:$D$26,MATCH($H30,'CAT_ACTIVIDADES'!$A$4:$A$26,0)),"")))</f>
        <v/>
      </c>
      <c r="AP30" s="4" t="n"/>
      <c r="AQ30" s="4" t="n"/>
      <c r="AR30" s="4" t="n"/>
      <c r="AS30" s="24">
        <f>IF($AR30="","",HYPERLINK(p_ruta_base_checklists&amp;$AR30,"abrir"))</f>
        <v/>
      </c>
      <c r="AT30" s="4" t="n"/>
      <c r="AU30" s="24">
        <f>IF($A30="","",$A30&amp;IF($B30="","0010",$B30))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1" t="n"/>
      <c r="K31" s="5" t="n"/>
      <c r="L31" s="18" t="n"/>
      <c r="M31" s="24">
        <f>IF($A31="","",IFERROR(INDEX('AJUSTES'!$B$4:$B$303,MATCH($AU31,'AJUSTES'!$A$4:$A$303,0)),IF($K31="","",$K31)))</f>
        <v/>
      </c>
      <c r="N31" s="24">
        <f>IF($A31="","",IFERROR(INDEX('CAT_ESTADOS_ERP'!$B$4:$B$22,MATCH(IFERROR(INDEX('2_IMPORTAR_EJECUCION'!$C$9:$C$1208,MATCH($AU31,'2_IMPORTAR_EJECUCION'!$J$9:$J$1208,0)),""),'CAT_ESTADOS_ERP'!$A$4:$A$22,0)),"Pendiente"))</f>
        <v/>
      </c>
      <c r="O31" s="24">
        <f>IF($J31="","",YEAR($J31+4-WEEKDAY($J31,2))&amp;"-S"&amp;TEXT(_xlfn.ISOWEEKNUM($J31),"00"))</f>
        <v/>
      </c>
      <c r="P31" s="24">
        <f>IF($J31="","",YEAR($J31))</f>
        <v/>
      </c>
      <c r="Q31" s="24">
        <f>IF($J31="","",MONTH($J31))</f>
        <v/>
      </c>
      <c r="R31" s="24">
        <f>IF($J31="","",$P31&amp;"-"&amp;TEXT($Q31,"00"))</f>
        <v/>
      </c>
      <c r="S31" s="24">
        <f>IF($J31="","",INDEX(lista_dias,WEEKDAY($J31,2)))</f>
        <v/>
      </c>
      <c r="T31" s="24">
        <f>IF($J31="","",IFERROR(INDEX('CALENDARIO'!$C$15:$C$214,MATCH(TEXT($J31,"yyyy-mm-dd")&amp;"|"&amp;$Y31&amp;"|"&amp;$Z31,'CALENDARIO'!$G$15:$G$214,0)),IFERROR(INDEX('CALENDARIO'!$C$15:$C$214,MATCH(TEXT($J31,"yyyy-mm-dd")&amp;"|"&amp;$Y31&amp;"|",'CALENDARIO'!$G$15:$G$214,0)),IFERROR(INDEX('CALENDARIO'!$C$15:$C$214,MATCH(TEXT($J31,"yyyy-mm-dd")&amp;"||",'CALENDARIO'!$G$15:$G$214,0)),INDEX(patronHabil,WEEKDAY($J31,2))))))</f>
        <v/>
      </c>
      <c r="U31" s="24">
        <f>IF($I31="","",IFERROR(INDEX('CAT_TIPOS_OT'!$C$4:$C$23,MATCH($I31,'CAT_TIPOS_OT'!$A$4:$A$23,0)),"sin_clasificar"))</f>
        <v/>
      </c>
      <c r="V31" s="24">
        <f>IF($I31="","",IF(IFERROR(INDEX('CAT_TIPOS_OT'!$D$4:$D$23,MATCH($I31,'CAT_TIPOS_OT'!$A$4:$A$23,0)),"SIN CLASIFICAR")="","SIN CLASIFICAR",IFERROR(INDEX('CAT_TIPOS_OT'!$D$4:$D$23,MATCH($I31,'CAT_TIPOS_OT'!$A$4:$A$23,0)),"SIN CLASIFICAR")))</f>
        <v/>
      </c>
      <c r="W31" s="24">
        <f>IF($H31="","",IF(IFERROR(INDEX('CAT_ACTIVIDADES'!$F$4:$F$26,MATCH($H31,'CAT_ACTIVIDADES'!$A$4:$A$26,0)),"")=0,"",IFERROR(INDEX('CAT_ACTIVIDADES'!$F$4:$F$26,MATCH($H31,'CAT_ACTIVIDADES'!$A$4:$A$26,0)),"")))</f>
        <v/>
      </c>
      <c r="X31" s="24">
        <f>IF($F31="","",IFERROR(INDEX('CAT_CENTROS_COSTO'!$F$4:$F$28,MATCH($F31,'CAT_CENTROS_COSTO'!$A$4:$A$28,0)),"(sin catálogo)"))</f>
        <v/>
      </c>
      <c r="Y31" s="24">
        <f>IF($F31="","",IFERROR(INDEX('CAT_CENTROS_COSTO'!$D$4:$D$28,MATCH($F31,'CAT_CENTROS_COSTO'!$A$4:$A$28,0)),"(sin catálogo)"))</f>
        <v/>
      </c>
      <c r="Z31" s="24">
        <f>IF($F31="","",IF((IFERROR(INDEX('CAT_CENTROS_COSTO'!$E$4:$E$28,MATCH($F31,'CAT_CENTROS_COSTO'!$A$4:$A$28,0)),""))&lt;&gt;"",IFERROR(INDEX('CAT_CENTROS_COSTO'!$E$4:$E$28,MATCH($F31,'CAT_CENTROS_COSTO'!$A$4:$A$28,0)),""),$Y31))</f>
        <v/>
      </c>
      <c r="AA31" s="24">
        <f>IF($F31="","",IFERROR(INDEX('CAT_CENTROS_COSTO'!$G$4:$G$28,MATCH($F31,'CAT_CENTROS_COSTO'!$A$4:$A$28,0)),"(sin catálogo)"))</f>
        <v/>
      </c>
      <c r="AB31" s="24">
        <f>IF($G31="","",IFERROR(INDEX('CAT_PUESTOS'!$B$4:$B$23,MATCH($G31,'CAT_PUESTOS'!$A$4:$A$23,0)),"(sin catálogo)"))</f>
        <v/>
      </c>
      <c r="AC31" s="24">
        <f>IF($H31="","",IFERROR(INDEX('CAT_ACTIVIDADES'!$B$4:$B$26,MATCH($H31,'CAT_ACTIVIDADES'!$A$4:$A$26,0)),"(sin catálogo)"))</f>
        <v/>
      </c>
      <c r="AD31" s="26">
        <f>IF($J31="","",TODAY()-$J31)</f>
        <v/>
      </c>
      <c r="AE31" s="26">
        <f>IF($J31="","",IF($J31&lt;=TODAY(),COUNTIFS(cal_fechas,"&gt;="&amp;$J31,cal_fechas,"&lt;"&amp;TODAY(),cal_habil,"sí"),-COUNTIFS(cal_fechas,"&gt;="&amp;TODAY(),cal_fechas,"&lt;"&amp;$J31,cal_habil,"sí")))</f>
        <v/>
      </c>
      <c r="AF31" s="24">
        <f>IF($AE31="","",IF($AE31&lt;0,"FUTURO",IF($AE31&gt;p_dias_backlog_max,"BACKLOG","MES CORRIENTE")))</f>
        <v/>
      </c>
      <c r="AG31" s="24">
        <f>IF($AE31="",FALSE,AND($AE31&gt;p_dias_backlog_min,$AE31&lt;=p_dias_backlog_max))</f>
        <v/>
      </c>
      <c r="AH31" s="4" t="n"/>
      <c r="AI31" s="24">
        <f>IF($AH31="","",IF((IFERROR(INDEX('ASIGNACIONES'!$J$4:$J$451,MATCH($O31&amp;"|"&amp;$S31&amp;"|"&amp;$AH31,'ASIGNACIONES'!$N$4:$N$451,0)),""))=0,"",IFERROR(INDEX('ASIGNACIONES'!$J$4:$J$451,MATCH($O31&amp;"|"&amp;$S31&amp;"|"&amp;$AH31,'ASIGNACIONES'!$N$4:$N$451,0)),"")))</f>
        <v/>
      </c>
      <c r="AJ31" s="42">
        <f>IF($AH31="","",SUMIFS('ORDENES'!$M$4:$M$1203,'ORDENES'!$AH$4:$AH$1203,$AH31,'ORDENES'!$O$4:$O$1203,$O31,'ORDENES'!$S$4:$S$1203,$S31))</f>
        <v/>
      </c>
      <c r="AK31" s="42">
        <f>IF($AJ31="","",p_factor_productividad*IFERROR(INDEX('ASIGNACIONES'!$M$4:$M$451,MATCH($O31&amp;"|"&amp;$S31&amp;"|"&amp;$AH31,'ASIGNACIONES'!$N$4:$N$451,0)),0)-$AJ31)</f>
        <v/>
      </c>
      <c r="AL31" s="32">
        <f>IF($A31="","",IFERROR(INDEX('2_IMPORTAR_EJECUCION'!$F$9:$F$1208,MATCH($AU31,'2_IMPORTAR_EJECUCION'!$J$9:$J$1208,0)),0))</f>
        <v/>
      </c>
      <c r="AM31" s="32">
        <f>IF($A31="","",MAX(0,IFERROR(INDEX('2_IMPORTAR_EJECUCION'!$H$9:$H$1208,MATCH($AU31,'2_IMPORTAR_EJECUCION'!$J$9:$J$1208,0)),0)-$AL31))</f>
        <v/>
      </c>
      <c r="AN31" s="32">
        <f>IF($A31="","",$AL31+$AM31)</f>
        <v/>
      </c>
      <c r="AO31" s="24">
        <f>IF($A31="","",IF(OR((IFERROR(INDEX('CAT_ACTIVIDADES'!$D$4:$D$26,MATCH($H31,'CAT_ACTIVIDADES'!$A$4:$A$26,0)),""))=0,(IFERROR(INDEX('CAT_ACTIVIDADES'!$D$4:$D$26,MATCH($H31,'CAT_ACTIVIDADES'!$A$4:$A$26,0)),""))=""),"SIN CLASIFICAR",IFERROR(INDEX('CAT_ACTIVIDADES'!$D$4:$D$26,MATCH($H31,'CAT_ACTIVIDADES'!$A$4:$A$26,0)),"")))</f>
        <v/>
      </c>
      <c r="AP31" s="4" t="n"/>
      <c r="AQ31" s="4" t="n"/>
      <c r="AR31" s="4" t="n"/>
      <c r="AS31" s="24">
        <f>IF($AR31="","",HYPERLINK(p_ruta_base_checklists&amp;$AR31,"abrir"))</f>
        <v/>
      </c>
      <c r="AT31" s="4" t="n"/>
      <c r="AU31" s="24">
        <f>IF($A31="","",$A31&amp;IF($B31="","0010",$B31))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1" t="n"/>
      <c r="K32" s="5" t="n"/>
      <c r="L32" s="18" t="n"/>
      <c r="M32" s="24">
        <f>IF($A32="","",IFERROR(INDEX('AJUSTES'!$B$4:$B$303,MATCH($AU32,'AJUSTES'!$A$4:$A$303,0)),IF($K32="","",$K32)))</f>
        <v/>
      </c>
      <c r="N32" s="24">
        <f>IF($A32="","",IFERROR(INDEX('CAT_ESTADOS_ERP'!$B$4:$B$22,MATCH(IFERROR(INDEX('2_IMPORTAR_EJECUCION'!$C$9:$C$1208,MATCH($AU32,'2_IMPORTAR_EJECUCION'!$J$9:$J$1208,0)),""),'CAT_ESTADOS_ERP'!$A$4:$A$22,0)),"Pendiente"))</f>
        <v/>
      </c>
      <c r="O32" s="24">
        <f>IF($J32="","",YEAR($J32+4-WEEKDAY($J32,2))&amp;"-S"&amp;TEXT(_xlfn.ISOWEEKNUM($J32),"00"))</f>
        <v/>
      </c>
      <c r="P32" s="24">
        <f>IF($J32="","",YEAR($J32))</f>
        <v/>
      </c>
      <c r="Q32" s="24">
        <f>IF($J32="","",MONTH($J32))</f>
        <v/>
      </c>
      <c r="R32" s="24">
        <f>IF($J32="","",$P32&amp;"-"&amp;TEXT($Q32,"00"))</f>
        <v/>
      </c>
      <c r="S32" s="24">
        <f>IF($J32="","",INDEX(lista_dias,WEEKDAY($J32,2)))</f>
        <v/>
      </c>
      <c r="T32" s="24">
        <f>IF($J32="","",IFERROR(INDEX('CALENDARIO'!$C$15:$C$214,MATCH(TEXT($J32,"yyyy-mm-dd")&amp;"|"&amp;$Y32&amp;"|"&amp;$Z32,'CALENDARIO'!$G$15:$G$214,0)),IFERROR(INDEX('CALENDARIO'!$C$15:$C$214,MATCH(TEXT($J32,"yyyy-mm-dd")&amp;"|"&amp;$Y32&amp;"|",'CALENDARIO'!$G$15:$G$214,0)),IFERROR(INDEX('CALENDARIO'!$C$15:$C$214,MATCH(TEXT($J32,"yyyy-mm-dd")&amp;"||",'CALENDARIO'!$G$15:$G$214,0)),INDEX(patronHabil,WEEKDAY($J32,2))))))</f>
        <v/>
      </c>
      <c r="U32" s="24">
        <f>IF($I32="","",IFERROR(INDEX('CAT_TIPOS_OT'!$C$4:$C$23,MATCH($I32,'CAT_TIPOS_OT'!$A$4:$A$23,0)),"sin_clasificar"))</f>
        <v/>
      </c>
      <c r="V32" s="24">
        <f>IF($I32="","",IF(IFERROR(INDEX('CAT_TIPOS_OT'!$D$4:$D$23,MATCH($I32,'CAT_TIPOS_OT'!$A$4:$A$23,0)),"SIN CLASIFICAR")="","SIN CLASIFICAR",IFERROR(INDEX('CAT_TIPOS_OT'!$D$4:$D$23,MATCH($I32,'CAT_TIPOS_OT'!$A$4:$A$23,0)),"SIN CLASIFICAR")))</f>
        <v/>
      </c>
      <c r="W32" s="24">
        <f>IF($H32="","",IF(IFERROR(INDEX('CAT_ACTIVIDADES'!$F$4:$F$26,MATCH($H32,'CAT_ACTIVIDADES'!$A$4:$A$26,0)),"")=0,"",IFERROR(INDEX('CAT_ACTIVIDADES'!$F$4:$F$26,MATCH($H32,'CAT_ACTIVIDADES'!$A$4:$A$26,0)),"")))</f>
        <v/>
      </c>
      <c r="X32" s="24">
        <f>IF($F32="","",IFERROR(INDEX('CAT_CENTROS_COSTO'!$F$4:$F$28,MATCH($F32,'CAT_CENTROS_COSTO'!$A$4:$A$28,0)),"(sin catálogo)"))</f>
        <v/>
      </c>
      <c r="Y32" s="24">
        <f>IF($F32="","",IFERROR(INDEX('CAT_CENTROS_COSTO'!$D$4:$D$28,MATCH($F32,'CAT_CENTROS_COSTO'!$A$4:$A$28,0)),"(sin catálogo)"))</f>
        <v/>
      </c>
      <c r="Z32" s="24">
        <f>IF($F32="","",IF((IFERROR(INDEX('CAT_CENTROS_COSTO'!$E$4:$E$28,MATCH($F32,'CAT_CENTROS_COSTO'!$A$4:$A$28,0)),""))&lt;&gt;"",IFERROR(INDEX('CAT_CENTROS_COSTO'!$E$4:$E$28,MATCH($F32,'CAT_CENTROS_COSTO'!$A$4:$A$28,0)),""),$Y32))</f>
        <v/>
      </c>
      <c r="AA32" s="24">
        <f>IF($F32="","",IFERROR(INDEX('CAT_CENTROS_COSTO'!$G$4:$G$28,MATCH($F32,'CAT_CENTROS_COSTO'!$A$4:$A$28,0)),"(sin catálogo)"))</f>
        <v/>
      </c>
      <c r="AB32" s="24">
        <f>IF($G32="","",IFERROR(INDEX('CAT_PUESTOS'!$B$4:$B$23,MATCH($G32,'CAT_PUESTOS'!$A$4:$A$23,0)),"(sin catálogo)"))</f>
        <v/>
      </c>
      <c r="AC32" s="24">
        <f>IF($H32="","",IFERROR(INDEX('CAT_ACTIVIDADES'!$B$4:$B$26,MATCH($H32,'CAT_ACTIVIDADES'!$A$4:$A$26,0)),"(sin catálogo)"))</f>
        <v/>
      </c>
      <c r="AD32" s="26">
        <f>IF($J32="","",TODAY()-$J32)</f>
        <v/>
      </c>
      <c r="AE32" s="26">
        <f>IF($J32="","",IF($J32&lt;=TODAY(),COUNTIFS(cal_fechas,"&gt;="&amp;$J32,cal_fechas,"&lt;"&amp;TODAY(),cal_habil,"sí"),-COUNTIFS(cal_fechas,"&gt;="&amp;TODAY(),cal_fechas,"&lt;"&amp;$J32,cal_habil,"sí")))</f>
        <v/>
      </c>
      <c r="AF32" s="24">
        <f>IF($AE32="","",IF($AE32&lt;0,"FUTURO",IF($AE32&gt;p_dias_backlog_max,"BACKLOG","MES CORRIENTE")))</f>
        <v/>
      </c>
      <c r="AG32" s="24">
        <f>IF($AE32="",FALSE,AND($AE32&gt;p_dias_backlog_min,$AE32&lt;=p_dias_backlog_max))</f>
        <v/>
      </c>
      <c r="AH32" s="4" t="n"/>
      <c r="AI32" s="24">
        <f>IF($AH32="","",IF((IFERROR(INDEX('ASIGNACIONES'!$J$4:$J$451,MATCH($O32&amp;"|"&amp;$S32&amp;"|"&amp;$AH32,'ASIGNACIONES'!$N$4:$N$451,0)),""))=0,"",IFERROR(INDEX('ASIGNACIONES'!$J$4:$J$451,MATCH($O32&amp;"|"&amp;$S32&amp;"|"&amp;$AH32,'ASIGNACIONES'!$N$4:$N$451,0)),"")))</f>
        <v/>
      </c>
      <c r="AJ32" s="42">
        <f>IF($AH32="","",SUMIFS('ORDENES'!$M$4:$M$1203,'ORDENES'!$AH$4:$AH$1203,$AH32,'ORDENES'!$O$4:$O$1203,$O32,'ORDENES'!$S$4:$S$1203,$S32))</f>
        <v/>
      </c>
      <c r="AK32" s="42">
        <f>IF($AJ32="","",p_factor_productividad*IFERROR(INDEX('ASIGNACIONES'!$M$4:$M$451,MATCH($O32&amp;"|"&amp;$S32&amp;"|"&amp;$AH32,'ASIGNACIONES'!$N$4:$N$451,0)),0)-$AJ32)</f>
        <v/>
      </c>
      <c r="AL32" s="32">
        <f>IF($A32="","",IFERROR(INDEX('2_IMPORTAR_EJECUCION'!$F$9:$F$1208,MATCH($AU32,'2_IMPORTAR_EJECUCION'!$J$9:$J$1208,0)),0))</f>
        <v/>
      </c>
      <c r="AM32" s="32">
        <f>IF($A32="","",MAX(0,IFERROR(INDEX('2_IMPORTAR_EJECUCION'!$H$9:$H$1208,MATCH($AU32,'2_IMPORTAR_EJECUCION'!$J$9:$J$1208,0)),0)-$AL32))</f>
        <v/>
      </c>
      <c r="AN32" s="32">
        <f>IF($A32="","",$AL32+$AM32)</f>
        <v/>
      </c>
      <c r="AO32" s="24">
        <f>IF($A32="","",IF(OR((IFERROR(INDEX('CAT_ACTIVIDADES'!$D$4:$D$26,MATCH($H32,'CAT_ACTIVIDADES'!$A$4:$A$26,0)),""))=0,(IFERROR(INDEX('CAT_ACTIVIDADES'!$D$4:$D$26,MATCH($H32,'CAT_ACTIVIDADES'!$A$4:$A$26,0)),""))=""),"SIN CLASIFICAR",IFERROR(INDEX('CAT_ACTIVIDADES'!$D$4:$D$26,MATCH($H32,'CAT_ACTIVIDADES'!$A$4:$A$26,0)),"")))</f>
        <v/>
      </c>
      <c r="AP32" s="4" t="n"/>
      <c r="AQ32" s="4" t="n"/>
      <c r="AR32" s="4" t="n"/>
      <c r="AS32" s="24">
        <f>IF($AR32="","",HYPERLINK(p_ruta_base_checklists&amp;$AR32,"abrir"))</f>
        <v/>
      </c>
      <c r="AT32" s="4" t="n"/>
      <c r="AU32" s="24">
        <f>IF($A32="","",$A32&amp;IF($B32="","0010",$B32))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1" t="n"/>
      <c r="K33" s="5" t="n"/>
      <c r="L33" s="18" t="n"/>
      <c r="M33" s="24">
        <f>IF($A33="","",IFERROR(INDEX('AJUSTES'!$B$4:$B$303,MATCH($AU33,'AJUSTES'!$A$4:$A$303,0)),IF($K33="","",$K33)))</f>
        <v/>
      </c>
      <c r="N33" s="24">
        <f>IF($A33="","",IFERROR(INDEX('CAT_ESTADOS_ERP'!$B$4:$B$22,MATCH(IFERROR(INDEX('2_IMPORTAR_EJECUCION'!$C$9:$C$1208,MATCH($AU33,'2_IMPORTAR_EJECUCION'!$J$9:$J$1208,0)),""),'CAT_ESTADOS_ERP'!$A$4:$A$22,0)),"Pendiente"))</f>
        <v/>
      </c>
      <c r="O33" s="24">
        <f>IF($J33="","",YEAR($J33+4-WEEKDAY($J33,2))&amp;"-S"&amp;TEXT(_xlfn.ISOWEEKNUM($J33),"00"))</f>
        <v/>
      </c>
      <c r="P33" s="24">
        <f>IF($J33="","",YEAR($J33))</f>
        <v/>
      </c>
      <c r="Q33" s="24">
        <f>IF($J33="","",MONTH($J33))</f>
        <v/>
      </c>
      <c r="R33" s="24">
        <f>IF($J33="","",$P33&amp;"-"&amp;TEXT($Q33,"00"))</f>
        <v/>
      </c>
      <c r="S33" s="24">
        <f>IF($J33="","",INDEX(lista_dias,WEEKDAY($J33,2)))</f>
        <v/>
      </c>
      <c r="T33" s="24">
        <f>IF($J33="","",IFERROR(INDEX('CALENDARIO'!$C$15:$C$214,MATCH(TEXT($J33,"yyyy-mm-dd")&amp;"|"&amp;$Y33&amp;"|"&amp;$Z33,'CALENDARIO'!$G$15:$G$214,0)),IFERROR(INDEX('CALENDARIO'!$C$15:$C$214,MATCH(TEXT($J33,"yyyy-mm-dd")&amp;"|"&amp;$Y33&amp;"|",'CALENDARIO'!$G$15:$G$214,0)),IFERROR(INDEX('CALENDARIO'!$C$15:$C$214,MATCH(TEXT($J33,"yyyy-mm-dd")&amp;"||",'CALENDARIO'!$G$15:$G$214,0)),INDEX(patronHabil,WEEKDAY($J33,2))))))</f>
        <v/>
      </c>
      <c r="U33" s="24">
        <f>IF($I33="","",IFERROR(INDEX('CAT_TIPOS_OT'!$C$4:$C$23,MATCH($I33,'CAT_TIPOS_OT'!$A$4:$A$23,0)),"sin_clasificar"))</f>
        <v/>
      </c>
      <c r="V33" s="24">
        <f>IF($I33="","",IF(IFERROR(INDEX('CAT_TIPOS_OT'!$D$4:$D$23,MATCH($I33,'CAT_TIPOS_OT'!$A$4:$A$23,0)),"SIN CLASIFICAR")="","SIN CLASIFICAR",IFERROR(INDEX('CAT_TIPOS_OT'!$D$4:$D$23,MATCH($I33,'CAT_TIPOS_OT'!$A$4:$A$23,0)),"SIN CLASIFICAR")))</f>
        <v/>
      </c>
      <c r="W33" s="24">
        <f>IF($H33="","",IF(IFERROR(INDEX('CAT_ACTIVIDADES'!$F$4:$F$26,MATCH($H33,'CAT_ACTIVIDADES'!$A$4:$A$26,0)),"")=0,"",IFERROR(INDEX('CAT_ACTIVIDADES'!$F$4:$F$26,MATCH($H33,'CAT_ACTIVIDADES'!$A$4:$A$26,0)),"")))</f>
        <v/>
      </c>
      <c r="X33" s="24">
        <f>IF($F33="","",IFERROR(INDEX('CAT_CENTROS_COSTO'!$F$4:$F$28,MATCH($F33,'CAT_CENTROS_COSTO'!$A$4:$A$28,0)),"(sin catálogo)"))</f>
        <v/>
      </c>
      <c r="Y33" s="24">
        <f>IF($F33="","",IFERROR(INDEX('CAT_CENTROS_COSTO'!$D$4:$D$28,MATCH($F33,'CAT_CENTROS_COSTO'!$A$4:$A$28,0)),"(sin catálogo)"))</f>
        <v/>
      </c>
      <c r="Z33" s="24">
        <f>IF($F33="","",IF((IFERROR(INDEX('CAT_CENTROS_COSTO'!$E$4:$E$28,MATCH($F33,'CAT_CENTROS_COSTO'!$A$4:$A$28,0)),""))&lt;&gt;"",IFERROR(INDEX('CAT_CENTROS_COSTO'!$E$4:$E$28,MATCH($F33,'CAT_CENTROS_COSTO'!$A$4:$A$28,0)),""),$Y33))</f>
        <v/>
      </c>
      <c r="AA33" s="24">
        <f>IF($F33="","",IFERROR(INDEX('CAT_CENTROS_COSTO'!$G$4:$G$28,MATCH($F33,'CAT_CENTROS_COSTO'!$A$4:$A$28,0)),"(sin catálogo)"))</f>
        <v/>
      </c>
      <c r="AB33" s="24">
        <f>IF($G33="","",IFERROR(INDEX('CAT_PUESTOS'!$B$4:$B$23,MATCH($G33,'CAT_PUESTOS'!$A$4:$A$23,0)),"(sin catálogo)"))</f>
        <v/>
      </c>
      <c r="AC33" s="24">
        <f>IF($H33="","",IFERROR(INDEX('CAT_ACTIVIDADES'!$B$4:$B$26,MATCH($H33,'CAT_ACTIVIDADES'!$A$4:$A$26,0)),"(sin catálogo)"))</f>
        <v/>
      </c>
      <c r="AD33" s="26">
        <f>IF($J33="","",TODAY()-$J33)</f>
        <v/>
      </c>
      <c r="AE33" s="26">
        <f>IF($J33="","",IF($J33&lt;=TODAY(),COUNTIFS(cal_fechas,"&gt;="&amp;$J33,cal_fechas,"&lt;"&amp;TODAY(),cal_habil,"sí"),-COUNTIFS(cal_fechas,"&gt;="&amp;TODAY(),cal_fechas,"&lt;"&amp;$J33,cal_habil,"sí")))</f>
        <v/>
      </c>
      <c r="AF33" s="24">
        <f>IF($AE33="","",IF($AE33&lt;0,"FUTURO",IF($AE33&gt;p_dias_backlog_max,"BACKLOG","MES CORRIENTE")))</f>
        <v/>
      </c>
      <c r="AG33" s="24">
        <f>IF($AE33="",FALSE,AND($AE33&gt;p_dias_backlog_min,$AE33&lt;=p_dias_backlog_max))</f>
        <v/>
      </c>
      <c r="AH33" s="4" t="n"/>
      <c r="AI33" s="24">
        <f>IF($AH33="","",IF((IFERROR(INDEX('ASIGNACIONES'!$J$4:$J$451,MATCH($O33&amp;"|"&amp;$S33&amp;"|"&amp;$AH33,'ASIGNACIONES'!$N$4:$N$451,0)),""))=0,"",IFERROR(INDEX('ASIGNACIONES'!$J$4:$J$451,MATCH($O33&amp;"|"&amp;$S33&amp;"|"&amp;$AH33,'ASIGNACIONES'!$N$4:$N$451,0)),"")))</f>
        <v/>
      </c>
      <c r="AJ33" s="42">
        <f>IF($AH33="","",SUMIFS('ORDENES'!$M$4:$M$1203,'ORDENES'!$AH$4:$AH$1203,$AH33,'ORDENES'!$O$4:$O$1203,$O33,'ORDENES'!$S$4:$S$1203,$S33))</f>
        <v/>
      </c>
      <c r="AK33" s="42">
        <f>IF($AJ33="","",p_factor_productividad*IFERROR(INDEX('ASIGNACIONES'!$M$4:$M$451,MATCH($O33&amp;"|"&amp;$S33&amp;"|"&amp;$AH33,'ASIGNACIONES'!$N$4:$N$451,0)),0)-$AJ33)</f>
        <v/>
      </c>
      <c r="AL33" s="32">
        <f>IF($A33="","",IFERROR(INDEX('2_IMPORTAR_EJECUCION'!$F$9:$F$1208,MATCH($AU33,'2_IMPORTAR_EJECUCION'!$J$9:$J$1208,0)),0))</f>
        <v/>
      </c>
      <c r="AM33" s="32">
        <f>IF($A33="","",MAX(0,IFERROR(INDEX('2_IMPORTAR_EJECUCION'!$H$9:$H$1208,MATCH($AU33,'2_IMPORTAR_EJECUCION'!$J$9:$J$1208,0)),0)-$AL33))</f>
        <v/>
      </c>
      <c r="AN33" s="32">
        <f>IF($A33="","",$AL33+$AM33)</f>
        <v/>
      </c>
      <c r="AO33" s="24">
        <f>IF($A33="","",IF(OR((IFERROR(INDEX('CAT_ACTIVIDADES'!$D$4:$D$26,MATCH($H33,'CAT_ACTIVIDADES'!$A$4:$A$26,0)),""))=0,(IFERROR(INDEX('CAT_ACTIVIDADES'!$D$4:$D$26,MATCH($H33,'CAT_ACTIVIDADES'!$A$4:$A$26,0)),""))=""),"SIN CLASIFICAR",IFERROR(INDEX('CAT_ACTIVIDADES'!$D$4:$D$26,MATCH($H33,'CAT_ACTIVIDADES'!$A$4:$A$26,0)),"")))</f>
        <v/>
      </c>
      <c r="AP33" s="4" t="n"/>
      <c r="AQ33" s="4" t="n"/>
      <c r="AR33" s="4" t="n"/>
      <c r="AS33" s="24">
        <f>IF($AR33="","",HYPERLINK(p_ruta_base_checklists&amp;$AR33,"abrir"))</f>
        <v/>
      </c>
      <c r="AT33" s="4" t="n"/>
      <c r="AU33" s="24">
        <f>IF($A33="","",$A33&amp;IF($B33="","0010",$B33))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1" t="n"/>
      <c r="K34" s="5" t="n"/>
      <c r="L34" s="18" t="n"/>
      <c r="M34" s="24">
        <f>IF($A34="","",IFERROR(INDEX('AJUSTES'!$B$4:$B$303,MATCH($AU34,'AJUSTES'!$A$4:$A$303,0)),IF($K34="","",$K34)))</f>
        <v/>
      </c>
      <c r="N34" s="24">
        <f>IF($A34="","",IFERROR(INDEX('CAT_ESTADOS_ERP'!$B$4:$B$22,MATCH(IFERROR(INDEX('2_IMPORTAR_EJECUCION'!$C$9:$C$1208,MATCH($AU34,'2_IMPORTAR_EJECUCION'!$J$9:$J$1208,0)),""),'CAT_ESTADOS_ERP'!$A$4:$A$22,0)),"Pendiente"))</f>
        <v/>
      </c>
      <c r="O34" s="24">
        <f>IF($J34="","",YEAR($J34+4-WEEKDAY($J34,2))&amp;"-S"&amp;TEXT(_xlfn.ISOWEEKNUM($J34),"00"))</f>
        <v/>
      </c>
      <c r="P34" s="24">
        <f>IF($J34="","",YEAR($J34))</f>
        <v/>
      </c>
      <c r="Q34" s="24">
        <f>IF($J34="","",MONTH($J34))</f>
        <v/>
      </c>
      <c r="R34" s="24">
        <f>IF($J34="","",$P34&amp;"-"&amp;TEXT($Q34,"00"))</f>
        <v/>
      </c>
      <c r="S34" s="24">
        <f>IF($J34="","",INDEX(lista_dias,WEEKDAY($J34,2)))</f>
        <v/>
      </c>
      <c r="T34" s="24">
        <f>IF($J34="","",IFERROR(INDEX('CALENDARIO'!$C$15:$C$214,MATCH(TEXT($J34,"yyyy-mm-dd")&amp;"|"&amp;$Y34&amp;"|"&amp;$Z34,'CALENDARIO'!$G$15:$G$214,0)),IFERROR(INDEX('CALENDARIO'!$C$15:$C$214,MATCH(TEXT($J34,"yyyy-mm-dd")&amp;"|"&amp;$Y34&amp;"|",'CALENDARIO'!$G$15:$G$214,0)),IFERROR(INDEX('CALENDARIO'!$C$15:$C$214,MATCH(TEXT($J34,"yyyy-mm-dd")&amp;"||",'CALENDARIO'!$G$15:$G$214,0)),INDEX(patronHabil,WEEKDAY($J34,2))))))</f>
        <v/>
      </c>
      <c r="U34" s="24">
        <f>IF($I34="","",IFERROR(INDEX('CAT_TIPOS_OT'!$C$4:$C$23,MATCH($I34,'CAT_TIPOS_OT'!$A$4:$A$23,0)),"sin_clasificar"))</f>
        <v/>
      </c>
      <c r="V34" s="24">
        <f>IF($I34="","",IF(IFERROR(INDEX('CAT_TIPOS_OT'!$D$4:$D$23,MATCH($I34,'CAT_TIPOS_OT'!$A$4:$A$23,0)),"SIN CLASIFICAR")="","SIN CLASIFICAR",IFERROR(INDEX('CAT_TIPOS_OT'!$D$4:$D$23,MATCH($I34,'CAT_TIPOS_OT'!$A$4:$A$23,0)),"SIN CLASIFICAR")))</f>
        <v/>
      </c>
      <c r="W34" s="24">
        <f>IF($H34="","",IF(IFERROR(INDEX('CAT_ACTIVIDADES'!$F$4:$F$26,MATCH($H34,'CAT_ACTIVIDADES'!$A$4:$A$26,0)),"")=0,"",IFERROR(INDEX('CAT_ACTIVIDADES'!$F$4:$F$26,MATCH($H34,'CAT_ACTIVIDADES'!$A$4:$A$26,0)),"")))</f>
        <v/>
      </c>
      <c r="X34" s="24">
        <f>IF($F34="","",IFERROR(INDEX('CAT_CENTROS_COSTO'!$F$4:$F$28,MATCH($F34,'CAT_CENTROS_COSTO'!$A$4:$A$28,0)),"(sin catálogo)"))</f>
        <v/>
      </c>
      <c r="Y34" s="24">
        <f>IF($F34="","",IFERROR(INDEX('CAT_CENTROS_COSTO'!$D$4:$D$28,MATCH($F34,'CAT_CENTROS_COSTO'!$A$4:$A$28,0)),"(sin catálogo)"))</f>
        <v/>
      </c>
      <c r="Z34" s="24">
        <f>IF($F34="","",IF((IFERROR(INDEX('CAT_CENTROS_COSTO'!$E$4:$E$28,MATCH($F34,'CAT_CENTROS_COSTO'!$A$4:$A$28,0)),""))&lt;&gt;"",IFERROR(INDEX('CAT_CENTROS_COSTO'!$E$4:$E$28,MATCH($F34,'CAT_CENTROS_COSTO'!$A$4:$A$28,0)),""),$Y34))</f>
        <v/>
      </c>
      <c r="AA34" s="24">
        <f>IF($F34="","",IFERROR(INDEX('CAT_CENTROS_COSTO'!$G$4:$G$28,MATCH($F34,'CAT_CENTROS_COSTO'!$A$4:$A$28,0)),"(sin catálogo)"))</f>
        <v/>
      </c>
      <c r="AB34" s="24">
        <f>IF($G34="","",IFERROR(INDEX('CAT_PUESTOS'!$B$4:$B$23,MATCH($G34,'CAT_PUESTOS'!$A$4:$A$23,0)),"(sin catálogo)"))</f>
        <v/>
      </c>
      <c r="AC34" s="24">
        <f>IF($H34="","",IFERROR(INDEX('CAT_ACTIVIDADES'!$B$4:$B$26,MATCH($H34,'CAT_ACTIVIDADES'!$A$4:$A$26,0)),"(sin catálogo)"))</f>
        <v/>
      </c>
      <c r="AD34" s="26">
        <f>IF($J34="","",TODAY()-$J34)</f>
        <v/>
      </c>
      <c r="AE34" s="26">
        <f>IF($J34="","",IF($J34&lt;=TODAY(),COUNTIFS(cal_fechas,"&gt;="&amp;$J34,cal_fechas,"&lt;"&amp;TODAY(),cal_habil,"sí"),-COUNTIFS(cal_fechas,"&gt;="&amp;TODAY(),cal_fechas,"&lt;"&amp;$J34,cal_habil,"sí")))</f>
        <v/>
      </c>
      <c r="AF34" s="24">
        <f>IF($AE34="","",IF($AE34&lt;0,"FUTURO",IF($AE34&gt;p_dias_backlog_max,"BACKLOG","MES CORRIENTE")))</f>
        <v/>
      </c>
      <c r="AG34" s="24">
        <f>IF($AE34="",FALSE,AND($AE34&gt;p_dias_backlog_min,$AE34&lt;=p_dias_backlog_max))</f>
        <v/>
      </c>
      <c r="AH34" s="4" t="n"/>
      <c r="AI34" s="24">
        <f>IF($AH34="","",IF((IFERROR(INDEX('ASIGNACIONES'!$J$4:$J$451,MATCH($O34&amp;"|"&amp;$S34&amp;"|"&amp;$AH34,'ASIGNACIONES'!$N$4:$N$451,0)),""))=0,"",IFERROR(INDEX('ASIGNACIONES'!$J$4:$J$451,MATCH($O34&amp;"|"&amp;$S34&amp;"|"&amp;$AH34,'ASIGNACIONES'!$N$4:$N$451,0)),"")))</f>
        <v/>
      </c>
      <c r="AJ34" s="42">
        <f>IF($AH34="","",SUMIFS('ORDENES'!$M$4:$M$1203,'ORDENES'!$AH$4:$AH$1203,$AH34,'ORDENES'!$O$4:$O$1203,$O34,'ORDENES'!$S$4:$S$1203,$S34))</f>
        <v/>
      </c>
      <c r="AK34" s="42">
        <f>IF($AJ34="","",p_factor_productividad*IFERROR(INDEX('ASIGNACIONES'!$M$4:$M$451,MATCH($O34&amp;"|"&amp;$S34&amp;"|"&amp;$AH34,'ASIGNACIONES'!$N$4:$N$451,0)),0)-$AJ34)</f>
        <v/>
      </c>
      <c r="AL34" s="32">
        <f>IF($A34="","",IFERROR(INDEX('2_IMPORTAR_EJECUCION'!$F$9:$F$1208,MATCH($AU34,'2_IMPORTAR_EJECUCION'!$J$9:$J$1208,0)),0))</f>
        <v/>
      </c>
      <c r="AM34" s="32">
        <f>IF($A34="","",MAX(0,IFERROR(INDEX('2_IMPORTAR_EJECUCION'!$H$9:$H$1208,MATCH($AU34,'2_IMPORTAR_EJECUCION'!$J$9:$J$1208,0)),0)-$AL34))</f>
        <v/>
      </c>
      <c r="AN34" s="32">
        <f>IF($A34="","",$AL34+$AM34)</f>
        <v/>
      </c>
      <c r="AO34" s="24">
        <f>IF($A34="","",IF(OR((IFERROR(INDEX('CAT_ACTIVIDADES'!$D$4:$D$26,MATCH($H34,'CAT_ACTIVIDADES'!$A$4:$A$26,0)),""))=0,(IFERROR(INDEX('CAT_ACTIVIDADES'!$D$4:$D$26,MATCH($H34,'CAT_ACTIVIDADES'!$A$4:$A$26,0)),""))=""),"SIN CLASIFICAR",IFERROR(INDEX('CAT_ACTIVIDADES'!$D$4:$D$26,MATCH($H34,'CAT_ACTIVIDADES'!$A$4:$A$26,0)),"")))</f>
        <v/>
      </c>
      <c r="AP34" s="4" t="n"/>
      <c r="AQ34" s="4" t="n"/>
      <c r="AR34" s="4" t="n"/>
      <c r="AS34" s="24">
        <f>IF($AR34="","",HYPERLINK(p_ruta_base_checklists&amp;$AR34,"abrir"))</f>
        <v/>
      </c>
      <c r="AT34" s="4" t="n"/>
      <c r="AU34" s="24">
        <f>IF($A34="","",$A34&amp;IF($B34="","0010",$B34))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1" t="n"/>
      <c r="K35" s="5" t="n"/>
      <c r="L35" s="18" t="n"/>
      <c r="M35" s="24">
        <f>IF($A35="","",IFERROR(INDEX('AJUSTES'!$B$4:$B$303,MATCH($AU35,'AJUSTES'!$A$4:$A$303,0)),IF($K35="","",$K35)))</f>
        <v/>
      </c>
      <c r="N35" s="24">
        <f>IF($A35="","",IFERROR(INDEX('CAT_ESTADOS_ERP'!$B$4:$B$22,MATCH(IFERROR(INDEX('2_IMPORTAR_EJECUCION'!$C$9:$C$1208,MATCH($AU35,'2_IMPORTAR_EJECUCION'!$J$9:$J$1208,0)),""),'CAT_ESTADOS_ERP'!$A$4:$A$22,0)),"Pendiente"))</f>
        <v/>
      </c>
      <c r="O35" s="24">
        <f>IF($J35="","",YEAR($J35+4-WEEKDAY($J35,2))&amp;"-S"&amp;TEXT(_xlfn.ISOWEEKNUM($J35),"00"))</f>
        <v/>
      </c>
      <c r="P35" s="24">
        <f>IF($J35="","",YEAR($J35))</f>
        <v/>
      </c>
      <c r="Q35" s="24">
        <f>IF($J35="","",MONTH($J35))</f>
        <v/>
      </c>
      <c r="R35" s="24">
        <f>IF($J35="","",$P35&amp;"-"&amp;TEXT($Q35,"00"))</f>
        <v/>
      </c>
      <c r="S35" s="24">
        <f>IF($J35="","",INDEX(lista_dias,WEEKDAY($J35,2)))</f>
        <v/>
      </c>
      <c r="T35" s="24">
        <f>IF($J35="","",IFERROR(INDEX('CALENDARIO'!$C$15:$C$214,MATCH(TEXT($J35,"yyyy-mm-dd")&amp;"|"&amp;$Y35&amp;"|"&amp;$Z35,'CALENDARIO'!$G$15:$G$214,0)),IFERROR(INDEX('CALENDARIO'!$C$15:$C$214,MATCH(TEXT($J35,"yyyy-mm-dd")&amp;"|"&amp;$Y35&amp;"|",'CALENDARIO'!$G$15:$G$214,0)),IFERROR(INDEX('CALENDARIO'!$C$15:$C$214,MATCH(TEXT($J35,"yyyy-mm-dd")&amp;"||",'CALENDARIO'!$G$15:$G$214,0)),INDEX(patronHabil,WEEKDAY($J35,2))))))</f>
        <v/>
      </c>
      <c r="U35" s="24">
        <f>IF($I35="","",IFERROR(INDEX('CAT_TIPOS_OT'!$C$4:$C$23,MATCH($I35,'CAT_TIPOS_OT'!$A$4:$A$23,0)),"sin_clasificar"))</f>
        <v/>
      </c>
      <c r="V35" s="24">
        <f>IF($I35="","",IF(IFERROR(INDEX('CAT_TIPOS_OT'!$D$4:$D$23,MATCH($I35,'CAT_TIPOS_OT'!$A$4:$A$23,0)),"SIN CLASIFICAR")="","SIN CLASIFICAR",IFERROR(INDEX('CAT_TIPOS_OT'!$D$4:$D$23,MATCH($I35,'CAT_TIPOS_OT'!$A$4:$A$23,0)),"SIN CLASIFICAR")))</f>
        <v/>
      </c>
      <c r="W35" s="24">
        <f>IF($H35="","",IF(IFERROR(INDEX('CAT_ACTIVIDADES'!$F$4:$F$26,MATCH($H35,'CAT_ACTIVIDADES'!$A$4:$A$26,0)),"")=0,"",IFERROR(INDEX('CAT_ACTIVIDADES'!$F$4:$F$26,MATCH($H35,'CAT_ACTIVIDADES'!$A$4:$A$26,0)),"")))</f>
        <v/>
      </c>
      <c r="X35" s="24">
        <f>IF($F35="","",IFERROR(INDEX('CAT_CENTROS_COSTO'!$F$4:$F$28,MATCH($F35,'CAT_CENTROS_COSTO'!$A$4:$A$28,0)),"(sin catálogo)"))</f>
        <v/>
      </c>
      <c r="Y35" s="24">
        <f>IF($F35="","",IFERROR(INDEX('CAT_CENTROS_COSTO'!$D$4:$D$28,MATCH($F35,'CAT_CENTROS_COSTO'!$A$4:$A$28,0)),"(sin catálogo)"))</f>
        <v/>
      </c>
      <c r="Z35" s="24">
        <f>IF($F35="","",IF((IFERROR(INDEX('CAT_CENTROS_COSTO'!$E$4:$E$28,MATCH($F35,'CAT_CENTROS_COSTO'!$A$4:$A$28,0)),""))&lt;&gt;"",IFERROR(INDEX('CAT_CENTROS_COSTO'!$E$4:$E$28,MATCH($F35,'CAT_CENTROS_COSTO'!$A$4:$A$28,0)),""),$Y35))</f>
        <v/>
      </c>
      <c r="AA35" s="24">
        <f>IF($F35="","",IFERROR(INDEX('CAT_CENTROS_COSTO'!$G$4:$G$28,MATCH($F35,'CAT_CENTROS_COSTO'!$A$4:$A$28,0)),"(sin catálogo)"))</f>
        <v/>
      </c>
      <c r="AB35" s="24">
        <f>IF($G35="","",IFERROR(INDEX('CAT_PUESTOS'!$B$4:$B$23,MATCH($G35,'CAT_PUESTOS'!$A$4:$A$23,0)),"(sin catálogo)"))</f>
        <v/>
      </c>
      <c r="AC35" s="24">
        <f>IF($H35="","",IFERROR(INDEX('CAT_ACTIVIDADES'!$B$4:$B$26,MATCH($H35,'CAT_ACTIVIDADES'!$A$4:$A$26,0)),"(sin catálogo)"))</f>
        <v/>
      </c>
      <c r="AD35" s="26">
        <f>IF($J35="","",TODAY()-$J35)</f>
        <v/>
      </c>
      <c r="AE35" s="26">
        <f>IF($J35="","",IF($J35&lt;=TODAY(),COUNTIFS(cal_fechas,"&gt;="&amp;$J35,cal_fechas,"&lt;"&amp;TODAY(),cal_habil,"sí"),-COUNTIFS(cal_fechas,"&gt;="&amp;TODAY(),cal_fechas,"&lt;"&amp;$J35,cal_habil,"sí")))</f>
        <v/>
      </c>
      <c r="AF35" s="24">
        <f>IF($AE35="","",IF($AE35&lt;0,"FUTURO",IF($AE35&gt;p_dias_backlog_max,"BACKLOG","MES CORRIENTE")))</f>
        <v/>
      </c>
      <c r="AG35" s="24">
        <f>IF($AE35="",FALSE,AND($AE35&gt;p_dias_backlog_min,$AE35&lt;=p_dias_backlog_max))</f>
        <v/>
      </c>
      <c r="AH35" s="4" t="n"/>
      <c r="AI35" s="24">
        <f>IF($AH35="","",IF((IFERROR(INDEX('ASIGNACIONES'!$J$4:$J$451,MATCH($O35&amp;"|"&amp;$S35&amp;"|"&amp;$AH35,'ASIGNACIONES'!$N$4:$N$451,0)),""))=0,"",IFERROR(INDEX('ASIGNACIONES'!$J$4:$J$451,MATCH($O35&amp;"|"&amp;$S35&amp;"|"&amp;$AH35,'ASIGNACIONES'!$N$4:$N$451,0)),"")))</f>
        <v/>
      </c>
      <c r="AJ35" s="42">
        <f>IF($AH35="","",SUMIFS('ORDENES'!$M$4:$M$1203,'ORDENES'!$AH$4:$AH$1203,$AH35,'ORDENES'!$O$4:$O$1203,$O35,'ORDENES'!$S$4:$S$1203,$S35))</f>
        <v/>
      </c>
      <c r="AK35" s="42">
        <f>IF($AJ35="","",p_factor_productividad*IFERROR(INDEX('ASIGNACIONES'!$M$4:$M$451,MATCH($O35&amp;"|"&amp;$S35&amp;"|"&amp;$AH35,'ASIGNACIONES'!$N$4:$N$451,0)),0)-$AJ35)</f>
        <v/>
      </c>
      <c r="AL35" s="32">
        <f>IF($A35="","",IFERROR(INDEX('2_IMPORTAR_EJECUCION'!$F$9:$F$1208,MATCH($AU35,'2_IMPORTAR_EJECUCION'!$J$9:$J$1208,0)),0))</f>
        <v/>
      </c>
      <c r="AM35" s="32">
        <f>IF($A35="","",MAX(0,IFERROR(INDEX('2_IMPORTAR_EJECUCION'!$H$9:$H$1208,MATCH($AU35,'2_IMPORTAR_EJECUCION'!$J$9:$J$1208,0)),0)-$AL35))</f>
        <v/>
      </c>
      <c r="AN35" s="32">
        <f>IF($A35="","",$AL35+$AM35)</f>
        <v/>
      </c>
      <c r="AO35" s="24">
        <f>IF($A35="","",IF(OR((IFERROR(INDEX('CAT_ACTIVIDADES'!$D$4:$D$26,MATCH($H35,'CAT_ACTIVIDADES'!$A$4:$A$26,0)),""))=0,(IFERROR(INDEX('CAT_ACTIVIDADES'!$D$4:$D$26,MATCH($H35,'CAT_ACTIVIDADES'!$A$4:$A$26,0)),""))=""),"SIN CLASIFICAR",IFERROR(INDEX('CAT_ACTIVIDADES'!$D$4:$D$26,MATCH($H35,'CAT_ACTIVIDADES'!$A$4:$A$26,0)),"")))</f>
        <v/>
      </c>
      <c r="AP35" s="4" t="n"/>
      <c r="AQ35" s="4" t="n"/>
      <c r="AR35" s="4" t="n"/>
      <c r="AS35" s="24">
        <f>IF($AR35="","",HYPERLINK(p_ruta_base_checklists&amp;$AR35,"abrir"))</f>
        <v/>
      </c>
      <c r="AT35" s="4" t="n"/>
      <c r="AU35" s="24">
        <f>IF($A35="","",$A35&amp;IF($B35="","0010",$B35))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1" t="n"/>
      <c r="K36" s="5" t="n"/>
      <c r="L36" s="18" t="n"/>
      <c r="M36" s="24">
        <f>IF($A36="","",IFERROR(INDEX('AJUSTES'!$B$4:$B$303,MATCH($AU36,'AJUSTES'!$A$4:$A$303,0)),IF($K36="","",$K36)))</f>
        <v/>
      </c>
      <c r="N36" s="24">
        <f>IF($A36="","",IFERROR(INDEX('CAT_ESTADOS_ERP'!$B$4:$B$22,MATCH(IFERROR(INDEX('2_IMPORTAR_EJECUCION'!$C$9:$C$1208,MATCH($AU36,'2_IMPORTAR_EJECUCION'!$J$9:$J$1208,0)),""),'CAT_ESTADOS_ERP'!$A$4:$A$22,0)),"Pendiente"))</f>
        <v/>
      </c>
      <c r="O36" s="24">
        <f>IF($J36="","",YEAR($J36+4-WEEKDAY($J36,2))&amp;"-S"&amp;TEXT(_xlfn.ISOWEEKNUM($J36),"00"))</f>
        <v/>
      </c>
      <c r="P36" s="24">
        <f>IF($J36="","",YEAR($J36))</f>
        <v/>
      </c>
      <c r="Q36" s="24">
        <f>IF($J36="","",MONTH($J36))</f>
        <v/>
      </c>
      <c r="R36" s="24">
        <f>IF($J36="","",$P36&amp;"-"&amp;TEXT($Q36,"00"))</f>
        <v/>
      </c>
      <c r="S36" s="24">
        <f>IF($J36="","",INDEX(lista_dias,WEEKDAY($J36,2)))</f>
        <v/>
      </c>
      <c r="T36" s="24">
        <f>IF($J36="","",IFERROR(INDEX('CALENDARIO'!$C$15:$C$214,MATCH(TEXT($J36,"yyyy-mm-dd")&amp;"|"&amp;$Y36&amp;"|"&amp;$Z36,'CALENDARIO'!$G$15:$G$214,0)),IFERROR(INDEX('CALENDARIO'!$C$15:$C$214,MATCH(TEXT($J36,"yyyy-mm-dd")&amp;"|"&amp;$Y36&amp;"|",'CALENDARIO'!$G$15:$G$214,0)),IFERROR(INDEX('CALENDARIO'!$C$15:$C$214,MATCH(TEXT($J36,"yyyy-mm-dd")&amp;"||",'CALENDARIO'!$G$15:$G$214,0)),INDEX(patronHabil,WEEKDAY($J36,2))))))</f>
        <v/>
      </c>
      <c r="U36" s="24">
        <f>IF($I36="","",IFERROR(INDEX('CAT_TIPOS_OT'!$C$4:$C$23,MATCH($I36,'CAT_TIPOS_OT'!$A$4:$A$23,0)),"sin_clasificar"))</f>
        <v/>
      </c>
      <c r="V36" s="24">
        <f>IF($I36="","",IF(IFERROR(INDEX('CAT_TIPOS_OT'!$D$4:$D$23,MATCH($I36,'CAT_TIPOS_OT'!$A$4:$A$23,0)),"SIN CLASIFICAR")="","SIN CLASIFICAR",IFERROR(INDEX('CAT_TIPOS_OT'!$D$4:$D$23,MATCH($I36,'CAT_TIPOS_OT'!$A$4:$A$23,0)),"SIN CLASIFICAR")))</f>
        <v/>
      </c>
      <c r="W36" s="24">
        <f>IF($H36="","",IF(IFERROR(INDEX('CAT_ACTIVIDADES'!$F$4:$F$26,MATCH($H36,'CAT_ACTIVIDADES'!$A$4:$A$26,0)),"")=0,"",IFERROR(INDEX('CAT_ACTIVIDADES'!$F$4:$F$26,MATCH($H36,'CAT_ACTIVIDADES'!$A$4:$A$26,0)),"")))</f>
        <v/>
      </c>
      <c r="X36" s="24">
        <f>IF($F36="","",IFERROR(INDEX('CAT_CENTROS_COSTO'!$F$4:$F$28,MATCH($F36,'CAT_CENTROS_COSTO'!$A$4:$A$28,0)),"(sin catálogo)"))</f>
        <v/>
      </c>
      <c r="Y36" s="24">
        <f>IF($F36="","",IFERROR(INDEX('CAT_CENTROS_COSTO'!$D$4:$D$28,MATCH($F36,'CAT_CENTROS_COSTO'!$A$4:$A$28,0)),"(sin catálogo)"))</f>
        <v/>
      </c>
      <c r="Z36" s="24">
        <f>IF($F36="","",IF((IFERROR(INDEX('CAT_CENTROS_COSTO'!$E$4:$E$28,MATCH($F36,'CAT_CENTROS_COSTO'!$A$4:$A$28,0)),""))&lt;&gt;"",IFERROR(INDEX('CAT_CENTROS_COSTO'!$E$4:$E$28,MATCH($F36,'CAT_CENTROS_COSTO'!$A$4:$A$28,0)),""),$Y36))</f>
        <v/>
      </c>
      <c r="AA36" s="24">
        <f>IF($F36="","",IFERROR(INDEX('CAT_CENTROS_COSTO'!$G$4:$G$28,MATCH($F36,'CAT_CENTROS_COSTO'!$A$4:$A$28,0)),"(sin catálogo)"))</f>
        <v/>
      </c>
      <c r="AB36" s="24">
        <f>IF($G36="","",IFERROR(INDEX('CAT_PUESTOS'!$B$4:$B$23,MATCH($G36,'CAT_PUESTOS'!$A$4:$A$23,0)),"(sin catálogo)"))</f>
        <v/>
      </c>
      <c r="AC36" s="24">
        <f>IF($H36="","",IFERROR(INDEX('CAT_ACTIVIDADES'!$B$4:$B$26,MATCH($H36,'CAT_ACTIVIDADES'!$A$4:$A$26,0)),"(sin catálogo)"))</f>
        <v/>
      </c>
      <c r="AD36" s="26">
        <f>IF($J36="","",TODAY()-$J36)</f>
        <v/>
      </c>
      <c r="AE36" s="26">
        <f>IF($J36="","",IF($J36&lt;=TODAY(),COUNTIFS(cal_fechas,"&gt;="&amp;$J36,cal_fechas,"&lt;"&amp;TODAY(),cal_habil,"sí"),-COUNTIFS(cal_fechas,"&gt;="&amp;TODAY(),cal_fechas,"&lt;"&amp;$J36,cal_habil,"sí")))</f>
        <v/>
      </c>
      <c r="AF36" s="24">
        <f>IF($AE36="","",IF($AE36&lt;0,"FUTURO",IF($AE36&gt;p_dias_backlog_max,"BACKLOG","MES CORRIENTE")))</f>
        <v/>
      </c>
      <c r="AG36" s="24">
        <f>IF($AE36="",FALSE,AND($AE36&gt;p_dias_backlog_min,$AE36&lt;=p_dias_backlog_max))</f>
        <v/>
      </c>
      <c r="AH36" s="4" t="n"/>
      <c r="AI36" s="24">
        <f>IF($AH36="","",IF((IFERROR(INDEX('ASIGNACIONES'!$J$4:$J$451,MATCH($O36&amp;"|"&amp;$S36&amp;"|"&amp;$AH36,'ASIGNACIONES'!$N$4:$N$451,0)),""))=0,"",IFERROR(INDEX('ASIGNACIONES'!$J$4:$J$451,MATCH($O36&amp;"|"&amp;$S36&amp;"|"&amp;$AH36,'ASIGNACIONES'!$N$4:$N$451,0)),"")))</f>
        <v/>
      </c>
      <c r="AJ36" s="42">
        <f>IF($AH36="","",SUMIFS('ORDENES'!$M$4:$M$1203,'ORDENES'!$AH$4:$AH$1203,$AH36,'ORDENES'!$O$4:$O$1203,$O36,'ORDENES'!$S$4:$S$1203,$S36))</f>
        <v/>
      </c>
      <c r="AK36" s="42">
        <f>IF($AJ36="","",p_factor_productividad*IFERROR(INDEX('ASIGNACIONES'!$M$4:$M$451,MATCH($O36&amp;"|"&amp;$S36&amp;"|"&amp;$AH36,'ASIGNACIONES'!$N$4:$N$451,0)),0)-$AJ36)</f>
        <v/>
      </c>
      <c r="AL36" s="32">
        <f>IF($A36="","",IFERROR(INDEX('2_IMPORTAR_EJECUCION'!$F$9:$F$1208,MATCH($AU36,'2_IMPORTAR_EJECUCION'!$J$9:$J$1208,0)),0))</f>
        <v/>
      </c>
      <c r="AM36" s="32">
        <f>IF($A36="","",MAX(0,IFERROR(INDEX('2_IMPORTAR_EJECUCION'!$H$9:$H$1208,MATCH($AU36,'2_IMPORTAR_EJECUCION'!$J$9:$J$1208,0)),0)-$AL36))</f>
        <v/>
      </c>
      <c r="AN36" s="32">
        <f>IF($A36="","",$AL36+$AM36)</f>
        <v/>
      </c>
      <c r="AO36" s="24">
        <f>IF($A36="","",IF(OR((IFERROR(INDEX('CAT_ACTIVIDADES'!$D$4:$D$26,MATCH($H36,'CAT_ACTIVIDADES'!$A$4:$A$26,0)),""))=0,(IFERROR(INDEX('CAT_ACTIVIDADES'!$D$4:$D$26,MATCH($H36,'CAT_ACTIVIDADES'!$A$4:$A$26,0)),""))=""),"SIN CLASIFICAR",IFERROR(INDEX('CAT_ACTIVIDADES'!$D$4:$D$26,MATCH($H36,'CAT_ACTIVIDADES'!$A$4:$A$26,0)),"")))</f>
        <v/>
      </c>
      <c r="AP36" s="4" t="n"/>
      <c r="AQ36" s="4" t="n"/>
      <c r="AR36" s="4" t="n"/>
      <c r="AS36" s="24">
        <f>IF($AR36="","",HYPERLINK(p_ruta_base_checklists&amp;$AR36,"abrir"))</f>
        <v/>
      </c>
      <c r="AT36" s="4" t="n"/>
      <c r="AU36" s="24">
        <f>IF($A36="","",$A36&amp;IF($B36="","0010",$B36))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1" t="n"/>
      <c r="K37" s="5" t="n"/>
      <c r="L37" s="18" t="n"/>
      <c r="M37" s="24">
        <f>IF($A37="","",IFERROR(INDEX('AJUSTES'!$B$4:$B$303,MATCH($AU37,'AJUSTES'!$A$4:$A$303,0)),IF($K37="","",$K37)))</f>
        <v/>
      </c>
      <c r="N37" s="24">
        <f>IF($A37="","",IFERROR(INDEX('CAT_ESTADOS_ERP'!$B$4:$B$22,MATCH(IFERROR(INDEX('2_IMPORTAR_EJECUCION'!$C$9:$C$1208,MATCH($AU37,'2_IMPORTAR_EJECUCION'!$J$9:$J$1208,0)),""),'CAT_ESTADOS_ERP'!$A$4:$A$22,0)),"Pendiente"))</f>
        <v/>
      </c>
      <c r="O37" s="24">
        <f>IF($J37="","",YEAR($J37+4-WEEKDAY($J37,2))&amp;"-S"&amp;TEXT(_xlfn.ISOWEEKNUM($J37),"00"))</f>
        <v/>
      </c>
      <c r="P37" s="24">
        <f>IF($J37="","",YEAR($J37))</f>
        <v/>
      </c>
      <c r="Q37" s="24">
        <f>IF($J37="","",MONTH($J37))</f>
        <v/>
      </c>
      <c r="R37" s="24">
        <f>IF($J37="","",$P37&amp;"-"&amp;TEXT($Q37,"00"))</f>
        <v/>
      </c>
      <c r="S37" s="24">
        <f>IF($J37="","",INDEX(lista_dias,WEEKDAY($J37,2)))</f>
        <v/>
      </c>
      <c r="T37" s="24">
        <f>IF($J37="","",IFERROR(INDEX('CALENDARIO'!$C$15:$C$214,MATCH(TEXT($J37,"yyyy-mm-dd")&amp;"|"&amp;$Y37&amp;"|"&amp;$Z37,'CALENDARIO'!$G$15:$G$214,0)),IFERROR(INDEX('CALENDARIO'!$C$15:$C$214,MATCH(TEXT($J37,"yyyy-mm-dd")&amp;"|"&amp;$Y37&amp;"|",'CALENDARIO'!$G$15:$G$214,0)),IFERROR(INDEX('CALENDARIO'!$C$15:$C$214,MATCH(TEXT($J37,"yyyy-mm-dd")&amp;"||",'CALENDARIO'!$G$15:$G$214,0)),INDEX(patronHabil,WEEKDAY($J37,2))))))</f>
        <v/>
      </c>
      <c r="U37" s="24">
        <f>IF($I37="","",IFERROR(INDEX('CAT_TIPOS_OT'!$C$4:$C$23,MATCH($I37,'CAT_TIPOS_OT'!$A$4:$A$23,0)),"sin_clasificar"))</f>
        <v/>
      </c>
      <c r="V37" s="24">
        <f>IF($I37="","",IF(IFERROR(INDEX('CAT_TIPOS_OT'!$D$4:$D$23,MATCH($I37,'CAT_TIPOS_OT'!$A$4:$A$23,0)),"SIN CLASIFICAR")="","SIN CLASIFICAR",IFERROR(INDEX('CAT_TIPOS_OT'!$D$4:$D$23,MATCH($I37,'CAT_TIPOS_OT'!$A$4:$A$23,0)),"SIN CLASIFICAR")))</f>
        <v/>
      </c>
      <c r="W37" s="24">
        <f>IF($H37="","",IF(IFERROR(INDEX('CAT_ACTIVIDADES'!$F$4:$F$26,MATCH($H37,'CAT_ACTIVIDADES'!$A$4:$A$26,0)),"")=0,"",IFERROR(INDEX('CAT_ACTIVIDADES'!$F$4:$F$26,MATCH($H37,'CAT_ACTIVIDADES'!$A$4:$A$26,0)),"")))</f>
        <v/>
      </c>
      <c r="X37" s="24">
        <f>IF($F37="","",IFERROR(INDEX('CAT_CENTROS_COSTO'!$F$4:$F$28,MATCH($F37,'CAT_CENTROS_COSTO'!$A$4:$A$28,0)),"(sin catálogo)"))</f>
        <v/>
      </c>
      <c r="Y37" s="24">
        <f>IF($F37="","",IFERROR(INDEX('CAT_CENTROS_COSTO'!$D$4:$D$28,MATCH($F37,'CAT_CENTROS_COSTO'!$A$4:$A$28,0)),"(sin catálogo)"))</f>
        <v/>
      </c>
      <c r="Z37" s="24">
        <f>IF($F37="","",IF((IFERROR(INDEX('CAT_CENTROS_COSTO'!$E$4:$E$28,MATCH($F37,'CAT_CENTROS_COSTO'!$A$4:$A$28,0)),""))&lt;&gt;"",IFERROR(INDEX('CAT_CENTROS_COSTO'!$E$4:$E$28,MATCH($F37,'CAT_CENTROS_COSTO'!$A$4:$A$28,0)),""),$Y37))</f>
        <v/>
      </c>
      <c r="AA37" s="24">
        <f>IF($F37="","",IFERROR(INDEX('CAT_CENTROS_COSTO'!$G$4:$G$28,MATCH($F37,'CAT_CENTROS_COSTO'!$A$4:$A$28,0)),"(sin catálogo)"))</f>
        <v/>
      </c>
      <c r="AB37" s="24">
        <f>IF($G37="","",IFERROR(INDEX('CAT_PUESTOS'!$B$4:$B$23,MATCH($G37,'CAT_PUESTOS'!$A$4:$A$23,0)),"(sin catálogo)"))</f>
        <v/>
      </c>
      <c r="AC37" s="24">
        <f>IF($H37="","",IFERROR(INDEX('CAT_ACTIVIDADES'!$B$4:$B$26,MATCH($H37,'CAT_ACTIVIDADES'!$A$4:$A$26,0)),"(sin catálogo)"))</f>
        <v/>
      </c>
      <c r="AD37" s="26">
        <f>IF($J37="","",TODAY()-$J37)</f>
        <v/>
      </c>
      <c r="AE37" s="26">
        <f>IF($J37="","",IF($J37&lt;=TODAY(),COUNTIFS(cal_fechas,"&gt;="&amp;$J37,cal_fechas,"&lt;"&amp;TODAY(),cal_habil,"sí"),-COUNTIFS(cal_fechas,"&gt;="&amp;TODAY(),cal_fechas,"&lt;"&amp;$J37,cal_habil,"sí")))</f>
        <v/>
      </c>
      <c r="AF37" s="24">
        <f>IF($AE37="","",IF($AE37&lt;0,"FUTURO",IF($AE37&gt;p_dias_backlog_max,"BACKLOG","MES CORRIENTE")))</f>
        <v/>
      </c>
      <c r="AG37" s="24">
        <f>IF($AE37="",FALSE,AND($AE37&gt;p_dias_backlog_min,$AE37&lt;=p_dias_backlog_max))</f>
        <v/>
      </c>
      <c r="AH37" s="4" t="n"/>
      <c r="AI37" s="24">
        <f>IF($AH37="","",IF((IFERROR(INDEX('ASIGNACIONES'!$J$4:$J$451,MATCH($O37&amp;"|"&amp;$S37&amp;"|"&amp;$AH37,'ASIGNACIONES'!$N$4:$N$451,0)),""))=0,"",IFERROR(INDEX('ASIGNACIONES'!$J$4:$J$451,MATCH($O37&amp;"|"&amp;$S37&amp;"|"&amp;$AH37,'ASIGNACIONES'!$N$4:$N$451,0)),"")))</f>
        <v/>
      </c>
      <c r="AJ37" s="42">
        <f>IF($AH37="","",SUMIFS('ORDENES'!$M$4:$M$1203,'ORDENES'!$AH$4:$AH$1203,$AH37,'ORDENES'!$O$4:$O$1203,$O37,'ORDENES'!$S$4:$S$1203,$S37))</f>
        <v/>
      </c>
      <c r="AK37" s="42">
        <f>IF($AJ37="","",p_factor_productividad*IFERROR(INDEX('ASIGNACIONES'!$M$4:$M$451,MATCH($O37&amp;"|"&amp;$S37&amp;"|"&amp;$AH37,'ASIGNACIONES'!$N$4:$N$451,0)),0)-$AJ37)</f>
        <v/>
      </c>
      <c r="AL37" s="32">
        <f>IF($A37="","",IFERROR(INDEX('2_IMPORTAR_EJECUCION'!$F$9:$F$1208,MATCH($AU37,'2_IMPORTAR_EJECUCION'!$J$9:$J$1208,0)),0))</f>
        <v/>
      </c>
      <c r="AM37" s="32">
        <f>IF($A37="","",MAX(0,IFERROR(INDEX('2_IMPORTAR_EJECUCION'!$H$9:$H$1208,MATCH($AU37,'2_IMPORTAR_EJECUCION'!$J$9:$J$1208,0)),0)-$AL37))</f>
        <v/>
      </c>
      <c r="AN37" s="32">
        <f>IF($A37="","",$AL37+$AM37)</f>
        <v/>
      </c>
      <c r="AO37" s="24">
        <f>IF($A37="","",IF(OR((IFERROR(INDEX('CAT_ACTIVIDADES'!$D$4:$D$26,MATCH($H37,'CAT_ACTIVIDADES'!$A$4:$A$26,0)),""))=0,(IFERROR(INDEX('CAT_ACTIVIDADES'!$D$4:$D$26,MATCH($H37,'CAT_ACTIVIDADES'!$A$4:$A$26,0)),""))=""),"SIN CLASIFICAR",IFERROR(INDEX('CAT_ACTIVIDADES'!$D$4:$D$26,MATCH($H37,'CAT_ACTIVIDADES'!$A$4:$A$26,0)),"")))</f>
        <v/>
      </c>
      <c r="AP37" s="4" t="n"/>
      <c r="AQ37" s="4" t="n"/>
      <c r="AR37" s="4" t="n"/>
      <c r="AS37" s="24">
        <f>IF($AR37="","",HYPERLINK(p_ruta_base_checklists&amp;$AR37,"abrir"))</f>
        <v/>
      </c>
      <c r="AT37" s="4" t="n"/>
      <c r="AU37" s="24">
        <f>IF($A37="","",$A37&amp;IF($B37="","0010",$B37))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1" t="n"/>
      <c r="K38" s="5" t="n"/>
      <c r="L38" s="18" t="n"/>
      <c r="M38" s="24">
        <f>IF($A38="","",IFERROR(INDEX('AJUSTES'!$B$4:$B$303,MATCH($AU38,'AJUSTES'!$A$4:$A$303,0)),IF($K38="","",$K38)))</f>
        <v/>
      </c>
      <c r="N38" s="24">
        <f>IF($A38="","",IFERROR(INDEX('CAT_ESTADOS_ERP'!$B$4:$B$22,MATCH(IFERROR(INDEX('2_IMPORTAR_EJECUCION'!$C$9:$C$1208,MATCH($AU38,'2_IMPORTAR_EJECUCION'!$J$9:$J$1208,0)),""),'CAT_ESTADOS_ERP'!$A$4:$A$22,0)),"Pendiente"))</f>
        <v/>
      </c>
      <c r="O38" s="24">
        <f>IF($J38="","",YEAR($J38+4-WEEKDAY($J38,2))&amp;"-S"&amp;TEXT(_xlfn.ISOWEEKNUM($J38),"00"))</f>
        <v/>
      </c>
      <c r="P38" s="24">
        <f>IF($J38="","",YEAR($J38))</f>
        <v/>
      </c>
      <c r="Q38" s="24">
        <f>IF($J38="","",MONTH($J38))</f>
        <v/>
      </c>
      <c r="R38" s="24">
        <f>IF($J38="","",$P38&amp;"-"&amp;TEXT($Q38,"00"))</f>
        <v/>
      </c>
      <c r="S38" s="24">
        <f>IF($J38="","",INDEX(lista_dias,WEEKDAY($J38,2)))</f>
        <v/>
      </c>
      <c r="T38" s="24">
        <f>IF($J38="","",IFERROR(INDEX('CALENDARIO'!$C$15:$C$214,MATCH(TEXT($J38,"yyyy-mm-dd")&amp;"|"&amp;$Y38&amp;"|"&amp;$Z38,'CALENDARIO'!$G$15:$G$214,0)),IFERROR(INDEX('CALENDARIO'!$C$15:$C$214,MATCH(TEXT($J38,"yyyy-mm-dd")&amp;"|"&amp;$Y38&amp;"|",'CALENDARIO'!$G$15:$G$214,0)),IFERROR(INDEX('CALENDARIO'!$C$15:$C$214,MATCH(TEXT($J38,"yyyy-mm-dd")&amp;"||",'CALENDARIO'!$G$15:$G$214,0)),INDEX(patronHabil,WEEKDAY($J38,2))))))</f>
        <v/>
      </c>
      <c r="U38" s="24">
        <f>IF($I38="","",IFERROR(INDEX('CAT_TIPOS_OT'!$C$4:$C$23,MATCH($I38,'CAT_TIPOS_OT'!$A$4:$A$23,0)),"sin_clasificar"))</f>
        <v/>
      </c>
      <c r="V38" s="24">
        <f>IF($I38="","",IF(IFERROR(INDEX('CAT_TIPOS_OT'!$D$4:$D$23,MATCH($I38,'CAT_TIPOS_OT'!$A$4:$A$23,0)),"SIN CLASIFICAR")="","SIN CLASIFICAR",IFERROR(INDEX('CAT_TIPOS_OT'!$D$4:$D$23,MATCH($I38,'CAT_TIPOS_OT'!$A$4:$A$23,0)),"SIN CLASIFICAR")))</f>
        <v/>
      </c>
      <c r="W38" s="24">
        <f>IF($H38="","",IF(IFERROR(INDEX('CAT_ACTIVIDADES'!$F$4:$F$26,MATCH($H38,'CAT_ACTIVIDADES'!$A$4:$A$26,0)),"")=0,"",IFERROR(INDEX('CAT_ACTIVIDADES'!$F$4:$F$26,MATCH($H38,'CAT_ACTIVIDADES'!$A$4:$A$26,0)),"")))</f>
        <v/>
      </c>
      <c r="X38" s="24">
        <f>IF($F38="","",IFERROR(INDEX('CAT_CENTROS_COSTO'!$F$4:$F$28,MATCH($F38,'CAT_CENTROS_COSTO'!$A$4:$A$28,0)),"(sin catálogo)"))</f>
        <v/>
      </c>
      <c r="Y38" s="24">
        <f>IF($F38="","",IFERROR(INDEX('CAT_CENTROS_COSTO'!$D$4:$D$28,MATCH($F38,'CAT_CENTROS_COSTO'!$A$4:$A$28,0)),"(sin catálogo)"))</f>
        <v/>
      </c>
      <c r="Z38" s="24">
        <f>IF($F38="","",IF((IFERROR(INDEX('CAT_CENTROS_COSTO'!$E$4:$E$28,MATCH($F38,'CAT_CENTROS_COSTO'!$A$4:$A$28,0)),""))&lt;&gt;"",IFERROR(INDEX('CAT_CENTROS_COSTO'!$E$4:$E$28,MATCH($F38,'CAT_CENTROS_COSTO'!$A$4:$A$28,0)),""),$Y38))</f>
        <v/>
      </c>
      <c r="AA38" s="24">
        <f>IF($F38="","",IFERROR(INDEX('CAT_CENTROS_COSTO'!$G$4:$G$28,MATCH($F38,'CAT_CENTROS_COSTO'!$A$4:$A$28,0)),"(sin catálogo)"))</f>
        <v/>
      </c>
      <c r="AB38" s="24">
        <f>IF($G38="","",IFERROR(INDEX('CAT_PUESTOS'!$B$4:$B$23,MATCH($G38,'CAT_PUESTOS'!$A$4:$A$23,0)),"(sin catálogo)"))</f>
        <v/>
      </c>
      <c r="AC38" s="24">
        <f>IF($H38="","",IFERROR(INDEX('CAT_ACTIVIDADES'!$B$4:$B$26,MATCH($H38,'CAT_ACTIVIDADES'!$A$4:$A$26,0)),"(sin catálogo)"))</f>
        <v/>
      </c>
      <c r="AD38" s="26">
        <f>IF($J38="","",TODAY()-$J38)</f>
        <v/>
      </c>
      <c r="AE38" s="26">
        <f>IF($J38="","",IF($J38&lt;=TODAY(),COUNTIFS(cal_fechas,"&gt;="&amp;$J38,cal_fechas,"&lt;"&amp;TODAY(),cal_habil,"sí"),-COUNTIFS(cal_fechas,"&gt;="&amp;TODAY(),cal_fechas,"&lt;"&amp;$J38,cal_habil,"sí")))</f>
        <v/>
      </c>
      <c r="AF38" s="24">
        <f>IF($AE38="","",IF($AE38&lt;0,"FUTURO",IF($AE38&gt;p_dias_backlog_max,"BACKLOG","MES CORRIENTE")))</f>
        <v/>
      </c>
      <c r="AG38" s="24">
        <f>IF($AE38="",FALSE,AND($AE38&gt;p_dias_backlog_min,$AE38&lt;=p_dias_backlog_max))</f>
        <v/>
      </c>
      <c r="AH38" s="4" t="n"/>
      <c r="AI38" s="24">
        <f>IF($AH38="","",IF((IFERROR(INDEX('ASIGNACIONES'!$J$4:$J$451,MATCH($O38&amp;"|"&amp;$S38&amp;"|"&amp;$AH38,'ASIGNACIONES'!$N$4:$N$451,0)),""))=0,"",IFERROR(INDEX('ASIGNACIONES'!$J$4:$J$451,MATCH($O38&amp;"|"&amp;$S38&amp;"|"&amp;$AH38,'ASIGNACIONES'!$N$4:$N$451,0)),"")))</f>
        <v/>
      </c>
      <c r="AJ38" s="42">
        <f>IF($AH38="","",SUMIFS('ORDENES'!$M$4:$M$1203,'ORDENES'!$AH$4:$AH$1203,$AH38,'ORDENES'!$O$4:$O$1203,$O38,'ORDENES'!$S$4:$S$1203,$S38))</f>
        <v/>
      </c>
      <c r="AK38" s="42">
        <f>IF($AJ38="","",p_factor_productividad*IFERROR(INDEX('ASIGNACIONES'!$M$4:$M$451,MATCH($O38&amp;"|"&amp;$S38&amp;"|"&amp;$AH38,'ASIGNACIONES'!$N$4:$N$451,0)),0)-$AJ38)</f>
        <v/>
      </c>
      <c r="AL38" s="32">
        <f>IF($A38="","",IFERROR(INDEX('2_IMPORTAR_EJECUCION'!$F$9:$F$1208,MATCH($AU38,'2_IMPORTAR_EJECUCION'!$J$9:$J$1208,0)),0))</f>
        <v/>
      </c>
      <c r="AM38" s="32">
        <f>IF($A38="","",MAX(0,IFERROR(INDEX('2_IMPORTAR_EJECUCION'!$H$9:$H$1208,MATCH($AU38,'2_IMPORTAR_EJECUCION'!$J$9:$J$1208,0)),0)-$AL38))</f>
        <v/>
      </c>
      <c r="AN38" s="32">
        <f>IF($A38="","",$AL38+$AM38)</f>
        <v/>
      </c>
      <c r="AO38" s="24">
        <f>IF($A38="","",IF(OR((IFERROR(INDEX('CAT_ACTIVIDADES'!$D$4:$D$26,MATCH($H38,'CAT_ACTIVIDADES'!$A$4:$A$26,0)),""))=0,(IFERROR(INDEX('CAT_ACTIVIDADES'!$D$4:$D$26,MATCH($H38,'CAT_ACTIVIDADES'!$A$4:$A$26,0)),""))=""),"SIN CLASIFICAR",IFERROR(INDEX('CAT_ACTIVIDADES'!$D$4:$D$26,MATCH($H38,'CAT_ACTIVIDADES'!$A$4:$A$26,0)),"")))</f>
        <v/>
      </c>
      <c r="AP38" s="4" t="n"/>
      <c r="AQ38" s="4" t="n"/>
      <c r="AR38" s="4" t="n"/>
      <c r="AS38" s="24">
        <f>IF($AR38="","",HYPERLINK(p_ruta_base_checklists&amp;$AR38,"abrir"))</f>
        <v/>
      </c>
      <c r="AT38" s="4" t="n"/>
      <c r="AU38" s="24">
        <f>IF($A38="","",$A38&amp;IF($B38="","0010",$B38))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1" t="n"/>
      <c r="K39" s="5" t="n"/>
      <c r="L39" s="18" t="n"/>
      <c r="M39" s="24">
        <f>IF($A39="","",IFERROR(INDEX('AJUSTES'!$B$4:$B$303,MATCH($AU39,'AJUSTES'!$A$4:$A$303,0)),IF($K39="","",$K39)))</f>
        <v/>
      </c>
      <c r="N39" s="24">
        <f>IF($A39="","",IFERROR(INDEX('CAT_ESTADOS_ERP'!$B$4:$B$22,MATCH(IFERROR(INDEX('2_IMPORTAR_EJECUCION'!$C$9:$C$1208,MATCH($AU39,'2_IMPORTAR_EJECUCION'!$J$9:$J$1208,0)),""),'CAT_ESTADOS_ERP'!$A$4:$A$22,0)),"Pendiente"))</f>
        <v/>
      </c>
      <c r="O39" s="24">
        <f>IF($J39="","",YEAR($J39+4-WEEKDAY($J39,2))&amp;"-S"&amp;TEXT(_xlfn.ISOWEEKNUM($J39),"00"))</f>
        <v/>
      </c>
      <c r="P39" s="24">
        <f>IF($J39="","",YEAR($J39))</f>
        <v/>
      </c>
      <c r="Q39" s="24">
        <f>IF($J39="","",MONTH($J39))</f>
        <v/>
      </c>
      <c r="R39" s="24">
        <f>IF($J39="","",$P39&amp;"-"&amp;TEXT($Q39,"00"))</f>
        <v/>
      </c>
      <c r="S39" s="24">
        <f>IF($J39="","",INDEX(lista_dias,WEEKDAY($J39,2)))</f>
        <v/>
      </c>
      <c r="T39" s="24">
        <f>IF($J39="","",IFERROR(INDEX('CALENDARIO'!$C$15:$C$214,MATCH(TEXT($J39,"yyyy-mm-dd")&amp;"|"&amp;$Y39&amp;"|"&amp;$Z39,'CALENDARIO'!$G$15:$G$214,0)),IFERROR(INDEX('CALENDARIO'!$C$15:$C$214,MATCH(TEXT($J39,"yyyy-mm-dd")&amp;"|"&amp;$Y39&amp;"|",'CALENDARIO'!$G$15:$G$214,0)),IFERROR(INDEX('CALENDARIO'!$C$15:$C$214,MATCH(TEXT($J39,"yyyy-mm-dd")&amp;"||",'CALENDARIO'!$G$15:$G$214,0)),INDEX(patronHabil,WEEKDAY($J39,2))))))</f>
        <v/>
      </c>
      <c r="U39" s="24">
        <f>IF($I39="","",IFERROR(INDEX('CAT_TIPOS_OT'!$C$4:$C$23,MATCH($I39,'CAT_TIPOS_OT'!$A$4:$A$23,0)),"sin_clasificar"))</f>
        <v/>
      </c>
      <c r="V39" s="24">
        <f>IF($I39="","",IF(IFERROR(INDEX('CAT_TIPOS_OT'!$D$4:$D$23,MATCH($I39,'CAT_TIPOS_OT'!$A$4:$A$23,0)),"SIN CLASIFICAR")="","SIN CLASIFICAR",IFERROR(INDEX('CAT_TIPOS_OT'!$D$4:$D$23,MATCH($I39,'CAT_TIPOS_OT'!$A$4:$A$23,0)),"SIN CLASIFICAR")))</f>
        <v/>
      </c>
      <c r="W39" s="24">
        <f>IF($H39="","",IF(IFERROR(INDEX('CAT_ACTIVIDADES'!$F$4:$F$26,MATCH($H39,'CAT_ACTIVIDADES'!$A$4:$A$26,0)),"")=0,"",IFERROR(INDEX('CAT_ACTIVIDADES'!$F$4:$F$26,MATCH($H39,'CAT_ACTIVIDADES'!$A$4:$A$26,0)),"")))</f>
        <v/>
      </c>
      <c r="X39" s="24">
        <f>IF($F39="","",IFERROR(INDEX('CAT_CENTROS_COSTO'!$F$4:$F$28,MATCH($F39,'CAT_CENTROS_COSTO'!$A$4:$A$28,0)),"(sin catálogo)"))</f>
        <v/>
      </c>
      <c r="Y39" s="24">
        <f>IF($F39="","",IFERROR(INDEX('CAT_CENTROS_COSTO'!$D$4:$D$28,MATCH($F39,'CAT_CENTROS_COSTO'!$A$4:$A$28,0)),"(sin catálogo)"))</f>
        <v/>
      </c>
      <c r="Z39" s="24">
        <f>IF($F39="","",IF((IFERROR(INDEX('CAT_CENTROS_COSTO'!$E$4:$E$28,MATCH($F39,'CAT_CENTROS_COSTO'!$A$4:$A$28,0)),""))&lt;&gt;"",IFERROR(INDEX('CAT_CENTROS_COSTO'!$E$4:$E$28,MATCH($F39,'CAT_CENTROS_COSTO'!$A$4:$A$28,0)),""),$Y39))</f>
        <v/>
      </c>
      <c r="AA39" s="24">
        <f>IF($F39="","",IFERROR(INDEX('CAT_CENTROS_COSTO'!$G$4:$G$28,MATCH($F39,'CAT_CENTROS_COSTO'!$A$4:$A$28,0)),"(sin catálogo)"))</f>
        <v/>
      </c>
      <c r="AB39" s="24">
        <f>IF($G39="","",IFERROR(INDEX('CAT_PUESTOS'!$B$4:$B$23,MATCH($G39,'CAT_PUESTOS'!$A$4:$A$23,0)),"(sin catálogo)"))</f>
        <v/>
      </c>
      <c r="AC39" s="24">
        <f>IF($H39="","",IFERROR(INDEX('CAT_ACTIVIDADES'!$B$4:$B$26,MATCH($H39,'CAT_ACTIVIDADES'!$A$4:$A$26,0)),"(sin catálogo)"))</f>
        <v/>
      </c>
      <c r="AD39" s="26">
        <f>IF($J39="","",TODAY()-$J39)</f>
        <v/>
      </c>
      <c r="AE39" s="26">
        <f>IF($J39="","",IF($J39&lt;=TODAY(),COUNTIFS(cal_fechas,"&gt;="&amp;$J39,cal_fechas,"&lt;"&amp;TODAY(),cal_habil,"sí"),-COUNTIFS(cal_fechas,"&gt;="&amp;TODAY(),cal_fechas,"&lt;"&amp;$J39,cal_habil,"sí")))</f>
        <v/>
      </c>
      <c r="AF39" s="24">
        <f>IF($AE39="","",IF($AE39&lt;0,"FUTURO",IF($AE39&gt;p_dias_backlog_max,"BACKLOG","MES CORRIENTE")))</f>
        <v/>
      </c>
      <c r="AG39" s="24">
        <f>IF($AE39="",FALSE,AND($AE39&gt;p_dias_backlog_min,$AE39&lt;=p_dias_backlog_max))</f>
        <v/>
      </c>
      <c r="AH39" s="4" t="n"/>
      <c r="AI39" s="24">
        <f>IF($AH39="","",IF((IFERROR(INDEX('ASIGNACIONES'!$J$4:$J$451,MATCH($O39&amp;"|"&amp;$S39&amp;"|"&amp;$AH39,'ASIGNACIONES'!$N$4:$N$451,0)),""))=0,"",IFERROR(INDEX('ASIGNACIONES'!$J$4:$J$451,MATCH($O39&amp;"|"&amp;$S39&amp;"|"&amp;$AH39,'ASIGNACIONES'!$N$4:$N$451,0)),"")))</f>
        <v/>
      </c>
      <c r="AJ39" s="42">
        <f>IF($AH39="","",SUMIFS('ORDENES'!$M$4:$M$1203,'ORDENES'!$AH$4:$AH$1203,$AH39,'ORDENES'!$O$4:$O$1203,$O39,'ORDENES'!$S$4:$S$1203,$S39))</f>
        <v/>
      </c>
      <c r="AK39" s="42">
        <f>IF($AJ39="","",p_factor_productividad*IFERROR(INDEX('ASIGNACIONES'!$M$4:$M$451,MATCH($O39&amp;"|"&amp;$S39&amp;"|"&amp;$AH39,'ASIGNACIONES'!$N$4:$N$451,0)),0)-$AJ39)</f>
        <v/>
      </c>
      <c r="AL39" s="32">
        <f>IF($A39="","",IFERROR(INDEX('2_IMPORTAR_EJECUCION'!$F$9:$F$1208,MATCH($AU39,'2_IMPORTAR_EJECUCION'!$J$9:$J$1208,0)),0))</f>
        <v/>
      </c>
      <c r="AM39" s="32">
        <f>IF($A39="","",MAX(0,IFERROR(INDEX('2_IMPORTAR_EJECUCION'!$H$9:$H$1208,MATCH($AU39,'2_IMPORTAR_EJECUCION'!$J$9:$J$1208,0)),0)-$AL39))</f>
        <v/>
      </c>
      <c r="AN39" s="32">
        <f>IF($A39="","",$AL39+$AM39)</f>
        <v/>
      </c>
      <c r="AO39" s="24">
        <f>IF($A39="","",IF(OR((IFERROR(INDEX('CAT_ACTIVIDADES'!$D$4:$D$26,MATCH($H39,'CAT_ACTIVIDADES'!$A$4:$A$26,0)),""))=0,(IFERROR(INDEX('CAT_ACTIVIDADES'!$D$4:$D$26,MATCH($H39,'CAT_ACTIVIDADES'!$A$4:$A$26,0)),""))=""),"SIN CLASIFICAR",IFERROR(INDEX('CAT_ACTIVIDADES'!$D$4:$D$26,MATCH($H39,'CAT_ACTIVIDADES'!$A$4:$A$26,0)),"")))</f>
        <v/>
      </c>
      <c r="AP39" s="4" t="n"/>
      <c r="AQ39" s="4" t="n"/>
      <c r="AR39" s="4" t="n"/>
      <c r="AS39" s="24">
        <f>IF($AR39="","",HYPERLINK(p_ruta_base_checklists&amp;$AR39,"abrir"))</f>
        <v/>
      </c>
      <c r="AT39" s="4" t="n"/>
      <c r="AU39" s="24">
        <f>IF($A39="","",$A39&amp;IF($B39="","0010",$B39))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1" t="n"/>
      <c r="K40" s="5" t="n"/>
      <c r="L40" s="18" t="n"/>
      <c r="M40" s="24">
        <f>IF($A40="","",IFERROR(INDEX('AJUSTES'!$B$4:$B$303,MATCH($AU40,'AJUSTES'!$A$4:$A$303,0)),IF($K40="","",$K40)))</f>
        <v/>
      </c>
      <c r="N40" s="24">
        <f>IF($A40="","",IFERROR(INDEX('CAT_ESTADOS_ERP'!$B$4:$B$22,MATCH(IFERROR(INDEX('2_IMPORTAR_EJECUCION'!$C$9:$C$1208,MATCH($AU40,'2_IMPORTAR_EJECUCION'!$J$9:$J$1208,0)),""),'CAT_ESTADOS_ERP'!$A$4:$A$22,0)),"Pendiente"))</f>
        <v/>
      </c>
      <c r="O40" s="24">
        <f>IF($J40="","",YEAR($J40+4-WEEKDAY($J40,2))&amp;"-S"&amp;TEXT(_xlfn.ISOWEEKNUM($J40),"00"))</f>
        <v/>
      </c>
      <c r="P40" s="24">
        <f>IF($J40="","",YEAR($J40))</f>
        <v/>
      </c>
      <c r="Q40" s="24">
        <f>IF($J40="","",MONTH($J40))</f>
        <v/>
      </c>
      <c r="R40" s="24">
        <f>IF($J40="","",$P40&amp;"-"&amp;TEXT($Q40,"00"))</f>
        <v/>
      </c>
      <c r="S40" s="24">
        <f>IF($J40="","",INDEX(lista_dias,WEEKDAY($J40,2)))</f>
        <v/>
      </c>
      <c r="T40" s="24">
        <f>IF($J40="","",IFERROR(INDEX('CALENDARIO'!$C$15:$C$214,MATCH(TEXT($J40,"yyyy-mm-dd")&amp;"|"&amp;$Y40&amp;"|"&amp;$Z40,'CALENDARIO'!$G$15:$G$214,0)),IFERROR(INDEX('CALENDARIO'!$C$15:$C$214,MATCH(TEXT($J40,"yyyy-mm-dd")&amp;"|"&amp;$Y40&amp;"|",'CALENDARIO'!$G$15:$G$214,0)),IFERROR(INDEX('CALENDARIO'!$C$15:$C$214,MATCH(TEXT($J40,"yyyy-mm-dd")&amp;"||",'CALENDARIO'!$G$15:$G$214,0)),INDEX(patronHabil,WEEKDAY($J40,2))))))</f>
        <v/>
      </c>
      <c r="U40" s="24">
        <f>IF($I40="","",IFERROR(INDEX('CAT_TIPOS_OT'!$C$4:$C$23,MATCH($I40,'CAT_TIPOS_OT'!$A$4:$A$23,0)),"sin_clasificar"))</f>
        <v/>
      </c>
      <c r="V40" s="24">
        <f>IF($I40="","",IF(IFERROR(INDEX('CAT_TIPOS_OT'!$D$4:$D$23,MATCH($I40,'CAT_TIPOS_OT'!$A$4:$A$23,0)),"SIN CLASIFICAR")="","SIN CLASIFICAR",IFERROR(INDEX('CAT_TIPOS_OT'!$D$4:$D$23,MATCH($I40,'CAT_TIPOS_OT'!$A$4:$A$23,0)),"SIN CLASIFICAR")))</f>
        <v/>
      </c>
      <c r="W40" s="24">
        <f>IF($H40="","",IF(IFERROR(INDEX('CAT_ACTIVIDADES'!$F$4:$F$26,MATCH($H40,'CAT_ACTIVIDADES'!$A$4:$A$26,0)),"")=0,"",IFERROR(INDEX('CAT_ACTIVIDADES'!$F$4:$F$26,MATCH($H40,'CAT_ACTIVIDADES'!$A$4:$A$26,0)),"")))</f>
        <v/>
      </c>
      <c r="X40" s="24">
        <f>IF($F40="","",IFERROR(INDEX('CAT_CENTROS_COSTO'!$F$4:$F$28,MATCH($F40,'CAT_CENTROS_COSTO'!$A$4:$A$28,0)),"(sin catálogo)"))</f>
        <v/>
      </c>
      <c r="Y40" s="24">
        <f>IF($F40="","",IFERROR(INDEX('CAT_CENTROS_COSTO'!$D$4:$D$28,MATCH($F40,'CAT_CENTROS_COSTO'!$A$4:$A$28,0)),"(sin catálogo)"))</f>
        <v/>
      </c>
      <c r="Z40" s="24">
        <f>IF($F40="","",IF((IFERROR(INDEX('CAT_CENTROS_COSTO'!$E$4:$E$28,MATCH($F40,'CAT_CENTROS_COSTO'!$A$4:$A$28,0)),""))&lt;&gt;"",IFERROR(INDEX('CAT_CENTROS_COSTO'!$E$4:$E$28,MATCH($F40,'CAT_CENTROS_COSTO'!$A$4:$A$28,0)),""),$Y40))</f>
        <v/>
      </c>
      <c r="AA40" s="24">
        <f>IF($F40="","",IFERROR(INDEX('CAT_CENTROS_COSTO'!$G$4:$G$28,MATCH($F40,'CAT_CENTROS_COSTO'!$A$4:$A$28,0)),"(sin catálogo)"))</f>
        <v/>
      </c>
      <c r="AB40" s="24">
        <f>IF($G40="","",IFERROR(INDEX('CAT_PUESTOS'!$B$4:$B$23,MATCH($G40,'CAT_PUESTOS'!$A$4:$A$23,0)),"(sin catálogo)"))</f>
        <v/>
      </c>
      <c r="AC40" s="24">
        <f>IF($H40="","",IFERROR(INDEX('CAT_ACTIVIDADES'!$B$4:$B$26,MATCH($H40,'CAT_ACTIVIDADES'!$A$4:$A$26,0)),"(sin catálogo)"))</f>
        <v/>
      </c>
      <c r="AD40" s="26">
        <f>IF($J40="","",TODAY()-$J40)</f>
        <v/>
      </c>
      <c r="AE40" s="26">
        <f>IF($J40="","",IF($J40&lt;=TODAY(),COUNTIFS(cal_fechas,"&gt;="&amp;$J40,cal_fechas,"&lt;"&amp;TODAY(),cal_habil,"sí"),-COUNTIFS(cal_fechas,"&gt;="&amp;TODAY(),cal_fechas,"&lt;"&amp;$J40,cal_habil,"sí")))</f>
        <v/>
      </c>
      <c r="AF40" s="24">
        <f>IF($AE40="","",IF($AE40&lt;0,"FUTURO",IF($AE40&gt;p_dias_backlog_max,"BACKLOG","MES CORRIENTE")))</f>
        <v/>
      </c>
      <c r="AG40" s="24">
        <f>IF($AE40="",FALSE,AND($AE40&gt;p_dias_backlog_min,$AE40&lt;=p_dias_backlog_max))</f>
        <v/>
      </c>
      <c r="AH40" s="4" t="n"/>
      <c r="AI40" s="24">
        <f>IF($AH40="","",IF((IFERROR(INDEX('ASIGNACIONES'!$J$4:$J$451,MATCH($O40&amp;"|"&amp;$S40&amp;"|"&amp;$AH40,'ASIGNACIONES'!$N$4:$N$451,0)),""))=0,"",IFERROR(INDEX('ASIGNACIONES'!$J$4:$J$451,MATCH($O40&amp;"|"&amp;$S40&amp;"|"&amp;$AH40,'ASIGNACIONES'!$N$4:$N$451,0)),"")))</f>
        <v/>
      </c>
      <c r="AJ40" s="42">
        <f>IF($AH40="","",SUMIFS('ORDENES'!$M$4:$M$1203,'ORDENES'!$AH$4:$AH$1203,$AH40,'ORDENES'!$O$4:$O$1203,$O40,'ORDENES'!$S$4:$S$1203,$S40))</f>
        <v/>
      </c>
      <c r="AK40" s="42">
        <f>IF($AJ40="","",p_factor_productividad*IFERROR(INDEX('ASIGNACIONES'!$M$4:$M$451,MATCH($O40&amp;"|"&amp;$S40&amp;"|"&amp;$AH40,'ASIGNACIONES'!$N$4:$N$451,0)),0)-$AJ40)</f>
        <v/>
      </c>
      <c r="AL40" s="32">
        <f>IF($A40="","",IFERROR(INDEX('2_IMPORTAR_EJECUCION'!$F$9:$F$1208,MATCH($AU40,'2_IMPORTAR_EJECUCION'!$J$9:$J$1208,0)),0))</f>
        <v/>
      </c>
      <c r="AM40" s="32">
        <f>IF($A40="","",MAX(0,IFERROR(INDEX('2_IMPORTAR_EJECUCION'!$H$9:$H$1208,MATCH($AU40,'2_IMPORTAR_EJECUCION'!$J$9:$J$1208,0)),0)-$AL40))</f>
        <v/>
      </c>
      <c r="AN40" s="32">
        <f>IF($A40="","",$AL40+$AM40)</f>
        <v/>
      </c>
      <c r="AO40" s="24">
        <f>IF($A40="","",IF(OR((IFERROR(INDEX('CAT_ACTIVIDADES'!$D$4:$D$26,MATCH($H40,'CAT_ACTIVIDADES'!$A$4:$A$26,0)),""))=0,(IFERROR(INDEX('CAT_ACTIVIDADES'!$D$4:$D$26,MATCH($H40,'CAT_ACTIVIDADES'!$A$4:$A$26,0)),""))=""),"SIN CLASIFICAR",IFERROR(INDEX('CAT_ACTIVIDADES'!$D$4:$D$26,MATCH($H40,'CAT_ACTIVIDADES'!$A$4:$A$26,0)),"")))</f>
        <v/>
      </c>
      <c r="AP40" s="4" t="n"/>
      <c r="AQ40" s="4" t="n"/>
      <c r="AR40" s="4" t="n"/>
      <c r="AS40" s="24">
        <f>IF($AR40="","",HYPERLINK(p_ruta_base_checklists&amp;$AR40,"abrir"))</f>
        <v/>
      </c>
      <c r="AT40" s="4" t="n"/>
      <c r="AU40" s="24">
        <f>IF($A40="","",$A40&amp;IF($B40="","0010",$B40))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1" t="n"/>
      <c r="K41" s="5" t="n"/>
      <c r="L41" s="18" t="n"/>
      <c r="M41" s="24">
        <f>IF($A41="","",IFERROR(INDEX('AJUSTES'!$B$4:$B$303,MATCH($AU41,'AJUSTES'!$A$4:$A$303,0)),IF($K41="","",$K41)))</f>
        <v/>
      </c>
      <c r="N41" s="24">
        <f>IF($A41="","",IFERROR(INDEX('CAT_ESTADOS_ERP'!$B$4:$B$22,MATCH(IFERROR(INDEX('2_IMPORTAR_EJECUCION'!$C$9:$C$1208,MATCH($AU41,'2_IMPORTAR_EJECUCION'!$J$9:$J$1208,0)),""),'CAT_ESTADOS_ERP'!$A$4:$A$22,0)),"Pendiente"))</f>
        <v/>
      </c>
      <c r="O41" s="24">
        <f>IF($J41="","",YEAR($J41+4-WEEKDAY($J41,2))&amp;"-S"&amp;TEXT(_xlfn.ISOWEEKNUM($J41),"00"))</f>
        <v/>
      </c>
      <c r="P41" s="24">
        <f>IF($J41="","",YEAR($J41))</f>
        <v/>
      </c>
      <c r="Q41" s="24">
        <f>IF($J41="","",MONTH($J41))</f>
        <v/>
      </c>
      <c r="R41" s="24">
        <f>IF($J41="","",$P41&amp;"-"&amp;TEXT($Q41,"00"))</f>
        <v/>
      </c>
      <c r="S41" s="24">
        <f>IF($J41="","",INDEX(lista_dias,WEEKDAY($J41,2)))</f>
        <v/>
      </c>
      <c r="T41" s="24">
        <f>IF($J41="","",IFERROR(INDEX('CALENDARIO'!$C$15:$C$214,MATCH(TEXT($J41,"yyyy-mm-dd")&amp;"|"&amp;$Y41&amp;"|"&amp;$Z41,'CALENDARIO'!$G$15:$G$214,0)),IFERROR(INDEX('CALENDARIO'!$C$15:$C$214,MATCH(TEXT($J41,"yyyy-mm-dd")&amp;"|"&amp;$Y41&amp;"|",'CALENDARIO'!$G$15:$G$214,0)),IFERROR(INDEX('CALENDARIO'!$C$15:$C$214,MATCH(TEXT($J41,"yyyy-mm-dd")&amp;"||",'CALENDARIO'!$G$15:$G$214,0)),INDEX(patronHabil,WEEKDAY($J41,2))))))</f>
        <v/>
      </c>
      <c r="U41" s="24">
        <f>IF($I41="","",IFERROR(INDEX('CAT_TIPOS_OT'!$C$4:$C$23,MATCH($I41,'CAT_TIPOS_OT'!$A$4:$A$23,0)),"sin_clasificar"))</f>
        <v/>
      </c>
      <c r="V41" s="24">
        <f>IF($I41="","",IF(IFERROR(INDEX('CAT_TIPOS_OT'!$D$4:$D$23,MATCH($I41,'CAT_TIPOS_OT'!$A$4:$A$23,0)),"SIN CLASIFICAR")="","SIN CLASIFICAR",IFERROR(INDEX('CAT_TIPOS_OT'!$D$4:$D$23,MATCH($I41,'CAT_TIPOS_OT'!$A$4:$A$23,0)),"SIN CLASIFICAR")))</f>
        <v/>
      </c>
      <c r="W41" s="24">
        <f>IF($H41="","",IF(IFERROR(INDEX('CAT_ACTIVIDADES'!$F$4:$F$26,MATCH($H41,'CAT_ACTIVIDADES'!$A$4:$A$26,0)),"")=0,"",IFERROR(INDEX('CAT_ACTIVIDADES'!$F$4:$F$26,MATCH($H41,'CAT_ACTIVIDADES'!$A$4:$A$26,0)),"")))</f>
        <v/>
      </c>
      <c r="X41" s="24">
        <f>IF($F41="","",IFERROR(INDEX('CAT_CENTROS_COSTO'!$F$4:$F$28,MATCH($F41,'CAT_CENTROS_COSTO'!$A$4:$A$28,0)),"(sin catálogo)"))</f>
        <v/>
      </c>
      <c r="Y41" s="24">
        <f>IF($F41="","",IFERROR(INDEX('CAT_CENTROS_COSTO'!$D$4:$D$28,MATCH($F41,'CAT_CENTROS_COSTO'!$A$4:$A$28,0)),"(sin catálogo)"))</f>
        <v/>
      </c>
      <c r="Z41" s="24">
        <f>IF($F41="","",IF((IFERROR(INDEX('CAT_CENTROS_COSTO'!$E$4:$E$28,MATCH($F41,'CAT_CENTROS_COSTO'!$A$4:$A$28,0)),""))&lt;&gt;"",IFERROR(INDEX('CAT_CENTROS_COSTO'!$E$4:$E$28,MATCH($F41,'CAT_CENTROS_COSTO'!$A$4:$A$28,0)),""),$Y41))</f>
        <v/>
      </c>
      <c r="AA41" s="24">
        <f>IF($F41="","",IFERROR(INDEX('CAT_CENTROS_COSTO'!$G$4:$G$28,MATCH($F41,'CAT_CENTROS_COSTO'!$A$4:$A$28,0)),"(sin catálogo)"))</f>
        <v/>
      </c>
      <c r="AB41" s="24">
        <f>IF($G41="","",IFERROR(INDEX('CAT_PUESTOS'!$B$4:$B$23,MATCH($G41,'CAT_PUESTOS'!$A$4:$A$23,0)),"(sin catálogo)"))</f>
        <v/>
      </c>
      <c r="AC41" s="24">
        <f>IF($H41="","",IFERROR(INDEX('CAT_ACTIVIDADES'!$B$4:$B$26,MATCH($H41,'CAT_ACTIVIDADES'!$A$4:$A$26,0)),"(sin catálogo)"))</f>
        <v/>
      </c>
      <c r="AD41" s="26">
        <f>IF($J41="","",TODAY()-$J41)</f>
        <v/>
      </c>
      <c r="AE41" s="26">
        <f>IF($J41="","",IF($J41&lt;=TODAY(),COUNTIFS(cal_fechas,"&gt;="&amp;$J41,cal_fechas,"&lt;"&amp;TODAY(),cal_habil,"sí"),-COUNTIFS(cal_fechas,"&gt;="&amp;TODAY(),cal_fechas,"&lt;"&amp;$J41,cal_habil,"sí")))</f>
        <v/>
      </c>
      <c r="AF41" s="24">
        <f>IF($AE41="","",IF($AE41&lt;0,"FUTURO",IF($AE41&gt;p_dias_backlog_max,"BACKLOG","MES CORRIENTE")))</f>
        <v/>
      </c>
      <c r="AG41" s="24">
        <f>IF($AE41="",FALSE,AND($AE41&gt;p_dias_backlog_min,$AE41&lt;=p_dias_backlog_max))</f>
        <v/>
      </c>
      <c r="AH41" s="4" t="n"/>
      <c r="AI41" s="24">
        <f>IF($AH41="","",IF((IFERROR(INDEX('ASIGNACIONES'!$J$4:$J$451,MATCH($O41&amp;"|"&amp;$S41&amp;"|"&amp;$AH41,'ASIGNACIONES'!$N$4:$N$451,0)),""))=0,"",IFERROR(INDEX('ASIGNACIONES'!$J$4:$J$451,MATCH($O41&amp;"|"&amp;$S41&amp;"|"&amp;$AH41,'ASIGNACIONES'!$N$4:$N$451,0)),"")))</f>
        <v/>
      </c>
      <c r="AJ41" s="42">
        <f>IF($AH41="","",SUMIFS('ORDENES'!$M$4:$M$1203,'ORDENES'!$AH$4:$AH$1203,$AH41,'ORDENES'!$O$4:$O$1203,$O41,'ORDENES'!$S$4:$S$1203,$S41))</f>
        <v/>
      </c>
      <c r="AK41" s="42">
        <f>IF($AJ41="","",p_factor_productividad*IFERROR(INDEX('ASIGNACIONES'!$M$4:$M$451,MATCH($O41&amp;"|"&amp;$S41&amp;"|"&amp;$AH41,'ASIGNACIONES'!$N$4:$N$451,0)),0)-$AJ41)</f>
        <v/>
      </c>
      <c r="AL41" s="32">
        <f>IF($A41="","",IFERROR(INDEX('2_IMPORTAR_EJECUCION'!$F$9:$F$1208,MATCH($AU41,'2_IMPORTAR_EJECUCION'!$J$9:$J$1208,0)),0))</f>
        <v/>
      </c>
      <c r="AM41" s="32">
        <f>IF($A41="","",MAX(0,IFERROR(INDEX('2_IMPORTAR_EJECUCION'!$H$9:$H$1208,MATCH($AU41,'2_IMPORTAR_EJECUCION'!$J$9:$J$1208,0)),0)-$AL41))</f>
        <v/>
      </c>
      <c r="AN41" s="32">
        <f>IF($A41="","",$AL41+$AM41)</f>
        <v/>
      </c>
      <c r="AO41" s="24">
        <f>IF($A41="","",IF(OR((IFERROR(INDEX('CAT_ACTIVIDADES'!$D$4:$D$26,MATCH($H41,'CAT_ACTIVIDADES'!$A$4:$A$26,0)),""))=0,(IFERROR(INDEX('CAT_ACTIVIDADES'!$D$4:$D$26,MATCH($H41,'CAT_ACTIVIDADES'!$A$4:$A$26,0)),""))=""),"SIN CLASIFICAR",IFERROR(INDEX('CAT_ACTIVIDADES'!$D$4:$D$26,MATCH($H41,'CAT_ACTIVIDADES'!$A$4:$A$26,0)),"")))</f>
        <v/>
      </c>
      <c r="AP41" s="4" t="n"/>
      <c r="AQ41" s="4" t="n"/>
      <c r="AR41" s="4" t="n"/>
      <c r="AS41" s="24">
        <f>IF($AR41="","",HYPERLINK(p_ruta_base_checklists&amp;$AR41,"abrir"))</f>
        <v/>
      </c>
      <c r="AT41" s="4" t="n"/>
      <c r="AU41" s="24">
        <f>IF($A41="","",$A41&amp;IF($B41="","0010",$B41))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1" t="n"/>
      <c r="K42" s="5" t="n"/>
      <c r="L42" s="18" t="n"/>
      <c r="M42" s="24">
        <f>IF($A42="","",IFERROR(INDEX('AJUSTES'!$B$4:$B$303,MATCH($AU42,'AJUSTES'!$A$4:$A$303,0)),IF($K42="","",$K42)))</f>
        <v/>
      </c>
      <c r="N42" s="24">
        <f>IF($A42="","",IFERROR(INDEX('CAT_ESTADOS_ERP'!$B$4:$B$22,MATCH(IFERROR(INDEX('2_IMPORTAR_EJECUCION'!$C$9:$C$1208,MATCH($AU42,'2_IMPORTAR_EJECUCION'!$J$9:$J$1208,0)),""),'CAT_ESTADOS_ERP'!$A$4:$A$22,0)),"Pendiente"))</f>
        <v/>
      </c>
      <c r="O42" s="24">
        <f>IF($J42="","",YEAR($J42+4-WEEKDAY($J42,2))&amp;"-S"&amp;TEXT(_xlfn.ISOWEEKNUM($J42),"00"))</f>
        <v/>
      </c>
      <c r="P42" s="24">
        <f>IF($J42="","",YEAR($J42))</f>
        <v/>
      </c>
      <c r="Q42" s="24">
        <f>IF($J42="","",MONTH($J42))</f>
        <v/>
      </c>
      <c r="R42" s="24">
        <f>IF($J42="","",$P42&amp;"-"&amp;TEXT($Q42,"00"))</f>
        <v/>
      </c>
      <c r="S42" s="24">
        <f>IF($J42="","",INDEX(lista_dias,WEEKDAY($J42,2)))</f>
        <v/>
      </c>
      <c r="T42" s="24">
        <f>IF($J42="","",IFERROR(INDEX('CALENDARIO'!$C$15:$C$214,MATCH(TEXT($J42,"yyyy-mm-dd")&amp;"|"&amp;$Y42&amp;"|"&amp;$Z42,'CALENDARIO'!$G$15:$G$214,0)),IFERROR(INDEX('CALENDARIO'!$C$15:$C$214,MATCH(TEXT($J42,"yyyy-mm-dd")&amp;"|"&amp;$Y42&amp;"|",'CALENDARIO'!$G$15:$G$214,0)),IFERROR(INDEX('CALENDARIO'!$C$15:$C$214,MATCH(TEXT($J42,"yyyy-mm-dd")&amp;"||",'CALENDARIO'!$G$15:$G$214,0)),INDEX(patronHabil,WEEKDAY($J42,2))))))</f>
        <v/>
      </c>
      <c r="U42" s="24">
        <f>IF($I42="","",IFERROR(INDEX('CAT_TIPOS_OT'!$C$4:$C$23,MATCH($I42,'CAT_TIPOS_OT'!$A$4:$A$23,0)),"sin_clasificar"))</f>
        <v/>
      </c>
      <c r="V42" s="24">
        <f>IF($I42="","",IF(IFERROR(INDEX('CAT_TIPOS_OT'!$D$4:$D$23,MATCH($I42,'CAT_TIPOS_OT'!$A$4:$A$23,0)),"SIN CLASIFICAR")="","SIN CLASIFICAR",IFERROR(INDEX('CAT_TIPOS_OT'!$D$4:$D$23,MATCH($I42,'CAT_TIPOS_OT'!$A$4:$A$23,0)),"SIN CLASIFICAR")))</f>
        <v/>
      </c>
      <c r="W42" s="24">
        <f>IF($H42="","",IF(IFERROR(INDEX('CAT_ACTIVIDADES'!$F$4:$F$26,MATCH($H42,'CAT_ACTIVIDADES'!$A$4:$A$26,0)),"")=0,"",IFERROR(INDEX('CAT_ACTIVIDADES'!$F$4:$F$26,MATCH($H42,'CAT_ACTIVIDADES'!$A$4:$A$26,0)),"")))</f>
        <v/>
      </c>
      <c r="X42" s="24">
        <f>IF($F42="","",IFERROR(INDEX('CAT_CENTROS_COSTO'!$F$4:$F$28,MATCH($F42,'CAT_CENTROS_COSTO'!$A$4:$A$28,0)),"(sin catálogo)"))</f>
        <v/>
      </c>
      <c r="Y42" s="24">
        <f>IF($F42="","",IFERROR(INDEX('CAT_CENTROS_COSTO'!$D$4:$D$28,MATCH($F42,'CAT_CENTROS_COSTO'!$A$4:$A$28,0)),"(sin catálogo)"))</f>
        <v/>
      </c>
      <c r="Z42" s="24">
        <f>IF($F42="","",IF((IFERROR(INDEX('CAT_CENTROS_COSTO'!$E$4:$E$28,MATCH($F42,'CAT_CENTROS_COSTO'!$A$4:$A$28,0)),""))&lt;&gt;"",IFERROR(INDEX('CAT_CENTROS_COSTO'!$E$4:$E$28,MATCH($F42,'CAT_CENTROS_COSTO'!$A$4:$A$28,0)),""),$Y42))</f>
        <v/>
      </c>
      <c r="AA42" s="24">
        <f>IF($F42="","",IFERROR(INDEX('CAT_CENTROS_COSTO'!$G$4:$G$28,MATCH($F42,'CAT_CENTROS_COSTO'!$A$4:$A$28,0)),"(sin catálogo)"))</f>
        <v/>
      </c>
      <c r="AB42" s="24">
        <f>IF($G42="","",IFERROR(INDEX('CAT_PUESTOS'!$B$4:$B$23,MATCH($G42,'CAT_PUESTOS'!$A$4:$A$23,0)),"(sin catálogo)"))</f>
        <v/>
      </c>
      <c r="AC42" s="24">
        <f>IF($H42="","",IFERROR(INDEX('CAT_ACTIVIDADES'!$B$4:$B$26,MATCH($H42,'CAT_ACTIVIDADES'!$A$4:$A$26,0)),"(sin catálogo)"))</f>
        <v/>
      </c>
      <c r="AD42" s="26">
        <f>IF($J42="","",TODAY()-$J42)</f>
        <v/>
      </c>
      <c r="AE42" s="26">
        <f>IF($J42="","",IF($J42&lt;=TODAY(),COUNTIFS(cal_fechas,"&gt;="&amp;$J42,cal_fechas,"&lt;"&amp;TODAY(),cal_habil,"sí"),-COUNTIFS(cal_fechas,"&gt;="&amp;TODAY(),cal_fechas,"&lt;"&amp;$J42,cal_habil,"sí")))</f>
        <v/>
      </c>
      <c r="AF42" s="24">
        <f>IF($AE42="","",IF($AE42&lt;0,"FUTURO",IF($AE42&gt;p_dias_backlog_max,"BACKLOG","MES CORRIENTE")))</f>
        <v/>
      </c>
      <c r="AG42" s="24">
        <f>IF($AE42="",FALSE,AND($AE42&gt;p_dias_backlog_min,$AE42&lt;=p_dias_backlog_max))</f>
        <v/>
      </c>
      <c r="AH42" s="4" t="n"/>
      <c r="AI42" s="24">
        <f>IF($AH42="","",IF((IFERROR(INDEX('ASIGNACIONES'!$J$4:$J$451,MATCH($O42&amp;"|"&amp;$S42&amp;"|"&amp;$AH42,'ASIGNACIONES'!$N$4:$N$451,0)),""))=0,"",IFERROR(INDEX('ASIGNACIONES'!$J$4:$J$451,MATCH($O42&amp;"|"&amp;$S42&amp;"|"&amp;$AH42,'ASIGNACIONES'!$N$4:$N$451,0)),"")))</f>
        <v/>
      </c>
      <c r="AJ42" s="42">
        <f>IF($AH42="","",SUMIFS('ORDENES'!$M$4:$M$1203,'ORDENES'!$AH$4:$AH$1203,$AH42,'ORDENES'!$O$4:$O$1203,$O42,'ORDENES'!$S$4:$S$1203,$S42))</f>
        <v/>
      </c>
      <c r="AK42" s="42">
        <f>IF($AJ42="","",p_factor_productividad*IFERROR(INDEX('ASIGNACIONES'!$M$4:$M$451,MATCH($O42&amp;"|"&amp;$S42&amp;"|"&amp;$AH42,'ASIGNACIONES'!$N$4:$N$451,0)),0)-$AJ42)</f>
        <v/>
      </c>
      <c r="AL42" s="32">
        <f>IF($A42="","",IFERROR(INDEX('2_IMPORTAR_EJECUCION'!$F$9:$F$1208,MATCH($AU42,'2_IMPORTAR_EJECUCION'!$J$9:$J$1208,0)),0))</f>
        <v/>
      </c>
      <c r="AM42" s="32">
        <f>IF($A42="","",MAX(0,IFERROR(INDEX('2_IMPORTAR_EJECUCION'!$H$9:$H$1208,MATCH($AU42,'2_IMPORTAR_EJECUCION'!$J$9:$J$1208,0)),0)-$AL42))</f>
        <v/>
      </c>
      <c r="AN42" s="32">
        <f>IF($A42="","",$AL42+$AM42)</f>
        <v/>
      </c>
      <c r="AO42" s="24">
        <f>IF($A42="","",IF(OR((IFERROR(INDEX('CAT_ACTIVIDADES'!$D$4:$D$26,MATCH($H42,'CAT_ACTIVIDADES'!$A$4:$A$26,0)),""))=0,(IFERROR(INDEX('CAT_ACTIVIDADES'!$D$4:$D$26,MATCH($H42,'CAT_ACTIVIDADES'!$A$4:$A$26,0)),""))=""),"SIN CLASIFICAR",IFERROR(INDEX('CAT_ACTIVIDADES'!$D$4:$D$26,MATCH($H42,'CAT_ACTIVIDADES'!$A$4:$A$26,0)),"")))</f>
        <v/>
      </c>
      <c r="AP42" s="4" t="n"/>
      <c r="AQ42" s="4" t="n"/>
      <c r="AR42" s="4" t="n"/>
      <c r="AS42" s="24">
        <f>IF($AR42="","",HYPERLINK(p_ruta_base_checklists&amp;$AR42,"abrir"))</f>
        <v/>
      </c>
      <c r="AT42" s="4" t="n"/>
      <c r="AU42" s="24">
        <f>IF($A42="","",$A42&amp;IF($B42="","0010",$B42))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1" t="n"/>
      <c r="K43" s="5" t="n"/>
      <c r="L43" s="18" t="n"/>
      <c r="M43" s="24">
        <f>IF($A43="","",IFERROR(INDEX('AJUSTES'!$B$4:$B$303,MATCH($AU43,'AJUSTES'!$A$4:$A$303,0)),IF($K43="","",$K43)))</f>
        <v/>
      </c>
      <c r="N43" s="24">
        <f>IF($A43="","",IFERROR(INDEX('CAT_ESTADOS_ERP'!$B$4:$B$22,MATCH(IFERROR(INDEX('2_IMPORTAR_EJECUCION'!$C$9:$C$1208,MATCH($AU43,'2_IMPORTAR_EJECUCION'!$J$9:$J$1208,0)),""),'CAT_ESTADOS_ERP'!$A$4:$A$22,0)),"Pendiente"))</f>
        <v/>
      </c>
      <c r="O43" s="24">
        <f>IF($J43="","",YEAR($J43+4-WEEKDAY($J43,2))&amp;"-S"&amp;TEXT(_xlfn.ISOWEEKNUM($J43),"00"))</f>
        <v/>
      </c>
      <c r="P43" s="24">
        <f>IF($J43="","",YEAR($J43))</f>
        <v/>
      </c>
      <c r="Q43" s="24">
        <f>IF($J43="","",MONTH($J43))</f>
        <v/>
      </c>
      <c r="R43" s="24">
        <f>IF($J43="","",$P43&amp;"-"&amp;TEXT($Q43,"00"))</f>
        <v/>
      </c>
      <c r="S43" s="24">
        <f>IF($J43="","",INDEX(lista_dias,WEEKDAY($J43,2)))</f>
        <v/>
      </c>
      <c r="T43" s="24">
        <f>IF($J43="","",IFERROR(INDEX('CALENDARIO'!$C$15:$C$214,MATCH(TEXT($J43,"yyyy-mm-dd")&amp;"|"&amp;$Y43&amp;"|"&amp;$Z43,'CALENDARIO'!$G$15:$G$214,0)),IFERROR(INDEX('CALENDARIO'!$C$15:$C$214,MATCH(TEXT($J43,"yyyy-mm-dd")&amp;"|"&amp;$Y43&amp;"|",'CALENDARIO'!$G$15:$G$214,0)),IFERROR(INDEX('CALENDARIO'!$C$15:$C$214,MATCH(TEXT($J43,"yyyy-mm-dd")&amp;"||",'CALENDARIO'!$G$15:$G$214,0)),INDEX(patronHabil,WEEKDAY($J43,2))))))</f>
        <v/>
      </c>
      <c r="U43" s="24">
        <f>IF($I43="","",IFERROR(INDEX('CAT_TIPOS_OT'!$C$4:$C$23,MATCH($I43,'CAT_TIPOS_OT'!$A$4:$A$23,0)),"sin_clasificar"))</f>
        <v/>
      </c>
      <c r="V43" s="24">
        <f>IF($I43="","",IF(IFERROR(INDEX('CAT_TIPOS_OT'!$D$4:$D$23,MATCH($I43,'CAT_TIPOS_OT'!$A$4:$A$23,0)),"SIN CLASIFICAR")="","SIN CLASIFICAR",IFERROR(INDEX('CAT_TIPOS_OT'!$D$4:$D$23,MATCH($I43,'CAT_TIPOS_OT'!$A$4:$A$23,0)),"SIN CLASIFICAR")))</f>
        <v/>
      </c>
      <c r="W43" s="24">
        <f>IF($H43="","",IF(IFERROR(INDEX('CAT_ACTIVIDADES'!$F$4:$F$26,MATCH($H43,'CAT_ACTIVIDADES'!$A$4:$A$26,0)),"")=0,"",IFERROR(INDEX('CAT_ACTIVIDADES'!$F$4:$F$26,MATCH($H43,'CAT_ACTIVIDADES'!$A$4:$A$26,0)),"")))</f>
        <v/>
      </c>
      <c r="X43" s="24">
        <f>IF($F43="","",IFERROR(INDEX('CAT_CENTROS_COSTO'!$F$4:$F$28,MATCH($F43,'CAT_CENTROS_COSTO'!$A$4:$A$28,0)),"(sin catálogo)"))</f>
        <v/>
      </c>
      <c r="Y43" s="24">
        <f>IF($F43="","",IFERROR(INDEX('CAT_CENTROS_COSTO'!$D$4:$D$28,MATCH($F43,'CAT_CENTROS_COSTO'!$A$4:$A$28,0)),"(sin catálogo)"))</f>
        <v/>
      </c>
      <c r="Z43" s="24">
        <f>IF($F43="","",IF((IFERROR(INDEX('CAT_CENTROS_COSTO'!$E$4:$E$28,MATCH($F43,'CAT_CENTROS_COSTO'!$A$4:$A$28,0)),""))&lt;&gt;"",IFERROR(INDEX('CAT_CENTROS_COSTO'!$E$4:$E$28,MATCH($F43,'CAT_CENTROS_COSTO'!$A$4:$A$28,0)),""),$Y43))</f>
        <v/>
      </c>
      <c r="AA43" s="24">
        <f>IF($F43="","",IFERROR(INDEX('CAT_CENTROS_COSTO'!$G$4:$G$28,MATCH($F43,'CAT_CENTROS_COSTO'!$A$4:$A$28,0)),"(sin catálogo)"))</f>
        <v/>
      </c>
      <c r="AB43" s="24">
        <f>IF($G43="","",IFERROR(INDEX('CAT_PUESTOS'!$B$4:$B$23,MATCH($G43,'CAT_PUESTOS'!$A$4:$A$23,0)),"(sin catálogo)"))</f>
        <v/>
      </c>
      <c r="AC43" s="24">
        <f>IF($H43="","",IFERROR(INDEX('CAT_ACTIVIDADES'!$B$4:$B$26,MATCH($H43,'CAT_ACTIVIDADES'!$A$4:$A$26,0)),"(sin catálogo)"))</f>
        <v/>
      </c>
      <c r="AD43" s="26">
        <f>IF($J43="","",TODAY()-$J43)</f>
        <v/>
      </c>
      <c r="AE43" s="26">
        <f>IF($J43="","",IF($J43&lt;=TODAY(),COUNTIFS(cal_fechas,"&gt;="&amp;$J43,cal_fechas,"&lt;"&amp;TODAY(),cal_habil,"sí"),-COUNTIFS(cal_fechas,"&gt;="&amp;TODAY(),cal_fechas,"&lt;"&amp;$J43,cal_habil,"sí")))</f>
        <v/>
      </c>
      <c r="AF43" s="24">
        <f>IF($AE43="","",IF($AE43&lt;0,"FUTURO",IF($AE43&gt;p_dias_backlog_max,"BACKLOG","MES CORRIENTE")))</f>
        <v/>
      </c>
      <c r="AG43" s="24">
        <f>IF($AE43="",FALSE,AND($AE43&gt;p_dias_backlog_min,$AE43&lt;=p_dias_backlog_max))</f>
        <v/>
      </c>
      <c r="AH43" s="4" t="n"/>
      <c r="AI43" s="24">
        <f>IF($AH43="","",IF((IFERROR(INDEX('ASIGNACIONES'!$J$4:$J$451,MATCH($O43&amp;"|"&amp;$S43&amp;"|"&amp;$AH43,'ASIGNACIONES'!$N$4:$N$451,0)),""))=0,"",IFERROR(INDEX('ASIGNACIONES'!$J$4:$J$451,MATCH($O43&amp;"|"&amp;$S43&amp;"|"&amp;$AH43,'ASIGNACIONES'!$N$4:$N$451,0)),"")))</f>
        <v/>
      </c>
      <c r="AJ43" s="42">
        <f>IF($AH43="","",SUMIFS('ORDENES'!$M$4:$M$1203,'ORDENES'!$AH$4:$AH$1203,$AH43,'ORDENES'!$O$4:$O$1203,$O43,'ORDENES'!$S$4:$S$1203,$S43))</f>
        <v/>
      </c>
      <c r="AK43" s="42">
        <f>IF($AJ43="","",p_factor_productividad*IFERROR(INDEX('ASIGNACIONES'!$M$4:$M$451,MATCH($O43&amp;"|"&amp;$S43&amp;"|"&amp;$AH43,'ASIGNACIONES'!$N$4:$N$451,0)),0)-$AJ43)</f>
        <v/>
      </c>
      <c r="AL43" s="32">
        <f>IF($A43="","",IFERROR(INDEX('2_IMPORTAR_EJECUCION'!$F$9:$F$1208,MATCH($AU43,'2_IMPORTAR_EJECUCION'!$J$9:$J$1208,0)),0))</f>
        <v/>
      </c>
      <c r="AM43" s="32">
        <f>IF($A43="","",MAX(0,IFERROR(INDEX('2_IMPORTAR_EJECUCION'!$H$9:$H$1208,MATCH($AU43,'2_IMPORTAR_EJECUCION'!$J$9:$J$1208,0)),0)-$AL43))</f>
        <v/>
      </c>
      <c r="AN43" s="32">
        <f>IF($A43="","",$AL43+$AM43)</f>
        <v/>
      </c>
      <c r="AO43" s="24">
        <f>IF($A43="","",IF(OR((IFERROR(INDEX('CAT_ACTIVIDADES'!$D$4:$D$26,MATCH($H43,'CAT_ACTIVIDADES'!$A$4:$A$26,0)),""))=0,(IFERROR(INDEX('CAT_ACTIVIDADES'!$D$4:$D$26,MATCH($H43,'CAT_ACTIVIDADES'!$A$4:$A$26,0)),""))=""),"SIN CLASIFICAR",IFERROR(INDEX('CAT_ACTIVIDADES'!$D$4:$D$26,MATCH($H43,'CAT_ACTIVIDADES'!$A$4:$A$26,0)),"")))</f>
        <v/>
      </c>
      <c r="AP43" s="4" t="n"/>
      <c r="AQ43" s="4" t="n"/>
      <c r="AR43" s="4" t="n"/>
      <c r="AS43" s="24">
        <f>IF($AR43="","",HYPERLINK(p_ruta_base_checklists&amp;$AR43,"abrir"))</f>
        <v/>
      </c>
      <c r="AT43" s="4" t="n"/>
      <c r="AU43" s="24">
        <f>IF($A43="","",$A43&amp;IF($B43="","0010",$B43))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1" t="n"/>
      <c r="K44" s="5" t="n"/>
      <c r="L44" s="18" t="n"/>
      <c r="M44" s="24">
        <f>IF($A44="","",IFERROR(INDEX('AJUSTES'!$B$4:$B$303,MATCH($AU44,'AJUSTES'!$A$4:$A$303,0)),IF($K44="","",$K44)))</f>
        <v/>
      </c>
      <c r="N44" s="24">
        <f>IF($A44="","",IFERROR(INDEX('CAT_ESTADOS_ERP'!$B$4:$B$22,MATCH(IFERROR(INDEX('2_IMPORTAR_EJECUCION'!$C$9:$C$1208,MATCH($AU44,'2_IMPORTAR_EJECUCION'!$J$9:$J$1208,0)),""),'CAT_ESTADOS_ERP'!$A$4:$A$22,0)),"Pendiente"))</f>
        <v/>
      </c>
      <c r="O44" s="24">
        <f>IF($J44="","",YEAR($J44+4-WEEKDAY($J44,2))&amp;"-S"&amp;TEXT(_xlfn.ISOWEEKNUM($J44),"00"))</f>
        <v/>
      </c>
      <c r="P44" s="24">
        <f>IF($J44="","",YEAR($J44))</f>
        <v/>
      </c>
      <c r="Q44" s="24">
        <f>IF($J44="","",MONTH($J44))</f>
        <v/>
      </c>
      <c r="R44" s="24">
        <f>IF($J44="","",$P44&amp;"-"&amp;TEXT($Q44,"00"))</f>
        <v/>
      </c>
      <c r="S44" s="24">
        <f>IF($J44="","",INDEX(lista_dias,WEEKDAY($J44,2)))</f>
        <v/>
      </c>
      <c r="T44" s="24">
        <f>IF($J44="","",IFERROR(INDEX('CALENDARIO'!$C$15:$C$214,MATCH(TEXT($J44,"yyyy-mm-dd")&amp;"|"&amp;$Y44&amp;"|"&amp;$Z44,'CALENDARIO'!$G$15:$G$214,0)),IFERROR(INDEX('CALENDARIO'!$C$15:$C$214,MATCH(TEXT($J44,"yyyy-mm-dd")&amp;"|"&amp;$Y44&amp;"|",'CALENDARIO'!$G$15:$G$214,0)),IFERROR(INDEX('CALENDARIO'!$C$15:$C$214,MATCH(TEXT($J44,"yyyy-mm-dd")&amp;"||",'CALENDARIO'!$G$15:$G$214,0)),INDEX(patronHabil,WEEKDAY($J44,2))))))</f>
        <v/>
      </c>
      <c r="U44" s="24">
        <f>IF($I44="","",IFERROR(INDEX('CAT_TIPOS_OT'!$C$4:$C$23,MATCH($I44,'CAT_TIPOS_OT'!$A$4:$A$23,0)),"sin_clasificar"))</f>
        <v/>
      </c>
      <c r="V44" s="24">
        <f>IF($I44="","",IF(IFERROR(INDEX('CAT_TIPOS_OT'!$D$4:$D$23,MATCH($I44,'CAT_TIPOS_OT'!$A$4:$A$23,0)),"SIN CLASIFICAR")="","SIN CLASIFICAR",IFERROR(INDEX('CAT_TIPOS_OT'!$D$4:$D$23,MATCH($I44,'CAT_TIPOS_OT'!$A$4:$A$23,0)),"SIN CLASIFICAR")))</f>
        <v/>
      </c>
      <c r="W44" s="24">
        <f>IF($H44="","",IF(IFERROR(INDEX('CAT_ACTIVIDADES'!$F$4:$F$26,MATCH($H44,'CAT_ACTIVIDADES'!$A$4:$A$26,0)),"")=0,"",IFERROR(INDEX('CAT_ACTIVIDADES'!$F$4:$F$26,MATCH($H44,'CAT_ACTIVIDADES'!$A$4:$A$26,0)),"")))</f>
        <v/>
      </c>
      <c r="X44" s="24">
        <f>IF($F44="","",IFERROR(INDEX('CAT_CENTROS_COSTO'!$F$4:$F$28,MATCH($F44,'CAT_CENTROS_COSTO'!$A$4:$A$28,0)),"(sin catálogo)"))</f>
        <v/>
      </c>
      <c r="Y44" s="24">
        <f>IF($F44="","",IFERROR(INDEX('CAT_CENTROS_COSTO'!$D$4:$D$28,MATCH($F44,'CAT_CENTROS_COSTO'!$A$4:$A$28,0)),"(sin catálogo)"))</f>
        <v/>
      </c>
      <c r="Z44" s="24">
        <f>IF($F44="","",IF((IFERROR(INDEX('CAT_CENTROS_COSTO'!$E$4:$E$28,MATCH($F44,'CAT_CENTROS_COSTO'!$A$4:$A$28,0)),""))&lt;&gt;"",IFERROR(INDEX('CAT_CENTROS_COSTO'!$E$4:$E$28,MATCH($F44,'CAT_CENTROS_COSTO'!$A$4:$A$28,0)),""),$Y44))</f>
        <v/>
      </c>
      <c r="AA44" s="24">
        <f>IF($F44="","",IFERROR(INDEX('CAT_CENTROS_COSTO'!$G$4:$G$28,MATCH($F44,'CAT_CENTROS_COSTO'!$A$4:$A$28,0)),"(sin catálogo)"))</f>
        <v/>
      </c>
      <c r="AB44" s="24">
        <f>IF($G44="","",IFERROR(INDEX('CAT_PUESTOS'!$B$4:$B$23,MATCH($G44,'CAT_PUESTOS'!$A$4:$A$23,0)),"(sin catálogo)"))</f>
        <v/>
      </c>
      <c r="AC44" s="24">
        <f>IF($H44="","",IFERROR(INDEX('CAT_ACTIVIDADES'!$B$4:$B$26,MATCH($H44,'CAT_ACTIVIDADES'!$A$4:$A$26,0)),"(sin catálogo)"))</f>
        <v/>
      </c>
      <c r="AD44" s="26">
        <f>IF($J44="","",TODAY()-$J44)</f>
        <v/>
      </c>
      <c r="AE44" s="26">
        <f>IF($J44="","",IF($J44&lt;=TODAY(),COUNTIFS(cal_fechas,"&gt;="&amp;$J44,cal_fechas,"&lt;"&amp;TODAY(),cal_habil,"sí"),-COUNTIFS(cal_fechas,"&gt;="&amp;TODAY(),cal_fechas,"&lt;"&amp;$J44,cal_habil,"sí")))</f>
        <v/>
      </c>
      <c r="AF44" s="24">
        <f>IF($AE44="","",IF($AE44&lt;0,"FUTURO",IF($AE44&gt;p_dias_backlog_max,"BACKLOG","MES CORRIENTE")))</f>
        <v/>
      </c>
      <c r="AG44" s="24">
        <f>IF($AE44="",FALSE,AND($AE44&gt;p_dias_backlog_min,$AE44&lt;=p_dias_backlog_max))</f>
        <v/>
      </c>
      <c r="AH44" s="4" t="n"/>
      <c r="AI44" s="24">
        <f>IF($AH44="","",IF((IFERROR(INDEX('ASIGNACIONES'!$J$4:$J$451,MATCH($O44&amp;"|"&amp;$S44&amp;"|"&amp;$AH44,'ASIGNACIONES'!$N$4:$N$451,0)),""))=0,"",IFERROR(INDEX('ASIGNACIONES'!$J$4:$J$451,MATCH($O44&amp;"|"&amp;$S44&amp;"|"&amp;$AH44,'ASIGNACIONES'!$N$4:$N$451,0)),"")))</f>
        <v/>
      </c>
      <c r="AJ44" s="42">
        <f>IF($AH44="","",SUMIFS('ORDENES'!$M$4:$M$1203,'ORDENES'!$AH$4:$AH$1203,$AH44,'ORDENES'!$O$4:$O$1203,$O44,'ORDENES'!$S$4:$S$1203,$S44))</f>
        <v/>
      </c>
      <c r="AK44" s="42">
        <f>IF($AJ44="","",p_factor_productividad*IFERROR(INDEX('ASIGNACIONES'!$M$4:$M$451,MATCH($O44&amp;"|"&amp;$S44&amp;"|"&amp;$AH44,'ASIGNACIONES'!$N$4:$N$451,0)),0)-$AJ44)</f>
        <v/>
      </c>
      <c r="AL44" s="32">
        <f>IF($A44="","",IFERROR(INDEX('2_IMPORTAR_EJECUCION'!$F$9:$F$1208,MATCH($AU44,'2_IMPORTAR_EJECUCION'!$J$9:$J$1208,0)),0))</f>
        <v/>
      </c>
      <c r="AM44" s="32">
        <f>IF($A44="","",MAX(0,IFERROR(INDEX('2_IMPORTAR_EJECUCION'!$H$9:$H$1208,MATCH($AU44,'2_IMPORTAR_EJECUCION'!$J$9:$J$1208,0)),0)-$AL44))</f>
        <v/>
      </c>
      <c r="AN44" s="32">
        <f>IF($A44="","",$AL44+$AM44)</f>
        <v/>
      </c>
      <c r="AO44" s="24">
        <f>IF($A44="","",IF(OR((IFERROR(INDEX('CAT_ACTIVIDADES'!$D$4:$D$26,MATCH($H44,'CAT_ACTIVIDADES'!$A$4:$A$26,0)),""))=0,(IFERROR(INDEX('CAT_ACTIVIDADES'!$D$4:$D$26,MATCH($H44,'CAT_ACTIVIDADES'!$A$4:$A$26,0)),""))=""),"SIN CLASIFICAR",IFERROR(INDEX('CAT_ACTIVIDADES'!$D$4:$D$26,MATCH($H44,'CAT_ACTIVIDADES'!$A$4:$A$26,0)),"")))</f>
        <v/>
      </c>
      <c r="AP44" s="4" t="n"/>
      <c r="AQ44" s="4" t="n"/>
      <c r="AR44" s="4" t="n"/>
      <c r="AS44" s="24">
        <f>IF($AR44="","",HYPERLINK(p_ruta_base_checklists&amp;$AR44,"abrir"))</f>
        <v/>
      </c>
      <c r="AT44" s="4" t="n"/>
      <c r="AU44" s="24">
        <f>IF($A44="","",$A44&amp;IF($B44="","0010",$B44))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1" t="n"/>
      <c r="K45" s="5" t="n"/>
      <c r="L45" s="18" t="n"/>
      <c r="M45" s="24">
        <f>IF($A45="","",IFERROR(INDEX('AJUSTES'!$B$4:$B$303,MATCH($AU45,'AJUSTES'!$A$4:$A$303,0)),IF($K45="","",$K45)))</f>
        <v/>
      </c>
      <c r="N45" s="24">
        <f>IF($A45="","",IFERROR(INDEX('CAT_ESTADOS_ERP'!$B$4:$B$22,MATCH(IFERROR(INDEX('2_IMPORTAR_EJECUCION'!$C$9:$C$1208,MATCH($AU45,'2_IMPORTAR_EJECUCION'!$J$9:$J$1208,0)),""),'CAT_ESTADOS_ERP'!$A$4:$A$22,0)),"Pendiente"))</f>
        <v/>
      </c>
      <c r="O45" s="24">
        <f>IF($J45="","",YEAR($J45+4-WEEKDAY($J45,2))&amp;"-S"&amp;TEXT(_xlfn.ISOWEEKNUM($J45),"00"))</f>
        <v/>
      </c>
      <c r="P45" s="24">
        <f>IF($J45="","",YEAR($J45))</f>
        <v/>
      </c>
      <c r="Q45" s="24">
        <f>IF($J45="","",MONTH($J45))</f>
        <v/>
      </c>
      <c r="R45" s="24">
        <f>IF($J45="","",$P45&amp;"-"&amp;TEXT($Q45,"00"))</f>
        <v/>
      </c>
      <c r="S45" s="24">
        <f>IF($J45="","",INDEX(lista_dias,WEEKDAY($J45,2)))</f>
        <v/>
      </c>
      <c r="T45" s="24">
        <f>IF($J45="","",IFERROR(INDEX('CALENDARIO'!$C$15:$C$214,MATCH(TEXT($J45,"yyyy-mm-dd")&amp;"|"&amp;$Y45&amp;"|"&amp;$Z45,'CALENDARIO'!$G$15:$G$214,0)),IFERROR(INDEX('CALENDARIO'!$C$15:$C$214,MATCH(TEXT($J45,"yyyy-mm-dd")&amp;"|"&amp;$Y45&amp;"|",'CALENDARIO'!$G$15:$G$214,0)),IFERROR(INDEX('CALENDARIO'!$C$15:$C$214,MATCH(TEXT($J45,"yyyy-mm-dd")&amp;"||",'CALENDARIO'!$G$15:$G$214,0)),INDEX(patronHabil,WEEKDAY($J45,2))))))</f>
        <v/>
      </c>
      <c r="U45" s="24">
        <f>IF($I45="","",IFERROR(INDEX('CAT_TIPOS_OT'!$C$4:$C$23,MATCH($I45,'CAT_TIPOS_OT'!$A$4:$A$23,0)),"sin_clasificar"))</f>
        <v/>
      </c>
      <c r="V45" s="24">
        <f>IF($I45="","",IF(IFERROR(INDEX('CAT_TIPOS_OT'!$D$4:$D$23,MATCH($I45,'CAT_TIPOS_OT'!$A$4:$A$23,0)),"SIN CLASIFICAR")="","SIN CLASIFICAR",IFERROR(INDEX('CAT_TIPOS_OT'!$D$4:$D$23,MATCH($I45,'CAT_TIPOS_OT'!$A$4:$A$23,0)),"SIN CLASIFICAR")))</f>
        <v/>
      </c>
      <c r="W45" s="24">
        <f>IF($H45="","",IF(IFERROR(INDEX('CAT_ACTIVIDADES'!$F$4:$F$26,MATCH($H45,'CAT_ACTIVIDADES'!$A$4:$A$26,0)),"")=0,"",IFERROR(INDEX('CAT_ACTIVIDADES'!$F$4:$F$26,MATCH($H45,'CAT_ACTIVIDADES'!$A$4:$A$26,0)),"")))</f>
        <v/>
      </c>
      <c r="X45" s="24">
        <f>IF($F45="","",IFERROR(INDEX('CAT_CENTROS_COSTO'!$F$4:$F$28,MATCH($F45,'CAT_CENTROS_COSTO'!$A$4:$A$28,0)),"(sin catálogo)"))</f>
        <v/>
      </c>
      <c r="Y45" s="24">
        <f>IF($F45="","",IFERROR(INDEX('CAT_CENTROS_COSTO'!$D$4:$D$28,MATCH($F45,'CAT_CENTROS_COSTO'!$A$4:$A$28,0)),"(sin catálogo)"))</f>
        <v/>
      </c>
      <c r="Z45" s="24">
        <f>IF($F45="","",IF((IFERROR(INDEX('CAT_CENTROS_COSTO'!$E$4:$E$28,MATCH($F45,'CAT_CENTROS_COSTO'!$A$4:$A$28,0)),""))&lt;&gt;"",IFERROR(INDEX('CAT_CENTROS_COSTO'!$E$4:$E$28,MATCH($F45,'CAT_CENTROS_COSTO'!$A$4:$A$28,0)),""),$Y45))</f>
        <v/>
      </c>
      <c r="AA45" s="24">
        <f>IF($F45="","",IFERROR(INDEX('CAT_CENTROS_COSTO'!$G$4:$G$28,MATCH($F45,'CAT_CENTROS_COSTO'!$A$4:$A$28,0)),"(sin catálogo)"))</f>
        <v/>
      </c>
      <c r="AB45" s="24">
        <f>IF($G45="","",IFERROR(INDEX('CAT_PUESTOS'!$B$4:$B$23,MATCH($G45,'CAT_PUESTOS'!$A$4:$A$23,0)),"(sin catálogo)"))</f>
        <v/>
      </c>
      <c r="AC45" s="24">
        <f>IF($H45="","",IFERROR(INDEX('CAT_ACTIVIDADES'!$B$4:$B$26,MATCH($H45,'CAT_ACTIVIDADES'!$A$4:$A$26,0)),"(sin catálogo)"))</f>
        <v/>
      </c>
      <c r="AD45" s="26">
        <f>IF($J45="","",TODAY()-$J45)</f>
        <v/>
      </c>
      <c r="AE45" s="26">
        <f>IF($J45="","",IF($J45&lt;=TODAY(),COUNTIFS(cal_fechas,"&gt;="&amp;$J45,cal_fechas,"&lt;"&amp;TODAY(),cal_habil,"sí"),-COUNTIFS(cal_fechas,"&gt;="&amp;TODAY(),cal_fechas,"&lt;"&amp;$J45,cal_habil,"sí")))</f>
        <v/>
      </c>
      <c r="AF45" s="24">
        <f>IF($AE45="","",IF($AE45&lt;0,"FUTURO",IF($AE45&gt;p_dias_backlog_max,"BACKLOG","MES CORRIENTE")))</f>
        <v/>
      </c>
      <c r="AG45" s="24">
        <f>IF($AE45="",FALSE,AND($AE45&gt;p_dias_backlog_min,$AE45&lt;=p_dias_backlog_max))</f>
        <v/>
      </c>
      <c r="AH45" s="4" t="n"/>
      <c r="AI45" s="24">
        <f>IF($AH45="","",IF((IFERROR(INDEX('ASIGNACIONES'!$J$4:$J$451,MATCH($O45&amp;"|"&amp;$S45&amp;"|"&amp;$AH45,'ASIGNACIONES'!$N$4:$N$451,0)),""))=0,"",IFERROR(INDEX('ASIGNACIONES'!$J$4:$J$451,MATCH($O45&amp;"|"&amp;$S45&amp;"|"&amp;$AH45,'ASIGNACIONES'!$N$4:$N$451,0)),"")))</f>
        <v/>
      </c>
      <c r="AJ45" s="42">
        <f>IF($AH45="","",SUMIFS('ORDENES'!$M$4:$M$1203,'ORDENES'!$AH$4:$AH$1203,$AH45,'ORDENES'!$O$4:$O$1203,$O45,'ORDENES'!$S$4:$S$1203,$S45))</f>
        <v/>
      </c>
      <c r="AK45" s="42">
        <f>IF($AJ45="","",p_factor_productividad*IFERROR(INDEX('ASIGNACIONES'!$M$4:$M$451,MATCH($O45&amp;"|"&amp;$S45&amp;"|"&amp;$AH45,'ASIGNACIONES'!$N$4:$N$451,0)),0)-$AJ45)</f>
        <v/>
      </c>
      <c r="AL45" s="32">
        <f>IF($A45="","",IFERROR(INDEX('2_IMPORTAR_EJECUCION'!$F$9:$F$1208,MATCH($AU45,'2_IMPORTAR_EJECUCION'!$J$9:$J$1208,0)),0))</f>
        <v/>
      </c>
      <c r="AM45" s="32">
        <f>IF($A45="","",MAX(0,IFERROR(INDEX('2_IMPORTAR_EJECUCION'!$H$9:$H$1208,MATCH($AU45,'2_IMPORTAR_EJECUCION'!$J$9:$J$1208,0)),0)-$AL45))</f>
        <v/>
      </c>
      <c r="AN45" s="32">
        <f>IF($A45="","",$AL45+$AM45)</f>
        <v/>
      </c>
      <c r="AO45" s="24">
        <f>IF($A45="","",IF(OR((IFERROR(INDEX('CAT_ACTIVIDADES'!$D$4:$D$26,MATCH($H45,'CAT_ACTIVIDADES'!$A$4:$A$26,0)),""))=0,(IFERROR(INDEX('CAT_ACTIVIDADES'!$D$4:$D$26,MATCH($H45,'CAT_ACTIVIDADES'!$A$4:$A$26,0)),""))=""),"SIN CLASIFICAR",IFERROR(INDEX('CAT_ACTIVIDADES'!$D$4:$D$26,MATCH($H45,'CAT_ACTIVIDADES'!$A$4:$A$26,0)),"")))</f>
        <v/>
      </c>
      <c r="AP45" s="4" t="n"/>
      <c r="AQ45" s="4" t="n"/>
      <c r="AR45" s="4" t="n"/>
      <c r="AS45" s="24">
        <f>IF($AR45="","",HYPERLINK(p_ruta_base_checklists&amp;$AR45,"abrir"))</f>
        <v/>
      </c>
      <c r="AT45" s="4" t="n"/>
      <c r="AU45" s="24">
        <f>IF($A45="","",$A45&amp;IF($B45="","0010",$B45))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1" t="n"/>
      <c r="K46" s="5" t="n"/>
      <c r="L46" s="18" t="n"/>
      <c r="M46" s="24">
        <f>IF($A46="","",IFERROR(INDEX('AJUSTES'!$B$4:$B$303,MATCH($AU46,'AJUSTES'!$A$4:$A$303,0)),IF($K46="","",$K46)))</f>
        <v/>
      </c>
      <c r="N46" s="24">
        <f>IF($A46="","",IFERROR(INDEX('CAT_ESTADOS_ERP'!$B$4:$B$22,MATCH(IFERROR(INDEX('2_IMPORTAR_EJECUCION'!$C$9:$C$1208,MATCH($AU46,'2_IMPORTAR_EJECUCION'!$J$9:$J$1208,0)),""),'CAT_ESTADOS_ERP'!$A$4:$A$22,0)),"Pendiente"))</f>
        <v/>
      </c>
      <c r="O46" s="24">
        <f>IF($J46="","",YEAR($J46+4-WEEKDAY($J46,2))&amp;"-S"&amp;TEXT(_xlfn.ISOWEEKNUM($J46),"00"))</f>
        <v/>
      </c>
      <c r="P46" s="24">
        <f>IF($J46="","",YEAR($J46))</f>
        <v/>
      </c>
      <c r="Q46" s="24">
        <f>IF($J46="","",MONTH($J46))</f>
        <v/>
      </c>
      <c r="R46" s="24">
        <f>IF($J46="","",$P46&amp;"-"&amp;TEXT($Q46,"00"))</f>
        <v/>
      </c>
      <c r="S46" s="24">
        <f>IF($J46="","",INDEX(lista_dias,WEEKDAY($J46,2)))</f>
        <v/>
      </c>
      <c r="T46" s="24">
        <f>IF($J46="","",IFERROR(INDEX('CALENDARIO'!$C$15:$C$214,MATCH(TEXT($J46,"yyyy-mm-dd")&amp;"|"&amp;$Y46&amp;"|"&amp;$Z46,'CALENDARIO'!$G$15:$G$214,0)),IFERROR(INDEX('CALENDARIO'!$C$15:$C$214,MATCH(TEXT($J46,"yyyy-mm-dd")&amp;"|"&amp;$Y46&amp;"|",'CALENDARIO'!$G$15:$G$214,0)),IFERROR(INDEX('CALENDARIO'!$C$15:$C$214,MATCH(TEXT($J46,"yyyy-mm-dd")&amp;"||",'CALENDARIO'!$G$15:$G$214,0)),INDEX(patronHabil,WEEKDAY($J46,2))))))</f>
        <v/>
      </c>
      <c r="U46" s="24">
        <f>IF($I46="","",IFERROR(INDEX('CAT_TIPOS_OT'!$C$4:$C$23,MATCH($I46,'CAT_TIPOS_OT'!$A$4:$A$23,0)),"sin_clasificar"))</f>
        <v/>
      </c>
      <c r="V46" s="24">
        <f>IF($I46="","",IF(IFERROR(INDEX('CAT_TIPOS_OT'!$D$4:$D$23,MATCH($I46,'CAT_TIPOS_OT'!$A$4:$A$23,0)),"SIN CLASIFICAR")="","SIN CLASIFICAR",IFERROR(INDEX('CAT_TIPOS_OT'!$D$4:$D$23,MATCH($I46,'CAT_TIPOS_OT'!$A$4:$A$23,0)),"SIN CLASIFICAR")))</f>
        <v/>
      </c>
      <c r="W46" s="24">
        <f>IF($H46="","",IF(IFERROR(INDEX('CAT_ACTIVIDADES'!$F$4:$F$26,MATCH($H46,'CAT_ACTIVIDADES'!$A$4:$A$26,0)),"")=0,"",IFERROR(INDEX('CAT_ACTIVIDADES'!$F$4:$F$26,MATCH($H46,'CAT_ACTIVIDADES'!$A$4:$A$26,0)),"")))</f>
        <v/>
      </c>
      <c r="X46" s="24">
        <f>IF($F46="","",IFERROR(INDEX('CAT_CENTROS_COSTO'!$F$4:$F$28,MATCH($F46,'CAT_CENTROS_COSTO'!$A$4:$A$28,0)),"(sin catálogo)"))</f>
        <v/>
      </c>
      <c r="Y46" s="24">
        <f>IF($F46="","",IFERROR(INDEX('CAT_CENTROS_COSTO'!$D$4:$D$28,MATCH($F46,'CAT_CENTROS_COSTO'!$A$4:$A$28,0)),"(sin catálogo)"))</f>
        <v/>
      </c>
      <c r="Z46" s="24">
        <f>IF($F46="","",IF((IFERROR(INDEX('CAT_CENTROS_COSTO'!$E$4:$E$28,MATCH($F46,'CAT_CENTROS_COSTO'!$A$4:$A$28,0)),""))&lt;&gt;"",IFERROR(INDEX('CAT_CENTROS_COSTO'!$E$4:$E$28,MATCH($F46,'CAT_CENTROS_COSTO'!$A$4:$A$28,0)),""),$Y46))</f>
        <v/>
      </c>
      <c r="AA46" s="24">
        <f>IF($F46="","",IFERROR(INDEX('CAT_CENTROS_COSTO'!$G$4:$G$28,MATCH($F46,'CAT_CENTROS_COSTO'!$A$4:$A$28,0)),"(sin catálogo)"))</f>
        <v/>
      </c>
      <c r="AB46" s="24">
        <f>IF($G46="","",IFERROR(INDEX('CAT_PUESTOS'!$B$4:$B$23,MATCH($G46,'CAT_PUESTOS'!$A$4:$A$23,0)),"(sin catálogo)"))</f>
        <v/>
      </c>
      <c r="AC46" s="24">
        <f>IF($H46="","",IFERROR(INDEX('CAT_ACTIVIDADES'!$B$4:$B$26,MATCH($H46,'CAT_ACTIVIDADES'!$A$4:$A$26,0)),"(sin catálogo)"))</f>
        <v/>
      </c>
      <c r="AD46" s="26">
        <f>IF($J46="","",TODAY()-$J46)</f>
        <v/>
      </c>
      <c r="AE46" s="26">
        <f>IF($J46="","",IF($J46&lt;=TODAY(),COUNTIFS(cal_fechas,"&gt;="&amp;$J46,cal_fechas,"&lt;"&amp;TODAY(),cal_habil,"sí"),-COUNTIFS(cal_fechas,"&gt;="&amp;TODAY(),cal_fechas,"&lt;"&amp;$J46,cal_habil,"sí")))</f>
        <v/>
      </c>
      <c r="AF46" s="24">
        <f>IF($AE46="","",IF($AE46&lt;0,"FUTURO",IF($AE46&gt;p_dias_backlog_max,"BACKLOG","MES CORRIENTE")))</f>
        <v/>
      </c>
      <c r="AG46" s="24">
        <f>IF($AE46="",FALSE,AND($AE46&gt;p_dias_backlog_min,$AE46&lt;=p_dias_backlog_max))</f>
        <v/>
      </c>
      <c r="AH46" s="4" t="n"/>
      <c r="AI46" s="24">
        <f>IF($AH46="","",IF((IFERROR(INDEX('ASIGNACIONES'!$J$4:$J$451,MATCH($O46&amp;"|"&amp;$S46&amp;"|"&amp;$AH46,'ASIGNACIONES'!$N$4:$N$451,0)),""))=0,"",IFERROR(INDEX('ASIGNACIONES'!$J$4:$J$451,MATCH($O46&amp;"|"&amp;$S46&amp;"|"&amp;$AH46,'ASIGNACIONES'!$N$4:$N$451,0)),"")))</f>
        <v/>
      </c>
      <c r="AJ46" s="42">
        <f>IF($AH46="","",SUMIFS('ORDENES'!$M$4:$M$1203,'ORDENES'!$AH$4:$AH$1203,$AH46,'ORDENES'!$O$4:$O$1203,$O46,'ORDENES'!$S$4:$S$1203,$S46))</f>
        <v/>
      </c>
      <c r="AK46" s="42">
        <f>IF($AJ46="","",p_factor_productividad*IFERROR(INDEX('ASIGNACIONES'!$M$4:$M$451,MATCH($O46&amp;"|"&amp;$S46&amp;"|"&amp;$AH46,'ASIGNACIONES'!$N$4:$N$451,0)),0)-$AJ46)</f>
        <v/>
      </c>
      <c r="AL46" s="32">
        <f>IF($A46="","",IFERROR(INDEX('2_IMPORTAR_EJECUCION'!$F$9:$F$1208,MATCH($AU46,'2_IMPORTAR_EJECUCION'!$J$9:$J$1208,0)),0))</f>
        <v/>
      </c>
      <c r="AM46" s="32">
        <f>IF($A46="","",MAX(0,IFERROR(INDEX('2_IMPORTAR_EJECUCION'!$H$9:$H$1208,MATCH($AU46,'2_IMPORTAR_EJECUCION'!$J$9:$J$1208,0)),0)-$AL46))</f>
        <v/>
      </c>
      <c r="AN46" s="32">
        <f>IF($A46="","",$AL46+$AM46)</f>
        <v/>
      </c>
      <c r="AO46" s="24">
        <f>IF($A46="","",IF(OR((IFERROR(INDEX('CAT_ACTIVIDADES'!$D$4:$D$26,MATCH($H46,'CAT_ACTIVIDADES'!$A$4:$A$26,0)),""))=0,(IFERROR(INDEX('CAT_ACTIVIDADES'!$D$4:$D$26,MATCH($H46,'CAT_ACTIVIDADES'!$A$4:$A$26,0)),""))=""),"SIN CLASIFICAR",IFERROR(INDEX('CAT_ACTIVIDADES'!$D$4:$D$26,MATCH($H46,'CAT_ACTIVIDADES'!$A$4:$A$26,0)),"")))</f>
        <v/>
      </c>
      <c r="AP46" s="4" t="n"/>
      <c r="AQ46" s="4" t="n"/>
      <c r="AR46" s="4" t="n"/>
      <c r="AS46" s="24">
        <f>IF($AR46="","",HYPERLINK(p_ruta_base_checklists&amp;$AR46,"abrir"))</f>
        <v/>
      </c>
      <c r="AT46" s="4" t="n"/>
      <c r="AU46" s="24">
        <f>IF($A46="","",$A46&amp;IF($B46="","0010",$B46))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1" t="n"/>
      <c r="K47" s="5" t="n"/>
      <c r="L47" s="18" t="n"/>
      <c r="M47" s="24">
        <f>IF($A47="","",IFERROR(INDEX('AJUSTES'!$B$4:$B$303,MATCH($AU47,'AJUSTES'!$A$4:$A$303,0)),IF($K47="","",$K47)))</f>
        <v/>
      </c>
      <c r="N47" s="24">
        <f>IF($A47="","",IFERROR(INDEX('CAT_ESTADOS_ERP'!$B$4:$B$22,MATCH(IFERROR(INDEX('2_IMPORTAR_EJECUCION'!$C$9:$C$1208,MATCH($AU47,'2_IMPORTAR_EJECUCION'!$J$9:$J$1208,0)),""),'CAT_ESTADOS_ERP'!$A$4:$A$22,0)),"Pendiente"))</f>
        <v/>
      </c>
      <c r="O47" s="24">
        <f>IF($J47="","",YEAR($J47+4-WEEKDAY($J47,2))&amp;"-S"&amp;TEXT(_xlfn.ISOWEEKNUM($J47),"00"))</f>
        <v/>
      </c>
      <c r="P47" s="24">
        <f>IF($J47="","",YEAR($J47))</f>
        <v/>
      </c>
      <c r="Q47" s="24">
        <f>IF($J47="","",MONTH($J47))</f>
        <v/>
      </c>
      <c r="R47" s="24">
        <f>IF($J47="","",$P47&amp;"-"&amp;TEXT($Q47,"00"))</f>
        <v/>
      </c>
      <c r="S47" s="24">
        <f>IF($J47="","",INDEX(lista_dias,WEEKDAY($J47,2)))</f>
        <v/>
      </c>
      <c r="T47" s="24">
        <f>IF($J47="","",IFERROR(INDEX('CALENDARIO'!$C$15:$C$214,MATCH(TEXT($J47,"yyyy-mm-dd")&amp;"|"&amp;$Y47&amp;"|"&amp;$Z47,'CALENDARIO'!$G$15:$G$214,0)),IFERROR(INDEX('CALENDARIO'!$C$15:$C$214,MATCH(TEXT($J47,"yyyy-mm-dd")&amp;"|"&amp;$Y47&amp;"|",'CALENDARIO'!$G$15:$G$214,0)),IFERROR(INDEX('CALENDARIO'!$C$15:$C$214,MATCH(TEXT($J47,"yyyy-mm-dd")&amp;"||",'CALENDARIO'!$G$15:$G$214,0)),INDEX(patronHabil,WEEKDAY($J47,2))))))</f>
        <v/>
      </c>
      <c r="U47" s="24">
        <f>IF($I47="","",IFERROR(INDEX('CAT_TIPOS_OT'!$C$4:$C$23,MATCH($I47,'CAT_TIPOS_OT'!$A$4:$A$23,0)),"sin_clasificar"))</f>
        <v/>
      </c>
      <c r="V47" s="24">
        <f>IF($I47="","",IF(IFERROR(INDEX('CAT_TIPOS_OT'!$D$4:$D$23,MATCH($I47,'CAT_TIPOS_OT'!$A$4:$A$23,0)),"SIN CLASIFICAR")="","SIN CLASIFICAR",IFERROR(INDEX('CAT_TIPOS_OT'!$D$4:$D$23,MATCH($I47,'CAT_TIPOS_OT'!$A$4:$A$23,0)),"SIN CLASIFICAR")))</f>
        <v/>
      </c>
      <c r="W47" s="24">
        <f>IF($H47="","",IF(IFERROR(INDEX('CAT_ACTIVIDADES'!$F$4:$F$26,MATCH($H47,'CAT_ACTIVIDADES'!$A$4:$A$26,0)),"")=0,"",IFERROR(INDEX('CAT_ACTIVIDADES'!$F$4:$F$26,MATCH($H47,'CAT_ACTIVIDADES'!$A$4:$A$26,0)),"")))</f>
        <v/>
      </c>
      <c r="X47" s="24">
        <f>IF($F47="","",IFERROR(INDEX('CAT_CENTROS_COSTO'!$F$4:$F$28,MATCH($F47,'CAT_CENTROS_COSTO'!$A$4:$A$28,0)),"(sin catálogo)"))</f>
        <v/>
      </c>
      <c r="Y47" s="24">
        <f>IF($F47="","",IFERROR(INDEX('CAT_CENTROS_COSTO'!$D$4:$D$28,MATCH($F47,'CAT_CENTROS_COSTO'!$A$4:$A$28,0)),"(sin catálogo)"))</f>
        <v/>
      </c>
      <c r="Z47" s="24">
        <f>IF($F47="","",IF((IFERROR(INDEX('CAT_CENTROS_COSTO'!$E$4:$E$28,MATCH($F47,'CAT_CENTROS_COSTO'!$A$4:$A$28,0)),""))&lt;&gt;"",IFERROR(INDEX('CAT_CENTROS_COSTO'!$E$4:$E$28,MATCH($F47,'CAT_CENTROS_COSTO'!$A$4:$A$28,0)),""),$Y47))</f>
        <v/>
      </c>
      <c r="AA47" s="24">
        <f>IF($F47="","",IFERROR(INDEX('CAT_CENTROS_COSTO'!$G$4:$G$28,MATCH($F47,'CAT_CENTROS_COSTO'!$A$4:$A$28,0)),"(sin catálogo)"))</f>
        <v/>
      </c>
      <c r="AB47" s="24">
        <f>IF($G47="","",IFERROR(INDEX('CAT_PUESTOS'!$B$4:$B$23,MATCH($G47,'CAT_PUESTOS'!$A$4:$A$23,0)),"(sin catálogo)"))</f>
        <v/>
      </c>
      <c r="AC47" s="24">
        <f>IF($H47="","",IFERROR(INDEX('CAT_ACTIVIDADES'!$B$4:$B$26,MATCH($H47,'CAT_ACTIVIDADES'!$A$4:$A$26,0)),"(sin catálogo)"))</f>
        <v/>
      </c>
      <c r="AD47" s="26">
        <f>IF($J47="","",TODAY()-$J47)</f>
        <v/>
      </c>
      <c r="AE47" s="26">
        <f>IF($J47="","",IF($J47&lt;=TODAY(),COUNTIFS(cal_fechas,"&gt;="&amp;$J47,cal_fechas,"&lt;"&amp;TODAY(),cal_habil,"sí"),-COUNTIFS(cal_fechas,"&gt;="&amp;TODAY(),cal_fechas,"&lt;"&amp;$J47,cal_habil,"sí")))</f>
        <v/>
      </c>
      <c r="AF47" s="24">
        <f>IF($AE47="","",IF($AE47&lt;0,"FUTURO",IF($AE47&gt;p_dias_backlog_max,"BACKLOG","MES CORRIENTE")))</f>
        <v/>
      </c>
      <c r="AG47" s="24">
        <f>IF($AE47="",FALSE,AND($AE47&gt;p_dias_backlog_min,$AE47&lt;=p_dias_backlog_max))</f>
        <v/>
      </c>
      <c r="AH47" s="4" t="n"/>
      <c r="AI47" s="24">
        <f>IF($AH47="","",IF((IFERROR(INDEX('ASIGNACIONES'!$J$4:$J$451,MATCH($O47&amp;"|"&amp;$S47&amp;"|"&amp;$AH47,'ASIGNACIONES'!$N$4:$N$451,0)),""))=0,"",IFERROR(INDEX('ASIGNACIONES'!$J$4:$J$451,MATCH($O47&amp;"|"&amp;$S47&amp;"|"&amp;$AH47,'ASIGNACIONES'!$N$4:$N$451,0)),"")))</f>
        <v/>
      </c>
      <c r="AJ47" s="42">
        <f>IF($AH47="","",SUMIFS('ORDENES'!$M$4:$M$1203,'ORDENES'!$AH$4:$AH$1203,$AH47,'ORDENES'!$O$4:$O$1203,$O47,'ORDENES'!$S$4:$S$1203,$S47))</f>
        <v/>
      </c>
      <c r="AK47" s="42">
        <f>IF($AJ47="","",p_factor_productividad*IFERROR(INDEX('ASIGNACIONES'!$M$4:$M$451,MATCH($O47&amp;"|"&amp;$S47&amp;"|"&amp;$AH47,'ASIGNACIONES'!$N$4:$N$451,0)),0)-$AJ47)</f>
        <v/>
      </c>
      <c r="AL47" s="32">
        <f>IF($A47="","",IFERROR(INDEX('2_IMPORTAR_EJECUCION'!$F$9:$F$1208,MATCH($AU47,'2_IMPORTAR_EJECUCION'!$J$9:$J$1208,0)),0))</f>
        <v/>
      </c>
      <c r="AM47" s="32">
        <f>IF($A47="","",MAX(0,IFERROR(INDEX('2_IMPORTAR_EJECUCION'!$H$9:$H$1208,MATCH($AU47,'2_IMPORTAR_EJECUCION'!$J$9:$J$1208,0)),0)-$AL47))</f>
        <v/>
      </c>
      <c r="AN47" s="32">
        <f>IF($A47="","",$AL47+$AM47)</f>
        <v/>
      </c>
      <c r="AO47" s="24">
        <f>IF($A47="","",IF(OR((IFERROR(INDEX('CAT_ACTIVIDADES'!$D$4:$D$26,MATCH($H47,'CAT_ACTIVIDADES'!$A$4:$A$26,0)),""))=0,(IFERROR(INDEX('CAT_ACTIVIDADES'!$D$4:$D$26,MATCH($H47,'CAT_ACTIVIDADES'!$A$4:$A$26,0)),""))=""),"SIN CLASIFICAR",IFERROR(INDEX('CAT_ACTIVIDADES'!$D$4:$D$26,MATCH($H47,'CAT_ACTIVIDADES'!$A$4:$A$26,0)),"")))</f>
        <v/>
      </c>
      <c r="AP47" s="4" t="n"/>
      <c r="AQ47" s="4" t="n"/>
      <c r="AR47" s="4" t="n"/>
      <c r="AS47" s="24">
        <f>IF($AR47="","",HYPERLINK(p_ruta_base_checklists&amp;$AR47,"abrir"))</f>
        <v/>
      </c>
      <c r="AT47" s="4" t="n"/>
      <c r="AU47" s="24">
        <f>IF($A47="","",$A47&amp;IF($B47="","0010",$B47))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1" t="n"/>
      <c r="K48" s="5" t="n"/>
      <c r="L48" s="18" t="n"/>
      <c r="M48" s="24">
        <f>IF($A48="","",IFERROR(INDEX('AJUSTES'!$B$4:$B$303,MATCH($AU48,'AJUSTES'!$A$4:$A$303,0)),IF($K48="","",$K48)))</f>
        <v/>
      </c>
      <c r="N48" s="24">
        <f>IF($A48="","",IFERROR(INDEX('CAT_ESTADOS_ERP'!$B$4:$B$22,MATCH(IFERROR(INDEX('2_IMPORTAR_EJECUCION'!$C$9:$C$1208,MATCH($AU48,'2_IMPORTAR_EJECUCION'!$J$9:$J$1208,0)),""),'CAT_ESTADOS_ERP'!$A$4:$A$22,0)),"Pendiente"))</f>
        <v/>
      </c>
      <c r="O48" s="24">
        <f>IF($J48="","",YEAR($J48+4-WEEKDAY($J48,2))&amp;"-S"&amp;TEXT(_xlfn.ISOWEEKNUM($J48),"00"))</f>
        <v/>
      </c>
      <c r="P48" s="24">
        <f>IF($J48="","",YEAR($J48))</f>
        <v/>
      </c>
      <c r="Q48" s="24">
        <f>IF($J48="","",MONTH($J48))</f>
        <v/>
      </c>
      <c r="R48" s="24">
        <f>IF($J48="","",$P48&amp;"-"&amp;TEXT($Q48,"00"))</f>
        <v/>
      </c>
      <c r="S48" s="24">
        <f>IF($J48="","",INDEX(lista_dias,WEEKDAY($J48,2)))</f>
        <v/>
      </c>
      <c r="T48" s="24">
        <f>IF($J48="","",IFERROR(INDEX('CALENDARIO'!$C$15:$C$214,MATCH(TEXT($J48,"yyyy-mm-dd")&amp;"|"&amp;$Y48&amp;"|"&amp;$Z48,'CALENDARIO'!$G$15:$G$214,0)),IFERROR(INDEX('CALENDARIO'!$C$15:$C$214,MATCH(TEXT($J48,"yyyy-mm-dd")&amp;"|"&amp;$Y48&amp;"|",'CALENDARIO'!$G$15:$G$214,0)),IFERROR(INDEX('CALENDARIO'!$C$15:$C$214,MATCH(TEXT($J48,"yyyy-mm-dd")&amp;"||",'CALENDARIO'!$G$15:$G$214,0)),INDEX(patronHabil,WEEKDAY($J48,2))))))</f>
        <v/>
      </c>
      <c r="U48" s="24">
        <f>IF($I48="","",IFERROR(INDEX('CAT_TIPOS_OT'!$C$4:$C$23,MATCH($I48,'CAT_TIPOS_OT'!$A$4:$A$23,0)),"sin_clasificar"))</f>
        <v/>
      </c>
      <c r="V48" s="24">
        <f>IF($I48="","",IF(IFERROR(INDEX('CAT_TIPOS_OT'!$D$4:$D$23,MATCH($I48,'CAT_TIPOS_OT'!$A$4:$A$23,0)),"SIN CLASIFICAR")="","SIN CLASIFICAR",IFERROR(INDEX('CAT_TIPOS_OT'!$D$4:$D$23,MATCH($I48,'CAT_TIPOS_OT'!$A$4:$A$23,0)),"SIN CLASIFICAR")))</f>
        <v/>
      </c>
      <c r="W48" s="24">
        <f>IF($H48="","",IF(IFERROR(INDEX('CAT_ACTIVIDADES'!$F$4:$F$26,MATCH($H48,'CAT_ACTIVIDADES'!$A$4:$A$26,0)),"")=0,"",IFERROR(INDEX('CAT_ACTIVIDADES'!$F$4:$F$26,MATCH($H48,'CAT_ACTIVIDADES'!$A$4:$A$26,0)),"")))</f>
        <v/>
      </c>
      <c r="X48" s="24">
        <f>IF($F48="","",IFERROR(INDEX('CAT_CENTROS_COSTO'!$F$4:$F$28,MATCH($F48,'CAT_CENTROS_COSTO'!$A$4:$A$28,0)),"(sin catálogo)"))</f>
        <v/>
      </c>
      <c r="Y48" s="24">
        <f>IF($F48="","",IFERROR(INDEX('CAT_CENTROS_COSTO'!$D$4:$D$28,MATCH($F48,'CAT_CENTROS_COSTO'!$A$4:$A$28,0)),"(sin catálogo)"))</f>
        <v/>
      </c>
      <c r="Z48" s="24">
        <f>IF($F48="","",IF((IFERROR(INDEX('CAT_CENTROS_COSTO'!$E$4:$E$28,MATCH($F48,'CAT_CENTROS_COSTO'!$A$4:$A$28,0)),""))&lt;&gt;"",IFERROR(INDEX('CAT_CENTROS_COSTO'!$E$4:$E$28,MATCH($F48,'CAT_CENTROS_COSTO'!$A$4:$A$28,0)),""),$Y48))</f>
        <v/>
      </c>
      <c r="AA48" s="24">
        <f>IF($F48="","",IFERROR(INDEX('CAT_CENTROS_COSTO'!$G$4:$G$28,MATCH($F48,'CAT_CENTROS_COSTO'!$A$4:$A$28,0)),"(sin catálogo)"))</f>
        <v/>
      </c>
      <c r="AB48" s="24">
        <f>IF($G48="","",IFERROR(INDEX('CAT_PUESTOS'!$B$4:$B$23,MATCH($G48,'CAT_PUESTOS'!$A$4:$A$23,0)),"(sin catálogo)"))</f>
        <v/>
      </c>
      <c r="AC48" s="24">
        <f>IF($H48="","",IFERROR(INDEX('CAT_ACTIVIDADES'!$B$4:$B$26,MATCH($H48,'CAT_ACTIVIDADES'!$A$4:$A$26,0)),"(sin catálogo)"))</f>
        <v/>
      </c>
      <c r="AD48" s="26">
        <f>IF($J48="","",TODAY()-$J48)</f>
        <v/>
      </c>
      <c r="AE48" s="26">
        <f>IF($J48="","",IF($J48&lt;=TODAY(),COUNTIFS(cal_fechas,"&gt;="&amp;$J48,cal_fechas,"&lt;"&amp;TODAY(),cal_habil,"sí"),-COUNTIFS(cal_fechas,"&gt;="&amp;TODAY(),cal_fechas,"&lt;"&amp;$J48,cal_habil,"sí")))</f>
        <v/>
      </c>
      <c r="AF48" s="24">
        <f>IF($AE48="","",IF($AE48&lt;0,"FUTURO",IF($AE48&gt;p_dias_backlog_max,"BACKLOG","MES CORRIENTE")))</f>
        <v/>
      </c>
      <c r="AG48" s="24">
        <f>IF($AE48="",FALSE,AND($AE48&gt;p_dias_backlog_min,$AE48&lt;=p_dias_backlog_max))</f>
        <v/>
      </c>
      <c r="AH48" s="4" t="n"/>
      <c r="AI48" s="24">
        <f>IF($AH48="","",IF((IFERROR(INDEX('ASIGNACIONES'!$J$4:$J$451,MATCH($O48&amp;"|"&amp;$S48&amp;"|"&amp;$AH48,'ASIGNACIONES'!$N$4:$N$451,0)),""))=0,"",IFERROR(INDEX('ASIGNACIONES'!$J$4:$J$451,MATCH($O48&amp;"|"&amp;$S48&amp;"|"&amp;$AH48,'ASIGNACIONES'!$N$4:$N$451,0)),"")))</f>
        <v/>
      </c>
      <c r="AJ48" s="42">
        <f>IF($AH48="","",SUMIFS('ORDENES'!$M$4:$M$1203,'ORDENES'!$AH$4:$AH$1203,$AH48,'ORDENES'!$O$4:$O$1203,$O48,'ORDENES'!$S$4:$S$1203,$S48))</f>
        <v/>
      </c>
      <c r="AK48" s="42">
        <f>IF($AJ48="","",p_factor_productividad*IFERROR(INDEX('ASIGNACIONES'!$M$4:$M$451,MATCH($O48&amp;"|"&amp;$S48&amp;"|"&amp;$AH48,'ASIGNACIONES'!$N$4:$N$451,0)),0)-$AJ48)</f>
        <v/>
      </c>
      <c r="AL48" s="32">
        <f>IF($A48="","",IFERROR(INDEX('2_IMPORTAR_EJECUCION'!$F$9:$F$1208,MATCH($AU48,'2_IMPORTAR_EJECUCION'!$J$9:$J$1208,0)),0))</f>
        <v/>
      </c>
      <c r="AM48" s="32">
        <f>IF($A48="","",MAX(0,IFERROR(INDEX('2_IMPORTAR_EJECUCION'!$H$9:$H$1208,MATCH($AU48,'2_IMPORTAR_EJECUCION'!$J$9:$J$1208,0)),0)-$AL48))</f>
        <v/>
      </c>
      <c r="AN48" s="32">
        <f>IF($A48="","",$AL48+$AM48)</f>
        <v/>
      </c>
      <c r="AO48" s="24">
        <f>IF($A48="","",IF(OR((IFERROR(INDEX('CAT_ACTIVIDADES'!$D$4:$D$26,MATCH($H48,'CAT_ACTIVIDADES'!$A$4:$A$26,0)),""))=0,(IFERROR(INDEX('CAT_ACTIVIDADES'!$D$4:$D$26,MATCH($H48,'CAT_ACTIVIDADES'!$A$4:$A$26,0)),""))=""),"SIN CLASIFICAR",IFERROR(INDEX('CAT_ACTIVIDADES'!$D$4:$D$26,MATCH($H48,'CAT_ACTIVIDADES'!$A$4:$A$26,0)),"")))</f>
        <v/>
      </c>
      <c r="AP48" s="4" t="n"/>
      <c r="AQ48" s="4" t="n"/>
      <c r="AR48" s="4" t="n"/>
      <c r="AS48" s="24">
        <f>IF($AR48="","",HYPERLINK(p_ruta_base_checklists&amp;$AR48,"abrir"))</f>
        <v/>
      </c>
      <c r="AT48" s="4" t="n"/>
      <c r="AU48" s="24">
        <f>IF($A48="","",$A48&amp;IF($B48="","0010",$B48))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1" t="n"/>
      <c r="K49" s="5" t="n"/>
      <c r="L49" s="18" t="n"/>
      <c r="M49" s="24">
        <f>IF($A49="","",IFERROR(INDEX('AJUSTES'!$B$4:$B$303,MATCH($AU49,'AJUSTES'!$A$4:$A$303,0)),IF($K49="","",$K49)))</f>
        <v/>
      </c>
      <c r="N49" s="24">
        <f>IF($A49="","",IFERROR(INDEX('CAT_ESTADOS_ERP'!$B$4:$B$22,MATCH(IFERROR(INDEX('2_IMPORTAR_EJECUCION'!$C$9:$C$1208,MATCH($AU49,'2_IMPORTAR_EJECUCION'!$J$9:$J$1208,0)),""),'CAT_ESTADOS_ERP'!$A$4:$A$22,0)),"Pendiente"))</f>
        <v/>
      </c>
      <c r="O49" s="24">
        <f>IF($J49="","",YEAR($J49+4-WEEKDAY($J49,2))&amp;"-S"&amp;TEXT(_xlfn.ISOWEEKNUM($J49),"00"))</f>
        <v/>
      </c>
      <c r="P49" s="24">
        <f>IF($J49="","",YEAR($J49))</f>
        <v/>
      </c>
      <c r="Q49" s="24">
        <f>IF($J49="","",MONTH($J49))</f>
        <v/>
      </c>
      <c r="R49" s="24">
        <f>IF($J49="","",$P49&amp;"-"&amp;TEXT($Q49,"00"))</f>
        <v/>
      </c>
      <c r="S49" s="24">
        <f>IF($J49="","",INDEX(lista_dias,WEEKDAY($J49,2)))</f>
        <v/>
      </c>
      <c r="T49" s="24">
        <f>IF($J49="","",IFERROR(INDEX('CALENDARIO'!$C$15:$C$214,MATCH(TEXT($J49,"yyyy-mm-dd")&amp;"|"&amp;$Y49&amp;"|"&amp;$Z49,'CALENDARIO'!$G$15:$G$214,0)),IFERROR(INDEX('CALENDARIO'!$C$15:$C$214,MATCH(TEXT($J49,"yyyy-mm-dd")&amp;"|"&amp;$Y49&amp;"|",'CALENDARIO'!$G$15:$G$214,0)),IFERROR(INDEX('CALENDARIO'!$C$15:$C$214,MATCH(TEXT($J49,"yyyy-mm-dd")&amp;"||",'CALENDARIO'!$G$15:$G$214,0)),INDEX(patronHabil,WEEKDAY($J49,2))))))</f>
        <v/>
      </c>
      <c r="U49" s="24">
        <f>IF($I49="","",IFERROR(INDEX('CAT_TIPOS_OT'!$C$4:$C$23,MATCH($I49,'CAT_TIPOS_OT'!$A$4:$A$23,0)),"sin_clasificar"))</f>
        <v/>
      </c>
      <c r="V49" s="24">
        <f>IF($I49="","",IF(IFERROR(INDEX('CAT_TIPOS_OT'!$D$4:$D$23,MATCH($I49,'CAT_TIPOS_OT'!$A$4:$A$23,0)),"SIN CLASIFICAR")="","SIN CLASIFICAR",IFERROR(INDEX('CAT_TIPOS_OT'!$D$4:$D$23,MATCH($I49,'CAT_TIPOS_OT'!$A$4:$A$23,0)),"SIN CLASIFICAR")))</f>
        <v/>
      </c>
      <c r="W49" s="24">
        <f>IF($H49="","",IF(IFERROR(INDEX('CAT_ACTIVIDADES'!$F$4:$F$26,MATCH($H49,'CAT_ACTIVIDADES'!$A$4:$A$26,0)),"")=0,"",IFERROR(INDEX('CAT_ACTIVIDADES'!$F$4:$F$26,MATCH($H49,'CAT_ACTIVIDADES'!$A$4:$A$26,0)),"")))</f>
        <v/>
      </c>
      <c r="X49" s="24">
        <f>IF($F49="","",IFERROR(INDEX('CAT_CENTROS_COSTO'!$F$4:$F$28,MATCH($F49,'CAT_CENTROS_COSTO'!$A$4:$A$28,0)),"(sin catálogo)"))</f>
        <v/>
      </c>
      <c r="Y49" s="24">
        <f>IF($F49="","",IFERROR(INDEX('CAT_CENTROS_COSTO'!$D$4:$D$28,MATCH($F49,'CAT_CENTROS_COSTO'!$A$4:$A$28,0)),"(sin catálogo)"))</f>
        <v/>
      </c>
      <c r="Z49" s="24">
        <f>IF($F49="","",IF((IFERROR(INDEX('CAT_CENTROS_COSTO'!$E$4:$E$28,MATCH($F49,'CAT_CENTROS_COSTO'!$A$4:$A$28,0)),""))&lt;&gt;"",IFERROR(INDEX('CAT_CENTROS_COSTO'!$E$4:$E$28,MATCH($F49,'CAT_CENTROS_COSTO'!$A$4:$A$28,0)),""),$Y49))</f>
        <v/>
      </c>
      <c r="AA49" s="24">
        <f>IF($F49="","",IFERROR(INDEX('CAT_CENTROS_COSTO'!$G$4:$G$28,MATCH($F49,'CAT_CENTROS_COSTO'!$A$4:$A$28,0)),"(sin catálogo)"))</f>
        <v/>
      </c>
      <c r="AB49" s="24">
        <f>IF($G49="","",IFERROR(INDEX('CAT_PUESTOS'!$B$4:$B$23,MATCH($G49,'CAT_PUESTOS'!$A$4:$A$23,0)),"(sin catálogo)"))</f>
        <v/>
      </c>
      <c r="AC49" s="24">
        <f>IF($H49="","",IFERROR(INDEX('CAT_ACTIVIDADES'!$B$4:$B$26,MATCH($H49,'CAT_ACTIVIDADES'!$A$4:$A$26,0)),"(sin catálogo)"))</f>
        <v/>
      </c>
      <c r="AD49" s="26">
        <f>IF($J49="","",TODAY()-$J49)</f>
        <v/>
      </c>
      <c r="AE49" s="26">
        <f>IF($J49="","",IF($J49&lt;=TODAY(),COUNTIFS(cal_fechas,"&gt;="&amp;$J49,cal_fechas,"&lt;"&amp;TODAY(),cal_habil,"sí"),-COUNTIFS(cal_fechas,"&gt;="&amp;TODAY(),cal_fechas,"&lt;"&amp;$J49,cal_habil,"sí")))</f>
        <v/>
      </c>
      <c r="AF49" s="24">
        <f>IF($AE49="","",IF($AE49&lt;0,"FUTURO",IF($AE49&gt;p_dias_backlog_max,"BACKLOG","MES CORRIENTE")))</f>
        <v/>
      </c>
      <c r="AG49" s="24">
        <f>IF($AE49="",FALSE,AND($AE49&gt;p_dias_backlog_min,$AE49&lt;=p_dias_backlog_max))</f>
        <v/>
      </c>
      <c r="AH49" s="4" t="n"/>
      <c r="AI49" s="24">
        <f>IF($AH49="","",IF((IFERROR(INDEX('ASIGNACIONES'!$J$4:$J$451,MATCH($O49&amp;"|"&amp;$S49&amp;"|"&amp;$AH49,'ASIGNACIONES'!$N$4:$N$451,0)),""))=0,"",IFERROR(INDEX('ASIGNACIONES'!$J$4:$J$451,MATCH($O49&amp;"|"&amp;$S49&amp;"|"&amp;$AH49,'ASIGNACIONES'!$N$4:$N$451,0)),"")))</f>
        <v/>
      </c>
      <c r="AJ49" s="42">
        <f>IF($AH49="","",SUMIFS('ORDENES'!$M$4:$M$1203,'ORDENES'!$AH$4:$AH$1203,$AH49,'ORDENES'!$O$4:$O$1203,$O49,'ORDENES'!$S$4:$S$1203,$S49))</f>
        <v/>
      </c>
      <c r="AK49" s="42">
        <f>IF($AJ49="","",p_factor_productividad*IFERROR(INDEX('ASIGNACIONES'!$M$4:$M$451,MATCH($O49&amp;"|"&amp;$S49&amp;"|"&amp;$AH49,'ASIGNACIONES'!$N$4:$N$451,0)),0)-$AJ49)</f>
        <v/>
      </c>
      <c r="AL49" s="32">
        <f>IF($A49="","",IFERROR(INDEX('2_IMPORTAR_EJECUCION'!$F$9:$F$1208,MATCH($AU49,'2_IMPORTAR_EJECUCION'!$J$9:$J$1208,0)),0))</f>
        <v/>
      </c>
      <c r="AM49" s="32">
        <f>IF($A49="","",MAX(0,IFERROR(INDEX('2_IMPORTAR_EJECUCION'!$H$9:$H$1208,MATCH($AU49,'2_IMPORTAR_EJECUCION'!$J$9:$J$1208,0)),0)-$AL49))</f>
        <v/>
      </c>
      <c r="AN49" s="32">
        <f>IF($A49="","",$AL49+$AM49)</f>
        <v/>
      </c>
      <c r="AO49" s="24">
        <f>IF($A49="","",IF(OR((IFERROR(INDEX('CAT_ACTIVIDADES'!$D$4:$D$26,MATCH($H49,'CAT_ACTIVIDADES'!$A$4:$A$26,0)),""))=0,(IFERROR(INDEX('CAT_ACTIVIDADES'!$D$4:$D$26,MATCH($H49,'CAT_ACTIVIDADES'!$A$4:$A$26,0)),""))=""),"SIN CLASIFICAR",IFERROR(INDEX('CAT_ACTIVIDADES'!$D$4:$D$26,MATCH($H49,'CAT_ACTIVIDADES'!$A$4:$A$26,0)),"")))</f>
        <v/>
      </c>
      <c r="AP49" s="4" t="n"/>
      <c r="AQ49" s="4" t="n"/>
      <c r="AR49" s="4" t="n"/>
      <c r="AS49" s="24">
        <f>IF($AR49="","",HYPERLINK(p_ruta_base_checklists&amp;$AR49,"abrir"))</f>
        <v/>
      </c>
      <c r="AT49" s="4" t="n"/>
      <c r="AU49" s="24">
        <f>IF($A49="","",$A49&amp;IF($B49="","0010",$B49))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1" t="n"/>
      <c r="K50" s="5" t="n"/>
      <c r="L50" s="18" t="n"/>
      <c r="M50" s="24">
        <f>IF($A50="","",IFERROR(INDEX('AJUSTES'!$B$4:$B$303,MATCH($AU50,'AJUSTES'!$A$4:$A$303,0)),IF($K50="","",$K50)))</f>
        <v/>
      </c>
      <c r="N50" s="24">
        <f>IF($A50="","",IFERROR(INDEX('CAT_ESTADOS_ERP'!$B$4:$B$22,MATCH(IFERROR(INDEX('2_IMPORTAR_EJECUCION'!$C$9:$C$1208,MATCH($AU50,'2_IMPORTAR_EJECUCION'!$J$9:$J$1208,0)),""),'CAT_ESTADOS_ERP'!$A$4:$A$22,0)),"Pendiente"))</f>
        <v/>
      </c>
      <c r="O50" s="24">
        <f>IF($J50="","",YEAR($J50+4-WEEKDAY($J50,2))&amp;"-S"&amp;TEXT(_xlfn.ISOWEEKNUM($J50),"00"))</f>
        <v/>
      </c>
      <c r="P50" s="24">
        <f>IF($J50="","",YEAR($J50))</f>
        <v/>
      </c>
      <c r="Q50" s="24">
        <f>IF($J50="","",MONTH($J50))</f>
        <v/>
      </c>
      <c r="R50" s="24">
        <f>IF($J50="","",$P50&amp;"-"&amp;TEXT($Q50,"00"))</f>
        <v/>
      </c>
      <c r="S50" s="24">
        <f>IF($J50="","",INDEX(lista_dias,WEEKDAY($J50,2)))</f>
        <v/>
      </c>
      <c r="T50" s="24">
        <f>IF($J50="","",IFERROR(INDEX('CALENDARIO'!$C$15:$C$214,MATCH(TEXT($J50,"yyyy-mm-dd")&amp;"|"&amp;$Y50&amp;"|"&amp;$Z50,'CALENDARIO'!$G$15:$G$214,0)),IFERROR(INDEX('CALENDARIO'!$C$15:$C$214,MATCH(TEXT($J50,"yyyy-mm-dd")&amp;"|"&amp;$Y50&amp;"|",'CALENDARIO'!$G$15:$G$214,0)),IFERROR(INDEX('CALENDARIO'!$C$15:$C$214,MATCH(TEXT($J50,"yyyy-mm-dd")&amp;"||",'CALENDARIO'!$G$15:$G$214,0)),INDEX(patronHabil,WEEKDAY($J50,2))))))</f>
        <v/>
      </c>
      <c r="U50" s="24">
        <f>IF($I50="","",IFERROR(INDEX('CAT_TIPOS_OT'!$C$4:$C$23,MATCH($I50,'CAT_TIPOS_OT'!$A$4:$A$23,0)),"sin_clasificar"))</f>
        <v/>
      </c>
      <c r="V50" s="24">
        <f>IF($I50="","",IF(IFERROR(INDEX('CAT_TIPOS_OT'!$D$4:$D$23,MATCH($I50,'CAT_TIPOS_OT'!$A$4:$A$23,0)),"SIN CLASIFICAR")="","SIN CLASIFICAR",IFERROR(INDEX('CAT_TIPOS_OT'!$D$4:$D$23,MATCH($I50,'CAT_TIPOS_OT'!$A$4:$A$23,0)),"SIN CLASIFICAR")))</f>
        <v/>
      </c>
      <c r="W50" s="24">
        <f>IF($H50="","",IF(IFERROR(INDEX('CAT_ACTIVIDADES'!$F$4:$F$26,MATCH($H50,'CAT_ACTIVIDADES'!$A$4:$A$26,0)),"")=0,"",IFERROR(INDEX('CAT_ACTIVIDADES'!$F$4:$F$26,MATCH($H50,'CAT_ACTIVIDADES'!$A$4:$A$26,0)),"")))</f>
        <v/>
      </c>
      <c r="X50" s="24">
        <f>IF($F50="","",IFERROR(INDEX('CAT_CENTROS_COSTO'!$F$4:$F$28,MATCH($F50,'CAT_CENTROS_COSTO'!$A$4:$A$28,0)),"(sin catálogo)"))</f>
        <v/>
      </c>
      <c r="Y50" s="24">
        <f>IF($F50="","",IFERROR(INDEX('CAT_CENTROS_COSTO'!$D$4:$D$28,MATCH($F50,'CAT_CENTROS_COSTO'!$A$4:$A$28,0)),"(sin catálogo)"))</f>
        <v/>
      </c>
      <c r="Z50" s="24">
        <f>IF($F50="","",IF((IFERROR(INDEX('CAT_CENTROS_COSTO'!$E$4:$E$28,MATCH($F50,'CAT_CENTROS_COSTO'!$A$4:$A$28,0)),""))&lt;&gt;"",IFERROR(INDEX('CAT_CENTROS_COSTO'!$E$4:$E$28,MATCH($F50,'CAT_CENTROS_COSTO'!$A$4:$A$28,0)),""),$Y50))</f>
        <v/>
      </c>
      <c r="AA50" s="24">
        <f>IF($F50="","",IFERROR(INDEX('CAT_CENTROS_COSTO'!$G$4:$G$28,MATCH($F50,'CAT_CENTROS_COSTO'!$A$4:$A$28,0)),"(sin catálogo)"))</f>
        <v/>
      </c>
      <c r="AB50" s="24">
        <f>IF($G50="","",IFERROR(INDEX('CAT_PUESTOS'!$B$4:$B$23,MATCH($G50,'CAT_PUESTOS'!$A$4:$A$23,0)),"(sin catálogo)"))</f>
        <v/>
      </c>
      <c r="AC50" s="24">
        <f>IF($H50="","",IFERROR(INDEX('CAT_ACTIVIDADES'!$B$4:$B$26,MATCH($H50,'CAT_ACTIVIDADES'!$A$4:$A$26,0)),"(sin catálogo)"))</f>
        <v/>
      </c>
      <c r="AD50" s="26">
        <f>IF($J50="","",TODAY()-$J50)</f>
        <v/>
      </c>
      <c r="AE50" s="26">
        <f>IF($J50="","",IF($J50&lt;=TODAY(),COUNTIFS(cal_fechas,"&gt;="&amp;$J50,cal_fechas,"&lt;"&amp;TODAY(),cal_habil,"sí"),-COUNTIFS(cal_fechas,"&gt;="&amp;TODAY(),cal_fechas,"&lt;"&amp;$J50,cal_habil,"sí")))</f>
        <v/>
      </c>
      <c r="AF50" s="24">
        <f>IF($AE50="","",IF($AE50&lt;0,"FUTURO",IF($AE50&gt;p_dias_backlog_max,"BACKLOG","MES CORRIENTE")))</f>
        <v/>
      </c>
      <c r="AG50" s="24">
        <f>IF($AE50="",FALSE,AND($AE50&gt;p_dias_backlog_min,$AE50&lt;=p_dias_backlog_max))</f>
        <v/>
      </c>
      <c r="AH50" s="4" t="n"/>
      <c r="AI50" s="24">
        <f>IF($AH50="","",IF((IFERROR(INDEX('ASIGNACIONES'!$J$4:$J$451,MATCH($O50&amp;"|"&amp;$S50&amp;"|"&amp;$AH50,'ASIGNACIONES'!$N$4:$N$451,0)),""))=0,"",IFERROR(INDEX('ASIGNACIONES'!$J$4:$J$451,MATCH($O50&amp;"|"&amp;$S50&amp;"|"&amp;$AH50,'ASIGNACIONES'!$N$4:$N$451,0)),"")))</f>
        <v/>
      </c>
      <c r="AJ50" s="42">
        <f>IF($AH50="","",SUMIFS('ORDENES'!$M$4:$M$1203,'ORDENES'!$AH$4:$AH$1203,$AH50,'ORDENES'!$O$4:$O$1203,$O50,'ORDENES'!$S$4:$S$1203,$S50))</f>
        <v/>
      </c>
      <c r="AK50" s="42">
        <f>IF($AJ50="","",p_factor_productividad*IFERROR(INDEX('ASIGNACIONES'!$M$4:$M$451,MATCH($O50&amp;"|"&amp;$S50&amp;"|"&amp;$AH50,'ASIGNACIONES'!$N$4:$N$451,0)),0)-$AJ50)</f>
        <v/>
      </c>
      <c r="AL50" s="32">
        <f>IF($A50="","",IFERROR(INDEX('2_IMPORTAR_EJECUCION'!$F$9:$F$1208,MATCH($AU50,'2_IMPORTAR_EJECUCION'!$J$9:$J$1208,0)),0))</f>
        <v/>
      </c>
      <c r="AM50" s="32">
        <f>IF($A50="","",MAX(0,IFERROR(INDEX('2_IMPORTAR_EJECUCION'!$H$9:$H$1208,MATCH($AU50,'2_IMPORTAR_EJECUCION'!$J$9:$J$1208,0)),0)-$AL50))</f>
        <v/>
      </c>
      <c r="AN50" s="32">
        <f>IF($A50="","",$AL50+$AM50)</f>
        <v/>
      </c>
      <c r="AO50" s="24">
        <f>IF($A50="","",IF(OR((IFERROR(INDEX('CAT_ACTIVIDADES'!$D$4:$D$26,MATCH($H50,'CAT_ACTIVIDADES'!$A$4:$A$26,0)),""))=0,(IFERROR(INDEX('CAT_ACTIVIDADES'!$D$4:$D$26,MATCH($H50,'CAT_ACTIVIDADES'!$A$4:$A$26,0)),""))=""),"SIN CLASIFICAR",IFERROR(INDEX('CAT_ACTIVIDADES'!$D$4:$D$26,MATCH($H50,'CAT_ACTIVIDADES'!$A$4:$A$26,0)),"")))</f>
        <v/>
      </c>
      <c r="AP50" s="4" t="n"/>
      <c r="AQ50" s="4" t="n"/>
      <c r="AR50" s="4" t="n"/>
      <c r="AS50" s="24">
        <f>IF($AR50="","",HYPERLINK(p_ruta_base_checklists&amp;$AR50,"abrir"))</f>
        <v/>
      </c>
      <c r="AT50" s="4" t="n"/>
      <c r="AU50" s="24">
        <f>IF($A50="","",$A50&amp;IF($B50="","0010",$B50))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41" t="n"/>
      <c r="K51" s="5" t="n"/>
      <c r="L51" s="18" t="n"/>
      <c r="M51" s="24">
        <f>IF($A51="","",IFERROR(INDEX('AJUSTES'!$B$4:$B$303,MATCH($AU51,'AJUSTES'!$A$4:$A$303,0)),IF($K51="","",$K51)))</f>
        <v/>
      </c>
      <c r="N51" s="24">
        <f>IF($A51="","",IFERROR(INDEX('CAT_ESTADOS_ERP'!$B$4:$B$22,MATCH(IFERROR(INDEX('2_IMPORTAR_EJECUCION'!$C$9:$C$1208,MATCH($AU51,'2_IMPORTAR_EJECUCION'!$J$9:$J$1208,0)),""),'CAT_ESTADOS_ERP'!$A$4:$A$22,0)),"Pendiente"))</f>
        <v/>
      </c>
      <c r="O51" s="24">
        <f>IF($J51="","",YEAR($J51+4-WEEKDAY($J51,2))&amp;"-S"&amp;TEXT(_xlfn.ISOWEEKNUM($J51),"00"))</f>
        <v/>
      </c>
      <c r="P51" s="24">
        <f>IF($J51="","",YEAR($J51))</f>
        <v/>
      </c>
      <c r="Q51" s="24">
        <f>IF($J51="","",MONTH($J51))</f>
        <v/>
      </c>
      <c r="R51" s="24">
        <f>IF($J51="","",$P51&amp;"-"&amp;TEXT($Q51,"00"))</f>
        <v/>
      </c>
      <c r="S51" s="24">
        <f>IF($J51="","",INDEX(lista_dias,WEEKDAY($J51,2)))</f>
        <v/>
      </c>
      <c r="T51" s="24">
        <f>IF($J51="","",IFERROR(INDEX('CALENDARIO'!$C$15:$C$214,MATCH(TEXT($J51,"yyyy-mm-dd")&amp;"|"&amp;$Y51&amp;"|"&amp;$Z51,'CALENDARIO'!$G$15:$G$214,0)),IFERROR(INDEX('CALENDARIO'!$C$15:$C$214,MATCH(TEXT($J51,"yyyy-mm-dd")&amp;"|"&amp;$Y51&amp;"|",'CALENDARIO'!$G$15:$G$214,0)),IFERROR(INDEX('CALENDARIO'!$C$15:$C$214,MATCH(TEXT($J51,"yyyy-mm-dd")&amp;"||",'CALENDARIO'!$G$15:$G$214,0)),INDEX(patronHabil,WEEKDAY($J51,2))))))</f>
        <v/>
      </c>
      <c r="U51" s="24">
        <f>IF($I51="","",IFERROR(INDEX('CAT_TIPOS_OT'!$C$4:$C$23,MATCH($I51,'CAT_TIPOS_OT'!$A$4:$A$23,0)),"sin_clasificar"))</f>
        <v/>
      </c>
      <c r="V51" s="24">
        <f>IF($I51="","",IF(IFERROR(INDEX('CAT_TIPOS_OT'!$D$4:$D$23,MATCH($I51,'CAT_TIPOS_OT'!$A$4:$A$23,0)),"SIN CLASIFICAR")="","SIN CLASIFICAR",IFERROR(INDEX('CAT_TIPOS_OT'!$D$4:$D$23,MATCH($I51,'CAT_TIPOS_OT'!$A$4:$A$23,0)),"SIN CLASIFICAR")))</f>
        <v/>
      </c>
      <c r="W51" s="24">
        <f>IF($H51="","",IF(IFERROR(INDEX('CAT_ACTIVIDADES'!$F$4:$F$26,MATCH($H51,'CAT_ACTIVIDADES'!$A$4:$A$26,0)),"")=0,"",IFERROR(INDEX('CAT_ACTIVIDADES'!$F$4:$F$26,MATCH($H51,'CAT_ACTIVIDADES'!$A$4:$A$26,0)),"")))</f>
        <v/>
      </c>
      <c r="X51" s="24">
        <f>IF($F51="","",IFERROR(INDEX('CAT_CENTROS_COSTO'!$F$4:$F$28,MATCH($F51,'CAT_CENTROS_COSTO'!$A$4:$A$28,0)),"(sin catálogo)"))</f>
        <v/>
      </c>
      <c r="Y51" s="24">
        <f>IF($F51="","",IFERROR(INDEX('CAT_CENTROS_COSTO'!$D$4:$D$28,MATCH($F51,'CAT_CENTROS_COSTO'!$A$4:$A$28,0)),"(sin catálogo)"))</f>
        <v/>
      </c>
      <c r="Z51" s="24">
        <f>IF($F51="","",IF((IFERROR(INDEX('CAT_CENTROS_COSTO'!$E$4:$E$28,MATCH($F51,'CAT_CENTROS_COSTO'!$A$4:$A$28,0)),""))&lt;&gt;"",IFERROR(INDEX('CAT_CENTROS_COSTO'!$E$4:$E$28,MATCH($F51,'CAT_CENTROS_COSTO'!$A$4:$A$28,0)),""),$Y51))</f>
        <v/>
      </c>
      <c r="AA51" s="24">
        <f>IF($F51="","",IFERROR(INDEX('CAT_CENTROS_COSTO'!$G$4:$G$28,MATCH($F51,'CAT_CENTROS_COSTO'!$A$4:$A$28,0)),"(sin catálogo)"))</f>
        <v/>
      </c>
      <c r="AB51" s="24">
        <f>IF($G51="","",IFERROR(INDEX('CAT_PUESTOS'!$B$4:$B$23,MATCH($G51,'CAT_PUESTOS'!$A$4:$A$23,0)),"(sin catálogo)"))</f>
        <v/>
      </c>
      <c r="AC51" s="24">
        <f>IF($H51="","",IFERROR(INDEX('CAT_ACTIVIDADES'!$B$4:$B$26,MATCH($H51,'CAT_ACTIVIDADES'!$A$4:$A$26,0)),"(sin catálogo)"))</f>
        <v/>
      </c>
      <c r="AD51" s="26">
        <f>IF($J51="","",TODAY()-$J51)</f>
        <v/>
      </c>
      <c r="AE51" s="26">
        <f>IF($J51="","",IF($J51&lt;=TODAY(),COUNTIFS(cal_fechas,"&gt;="&amp;$J51,cal_fechas,"&lt;"&amp;TODAY(),cal_habil,"sí"),-COUNTIFS(cal_fechas,"&gt;="&amp;TODAY(),cal_fechas,"&lt;"&amp;$J51,cal_habil,"sí")))</f>
        <v/>
      </c>
      <c r="AF51" s="24">
        <f>IF($AE51="","",IF($AE51&lt;0,"FUTURO",IF($AE51&gt;p_dias_backlog_max,"BACKLOG","MES CORRIENTE")))</f>
        <v/>
      </c>
      <c r="AG51" s="24">
        <f>IF($AE51="",FALSE,AND($AE51&gt;p_dias_backlog_min,$AE51&lt;=p_dias_backlog_max))</f>
        <v/>
      </c>
      <c r="AH51" s="4" t="n"/>
      <c r="AI51" s="24">
        <f>IF($AH51="","",IF((IFERROR(INDEX('ASIGNACIONES'!$J$4:$J$451,MATCH($O51&amp;"|"&amp;$S51&amp;"|"&amp;$AH51,'ASIGNACIONES'!$N$4:$N$451,0)),""))=0,"",IFERROR(INDEX('ASIGNACIONES'!$J$4:$J$451,MATCH($O51&amp;"|"&amp;$S51&amp;"|"&amp;$AH51,'ASIGNACIONES'!$N$4:$N$451,0)),"")))</f>
        <v/>
      </c>
      <c r="AJ51" s="42">
        <f>IF($AH51="","",SUMIFS('ORDENES'!$M$4:$M$1203,'ORDENES'!$AH$4:$AH$1203,$AH51,'ORDENES'!$O$4:$O$1203,$O51,'ORDENES'!$S$4:$S$1203,$S51))</f>
        <v/>
      </c>
      <c r="AK51" s="42">
        <f>IF($AJ51="","",p_factor_productividad*IFERROR(INDEX('ASIGNACIONES'!$M$4:$M$451,MATCH($O51&amp;"|"&amp;$S51&amp;"|"&amp;$AH51,'ASIGNACIONES'!$N$4:$N$451,0)),0)-$AJ51)</f>
        <v/>
      </c>
      <c r="AL51" s="32">
        <f>IF($A51="","",IFERROR(INDEX('2_IMPORTAR_EJECUCION'!$F$9:$F$1208,MATCH($AU51,'2_IMPORTAR_EJECUCION'!$J$9:$J$1208,0)),0))</f>
        <v/>
      </c>
      <c r="AM51" s="32">
        <f>IF($A51="","",MAX(0,IFERROR(INDEX('2_IMPORTAR_EJECUCION'!$H$9:$H$1208,MATCH($AU51,'2_IMPORTAR_EJECUCION'!$J$9:$J$1208,0)),0)-$AL51))</f>
        <v/>
      </c>
      <c r="AN51" s="32">
        <f>IF($A51="","",$AL51+$AM51)</f>
        <v/>
      </c>
      <c r="AO51" s="24">
        <f>IF($A51="","",IF(OR((IFERROR(INDEX('CAT_ACTIVIDADES'!$D$4:$D$26,MATCH($H51,'CAT_ACTIVIDADES'!$A$4:$A$26,0)),""))=0,(IFERROR(INDEX('CAT_ACTIVIDADES'!$D$4:$D$26,MATCH($H51,'CAT_ACTIVIDADES'!$A$4:$A$26,0)),""))=""),"SIN CLASIFICAR",IFERROR(INDEX('CAT_ACTIVIDADES'!$D$4:$D$26,MATCH($H51,'CAT_ACTIVIDADES'!$A$4:$A$26,0)),"")))</f>
        <v/>
      </c>
      <c r="AP51" s="4" t="n"/>
      <c r="AQ51" s="4" t="n"/>
      <c r="AR51" s="4" t="n"/>
      <c r="AS51" s="24">
        <f>IF($AR51="","",HYPERLINK(p_ruta_base_checklists&amp;$AR51,"abrir"))</f>
        <v/>
      </c>
      <c r="AT51" s="4" t="n"/>
      <c r="AU51" s="24">
        <f>IF($A51="","",$A51&amp;IF($B51="","0010",$B51))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41" t="n"/>
      <c r="K52" s="5" t="n"/>
      <c r="L52" s="18" t="n"/>
      <c r="M52" s="24">
        <f>IF($A52="","",IFERROR(INDEX('AJUSTES'!$B$4:$B$303,MATCH($AU52,'AJUSTES'!$A$4:$A$303,0)),IF($K52="","",$K52)))</f>
        <v/>
      </c>
      <c r="N52" s="24">
        <f>IF($A52="","",IFERROR(INDEX('CAT_ESTADOS_ERP'!$B$4:$B$22,MATCH(IFERROR(INDEX('2_IMPORTAR_EJECUCION'!$C$9:$C$1208,MATCH($AU52,'2_IMPORTAR_EJECUCION'!$J$9:$J$1208,0)),""),'CAT_ESTADOS_ERP'!$A$4:$A$22,0)),"Pendiente"))</f>
        <v/>
      </c>
      <c r="O52" s="24">
        <f>IF($J52="","",YEAR($J52+4-WEEKDAY($J52,2))&amp;"-S"&amp;TEXT(_xlfn.ISOWEEKNUM($J52),"00"))</f>
        <v/>
      </c>
      <c r="P52" s="24">
        <f>IF($J52="","",YEAR($J52))</f>
        <v/>
      </c>
      <c r="Q52" s="24">
        <f>IF($J52="","",MONTH($J52))</f>
        <v/>
      </c>
      <c r="R52" s="24">
        <f>IF($J52="","",$P52&amp;"-"&amp;TEXT($Q52,"00"))</f>
        <v/>
      </c>
      <c r="S52" s="24">
        <f>IF($J52="","",INDEX(lista_dias,WEEKDAY($J52,2)))</f>
        <v/>
      </c>
      <c r="T52" s="24">
        <f>IF($J52="","",IFERROR(INDEX('CALENDARIO'!$C$15:$C$214,MATCH(TEXT($J52,"yyyy-mm-dd")&amp;"|"&amp;$Y52&amp;"|"&amp;$Z52,'CALENDARIO'!$G$15:$G$214,0)),IFERROR(INDEX('CALENDARIO'!$C$15:$C$214,MATCH(TEXT($J52,"yyyy-mm-dd")&amp;"|"&amp;$Y52&amp;"|",'CALENDARIO'!$G$15:$G$214,0)),IFERROR(INDEX('CALENDARIO'!$C$15:$C$214,MATCH(TEXT($J52,"yyyy-mm-dd")&amp;"||",'CALENDARIO'!$G$15:$G$214,0)),INDEX(patronHabil,WEEKDAY($J52,2))))))</f>
        <v/>
      </c>
      <c r="U52" s="24">
        <f>IF($I52="","",IFERROR(INDEX('CAT_TIPOS_OT'!$C$4:$C$23,MATCH($I52,'CAT_TIPOS_OT'!$A$4:$A$23,0)),"sin_clasificar"))</f>
        <v/>
      </c>
      <c r="V52" s="24">
        <f>IF($I52="","",IF(IFERROR(INDEX('CAT_TIPOS_OT'!$D$4:$D$23,MATCH($I52,'CAT_TIPOS_OT'!$A$4:$A$23,0)),"SIN CLASIFICAR")="","SIN CLASIFICAR",IFERROR(INDEX('CAT_TIPOS_OT'!$D$4:$D$23,MATCH($I52,'CAT_TIPOS_OT'!$A$4:$A$23,0)),"SIN CLASIFICAR")))</f>
        <v/>
      </c>
      <c r="W52" s="24">
        <f>IF($H52="","",IF(IFERROR(INDEX('CAT_ACTIVIDADES'!$F$4:$F$26,MATCH($H52,'CAT_ACTIVIDADES'!$A$4:$A$26,0)),"")=0,"",IFERROR(INDEX('CAT_ACTIVIDADES'!$F$4:$F$26,MATCH($H52,'CAT_ACTIVIDADES'!$A$4:$A$26,0)),"")))</f>
        <v/>
      </c>
      <c r="X52" s="24">
        <f>IF($F52="","",IFERROR(INDEX('CAT_CENTROS_COSTO'!$F$4:$F$28,MATCH($F52,'CAT_CENTROS_COSTO'!$A$4:$A$28,0)),"(sin catálogo)"))</f>
        <v/>
      </c>
      <c r="Y52" s="24">
        <f>IF($F52="","",IFERROR(INDEX('CAT_CENTROS_COSTO'!$D$4:$D$28,MATCH($F52,'CAT_CENTROS_COSTO'!$A$4:$A$28,0)),"(sin catálogo)"))</f>
        <v/>
      </c>
      <c r="Z52" s="24">
        <f>IF($F52="","",IF((IFERROR(INDEX('CAT_CENTROS_COSTO'!$E$4:$E$28,MATCH($F52,'CAT_CENTROS_COSTO'!$A$4:$A$28,0)),""))&lt;&gt;"",IFERROR(INDEX('CAT_CENTROS_COSTO'!$E$4:$E$28,MATCH($F52,'CAT_CENTROS_COSTO'!$A$4:$A$28,0)),""),$Y52))</f>
        <v/>
      </c>
      <c r="AA52" s="24">
        <f>IF($F52="","",IFERROR(INDEX('CAT_CENTROS_COSTO'!$G$4:$G$28,MATCH($F52,'CAT_CENTROS_COSTO'!$A$4:$A$28,0)),"(sin catálogo)"))</f>
        <v/>
      </c>
      <c r="AB52" s="24">
        <f>IF($G52="","",IFERROR(INDEX('CAT_PUESTOS'!$B$4:$B$23,MATCH($G52,'CAT_PUESTOS'!$A$4:$A$23,0)),"(sin catálogo)"))</f>
        <v/>
      </c>
      <c r="AC52" s="24">
        <f>IF($H52="","",IFERROR(INDEX('CAT_ACTIVIDADES'!$B$4:$B$26,MATCH($H52,'CAT_ACTIVIDADES'!$A$4:$A$26,0)),"(sin catálogo)"))</f>
        <v/>
      </c>
      <c r="AD52" s="26">
        <f>IF($J52="","",TODAY()-$J52)</f>
        <v/>
      </c>
      <c r="AE52" s="26">
        <f>IF($J52="","",IF($J52&lt;=TODAY(),COUNTIFS(cal_fechas,"&gt;="&amp;$J52,cal_fechas,"&lt;"&amp;TODAY(),cal_habil,"sí"),-COUNTIFS(cal_fechas,"&gt;="&amp;TODAY(),cal_fechas,"&lt;"&amp;$J52,cal_habil,"sí")))</f>
        <v/>
      </c>
      <c r="AF52" s="24">
        <f>IF($AE52="","",IF($AE52&lt;0,"FUTURO",IF($AE52&gt;p_dias_backlog_max,"BACKLOG","MES CORRIENTE")))</f>
        <v/>
      </c>
      <c r="AG52" s="24">
        <f>IF($AE52="",FALSE,AND($AE52&gt;p_dias_backlog_min,$AE52&lt;=p_dias_backlog_max))</f>
        <v/>
      </c>
      <c r="AH52" s="4" t="n"/>
      <c r="AI52" s="24">
        <f>IF($AH52="","",IF((IFERROR(INDEX('ASIGNACIONES'!$J$4:$J$451,MATCH($O52&amp;"|"&amp;$S52&amp;"|"&amp;$AH52,'ASIGNACIONES'!$N$4:$N$451,0)),""))=0,"",IFERROR(INDEX('ASIGNACIONES'!$J$4:$J$451,MATCH($O52&amp;"|"&amp;$S52&amp;"|"&amp;$AH52,'ASIGNACIONES'!$N$4:$N$451,0)),"")))</f>
        <v/>
      </c>
      <c r="AJ52" s="42">
        <f>IF($AH52="","",SUMIFS('ORDENES'!$M$4:$M$1203,'ORDENES'!$AH$4:$AH$1203,$AH52,'ORDENES'!$O$4:$O$1203,$O52,'ORDENES'!$S$4:$S$1203,$S52))</f>
        <v/>
      </c>
      <c r="AK52" s="42">
        <f>IF($AJ52="","",p_factor_productividad*IFERROR(INDEX('ASIGNACIONES'!$M$4:$M$451,MATCH($O52&amp;"|"&amp;$S52&amp;"|"&amp;$AH52,'ASIGNACIONES'!$N$4:$N$451,0)),0)-$AJ52)</f>
        <v/>
      </c>
      <c r="AL52" s="32">
        <f>IF($A52="","",IFERROR(INDEX('2_IMPORTAR_EJECUCION'!$F$9:$F$1208,MATCH($AU52,'2_IMPORTAR_EJECUCION'!$J$9:$J$1208,0)),0))</f>
        <v/>
      </c>
      <c r="AM52" s="32">
        <f>IF($A52="","",MAX(0,IFERROR(INDEX('2_IMPORTAR_EJECUCION'!$H$9:$H$1208,MATCH($AU52,'2_IMPORTAR_EJECUCION'!$J$9:$J$1208,0)),0)-$AL52))</f>
        <v/>
      </c>
      <c r="AN52" s="32">
        <f>IF($A52="","",$AL52+$AM52)</f>
        <v/>
      </c>
      <c r="AO52" s="24">
        <f>IF($A52="","",IF(OR((IFERROR(INDEX('CAT_ACTIVIDADES'!$D$4:$D$26,MATCH($H52,'CAT_ACTIVIDADES'!$A$4:$A$26,0)),""))=0,(IFERROR(INDEX('CAT_ACTIVIDADES'!$D$4:$D$26,MATCH($H52,'CAT_ACTIVIDADES'!$A$4:$A$26,0)),""))=""),"SIN CLASIFICAR",IFERROR(INDEX('CAT_ACTIVIDADES'!$D$4:$D$26,MATCH($H52,'CAT_ACTIVIDADES'!$A$4:$A$26,0)),"")))</f>
        <v/>
      </c>
      <c r="AP52" s="4" t="n"/>
      <c r="AQ52" s="4" t="n"/>
      <c r="AR52" s="4" t="n"/>
      <c r="AS52" s="24">
        <f>IF($AR52="","",HYPERLINK(p_ruta_base_checklists&amp;$AR52,"abrir"))</f>
        <v/>
      </c>
      <c r="AT52" s="4" t="n"/>
      <c r="AU52" s="24">
        <f>IF($A52="","",$A52&amp;IF($B52="","0010",$B52))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41" t="n"/>
      <c r="K53" s="5" t="n"/>
      <c r="L53" s="18" t="n"/>
      <c r="M53" s="24">
        <f>IF($A53="","",IFERROR(INDEX('AJUSTES'!$B$4:$B$303,MATCH($AU53,'AJUSTES'!$A$4:$A$303,0)),IF($K53="","",$K53)))</f>
        <v/>
      </c>
      <c r="N53" s="24">
        <f>IF($A53="","",IFERROR(INDEX('CAT_ESTADOS_ERP'!$B$4:$B$22,MATCH(IFERROR(INDEX('2_IMPORTAR_EJECUCION'!$C$9:$C$1208,MATCH($AU53,'2_IMPORTAR_EJECUCION'!$J$9:$J$1208,0)),""),'CAT_ESTADOS_ERP'!$A$4:$A$22,0)),"Pendiente"))</f>
        <v/>
      </c>
      <c r="O53" s="24">
        <f>IF($J53="","",YEAR($J53+4-WEEKDAY($J53,2))&amp;"-S"&amp;TEXT(_xlfn.ISOWEEKNUM($J53),"00"))</f>
        <v/>
      </c>
      <c r="P53" s="24">
        <f>IF($J53="","",YEAR($J53))</f>
        <v/>
      </c>
      <c r="Q53" s="24">
        <f>IF($J53="","",MONTH($J53))</f>
        <v/>
      </c>
      <c r="R53" s="24">
        <f>IF($J53="","",$P53&amp;"-"&amp;TEXT($Q53,"00"))</f>
        <v/>
      </c>
      <c r="S53" s="24">
        <f>IF($J53="","",INDEX(lista_dias,WEEKDAY($J53,2)))</f>
        <v/>
      </c>
      <c r="T53" s="24">
        <f>IF($J53="","",IFERROR(INDEX('CALENDARIO'!$C$15:$C$214,MATCH(TEXT($J53,"yyyy-mm-dd")&amp;"|"&amp;$Y53&amp;"|"&amp;$Z53,'CALENDARIO'!$G$15:$G$214,0)),IFERROR(INDEX('CALENDARIO'!$C$15:$C$214,MATCH(TEXT($J53,"yyyy-mm-dd")&amp;"|"&amp;$Y53&amp;"|",'CALENDARIO'!$G$15:$G$214,0)),IFERROR(INDEX('CALENDARIO'!$C$15:$C$214,MATCH(TEXT($J53,"yyyy-mm-dd")&amp;"||",'CALENDARIO'!$G$15:$G$214,0)),INDEX(patronHabil,WEEKDAY($J53,2))))))</f>
        <v/>
      </c>
      <c r="U53" s="24">
        <f>IF($I53="","",IFERROR(INDEX('CAT_TIPOS_OT'!$C$4:$C$23,MATCH($I53,'CAT_TIPOS_OT'!$A$4:$A$23,0)),"sin_clasificar"))</f>
        <v/>
      </c>
      <c r="V53" s="24">
        <f>IF($I53="","",IF(IFERROR(INDEX('CAT_TIPOS_OT'!$D$4:$D$23,MATCH($I53,'CAT_TIPOS_OT'!$A$4:$A$23,0)),"SIN CLASIFICAR")="","SIN CLASIFICAR",IFERROR(INDEX('CAT_TIPOS_OT'!$D$4:$D$23,MATCH($I53,'CAT_TIPOS_OT'!$A$4:$A$23,0)),"SIN CLASIFICAR")))</f>
        <v/>
      </c>
      <c r="W53" s="24">
        <f>IF($H53="","",IF(IFERROR(INDEX('CAT_ACTIVIDADES'!$F$4:$F$26,MATCH($H53,'CAT_ACTIVIDADES'!$A$4:$A$26,0)),"")=0,"",IFERROR(INDEX('CAT_ACTIVIDADES'!$F$4:$F$26,MATCH($H53,'CAT_ACTIVIDADES'!$A$4:$A$26,0)),"")))</f>
        <v/>
      </c>
      <c r="X53" s="24">
        <f>IF($F53="","",IFERROR(INDEX('CAT_CENTROS_COSTO'!$F$4:$F$28,MATCH($F53,'CAT_CENTROS_COSTO'!$A$4:$A$28,0)),"(sin catálogo)"))</f>
        <v/>
      </c>
      <c r="Y53" s="24">
        <f>IF($F53="","",IFERROR(INDEX('CAT_CENTROS_COSTO'!$D$4:$D$28,MATCH($F53,'CAT_CENTROS_COSTO'!$A$4:$A$28,0)),"(sin catálogo)"))</f>
        <v/>
      </c>
      <c r="Z53" s="24">
        <f>IF($F53="","",IF((IFERROR(INDEX('CAT_CENTROS_COSTO'!$E$4:$E$28,MATCH($F53,'CAT_CENTROS_COSTO'!$A$4:$A$28,0)),""))&lt;&gt;"",IFERROR(INDEX('CAT_CENTROS_COSTO'!$E$4:$E$28,MATCH($F53,'CAT_CENTROS_COSTO'!$A$4:$A$28,0)),""),$Y53))</f>
        <v/>
      </c>
      <c r="AA53" s="24">
        <f>IF($F53="","",IFERROR(INDEX('CAT_CENTROS_COSTO'!$G$4:$G$28,MATCH($F53,'CAT_CENTROS_COSTO'!$A$4:$A$28,0)),"(sin catálogo)"))</f>
        <v/>
      </c>
      <c r="AB53" s="24">
        <f>IF($G53="","",IFERROR(INDEX('CAT_PUESTOS'!$B$4:$B$23,MATCH($G53,'CAT_PUESTOS'!$A$4:$A$23,0)),"(sin catálogo)"))</f>
        <v/>
      </c>
      <c r="AC53" s="24">
        <f>IF($H53="","",IFERROR(INDEX('CAT_ACTIVIDADES'!$B$4:$B$26,MATCH($H53,'CAT_ACTIVIDADES'!$A$4:$A$26,0)),"(sin catálogo)"))</f>
        <v/>
      </c>
      <c r="AD53" s="26">
        <f>IF($J53="","",TODAY()-$J53)</f>
        <v/>
      </c>
      <c r="AE53" s="26">
        <f>IF($J53="","",IF($J53&lt;=TODAY(),COUNTIFS(cal_fechas,"&gt;="&amp;$J53,cal_fechas,"&lt;"&amp;TODAY(),cal_habil,"sí"),-COUNTIFS(cal_fechas,"&gt;="&amp;TODAY(),cal_fechas,"&lt;"&amp;$J53,cal_habil,"sí")))</f>
        <v/>
      </c>
      <c r="AF53" s="24">
        <f>IF($AE53="","",IF($AE53&lt;0,"FUTURO",IF($AE53&gt;p_dias_backlog_max,"BACKLOG","MES CORRIENTE")))</f>
        <v/>
      </c>
      <c r="AG53" s="24">
        <f>IF($AE53="",FALSE,AND($AE53&gt;p_dias_backlog_min,$AE53&lt;=p_dias_backlog_max))</f>
        <v/>
      </c>
      <c r="AH53" s="4" t="n"/>
      <c r="AI53" s="24">
        <f>IF($AH53="","",IF((IFERROR(INDEX('ASIGNACIONES'!$J$4:$J$451,MATCH($O53&amp;"|"&amp;$S53&amp;"|"&amp;$AH53,'ASIGNACIONES'!$N$4:$N$451,0)),""))=0,"",IFERROR(INDEX('ASIGNACIONES'!$J$4:$J$451,MATCH($O53&amp;"|"&amp;$S53&amp;"|"&amp;$AH53,'ASIGNACIONES'!$N$4:$N$451,0)),"")))</f>
        <v/>
      </c>
      <c r="AJ53" s="42">
        <f>IF($AH53="","",SUMIFS('ORDENES'!$M$4:$M$1203,'ORDENES'!$AH$4:$AH$1203,$AH53,'ORDENES'!$O$4:$O$1203,$O53,'ORDENES'!$S$4:$S$1203,$S53))</f>
        <v/>
      </c>
      <c r="AK53" s="42">
        <f>IF($AJ53="","",p_factor_productividad*IFERROR(INDEX('ASIGNACIONES'!$M$4:$M$451,MATCH($O53&amp;"|"&amp;$S53&amp;"|"&amp;$AH53,'ASIGNACIONES'!$N$4:$N$451,0)),0)-$AJ53)</f>
        <v/>
      </c>
      <c r="AL53" s="32">
        <f>IF($A53="","",IFERROR(INDEX('2_IMPORTAR_EJECUCION'!$F$9:$F$1208,MATCH($AU53,'2_IMPORTAR_EJECUCION'!$J$9:$J$1208,0)),0))</f>
        <v/>
      </c>
      <c r="AM53" s="32">
        <f>IF($A53="","",MAX(0,IFERROR(INDEX('2_IMPORTAR_EJECUCION'!$H$9:$H$1208,MATCH($AU53,'2_IMPORTAR_EJECUCION'!$J$9:$J$1208,0)),0)-$AL53))</f>
        <v/>
      </c>
      <c r="AN53" s="32">
        <f>IF($A53="","",$AL53+$AM53)</f>
        <v/>
      </c>
      <c r="AO53" s="24">
        <f>IF($A53="","",IF(OR((IFERROR(INDEX('CAT_ACTIVIDADES'!$D$4:$D$26,MATCH($H53,'CAT_ACTIVIDADES'!$A$4:$A$26,0)),""))=0,(IFERROR(INDEX('CAT_ACTIVIDADES'!$D$4:$D$26,MATCH($H53,'CAT_ACTIVIDADES'!$A$4:$A$26,0)),""))=""),"SIN CLASIFICAR",IFERROR(INDEX('CAT_ACTIVIDADES'!$D$4:$D$26,MATCH($H53,'CAT_ACTIVIDADES'!$A$4:$A$26,0)),"")))</f>
        <v/>
      </c>
      <c r="AP53" s="4" t="n"/>
      <c r="AQ53" s="4" t="n"/>
      <c r="AR53" s="4" t="n"/>
      <c r="AS53" s="24">
        <f>IF($AR53="","",HYPERLINK(p_ruta_base_checklists&amp;$AR53,"abrir"))</f>
        <v/>
      </c>
      <c r="AT53" s="4" t="n"/>
      <c r="AU53" s="24">
        <f>IF($A53="","",$A53&amp;IF($B53="","0010",$B53))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41" t="n"/>
      <c r="K54" s="5" t="n"/>
      <c r="L54" s="18" t="n"/>
      <c r="M54" s="24">
        <f>IF($A54="","",IFERROR(INDEX('AJUSTES'!$B$4:$B$303,MATCH($AU54,'AJUSTES'!$A$4:$A$303,0)),IF($K54="","",$K54)))</f>
        <v/>
      </c>
      <c r="N54" s="24">
        <f>IF($A54="","",IFERROR(INDEX('CAT_ESTADOS_ERP'!$B$4:$B$22,MATCH(IFERROR(INDEX('2_IMPORTAR_EJECUCION'!$C$9:$C$1208,MATCH($AU54,'2_IMPORTAR_EJECUCION'!$J$9:$J$1208,0)),""),'CAT_ESTADOS_ERP'!$A$4:$A$22,0)),"Pendiente"))</f>
        <v/>
      </c>
      <c r="O54" s="24">
        <f>IF($J54="","",YEAR($J54+4-WEEKDAY($J54,2))&amp;"-S"&amp;TEXT(_xlfn.ISOWEEKNUM($J54),"00"))</f>
        <v/>
      </c>
      <c r="P54" s="24">
        <f>IF($J54="","",YEAR($J54))</f>
        <v/>
      </c>
      <c r="Q54" s="24">
        <f>IF($J54="","",MONTH($J54))</f>
        <v/>
      </c>
      <c r="R54" s="24">
        <f>IF($J54="","",$P54&amp;"-"&amp;TEXT($Q54,"00"))</f>
        <v/>
      </c>
      <c r="S54" s="24">
        <f>IF($J54="","",INDEX(lista_dias,WEEKDAY($J54,2)))</f>
        <v/>
      </c>
      <c r="T54" s="24">
        <f>IF($J54="","",IFERROR(INDEX('CALENDARIO'!$C$15:$C$214,MATCH(TEXT($J54,"yyyy-mm-dd")&amp;"|"&amp;$Y54&amp;"|"&amp;$Z54,'CALENDARIO'!$G$15:$G$214,0)),IFERROR(INDEX('CALENDARIO'!$C$15:$C$214,MATCH(TEXT($J54,"yyyy-mm-dd")&amp;"|"&amp;$Y54&amp;"|",'CALENDARIO'!$G$15:$G$214,0)),IFERROR(INDEX('CALENDARIO'!$C$15:$C$214,MATCH(TEXT($J54,"yyyy-mm-dd")&amp;"||",'CALENDARIO'!$G$15:$G$214,0)),INDEX(patronHabil,WEEKDAY($J54,2))))))</f>
        <v/>
      </c>
      <c r="U54" s="24">
        <f>IF($I54="","",IFERROR(INDEX('CAT_TIPOS_OT'!$C$4:$C$23,MATCH($I54,'CAT_TIPOS_OT'!$A$4:$A$23,0)),"sin_clasificar"))</f>
        <v/>
      </c>
      <c r="V54" s="24">
        <f>IF($I54="","",IF(IFERROR(INDEX('CAT_TIPOS_OT'!$D$4:$D$23,MATCH($I54,'CAT_TIPOS_OT'!$A$4:$A$23,0)),"SIN CLASIFICAR")="","SIN CLASIFICAR",IFERROR(INDEX('CAT_TIPOS_OT'!$D$4:$D$23,MATCH($I54,'CAT_TIPOS_OT'!$A$4:$A$23,0)),"SIN CLASIFICAR")))</f>
        <v/>
      </c>
      <c r="W54" s="24">
        <f>IF($H54="","",IF(IFERROR(INDEX('CAT_ACTIVIDADES'!$F$4:$F$26,MATCH($H54,'CAT_ACTIVIDADES'!$A$4:$A$26,0)),"")=0,"",IFERROR(INDEX('CAT_ACTIVIDADES'!$F$4:$F$26,MATCH($H54,'CAT_ACTIVIDADES'!$A$4:$A$26,0)),"")))</f>
        <v/>
      </c>
      <c r="X54" s="24">
        <f>IF($F54="","",IFERROR(INDEX('CAT_CENTROS_COSTO'!$F$4:$F$28,MATCH($F54,'CAT_CENTROS_COSTO'!$A$4:$A$28,0)),"(sin catálogo)"))</f>
        <v/>
      </c>
      <c r="Y54" s="24">
        <f>IF($F54="","",IFERROR(INDEX('CAT_CENTROS_COSTO'!$D$4:$D$28,MATCH($F54,'CAT_CENTROS_COSTO'!$A$4:$A$28,0)),"(sin catálogo)"))</f>
        <v/>
      </c>
      <c r="Z54" s="24">
        <f>IF($F54="","",IF((IFERROR(INDEX('CAT_CENTROS_COSTO'!$E$4:$E$28,MATCH($F54,'CAT_CENTROS_COSTO'!$A$4:$A$28,0)),""))&lt;&gt;"",IFERROR(INDEX('CAT_CENTROS_COSTO'!$E$4:$E$28,MATCH($F54,'CAT_CENTROS_COSTO'!$A$4:$A$28,0)),""),$Y54))</f>
        <v/>
      </c>
      <c r="AA54" s="24">
        <f>IF($F54="","",IFERROR(INDEX('CAT_CENTROS_COSTO'!$G$4:$G$28,MATCH($F54,'CAT_CENTROS_COSTO'!$A$4:$A$28,0)),"(sin catálogo)"))</f>
        <v/>
      </c>
      <c r="AB54" s="24">
        <f>IF($G54="","",IFERROR(INDEX('CAT_PUESTOS'!$B$4:$B$23,MATCH($G54,'CAT_PUESTOS'!$A$4:$A$23,0)),"(sin catálogo)"))</f>
        <v/>
      </c>
      <c r="AC54" s="24">
        <f>IF($H54="","",IFERROR(INDEX('CAT_ACTIVIDADES'!$B$4:$B$26,MATCH($H54,'CAT_ACTIVIDADES'!$A$4:$A$26,0)),"(sin catálogo)"))</f>
        <v/>
      </c>
      <c r="AD54" s="26">
        <f>IF($J54="","",TODAY()-$J54)</f>
        <v/>
      </c>
      <c r="AE54" s="26">
        <f>IF($J54="","",IF($J54&lt;=TODAY(),COUNTIFS(cal_fechas,"&gt;="&amp;$J54,cal_fechas,"&lt;"&amp;TODAY(),cal_habil,"sí"),-COUNTIFS(cal_fechas,"&gt;="&amp;TODAY(),cal_fechas,"&lt;"&amp;$J54,cal_habil,"sí")))</f>
        <v/>
      </c>
      <c r="AF54" s="24">
        <f>IF($AE54="","",IF($AE54&lt;0,"FUTURO",IF($AE54&gt;p_dias_backlog_max,"BACKLOG","MES CORRIENTE")))</f>
        <v/>
      </c>
      <c r="AG54" s="24">
        <f>IF($AE54="",FALSE,AND($AE54&gt;p_dias_backlog_min,$AE54&lt;=p_dias_backlog_max))</f>
        <v/>
      </c>
      <c r="AH54" s="4" t="n"/>
      <c r="AI54" s="24">
        <f>IF($AH54="","",IF((IFERROR(INDEX('ASIGNACIONES'!$J$4:$J$451,MATCH($O54&amp;"|"&amp;$S54&amp;"|"&amp;$AH54,'ASIGNACIONES'!$N$4:$N$451,0)),""))=0,"",IFERROR(INDEX('ASIGNACIONES'!$J$4:$J$451,MATCH($O54&amp;"|"&amp;$S54&amp;"|"&amp;$AH54,'ASIGNACIONES'!$N$4:$N$451,0)),"")))</f>
        <v/>
      </c>
      <c r="AJ54" s="42">
        <f>IF($AH54="","",SUMIFS('ORDENES'!$M$4:$M$1203,'ORDENES'!$AH$4:$AH$1203,$AH54,'ORDENES'!$O$4:$O$1203,$O54,'ORDENES'!$S$4:$S$1203,$S54))</f>
        <v/>
      </c>
      <c r="AK54" s="42">
        <f>IF($AJ54="","",p_factor_productividad*IFERROR(INDEX('ASIGNACIONES'!$M$4:$M$451,MATCH($O54&amp;"|"&amp;$S54&amp;"|"&amp;$AH54,'ASIGNACIONES'!$N$4:$N$451,0)),0)-$AJ54)</f>
        <v/>
      </c>
      <c r="AL54" s="32">
        <f>IF($A54="","",IFERROR(INDEX('2_IMPORTAR_EJECUCION'!$F$9:$F$1208,MATCH($AU54,'2_IMPORTAR_EJECUCION'!$J$9:$J$1208,0)),0))</f>
        <v/>
      </c>
      <c r="AM54" s="32">
        <f>IF($A54="","",MAX(0,IFERROR(INDEX('2_IMPORTAR_EJECUCION'!$H$9:$H$1208,MATCH($AU54,'2_IMPORTAR_EJECUCION'!$J$9:$J$1208,0)),0)-$AL54))</f>
        <v/>
      </c>
      <c r="AN54" s="32">
        <f>IF($A54="","",$AL54+$AM54)</f>
        <v/>
      </c>
      <c r="AO54" s="24">
        <f>IF($A54="","",IF(OR((IFERROR(INDEX('CAT_ACTIVIDADES'!$D$4:$D$26,MATCH($H54,'CAT_ACTIVIDADES'!$A$4:$A$26,0)),""))=0,(IFERROR(INDEX('CAT_ACTIVIDADES'!$D$4:$D$26,MATCH($H54,'CAT_ACTIVIDADES'!$A$4:$A$26,0)),""))=""),"SIN CLASIFICAR",IFERROR(INDEX('CAT_ACTIVIDADES'!$D$4:$D$26,MATCH($H54,'CAT_ACTIVIDADES'!$A$4:$A$26,0)),"")))</f>
        <v/>
      </c>
      <c r="AP54" s="4" t="n"/>
      <c r="AQ54" s="4" t="n"/>
      <c r="AR54" s="4" t="n"/>
      <c r="AS54" s="24">
        <f>IF($AR54="","",HYPERLINK(p_ruta_base_checklists&amp;$AR54,"abrir"))</f>
        <v/>
      </c>
      <c r="AT54" s="4" t="n"/>
      <c r="AU54" s="24">
        <f>IF($A54="","",$A54&amp;IF($B54="","0010",$B54))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41" t="n"/>
      <c r="K55" s="5" t="n"/>
      <c r="L55" s="18" t="n"/>
      <c r="M55" s="24">
        <f>IF($A55="","",IFERROR(INDEX('AJUSTES'!$B$4:$B$303,MATCH($AU55,'AJUSTES'!$A$4:$A$303,0)),IF($K55="","",$K55)))</f>
        <v/>
      </c>
      <c r="N55" s="24">
        <f>IF($A55="","",IFERROR(INDEX('CAT_ESTADOS_ERP'!$B$4:$B$22,MATCH(IFERROR(INDEX('2_IMPORTAR_EJECUCION'!$C$9:$C$1208,MATCH($AU55,'2_IMPORTAR_EJECUCION'!$J$9:$J$1208,0)),""),'CAT_ESTADOS_ERP'!$A$4:$A$22,0)),"Pendiente"))</f>
        <v/>
      </c>
      <c r="O55" s="24">
        <f>IF($J55="","",YEAR($J55+4-WEEKDAY($J55,2))&amp;"-S"&amp;TEXT(_xlfn.ISOWEEKNUM($J55),"00"))</f>
        <v/>
      </c>
      <c r="P55" s="24">
        <f>IF($J55="","",YEAR($J55))</f>
        <v/>
      </c>
      <c r="Q55" s="24">
        <f>IF($J55="","",MONTH($J55))</f>
        <v/>
      </c>
      <c r="R55" s="24">
        <f>IF($J55="","",$P55&amp;"-"&amp;TEXT($Q55,"00"))</f>
        <v/>
      </c>
      <c r="S55" s="24">
        <f>IF($J55="","",INDEX(lista_dias,WEEKDAY($J55,2)))</f>
        <v/>
      </c>
      <c r="T55" s="24">
        <f>IF($J55="","",IFERROR(INDEX('CALENDARIO'!$C$15:$C$214,MATCH(TEXT($J55,"yyyy-mm-dd")&amp;"|"&amp;$Y55&amp;"|"&amp;$Z55,'CALENDARIO'!$G$15:$G$214,0)),IFERROR(INDEX('CALENDARIO'!$C$15:$C$214,MATCH(TEXT($J55,"yyyy-mm-dd")&amp;"|"&amp;$Y55&amp;"|",'CALENDARIO'!$G$15:$G$214,0)),IFERROR(INDEX('CALENDARIO'!$C$15:$C$214,MATCH(TEXT($J55,"yyyy-mm-dd")&amp;"||",'CALENDARIO'!$G$15:$G$214,0)),INDEX(patronHabil,WEEKDAY($J55,2))))))</f>
        <v/>
      </c>
      <c r="U55" s="24">
        <f>IF($I55="","",IFERROR(INDEX('CAT_TIPOS_OT'!$C$4:$C$23,MATCH($I55,'CAT_TIPOS_OT'!$A$4:$A$23,0)),"sin_clasificar"))</f>
        <v/>
      </c>
      <c r="V55" s="24">
        <f>IF($I55="","",IF(IFERROR(INDEX('CAT_TIPOS_OT'!$D$4:$D$23,MATCH($I55,'CAT_TIPOS_OT'!$A$4:$A$23,0)),"SIN CLASIFICAR")="","SIN CLASIFICAR",IFERROR(INDEX('CAT_TIPOS_OT'!$D$4:$D$23,MATCH($I55,'CAT_TIPOS_OT'!$A$4:$A$23,0)),"SIN CLASIFICAR")))</f>
        <v/>
      </c>
      <c r="W55" s="24">
        <f>IF($H55="","",IF(IFERROR(INDEX('CAT_ACTIVIDADES'!$F$4:$F$26,MATCH($H55,'CAT_ACTIVIDADES'!$A$4:$A$26,0)),"")=0,"",IFERROR(INDEX('CAT_ACTIVIDADES'!$F$4:$F$26,MATCH($H55,'CAT_ACTIVIDADES'!$A$4:$A$26,0)),"")))</f>
        <v/>
      </c>
      <c r="X55" s="24">
        <f>IF($F55="","",IFERROR(INDEX('CAT_CENTROS_COSTO'!$F$4:$F$28,MATCH($F55,'CAT_CENTROS_COSTO'!$A$4:$A$28,0)),"(sin catálogo)"))</f>
        <v/>
      </c>
      <c r="Y55" s="24">
        <f>IF($F55="","",IFERROR(INDEX('CAT_CENTROS_COSTO'!$D$4:$D$28,MATCH($F55,'CAT_CENTROS_COSTO'!$A$4:$A$28,0)),"(sin catálogo)"))</f>
        <v/>
      </c>
      <c r="Z55" s="24">
        <f>IF($F55="","",IF((IFERROR(INDEX('CAT_CENTROS_COSTO'!$E$4:$E$28,MATCH($F55,'CAT_CENTROS_COSTO'!$A$4:$A$28,0)),""))&lt;&gt;"",IFERROR(INDEX('CAT_CENTROS_COSTO'!$E$4:$E$28,MATCH($F55,'CAT_CENTROS_COSTO'!$A$4:$A$28,0)),""),$Y55))</f>
        <v/>
      </c>
      <c r="AA55" s="24">
        <f>IF($F55="","",IFERROR(INDEX('CAT_CENTROS_COSTO'!$G$4:$G$28,MATCH($F55,'CAT_CENTROS_COSTO'!$A$4:$A$28,0)),"(sin catálogo)"))</f>
        <v/>
      </c>
      <c r="AB55" s="24">
        <f>IF($G55="","",IFERROR(INDEX('CAT_PUESTOS'!$B$4:$B$23,MATCH($G55,'CAT_PUESTOS'!$A$4:$A$23,0)),"(sin catálogo)"))</f>
        <v/>
      </c>
      <c r="AC55" s="24">
        <f>IF($H55="","",IFERROR(INDEX('CAT_ACTIVIDADES'!$B$4:$B$26,MATCH($H55,'CAT_ACTIVIDADES'!$A$4:$A$26,0)),"(sin catálogo)"))</f>
        <v/>
      </c>
      <c r="AD55" s="26">
        <f>IF($J55="","",TODAY()-$J55)</f>
        <v/>
      </c>
      <c r="AE55" s="26">
        <f>IF($J55="","",IF($J55&lt;=TODAY(),COUNTIFS(cal_fechas,"&gt;="&amp;$J55,cal_fechas,"&lt;"&amp;TODAY(),cal_habil,"sí"),-COUNTIFS(cal_fechas,"&gt;="&amp;TODAY(),cal_fechas,"&lt;"&amp;$J55,cal_habil,"sí")))</f>
        <v/>
      </c>
      <c r="AF55" s="24">
        <f>IF($AE55="","",IF($AE55&lt;0,"FUTURO",IF($AE55&gt;p_dias_backlog_max,"BACKLOG","MES CORRIENTE")))</f>
        <v/>
      </c>
      <c r="AG55" s="24">
        <f>IF($AE55="",FALSE,AND($AE55&gt;p_dias_backlog_min,$AE55&lt;=p_dias_backlog_max))</f>
        <v/>
      </c>
      <c r="AH55" s="4" t="n"/>
      <c r="AI55" s="24">
        <f>IF($AH55="","",IF((IFERROR(INDEX('ASIGNACIONES'!$J$4:$J$451,MATCH($O55&amp;"|"&amp;$S55&amp;"|"&amp;$AH55,'ASIGNACIONES'!$N$4:$N$451,0)),""))=0,"",IFERROR(INDEX('ASIGNACIONES'!$J$4:$J$451,MATCH($O55&amp;"|"&amp;$S55&amp;"|"&amp;$AH55,'ASIGNACIONES'!$N$4:$N$451,0)),"")))</f>
        <v/>
      </c>
      <c r="AJ55" s="42">
        <f>IF($AH55="","",SUMIFS('ORDENES'!$M$4:$M$1203,'ORDENES'!$AH$4:$AH$1203,$AH55,'ORDENES'!$O$4:$O$1203,$O55,'ORDENES'!$S$4:$S$1203,$S55))</f>
        <v/>
      </c>
      <c r="AK55" s="42">
        <f>IF($AJ55="","",p_factor_productividad*IFERROR(INDEX('ASIGNACIONES'!$M$4:$M$451,MATCH($O55&amp;"|"&amp;$S55&amp;"|"&amp;$AH55,'ASIGNACIONES'!$N$4:$N$451,0)),0)-$AJ55)</f>
        <v/>
      </c>
      <c r="AL55" s="32">
        <f>IF($A55="","",IFERROR(INDEX('2_IMPORTAR_EJECUCION'!$F$9:$F$1208,MATCH($AU55,'2_IMPORTAR_EJECUCION'!$J$9:$J$1208,0)),0))</f>
        <v/>
      </c>
      <c r="AM55" s="32">
        <f>IF($A55="","",MAX(0,IFERROR(INDEX('2_IMPORTAR_EJECUCION'!$H$9:$H$1208,MATCH($AU55,'2_IMPORTAR_EJECUCION'!$J$9:$J$1208,0)),0)-$AL55))</f>
        <v/>
      </c>
      <c r="AN55" s="32">
        <f>IF($A55="","",$AL55+$AM55)</f>
        <v/>
      </c>
      <c r="AO55" s="24">
        <f>IF($A55="","",IF(OR((IFERROR(INDEX('CAT_ACTIVIDADES'!$D$4:$D$26,MATCH($H55,'CAT_ACTIVIDADES'!$A$4:$A$26,0)),""))=0,(IFERROR(INDEX('CAT_ACTIVIDADES'!$D$4:$D$26,MATCH($H55,'CAT_ACTIVIDADES'!$A$4:$A$26,0)),""))=""),"SIN CLASIFICAR",IFERROR(INDEX('CAT_ACTIVIDADES'!$D$4:$D$26,MATCH($H55,'CAT_ACTIVIDADES'!$A$4:$A$26,0)),"")))</f>
        <v/>
      </c>
      <c r="AP55" s="4" t="n"/>
      <c r="AQ55" s="4" t="n"/>
      <c r="AR55" s="4" t="n"/>
      <c r="AS55" s="24">
        <f>IF($AR55="","",HYPERLINK(p_ruta_base_checklists&amp;$AR55,"abrir"))</f>
        <v/>
      </c>
      <c r="AT55" s="4" t="n"/>
      <c r="AU55" s="24">
        <f>IF($A55="","",$A55&amp;IF($B55="","0010",$B55))</f>
        <v/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41" t="n"/>
      <c r="K56" s="5" t="n"/>
      <c r="L56" s="18" t="n"/>
      <c r="M56" s="24">
        <f>IF($A56="","",IFERROR(INDEX('AJUSTES'!$B$4:$B$303,MATCH($AU56,'AJUSTES'!$A$4:$A$303,0)),IF($K56="","",$K56)))</f>
        <v/>
      </c>
      <c r="N56" s="24">
        <f>IF($A56="","",IFERROR(INDEX('CAT_ESTADOS_ERP'!$B$4:$B$22,MATCH(IFERROR(INDEX('2_IMPORTAR_EJECUCION'!$C$9:$C$1208,MATCH($AU56,'2_IMPORTAR_EJECUCION'!$J$9:$J$1208,0)),""),'CAT_ESTADOS_ERP'!$A$4:$A$22,0)),"Pendiente"))</f>
        <v/>
      </c>
      <c r="O56" s="24">
        <f>IF($J56="","",YEAR($J56+4-WEEKDAY($J56,2))&amp;"-S"&amp;TEXT(_xlfn.ISOWEEKNUM($J56),"00"))</f>
        <v/>
      </c>
      <c r="P56" s="24">
        <f>IF($J56="","",YEAR($J56))</f>
        <v/>
      </c>
      <c r="Q56" s="24">
        <f>IF($J56="","",MONTH($J56))</f>
        <v/>
      </c>
      <c r="R56" s="24">
        <f>IF($J56="","",$P56&amp;"-"&amp;TEXT($Q56,"00"))</f>
        <v/>
      </c>
      <c r="S56" s="24">
        <f>IF($J56="","",INDEX(lista_dias,WEEKDAY($J56,2)))</f>
        <v/>
      </c>
      <c r="T56" s="24">
        <f>IF($J56="","",IFERROR(INDEX('CALENDARIO'!$C$15:$C$214,MATCH(TEXT($J56,"yyyy-mm-dd")&amp;"|"&amp;$Y56&amp;"|"&amp;$Z56,'CALENDARIO'!$G$15:$G$214,0)),IFERROR(INDEX('CALENDARIO'!$C$15:$C$214,MATCH(TEXT($J56,"yyyy-mm-dd")&amp;"|"&amp;$Y56&amp;"|",'CALENDARIO'!$G$15:$G$214,0)),IFERROR(INDEX('CALENDARIO'!$C$15:$C$214,MATCH(TEXT($J56,"yyyy-mm-dd")&amp;"||",'CALENDARIO'!$G$15:$G$214,0)),INDEX(patronHabil,WEEKDAY($J56,2))))))</f>
        <v/>
      </c>
      <c r="U56" s="24">
        <f>IF($I56="","",IFERROR(INDEX('CAT_TIPOS_OT'!$C$4:$C$23,MATCH($I56,'CAT_TIPOS_OT'!$A$4:$A$23,0)),"sin_clasificar"))</f>
        <v/>
      </c>
      <c r="V56" s="24">
        <f>IF($I56="","",IF(IFERROR(INDEX('CAT_TIPOS_OT'!$D$4:$D$23,MATCH($I56,'CAT_TIPOS_OT'!$A$4:$A$23,0)),"SIN CLASIFICAR")="","SIN CLASIFICAR",IFERROR(INDEX('CAT_TIPOS_OT'!$D$4:$D$23,MATCH($I56,'CAT_TIPOS_OT'!$A$4:$A$23,0)),"SIN CLASIFICAR")))</f>
        <v/>
      </c>
      <c r="W56" s="24">
        <f>IF($H56="","",IF(IFERROR(INDEX('CAT_ACTIVIDADES'!$F$4:$F$26,MATCH($H56,'CAT_ACTIVIDADES'!$A$4:$A$26,0)),"")=0,"",IFERROR(INDEX('CAT_ACTIVIDADES'!$F$4:$F$26,MATCH($H56,'CAT_ACTIVIDADES'!$A$4:$A$26,0)),"")))</f>
        <v/>
      </c>
      <c r="X56" s="24">
        <f>IF($F56="","",IFERROR(INDEX('CAT_CENTROS_COSTO'!$F$4:$F$28,MATCH($F56,'CAT_CENTROS_COSTO'!$A$4:$A$28,0)),"(sin catálogo)"))</f>
        <v/>
      </c>
      <c r="Y56" s="24">
        <f>IF($F56="","",IFERROR(INDEX('CAT_CENTROS_COSTO'!$D$4:$D$28,MATCH($F56,'CAT_CENTROS_COSTO'!$A$4:$A$28,0)),"(sin catálogo)"))</f>
        <v/>
      </c>
      <c r="Z56" s="24">
        <f>IF($F56="","",IF((IFERROR(INDEX('CAT_CENTROS_COSTO'!$E$4:$E$28,MATCH($F56,'CAT_CENTROS_COSTO'!$A$4:$A$28,0)),""))&lt;&gt;"",IFERROR(INDEX('CAT_CENTROS_COSTO'!$E$4:$E$28,MATCH($F56,'CAT_CENTROS_COSTO'!$A$4:$A$28,0)),""),$Y56))</f>
        <v/>
      </c>
      <c r="AA56" s="24">
        <f>IF($F56="","",IFERROR(INDEX('CAT_CENTROS_COSTO'!$G$4:$G$28,MATCH($F56,'CAT_CENTROS_COSTO'!$A$4:$A$28,0)),"(sin catálogo)"))</f>
        <v/>
      </c>
      <c r="AB56" s="24">
        <f>IF($G56="","",IFERROR(INDEX('CAT_PUESTOS'!$B$4:$B$23,MATCH($G56,'CAT_PUESTOS'!$A$4:$A$23,0)),"(sin catálogo)"))</f>
        <v/>
      </c>
      <c r="AC56" s="24">
        <f>IF($H56="","",IFERROR(INDEX('CAT_ACTIVIDADES'!$B$4:$B$26,MATCH($H56,'CAT_ACTIVIDADES'!$A$4:$A$26,0)),"(sin catálogo)"))</f>
        <v/>
      </c>
      <c r="AD56" s="26">
        <f>IF($J56="","",TODAY()-$J56)</f>
        <v/>
      </c>
      <c r="AE56" s="26">
        <f>IF($J56="","",IF($J56&lt;=TODAY(),COUNTIFS(cal_fechas,"&gt;="&amp;$J56,cal_fechas,"&lt;"&amp;TODAY(),cal_habil,"sí"),-COUNTIFS(cal_fechas,"&gt;="&amp;TODAY(),cal_fechas,"&lt;"&amp;$J56,cal_habil,"sí")))</f>
        <v/>
      </c>
      <c r="AF56" s="24">
        <f>IF($AE56="","",IF($AE56&lt;0,"FUTURO",IF($AE56&gt;p_dias_backlog_max,"BACKLOG","MES CORRIENTE")))</f>
        <v/>
      </c>
      <c r="AG56" s="24">
        <f>IF($AE56="",FALSE,AND($AE56&gt;p_dias_backlog_min,$AE56&lt;=p_dias_backlog_max))</f>
        <v/>
      </c>
      <c r="AH56" s="4" t="n"/>
      <c r="AI56" s="24">
        <f>IF($AH56="","",IF((IFERROR(INDEX('ASIGNACIONES'!$J$4:$J$451,MATCH($O56&amp;"|"&amp;$S56&amp;"|"&amp;$AH56,'ASIGNACIONES'!$N$4:$N$451,0)),""))=0,"",IFERROR(INDEX('ASIGNACIONES'!$J$4:$J$451,MATCH($O56&amp;"|"&amp;$S56&amp;"|"&amp;$AH56,'ASIGNACIONES'!$N$4:$N$451,0)),"")))</f>
        <v/>
      </c>
      <c r="AJ56" s="42">
        <f>IF($AH56="","",SUMIFS('ORDENES'!$M$4:$M$1203,'ORDENES'!$AH$4:$AH$1203,$AH56,'ORDENES'!$O$4:$O$1203,$O56,'ORDENES'!$S$4:$S$1203,$S56))</f>
        <v/>
      </c>
      <c r="AK56" s="42">
        <f>IF($AJ56="","",p_factor_productividad*IFERROR(INDEX('ASIGNACIONES'!$M$4:$M$451,MATCH($O56&amp;"|"&amp;$S56&amp;"|"&amp;$AH56,'ASIGNACIONES'!$N$4:$N$451,0)),0)-$AJ56)</f>
        <v/>
      </c>
      <c r="AL56" s="32">
        <f>IF($A56="","",IFERROR(INDEX('2_IMPORTAR_EJECUCION'!$F$9:$F$1208,MATCH($AU56,'2_IMPORTAR_EJECUCION'!$J$9:$J$1208,0)),0))</f>
        <v/>
      </c>
      <c r="AM56" s="32">
        <f>IF($A56="","",MAX(0,IFERROR(INDEX('2_IMPORTAR_EJECUCION'!$H$9:$H$1208,MATCH($AU56,'2_IMPORTAR_EJECUCION'!$J$9:$J$1208,0)),0)-$AL56))</f>
        <v/>
      </c>
      <c r="AN56" s="32">
        <f>IF($A56="","",$AL56+$AM56)</f>
        <v/>
      </c>
      <c r="AO56" s="24">
        <f>IF($A56="","",IF(OR((IFERROR(INDEX('CAT_ACTIVIDADES'!$D$4:$D$26,MATCH($H56,'CAT_ACTIVIDADES'!$A$4:$A$26,0)),""))=0,(IFERROR(INDEX('CAT_ACTIVIDADES'!$D$4:$D$26,MATCH($H56,'CAT_ACTIVIDADES'!$A$4:$A$26,0)),""))=""),"SIN CLASIFICAR",IFERROR(INDEX('CAT_ACTIVIDADES'!$D$4:$D$26,MATCH($H56,'CAT_ACTIVIDADES'!$A$4:$A$26,0)),"")))</f>
        <v/>
      </c>
      <c r="AP56" s="4" t="n"/>
      <c r="AQ56" s="4" t="n"/>
      <c r="AR56" s="4" t="n"/>
      <c r="AS56" s="24">
        <f>IF($AR56="","",HYPERLINK(p_ruta_base_checklists&amp;$AR56,"abrir"))</f>
        <v/>
      </c>
      <c r="AT56" s="4" t="n"/>
      <c r="AU56" s="24">
        <f>IF($A56="","",$A56&amp;IF($B56="","0010",$B56))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41" t="n"/>
      <c r="K57" s="5" t="n"/>
      <c r="L57" s="18" t="n"/>
      <c r="M57" s="24">
        <f>IF($A57="","",IFERROR(INDEX('AJUSTES'!$B$4:$B$303,MATCH($AU57,'AJUSTES'!$A$4:$A$303,0)),IF($K57="","",$K57)))</f>
        <v/>
      </c>
      <c r="N57" s="24">
        <f>IF($A57="","",IFERROR(INDEX('CAT_ESTADOS_ERP'!$B$4:$B$22,MATCH(IFERROR(INDEX('2_IMPORTAR_EJECUCION'!$C$9:$C$1208,MATCH($AU57,'2_IMPORTAR_EJECUCION'!$J$9:$J$1208,0)),""),'CAT_ESTADOS_ERP'!$A$4:$A$22,0)),"Pendiente"))</f>
        <v/>
      </c>
      <c r="O57" s="24">
        <f>IF($J57="","",YEAR($J57+4-WEEKDAY($J57,2))&amp;"-S"&amp;TEXT(_xlfn.ISOWEEKNUM($J57),"00"))</f>
        <v/>
      </c>
      <c r="P57" s="24">
        <f>IF($J57="","",YEAR($J57))</f>
        <v/>
      </c>
      <c r="Q57" s="24">
        <f>IF($J57="","",MONTH($J57))</f>
        <v/>
      </c>
      <c r="R57" s="24">
        <f>IF($J57="","",$P57&amp;"-"&amp;TEXT($Q57,"00"))</f>
        <v/>
      </c>
      <c r="S57" s="24">
        <f>IF($J57="","",INDEX(lista_dias,WEEKDAY($J57,2)))</f>
        <v/>
      </c>
      <c r="T57" s="24">
        <f>IF($J57="","",IFERROR(INDEX('CALENDARIO'!$C$15:$C$214,MATCH(TEXT($J57,"yyyy-mm-dd")&amp;"|"&amp;$Y57&amp;"|"&amp;$Z57,'CALENDARIO'!$G$15:$G$214,0)),IFERROR(INDEX('CALENDARIO'!$C$15:$C$214,MATCH(TEXT($J57,"yyyy-mm-dd")&amp;"|"&amp;$Y57&amp;"|",'CALENDARIO'!$G$15:$G$214,0)),IFERROR(INDEX('CALENDARIO'!$C$15:$C$214,MATCH(TEXT($J57,"yyyy-mm-dd")&amp;"||",'CALENDARIO'!$G$15:$G$214,0)),INDEX(patronHabil,WEEKDAY($J57,2))))))</f>
        <v/>
      </c>
      <c r="U57" s="24">
        <f>IF($I57="","",IFERROR(INDEX('CAT_TIPOS_OT'!$C$4:$C$23,MATCH($I57,'CAT_TIPOS_OT'!$A$4:$A$23,0)),"sin_clasificar"))</f>
        <v/>
      </c>
      <c r="V57" s="24">
        <f>IF($I57="","",IF(IFERROR(INDEX('CAT_TIPOS_OT'!$D$4:$D$23,MATCH($I57,'CAT_TIPOS_OT'!$A$4:$A$23,0)),"SIN CLASIFICAR")="","SIN CLASIFICAR",IFERROR(INDEX('CAT_TIPOS_OT'!$D$4:$D$23,MATCH($I57,'CAT_TIPOS_OT'!$A$4:$A$23,0)),"SIN CLASIFICAR")))</f>
        <v/>
      </c>
      <c r="W57" s="24">
        <f>IF($H57="","",IF(IFERROR(INDEX('CAT_ACTIVIDADES'!$F$4:$F$26,MATCH($H57,'CAT_ACTIVIDADES'!$A$4:$A$26,0)),"")=0,"",IFERROR(INDEX('CAT_ACTIVIDADES'!$F$4:$F$26,MATCH($H57,'CAT_ACTIVIDADES'!$A$4:$A$26,0)),"")))</f>
        <v/>
      </c>
      <c r="X57" s="24">
        <f>IF($F57="","",IFERROR(INDEX('CAT_CENTROS_COSTO'!$F$4:$F$28,MATCH($F57,'CAT_CENTROS_COSTO'!$A$4:$A$28,0)),"(sin catálogo)"))</f>
        <v/>
      </c>
      <c r="Y57" s="24">
        <f>IF($F57="","",IFERROR(INDEX('CAT_CENTROS_COSTO'!$D$4:$D$28,MATCH($F57,'CAT_CENTROS_COSTO'!$A$4:$A$28,0)),"(sin catálogo)"))</f>
        <v/>
      </c>
      <c r="Z57" s="24">
        <f>IF($F57="","",IF((IFERROR(INDEX('CAT_CENTROS_COSTO'!$E$4:$E$28,MATCH($F57,'CAT_CENTROS_COSTO'!$A$4:$A$28,0)),""))&lt;&gt;"",IFERROR(INDEX('CAT_CENTROS_COSTO'!$E$4:$E$28,MATCH($F57,'CAT_CENTROS_COSTO'!$A$4:$A$28,0)),""),$Y57))</f>
        <v/>
      </c>
      <c r="AA57" s="24">
        <f>IF($F57="","",IFERROR(INDEX('CAT_CENTROS_COSTO'!$G$4:$G$28,MATCH($F57,'CAT_CENTROS_COSTO'!$A$4:$A$28,0)),"(sin catálogo)"))</f>
        <v/>
      </c>
      <c r="AB57" s="24">
        <f>IF($G57="","",IFERROR(INDEX('CAT_PUESTOS'!$B$4:$B$23,MATCH($G57,'CAT_PUESTOS'!$A$4:$A$23,0)),"(sin catálogo)"))</f>
        <v/>
      </c>
      <c r="AC57" s="24">
        <f>IF($H57="","",IFERROR(INDEX('CAT_ACTIVIDADES'!$B$4:$B$26,MATCH($H57,'CAT_ACTIVIDADES'!$A$4:$A$26,0)),"(sin catálogo)"))</f>
        <v/>
      </c>
      <c r="AD57" s="26">
        <f>IF($J57="","",TODAY()-$J57)</f>
        <v/>
      </c>
      <c r="AE57" s="26">
        <f>IF($J57="","",IF($J57&lt;=TODAY(),COUNTIFS(cal_fechas,"&gt;="&amp;$J57,cal_fechas,"&lt;"&amp;TODAY(),cal_habil,"sí"),-COUNTIFS(cal_fechas,"&gt;="&amp;TODAY(),cal_fechas,"&lt;"&amp;$J57,cal_habil,"sí")))</f>
        <v/>
      </c>
      <c r="AF57" s="24">
        <f>IF($AE57="","",IF($AE57&lt;0,"FUTURO",IF($AE57&gt;p_dias_backlog_max,"BACKLOG","MES CORRIENTE")))</f>
        <v/>
      </c>
      <c r="AG57" s="24">
        <f>IF($AE57="",FALSE,AND($AE57&gt;p_dias_backlog_min,$AE57&lt;=p_dias_backlog_max))</f>
        <v/>
      </c>
      <c r="AH57" s="4" t="n"/>
      <c r="AI57" s="24">
        <f>IF($AH57="","",IF((IFERROR(INDEX('ASIGNACIONES'!$J$4:$J$451,MATCH($O57&amp;"|"&amp;$S57&amp;"|"&amp;$AH57,'ASIGNACIONES'!$N$4:$N$451,0)),""))=0,"",IFERROR(INDEX('ASIGNACIONES'!$J$4:$J$451,MATCH($O57&amp;"|"&amp;$S57&amp;"|"&amp;$AH57,'ASIGNACIONES'!$N$4:$N$451,0)),"")))</f>
        <v/>
      </c>
      <c r="AJ57" s="42">
        <f>IF($AH57="","",SUMIFS('ORDENES'!$M$4:$M$1203,'ORDENES'!$AH$4:$AH$1203,$AH57,'ORDENES'!$O$4:$O$1203,$O57,'ORDENES'!$S$4:$S$1203,$S57))</f>
        <v/>
      </c>
      <c r="AK57" s="42">
        <f>IF($AJ57="","",p_factor_productividad*IFERROR(INDEX('ASIGNACIONES'!$M$4:$M$451,MATCH($O57&amp;"|"&amp;$S57&amp;"|"&amp;$AH57,'ASIGNACIONES'!$N$4:$N$451,0)),0)-$AJ57)</f>
        <v/>
      </c>
      <c r="AL57" s="32">
        <f>IF($A57="","",IFERROR(INDEX('2_IMPORTAR_EJECUCION'!$F$9:$F$1208,MATCH($AU57,'2_IMPORTAR_EJECUCION'!$J$9:$J$1208,0)),0))</f>
        <v/>
      </c>
      <c r="AM57" s="32">
        <f>IF($A57="","",MAX(0,IFERROR(INDEX('2_IMPORTAR_EJECUCION'!$H$9:$H$1208,MATCH($AU57,'2_IMPORTAR_EJECUCION'!$J$9:$J$1208,0)),0)-$AL57))</f>
        <v/>
      </c>
      <c r="AN57" s="32">
        <f>IF($A57="","",$AL57+$AM57)</f>
        <v/>
      </c>
      <c r="AO57" s="24">
        <f>IF($A57="","",IF(OR((IFERROR(INDEX('CAT_ACTIVIDADES'!$D$4:$D$26,MATCH($H57,'CAT_ACTIVIDADES'!$A$4:$A$26,0)),""))=0,(IFERROR(INDEX('CAT_ACTIVIDADES'!$D$4:$D$26,MATCH($H57,'CAT_ACTIVIDADES'!$A$4:$A$26,0)),""))=""),"SIN CLASIFICAR",IFERROR(INDEX('CAT_ACTIVIDADES'!$D$4:$D$26,MATCH($H57,'CAT_ACTIVIDADES'!$A$4:$A$26,0)),"")))</f>
        <v/>
      </c>
      <c r="AP57" s="4" t="n"/>
      <c r="AQ57" s="4" t="n"/>
      <c r="AR57" s="4" t="n"/>
      <c r="AS57" s="24">
        <f>IF($AR57="","",HYPERLINK(p_ruta_base_checklists&amp;$AR57,"abrir"))</f>
        <v/>
      </c>
      <c r="AT57" s="4" t="n"/>
      <c r="AU57" s="24">
        <f>IF($A57="","",$A57&amp;IF($B57="","0010",$B57))</f>
        <v/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41" t="n"/>
      <c r="K58" s="5" t="n"/>
      <c r="L58" s="18" t="n"/>
      <c r="M58" s="24">
        <f>IF($A58="","",IFERROR(INDEX('AJUSTES'!$B$4:$B$303,MATCH($AU58,'AJUSTES'!$A$4:$A$303,0)),IF($K58="","",$K58)))</f>
        <v/>
      </c>
      <c r="N58" s="24">
        <f>IF($A58="","",IFERROR(INDEX('CAT_ESTADOS_ERP'!$B$4:$B$22,MATCH(IFERROR(INDEX('2_IMPORTAR_EJECUCION'!$C$9:$C$1208,MATCH($AU58,'2_IMPORTAR_EJECUCION'!$J$9:$J$1208,0)),""),'CAT_ESTADOS_ERP'!$A$4:$A$22,0)),"Pendiente"))</f>
        <v/>
      </c>
      <c r="O58" s="24">
        <f>IF($J58="","",YEAR($J58+4-WEEKDAY($J58,2))&amp;"-S"&amp;TEXT(_xlfn.ISOWEEKNUM($J58),"00"))</f>
        <v/>
      </c>
      <c r="P58" s="24">
        <f>IF($J58="","",YEAR($J58))</f>
        <v/>
      </c>
      <c r="Q58" s="24">
        <f>IF($J58="","",MONTH($J58))</f>
        <v/>
      </c>
      <c r="R58" s="24">
        <f>IF($J58="","",$P58&amp;"-"&amp;TEXT($Q58,"00"))</f>
        <v/>
      </c>
      <c r="S58" s="24">
        <f>IF($J58="","",INDEX(lista_dias,WEEKDAY($J58,2)))</f>
        <v/>
      </c>
      <c r="T58" s="24">
        <f>IF($J58="","",IFERROR(INDEX('CALENDARIO'!$C$15:$C$214,MATCH(TEXT($J58,"yyyy-mm-dd")&amp;"|"&amp;$Y58&amp;"|"&amp;$Z58,'CALENDARIO'!$G$15:$G$214,0)),IFERROR(INDEX('CALENDARIO'!$C$15:$C$214,MATCH(TEXT($J58,"yyyy-mm-dd")&amp;"|"&amp;$Y58&amp;"|",'CALENDARIO'!$G$15:$G$214,0)),IFERROR(INDEX('CALENDARIO'!$C$15:$C$214,MATCH(TEXT($J58,"yyyy-mm-dd")&amp;"||",'CALENDARIO'!$G$15:$G$214,0)),INDEX(patronHabil,WEEKDAY($J58,2))))))</f>
        <v/>
      </c>
      <c r="U58" s="24">
        <f>IF($I58="","",IFERROR(INDEX('CAT_TIPOS_OT'!$C$4:$C$23,MATCH($I58,'CAT_TIPOS_OT'!$A$4:$A$23,0)),"sin_clasificar"))</f>
        <v/>
      </c>
      <c r="V58" s="24">
        <f>IF($I58="","",IF(IFERROR(INDEX('CAT_TIPOS_OT'!$D$4:$D$23,MATCH($I58,'CAT_TIPOS_OT'!$A$4:$A$23,0)),"SIN CLASIFICAR")="","SIN CLASIFICAR",IFERROR(INDEX('CAT_TIPOS_OT'!$D$4:$D$23,MATCH($I58,'CAT_TIPOS_OT'!$A$4:$A$23,0)),"SIN CLASIFICAR")))</f>
        <v/>
      </c>
      <c r="W58" s="24">
        <f>IF($H58="","",IF(IFERROR(INDEX('CAT_ACTIVIDADES'!$F$4:$F$26,MATCH($H58,'CAT_ACTIVIDADES'!$A$4:$A$26,0)),"")=0,"",IFERROR(INDEX('CAT_ACTIVIDADES'!$F$4:$F$26,MATCH($H58,'CAT_ACTIVIDADES'!$A$4:$A$26,0)),"")))</f>
        <v/>
      </c>
      <c r="X58" s="24">
        <f>IF($F58="","",IFERROR(INDEX('CAT_CENTROS_COSTO'!$F$4:$F$28,MATCH($F58,'CAT_CENTROS_COSTO'!$A$4:$A$28,0)),"(sin catálogo)"))</f>
        <v/>
      </c>
      <c r="Y58" s="24">
        <f>IF($F58="","",IFERROR(INDEX('CAT_CENTROS_COSTO'!$D$4:$D$28,MATCH($F58,'CAT_CENTROS_COSTO'!$A$4:$A$28,0)),"(sin catálogo)"))</f>
        <v/>
      </c>
      <c r="Z58" s="24">
        <f>IF($F58="","",IF((IFERROR(INDEX('CAT_CENTROS_COSTO'!$E$4:$E$28,MATCH($F58,'CAT_CENTROS_COSTO'!$A$4:$A$28,0)),""))&lt;&gt;"",IFERROR(INDEX('CAT_CENTROS_COSTO'!$E$4:$E$28,MATCH($F58,'CAT_CENTROS_COSTO'!$A$4:$A$28,0)),""),$Y58))</f>
        <v/>
      </c>
      <c r="AA58" s="24">
        <f>IF($F58="","",IFERROR(INDEX('CAT_CENTROS_COSTO'!$G$4:$G$28,MATCH($F58,'CAT_CENTROS_COSTO'!$A$4:$A$28,0)),"(sin catálogo)"))</f>
        <v/>
      </c>
      <c r="AB58" s="24">
        <f>IF($G58="","",IFERROR(INDEX('CAT_PUESTOS'!$B$4:$B$23,MATCH($G58,'CAT_PUESTOS'!$A$4:$A$23,0)),"(sin catálogo)"))</f>
        <v/>
      </c>
      <c r="AC58" s="24">
        <f>IF($H58="","",IFERROR(INDEX('CAT_ACTIVIDADES'!$B$4:$B$26,MATCH($H58,'CAT_ACTIVIDADES'!$A$4:$A$26,0)),"(sin catálogo)"))</f>
        <v/>
      </c>
      <c r="AD58" s="26">
        <f>IF($J58="","",TODAY()-$J58)</f>
        <v/>
      </c>
      <c r="AE58" s="26">
        <f>IF($J58="","",IF($J58&lt;=TODAY(),COUNTIFS(cal_fechas,"&gt;="&amp;$J58,cal_fechas,"&lt;"&amp;TODAY(),cal_habil,"sí"),-COUNTIFS(cal_fechas,"&gt;="&amp;TODAY(),cal_fechas,"&lt;"&amp;$J58,cal_habil,"sí")))</f>
        <v/>
      </c>
      <c r="AF58" s="24">
        <f>IF($AE58="","",IF($AE58&lt;0,"FUTURO",IF($AE58&gt;p_dias_backlog_max,"BACKLOG","MES CORRIENTE")))</f>
        <v/>
      </c>
      <c r="AG58" s="24">
        <f>IF($AE58="",FALSE,AND($AE58&gt;p_dias_backlog_min,$AE58&lt;=p_dias_backlog_max))</f>
        <v/>
      </c>
      <c r="AH58" s="4" t="n"/>
      <c r="AI58" s="24">
        <f>IF($AH58="","",IF((IFERROR(INDEX('ASIGNACIONES'!$J$4:$J$451,MATCH($O58&amp;"|"&amp;$S58&amp;"|"&amp;$AH58,'ASIGNACIONES'!$N$4:$N$451,0)),""))=0,"",IFERROR(INDEX('ASIGNACIONES'!$J$4:$J$451,MATCH($O58&amp;"|"&amp;$S58&amp;"|"&amp;$AH58,'ASIGNACIONES'!$N$4:$N$451,0)),"")))</f>
        <v/>
      </c>
      <c r="AJ58" s="42">
        <f>IF($AH58="","",SUMIFS('ORDENES'!$M$4:$M$1203,'ORDENES'!$AH$4:$AH$1203,$AH58,'ORDENES'!$O$4:$O$1203,$O58,'ORDENES'!$S$4:$S$1203,$S58))</f>
        <v/>
      </c>
      <c r="AK58" s="42">
        <f>IF($AJ58="","",p_factor_productividad*IFERROR(INDEX('ASIGNACIONES'!$M$4:$M$451,MATCH($O58&amp;"|"&amp;$S58&amp;"|"&amp;$AH58,'ASIGNACIONES'!$N$4:$N$451,0)),0)-$AJ58)</f>
        <v/>
      </c>
      <c r="AL58" s="32">
        <f>IF($A58="","",IFERROR(INDEX('2_IMPORTAR_EJECUCION'!$F$9:$F$1208,MATCH($AU58,'2_IMPORTAR_EJECUCION'!$J$9:$J$1208,0)),0))</f>
        <v/>
      </c>
      <c r="AM58" s="32">
        <f>IF($A58="","",MAX(0,IFERROR(INDEX('2_IMPORTAR_EJECUCION'!$H$9:$H$1208,MATCH($AU58,'2_IMPORTAR_EJECUCION'!$J$9:$J$1208,0)),0)-$AL58))</f>
        <v/>
      </c>
      <c r="AN58" s="32">
        <f>IF($A58="","",$AL58+$AM58)</f>
        <v/>
      </c>
      <c r="AO58" s="24">
        <f>IF($A58="","",IF(OR((IFERROR(INDEX('CAT_ACTIVIDADES'!$D$4:$D$26,MATCH($H58,'CAT_ACTIVIDADES'!$A$4:$A$26,0)),""))=0,(IFERROR(INDEX('CAT_ACTIVIDADES'!$D$4:$D$26,MATCH($H58,'CAT_ACTIVIDADES'!$A$4:$A$26,0)),""))=""),"SIN CLASIFICAR",IFERROR(INDEX('CAT_ACTIVIDADES'!$D$4:$D$26,MATCH($H58,'CAT_ACTIVIDADES'!$A$4:$A$26,0)),"")))</f>
        <v/>
      </c>
      <c r="AP58" s="4" t="n"/>
      <c r="AQ58" s="4" t="n"/>
      <c r="AR58" s="4" t="n"/>
      <c r="AS58" s="24">
        <f>IF($AR58="","",HYPERLINK(p_ruta_base_checklists&amp;$AR58,"abrir"))</f>
        <v/>
      </c>
      <c r="AT58" s="4" t="n"/>
      <c r="AU58" s="24">
        <f>IF($A58="","",$A58&amp;IF($B58="","0010",$B58))</f>
        <v/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41" t="n"/>
      <c r="K59" s="5" t="n"/>
      <c r="L59" s="18" t="n"/>
      <c r="M59" s="24">
        <f>IF($A59="","",IFERROR(INDEX('AJUSTES'!$B$4:$B$303,MATCH($AU59,'AJUSTES'!$A$4:$A$303,0)),IF($K59="","",$K59)))</f>
        <v/>
      </c>
      <c r="N59" s="24">
        <f>IF($A59="","",IFERROR(INDEX('CAT_ESTADOS_ERP'!$B$4:$B$22,MATCH(IFERROR(INDEX('2_IMPORTAR_EJECUCION'!$C$9:$C$1208,MATCH($AU59,'2_IMPORTAR_EJECUCION'!$J$9:$J$1208,0)),""),'CAT_ESTADOS_ERP'!$A$4:$A$22,0)),"Pendiente"))</f>
        <v/>
      </c>
      <c r="O59" s="24">
        <f>IF($J59="","",YEAR($J59+4-WEEKDAY($J59,2))&amp;"-S"&amp;TEXT(_xlfn.ISOWEEKNUM($J59),"00"))</f>
        <v/>
      </c>
      <c r="P59" s="24">
        <f>IF($J59="","",YEAR($J59))</f>
        <v/>
      </c>
      <c r="Q59" s="24">
        <f>IF($J59="","",MONTH($J59))</f>
        <v/>
      </c>
      <c r="R59" s="24">
        <f>IF($J59="","",$P59&amp;"-"&amp;TEXT($Q59,"00"))</f>
        <v/>
      </c>
      <c r="S59" s="24">
        <f>IF($J59="","",INDEX(lista_dias,WEEKDAY($J59,2)))</f>
        <v/>
      </c>
      <c r="T59" s="24">
        <f>IF($J59="","",IFERROR(INDEX('CALENDARIO'!$C$15:$C$214,MATCH(TEXT($J59,"yyyy-mm-dd")&amp;"|"&amp;$Y59&amp;"|"&amp;$Z59,'CALENDARIO'!$G$15:$G$214,0)),IFERROR(INDEX('CALENDARIO'!$C$15:$C$214,MATCH(TEXT($J59,"yyyy-mm-dd")&amp;"|"&amp;$Y59&amp;"|",'CALENDARIO'!$G$15:$G$214,0)),IFERROR(INDEX('CALENDARIO'!$C$15:$C$214,MATCH(TEXT($J59,"yyyy-mm-dd")&amp;"||",'CALENDARIO'!$G$15:$G$214,0)),INDEX(patronHabil,WEEKDAY($J59,2))))))</f>
        <v/>
      </c>
      <c r="U59" s="24">
        <f>IF($I59="","",IFERROR(INDEX('CAT_TIPOS_OT'!$C$4:$C$23,MATCH($I59,'CAT_TIPOS_OT'!$A$4:$A$23,0)),"sin_clasificar"))</f>
        <v/>
      </c>
      <c r="V59" s="24">
        <f>IF($I59="","",IF(IFERROR(INDEX('CAT_TIPOS_OT'!$D$4:$D$23,MATCH($I59,'CAT_TIPOS_OT'!$A$4:$A$23,0)),"SIN CLASIFICAR")="","SIN CLASIFICAR",IFERROR(INDEX('CAT_TIPOS_OT'!$D$4:$D$23,MATCH($I59,'CAT_TIPOS_OT'!$A$4:$A$23,0)),"SIN CLASIFICAR")))</f>
        <v/>
      </c>
      <c r="W59" s="24">
        <f>IF($H59="","",IF(IFERROR(INDEX('CAT_ACTIVIDADES'!$F$4:$F$26,MATCH($H59,'CAT_ACTIVIDADES'!$A$4:$A$26,0)),"")=0,"",IFERROR(INDEX('CAT_ACTIVIDADES'!$F$4:$F$26,MATCH($H59,'CAT_ACTIVIDADES'!$A$4:$A$26,0)),"")))</f>
        <v/>
      </c>
      <c r="X59" s="24">
        <f>IF($F59="","",IFERROR(INDEX('CAT_CENTROS_COSTO'!$F$4:$F$28,MATCH($F59,'CAT_CENTROS_COSTO'!$A$4:$A$28,0)),"(sin catálogo)"))</f>
        <v/>
      </c>
      <c r="Y59" s="24">
        <f>IF($F59="","",IFERROR(INDEX('CAT_CENTROS_COSTO'!$D$4:$D$28,MATCH($F59,'CAT_CENTROS_COSTO'!$A$4:$A$28,0)),"(sin catálogo)"))</f>
        <v/>
      </c>
      <c r="Z59" s="24">
        <f>IF($F59="","",IF((IFERROR(INDEX('CAT_CENTROS_COSTO'!$E$4:$E$28,MATCH($F59,'CAT_CENTROS_COSTO'!$A$4:$A$28,0)),""))&lt;&gt;"",IFERROR(INDEX('CAT_CENTROS_COSTO'!$E$4:$E$28,MATCH($F59,'CAT_CENTROS_COSTO'!$A$4:$A$28,0)),""),$Y59))</f>
        <v/>
      </c>
      <c r="AA59" s="24">
        <f>IF($F59="","",IFERROR(INDEX('CAT_CENTROS_COSTO'!$G$4:$G$28,MATCH($F59,'CAT_CENTROS_COSTO'!$A$4:$A$28,0)),"(sin catálogo)"))</f>
        <v/>
      </c>
      <c r="AB59" s="24">
        <f>IF($G59="","",IFERROR(INDEX('CAT_PUESTOS'!$B$4:$B$23,MATCH($G59,'CAT_PUESTOS'!$A$4:$A$23,0)),"(sin catálogo)"))</f>
        <v/>
      </c>
      <c r="AC59" s="24">
        <f>IF($H59="","",IFERROR(INDEX('CAT_ACTIVIDADES'!$B$4:$B$26,MATCH($H59,'CAT_ACTIVIDADES'!$A$4:$A$26,0)),"(sin catálogo)"))</f>
        <v/>
      </c>
      <c r="AD59" s="26">
        <f>IF($J59="","",TODAY()-$J59)</f>
        <v/>
      </c>
      <c r="AE59" s="26">
        <f>IF($J59="","",IF($J59&lt;=TODAY(),COUNTIFS(cal_fechas,"&gt;="&amp;$J59,cal_fechas,"&lt;"&amp;TODAY(),cal_habil,"sí"),-COUNTIFS(cal_fechas,"&gt;="&amp;TODAY(),cal_fechas,"&lt;"&amp;$J59,cal_habil,"sí")))</f>
        <v/>
      </c>
      <c r="AF59" s="24">
        <f>IF($AE59="","",IF($AE59&lt;0,"FUTURO",IF($AE59&gt;p_dias_backlog_max,"BACKLOG","MES CORRIENTE")))</f>
        <v/>
      </c>
      <c r="AG59" s="24">
        <f>IF($AE59="",FALSE,AND($AE59&gt;p_dias_backlog_min,$AE59&lt;=p_dias_backlog_max))</f>
        <v/>
      </c>
      <c r="AH59" s="4" t="n"/>
      <c r="AI59" s="24">
        <f>IF($AH59="","",IF((IFERROR(INDEX('ASIGNACIONES'!$J$4:$J$451,MATCH($O59&amp;"|"&amp;$S59&amp;"|"&amp;$AH59,'ASIGNACIONES'!$N$4:$N$451,0)),""))=0,"",IFERROR(INDEX('ASIGNACIONES'!$J$4:$J$451,MATCH($O59&amp;"|"&amp;$S59&amp;"|"&amp;$AH59,'ASIGNACIONES'!$N$4:$N$451,0)),"")))</f>
        <v/>
      </c>
      <c r="AJ59" s="42">
        <f>IF($AH59="","",SUMIFS('ORDENES'!$M$4:$M$1203,'ORDENES'!$AH$4:$AH$1203,$AH59,'ORDENES'!$O$4:$O$1203,$O59,'ORDENES'!$S$4:$S$1203,$S59))</f>
        <v/>
      </c>
      <c r="AK59" s="42">
        <f>IF($AJ59="","",p_factor_productividad*IFERROR(INDEX('ASIGNACIONES'!$M$4:$M$451,MATCH($O59&amp;"|"&amp;$S59&amp;"|"&amp;$AH59,'ASIGNACIONES'!$N$4:$N$451,0)),0)-$AJ59)</f>
        <v/>
      </c>
      <c r="AL59" s="32">
        <f>IF($A59="","",IFERROR(INDEX('2_IMPORTAR_EJECUCION'!$F$9:$F$1208,MATCH($AU59,'2_IMPORTAR_EJECUCION'!$J$9:$J$1208,0)),0))</f>
        <v/>
      </c>
      <c r="AM59" s="32">
        <f>IF($A59="","",MAX(0,IFERROR(INDEX('2_IMPORTAR_EJECUCION'!$H$9:$H$1208,MATCH($AU59,'2_IMPORTAR_EJECUCION'!$J$9:$J$1208,0)),0)-$AL59))</f>
        <v/>
      </c>
      <c r="AN59" s="32">
        <f>IF($A59="","",$AL59+$AM59)</f>
        <v/>
      </c>
      <c r="AO59" s="24">
        <f>IF($A59="","",IF(OR((IFERROR(INDEX('CAT_ACTIVIDADES'!$D$4:$D$26,MATCH($H59,'CAT_ACTIVIDADES'!$A$4:$A$26,0)),""))=0,(IFERROR(INDEX('CAT_ACTIVIDADES'!$D$4:$D$26,MATCH($H59,'CAT_ACTIVIDADES'!$A$4:$A$26,0)),""))=""),"SIN CLASIFICAR",IFERROR(INDEX('CAT_ACTIVIDADES'!$D$4:$D$26,MATCH($H59,'CAT_ACTIVIDADES'!$A$4:$A$26,0)),"")))</f>
        <v/>
      </c>
      <c r="AP59" s="4" t="n"/>
      <c r="AQ59" s="4" t="n"/>
      <c r="AR59" s="4" t="n"/>
      <c r="AS59" s="24">
        <f>IF($AR59="","",HYPERLINK(p_ruta_base_checklists&amp;$AR59,"abrir"))</f>
        <v/>
      </c>
      <c r="AT59" s="4" t="n"/>
      <c r="AU59" s="24">
        <f>IF($A59="","",$A59&amp;IF($B59="","0010",$B59))</f>
        <v/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41" t="n"/>
      <c r="K60" s="5" t="n"/>
      <c r="L60" s="18" t="n"/>
      <c r="M60" s="24">
        <f>IF($A60="","",IFERROR(INDEX('AJUSTES'!$B$4:$B$303,MATCH($AU60,'AJUSTES'!$A$4:$A$303,0)),IF($K60="","",$K60)))</f>
        <v/>
      </c>
      <c r="N60" s="24">
        <f>IF($A60="","",IFERROR(INDEX('CAT_ESTADOS_ERP'!$B$4:$B$22,MATCH(IFERROR(INDEX('2_IMPORTAR_EJECUCION'!$C$9:$C$1208,MATCH($AU60,'2_IMPORTAR_EJECUCION'!$J$9:$J$1208,0)),""),'CAT_ESTADOS_ERP'!$A$4:$A$22,0)),"Pendiente"))</f>
        <v/>
      </c>
      <c r="O60" s="24">
        <f>IF($J60="","",YEAR($J60+4-WEEKDAY($J60,2))&amp;"-S"&amp;TEXT(_xlfn.ISOWEEKNUM($J60),"00"))</f>
        <v/>
      </c>
      <c r="P60" s="24">
        <f>IF($J60="","",YEAR($J60))</f>
        <v/>
      </c>
      <c r="Q60" s="24">
        <f>IF($J60="","",MONTH($J60))</f>
        <v/>
      </c>
      <c r="R60" s="24">
        <f>IF($J60="","",$P60&amp;"-"&amp;TEXT($Q60,"00"))</f>
        <v/>
      </c>
      <c r="S60" s="24">
        <f>IF($J60="","",INDEX(lista_dias,WEEKDAY($J60,2)))</f>
        <v/>
      </c>
      <c r="T60" s="24">
        <f>IF($J60="","",IFERROR(INDEX('CALENDARIO'!$C$15:$C$214,MATCH(TEXT($J60,"yyyy-mm-dd")&amp;"|"&amp;$Y60&amp;"|"&amp;$Z60,'CALENDARIO'!$G$15:$G$214,0)),IFERROR(INDEX('CALENDARIO'!$C$15:$C$214,MATCH(TEXT($J60,"yyyy-mm-dd")&amp;"|"&amp;$Y60&amp;"|",'CALENDARIO'!$G$15:$G$214,0)),IFERROR(INDEX('CALENDARIO'!$C$15:$C$214,MATCH(TEXT($J60,"yyyy-mm-dd")&amp;"||",'CALENDARIO'!$G$15:$G$214,0)),INDEX(patronHabil,WEEKDAY($J60,2))))))</f>
        <v/>
      </c>
      <c r="U60" s="24">
        <f>IF($I60="","",IFERROR(INDEX('CAT_TIPOS_OT'!$C$4:$C$23,MATCH($I60,'CAT_TIPOS_OT'!$A$4:$A$23,0)),"sin_clasificar"))</f>
        <v/>
      </c>
      <c r="V60" s="24">
        <f>IF($I60="","",IF(IFERROR(INDEX('CAT_TIPOS_OT'!$D$4:$D$23,MATCH($I60,'CAT_TIPOS_OT'!$A$4:$A$23,0)),"SIN CLASIFICAR")="","SIN CLASIFICAR",IFERROR(INDEX('CAT_TIPOS_OT'!$D$4:$D$23,MATCH($I60,'CAT_TIPOS_OT'!$A$4:$A$23,0)),"SIN CLASIFICAR")))</f>
        <v/>
      </c>
      <c r="W60" s="24">
        <f>IF($H60="","",IF(IFERROR(INDEX('CAT_ACTIVIDADES'!$F$4:$F$26,MATCH($H60,'CAT_ACTIVIDADES'!$A$4:$A$26,0)),"")=0,"",IFERROR(INDEX('CAT_ACTIVIDADES'!$F$4:$F$26,MATCH($H60,'CAT_ACTIVIDADES'!$A$4:$A$26,0)),"")))</f>
        <v/>
      </c>
      <c r="X60" s="24">
        <f>IF($F60="","",IFERROR(INDEX('CAT_CENTROS_COSTO'!$F$4:$F$28,MATCH($F60,'CAT_CENTROS_COSTO'!$A$4:$A$28,0)),"(sin catálogo)"))</f>
        <v/>
      </c>
      <c r="Y60" s="24">
        <f>IF($F60="","",IFERROR(INDEX('CAT_CENTROS_COSTO'!$D$4:$D$28,MATCH($F60,'CAT_CENTROS_COSTO'!$A$4:$A$28,0)),"(sin catálogo)"))</f>
        <v/>
      </c>
      <c r="Z60" s="24">
        <f>IF($F60="","",IF((IFERROR(INDEX('CAT_CENTROS_COSTO'!$E$4:$E$28,MATCH($F60,'CAT_CENTROS_COSTO'!$A$4:$A$28,0)),""))&lt;&gt;"",IFERROR(INDEX('CAT_CENTROS_COSTO'!$E$4:$E$28,MATCH($F60,'CAT_CENTROS_COSTO'!$A$4:$A$28,0)),""),$Y60))</f>
        <v/>
      </c>
      <c r="AA60" s="24">
        <f>IF($F60="","",IFERROR(INDEX('CAT_CENTROS_COSTO'!$G$4:$G$28,MATCH($F60,'CAT_CENTROS_COSTO'!$A$4:$A$28,0)),"(sin catálogo)"))</f>
        <v/>
      </c>
      <c r="AB60" s="24">
        <f>IF($G60="","",IFERROR(INDEX('CAT_PUESTOS'!$B$4:$B$23,MATCH($G60,'CAT_PUESTOS'!$A$4:$A$23,0)),"(sin catálogo)"))</f>
        <v/>
      </c>
      <c r="AC60" s="24">
        <f>IF($H60="","",IFERROR(INDEX('CAT_ACTIVIDADES'!$B$4:$B$26,MATCH($H60,'CAT_ACTIVIDADES'!$A$4:$A$26,0)),"(sin catálogo)"))</f>
        <v/>
      </c>
      <c r="AD60" s="26">
        <f>IF($J60="","",TODAY()-$J60)</f>
        <v/>
      </c>
      <c r="AE60" s="26">
        <f>IF($J60="","",IF($J60&lt;=TODAY(),COUNTIFS(cal_fechas,"&gt;="&amp;$J60,cal_fechas,"&lt;"&amp;TODAY(),cal_habil,"sí"),-COUNTIFS(cal_fechas,"&gt;="&amp;TODAY(),cal_fechas,"&lt;"&amp;$J60,cal_habil,"sí")))</f>
        <v/>
      </c>
      <c r="AF60" s="24">
        <f>IF($AE60="","",IF($AE60&lt;0,"FUTURO",IF($AE60&gt;p_dias_backlog_max,"BACKLOG","MES CORRIENTE")))</f>
        <v/>
      </c>
      <c r="AG60" s="24">
        <f>IF($AE60="",FALSE,AND($AE60&gt;p_dias_backlog_min,$AE60&lt;=p_dias_backlog_max))</f>
        <v/>
      </c>
      <c r="AH60" s="4" t="n"/>
      <c r="AI60" s="24">
        <f>IF($AH60="","",IF((IFERROR(INDEX('ASIGNACIONES'!$J$4:$J$451,MATCH($O60&amp;"|"&amp;$S60&amp;"|"&amp;$AH60,'ASIGNACIONES'!$N$4:$N$451,0)),""))=0,"",IFERROR(INDEX('ASIGNACIONES'!$J$4:$J$451,MATCH($O60&amp;"|"&amp;$S60&amp;"|"&amp;$AH60,'ASIGNACIONES'!$N$4:$N$451,0)),"")))</f>
        <v/>
      </c>
      <c r="AJ60" s="42">
        <f>IF($AH60="","",SUMIFS('ORDENES'!$M$4:$M$1203,'ORDENES'!$AH$4:$AH$1203,$AH60,'ORDENES'!$O$4:$O$1203,$O60,'ORDENES'!$S$4:$S$1203,$S60))</f>
        <v/>
      </c>
      <c r="AK60" s="42">
        <f>IF($AJ60="","",p_factor_productividad*IFERROR(INDEX('ASIGNACIONES'!$M$4:$M$451,MATCH($O60&amp;"|"&amp;$S60&amp;"|"&amp;$AH60,'ASIGNACIONES'!$N$4:$N$451,0)),0)-$AJ60)</f>
        <v/>
      </c>
      <c r="AL60" s="32">
        <f>IF($A60="","",IFERROR(INDEX('2_IMPORTAR_EJECUCION'!$F$9:$F$1208,MATCH($AU60,'2_IMPORTAR_EJECUCION'!$J$9:$J$1208,0)),0))</f>
        <v/>
      </c>
      <c r="AM60" s="32">
        <f>IF($A60="","",MAX(0,IFERROR(INDEX('2_IMPORTAR_EJECUCION'!$H$9:$H$1208,MATCH($AU60,'2_IMPORTAR_EJECUCION'!$J$9:$J$1208,0)),0)-$AL60))</f>
        <v/>
      </c>
      <c r="AN60" s="32">
        <f>IF($A60="","",$AL60+$AM60)</f>
        <v/>
      </c>
      <c r="AO60" s="24">
        <f>IF($A60="","",IF(OR((IFERROR(INDEX('CAT_ACTIVIDADES'!$D$4:$D$26,MATCH($H60,'CAT_ACTIVIDADES'!$A$4:$A$26,0)),""))=0,(IFERROR(INDEX('CAT_ACTIVIDADES'!$D$4:$D$26,MATCH($H60,'CAT_ACTIVIDADES'!$A$4:$A$26,0)),""))=""),"SIN CLASIFICAR",IFERROR(INDEX('CAT_ACTIVIDADES'!$D$4:$D$26,MATCH($H60,'CAT_ACTIVIDADES'!$A$4:$A$26,0)),"")))</f>
        <v/>
      </c>
      <c r="AP60" s="4" t="n"/>
      <c r="AQ60" s="4" t="n"/>
      <c r="AR60" s="4" t="n"/>
      <c r="AS60" s="24">
        <f>IF($AR60="","",HYPERLINK(p_ruta_base_checklists&amp;$AR60,"abrir"))</f>
        <v/>
      </c>
      <c r="AT60" s="4" t="n"/>
      <c r="AU60" s="24">
        <f>IF($A60="","",$A60&amp;IF($B60="","0010",$B60))</f>
        <v/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41" t="n"/>
      <c r="K61" s="5" t="n"/>
      <c r="L61" s="18" t="n"/>
      <c r="M61" s="24">
        <f>IF($A61="","",IFERROR(INDEX('AJUSTES'!$B$4:$B$303,MATCH($AU61,'AJUSTES'!$A$4:$A$303,0)),IF($K61="","",$K61)))</f>
        <v/>
      </c>
      <c r="N61" s="24">
        <f>IF($A61="","",IFERROR(INDEX('CAT_ESTADOS_ERP'!$B$4:$B$22,MATCH(IFERROR(INDEX('2_IMPORTAR_EJECUCION'!$C$9:$C$1208,MATCH($AU61,'2_IMPORTAR_EJECUCION'!$J$9:$J$1208,0)),""),'CAT_ESTADOS_ERP'!$A$4:$A$22,0)),"Pendiente"))</f>
        <v/>
      </c>
      <c r="O61" s="24">
        <f>IF($J61="","",YEAR($J61+4-WEEKDAY($J61,2))&amp;"-S"&amp;TEXT(_xlfn.ISOWEEKNUM($J61),"00"))</f>
        <v/>
      </c>
      <c r="P61" s="24">
        <f>IF($J61="","",YEAR($J61))</f>
        <v/>
      </c>
      <c r="Q61" s="24">
        <f>IF($J61="","",MONTH($J61))</f>
        <v/>
      </c>
      <c r="R61" s="24">
        <f>IF($J61="","",$P61&amp;"-"&amp;TEXT($Q61,"00"))</f>
        <v/>
      </c>
      <c r="S61" s="24">
        <f>IF($J61="","",INDEX(lista_dias,WEEKDAY($J61,2)))</f>
        <v/>
      </c>
      <c r="T61" s="24">
        <f>IF($J61="","",IFERROR(INDEX('CALENDARIO'!$C$15:$C$214,MATCH(TEXT($J61,"yyyy-mm-dd")&amp;"|"&amp;$Y61&amp;"|"&amp;$Z61,'CALENDARIO'!$G$15:$G$214,0)),IFERROR(INDEX('CALENDARIO'!$C$15:$C$214,MATCH(TEXT($J61,"yyyy-mm-dd")&amp;"|"&amp;$Y61&amp;"|",'CALENDARIO'!$G$15:$G$214,0)),IFERROR(INDEX('CALENDARIO'!$C$15:$C$214,MATCH(TEXT($J61,"yyyy-mm-dd")&amp;"||",'CALENDARIO'!$G$15:$G$214,0)),INDEX(patronHabil,WEEKDAY($J61,2))))))</f>
        <v/>
      </c>
      <c r="U61" s="24">
        <f>IF($I61="","",IFERROR(INDEX('CAT_TIPOS_OT'!$C$4:$C$23,MATCH($I61,'CAT_TIPOS_OT'!$A$4:$A$23,0)),"sin_clasificar"))</f>
        <v/>
      </c>
      <c r="V61" s="24">
        <f>IF($I61="","",IF(IFERROR(INDEX('CAT_TIPOS_OT'!$D$4:$D$23,MATCH($I61,'CAT_TIPOS_OT'!$A$4:$A$23,0)),"SIN CLASIFICAR")="","SIN CLASIFICAR",IFERROR(INDEX('CAT_TIPOS_OT'!$D$4:$D$23,MATCH($I61,'CAT_TIPOS_OT'!$A$4:$A$23,0)),"SIN CLASIFICAR")))</f>
        <v/>
      </c>
      <c r="W61" s="24">
        <f>IF($H61="","",IF(IFERROR(INDEX('CAT_ACTIVIDADES'!$F$4:$F$26,MATCH($H61,'CAT_ACTIVIDADES'!$A$4:$A$26,0)),"")=0,"",IFERROR(INDEX('CAT_ACTIVIDADES'!$F$4:$F$26,MATCH($H61,'CAT_ACTIVIDADES'!$A$4:$A$26,0)),"")))</f>
        <v/>
      </c>
      <c r="X61" s="24">
        <f>IF($F61="","",IFERROR(INDEX('CAT_CENTROS_COSTO'!$F$4:$F$28,MATCH($F61,'CAT_CENTROS_COSTO'!$A$4:$A$28,0)),"(sin catálogo)"))</f>
        <v/>
      </c>
      <c r="Y61" s="24">
        <f>IF($F61="","",IFERROR(INDEX('CAT_CENTROS_COSTO'!$D$4:$D$28,MATCH($F61,'CAT_CENTROS_COSTO'!$A$4:$A$28,0)),"(sin catálogo)"))</f>
        <v/>
      </c>
      <c r="Z61" s="24">
        <f>IF($F61="","",IF((IFERROR(INDEX('CAT_CENTROS_COSTO'!$E$4:$E$28,MATCH($F61,'CAT_CENTROS_COSTO'!$A$4:$A$28,0)),""))&lt;&gt;"",IFERROR(INDEX('CAT_CENTROS_COSTO'!$E$4:$E$28,MATCH($F61,'CAT_CENTROS_COSTO'!$A$4:$A$28,0)),""),$Y61))</f>
        <v/>
      </c>
      <c r="AA61" s="24">
        <f>IF($F61="","",IFERROR(INDEX('CAT_CENTROS_COSTO'!$G$4:$G$28,MATCH($F61,'CAT_CENTROS_COSTO'!$A$4:$A$28,0)),"(sin catálogo)"))</f>
        <v/>
      </c>
      <c r="AB61" s="24">
        <f>IF($G61="","",IFERROR(INDEX('CAT_PUESTOS'!$B$4:$B$23,MATCH($G61,'CAT_PUESTOS'!$A$4:$A$23,0)),"(sin catálogo)"))</f>
        <v/>
      </c>
      <c r="AC61" s="24">
        <f>IF($H61="","",IFERROR(INDEX('CAT_ACTIVIDADES'!$B$4:$B$26,MATCH($H61,'CAT_ACTIVIDADES'!$A$4:$A$26,0)),"(sin catálogo)"))</f>
        <v/>
      </c>
      <c r="AD61" s="26">
        <f>IF($J61="","",TODAY()-$J61)</f>
        <v/>
      </c>
      <c r="AE61" s="26">
        <f>IF($J61="","",IF($J61&lt;=TODAY(),COUNTIFS(cal_fechas,"&gt;="&amp;$J61,cal_fechas,"&lt;"&amp;TODAY(),cal_habil,"sí"),-COUNTIFS(cal_fechas,"&gt;="&amp;TODAY(),cal_fechas,"&lt;"&amp;$J61,cal_habil,"sí")))</f>
        <v/>
      </c>
      <c r="AF61" s="24">
        <f>IF($AE61="","",IF($AE61&lt;0,"FUTURO",IF($AE61&gt;p_dias_backlog_max,"BACKLOG","MES CORRIENTE")))</f>
        <v/>
      </c>
      <c r="AG61" s="24">
        <f>IF($AE61="",FALSE,AND($AE61&gt;p_dias_backlog_min,$AE61&lt;=p_dias_backlog_max))</f>
        <v/>
      </c>
      <c r="AH61" s="4" t="n"/>
      <c r="AI61" s="24">
        <f>IF($AH61="","",IF((IFERROR(INDEX('ASIGNACIONES'!$J$4:$J$451,MATCH($O61&amp;"|"&amp;$S61&amp;"|"&amp;$AH61,'ASIGNACIONES'!$N$4:$N$451,0)),""))=0,"",IFERROR(INDEX('ASIGNACIONES'!$J$4:$J$451,MATCH($O61&amp;"|"&amp;$S61&amp;"|"&amp;$AH61,'ASIGNACIONES'!$N$4:$N$451,0)),"")))</f>
        <v/>
      </c>
      <c r="AJ61" s="42">
        <f>IF($AH61="","",SUMIFS('ORDENES'!$M$4:$M$1203,'ORDENES'!$AH$4:$AH$1203,$AH61,'ORDENES'!$O$4:$O$1203,$O61,'ORDENES'!$S$4:$S$1203,$S61))</f>
        <v/>
      </c>
      <c r="AK61" s="42">
        <f>IF($AJ61="","",p_factor_productividad*IFERROR(INDEX('ASIGNACIONES'!$M$4:$M$451,MATCH($O61&amp;"|"&amp;$S61&amp;"|"&amp;$AH61,'ASIGNACIONES'!$N$4:$N$451,0)),0)-$AJ61)</f>
        <v/>
      </c>
      <c r="AL61" s="32">
        <f>IF($A61="","",IFERROR(INDEX('2_IMPORTAR_EJECUCION'!$F$9:$F$1208,MATCH($AU61,'2_IMPORTAR_EJECUCION'!$J$9:$J$1208,0)),0))</f>
        <v/>
      </c>
      <c r="AM61" s="32">
        <f>IF($A61="","",MAX(0,IFERROR(INDEX('2_IMPORTAR_EJECUCION'!$H$9:$H$1208,MATCH($AU61,'2_IMPORTAR_EJECUCION'!$J$9:$J$1208,0)),0)-$AL61))</f>
        <v/>
      </c>
      <c r="AN61" s="32">
        <f>IF($A61="","",$AL61+$AM61)</f>
        <v/>
      </c>
      <c r="AO61" s="24">
        <f>IF($A61="","",IF(OR((IFERROR(INDEX('CAT_ACTIVIDADES'!$D$4:$D$26,MATCH($H61,'CAT_ACTIVIDADES'!$A$4:$A$26,0)),""))=0,(IFERROR(INDEX('CAT_ACTIVIDADES'!$D$4:$D$26,MATCH($H61,'CAT_ACTIVIDADES'!$A$4:$A$26,0)),""))=""),"SIN CLASIFICAR",IFERROR(INDEX('CAT_ACTIVIDADES'!$D$4:$D$26,MATCH($H61,'CAT_ACTIVIDADES'!$A$4:$A$26,0)),"")))</f>
        <v/>
      </c>
      <c r="AP61" s="4" t="n"/>
      <c r="AQ61" s="4" t="n"/>
      <c r="AR61" s="4" t="n"/>
      <c r="AS61" s="24">
        <f>IF($AR61="","",HYPERLINK(p_ruta_base_checklists&amp;$AR61,"abrir"))</f>
        <v/>
      </c>
      <c r="AT61" s="4" t="n"/>
      <c r="AU61" s="24">
        <f>IF($A61="","",$A61&amp;IF($B61="","0010",$B61))</f>
        <v/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41" t="n"/>
      <c r="K62" s="5" t="n"/>
      <c r="L62" s="18" t="n"/>
      <c r="M62" s="24">
        <f>IF($A62="","",IFERROR(INDEX('AJUSTES'!$B$4:$B$303,MATCH($AU62,'AJUSTES'!$A$4:$A$303,0)),IF($K62="","",$K62)))</f>
        <v/>
      </c>
      <c r="N62" s="24">
        <f>IF($A62="","",IFERROR(INDEX('CAT_ESTADOS_ERP'!$B$4:$B$22,MATCH(IFERROR(INDEX('2_IMPORTAR_EJECUCION'!$C$9:$C$1208,MATCH($AU62,'2_IMPORTAR_EJECUCION'!$J$9:$J$1208,0)),""),'CAT_ESTADOS_ERP'!$A$4:$A$22,0)),"Pendiente"))</f>
        <v/>
      </c>
      <c r="O62" s="24">
        <f>IF($J62="","",YEAR($J62+4-WEEKDAY($J62,2))&amp;"-S"&amp;TEXT(_xlfn.ISOWEEKNUM($J62),"00"))</f>
        <v/>
      </c>
      <c r="P62" s="24">
        <f>IF($J62="","",YEAR($J62))</f>
        <v/>
      </c>
      <c r="Q62" s="24">
        <f>IF($J62="","",MONTH($J62))</f>
        <v/>
      </c>
      <c r="R62" s="24">
        <f>IF($J62="","",$P62&amp;"-"&amp;TEXT($Q62,"00"))</f>
        <v/>
      </c>
      <c r="S62" s="24">
        <f>IF($J62="","",INDEX(lista_dias,WEEKDAY($J62,2)))</f>
        <v/>
      </c>
      <c r="T62" s="24">
        <f>IF($J62="","",IFERROR(INDEX('CALENDARIO'!$C$15:$C$214,MATCH(TEXT($J62,"yyyy-mm-dd")&amp;"|"&amp;$Y62&amp;"|"&amp;$Z62,'CALENDARIO'!$G$15:$G$214,0)),IFERROR(INDEX('CALENDARIO'!$C$15:$C$214,MATCH(TEXT($J62,"yyyy-mm-dd")&amp;"|"&amp;$Y62&amp;"|",'CALENDARIO'!$G$15:$G$214,0)),IFERROR(INDEX('CALENDARIO'!$C$15:$C$214,MATCH(TEXT($J62,"yyyy-mm-dd")&amp;"||",'CALENDARIO'!$G$15:$G$214,0)),INDEX(patronHabil,WEEKDAY($J62,2))))))</f>
        <v/>
      </c>
      <c r="U62" s="24">
        <f>IF($I62="","",IFERROR(INDEX('CAT_TIPOS_OT'!$C$4:$C$23,MATCH($I62,'CAT_TIPOS_OT'!$A$4:$A$23,0)),"sin_clasificar"))</f>
        <v/>
      </c>
      <c r="V62" s="24">
        <f>IF($I62="","",IF(IFERROR(INDEX('CAT_TIPOS_OT'!$D$4:$D$23,MATCH($I62,'CAT_TIPOS_OT'!$A$4:$A$23,0)),"SIN CLASIFICAR")="","SIN CLASIFICAR",IFERROR(INDEX('CAT_TIPOS_OT'!$D$4:$D$23,MATCH($I62,'CAT_TIPOS_OT'!$A$4:$A$23,0)),"SIN CLASIFICAR")))</f>
        <v/>
      </c>
      <c r="W62" s="24">
        <f>IF($H62="","",IF(IFERROR(INDEX('CAT_ACTIVIDADES'!$F$4:$F$26,MATCH($H62,'CAT_ACTIVIDADES'!$A$4:$A$26,0)),"")=0,"",IFERROR(INDEX('CAT_ACTIVIDADES'!$F$4:$F$26,MATCH($H62,'CAT_ACTIVIDADES'!$A$4:$A$26,0)),"")))</f>
        <v/>
      </c>
      <c r="X62" s="24">
        <f>IF($F62="","",IFERROR(INDEX('CAT_CENTROS_COSTO'!$F$4:$F$28,MATCH($F62,'CAT_CENTROS_COSTO'!$A$4:$A$28,0)),"(sin catálogo)"))</f>
        <v/>
      </c>
      <c r="Y62" s="24">
        <f>IF($F62="","",IFERROR(INDEX('CAT_CENTROS_COSTO'!$D$4:$D$28,MATCH($F62,'CAT_CENTROS_COSTO'!$A$4:$A$28,0)),"(sin catálogo)"))</f>
        <v/>
      </c>
      <c r="Z62" s="24">
        <f>IF($F62="","",IF((IFERROR(INDEX('CAT_CENTROS_COSTO'!$E$4:$E$28,MATCH($F62,'CAT_CENTROS_COSTO'!$A$4:$A$28,0)),""))&lt;&gt;"",IFERROR(INDEX('CAT_CENTROS_COSTO'!$E$4:$E$28,MATCH($F62,'CAT_CENTROS_COSTO'!$A$4:$A$28,0)),""),$Y62))</f>
        <v/>
      </c>
      <c r="AA62" s="24">
        <f>IF($F62="","",IFERROR(INDEX('CAT_CENTROS_COSTO'!$G$4:$G$28,MATCH($F62,'CAT_CENTROS_COSTO'!$A$4:$A$28,0)),"(sin catálogo)"))</f>
        <v/>
      </c>
      <c r="AB62" s="24">
        <f>IF($G62="","",IFERROR(INDEX('CAT_PUESTOS'!$B$4:$B$23,MATCH($G62,'CAT_PUESTOS'!$A$4:$A$23,0)),"(sin catálogo)"))</f>
        <v/>
      </c>
      <c r="AC62" s="24">
        <f>IF($H62="","",IFERROR(INDEX('CAT_ACTIVIDADES'!$B$4:$B$26,MATCH($H62,'CAT_ACTIVIDADES'!$A$4:$A$26,0)),"(sin catálogo)"))</f>
        <v/>
      </c>
      <c r="AD62" s="26">
        <f>IF($J62="","",TODAY()-$J62)</f>
        <v/>
      </c>
      <c r="AE62" s="26">
        <f>IF($J62="","",IF($J62&lt;=TODAY(),COUNTIFS(cal_fechas,"&gt;="&amp;$J62,cal_fechas,"&lt;"&amp;TODAY(),cal_habil,"sí"),-COUNTIFS(cal_fechas,"&gt;="&amp;TODAY(),cal_fechas,"&lt;"&amp;$J62,cal_habil,"sí")))</f>
        <v/>
      </c>
      <c r="AF62" s="24">
        <f>IF($AE62="","",IF($AE62&lt;0,"FUTURO",IF($AE62&gt;p_dias_backlog_max,"BACKLOG","MES CORRIENTE")))</f>
        <v/>
      </c>
      <c r="AG62" s="24">
        <f>IF($AE62="",FALSE,AND($AE62&gt;p_dias_backlog_min,$AE62&lt;=p_dias_backlog_max))</f>
        <v/>
      </c>
      <c r="AH62" s="4" t="n"/>
      <c r="AI62" s="24">
        <f>IF($AH62="","",IF((IFERROR(INDEX('ASIGNACIONES'!$J$4:$J$451,MATCH($O62&amp;"|"&amp;$S62&amp;"|"&amp;$AH62,'ASIGNACIONES'!$N$4:$N$451,0)),""))=0,"",IFERROR(INDEX('ASIGNACIONES'!$J$4:$J$451,MATCH($O62&amp;"|"&amp;$S62&amp;"|"&amp;$AH62,'ASIGNACIONES'!$N$4:$N$451,0)),"")))</f>
        <v/>
      </c>
      <c r="AJ62" s="42">
        <f>IF($AH62="","",SUMIFS('ORDENES'!$M$4:$M$1203,'ORDENES'!$AH$4:$AH$1203,$AH62,'ORDENES'!$O$4:$O$1203,$O62,'ORDENES'!$S$4:$S$1203,$S62))</f>
        <v/>
      </c>
      <c r="AK62" s="42">
        <f>IF($AJ62="","",p_factor_productividad*IFERROR(INDEX('ASIGNACIONES'!$M$4:$M$451,MATCH($O62&amp;"|"&amp;$S62&amp;"|"&amp;$AH62,'ASIGNACIONES'!$N$4:$N$451,0)),0)-$AJ62)</f>
        <v/>
      </c>
      <c r="AL62" s="32">
        <f>IF($A62="","",IFERROR(INDEX('2_IMPORTAR_EJECUCION'!$F$9:$F$1208,MATCH($AU62,'2_IMPORTAR_EJECUCION'!$J$9:$J$1208,0)),0))</f>
        <v/>
      </c>
      <c r="AM62" s="32">
        <f>IF($A62="","",MAX(0,IFERROR(INDEX('2_IMPORTAR_EJECUCION'!$H$9:$H$1208,MATCH($AU62,'2_IMPORTAR_EJECUCION'!$J$9:$J$1208,0)),0)-$AL62))</f>
        <v/>
      </c>
      <c r="AN62" s="32">
        <f>IF($A62="","",$AL62+$AM62)</f>
        <v/>
      </c>
      <c r="AO62" s="24">
        <f>IF($A62="","",IF(OR((IFERROR(INDEX('CAT_ACTIVIDADES'!$D$4:$D$26,MATCH($H62,'CAT_ACTIVIDADES'!$A$4:$A$26,0)),""))=0,(IFERROR(INDEX('CAT_ACTIVIDADES'!$D$4:$D$26,MATCH($H62,'CAT_ACTIVIDADES'!$A$4:$A$26,0)),""))=""),"SIN CLASIFICAR",IFERROR(INDEX('CAT_ACTIVIDADES'!$D$4:$D$26,MATCH($H62,'CAT_ACTIVIDADES'!$A$4:$A$26,0)),"")))</f>
        <v/>
      </c>
      <c r="AP62" s="4" t="n"/>
      <c r="AQ62" s="4" t="n"/>
      <c r="AR62" s="4" t="n"/>
      <c r="AS62" s="24">
        <f>IF($AR62="","",HYPERLINK(p_ruta_base_checklists&amp;$AR62,"abrir"))</f>
        <v/>
      </c>
      <c r="AT62" s="4" t="n"/>
      <c r="AU62" s="24">
        <f>IF($A62="","",$A62&amp;IF($B62="","0010",$B62))</f>
        <v/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41" t="n"/>
      <c r="K63" s="5" t="n"/>
      <c r="L63" s="18" t="n"/>
      <c r="M63" s="24">
        <f>IF($A63="","",IFERROR(INDEX('AJUSTES'!$B$4:$B$303,MATCH($AU63,'AJUSTES'!$A$4:$A$303,0)),IF($K63="","",$K63)))</f>
        <v/>
      </c>
      <c r="N63" s="24">
        <f>IF($A63="","",IFERROR(INDEX('CAT_ESTADOS_ERP'!$B$4:$B$22,MATCH(IFERROR(INDEX('2_IMPORTAR_EJECUCION'!$C$9:$C$1208,MATCH($AU63,'2_IMPORTAR_EJECUCION'!$J$9:$J$1208,0)),""),'CAT_ESTADOS_ERP'!$A$4:$A$22,0)),"Pendiente"))</f>
        <v/>
      </c>
      <c r="O63" s="24">
        <f>IF($J63="","",YEAR($J63+4-WEEKDAY($J63,2))&amp;"-S"&amp;TEXT(_xlfn.ISOWEEKNUM($J63),"00"))</f>
        <v/>
      </c>
      <c r="P63" s="24">
        <f>IF($J63="","",YEAR($J63))</f>
        <v/>
      </c>
      <c r="Q63" s="24">
        <f>IF($J63="","",MONTH($J63))</f>
        <v/>
      </c>
      <c r="R63" s="24">
        <f>IF($J63="","",$P63&amp;"-"&amp;TEXT($Q63,"00"))</f>
        <v/>
      </c>
      <c r="S63" s="24">
        <f>IF($J63="","",INDEX(lista_dias,WEEKDAY($J63,2)))</f>
        <v/>
      </c>
      <c r="T63" s="24">
        <f>IF($J63="","",IFERROR(INDEX('CALENDARIO'!$C$15:$C$214,MATCH(TEXT($J63,"yyyy-mm-dd")&amp;"|"&amp;$Y63&amp;"|"&amp;$Z63,'CALENDARIO'!$G$15:$G$214,0)),IFERROR(INDEX('CALENDARIO'!$C$15:$C$214,MATCH(TEXT($J63,"yyyy-mm-dd")&amp;"|"&amp;$Y63&amp;"|",'CALENDARIO'!$G$15:$G$214,0)),IFERROR(INDEX('CALENDARIO'!$C$15:$C$214,MATCH(TEXT($J63,"yyyy-mm-dd")&amp;"||",'CALENDARIO'!$G$15:$G$214,0)),INDEX(patronHabil,WEEKDAY($J63,2))))))</f>
        <v/>
      </c>
      <c r="U63" s="24">
        <f>IF($I63="","",IFERROR(INDEX('CAT_TIPOS_OT'!$C$4:$C$23,MATCH($I63,'CAT_TIPOS_OT'!$A$4:$A$23,0)),"sin_clasificar"))</f>
        <v/>
      </c>
      <c r="V63" s="24">
        <f>IF($I63="","",IF(IFERROR(INDEX('CAT_TIPOS_OT'!$D$4:$D$23,MATCH($I63,'CAT_TIPOS_OT'!$A$4:$A$23,0)),"SIN CLASIFICAR")="","SIN CLASIFICAR",IFERROR(INDEX('CAT_TIPOS_OT'!$D$4:$D$23,MATCH($I63,'CAT_TIPOS_OT'!$A$4:$A$23,0)),"SIN CLASIFICAR")))</f>
        <v/>
      </c>
      <c r="W63" s="24">
        <f>IF($H63="","",IF(IFERROR(INDEX('CAT_ACTIVIDADES'!$F$4:$F$26,MATCH($H63,'CAT_ACTIVIDADES'!$A$4:$A$26,0)),"")=0,"",IFERROR(INDEX('CAT_ACTIVIDADES'!$F$4:$F$26,MATCH($H63,'CAT_ACTIVIDADES'!$A$4:$A$26,0)),"")))</f>
        <v/>
      </c>
      <c r="X63" s="24">
        <f>IF($F63="","",IFERROR(INDEX('CAT_CENTROS_COSTO'!$F$4:$F$28,MATCH($F63,'CAT_CENTROS_COSTO'!$A$4:$A$28,0)),"(sin catálogo)"))</f>
        <v/>
      </c>
      <c r="Y63" s="24">
        <f>IF($F63="","",IFERROR(INDEX('CAT_CENTROS_COSTO'!$D$4:$D$28,MATCH($F63,'CAT_CENTROS_COSTO'!$A$4:$A$28,0)),"(sin catálogo)"))</f>
        <v/>
      </c>
      <c r="Z63" s="24">
        <f>IF($F63="","",IF((IFERROR(INDEX('CAT_CENTROS_COSTO'!$E$4:$E$28,MATCH($F63,'CAT_CENTROS_COSTO'!$A$4:$A$28,0)),""))&lt;&gt;"",IFERROR(INDEX('CAT_CENTROS_COSTO'!$E$4:$E$28,MATCH($F63,'CAT_CENTROS_COSTO'!$A$4:$A$28,0)),""),$Y63))</f>
        <v/>
      </c>
      <c r="AA63" s="24">
        <f>IF($F63="","",IFERROR(INDEX('CAT_CENTROS_COSTO'!$G$4:$G$28,MATCH($F63,'CAT_CENTROS_COSTO'!$A$4:$A$28,0)),"(sin catálogo)"))</f>
        <v/>
      </c>
      <c r="AB63" s="24">
        <f>IF($G63="","",IFERROR(INDEX('CAT_PUESTOS'!$B$4:$B$23,MATCH($G63,'CAT_PUESTOS'!$A$4:$A$23,0)),"(sin catálogo)"))</f>
        <v/>
      </c>
      <c r="AC63" s="24">
        <f>IF($H63="","",IFERROR(INDEX('CAT_ACTIVIDADES'!$B$4:$B$26,MATCH($H63,'CAT_ACTIVIDADES'!$A$4:$A$26,0)),"(sin catálogo)"))</f>
        <v/>
      </c>
      <c r="AD63" s="26">
        <f>IF($J63="","",TODAY()-$J63)</f>
        <v/>
      </c>
      <c r="AE63" s="26">
        <f>IF($J63="","",IF($J63&lt;=TODAY(),COUNTIFS(cal_fechas,"&gt;="&amp;$J63,cal_fechas,"&lt;"&amp;TODAY(),cal_habil,"sí"),-COUNTIFS(cal_fechas,"&gt;="&amp;TODAY(),cal_fechas,"&lt;"&amp;$J63,cal_habil,"sí")))</f>
        <v/>
      </c>
      <c r="AF63" s="24">
        <f>IF($AE63="","",IF($AE63&lt;0,"FUTURO",IF($AE63&gt;p_dias_backlog_max,"BACKLOG","MES CORRIENTE")))</f>
        <v/>
      </c>
      <c r="AG63" s="24">
        <f>IF($AE63="",FALSE,AND($AE63&gt;p_dias_backlog_min,$AE63&lt;=p_dias_backlog_max))</f>
        <v/>
      </c>
      <c r="AH63" s="4" t="n"/>
      <c r="AI63" s="24">
        <f>IF($AH63="","",IF((IFERROR(INDEX('ASIGNACIONES'!$J$4:$J$451,MATCH($O63&amp;"|"&amp;$S63&amp;"|"&amp;$AH63,'ASIGNACIONES'!$N$4:$N$451,0)),""))=0,"",IFERROR(INDEX('ASIGNACIONES'!$J$4:$J$451,MATCH($O63&amp;"|"&amp;$S63&amp;"|"&amp;$AH63,'ASIGNACIONES'!$N$4:$N$451,0)),"")))</f>
        <v/>
      </c>
      <c r="AJ63" s="42">
        <f>IF($AH63="","",SUMIFS('ORDENES'!$M$4:$M$1203,'ORDENES'!$AH$4:$AH$1203,$AH63,'ORDENES'!$O$4:$O$1203,$O63,'ORDENES'!$S$4:$S$1203,$S63))</f>
        <v/>
      </c>
      <c r="AK63" s="42">
        <f>IF($AJ63="","",p_factor_productividad*IFERROR(INDEX('ASIGNACIONES'!$M$4:$M$451,MATCH($O63&amp;"|"&amp;$S63&amp;"|"&amp;$AH63,'ASIGNACIONES'!$N$4:$N$451,0)),0)-$AJ63)</f>
        <v/>
      </c>
      <c r="AL63" s="32">
        <f>IF($A63="","",IFERROR(INDEX('2_IMPORTAR_EJECUCION'!$F$9:$F$1208,MATCH($AU63,'2_IMPORTAR_EJECUCION'!$J$9:$J$1208,0)),0))</f>
        <v/>
      </c>
      <c r="AM63" s="32">
        <f>IF($A63="","",MAX(0,IFERROR(INDEX('2_IMPORTAR_EJECUCION'!$H$9:$H$1208,MATCH($AU63,'2_IMPORTAR_EJECUCION'!$J$9:$J$1208,0)),0)-$AL63))</f>
        <v/>
      </c>
      <c r="AN63" s="32">
        <f>IF($A63="","",$AL63+$AM63)</f>
        <v/>
      </c>
      <c r="AO63" s="24">
        <f>IF($A63="","",IF(OR((IFERROR(INDEX('CAT_ACTIVIDADES'!$D$4:$D$26,MATCH($H63,'CAT_ACTIVIDADES'!$A$4:$A$26,0)),""))=0,(IFERROR(INDEX('CAT_ACTIVIDADES'!$D$4:$D$26,MATCH($H63,'CAT_ACTIVIDADES'!$A$4:$A$26,0)),""))=""),"SIN CLASIFICAR",IFERROR(INDEX('CAT_ACTIVIDADES'!$D$4:$D$26,MATCH($H63,'CAT_ACTIVIDADES'!$A$4:$A$26,0)),"")))</f>
        <v/>
      </c>
      <c r="AP63" s="4" t="n"/>
      <c r="AQ63" s="4" t="n"/>
      <c r="AR63" s="4" t="n"/>
      <c r="AS63" s="24">
        <f>IF($AR63="","",HYPERLINK(p_ruta_base_checklists&amp;$AR63,"abrir"))</f>
        <v/>
      </c>
      <c r="AT63" s="4" t="n"/>
      <c r="AU63" s="24">
        <f>IF($A63="","",$A63&amp;IF($B63="","0010",$B63))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41" t="n"/>
      <c r="K64" s="5" t="n"/>
      <c r="L64" s="18" t="n"/>
      <c r="M64" s="24">
        <f>IF($A64="","",IFERROR(INDEX('AJUSTES'!$B$4:$B$303,MATCH($AU64,'AJUSTES'!$A$4:$A$303,0)),IF($K64="","",$K64)))</f>
        <v/>
      </c>
      <c r="N64" s="24">
        <f>IF($A64="","",IFERROR(INDEX('CAT_ESTADOS_ERP'!$B$4:$B$22,MATCH(IFERROR(INDEX('2_IMPORTAR_EJECUCION'!$C$9:$C$1208,MATCH($AU64,'2_IMPORTAR_EJECUCION'!$J$9:$J$1208,0)),""),'CAT_ESTADOS_ERP'!$A$4:$A$22,0)),"Pendiente"))</f>
        <v/>
      </c>
      <c r="O64" s="24">
        <f>IF($J64="","",YEAR($J64+4-WEEKDAY($J64,2))&amp;"-S"&amp;TEXT(_xlfn.ISOWEEKNUM($J64),"00"))</f>
        <v/>
      </c>
      <c r="P64" s="24">
        <f>IF($J64="","",YEAR($J64))</f>
        <v/>
      </c>
      <c r="Q64" s="24">
        <f>IF($J64="","",MONTH($J64))</f>
        <v/>
      </c>
      <c r="R64" s="24">
        <f>IF($J64="","",$P64&amp;"-"&amp;TEXT($Q64,"00"))</f>
        <v/>
      </c>
      <c r="S64" s="24">
        <f>IF($J64="","",INDEX(lista_dias,WEEKDAY($J64,2)))</f>
        <v/>
      </c>
      <c r="T64" s="24">
        <f>IF($J64="","",IFERROR(INDEX('CALENDARIO'!$C$15:$C$214,MATCH(TEXT($J64,"yyyy-mm-dd")&amp;"|"&amp;$Y64&amp;"|"&amp;$Z64,'CALENDARIO'!$G$15:$G$214,0)),IFERROR(INDEX('CALENDARIO'!$C$15:$C$214,MATCH(TEXT($J64,"yyyy-mm-dd")&amp;"|"&amp;$Y64&amp;"|",'CALENDARIO'!$G$15:$G$214,0)),IFERROR(INDEX('CALENDARIO'!$C$15:$C$214,MATCH(TEXT($J64,"yyyy-mm-dd")&amp;"||",'CALENDARIO'!$G$15:$G$214,0)),INDEX(patronHabil,WEEKDAY($J64,2))))))</f>
        <v/>
      </c>
      <c r="U64" s="24">
        <f>IF($I64="","",IFERROR(INDEX('CAT_TIPOS_OT'!$C$4:$C$23,MATCH($I64,'CAT_TIPOS_OT'!$A$4:$A$23,0)),"sin_clasificar"))</f>
        <v/>
      </c>
      <c r="V64" s="24">
        <f>IF($I64="","",IF(IFERROR(INDEX('CAT_TIPOS_OT'!$D$4:$D$23,MATCH($I64,'CAT_TIPOS_OT'!$A$4:$A$23,0)),"SIN CLASIFICAR")="","SIN CLASIFICAR",IFERROR(INDEX('CAT_TIPOS_OT'!$D$4:$D$23,MATCH($I64,'CAT_TIPOS_OT'!$A$4:$A$23,0)),"SIN CLASIFICAR")))</f>
        <v/>
      </c>
      <c r="W64" s="24">
        <f>IF($H64="","",IF(IFERROR(INDEX('CAT_ACTIVIDADES'!$F$4:$F$26,MATCH($H64,'CAT_ACTIVIDADES'!$A$4:$A$26,0)),"")=0,"",IFERROR(INDEX('CAT_ACTIVIDADES'!$F$4:$F$26,MATCH($H64,'CAT_ACTIVIDADES'!$A$4:$A$26,0)),"")))</f>
        <v/>
      </c>
      <c r="X64" s="24">
        <f>IF($F64="","",IFERROR(INDEX('CAT_CENTROS_COSTO'!$F$4:$F$28,MATCH($F64,'CAT_CENTROS_COSTO'!$A$4:$A$28,0)),"(sin catálogo)"))</f>
        <v/>
      </c>
      <c r="Y64" s="24">
        <f>IF($F64="","",IFERROR(INDEX('CAT_CENTROS_COSTO'!$D$4:$D$28,MATCH($F64,'CAT_CENTROS_COSTO'!$A$4:$A$28,0)),"(sin catálogo)"))</f>
        <v/>
      </c>
      <c r="Z64" s="24">
        <f>IF($F64="","",IF((IFERROR(INDEX('CAT_CENTROS_COSTO'!$E$4:$E$28,MATCH($F64,'CAT_CENTROS_COSTO'!$A$4:$A$28,0)),""))&lt;&gt;"",IFERROR(INDEX('CAT_CENTROS_COSTO'!$E$4:$E$28,MATCH($F64,'CAT_CENTROS_COSTO'!$A$4:$A$28,0)),""),$Y64))</f>
        <v/>
      </c>
      <c r="AA64" s="24">
        <f>IF($F64="","",IFERROR(INDEX('CAT_CENTROS_COSTO'!$G$4:$G$28,MATCH($F64,'CAT_CENTROS_COSTO'!$A$4:$A$28,0)),"(sin catálogo)"))</f>
        <v/>
      </c>
      <c r="AB64" s="24">
        <f>IF($G64="","",IFERROR(INDEX('CAT_PUESTOS'!$B$4:$B$23,MATCH($G64,'CAT_PUESTOS'!$A$4:$A$23,0)),"(sin catálogo)"))</f>
        <v/>
      </c>
      <c r="AC64" s="24">
        <f>IF($H64="","",IFERROR(INDEX('CAT_ACTIVIDADES'!$B$4:$B$26,MATCH($H64,'CAT_ACTIVIDADES'!$A$4:$A$26,0)),"(sin catálogo)"))</f>
        <v/>
      </c>
      <c r="AD64" s="26">
        <f>IF($J64="","",TODAY()-$J64)</f>
        <v/>
      </c>
      <c r="AE64" s="26">
        <f>IF($J64="","",IF($J64&lt;=TODAY(),COUNTIFS(cal_fechas,"&gt;="&amp;$J64,cal_fechas,"&lt;"&amp;TODAY(),cal_habil,"sí"),-COUNTIFS(cal_fechas,"&gt;="&amp;TODAY(),cal_fechas,"&lt;"&amp;$J64,cal_habil,"sí")))</f>
        <v/>
      </c>
      <c r="AF64" s="24">
        <f>IF($AE64="","",IF($AE64&lt;0,"FUTURO",IF($AE64&gt;p_dias_backlog_max,"BACKLOG","MES CORRIENTE")))</f>
        <v/>
      </c>
      <c r="AG64" s="24">
        <f>IF($AE64="",FALSE,AND($AE64&gt;p_dias_backlog_min,$AE64&lt;=p_dias_backlog_max))</f>
        <v/>
      </c>
      <c r="AH64" s="4" t="n"/>
      <c r="AI64" s="24">
        <f>IF($AH64="","",IF((IFERROR(INDEX('ASIGNACIONES'!$J$4:$J$451,MATCH($O64&amp;"|"&amp;$S64&amp;"|"&amp;$AH64,'ASIGNACIONES'!$N$4:$N$451,0)),""))=0,"",IFERROR(INDEX('ASIGNACIONES'!$J$4:$J$451,MATCH($O64&amp;"|"&amp;$S64&amp;"|"&amp;$AH64,'ASIGNACIONES'!$N$4:$N$451,0)),"")))</f>
        <v/>
      </c>
      <c r="AJ64" s="42">
        <f>IF($AH64="","",SUMIFS('ORDENES'!$M$4:$M$1203,'ORDENES'!$AH$4:$AH$1203,$AH64,'ORDENES'!$O$4:$O$1203,$O64,'ORDENES'!$S$4:$S$1203,$S64))</f>
        <v/>
      </c>
      <c r="AK64" s="42">
        <f>IF($AJ64="","",p_factor_productividad*IFERROR(INDEX('ASIGNACIONES'!$M$4:$M$451,MATCH($O64&amp;"|"&amp;$S64&amp;"|"&amp;$AH64,'ASIGNACIONES'!$N$4:$N$451,0)),0)-$AJ64)</f>
        <v/>
      </c>
      <c r="AL64" s="32">
        <f>IF($A64="","",IFERROR(INDEX('2_IMPORTAR_EJECUCION'!$F$9:$F$1208,MATCH($AU64,'2_IMPORTAR_EJECUCION'!$J$9:$J$1208,0)),0))</f>
        <v/>
      </c>
      <c r="AM64" s="32">
        <f>IF($A64="","",MAX(0,IFERROR(INDEX('2_IMPORTAR_EJECUCION'!$H$9:$H$1208,MATCH($AU64,'2_IMPORTAR_EJECUCION'!$J$9:$J$1208,0)),0)-$AL64))</f>
        <v/>
      </c>
      <c r="AN64" s="32">
        <f>IF($A64="","",$AL64+$AM64)</f>
        <v/>
      </c>
      <c r="AO64" s="24">
        <f>IF($A64="","",IF(OR((IFERROR(INDEX('CAT_ACTIVIDADES'!$D$4:$D$26,MATCH($H64,'CAT_ACTIVIDADES'!$A$4:$A$26,0)),""))=0,(IFERROR(INDEX('CAT_ACTIVIDADES'!$D$4:$D$26,MATCH($H64,'CAT_ACTIVIDADES'!$A$4:$A$26,0)),""))=""),"SIN CLASIFICAR",IFERROR(INDEX('CAT_ACTIVIDADES'!$D$4:$D$26,MATCH($H64,'CAT_ACTIVIDADES'!$A$4:$A$26,0)),"")))</f>
        <v/>
      </c>
      <c r="AP64" s="4" t="n"/>
      <c r="AQ64" s="4" t="n"/>
      <c r="AR64" s="4" t="n"/>
      <c r="AS64" s="24">
        <f>IF($AR64="","",HYPERLINK(p_ruta_base_checklists&amp;$AR64,"abrir"))</f>
        <v/>
      </c>
      <c r="AT64" s="4" t="n"/>
      <c r="AU64" s="24">
        <f>IF($A64="","",$A64&amp;IF($B64="","0010",$B64))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41" t="n"/>
      <c r="K65" s="5" t="n"/>
      <c r="L65" s="18" t="n"/>
      <c r="M65" s="24">
        <f>IF($A65="","",IFERROR(INDEX('AJUSTES'!$B$4:$B$303,MATCH($AU65,'AJUSTES'!$A$4:$A$303,0)),IF($K65="","",$K65)))</f>
        <v/>
      </c>
      <c r="N65" s="24">
        <f>IF($A65="","",IFERROR(INDEX('CAT_ESTADOS_ERP'!$B$4:$B$22,MATCH(IFERROR(INDEX('2_IMPORTAR_EJECUCION'!$C$9:$C$1208,MATCH($AU65,'2_IMPORTAR_EJECUCION'!$J$9:$J$1208,0)),""),'CAT_ESTADOS_ERP'!$A$4:$A$22,0)),"Pendiente"))</f>
        <v/>
      </c>
      <c r="O65" s="24">
        <f>IF($J65="","",YEAR($J65+4-WEEKDAY($J65,2))&amp;"-S"&amp;TEXT(_xlfn.ISOWEEKNUM($J65),"00"))</f>
        <v/>
      </c>
      <c r="P65" s="24">
        <f>IF($J65="","",YEAR($J65))</f>
        <v/>
      </c>
      <c r="Q65" s="24">
        <f>IF($J65="","",MONTH($J65))</f>
        <v/>
      </c>
      <c r="R65" s="24">
        <f>IF($J65="","",$P65&amp;"-"&amp;TEXT($Q65,"00"))</f>
        <v/>
      </c>
      <c r="S65" s="24">
        <f>IF($J65="","",INDEX(lista_dias,WEEKDAY($J65,2)))</f>
        <v/>
      </c>
      <c r="T65" s="24">
        <f>IF($J65="","",IFERROR(INDEX('CALENDARIO'!$C$15:$C$214,MATCH(TEXT($J65,"yyyy-mm-dd")&amp;"|"&amp;$Y65&amp;"|"&amp;$Z65,'CALENDARIO'!$G$15:$G$214,0)),IFERROR(INDEX('CALENDARIO'!$C$15:$C$214,MATCH(TEXT($J65,"yyyy-mm-dd")&amp;"|"&amp;$Y65&amp;"|",'CALENDARIO'!$G$15:$G$214,0)),IFERROR(INDEX('CALENDARIO'!$C$15:$C$214,MATCH(TEXT($J65,"yyyy-mm-dd")&amp;"||",'CALENDARIO'!$G$15:$G$214,0)),INDEX(patronHabil,WEEKDAY($J65,2))))))</f>
        <v/>
      </c>
      <c r="U65" s="24">
        <f>IF($I65="","",IFERROR(INDEX('CAT_TIPOS_OT'!$C$4:$C$23,MATCH($I65,'CAT_TIPOS_OT'!$A$4:$A$23,0)),"sin_clasificar"))</f>
        <v/>
      </c>
      <c r="V65" s="24">
        <f>IF($I65="","",IF(IFERROR(INDEX('CAT_TIPOS_OT'!$D$4:$D$23,MATCH($I65,'CAT_TIPOS_OT'!$A$4:$A$23,0)),"SIN CLASIFICAR")="","SIN CLASIFICAR",IFERROR(INDEX('CAT_TIPOS_OT'!$D$4:$D$23,MATCH($I65,'CAT_TIPOS_OT'!$A$4:$A$23,0)),"SIN CLASIFICAR")))</f>
        <v/>
      </c>
      <c r="W65" s="24">
        <f>IF($H65="","",IF(IFERROR(INDEX('CAT_ACTIVIDADES'!$F$4:$F$26,MATCH($H65,'CAT_ACTIVIDADES'!$A$4:$A$26,0)),"")=0,"",IFERROR(INDEX('CAT_ACTIVIDADES'!$F$4:$F$26,MATCH($H65,'CAT_ACTIVIDADES'!$A$4:$A$26,0)),"")))</f>
        <v/>
      </c>
      <c r="X65" s="24">
        <f>IF($F65="","",IFERROR(INDEX('CAT_CENTROS_COSTO'!$F$4:$F$28,MATCH($F65,'CAT_CENTROS_COSTO'!$A$4:$A$28,0)),"(sin catálogo)"))</f>
        <v/>
      </c>
      <c r="Y65" s="24">
        <f>IF($F65="","",IFERROR(INDEX('CAT_CENTROS_COSTO'!$D$4:$D$28,MATCH($F65,'CAT_CENTROS_COSTO'!$A$4:$A$28,0)),"(sin catálogo)"))</f>
        <v/>
      </c>
      <c r="Z65" s="24">
        <f>IF($F65="","",IF((IFERROR(INDEX('CAT_CENTROS_COSTO'!$E$4:$E$28,MATCH($F65,'CAT_CENTROS_COSTO'!$A$4:$A$28,0)),""))&lt;&gt;"",IFERROR(INDEX('CAT_CENTROS_COSTO'!$E$4:$E$28,MATCH($F65,'CAT_CENTROS_COSTO'!$A$4:$A$28,0)),""),$Y65))</f>
        <v/>
      </c>
      <c r="AA65" s="24">
        <f>IF($F65="","",IFERROR(INDEX('CAT_CENTROS_COSTO'!$G$4:$G$28,MATCH($F65,'CAT_CENTROS_COSTO'!$A$4:$A$28,0)),"(sin catálogo)"))</f>
        <v/>
      </c>
      <c r="AB65" s="24">
        <f>IF($G65="","",IFERROR(INDEX('CAT_PUESTOS'!$B$4:$B$23,MATCH($G65,'CAT_PUESTOS'!$A$4:$A$23,0)),"(sin catálogo)"))</f>
        <v/>
      </c>
      <c r="AC65" s="24">
        <f>IF($H65="","",IFERROR(INDEX('CAT_ACTIVIDADES'!$B$4:$B$26,MATCH($H65,'CAT_ACTIVIDADES'!$A$4:$A$26,0)),"(sin catálogo)"))</f>
        <v/>
      </c>
      <c r="AD65" s="26">
        <f>IF($J65="","",TODAY()-$J65)</f>
        <v/>
      </c>
      <c r="AE65" s="26">
        <f>IF($J65="","",IF($J65&lt;=TODAY(),COUNTIFS(cal_fechas,"&gt;="&amp;$J65,cal_fechas,"&lt;"&amp;TODAY(),cal_habil,"sí"),-COUNTIFS(cal_fechas,"&gt;="&amp;TODAY(),cal_fechas,"&lt;"&amp;$J65,cal_habil,"sí")))</f>
        <v/>
      </c>
      <c r="AF65" s="24">
        <f>IF($AE65="","",IF($AE65&lt;0,"FUTURO",IF($AE65&gt;p_dias_backlog_max,"BACKLOG","MES CORRIENTE")))</f>
        <v/>
      </c>
      <c r="AG65" s="24">
        <f>IF($AE65="",FALSE,AND($AE65&gt;p_dias_backlog_min,$AE65&lt;=p_dias_backlog_max))</f>
        <v/>
      </c>
      <c r="AH65" s="4" t="n"/>
      <c r="AI65" s="24">
        <f>IF($AH65="","",IF((IFERROR(INDEX('ASIGNACIONES'!$J$4:$J$451,MATCH($O65&amp;"|"&amp;$S65&amp;"|"&amp;$AH65,'ASIGNACIONES'!$N$4:$N$451,0)),""))=0,"",IFERROR(INDEX('ASIGNACIONES'!$J$4:$J$451,MATCH($O65&amp;"|"&amp;$S65&amp;"|"&amp;$AH65,'ASIGNACIONES'!$N$4:$N$451,0)),"")))</f>
        <v/>
      </c>
      <c r="AJ65" s="42">
        <f>IF($AH65="","",SUMIFS('ORDENES'!$M$4:$M$1203,'ORDENES'!$AH$4:$AH$1203,$AH65,'ORDENES'!$O$4:$O$1203,$O65,'ORDENES'!$S$4:$S$1203,$S65))</f>
        <v/>
      </c>
      <c r="AK65" s="42">
        <f>IF($AJ65="","",p_factor_productividad*IFERROR(INDEX('ASIGNACIONES'!$M$4:$M$451,MATCH($O65&amp;"|"&amp;$S65&amp;"|"&amp;$AH65,'ASIGNACIONES'!$N$4:$N$451,0)),0)-$AJ65)</f>
        <v/>
      </c>
      <c r="AL65" s="32">
        <f>IF($A65="","",IFERROR(INDEX('2_IMPORTAR_EJECUCION'!$F$9:$F$1208,MATCH($AU65,'2_IMPORTAR_EJECUCION'!$J$9:$J$1208,0)),0))</f>
        <v/>
      </c>
      <c r="AM65" s="32">
        <f>IF($A65="","",MAX(0,IFERROR(INDEX('2_IMPORTAR_EJECUCION'!$H$9:$H$1208,MATCH($AU65,'2_IMPORTAR_EJECUCION'!$J$9:$J$1208,0)),0)-$AL65))</f>
        <v/>
      </c>
      <c r="AN65" s="32">
        <f>IF($A65="","",$AL65+$AM65)</f>
        <v/>
      </c>
      <c r="AO65" s="24">
        <f>IF($A65="","",IF(OR((IFERROR(INDEX('CAT_ACTIVIDADES'!$D$4:$D$26,MATCH($H65,'CAT_ACTIVIDADES'!$A$4:$A$26,0)),""))=0,(IFERROR(INDEX('CAT_ACTIVIDADES'!$D$4:$D$26,MATCH($H65,'CAT_ACTIVIDADES'!$A$4:$A$26,0)),""))=""),"SIN CLASIFICAR",IFERROR(INDEX('CAT_ACTIVIDADES'!$D$4:$D$26,MATCH($H65,'CAT_ACTIVIDADES'!$A$4:$A$26,0)),"")))</f>
        <v/>
      </c>
      <c r="AP65" s="4" t="n"/>
      <c r="AQ65" s="4" t="n"/>
      <c r="AR65" s="4" t="n"/>
      <c r="AS65" s="24">
        <f>IF($AR65="","",HYPERLINK(p_ruta_base_checklists&amp;$AR65,"abrir"))</f>
        <v/>
      </c>
      <c r="AT65" s="4" t="n"/>
      <c r="AU65" s="24">
        <f>IF($A65="","",$A65&amp;IF($B65="","0010",$B65))</f>
        <v/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41" t="n"/>
      <c r="K66" s="5" t="n"/>
      <c r="L66" s="18" t="n"/>
      <c r="M66" s="24">
        <f>IF($A66="","",IFERROR(INDEX('AJUSTES'!$B$4:$B$303,MATCH($AU66,'AJUSTES'!$A$4:$A$303,0)),IF($K66="","",$K66)))</f>
        <v/>
      </c>
      <c r="N66" s="24">
        <f>IF($A66="","",IFERROR(INDEX('CAT_ESTADOS_ERP'!$B$4:$B$22,MATCH(IFERROR(INDEX('2_IMPORTAR_EJECUCION'!$C$9:$C$1208,MATCH($AU66,'2_IMPORTAR_EJECUCION'!$J$9:$J$1208,0)),""),'CAT_ESTADOS_ERP'!$A$4:$A$22,0)),"Pendiente"))</f>
        <v/>
      </c>
      <c r="O66" s="24">
        <f>IF($J66="","",YEAR($J66+4-WEEKDAY($J66,2))&amp;"-S"&amp;TEXT(_xlfn.ISOWEEKNUM($J66),"00"))</f>
        <v/>
      </c>
      <c r="P66" s="24">
        <f>IF($J66="","",YEAR($J66))</f>
        <v/>
      </c>
      <c r="Q66" s="24">
        <f>IF($J66="","",MONTH($J66))</f>
        <v/>
      </c>
      <c r="R66" s="24">
        <f>IF($J66="","",$P66&amp;"-"&amp;TEXT($Q66,"00"))</f>
        <v/>
      </c>
      <c r="S66" s="24">
        <f>IF($J66="","",INDEX(lista_dias,WEEKDAY($J66,2)))</f>
        <v/>
      </c>
      <c r="T66" s="24">
        <f>IF($J66="","",IFERROR(INDEX('CALENDARIO'!$C$15:$C$214,MATCH(TEXT($J66,"yyyy-mm-dd")&amp;"|"&amp;$Y66&amp;"|"&amp;$Z66,'CALENDARIO'!$G$15:$G$214,0)),IFERROR(INDEX('CALENDARIO'!$C$15:$C$214,MATCH(TEXT($J66,"yyyy-mm-dd")&amp;"|"&amp;$Y66&amp;"|",'CALENDARIO'!$G$15:$G$214,0)),IFERROR(INDEX('CALENDARIO'!$C$15:$C$214,MATCH(TEXT($J66,"yyyy-mm-dd")&amp;"||",'CALENDARIO'!$G$15:$G$214,0)),INDEX(patronHabil,WEEKDAY($J66,2))))))</f>
        <v/>
      </c>
      <c r="U66" s="24">
        <f>IF($I66="","",IFERROR(INDEX('CAT_TIPOS_OT'!$C$4:$C$23,MATCH($I66,'CAT_TIPOS_OT'!$A$4:$A$23,0)),"sin_clasificar"))</f>
        <v/>
      </c>
      <c r="V66" s="24">
        <f>IF($I66="","",IF(IFERROR(INDEX('CAT_TIPOS_OT'!$D$4:$D$23,MATCH($I66,'CAT_TIPOS_OT'!$A$4:$A$23,0)),"SIN CLASIFICAR")="","SIN CLASIFICAR",IFERROR(INDEX('CAT_TIPOS_OT'!$D$4:$D$23,MATCH($I66,'CAT_TIPOS_OT'!$A$4:$A$23,0)),"SIN CLASIFICAR")))</f>
        <v/>
      </c>
      <c r="W66" s="24">
        <f>IF($H66="","",IF(IFERROR(INDEX('CAT_ACTIVIDADES'!$F$4:$F$26,MATCH($H66,'CAT_ACTIVIDADES'!$A$4:$A$26,0)),"")=0,"",IFERROR(INDEX('CAT_ACTIVIDADES'!$F$4:$F$26,MATCH($H66,'CAT_ACTIVIDADES'!$A$4:$A$26,0)),"")))</f>
        <v/>
      </c>
      <c r="X66" s="24">
        <f>IF($F66="","",IFERROR(INDEX('CAT_CENTROS_COSTO'!$F$4:$F$28,MATCH($F66,'CAT_CENTROS_COSTO'!$A$4:$A$28,0)),"(sin catálogo)"))</f>
        <v/>
      </c>
      <c r="Y66" s="24">
        <f>IF($F66="","",IFERROR(INDEX('CAT_CENTROS_COSTO'!$D$4:$D$28,MATCH($F66,'CAT_CENTROS_COSTO'!$A$4:$A$28,0)),"(sin catálogo)"))</f>
        <v/>
      </c>
      <c r="Z66" s="24">
        <f>IF($F66="","",IF((IFERROR(INDEX('CAT_CENTROS_COSTO'!$E$4:$E$28,MATCH($F66,'CAT_CENTROS_COSTO'!$A$4:$A$28,0)),""))&lt;&gt;"",IFERROR(INDEX('CAT_CENTROS_COSTO'!$E$4:$E$28,MATCH($F66,'CAT_CENTROS_COSTO'!$A$4:$A$28,0)),""),$Y66))</f>
        <v/>
      </c>
      <c r="AA66" s="24">
        <f>IF($F66="","",IFERROR(INDEX('CAT_CENTROS_COSTO'!$G$4:$G$28,MATCH($F66,'CAT_CENTROS_COSTO'!$A$4:$A$28,0)),"(sin catálogo)"))</f>
        <v/>
      </c>
      <c r="AB66" s="24">
        <f>IF($G66="","",IFERROR(INDEX('CAT_PUESTOS'!$B$4:$B$23,MATCH($G66,'CAT_PUESTOS'!$A$4:$A$23,0)),"(sin catálogo)"))</f>
        <v/>
      </c>
      <c r="AC66" s="24">
        <f>IF($H66="","",IFERROR(INDEX('CAT_ACTIVIDADES'!$B$4:$B$26,MATCH($H66,'CAT_ACTIVIDADES'!$A$4:$A$26,0)),"(sin catálogo)"))</f>
        <v/>
      </c>
      <c r="AD66" s="26">
        <f>IF($J66="","",TODAY()-$J66)</f>
        <v/>
      </c>
      <c r="AE66" s="26">
        <f>IF($J66="","",IF($J66&lt;=TODAY(),COUNTIFS(cal_fechas,"&gt;="&amp;$J66,cal_fechas,"&lt;"&amp;TODAY(),cal_habil,"sí"),-COUNTIFS(cal_fechas,"&gt;="&amp;TODAY(),cal_fechas,"&lt;"&amp;$J66,cal_habil,"sí")))</f>
        <v/>
      </c>
      <c r="AF66" s="24">
        <f>IF($AE66="","",IF($AE66&lt;0,"FUTURO",IF($AE66&gt;p_dias_backlog_max,"BACKLOG","MES CORRIENTE")))</f>
        <v/>
      </c>
      <c r="AG66" s="24">
        <f>IF($AE66="",FALSE,AND($AE66&gt;p_dias_backlog_min,$AE66&lt;=p_dias_backlog_max))</f>
        <v/>
      </c>
      <c r="AH66" s="4" t="n"/>
      <c r="AI66" s="24">
        <f>IF($AH66="","",IF((IFERROR(INDEX('ASIGNACIONES'!$J$4:$J$451,MATCH($O66&amp;"|"&amp;$S66&amp;"|"&amp;$AH66,'ASIGNACIONES'!$N$4:$N$451,0)),""))=0,"",IFERROR(INDEX('ASIGNACIONES'!$J$4:$J$451,MATCH($O66&amp;"|"&amp;$S66&amp;"|"&amp;$AH66,'ASIGNACIONES'!$N$4:$N$451,0)),"")))</f>
        <v/>
      </c>
      <c r="AJ66" s="42">
        <f>IF($AH66="","",SUMIFS('ORDENES'!$M$4:$M$1203,'ORDENES'!$AH$4:$AH$1203,$AH66,'ORDENES'!$O$4:$O$1203,$O66,'ORDENES'!$S$4:$S$1203,$S66))</f>
        <v/>
      </c>
      <c r="AK66" s="42">
        <f>IF($AJ66="","",p_factor_productividad*IFERROR(INDEX('ASIGNACIONES'!$M$4:$M$451,MATCH($O66&amp;"|"&amp;$S66&amp;"|"&amp;$AH66,'ASIGNACIONES'!$N$4:$N$451,0)),0)-$AJ66)</f>
        <v/>
      </c>
      <c r="AL66" s="32">
        <f>IF($A66="","",IFERROR(INDEX('2_IMPORTAR_EJECUCION'!$F$9:$F$1208,MATCH($AU66,'2_IMPORTAR_EJECUCION'!$J$9:$J$1208,0)),0))</f>
        <v/>
      </c>
      <c r="AM66" s="32">
        <f>IF($A66="","",MAX(0,IFERROR(INDEX('2_IMPORTAR_EJECUCION'!$H$9:$H$1208,MATCH($AU66,'2_IMPORTAR_EJECUCION'!$J$9:$J$1208,0)),0)-$AL66))</f>
        <v/>
      </c>
      <c r="AN66" s="32">
        <f>IF($A66="","",$AL66+$AM66)</f>
        <v/>
      </c>
      <c r="AO66" s="24">
        <f>IF($A66="","",IF(OR((IFERROR(INDEX('CAT_ACTIVIDADES'!$D$4:$D$26,MATCH($H66,'CAT_ACTIVIDADES'!$A$4:$A$26,0)),""))=0,(IFERROR(INDEX('CAT_ACTIVIDADES'!$D$4:$D$26,MATCH($H66,'CAT_ACTIVIDADES'!$A$4:$A$26,0)),""))=""),"SIN CLASIFICAR",IFERROR(INDEX('CAT_ACTIVIDADES'!$D$4:$D$26,MATCH($H66,'CAT_ACTIVIDADES'!$A$4:$A$26,0)),"")))</f>
        <v/>
      </c>
      <c r="AP66" s="4" t="n"/>
      <c r="AQ66" s="4" t="n"/>
      <c r="AR66" s="4" t="n"/>
      <c r="AS66" s="24">
        <f>IF($AR66="","",HYPERLINK(p_ruta_base_checklists&amp;$AR66,"abrir"))</f>
        <v/>
      </c>
      <c r="AT66" s="4" t="n"/>
      <c r="AU66" s="24">
        <f>IF($A66="","",$A66&amp;IF($B66="","0010",$B66))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41" t="n"/>
      <c r="K67" s="5" t="n"/>
      <c r="L67" s="18" t="n"/>
      <c r="M67" s="24">
        <f>IF($A67="","",IFERROR(INDEX('AJUSTES'!$B$4:$B$303,MATCH($AU67,'AJUSTES'!$A$4:$A$303,0)),IF($K67="","",$K67)))</f>
        <v/>
      </c>
      <c r="N67" s="24">
        <f>IF($A67="","",IFERROR(INDEX('CAT_ESTADOS_ERP'!$B$4:$B$22,MATCH(IFERROR(INDEX('2_IMPORTAR_EJECUCION'!$C$9:$C$1208,MATCH($AU67,'2_IMPORTAR_EJECUCION'!$J$9:$J$1208,0)),""),'CAT_ESTADOS_ERP'!$A$4:$A$22,0)),"Pendiente"))</f>
        <v/>
      </c>
      <c r="O67" s="24">
        <f>IF($J67="","",YEAR($J67+4-WEEKDAY($J67,2))&amp;"-S"&amp;TEXT(_xlfn.ISOWEEKNUM($J67),"00"))</f>
        <v/>
      </c>
      <c r="P67" s="24">
        <f>IF($J67="","",YEAR($J67))</f>
        <v/>
      </c>
      <c r="Q67" s="24">
        <f>IF($J67="","",MONTH($J67))</f>
        <v/>
      </c>
      <c r="R67" s="24">
        <f>IF($J67="","",$P67&amp;"-"&amp;TEXT($Q67,"00"))</f>
        <v/>
      </c>
      <c r="S67" s="24">
        <f>IF($J67="","",INDEX(lista_dias,WEEKDAY($J67,2)))</f>
        <v/>
      </c>
      <c r="T67" s="24">
        <f>IF($J67="","",IFERROR(INDEX('CALENDARIO'!$C$15:$C$214,MATCH(TEXT($J67,"yyyy-mm-dd")&amp;"|"&amp;$Y67&amp;"|"&amp;$Z67,'CALENDARIO'!$G$15:$G$214,0)),IFERROR(INDEX('CALENDARIO'!$C$15:$C$214,MATCH(TEXT($J67,"yyyy-mm-dd")&amp;"|"&amp;$Y67&amp;"|",'CALENDARIO'!$G$15:$G$214,0)),IFERROR(INDEX('CALENDARIO'!$C$15:$C$214,MATCH(TEXT($J67,"yyyy-mm-dd")&amp;"||",'CALENDARIO'!$G$15:$G$214,0)),INDEX(patronHabil,WEEKDAY($J67,2))))))</f>
        <v/>
      </c>
      <c r="U67" s="24">
        <f>IF($I67="","",IFERROR(INDEX('CAT_TIPOS_OT'!$C$4:$C$23,MATCH($I67,'CAT_TIPOS_OT'!$A$4:$A$23,0)),"sin_clasificar"))</f>
        <v/>
      </c>
      <c r="V67" s="24">
        <f>IF($I67="","",IF(IFERROR(INDEX('CAT_TIPOS_OT'!$D$4:$D$23,MATCH($I67,'CAT_TIPOS_OT'!$A$4:$A$23,0)),"SIN CLASIFICAR")="","SIN CLASIFICAR",IFERROR(INDEX('CAT_TIPOS_OT'!$D$4:$D$23,MATCH($I67,'CAT_TIPOS_OT'!$A$4:$A$23,0)),"SIN CLASIFICAR")))</f>
        <v/>
      </c>
      <c r="W67" s="24">
        <f>IF($H67="","",IF(IFERROR(INDEX('CAT_ACTIVIDADES'!$F$4:$F$26,MATCH($H67,'CAT_ACTIVIDADES'!$A$4:$A$26,0)),"")=0,"",IFERROR(INDEX('CAT_ACTIVIDADES'!$F$4:$F$26,MATCH($H67,'CAT_ACTIVIDADES'!$A$4:$A$26,0)),"")))</f>
        <v/>
      </c>
      <c r="X67" s="24">
        <f>IF($F67="","",IFERROR(INDEX('CAT_CENTROS_COSTO'!$F$4:$F$28,MATCH($F67,'CAT_CENTROS_COSTO'!$A$4:$A$28,0)),"(sin catálogo)"))</f>
        <v/>
      </c>
      <c r="Y67" s="24">
        <f>IF($F67="","",IFERROR(INDEX('CAT_CENTROS_COSTO'!$D$4:$D$28,MATCH($F67,'CAT_CENTROS_COSTO'!$A$4:$A$28,0)),"(sin catálogo)"))</f>
        <v/>
      </c>
      <c r="Z67" s="24">
        <f>IF($F67="","",IF((IFERROR(INDEX('CAT_CENTROS_COSTO'!$E$4:$E$28,MATCH($F67,'CAT_CENTROS_COSTO'!$A$4:$A$28,0)),""))&lt;&gt;"",IFERROR(INDEX('CAT_CENTROS_COSTO'!$E$4:$E$28,MATCH($F67,'CAT_CENTROS_COSTO'!$A$4:$A$28,0)),""),$Y67))</f>
        <v/>
      </c>
      <c r="AA67" s="24">
        <f>IF($F67="","",IFERROR(INDEX('CAT_CENTROS_COSTO'!$G$4:$G$28,MATCH($F67,'CAT_CENTROS_COSTO'!$A$4:$A$28,0)),"(sin catálogo)"))</f>
        <v/>
      </c>
      <c r="AB67" s="24">
        <f>IF($G67="","",IFERROR(INDEX('CAT_PUESTOS'!$B$4:$B$23,MATCH($G67,'CAT_PUESTOS'!$A$4:$A$23,0)),"(sin catálogo)"))</f>
        <v/>
      </c>
      <c r="AC67" s="24">
        <f>IF($H67="","",IFERROR(INDEX('CAT_ACTIVIDADES'!$B$4:$B$26,MATCH($H67,'CAT_ACTIVIDADES'!$A$4:$A$26,0)),"(sin catálogo)"))</f>
        <v/>
      </c>
      <c r="AD67" s="26">
        <f>IF($J67="","",TODAY()-$J67)</f>
        <v/>
      </c>
      <c r="AE67" s="26">
        <f>IF($J67="","",IF($J67&lt;=TODAY(),COUNTIFS(cal_fechas,"&gt;="&amp;$J67,cal_fechas,"&lt;"&amp;TODAY(),cal_habil,"sí"),-COUNTIFS(cal_fechas,"&gt;="&amp;TODAY(),cal_fechas,"&lt;"&amp;$J67,cal_habil,"sí")))</f>
        <v/>
      </c>
      <c r="AF67" s="24">
        <f>IF($AE67="","",IF($AE67&lt;0,"FUTURO",IF($AE67&gt;p_dias_backlog_max,"BACKLOG","MES CORRIENTE")))</f>
        <v/>
      </c>
      <c r="AG67" s="24">
        <f>IF($AE67="",FALSE,AND($AE67&gt;p_dias_backlog_min,$AE67&lt;=p_dias_backlog_max))</f>
        <v/>
      </c>
      <c r="AH67" s="4" t="n"/>
      <c r="AI67" s="24">
        <f>IF($AH67="","",IF((IFERROR(INDEX('ASIGNACIONES'!$J$4:$J$451,MATCH($O67&amp;"|"&amp;$S67&amp;"|"&amp;$AH67,'ASIGNACIONES'!$N$4:$N$451,0)),""))=0,"",IFERROR(INDEX('ASIGNACIONES'!$J$4:$J$451,MATCH($O67&amp;"|"&amp;$S67&amp;"|"&amp;$AH67,'ASIGNACIONES'!$N$4:$N$451,0)),"")))</f>
        <v/>
      </c>
      <c r="AJ67" s="42">
        <f>IF($AH67="","",SUMIFS('ORDENES'!$M$4:$M$1203,'ORDENES'!$AH$4:$AH$1203,$AH67,'ORDENES'!$O$4:$O$1203,$O67,'ORDENES'!$S$4:$S$1203,$S67))</f>
        <v/>
      </c>
      <c r="AK67" s="42">
        <f>IF($AJ67="","",p_factor_productividad*IFERROR(INDEX('ASIGNACIONES'!$M$4:$M$451,MATCH($O67&amp;"|"&amp;$S67&amp;"|"&amp;$AH67,'ASIGNACIONES'!$N$4:$N$451,0)),0)-$AJ67)</f>
        <v/>
      </c>
      <c r="AL67" s="32">
        <f>IF($A67="","",IFERROR(INDEX('2_IMPORTAR_EJECUCION'!$F$9:$F$1208,MATCH($AU67,'2_IMPORTAR_EJECUCION'!$J$9:$J$1208,0)),0))</f>
        <v/>
      </c>
      <c r="AM67" s="32">
        <f>IF($A67="","",MAX(0,IFERROR(INDEX('2_IMPORTAR_EJECUCION'!$H$9:$H$1208,MATCH($AU67,'2_IMPORTAR_EJECUCION'!$J$9:$J$1208,0)),0)-$AL67))</f>
        <v/>
      </c>
      <c r="AN67" s="32">
        <f>IF($A67="","",$AL67+$AM67)</f>
        <v/>
      </c>
      <c r="AO67" s="24">
        <f>IF($A67="","",IF(OR((IFERROR(INDEX('CAT_ACTIVIDADES'!$D$4:$D$26,MATCH($H67,'CAT_ACTIVIDADES'!$A$4:$A$26,0)),""))=0,(IFERROR(INDEX('CAT_ACTIVIDADES'!$D$4:$D$26,MATCH($H67,'CAT_ACTIVIDADES'!$A$4:$A$26,0)),""))=""),"SIN CLASIFICAR",IFERROR(INDEX('CAT_ACTIVIDADES'!$D$4:$D$26,MATCH($H67,'CAT_ACTIVIDADES'!$A$4:$A$26,0)),"")))</f>
        <v/>
      </c>
      <c r="AP67" s="4" t="n"/>
      <c r="AQ67" s="4" t="n"/>
      <c r="AR67" s="4" t="n"/>
      <c r="AS67" s="24">
        <f>IF($AR67="","",HYPERLINK(p_ruta_base_checklists&amp;$AR67,"abrir"))</f>
        <v/>
      </c>
      <c r="AT67" s="4" t="n"/>
      <c r="AU67" s="24">
        <f>IF($A67="","",$A67&amp;IF($B67="","0010",$B67))</f>
        <v/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41" t="n"/>
      <c r="K68" s="5" t="n"/>
      <c r="L68" s="18" t="n"/>
      <c r="M68" s="24">
        <f>IF($A68="","",IFERROR(INDEX('AJUSTES'!$B$4:$B$303,MATCH($AU68,'AJUSTES'!$A$4:$A$303,0)),IF($K68="","",$K68)))</f>
        <v/>
      </c>
      <c r="N68" s="24">
        <f>IF($A68="","",IFERROR(INDEX('CAT_ESTADOS_ERP'!$B$4:$B$22,MATCH(IFERROR(INDEX('2_IMPORTAR_EJECUCION'!$C$9:$C$1208,MATCH($AU68,'2_IMPORTAR_EJECUCION'!$J$9:$J$1208,0)),""),'CAT_ESTADOS_ERP'!$A$4:$A$22,0)),"Pendiente"))</f>
        <v/>
      </c>
      <c r="O68" s="24">
        <f>IF($J68="","",YEAR($J68+4-WEEKDAY($J68,2))&amp;"-S"&amp;TEXT(_xlfn.ISOWEEKNUM($J68),"00"))</f>
        <v/>
      </c>
      <c r="P68" s="24">
        <f>IF($J68="","",YEAR($J68))</f>
        <v/>
      </c>
      <c r="Q68" s="24">
        <f>IF($J68="","",MONTH($J68))</f>
        <v/>
      </c>
      <c r="R68" s="24">
        <f>IF($J68="","",$P68&amp;"-"&amp;TEXT($Q68,"00"))</f>
        <v/>
      </c>
      <c r="S68" s="24">
        <f>IF($J68="","",INDEX(lista_dias,WEEKDAY($J68,2)))</f>
        <v/>
      </c>
      <c r="T68" s="24">
        <f>IF($J68="","",IFERROR(INDEX('CALENDARIO'!$C$15:$C$214,MATCH(TEXT($J68,"yyyy-mm-dd")&amp;"|"&amp;$Y68&amp;"|"&amp;$Z68,'CALENDARIO'!$G$15:$G$214,0)),IFERROR(INDEX('CALENDARIO'!$C$15:$C$214,MATCH(TEXT($J68,"yyyy-mm-dd")&amp;"|"&amp;$Y68&amp;"|",'CALENDARIO'!$G$15:$G$214,0)),IFERROR(INDEX('CALENDARIO'!$C$15:$C$214,MATCH(TEXT($J68,"yyyy-mm-dd")&amp;"||",'CALENDARIO'!$G$15:$G$214,0)),INDEX(patronHabil,WEEKDAY($J68,2))))))</f>
        <v/>
      </c>
      <c r="U68" s="24">
        <f>IF($I68="","",IFERROR(INDEX('CAT_TIPOS_OT'!$C$4:$C$23,MATCH($I68,'CAT_TIPOS_OT'!$A$4:$A$23,0)),"sin_clasificar"))</f>
        <v/>
      </c>
      <c r="V68" s="24">
        <f>IF($I68="","",IF(IFERROR(INDEX('CAT_TIPOS_OT'!$D$4:$D$23,MATCH($I68,'CAT_TIPOS_OT'!$A$4:$A$23,0)),"SIN CLASIFICAR")="","SIN CLASIFICAR",IFERROR(INDEX('CAT_TIPOS_OT'!$D$4:$D$23,MATCH($I68,'CAT_TIPOS_OT'!$A$4:$A$23,0)),"SIN CLASIFICAR")))</f>
        <v/>
      </c>
      <c r="W68" s="24">
        <f>IF($H68="","",IF(IFERROR(INDEX('CAT_ACTIVIDADES'!$F$4:$F$26,MATCH($H68,'CAT_ACTIVIDADES'!$A$4:$A$26,0)),"")=0,"",IFERROR(INDEX('CAT_ACTIVIDADES'!$F$4:$F$26,MATCH($H68,'CAT_ACTIVIDADES'!$A$4:$A$26,0)),"")))</f>
        <v/>
      </c>
      <c r="X68" s="24">
        <f>IF($F68="","",IFERROR(INDEX('CAT_CENTROS_COSTO'!$F$4:$F$28,MATCH($F68,'CAT_CENTROS_COSTO'!$A$4:$A$28,0)),"(sin catálogo)"))</f>
        <v/>
      </c>
      <c r="Y68" s="24">
        <f>IF($F68="","",IFERROR(INDEX('CAT_CENTROS_COSTO'!$D$4:$D$28,MATCH($F68,'CAT_CENTROS_COSTO'!$A$4:$A$28,0)),"(sin catálogo)"))</f>
        <v/>
      </c>
      <c r="Z68" s="24">
        <f>IF($F68="","",IF((IFERROR(INDEX('CAT_CENTROS_COSTO'!$E$4:$E$28,MATCH($F68,'CAT_CENTROS_COSTO'!$A$4:$A$28,0)),""))&lt;&gt;"",IFERROR(INDEX('CAT_CENTROS_COSTO'!$E$4:$E$28,MATCH($F68,'CAT_CENTROS_COSTO'!$A$4:$A$28,0)),""),$Y68))</f>
        <v/>
      </c>
      <c r="AA68" s="24">
        <f>IF($F68="","",IFERROR(INDEX('CAT_CENTROS_COSTO'!$G$4:$G$28,MATCH($F68,'CAT_CENTROS_COSTO'!$A$4:$A$28,0)),"(sin catálogo)"))</f>
        <v/>
      </c>
      <c r="AB68" s="24">
        <f>IF($G68="","",IFERROR(INDEX('CAT_PUESTOS'!$B$4:$B$23,MATCH($G68,'CAT_PUESTOS'!$A$4:$A$23,0)),"(sin catálogo)"))</f>
        <v/>
      </c>
      <c r="AC68" s="24">
        <f>IF($H68="","",IFERROR(INDEX('CAT_ACTIVIDADES'!$B$4:$B$26,MATCH($H68,'CAT_ACTIVIDADES'!$A$4:$A$26,0)),"(sin catálogo)"))</f>
        <v/>
      </c>
      <c r="AD68" s="26">
        <f>IF($J68="","",TODAY()-$J68)</f>
        <v/>
      </c>
      <c r="AE68" s="26">
        <f>IF($J68="","",IF($J68&lt;=TODAY(),COUNTIFS(cal_fechas,"&gt;="&amp;$J68,cal_fechas,"&lt;"&amp;TODAY(),cal_habil,"sí"),-COUNTIFS(cal_fechas,"&gt;="&amp;TODAY(),cal_fechas,"&lt;"&amp;$J68,cal_habil,"sí")))</f>
        <v/>
      </c>
      <c r="AF68" s="24">
        <f>IF($AE68="","",IF($AE68&lt;0,"FUTURO",IF($AE68&gt;p_dias_backlog_max,"BACKLOG","MES CORRIENTE")))</f>
        <v/>
      </c>
      <c r="AG68" s="24">
        <f>IF($AE68="",FALSE,AND($AE68&gt;p_dias_backlog_min,$AE68&lt;=p_dias_backlog_max))</f>
        <v/>
      </c>
      <c r="AH68" s="4" t="n"/>
      <c r="AI68" s="24">
        <f>IF($AH68="","",IF((IFERROR(INDEX('ASIGNACIONES'!$J$4:$J$451,MATCH($O68&amp;"|"&amp;$S68&amp;"|"&amp;$AH68,'ASIGNACIONES'!$N$4:$N$451,0)),""))=0,"",IFERROR(INDEX('ASIGNACIONES'!$J$4:$J$451,MATCH($O68&amp;"|"&amp;$S68&amp;"|"&amp;$AH68,'ASIGNACIONES'!$N$4:$N$451,0)),"")))</f>
        <v/>
      </c>
      <c r="AJ68" s="42">
        <f>IF($AH68="","",SUMIFS('ORDENES'!$M$4:$M$1203,'ORDENES'!$AH$4:$AH$1203,$AH68,'ORDENES'!$O$4:$O$1203,$O68,'ORDENES'!$S$4:$S$1203,$S68))</f>
        <v/>
      </c>
      <c r="AK68" s="42">
        <f>IF($AJ68="","",p_factor_productividad*IFERROR(INDEX('ASIGNACIONES'!$M$4:$M$451,MATCH($O68&amp;"|"&amp;$S68&amp;"|"&amp;$AH68,'ASIGNACIONES'!$N$4:$N$451,0)),0)-$AJ68)</f>
        <v/>
      </c>
      <c r="AL68" s="32">
        <f>IF($A68="","",IFERROR(INDEX('2_IMPORTAR_EJECUCION'!$F$9:$F$1208,MATCH($AU68,'2_IMPORTAR_EJECUCION'!$J$9:$J$1208,0)),0))</f>
        <v/>
      </c>
      <c r="AM68" s="32">
        <f>IF($A68="","",MAX(0,IFERROR(INDEX('2_IMPORTAR_EJECUCION'!$H$9:$H$1208,MATCH($AU68,'2_IMPORTAR_EJECUCION'!$J$9:$J$1208,0)),0)-$AL68))</f>
        <v/>
      </c>
      <c r="AN68" s="32">
        <f>IF($A68="","",$AL68+$AM68)</f>
        <v/>
      </c>
      <c r="AO68" s="24">
        <f>IF($A68="","",IF(OR((IFERROR(INDEX('CAT_ACTIVIDADES'!$D$4:$D$26,MATCH($H68,'CAT_ACTIVIDADES'!$A$4:$A$26,0)),""))=0,(IFERROR(INDEX('CAT_ACTIVIDADES'!$D$4:$D$26,MATCH($H68,'CAT_ACTIVIDADES'!$A$4:$A$26,0)),""))=""),"SIN CLASIFICAR",IFERROR(INDEX('CAT_ACTIVIDADES'!$D$4:$D$26,MATCH($H68,'CAT_ACTIVIDADES'!$A$4:$A$26,0)),"")))</f>
        <v/>
      </c>
      <c r="AP68" s="4" t="n"/>
      <c r="AQ68" s="4" t="n"/>
      <c r="AR68" s="4" t="n"/>
      <c r="AS68" s="24">
        <f>IF($AR68="","",HYPERLINK(p_ruta_base_checklists&amp;$AR68,"abrir"))</f>
        <v/>
      </c>
      <c r="AT68" s="4" t="n"/>
      <c r="AU68" s="24">
        <f>IF($A68="","",$A68&amp;IF($B68="","0010",$B68))</f>
        <v/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41" t="n"/>
      <c r="K69" s="5" t="n"/>
      <c r="L69" s="18" t="n"/>
      <c r="M69" s="24">
        <f>IF($A69="","",IFERROR(INDEX('AJUSTES'!$B$4:$B$303,MATCH($AU69,'AJUSTES'!$A$4:$A$303,0)),IF($K69="","",$K69)))</f>
        <v/>
      </c>
      <c r="N69" s="24">
        <f>IF($A69="","",IFERROR(INDEX('CAT_ESTADOS_ERP'!$B$4:$B$22,MATCH(IFERROR(INDEX('2_IMPORTAR_EJECUCION'!$C$9:$C$1208,MATCH($AU69,'2_IMPORTAR_EJECUCION'!$J$9:$J$1208,0)),""),'CAT_ESTADOS_ERP'!$A$4:$A$22,0)),"Pendiente"))</f>
        <v/>
      </c>
      <c r="O69" s="24">
        <f>IF($J69="","",YEAR($J69+4-WEEKDAY($J69,2))&amp;"-S"&amp;TEXT(_xlfn.ISOWEEKNUM($J69),"00"))</f>
        <v/>
      </c>
      <c r="P69" s="24">
        <f>IF($J69="","",YEAR($J69))</f>
        <v/>
      </c>
      <c r="Q69" s="24">
        <f>IF($J69="","",MONTH($J69))</f>
        <v/>
      </c>
      <c r="R69" s="24">
        <f>IF($J69="","",$P69&amp;"-"&amp;TEXT($Q69,"00"))</f>
        <v/>
      </c>
      <c r="S69" s="24">
        <f>IF($J69="","",INDEX(lista_dias,WEEKDAY($J69,2)))</f>
        <v/>
      </c>
      <c r="T69" s="24">
        <f>IF($J69="","",IFERROR(INDEX('CALENDARIO'!$C$15:$C$214,MATCH(TEXT($J69,"yyyy-mm-dd")&amp;"|"&amp;$Y69&amp;"|"&amp;$Z69,'CALENDARIO'!$G$15:$G$214,0)),IFERROR(INDEX('CALENDARIO'!$C$15:$C$214,MATCH(TEXT($J69,"yyyy-mm-dd")&amp;"|"&amp;$Y69&amp;"|",'CALENDARIO'!$G$15:$G$214,0)),IFERROR(INDEX('CALENDARIO'!$C$15:$C$214,MATCH(TEXT($J69,"yyyy-mm-dd")&amp;"||",'CALENDARIO'!$G$15:$G$214,0)),INDEX(patronHabil,WEEKDAY($J69,2))))))</f>
        <v/>
      </c>
      <c r="U69" s="24">
        <f>IF($I69="","",IFERROR(INDEX('CAT_TIPOS_OT'!$C$4:$C$23,MATCH($I69,'CAT_TIPOS_OT'!$A$4:$A$23,0)),"sin_clasificar"))</f>
        <v/>
      </c>
      <c r="V69" s="24">
        <f>IF($I69="","",IF(IFERROR(INDEX('CAT_TIPOS_OT'!$D$4:$D$23,MATCH($I69,'CAT_TIPOS_OT'!$A$4:$A$23,0)),"SIN CLASIFICAR")="","SIN CLASIFICAR",IFERROR(INDEX('CAT_TIPOS_OT'!$D$4:$D$23,MATCH($I69,'CAT_TIPOS_OT'!$A$4:$A$23,0)),"SIN CLASIFICAR")))</f>
        <v/>
      </c>
      <c r="W69" s="24">
        <f>IF($H69="","",IF(IFERROR(INDEX('CAT_ACTIVIDADES'!$F$4:$F$26,MATCH($H69,'CAT_ACTIVIDADES'!$A$4:$A$26,0)),"")=0,"",IFERROR(INDEX('CAT_ACTIVIDADES'!$F$4:$F$26,MATCH($H69,'CAT_ACTIVIDADES'!$A$4:$A$26,0)),"")))</f>
        <v/>
      </c>
      <c r="X69" s="24">
        <f>IF($F69="","",IFERROR(INDEX('CAT_CENTROS_COSTO'!$F$4:$F$28,MATCH($F69,'CAT_CENTROS_COSTO'!$A$4:$A$28,0)),"(sin catálogo)"))</f>
        <v/>
      </c>
      <c r="Y69" s="24">
        <f>IF($F69="","",IFERROR(INDEX('CAT_CENTROS_COSTO'!$D$4:$D$28,MATCH($F69,'CAT_CENTROS_COSTO'!$A$4:$A$28,0)),"(sin catálogo)"))</f>
        <v/>
      </c>
      <c r="Z69" s="24">
        <f>IF($F69="","",IF((IFERROR(INDEX('CAT_CENTROS_COSTO'!$E$4:$E$28,MATCH($F69,'CAT_CENTROS_COSTO'!$A$4:$A$28,0)),""))&lt;&gt;"",IFERROR(INDEX('CAT_CENTROS_COSTO'!$E$4:$E$28,MATCH($F69,'CAT_CENTROS_COSTO'!$A$4:$A$28,0)),""),$Y69))</f>
        <v/>
      </c>
      <c r="AA69" s="24">
        <f>IF($F69="","",IFERROR(INDEX('CAT_CENTROS_COSTO'!$G$4:$G$28,MATCH($F69,'CAT_CENTROS_COSTO'!$A$4:$A$28,0)),"(sin catálogo)"))</f>
        <v/>
      </c>
      <c r="AB69" s="24">
        <f>IF($G69="","",IFERROR(INDEX('CAT_PUESTOS'!$B$4:$B$23,MATCH($G69,'CAT_PUESTOS'!$A$4:$A$23,0)),"(sin catálogo)"))</f>
        <v/>
      </c>
      <c r="AC69" s="24">
        <f>IF($H69="","",IFERROR(INDEX('CAT_ACTIVIDADES'!$B$4:$B$26,MATCH($H69,'CAT_ACTIVIDADES'!$A$4:$A$26,0)),"(sin catálogo)"))</f>
        <v/>
      </c>
      <c r="AD69" s="26">
        <f>IF($J69="","",TODAY()-$J69)</f>
        <v/>
      </c>
      <c r="AE69" s="26">
        <f>IF($J69="","",IF($J69&lt;=TODAY(),COUNTIFS(cal_fechas,"&gt;="&amp;$J69,cal_fechas,"&lt;"&amp;TODAY(),cal_habil,"sí"),-COUNTIFS(cal_fechas,"&gt;="&amp;TODAY(),cal_fechas,"&lt;"&amp;$J69,cal_habil,"sí")))</f>
        <v/>
      </c>
      <c r="AF69" s="24">
        <f>IF($AE69="","",IF($AE69&lt;0,"FUTURO",IF($AE69&gt;p_dias_backlog_max,"BACKLOG","MES CORRIENTE")))</f>
        <v/>
      </c>
      <c r="AG69" s="24">
        <f>IF($AE69="",FALSE,AND($AE69&gt;p_dias_backlog_min,$AE69&lt;=p_dias_backlog_max))</f>
        <v/>
      </c>
      <c r="AH69" s="4" t="n"/>
      <c r="AI69" s="24">
        <f>IF($AH69="","",IF((IFERROR(INDEX('ASIGNACIONES'!$J$4:$J$451,MATCH($O69&amp;"|"&amp;$S69&amp;"|"&amp;$AH69,'ASIGNACIONES'!$N$4:$N$451,0)),""))=0,"",IFERROR(INDEX('ASIGNACIONES'!$J$4:$J$451,MATCH($O69&amp;"|"&amp;$S69&amp;"|"&amp;$AH69,'ASIGNACIONES'!$N$4:$N$451,0)),"")))</f>
        <v/>
      </c>
      <c r="AJ69" s="42">
        <f>IF($AH69="","",SUMIFS('ORDENES'!$M$4:$M$1203,'ORDENES'!$AH$4:$AH$1203,$AH69,'ORDENES'!$O$4:$O$1203,$O69,'ORDENES'!$S$4:$S$1203,$S69))</f>
        <v/>
      </c>
      <c r="AK69" s="42">
        <f>IF($AJ69="","",p_factor_productividad*IFERROR(INDEX('ASIGNACIONES'!$M$4:$M$451,MATCH($O69&amp;"|"&amp;$S69&amp;"|"&amp;$AH69,'ASIGNACIONES'!$N$4:$N$451,0)),0)-$AJ69)</f>
        <v/>
      </c>
      <c r="AL69" s="32">
        <f>IF($A69="","",IFERROR(INDEX('2_IMPORTAR_EJECUCION'!$F$9:$F$1208,MATCH($AU69,'2_IMPORTAR_EJECUCION'!$J$9:$J$1208,0)),0))</f>
        <v/>
      </c>
      <c r="AM69" s="32">
        <f>IF($A69="","",MAX(0,IFERROR(INDEX('2_IMPORTAR_EJECUCION'!$H$9:$H$1208,MATCH($AU69,'2_IMPORTAR_EJECUCION'!$J$9:$J$1208,0)),0)-$AL69))</f>
        <v/>
      </c>
      <c r="AN69" s="32">
        <f>IF($A69="","",$AL69+$AM69)</f>
        <v/>
      </c>
      <c r="AO69" s="24">
        <f>IF($A69="","",IF(OR((IFERROR(INDEX('CAT_ACTIVIDADES'!$D$4:$D$26,MATCH($H69,'CAT_ACTIVIDADES'!$A$4:$A$26,0)),""))=0,(IFERROR(INDEX('CAT_ACTIVIDADES'!$D$4:$D$26,MATCH($H69,'CAT_ACTIVIDADES'!$A$4:$A$26,0)),""))=""),"SIN CLASIFICAR",IFERROR(INDEX('CAT_ACTIVIDADES'!$D$4:$D$26,MATCH($H69,'CAT_ACTIVIDADES'!$A$4:$A$26,0)),"")))</f>
        <v/>
      </c>
      <c r="AP69" s="4" t="n"/>
      <c r="AQ69" s="4" t="n"/>
      <c r="AR69" s="4" t="n"/>
      <c r="AS69" s="24">
        <f>IF($AR69="","",HYPERLINK(p_ruta_base_checklists&amp;$AR69,"abrir"))</f>
        <v/>
      </c>
      <c r="AT69" s="4" t="n"/>
      <c r="AU69" s="24">
        <f>IF($A69="","",$A69&amp;IF($B69="","0010",$B69))</f>
        <v/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41" t="n"/>
      <c r="K70" s="5" t="n"/>
      <c r="L70" s="18" t="n"/>
      <c r="M70" s="24">
        <f>IF($A70="","",IFERROR(INDEX('AJUSTES'!$B$4:$B$303,MATCH($AU70,'AJUSTES'!$A$4:$A$303,0)),IF($K70="","",$K70)))</f>
        <v/>
      </c>
      <c r="N70" s="24">
        <f>IF($A70="","",IFERROR(INDEX('CAT_ESTADOS_ERP'!$B$4:$B$22,MATCH(IFERROR(INDEX('2_IMPORTAR_EJECUCION'!$C$9:$C$1208,MATCH($AU70,'2_IMPORTAR_EJECUCION'!$J$9:$J$1208,0)),""),'CAT_ESTADOS_ERP'!$A$4:$A$22,0)),"Pendiente"))</f>
        <v/>
      </c>
      <c r="O70" s="24">
        <f>IF($J70="","",YEAR($J70+4-WEEKDAY($J70,2))&amp;"-S"&amp;TEXT(_xlfn.ISOWEEKNUM($J70),"00"))</f>
        <v/>
      </c>
      <c r="P70" s="24">
        <f>IF($J70="","",YEAR($J70))</f>
        <v/>
      </c>
      <c r="Q70" s="24">
        <f>IF($J70="","",MONTH($J70))</f>
        <v/>
      </c>
      <c r="R70" s="24">
        <f>IF($J70="","",$P70&amp;"-"&amp;TEXT($Q70,"00"))</f>
        <v/>
      </c>
      <c r="S70" s="24">
        <f>IF($J70="","",INDEX(lista_dias,WEEKDAY($J70,2)))</f>
        <v/>
      </c>
      <c r="T70" s="24">
        <f>IF($J70="","",IFERROR(INDEX('CALENDARIO'!$C$15:$C$214,MATCH(TEXT($J70,"yyyy-mm-dd")&amp;"|"&amp;$Y70&amp;"|"&amp;$Z70,'CALENDARIO'!$G$15:$G$214,0)),IFERROR(INDEX('CALENDARIO'!$C$15:$C$214,MATCH(TEXT($J70,"yyyy-mm-dd")&amp;"|"&amp;$Y70&amp;"|",'CALENDARIO'!$G$15:$G$214,0)),IFERROR(INDEX('CALENDARIO'!$C$15:$C$214,MATCH(TEXT($J70,"yyyy-mm-dd")&amp;"||",'CALENDARIO'!$G$15:$G$214,0)),INDEX(patronHabil,WEEKDAY($J70,2))))))</f>
        <v/>
      </c>
      <c r="U70" s="24">
        <f>IF($I70="","",IFERROR(INDEX('CAT_TIPOS_OT'!$C$4:$C$23,MATCH($I70,'CAT_TIPOS_OT'!$A$4:$A$23,0)),"sin_clasificar"))</f>
        <v/>
      </c>
      <c r="V70" s="24">
        <f>IF($I70="","",IF(IFERROR(INDEX('CAT_TIPOS_OT'!$D$4:$D$23,MATCH($I70,'CAT_TIPOS_OT'!$A$4:$A$23,0)),"SIN CLASIFICAR")="","SIN CLASIFICAR",IFERROR(INDEX('CAT_TIPOS_OT'!$D$4:$D$23,MATCH($I70,'CAT_TIPOS_OT'!$A$4:$A$23,0)),"SIN CLASIFICAR")))</f>
        <v/>
      </c>
      <c r="W70" s="24">
        <f>IF($H70="","",IF(IFERROR(INDEX('CAT_ACTIVIDADES'!$F$4:$F$26,MATCH($H70,'CAT_ACTIVIDADES'!$A$4:$A$26,0)),"")=0,"",IFERROR(INDEX('CAT_ACTIVIDADES'!$F$4:$F$26,MATCH($H70,'CAT_ACTIVIDADES'!$A$4:$A$26,0)),"")))</f>
        <v/>
      </c>
      <c r="X70" s="24">
        <f>IF($F70="","",IFERROR(INDEX('CAT_CENTROS_COSTO'!$F$4:$F$28,MATCH($F70,'CAT_CENTROS_COSTO'!$A$4:$A$28,0)),"(sin catálogo)"))</f>
        <v/>
      </c>
      <c r="Y70" s="24">
        <f>IF($F70="","",IFERROR(INDEX('CAT_CENTROS_COSTO'!$D$4:$D$28,MATCH($F70,'CAT_CENTROS_COSTO'!$A$4:$A$28,0)),"(sin catálogo)"))</f>
        <v/>
      </c>
      <c r="Z70" s="24">
        <f>IF($F70="","",IF((IFERROR(INDEX('CAT_CENTROS_COSTO'!$E$4:$E$28,MATCH($F70,'CAT_CENTROS_COSTO'!$A$4:$A$28,0)),""))&lt;&gt;"",IFERROR(INDEX('CAT_CENTROS_COSTO'!$E$4:$E$28,MATCH($F70,'CAT_CENTROS_COSTO'!$A$4:$A$28,0)),""),$Y70))</f>
        <v/>
      </c>
      <c r="AA70" s="24">
        <f>IF($F70="","",IFERROR(INDEX('CAT_CENTROS_COSTO'!$G$4:$G$28,MATCH($F70,'CAT_CENTROS_COSTO'!$A$4:$A$28,0)),"(sin catálogo)"))</f>
        <v/>
      </c>
      <c r="AB70" s="24">
        <f>IF($G70="","",IFERROR(INDEX('CAT_PUESTOS'!$B$4:$B$23,MATCH($G70,'CAT_PUESTOS'!$A$4:$A$23,0)),"(sin catálogo)"))</f>
        <v/>
      </c>
      <c r="AC70" s="24">
        <f>IF($H70="","",IFERROR(INDEX('CAT_ACTIVIDADES'!$B$4:$B$26,MATCH($H70,'CAT_ACTIVIDADES'!$A$4:$A$26,0)),"(sin catálogo)"))</f>
        <v/>
      </c>
      <c r="AD70" s="26">
        <f>IF($J70="","",TODAY()-$J70)</f>
        <v/>
      </c>
      <c r="AE70" s="26">
        <f>IF($J70="","",IF($J70&lt;=TODAY(),COUNTIFS(cal_fechas,"&gt;="&amp;$J70,cal_fechas,"&lt;"&amp;TODAY(),cal_habil,"sí"),-COUNTIFS(cal_fechas,"&gt;="&amp;TODAY(),cal_fechas,"&lt;"&amp;$J70,cal_habil,"sí")))</f>
        <v/>
      </c>
      <c r="AF70" s="24">
        <f>IF($AE70="","",IF($AE70&lt;0,"FUTURO",IF($AE70&gt;p_dias_backlog_max,"BACKLOG","MES CORRIENTE")))</f>
        <v/>
      </c>
      <c r="AG70" s="24">
        <f>IF($AE70="",FALSE,AND($AE70&gt;p_dias_backlog_min,$AE70&lt;=p_dias_backlog_max))</f>
        <v/>
      </c>
      <c r="AH70" s="4" t="n"/>
      <c r="AI70" s="24">
        <f>IF($AH70="","",IF((IFERROR(INDEX('ASIGNACIONES'!$J$4:$J$451,MATCH($O70&amp;"|"&amp;$S70&amp;"|"&amp;$AH70,'ASIGNACIONES'!$N$4:$N$451,0)),""))=0,"",IFERROR(INDEX('ASIGNACIONES'!$J$4:$J$451,MATCH($O70&amp;"|"&amp;$S70&amp;"|"&amp;$AH70,'ASIGNACIONES'!$N$4:$N$451,0)),"")))</f>
        <v/>
      </c>
      <c r="AJ70" s="42">
        <f>IF($AH70="","",SUMIFS('ORDENES'!$M$4:$M$1203,'ORDENES'!$AH$4:$AH$1203,$AH70,'ORDENES'!$O$4:$O$1203,$O70,'ORDENES'!$S$4:$S$1203,$S70))</f>
        <v/>
      </c>
      <c r="AK70" s="42">
        <f>IF($AJ70="","",p_factor_productividad*IFERROR(INDEX('ASIGNACIONES'!$M$4:$M$451,MATCH($O70&amp;"|"&amp;$S70&amp;"|"&amp;$AH70,'ASIGNACIONES'!$N$4:$N$451,0)),0)-$AJ70)</f>
        <v/>
      </c>
      <c r="AL70" s="32">
        <f>IF($A70="","",IFERROR(INDEX('2_IMPORTAR_EJECUCION'!$F$9:$F$1208,MATCH($AU70,'2_IMPORTAR_EJECUCION'!$J$9:$J$1208,0)),0))</f>
        <v/>
      </c>
      <c r="AM70" s="32">
        <f>IF($A70="","",MAX(0,IFERROR(INDEX('2_IMPORTAR_EJECUCION'!$H$9:$H$1208,MATCH($AU70,'2_IMPORTAR_EJECUCION'!$J$9:$J$1208,0)),0)-$AL70))</f>
        <v/>
      </c>
      <c r="AN70" s="32">
        <f>IF($A70="","",$AL70+$AM70)</f>
        <v/>
      </c>
      <c r="AO70" s="24">
        <f>IF($A70="","",IF(OR((IFERROR(INDEX('CAT_ACTIVIDADES'!$D$4:$D$26,MATCH($H70,'CAT_ACTIVIDADES'!$A$4:$A$26,0)),""))=0,(IFERROR(INDEX('CAT_ACTIVIDADES'!$D$4:$D$26,MATCH($H70,'CAT_ACTIVIDADES'!$A$4:$A$26,0)),""))=""),"SIN CLASIFICAR",IFERROR(INDEX('CAT_ACTIVIDADES'!$D$4:$D$26,MATCH($H70,'CAT_ACTIVIDADES'!$A$4:$A$26,0)),"")))</f>
        <v/>
      </c>
      <c r="AP70" s="4" t="n"/>
      <c r="AQ70" s="4" t="n"/>
      <c r="AR70" s="4" t="n"/>
      <c r="AS70" s="24">
        <f>IF($AR70="","",HYPERLINK(p_ruta_base_checklists&amp;$AR70,"abrir"))</f>
        <v/>
      </c>
      <c r="AT70" s="4" t="n"/>
      <c r="AU70" s="24">
        <f>IF($A70="","",$A70&amp;IF($B70="","0010",$B70))</f>
        <v/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41" t="n"/>
      <c r="K71" s="5" t="n"/>
      <c r="L71" s="18" t="n"/>
      <c r="M71" s="24">
        <f>IF($A71="","",IFERROR(INDEX('AJUSTES'!$B$4:$B$303,MATCH($AU71,'AJUSTES'!$A$4:$A$303,0)),IF($K71="","",$K71)))</f>
        <v/>
      </c>
      <c r="N71" s="24">
        <f>IF($A71="","",IFERROR(INDEX('CAT_ESTADOS_ERP'!$B$4:$B$22,MATCH(IFERROR(INDEX('2_IMPORTAR_EJECUCION'!$C$9:$C$1208,MATCH($AU71,'2_IMPORTAR_EJECUCION'!$J$9:$J$1208,0)),""),'CAT_ESTADOS_ERP'!$A$4:$A$22,0)),"Pendiente"))</f>
        <v/>
      </c>
      <c r="O71" s="24">
        <f>IF($J71="","",YEAR($J71+4-WEEKDAY($J71,2))&amp;"-S"&amp;TEXT(_xlfn.ISOWEEKNUM($J71),"00"))</f>
        <v/>
      </c>
      <c r="P71" s="24">
        <f>IF($J71="","",YEAR($J71))</f>
        <v/>
      </c>
      <c r="Q71" s="24">
        <f>IF($J71="","",MONTH($J71))</f>
        <v/>
      </c>
      <c r="R71" s="24">
        <f>IF($J71="","",$P71&amp;"-"&amp;TEXT($Q71,"00"))</f>
        <v/>
      </c>
      <c r="S71" s="24">
        <f>IF($J71="","",INDEX(lista_dias,WEEKDAY($J71,2)))</f>
        <v/>
      </c>
      <c r="T71" s="24">
        <f>IF($J71="","",IFERROR(INDEX('CALENDARIO'!$C$15:$C$214,MATCH(TEXT($J71,"yyyy-mm-dd")&amp;"|"&amp;$Y71&amp;"|"&amp;$Z71,'CALENDARIO'!$G$15:$G$214,0)),IFERROR(INDEX('CALENDARIO'!$C$15:$C$214,MATCH(TEXT($J71,"yyyy-mm-dd")&amp;"|"&amp;$Y71&amp;"|",'CALENDARIO'!$G$15:$G$214,0)),IFERROR(INDEX('CALENDARIO'!$C$15:$C$214,MATCH(TEXT($J71,"yyyy-mm-dd")&amp;"||",'CALENDARIO'!$G$15:$G$214,0)),INDEX(patronHabil,WEEKDAY($J71,2))))))</f>
        <v/>
      </c>
      <c r="U71" s="24">
        <f>IF($I71="","",IFERROR(INDEX('CAT_TIPOS_OT'!$C$4:$C$23,MATCH($I71,'CAT_TIPOS_OT'!$A$4:$A$23,0)),"sin_clasificar"))</f>
        <v/>
      </c>
      <c r="V71" s="24">
        <f>IF($I71="","",IF(IFERROR(INDEX('CAT_TIPOS_OT'!$D$4:$D$23,MATCH($I71,'CAT_TIPOS_OT'!$A$4:$A$23,0)),"SIN CLASIFICAR")="","SIN CLASIFICAR",IFERROR(INDEX('CAT_TIPOS_OT'!$D$4:$D$23,MATCH($I71,'CAT_TIPOS_OT'!$A$4:$A$23,0)),"SIN CLASIFICAR")))</f>
        <v/>
      </c>
      <c r="W71" s="24">
        <f>IF($H71="","",IF(IFERROR(INDEX('CAT_ACTIVIDADES'!$F$4:$F$26,MATCH($H71,'CAT_ACTIVIDADES'!$A$4:$A$26,0)),"")=0,"",IFERROR(INDEX('CAT_ACTIVIDADES'!$F$4:$F$26,MATCH($H71,'CAT_ACTIVIDADES'!$A$4:$A$26,0)),"")))</f>
        <v/>
      </c>
      <c r="X71" s="24">
        <f>IF($F71="","",IFERROR(INDEX('CAT_CENTROS_COSTO'!$F$4:$F$28,MATCH($F71,'CAT_CENTROS_COSTO'!$A$4:$A$28,0)),"(sin catálogo)"))</f>
        <v/>
      </c>
      <c r="Y71" s="24">
        <f>IF($F71="","",IFERROR(INDEX('CAT_CENTROS_COSTO'!$D$4:$D$28,MATCH($F71,'CAT_CENTROS_COSTO'!$A$4:$A$28,0)),"(sin catálogo)"))</f>
        <v/>
      </c>
      <c r="Z71" s="24">
        <f>IF($F71="","",IF((IFERROR(INDEX('CAT_CENTROS_COSTO'!$E$4:$E$28,MATCH($F71,'CAT_CENTROS_COSTO'!$A$4:$A$28,0)),""))&lt;&gt;"",IFERROR(INDEX('CAT_CENTROS_COSTO'!$E$4:$E$28,MATCH($F71,'CAT_CENTROS_COSTO'!$A$4:$A$28,0)),""),$Y71))</f>
        <v/>
      </c>
      <c r="AA71" s="24">
        <f>IF($F71="","",IFERROR(INDEX('CAT_CENTROS_COSTO'!$G$4:$G$28,MATCH($F71,'CAT_CENTROS_COSTO'!$A$4:$A$28,0)),"(sin catálogo)"))</f>
        <v/>
      </c>
      <c r="AB71" s="24">
        <f>IF($G71="","",IFERROR(INDEX('CAT_PUESTOS'!$B$4:$B$23,MATCH($G71,'CAT_PUESTOS'!$A$4:$A$23,0)),"(sin catálogo)"))</f>
        <v/>
      </c>
      <c r="AC71" s="24">
        <f>IF($H71="","",IFERROR(INDEX('CAT_ACTIVIDADES'!$B$4:$B$26,MATCH($H71,'CAT_ACTIVIDADES'!$A$4:$A$26,0)),"(sin catálogo)"))</f>
        <v/>
      </c>
      <c r="AD71" s="26">
        <f>IF($J71="","",TODAY()-$J71)</f>
        <v/>
      </c>
      <c r="AE71" s="26">
        <f>IF($J71="","",IF($J71&lt;=TODAY(),COUNTIFS(cal_fechas,"&gt;="&amp;$J71,cal_fechas,"&lt;"&amp;TODAY(),cal_habil,"sí"),-COUNTIFS(cal_fechas,"&gt;="&amp;TODAY(),cal_fechas,"&lt;"&amp;$J71,cal_habil,"sí")))</f>
        <v/>
      </c>
      <c r="AF71" s="24">
        <f>IF($AE71="","",IF($AE71&lt;0,"FUTURO",IF($AE71&gt;p_dias_backlog_max,"BACKLOG","MES CORRIENTE")))</f>
        <v/>
      </c>
      <c r="AG71" s="24">
        <f>IF($AE71="",FALSE,AND($AE71&gt;p_dias_backlog_min,$AE71&lt;=p_dias_backlog_max))</f>
        <v/>
      </c>
      <c r="AH71" s="4" t="n"/>
      <c r="AI71" s="24">
        <f>IF($AH71="","",IF((IFERROR(INDEX('ASIGNACIONES'!$J$4:$J$451,MATCH($O71&amp;"|"&amp;$S71&amp;"|"&amp;$AH71,'ASIGNACIONES'!$N$4:$N$451,0)),""))=0,"",IFERROR(INDEX('ASIGNACIONES'!$J$4:$J$451,MATCH($O71&amp;"|"&amp;$S71&amp;"|"&amp;$AH71,'ASIGNACIONES'!$N$4:$N$451,0)),"")))</f>
        <v/>
      </c>
      <c r="AJ71" s="42">
        <f>IF($AH71="","",SUMIFS('ORDENES'!$M$4:$M$1203,'ORDENES'!$AH$4:$AH$1203,$AH71,'ORDENES'!$O$4:$O$1203,$O71,'ORDENES'!$S$4:$S$1203,$S71))</f>
        <v/>
      </c>
      <c r="AK71" s="42">
        <f>IF($AJ71="","",p_factor_productividad*IFERROR(INDEX('ASIGNACIONES'!$M$4:$M$451,MATCH($O71&amp;"|"&amp;$S71&amp;"|"&amp;$AH71,'ASIGNACIONES'!$N$4:$N$451,0)),0)-$AJ71)</f>
        <v/>
      </c>
      <c r="AL71" s="32">
        <f>IF($A71="","",IFERROR(INDEX('2_IMPORTAR_EJECUCION'!$F$9:$F$1208,MATCH($AU71,'2_IMPORTAR_EJECUCION'!$J$9:$J$1208,0)),0))</f>
        <v/>
      </c>
      <c r="AM71" s="32">
        <f>IF($A71="","",MAX(0,IFERROR(INDEX('2_IMPORTAR_EJECUCION'!$H$9:$H$1208,MATCH($AU71,'2_IMPORTAR_EJECUCION'!$J$9:$J$1208,0)),0)-$AL71))</f>
        <v/>
      </c>
      <c r="AN71" s="32">
        <f>IF($A71="","",$AL71+$AM71)</f>
        <v/>
      </c>
      <c r="AO71" s="24">
        <f>IF($A71="","",IF(OR((IFERROR(INDEX('CAT_ACTIVIDADES'!$D$4:$D$26,MATCH($H71,'CAT_ACTIVIDADES'!$A$4:$A$26,0)),""))=0,(IFERROR(INDEX('CAT_ACTIVIDADES'!$D$4:$D$26,MATCH($H71,'CAT_ACTIVIDADES'!$A$4:$A$26,0)),""))=""),"SIN CLASIFICAR",IFERROR(INDEX('CAT_ACTIVIDADES'!$D$4:$D$26,MATCH($H71,'CAT_ACTIVIDADES'!$A$4:$A$26,0)),"")))</f>
        <v/>
      </c>
      <c r="AP71" s="4" t="n"/>
      <c r="AQ71" s="4" t="n"/>
      <c r="AR71" s="4" t="n"/>
      <c r="AS71" s="24">
        <f>IF($AR71="","",HYPERLINK(p_ruta_base_checklists&amp;$AR71,"abrir"))</f>
        <v/>
      </c>
      <c r="AT71" s="4" t="n"/>
      <c r="AU71" s="24">
        <f>IF($A71="","",$A71&amp;IF($B71="","0010",$B71))</f>
        <v/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41" t="n"/>
      <c r="K72" s="5" t="n"/>
      <c r="L72" s="18" t="n"/>
      <c r="M72" s="24">
        <f>IF($A72="","",IFERROR(INDEX('AJUSTES'!$B$4:$B$303,MATCH($AU72,'AJUSTES'!$A$4:$A$303,0)),IF($K72="","",$K72)))</f>
        <v/>
      </c>
      <c r="N72" s="24">
        <f>IF($A72="","",IFERROR(INDEX('CAT_ESTADOS_ERP'!$B$4:$B$22,MATCH(IFERROR(INDEX('2_IMPORTAR_EJECUCION'!$C$9:$C$1208,MATCH($AU72,'2_IMPORTAR_EJECUCION'!$J$9:$J$1208,0)),""),'CAT_ESTADOS_ERP'!$A$4:$A$22,0)),"Pendiente"))</f>
        <v/>
      </c>
      <c r="O72" s="24">
        <f>IF($J72="","",YEAR($J72+4-WEEKDAY($J72,2))&amp;"-S"&amp;TEXT(_xlfn.ISOWEEKNUM($J72),"00"))</f>
        <v/>
      </c>
      <c r="P72" s="24">
        <f>IF($J72="","",YEAR($J72))</f>
        <v/>
      </c>
      <c r="Q72" s="24">
        <f>IF($J72="","",MONTH($J72))</f>
        <v/>
      </c>
      <c r="R72" s="24">
        <f>IF($J72="","",$P72&amp;"-"&amp;TEXT($Q72,"00"))</f>
        <v/>
      </c>
      <c r="S72" s="24">
        <f>IF($J72="","",INDEX(lista_dias,WEEKDAY($J72,2)))</f>
        <v/>
      </c>
      <c r="T72" s="24">
        <f>IF($J72="","",IFERROR(INDEX('CALENDARIO'!$C$15:$C$214,MATCH(TEXT($J72,"yyyy-mm-dd")&amp;"|"&amp;$Y72&amp;"|"&amp;$Z72,'CALENDARIO'!$G$15:$G$214,0)),IFERROR(INDEX('CALENDARIO'!$C$15:$C$214,MATCH(TEXT($J72,"yyyy-mm-dd")&amp;"|"&amp;$Y72&amp;"|",'CALENDARIO'!$G$15:$G$214,0)),IFERROR(INDEX('CALENDARIO'!$C$15:$C$214,MATCH(TEXT($J72,"yyyy-mm-dd")&amp;"||",'CALENDARIO'!$G$15:$G$214,0)),INDEX(patronHabil,WEEKDAY($J72,2))))))</f>
        <v/>
      </c>
      <c r="U72" s="24">
        <f>IF($I72="","",IFERROR(INDEX('CAT_TIPOS_OT'!$C$4:$C$23,MATCH($I72,'CAT_TIPOS_OT'!$A$4:$A$23,0)),"sin_clasificar"))</f>
        <v/>
      </c>
      <c r="V72" s="24">
        <f>IF($I72="","",IF(IFERROR(INDEX('CAT_TIPOS_OT'!$D$4:$D$23,MATCH($I72,'CAT_TIPOS_OT'!$A$4:$A$23,0)),"SIN CLASIFICAR")="","SIN CLASIFICAR",IFERROR(INDEX('CAT_TIPOS_OT'!$D$4:$D$23,MATCH($I72,'CAT_TIPOS_OT'!$A$4:$A$23,0)),"SIN CLASIFICAR")))</f>
        <v/>
      </c>
      <c r="W72" s="24">
        <f>IF($H72="","",IF(IFERROR(INDEX('CAT_ACTIVIDADES'!$F$4:$F$26,MATCH($H72,'CAT_ACTIVIDADES'!$A$4:$A$26,0)),"")=0,"",IFERROR(INDEX('CAT_ACTIVIDADES'!$F$4:$F$26,MATCH($H72,'CAT_ACTIVIDADES'!$A$4:$A$26,0)),"")))</f>
        <v/>
      </c>
      <c r="X72" s="24">
        <f>IF($F72="","",IFERROR(INDEX('CAT_CENTROS_COSTO'!$F$4:$F$28,MATCH($F72,'CAT_CENTROS_COSTO'!$A$4:$A$28,0)),"(sin catálogo)"))</f>
        <v/>
      </c>
      <c r="Y72" s="24">
        <f>IF($F72="","",IFERROR(INDEX('CAT_CENTROS_COSTO'!$D$4:$D$28,MATCH($F72,'CAT_CENTROS_COSTO'!$A$4:$A$28,0)),"(sin catálogo)"))</f>
        <v/>
      </c>
      <c r="Z72" s="24">
        <f>IF($F72="","",IF((IFERROR(INDEX('CAT_CENTROS_COSTO'!$E$4:$E$28,MATCH($F72,'CAT_CENTROS_COSTO'!$A$4:$A$28,0)),""))&lt;&gt;"",IFERROR(INDEX('CAT_CENTROS_COSTO'!$E$4:$E$28,MATCH($F72,'CAT_CENTROS_COSTO'!$A$4:$A$28,0)),""),$Y72))</f>
        <v/>
      </c>
      <c r="AA72" s="24">
        <f>IF($F72="","",IFERROR(INDEX('CAT_CENTROS_COSTO'!$G$4:$G$28,MATCH($F72,'CAT_CENTROS_COSTO'!$A$4:$A$28,0)),"(sin catálogo)"))</f>
        <v/>
      </c>
      <c r="AB72" s="24">
        <f>IF($G72="","",IFERROR(INDEX('CAT_PUESTOS'!$B$4:$B$23,MATCH($G72,'CAT_PUESTOS'!$A$4:$A$23,0)),"(sin catálogo)"))</f>
        <v/>
      </c>
      <c r="AC72" s="24">
        <f>IF($H72="","",IFERROR(INDEX('CAT_ACTIVIDADES'!$B$4:$B$26,MATCH($H72,'CAT_ACTIVIDADES'!$A$4:$A$26,0)),"(sin catálogo)"))</f>
        <v/>
      </c>
      <c r="AD72" s="26">
        <f>IF($J72="","",TODAY()-$J72)</f>
        <v/>
      </c>
      <c r="AE72" s="26">
        <f>IF($J72="","",IF($J72&lt;=TODAY(),COUNTIFS(cal_fechas,"&gt;="&amp;$J72,cal_fechas,"&lt;"&amp;TODAY(),cal_habil,"sí"),-COUNTIFS(cal_fechas,"&gt;="&amp;TODAY(),cal_fechas,"&lt;"&amp;$J72,cal_habil,"sí")))</f>
        <v/>
      </c>
      <c r="AF72" s="24">
        <f>IF($AE72="","",IF($AE72&lt;0,"FUTURO",IF($AE72&gt;p_dias_backlog_max,"BACKLOG","MES CORRIENTE")))</f>
        <v/>
      </c>
      <c r="AG72" s="24">
        <f>IF($AE72="",FALSE,AND($AE72&gt;p_dias_backlog_min,$AE72&lt;=p_dias_backlog_max))</f>
        <v/>
      </c>
      <c r="AH72" s="4" t="n"/>
      <c r="AI72" s="24">
        <f>IF($AH72="","",IF((IFERROR(INDEX('ASIGNACIONES'!$J$4:$J$451,MATCH($O72&amp;"|"&amp;$S72&amp;"|"&amp;$AH72,'ASIGNACIONES'!$N$4:$N$451,0)),""))=0,"",IFERROR(INDEX('ASIGNACIONES'!$J$4:$J$451,MATCH($O72&amp;"|"&amp;$S72&amp;"|"&amp;$AH72,'ASIGNACIONES'!$N$4:$N$451,0)),"")))</f>
        <v/>
      </c>
      <c r="AJ72" s="42">
        <f>IF($AH72="","",SUMIFS('ORDENES'!$M$4:$M$1203,'ORDENES'!$AH$4:$AH$1203,$AH72,'ORDENES'!$O$4:$O$1203,$O72,'ORDENES'!$S$4:$S$1203,$S72))</f>
        <v/>
      </c>
      <c r="AK72" s="42">
        <f>IF($AJ72="","",p_factor_productividad*IFERROR(INDEX('ASIGNACIONES'!$M$4:$M$451,MATCH($O72&amp;"|"&amp;$S72&amp;"|"&amp;$AH72,'ASIGNACIONES'!$N$4:$N$451,0)),0)-$AJ72)</f>
        <v/>
      </c>
      <c r="AL72" s="32">
        <f>IF($A72="","",IFERROR(INDEX('2_IMPORTAR_EJECUCION'!$F$9:$F$1208,MATCH($AU72,'2_IMPORTAR_EJECUCION'!$J$9:$J$1208,0)),0))</f>
        <v/>
      </c>
      <c r="AM72" s="32">
        <f>IF($A72="","",MAX(0,IFERROR(INDEX('2_IMPORTAR_EJECUCION'!$H$9:$H$1208,MATCH($AU72,'2_IMPORTAR_EJECUCION'!$J$9:$J$1208,0)),0)-$AL72))</f>
        <v/>
      </c>
      <c r="AN72" s="32">
        <f>IF($A72="","",$AL72+$AM72)</f>
        <v/>
      </c>
      <c r="AO72" s="24">
        <f>IF($A72="","",IF(OR((IFERROR(INDEX('CAT_ACTIVIDADES'!$D$4:$D$26,MATCH($H72,'CAT_ACTIVIDADES'!$A$4:$A$26,0)),""))=0,(IFERROR(INDEX('CAT_ACTIVIDADES'!$D$4:$D$26,MATCH($H72,'CAT_ACTIVIDADES'!$A$4:$A$26,0)),""))=""),"SIN CLASIFICAR",IFERROR(INDEX('CAT_ACTIVIDADES'!$D$4:$D$26,MATCH($H72,'CAT_ACTIVIDADES'!$A$4:$A$26,0)),"")))</f>
        <v/>
      </c>
      <c r="AP72" s="4" t="n"/>
      <c r="AQ72" s="4" t="n"/>
      <c r="AR72" s="4" t="n"/>
      <c r="AS72" s="24">
        <f>IF($AR72="","",HYPERLINK(p_ruta_base_checklists&amp;$AR72,"abrir"))</f>
        <v/>
      </c>
      <c r="AT72" s="4" t="n"/>
      <c r="AU72" s="24">
        <f>IF($A72="","",$A72&amp;IF($B72="","0010",$B72))</f>
        <v/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41" t="n"/>
      <c r="K73" s="5" t="n"/>
      <c r="L73" s="18" t="n"/>
      <c r="M73" s="24">
        <f>IF($A73="","",IFERROR(INDEX('AJUSTES'!$B$4:$B$303,MATCH($AU73,'AJUSTES'!$A$4:$A$303,0)),IF($K73="","",$K73)))</f>
        <v/>
      </c>
      <c r="N73" s="24">
        <f>IF($A73="","",IFERROR(INDEX('CAT_ESTADOS_ERP'!$B$4:$B$22,MATCH(IFERROR(INDEX('2_IMPORTAR_EJECUCION'!$C$9:$C$1208,MATCH($AU73,'2_IMPORTAR_EJECUCION'!$J$9:$J$1208,0)),""),'CAT_ESTADOS_ERP'!$A$4:$A$22,0)),"Pendiente"))</f>
        <v/>
      </c>
      <c r="O73" s="24">
        <f>IF($J73="","",YEAR($J73+4-WEEKDAY($J73,2))&amp;"-S"&amp;TEXT(_xlfn.ISOWEEKNUM($J73),"00"))</f>
        <v/>
      </c>
      <c r="P73" s="24">
        <f>IF($J73="","",YEAR($J73))</f>
        <v/>
      </c>
      <c r="Q73" s="24">
        <f>IF($J73="","",MONTH($J73))</f>
        <v/>
      </c>
      <c r="R73" s="24">
        <f>IF($J73="","",$P73&amp;"-"&amp;TEXT($Q73,"00"))</f>
        <v/>
      </c>
      <c r="S73" s="24">
        <f>IF($J73="","",INDEX(lista_dias,WEEKDAY($J73,2)))</f>
        <v/>
      </c>
      <c r="T73" s="24">
        <f>IF($J73="","",IFERROR(INDEX('CALENDARIO'!$C$15:$C$214,MATCH(TEXT($J73,"yyyy-mm-dd")&amp;"|"&amp;$Y73&amp;"|"&amp;$Z73,'CALENDARIO'!$G$15:$G$214,0)),IFERROR(INDEX('CALENDARIO'!$C$15:$C$214,MATCH(TEXT($J73,"yyyy-mm-dd")&amp;"|"&amp;$Y73&amp;"|",'CALENDARIO'!$G$15:$G$214,0)),IFERROR(INDEX('CALENDARIO'!$C$15:$C$214,MATCH(TEXT($J73,"yyyy-mm-dd")&amp;"||",'CALENDARIO'!$G$15:$G$214,0)),INDEX(patronHabil,WEEKDAY($J73,2))))))</f>
        <v/>
      </c>
      <c r="U73" s="24">
        <f>IF($I73="","",IFERROR(INDEX('CAT_TIPOS_OT'!$C$4:$C$23,MATCH($I73,'CAT_TIPOS_OT'!$A$4:$A$23,0)),"sin_clasificar"))</f>
        <v/>
      </c>
      <c r="V73" s="24">
        <f>IF($I73="","",IF(IFERROR(INDEX('CAT_TIPOS_OT'!$D$4:$D$23,MATCH($I73,'CAT_TIPOS_OT'!$A$4:$A$23,0)),"SIN CLASIFICAR")="","SIN CLASIFICAR",IFERROR(INDEX('CAT_TIPOS_OT'!$D$4:$D$23,MATCH($I73,'CAT_TIPOS_OT'!$A$4:$A$23,0)),"SIN CLASIFICAR")))</f>
        <v/>
      </c>
      <c r="W73" s="24">
        <f>IF($H73="","",IF(IFERROR(INDEX('CAT_ACTIVIDADES'!$F$4:$F$26,MATCH($H73,'CAT_ACTIVIDADES'!$A$4:$A$26,0)),"")=0,"",IFERROR(INDEX('CAT_ACTIVIDADES'!$F$4:$F$26,MATCH($H73,'CAT_ACTIVIDADES'!$A$4:$A$26,0)),"")))</f>
        <v/>
      </c>
      <c r="X73" s="24">
        <f>IF($F73="","",IFERROR(INDEX('CAT_CENTROS_COSTO'!$F$4:$F$28,MATCH($F73,'CAT_CENTROS_COSTO'!$A$4:$A$28,0)),"(sin catálogo)"))</f>
        <v/>
      </c>
      <c r="Y73" s="24">
        <f>IF($F73="","",IFERROR(INDEX('CAT_CENTROS_COSTO'!$D$4:$D$28,MATCH($F73,'CAT_CENTROS_COSTO'!$A$4:$A$28,0)),"(sin catálogo)"))</f>
        <v/>
      </c>
      <c r="Z73" s="24">
        <f>IF($F73="","",IF((IFERROR(INDEX('CAT_CENTROS_COSTO'!$E$4:$E$28,MATCH($F73,'CAT_CENTROS_COSTO'!$A$4:$A$28,0)),""))&lt;&gt;"",IFERROR(INDEX('CAT_CENTROS_COSTO'!$E$4:$E$28,MATCH($F73,'CAT_CENTROS_COSTO'!$A$4:$A$28,0)),""),$Y73))</f>
        <v/>
      </c>
      <c r="AA73" s="24">
        <f>IF($F73="","",IFERROR(INDEX('CAT_CENTROS_COSTO'!$G$4:$G$28,MATCH($F73,'CAT_CENTROS_COSTO'!$A$4:$A$28,0)),"(sin catálogo)"))</f>
        <v/>
      </c>
      <c r="AB73" s="24">
        <f>IF($G73="","",IFERROR(INDEX('CAT_PUESTOS'!$B$4:$B$23,MATCH($G73,'CAT_PUESTOS'!$A$4:$A$23,0)),"(sin catálogo)"))</f>
        <v/>
      </c>
      <c r="AC73" s="24">
        <f>IF($H73="","",IFERROR(INDEX('CAT_ACTIVIDADES'!$B$4:$B$26,MATCH($H73,'CAT_ACTIVIDADES'!$A$4:$A$26,0)),"(sin catálogo)"))</f>
        <v/>
      </c>
      <c r="AD73" s="26">
        <f>IF($J73="","",TODAY()-$J73)</f>
        <v/>
      </c>
      <c r="AE73" s="26">
        <f>IF($J73="","",IF($J73&lt;=TODAY(),COUNTIFS(cal_fechas,"&gt;="&amp;$J73,cal_fechas,"&lt;"&amp;TODAY(),cal_habil,"sí"),-COUNTIFS(cal_fechas,"&gt;="&amp;TODAY(),cal_fechas,"&lt;"&amp;$J73,cal_habil,"sí")))</f>
        <v/>
      </c>
      <c r="AF73" s="24">
        <f>IF($AE73="","",IF($AE73&lt;0,"FUTURO",IF($AE73&gt;p_dias_backlog_max,"BACKLOG","MES CORRIENTE")))</f>
        <v/>
      </c>
      <c r="AG73" s="24">
        <f>IF($AE73="",FALSE,AND($AE73&gt;p_dias_backlog_min,$AE73&lt;=p_dias_backlog_max))</f>
        <v/>
      </c>
      <c r="AH73" s="4" t="n"/>
      <c r="AI73" s="24">
        <f>IF($AH73="","",IF((IFERROR(INDEX('ASIGNACIONES'!$J$4:$J$451,MATCH($O73&amp;"|"&amp;$S73&amp;"|"&amp;$AH73,'ASIGNACIONES'!$N$4:$N$451,0)),""))=0,"",IFERROR(INDEX('ASIGNACIONES'!$J$4:$J$451,MATCH($O73&amp;"|"&amp;$S73&amp;"|"&amp;$AH73,'ASIGNACIONES'!$N$4:$N$451,0)),"")))</f>
        <v/>
      </c>
      <c r="AJ73" s="42">
        <f>IF($AH73="","",SUMIFS('ORDENES'!$M$4:$M$1203,'ORDENES'!$AH$4:$AH$1203,$AH73,'ORDENES'!$O$4:$O$1203,$O73,'ORDENES'!$S$4:$S$1203,$S73))</f>
        <v/>
      </c>
      <c r="AK73" s="42">
        <f>IF($AJ73="","",p_factor_productividad*IFERROR(INDEX('ASIGNACIONES'!$M$4:$M$451,MATCH($O73&amp;"|"&amp;$S73&amp;"|"&amp;$AH73,'ASIGNACIONES'!$N$4:$N$451,0)),0)-$AJ73)</f>
        <v/>
      </c>
      <c r="AL73" s="32">
        <f>IF($A73="","",IFERROR(INDEX('2_IMPORTAR_EJECUCION'!$F$9:$F$1208,MATCH($AU73,'2_IMPORTAR_EJECUCION'!$J$9:$J$1208,0)),0))</f>
        <v/>
      </c>
      <c r="AM73" s="32">
        <f>IF($A73="","",MAX(0,IFERROR(INDEX('2_IMPORTAR_EJECUCION'!$H$9:$H$1208,MATCH($AU73,'2_IMPORTAR_EJECUCION'!$J$9:$J$1208,0)),0)-$AL73))</f>
        <v/>
      </c>
      <c r="AN73" s="32">
        <f>IF($A73="","",$AL73+$AM73)</f>
        <v/>
      </c>
      <c r="AO73" s="24">
        <f>IF($A73="","",IF(OR((IFERROR(INDEX('CAT_ACTIVIDADES'!$D$4:$D$26,MATCH($H73,'CAT_ACTIVIDADES'!$A$4:$A$26,0)),""))=0,(IFERROR(INDEX('CAT_ACTIVIDADES'!$D$4:$D$26,MATCH($H73,'CAT_ACTIVIDADES'!$A$4:$A$26,0)),""))=""),"SIN CLASIFICAR",IFERROR(INDEX('CAT_ACTIVIDADES'!$D$4:$D$26,MATCH($H73,'CAT_ACTIVIDADES'!$A$4:$A$26,0)),"")))</f>
        <v/>
      </c>
      <c r="AP73" s="4" t="n"/>
      <c r="AQ73" s="4" t="n"/>
      <c r="AR73" s="4" t="n"/>
      <c r="AS73" s="24">
        <f>IF($AR73="","",HYPERLINK(p_ruta_base_checklists&amp;$AR73,"abrir"))</f>
        <v/>
      </c>
      <c r="AT73" s="4" t="n"/>
      <c r="AU73" s="24">
        <f>IF($A73="","",$A73&amp;IF($B73="","0010",$B73))</f>
        <v/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41" t="n"/>
      <c r="K74" s="5" t="n"/>
      <c r="L74" s="18" t="n"/>
      <c r="M74" s="24">
        <f>IF($A74="","",IFERROR(INDEX('AJUSTES'!$B$4:$B$303,MATCH($AU74,'AJUSTES'!$A$4:$A$303,0)),IF($K74="","",$K74)))</f>
        <v/>
      </c>
      <c r="N74" s="24">
        <f>IF($A74="","",IFERROR(INDEX('CAT_ESTADOS_ERP'!$B$4:$B$22,MATCH(IFERROR(INDEX('2_IMPORTAR_EJECUCION'!$C$9:$C$1208,MATCH($AU74,'2_IMPORTAR_EJECUCION'!$J$9:$J$1208,0)),""),'CAT_ESTADOS_ERP'!$A$4:$A$22,0)),"Pendiente"))</f>
        <v/>
      </c>
      <c r="O74" s="24">
        <f>IF($J74="","",YEAR($J74+4-WEEKDAY($J74,2))&amp;"-S"&amp;TEXT(_xlfn.ISOWEEKNUM($J74),"00"))</f>
        <v/>
      </c>
      <c r="P74" s="24">
        <f>IF($J74="","",YEAR($J74))</f>
        <v/>
      </c>
      <c r="Q74" s="24">
        <f>IF($J74="","",MONTH($J74))</f>
        <v/>
      </c>
      <c r="R74" s="24">
        <f>IF($J74="","",$P74&amp;"-"&amp;TEXT($Q74,"00"))</f>
        <v/>
      </c>
      <c r="S74" s="24">
        <f>IF($J74="","",INDEX(lista_dias,WEEKDAY($J74,2)))</f>
        <v/>
      </c>
      <c r="T74" s="24">
        <f>IF($J74="","",IFERROR(INDEX('CALENDARIO'!$C$15:$C$214,MATCH(TEXT($J74,"yyyy-mm-dd")&amp;"|"&amp;$Y74&amp;"|"&amp;$Z74,'CALENDARIO'!$G$15:$G$214,0)),IFERROR(INDEX('CALENDARIO'!$C$15:$C$214,MATCH(TEXT($J74,"yyyy-mm-dd")&amp;"|"&amp;$Y74&amp;"|",'CALENDARIO'!$G$15:$G$214,0)),IFERROR(INDEX('CALENDARIO'!$C$15:$C$214,MATCH(TEXT($J74,"yyyy-mm-dd")&amp;"||",'CALENDARIO'!$G$15:$G$214,0)),INDEX(patronHabil,WEEKDAY($J74,2))))))</f>
        <v/>
      </c>
      <c r="U74" s="24">
        <f>IF($I74="","",IFERROR(INDEX('CAT_TIPOS_OT'!$C$4:$C$23,MATCH($I74,'CAT_TIPOS_OT'!$A$4:$A$23,0)),"sin_clasificar"))</f>
        <v/>
      </c>
      <c r="V74" s="24">
        <f>IF($I74="","",IF(IFERROR(INDEX('CAT_TIPOS_OT'!$D$4:$D$23,MATCH($I74,'CAT_TIPOS_OT'!$A$4:$A$23,0)),"SIN CLASIFICAR")="","SIN CLASIFICAR",IFERROR(INDEX('CAT_TIPOS_OT'!$D$4:$D$23,MATCH($I74,'CAT_TIPOS_OT'!$A$4:$A$23,0)),"SIN CLASIFICAR")))</f>
        <v/>
      </c>
      <c r="W74" s="24">
        <f>IF($H74="","",IF(IFERROR(INDEX('CAT_ACTIVIDADES'!$F$4:$F$26,MATCH($H74,'CAT_ACTIVIDADES'!$A$4:$A$26,0)),"")=0,"",IFERROR(INDEX('CAT_ACTIVIDADES'!$F$4:$F$26,MATCH($H74,'CAT_ACTIVIDADES'!$A$4:$A$26,0)),"")))</f>
        <v/>
      </c>
      <c r="X74" s="24">
        <f>IF($F74="","",IFERROR(INDEX('CAT_CENTROS_COSTO'!$F$4:$F$28,MATCH($F74,'CAT_CENTROS_COSTO'!$A$4:$A$28,0)),"(sin catálogo)"))</f>
        <v/>
      </c>
      <c r="Y74" s="24">
        <f>IF($F74="","",IFERROR(INDEX('CAT_CENTROS_COSTO'!$D$4:$D$28,MATCH($F74,'CAT_CENTROS_COSTO'!$A$4:$A$28,0)),"(sin catálogo)"))</f>
        <v/>
      </c>
      <c r="Z74" s="24">
        <f>IF($F74="","",IF((IFERROR(INDEX('CAT_CENTROS_COSTO'!$E$4:$E$28,MATCH($F74,'CAT_CENTROS_COSTO'!$A$4:$A$28,0)),""))&lt;&gt;"",IFERROR(INDEX('CAT_CENTROS_COSTO'!$E$4:$E$28,MATCH($F74,'CAT_CENTROS_COSTO'!$A$4:$A$28,0)),""),$Y74))</f>
        <v/>
      </c>
      <c r="AA74" s="24">
        <f>IF($F74="","",IFERROR(INDEX('CAT_CENTROS_COSTO'!$G$4:$G$28,MATCH($F74,'CAT_CENTROS_COSTO'!$A$4:$A$28,0)),"(sin catálogo)"))</f>
        <v/>
      </c>
      <c r="AB74" s="24">
        <f>IF($G74="","",IFERROR(INDEX('CAT_PUESTOS'!$B$4:$B$23,MATCH($G74,'CAT_PUESTOS'!$A$4:$A$23,0)),"(sin catálogo)"))</f>
        <v/>
      </c>
      <c r="AC74" s="24">
        <f>IF($H74="","",IFERROR(INDEX('CAT_ACTIVIDADES'!$B$4:$B$26,MATCH($H74,'CAT_ACTIVIDADES'!$A$4:$A$26,0)),"(sin catálogo)"))</f>
        <v/>
      </c>
      <c r="AD74" s="26">
        <f>IF($J74="","",TODAY()-$J74)</f>
        <v/>
      </c>
      <c r="AE74" s="26">
        <f>IF($J74="","",IF($J74&lt;=TODAY(),COUNTIFS(cal_fechas,"&gt;="&amp;$J74,cal_fechas,"&lt;"&amp;TODAY(),cal_habil,"sí"),-COUNTIFS(cal_fechas,"&gt;="&amp;TODAY(),cal_fechas,"&lt;"&amp;$J74,cal_habil,"sí")))</f>
        <v/>
      </c>
      <c r="AF74" s="24">
        <f>IF($AE74="","",IF($AE74&lt;0,"FUTURO",IF($AE74&gt;p_dias_backlog_max,"BACKLOG","MES CORRIENTE")))</f>
        <v/>
      </c>
      <c r="AG74" s="24">
        <f>IF($AE74="",FALSE,AND($AE74&gt;p_dias_backlog_min,$AE74&lt;=p_dias_backlog_max))</f>
        <v/>
      </c>
      <c r="AH74" s="4" t="n"/>
      <c r="AI74" s="24">
        <f>IF($AH74="","",IF((IFERROR(INDEX('ASIGNACIONES'!$J$4:$J$451,MATCH($O74&amp;"|"&amp;$S74&amp;"|"&amp;$AH74,'ASIGNACIONES'!$N$4:$N$451,0)),""))=0,"",IFERROR(INDEX('ASIGNACIONES'!$J$4:$J$451,MATCH($O74&amp;"|"&amp;$S74&amp;"|"&amp;$AH74,'ASIGNACIONES'!$N$4:$N$451,0)),"")))</f>
        <v/>
      </c>
      <c r="AJ74" s="42">
        <f>IF($AH74="","",SUMIFS('ORDENES'!$M$4:$M$1203,'ORDENES'!$AH$4:$AH$1203,$AH74,'ORDENES'!$O$4:$O$1203,$O74,'ORDENES'!$S$4:$S$1203,$S74))</f>
        <v/>
      </c>
      <c r="AK74" s="42">
        <f>IF($AJ74="","",p_factor_productividad*IFERROR(INDEX('ASIGNACIONES'!$M$4:$M$451,MATCH($O74&amp;"|"&amp;$S74&amp;"|"&amp;$AH74,'ASIGNACIONES'!$N$4:$N$451,0)),0)-$AJ74)</f>
        <v/>
      </c>
      <c r="AL74" s="32">
        <f>IF($A74="","",IFERROR(INDEX('2_IMPORTAR_EJECUCION'!$F$9:$F$1208,MATCH($AU74,'2_IMPORTAR_EJECUCION'!$J$9:$J$1208,0)),0))</f>
        <v/>
      </c>
      <c r="AM74" s="32">
        <f>IF($A74="","",MAX(0,IFERROR(INDEX('2_IMPORTAR_EJECUCION'!$H$9:$H$1208,MATCH($AU74,'2_IMPORTAR_EJECUCION'!$J$9:$J$1208,0)),0)-$AL74))</f>
        <v/>
      </c>
      <c r="AN74" s="32">
        <f>IF($A74="","",$AL74+$AM74)</f>
        <v/>
      </c>
      <c r="AO74" s="24">
        <f>IF($A74="","",IF(OR((IFERROR(INDEX('CAT_ACTIVIDADES'!$D$4:$D$26,MATCH($H74,'CAT_ACTIVIDADES'!$A$4:$A$26,0)),""))=0,(IFERROR(INDEX('CAT_ACTIVIDADES'!$D$4:$D$26,MATCH($H74,'CAT_ACTIVIDADES'!$A$4:$A$26,0)),""))=""),"SIN CLASIFICAR",IFERROR(INDEX('CAT_ACTIVIDADES'!$D$4:$D$26,MATCH($H74,'CAT_ACTIVIDADES'!$A$4:$A$26,0)),"")))</f>
        <v/>
      </c>
      <c r="AP74" s="4" t="n"/>
      <c r="AQ74" s="4" t="n"/>
      <c r="AR74" s="4" t="n"/>
      <c r="AS74" s="24">
        <f>IF($AR74="","",HYPERLINK(p_ruta_base_checklists&amp;$AR74,"abrir"))</f>
        <v/>
      </c>
      <c r="AT74" s="4" t="n"/>
      <c r="AU74" s="24">
        <f>IF($A74="","",$A74&amp;IF($B74="","0010",$B74))</f>
        <v/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41" t="n"/>
      <c r="K75" s="5" t="n"/>
      <c r="L75" s="18" t="n"/>
      <c r="M75" s="24">
        <f>IF($A75="","",IFERROR(INDEX('AJUSTES'!$B$4:$B$303,MATCH($AU75,'AJUSTES'!$A$4:$A$303,0)),IF($K75="","",$K75)))</f>
        <v/>
      </c>
      <c r="N75" s="24">
        <f>IF($A75="","",IFERROR(INDEX('CAT_ESTADOS_ERP'!$B$4:$B$22,MATCH(IFERROR(INDEX('2_IMPORTAR_EJECUCION'!$C$9:$C$1208,MATCH($AU75,'2_IMPORTAR_EJECUCION'!$J$9:$J$1208,0)),""),'CAT_ESTADOS_ERP'!$A$4:$A$22,0)),"Pendiente"))</f>
        <v/>
      </c>
      <c r="O75" s="24">
        <f>IF($J75="","",YEAR($J75+4-WEEKDAY($J75,2))&amp;"-S"&amp;TEXT(_xlfn.ISOWEEKNUM($J75),"00"))</f>
        <v/>
      </c>
      <c r="P75" s="24">
        <f>IF($J75="","",YEAR($J75))</f>
        <v/>
      </c>
      <c r="Q75" s="24">
        <f>IF($J75="","",MONTH($J75))</f>
        <v/>
      </c>
      <c r="R75" s="24">
        <f>IF($J75="","",$P75&amp;"-"&amp;TEXT($Q75,"00"))</f>
        <v/>
      </c>
      <c r="S75" s="24">
        <f>IF($J75="","",INDEX(lista_dias,WEEKDAY($J75,2)))</f>
        <v/>
      </c>
      <c r="T75" s="24">
        <f>IF($J75="","",IFERROR(INDEX('CALENDARIO'!$C$15:$C$214,MATCH(TEXT($J75,"yyyy-mm-dd")&amp;"|"&amp;$Y75&amp;"|"&amp;$Z75,'CALENDARIO'!$G$15:$G$214,0)),IFERROR(INDEX('CALENDARIO'!$C$15:$C$214,MATCH(TEXT($J75,"yyyy-mm-dd")&amp;"|"&amp;$Y75&amp;"|",'CALENDARIO'!$G$15:$G$214,0)),IFERROR(INDEX('CALENDARIO'!$C$15:$C$214,MATCH(TEXT($J75,"yyyy-mm-dd")&amp;"||",'CALENDARIO'!$G$15:$G$214,0)),INDEX(patronHabil,WEEKDAY($J75,2))))))</f>
        <v/>
      </c>
      <c r="U75" s="24">
        <f>IF($I75="","",IFERROR(INDEX('CAT_TIPOS_OT'!$C$4:$C$23,MATCH($I75,'CAT_TIPOS_OT'!$A$4:$A$23,0)),"sin_clasificar"))</f>
        <v/>
      </c>
      <c r="V75" s="24">
        <f>IF($I75="","",IF(IFERROR(INDEX('CAT_TIPOS_OT'!$D$4:$D$23,MATCH($I75,'CAT_TIPOS_OT'!$A$4:$A$23,0)),"SIN CLASIFICAR")="","SIN CLASIFICAR",IFERROR(INDEX('CAT_TIPOS_OT'!$D$4:$D$23,MATCH($I75,'CAT_TIPOS_OT'!$A$4:$A$23,0)),"SIN CLASIFICAR")))</f>
        <v/>
      </c>
      <c r="W75" s="24">
        <f>IF($H75="","",IF(IFERROR(INDEX('CAT_ACTIVIDADES'!$F$4:$F$26,MATCH($H75,'CAT_ACTIVIDADES'!$A$4:$A$26,0)),"")=0,"",IFERROR(INDEX('CAT_ACTIVIDADES'!$F$4:$F$26,MATCH($H75,'CAT_ACTIVIDADES'!$A$4:$A$26,0)),"")))</f>
        <v/>
      </c>
      <c r="X75" s="24">
        <f>IF($F75="","",IFERROR(INDEX('CAT_CENTROS_COSTO'!$F$4:$F$28,MATCH($F75,'CAT_CENTROS_COSTO'!$A$4:$A$28,0)),"(sin catálogo)"))</f>
        <v/>
      </c>
      <c r="Y75" s="24">
        <f>IF($F75="","",IFERROR(INDEX('CAT_CENTROS_COSTO'!$D$4:$D$28,MATCH($F75,'CAT_CENTROS_COSTO'!$A$4:$A$28,0)),"(sin catálogo)"))</f>
        <v/>
      </c>
      <c r="Z75" s="24">
        <f>IF($F75="","",IF((IFERROR(INDEX('CAT_CENTROS_COSTO'!$E$4:$E$28,MATCH($F75,'CAT_CENTROS_COSTO'!$A$4:$A$28,0)),""))&lt;&gt;"",IFERROR(INDEX('CAT_CENTROS_COSTO'!$E$4:$E$28,MATCH($F75,'CAT_CENTROS_COSTO'!$A$4:$A$28,0)),""),$Y75))</f>
        <v/>
      </c>
      <c r="AA75" s="24">
        <f>IF($F75="","",IFERROR(INDEX('CAT_CENTROS_COSTO'!$G$4:$G$28,MATCH($F75,'CAT_CENTROS_COSTO'!$A$4:$A$28,0)),"(sin catálogo)"))</f>
        <v/>
      </c>
      <c r="AB75" s="24">
        <f>IF($G75="","",IFERROR(INDEX('CAT_PUESTOS'!$B$4:$B$23,MATCH($G75,'CAT_PUESTOS'!$A$4:$A$23,0)),"(sin catálogo)"))</f>
        <v/>
      </c>
      <c r="AC75" s="24">
        <f>IF($H75="","",IFERROR(INDEX('CAT_ACTIVIDADES'!$B$4:$B$26,MATCH($H75,'CAT_ACTIVIDADES'!$A$4:$A$26,0)),"(sin catálogo)"))</f>
        <v/>
      </c>
      <c r="AD75" s="26">
        <f>IF($J75="","",TODAY()-$J75)</f>
        <v/>
      </c>
      <c r="AE75" s="26">
        <f>IF($J75="","",IF($J75&lt;=TODAY(),COUNTIFS(cal_fechas,"&gt;="&amp;$J75,cal_fechas,"&lt;"&amp;TODAY(),cal_habil,"sí"),-COUNTIFS(cal_fechas,"&gt;="&amp;TODAY(),cal_fechas,"&lt;"&amp;$J75,cal_habil,"sí")))</f>
        <v/>
      </c>
      <c r="AF75" s="24">
        <f>IF($AE75="","",IF($AE75&lt;0,"FUTURO",IF($AE75&gt;p_dias_backlog_max,"BACKLOG","MES CORRIENTE")))</f>
        <v/>
      </c>
      <c r="AG75" s="24">
        <f>IF($AE75="",FALSE,AND($AE75&gt;p_dias_backlog_min,$AE75&lt;=p_dias_backlog_max))</f>
        <v/>
      </c>
      <c r="AH75" s="4" t="n"/>
      <c r="AI75" s="24">
        <f>IF($AH75="","",IF((IFERROR(INDEX('ASIGNACIONES'!$J$4:$J$451,MATCH($O75&amp;"|"&amp;$S75&amp;"|"&amp;$AH75,'ASIGNACIONES'!$N$4:$N$451,0)),""))=0,"",IFERROR(INDEX('ASIGNACIONES'!$J$4:$J$451,MATCH($O75&amp;"|"&amp;$S75&amp;"|"&amp;$AH75,'ASIGNACIONES'!$N$4:$N$451,0)),"")))</f>
        <v/>
      </c>
      <c r="AJ75" s="42">
        <f>IF($AH75="","",SUMIFS('ORDENES'!$M$4:$M$1203,'ORDENES'!$AH$4:$AH$1203,$AH75,'ORDENES'!$O$4:$O$1203,$O75,'ORDENES'!$S$4:$S$1203,$S75))</f>
        <v/>
      </c>
      <c r="AK75" s="42">
        <f>IF($AJ75="","",p_factor_productividad*IFERROR(INDEX('ASIGNACIONES'!$M$4:$M$451,MATCH($O75&amp;"|"&amp;$S75&amp;"|"&amp;$AH75,'ASIGNACIONES'!$N$4:$N$451,0)),0)-$AJ75)</f>
        <v/>
      </c>
      <c r="AL75" s="32">
        <f>IF($A75="","",IFERROR(INDEX('2_IMPORTAR_EJECUCION'!$F$9:$F$1208,MATCH($AU75,'2_IMPORTAR_EJECUCION'!$J$9:$J$1208,0)),0))</f>
        <v/>
      </c>
      <c r="AM75" s="32">
        <f>IF($A75="","",MAX(0,IFERROR(INDEX('2_IMPORTAR_EJECUCION'!$H$9:$H$1208,MATCH($AU75,'2_IMPORTAR_EJECUCION'!$J$9:$J$1208,0)),0)-$AL75))</f>
        <v/>
      </c>
      <c r="AN75" s="32">
        <f>IF($A75="","",$AL75+$AM75)</f>
        <v/>
      </c>
      <c r="AO75" s="24">
        <f>IF($A75="","",IF(OR((IFERROR(INDEX('CAT_ACTIVIDADES'!$D$4:$D$26,MATCH($H75,'CAT_ACTIVIDADES'!$A$4:$A$26,0)),""))=0,(IFERROR(INDEX('CAT_ACTIVIDADES'!$D$4:$D$26,MATCH($H75,'CAT_ACTIVIDADES'!$A$4:$A$26,0)),""))=""),"SIN CLASIFICAR",IFERROR(INDEX('CAT_ACTIVIDADES'!$D$4:$D$26,MATCH($H75,'CAT_ACTIVIDADES'!$A$4:$A$26,0)),"")))</f>
        <v/>
      </c>
      <c r="AP75" s="4" t="n"/>
      <c r="AQ75" s="4" t="n"/>
      <c r="AR75" s="4" t="n"/>
      <c r="AS75" s="24">
        <f>IF($AR75="","",HYPERLINK(p_ruta_base_checklists&amp;$AR75,"abrir"))</f>
        <v/>
      </c>
      <c r="AT75" s="4" t="n"/>
      <c r="AU75" s="24">
        <f>IF($A75="","",$A75&amp;IF($B75="","0010",$B75))</f>
        <v/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41" t="n"/>
      <c r="K76" s="5" t="n"/>
      <c r="L76" s="18" t="n"/>
      <c r="M76" s="24">
        <f>IF($A76="","",IFERROR(INDEX('AJUSTES'!$B$4:$B$303,MATCH($AU76,'AJUSTES'!$A$4:$A$303,0)),IF($K76="","",$K76)))</f>
        <v/>
      </c>
      <c r="N76" s="24">
        <f>IF($A76="","",IFERROR(INDEX('CAT_ESTADOS_ERP'!$B$4:$B$22,MATCH(IFERROR(INDEX('2_IMPORTAR_EJECUCION'!$C$9:$C$1208,MATCH($AU76,'2_IMPORTAR_EJECUCION'!$J$9:$J$1208,0)),""),'CAT_ESTADOS_ERP'!$A$4:$A$22,0)),"Pendiente"))</f>
        <v/>
      </c>
      <c r="O76" s="24">
        <f>IF($J76="","",YEAR($J76+4-WEEKDAY($J76,2))&amp;"-S"&amp;TEXT(_xlfn.ISOWEEKNUM($J76),"00"))</f>
        <v/>
      </c>
      <c r="P76" s="24">
        <f>IF($J76="","",YEAR($J76))</f>
        <v/>
      </c>
      <c r="Q76" s="24">
        <f>IF($J76="","",MONTH($J76))</f>
        <v/>
      </c>
      <c r="R76" s="24">
        <f>IF($J76="","",$P76&amp;"-"&amp;TEXT($Q76,"00"))</f>
        <v/>
      </c>
      <c r="S76" s="24">
        <f>IF($J76="","",INDEX(lista_dias,WEEKDAY($J76,2)))</f>
        <v/>
      </c>
      <c r="T76" s="24">
        <f>IF($J76="","",IFERROR(INDEX('CALENDARIO'!$C$15:$C$214,MATCH(TEXT($J76,"yyyy-mm-dd")&amp;"|"&amp;$Y76&amp;"|"&amp;$Z76,'CALENDARIO'!$G$15:$G$214,0)),IFERROR(INDEX('CALENDARIO'!$C$15:$C$214,MATCH(TEXT($J76,"yyyy-mm-dd")&amp;"|"&amp;$Y76&amp;"|",'CALENDARIO'!$G$15:$G$214,0)),IFERROR(INDEX('CALENDARIO'!$C$15:$C$214,MATCH(TEXT($J76,"yyyy-mm-dd")&amp;"||",'CALENDARIO'!$G$15:$G$214,0)),INDEX(patronHabil,WEEKDAY($J76,2))))))</f>
        <v/>
      </c>
      <c r="U76" s="24">
        <f>IF($I76="","",IFERROR(INDEX('CAT_TIPOS_OT'!$C$4:$C$23,MATCH($I76,'CAT_TIPOS_OT'!$A$4:$A$23,0)),"sin_clasificar"))</f>
        <v/>
      </c>
      <c r="V76" s="24">
        <f>IF($I76="","",IF(IFERROR(INDEX('CAT_TIPOS_OT'!$D$4:$D$23,MATCH($I76,'CAT_TIPOS_OT'!$A$4:$A$23,0)),"SIN CLASIFICAR")="","SIN CLASIFICAR",IFERROR(INDEX('CAT_TIPOS_OT'!$D$4:$D$23,MATCH($I76,'CAT_TIPOS_OT'!$A$4:$A$23,0)),"SIN CLASIFICAR")))</f>
        <v/>
      </c>
      <c r="W76" s="24">
        <f>IF($H76="","",IF(IFERROR(INDEX('CAT_ACTIVIDADES'!$F$4:$F$26,MATCH($H76,'CAT_ACTIVIDADES'!$A$4:$A$26,0)),"")=0,"",IFERROR(INDEX('CAT_ACTIVIDADES'!$F$4:$F$26,MATCH($H76,'CAT_ACTIVIDADES'!$A$4:$A$26,0)),"")))</f>
        <v/>
      </c>
      <c r="X76" s="24">
        <f>IF($F76="","",IFERROR(INDEX('CAT_CENTROS_COSTO'!$F$4:$F$28,MATCH($F76,'CAT_CENTROS_COSTO'!$A$4:$A$28,0)),"(sin catálogo)"))</f>
        <v/>
      </c>
      <c r="Y76" s="24">
        <f>IF($F76="","",IFERROR(INDEX('CAT_CENTROS_COSTO'!$D$4:$D$28,MATCH($F76,'CAT_CENTROS_COSTO'!$A$4:$A$28,0)),"(sin catálogo)"))</f>
        <v/>
      </c>
      <c r="Z76" s="24">
        <f>IF($F76="","",IF((IFERROR(INDEX('CAT_CENTROS_COSTO'!$E$4:$E$28,MATCH($F76,'CAT_CENTROS_COSTO'!$A$4:$A$28,0)),""))&lt;&gt;"",IFERROR(INDEX('CAT_CENTROS_COSTO'!$E$4:$E$28,MATCH($F76,'CAT_CENTROS_COSTO'!$A$4:$A$28,0)),""),$Y76))</f>
        <v/>
      </c>
      <c r="AA76" s="24">
        <f>IF($F76="","",IFERROR(INDEX('CAT_CENTROS_COSTO'!$G$4:$G$28,MATCH($F76,'CAT_CENTROS_COSTO'!$A$4:$A$28,0)),"(sin catálogo)"))</f>
        <v/>
      </c>
      <c r="AB76" s="24">
        <f>IF($G76="","",IFERROR(INDEX('CAT_PUESTOS'!$B$4:$B$23,MATCH($G76,'CAT_PUESTOS'!$A$4:$A$23,0)),"(sin catálogo)"))</f>
        <v/>
      </c>
      <c r="AC76" s="24">
        <f>IF($H76="","",IFERROR(INDEX('CAT_ACTIVIDADES'!$B$4:$B$26,MATCH($H76,'CAT_ACTIVIDADES'!$A$4:$A$26,0)),"(sin catálogo)"))</f>
        <v/>
      </c>
      <c r="AD76" s="26">
        <f>IF($J76="","",TODAY()-$J76)</f>
        <v/>
      </c>
      <c r="AE76" s="26">
        <f>IF($J76="","",IF($J76&lt;=TODAY(),COUNTIFS(cal_fechas,"&gt;="&amp;$J76,cal_fechas,"&lt;"&amp;TODAY(),cal_habil,"sí"),-COUNTIFS(cal_fechas,"&gt;="&amp;TODAY(),cal_fechas,"&lt;"&amp;$J76,cal_habil,"sí")))</f>
        <v/>
      </c>
      <c r="AF76" s="24">
        <f>IF($AE76="","",IF($AE76&lt;0,"FUTURO",IF($AE76&gt;p_dias_backlog_max,"BACKLOG","MES CORRIENTE")))</f>
        <v/>
      </c>
      <c r="AG76" s="24">
        <f>IF($AE76="",FALSE,AND($AE76&gt;p_dias_backlog_min,$AE76&lt;=p_dias_backlog_max))</f>
        <v/>
      </c>
      <c r="AH76" s="4" t="n"/>
      <c r="AI76" s="24">
        <f>IF($AH76="","",IF((IFERROR(INDEX('ASIGNACIONES'!$J$4:$J$451,MATCH($O76&amp;"|"&amp;$S76&amp;"|"&amp;$AH76,'ASIGNACIONES'!$N$4:$N$451,0)),""))=0,"",IFERROR(INDEX('ASIGNACIONES'!$J$4:$J$451,MATCH($O76&amp;"|"&amp;$S76&amp;"|"&amp;$AH76,'ASIGNACIONES'!$N$4:$N$451,0)),"")))</f>
        <v/>
      </c>
      <c r="AJ76" s="42">
        <f>IF($AH76="","",SUMIFS('ORDENES'!$M$4:$M$1203,'ORDENES'!$AH$4:$AH$1203,$AH76,'ORDENES'!$O$4:$O$1203,$O76,'ORDENES'!$S$4:$S$1203,$S76))</f>
        <v/>
      </c>
      <c r="AK76" s="42">
        <f>IF($AJ76="","",p_factor_productividad*IFERROR(INDEX('ASIGNACIONES'!$M$4:$M$451,MATCH($O76&amp;"|"&amp;$S76&amp;"|"&amp;$AH76,'ASIGNACIONES'!$N$4:$N$451,0)),0)-$AJ76)</f>
        <v/>
      </c>
      <c r="AL76" s="32">
        <f>IF($A76="","",IFERROR(INDEX('2_IMPORTAR_EJECUCION'!$F$9:$F$1208,MATCH($AU76,'2_IMPORTAR_EJECUCION'!$J$9:$J$1208,0)),0))</f>
        <v/>
      </c>
      <c r="AM76" s="32">
        <f>IF($A76="","",MAX(0,IFERROR(INDEX('2_IMPORTAR_EJECUCION'!$H$9:$H$1208,MATCH($AU76,'2_IMPORTAR_EJECUCION'!$J$9:$J$1208,0)),0)-$AL76))</f>
        <v/>
      </c>
      <c r="AN76" s="32">
        <f>IF($A76="","",$AL76+$AM76)</f>
        <v/>
      </c>
      <c r="AO76" s="24">
        <f>IF($A76="","",IF(OR((IFERROR(INDEX('CAT_ACTIVIDADES'!$D$4:$D$26,MATCH($H76,'CAT_ACTIVIDADES'!$A$4:$A$26,0)),""))=0,(IFERROR(INDEX('CAT_ACTIVIDADES'!$D$4:$D$26,MATCH($H76,'CAT_ACTIVIDADES'!$A$4:$A$26,0)),""))=""),"SIN CLASIFICAR",IFERROR(INDEX('CAT_ACTIVIDADES'!$D$4:$D$26,MATCH($H76,'CAT_ACTIVIDADES'!$A$4:$A$26,0)),"")))</f>
        <v/>
      </c>
      <c r="AP76" s="4" t="n"/>
      <c r="AQ76" s="4" t="n"/>
      <c r="AR76" s="4" t="n"/>
      <c r="AS76" s="24">
        <f>IF($AR76="","",HYPERLINK(p_ruta_base_checklists&amp;$AR76,"abrir"))</f>
        <v/>
      </c>
      <c r="AT76" s="4" t="n"/>
      <c r="AU76" s="24">
        <f>IF($A76="","",$A76&amp;IF($B76="","0010",$B76))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41" t="n"/>
      <c r="K77" s="5" t="n"/>
      <c r="L77" s="18" t="n"/>
      <c r="M77" s="24">
        <f>IF($A77="","",IFERROR(INDEX('AJUSTES'!$B$4:$B$303,MATCH($AU77,'AJUSTES'!$A$4:$A$303,0)),IF($K77="","",$K77)))</f>
        <v/>
      </c>
      <c r="N77" s="24">
        <f>IF($A77="","",IFERROR(INDEX('CAT_ESTADOS_ERP'!$B$4:$B$22,MATCH(IFERROR(INDEX('2_IMPORTAR_EJECUCION'!$C$9:$C$1208,MATCH($AU77,'2_IMPORTAR_EJECUCION'!$J$9:$J$1208,0)),""),'CAT_ESTADOS_ERP'!$A$4:$A$22,0)),"Pendiente"))</f>
        <v/>
      </c>
      <c r="O77" s="24">
        <f>IF($J77="","",YEAR($J77+4-WEEKDAY($J77,2))&amp;"-S"&amp;TEXT(_xlfn.ISOWEEKNUM($J77),"00"))</f>
        <v/>
      </c>
      <c r="P77" s="24">
        <f>IF($J77="","",YEAR($J77))</f>
        <v/>
      </c>
      <c r="Q77" s="24">
        <f>IF($J77="","",MONTH($J77))</f>
        <v/>
      </c>
      <c r="R77" s="24">
        <f>IF($J77="","",$P77&amp;"-"&amp;TEXT($Q77,"00"))</f>
        <v/>
      </c>
      <c r="S77" s="24">
        <f>IF($J77="","",INDEX(lista_dias,WEEKDAY($J77,2)))</f>
        <v/>
      </c>
      <c r="T77" s="24">
        <f>IF($J77="","",IFERROR(INDEX('CALENDARIO'!$C$15:$C$214,MATCH(TEXT($J77,"yyyy-mm-dd")&amp;"|"&amp;$Y77&amp;"|"&amp;$Z77,'CALENDARIO'!$G$15:$G$214,0)),IFERROR(INDEX('CALENDARIO'!$C$15:$C$214,MATCH(TEXT($J77,"yyyy-mm-dd")&amp;"|"&amp;$Y77&amp;"|",'CALENDARIO'!$G$15:$G$214,0)),IFERROR(INDEX('CALENDARIO'!$C$15:$C$214,MATCH(TEXT($J77,"yyyy-mm-dd")&amp;"||",'CALENDARIO'!$G$15:$G$214,0)),INDEX(patronHabil,WEEKDAY($J77,2))))))</f>
        <v/>
      </c>
      <c r="U77" s="24">
        <f>IF($I77="","",IFERROR(INDEX('CAT_TIPOS_OT'!$C$4:$C$23,MATCH($I77,'CAT_TIPOS_OT'!$A$4:$A$23,0)),"sin_clasificar"))</f>
        <v/>
      </c>
      <c r="V77" s="24">
        <f>IF($I77="","",IF(IFERROR(INDEX('CAT_TIPOS_OT'!$D$4:$D$23,MATCH($I77,'CAT_TIPOS_OT'!$A$4:$A$23,0)),"SIN CLASIFICAR")="","SIN CLASIFICAR",IFERROR(INDEX('CAT_TIPOS_OT'!$D$4:$D$23,MATCH($I77,'CAT_TIPOS_OT'!$A$4:$A$23,0)),"SIN CLASIFICAR")))</f>
        <v/>
      </c>
      <c r="W77" s="24">
        <f>IF($H77="","",IF(IFERROR(INDEX('CAT_ACTIVIDADES'!$F$4:$F$26,MATCH($H77,'CAT_ACTIVIDADES'!$A$4:$A$26,0)),"")=0,"",IFERROR(INDEX('CAT_ACTIVIDADES'!$F$4:$F$26,MATCH($H77,'CAT_ACTIVIDADES'!$A$4:$A$26,0)),"")))</f>
        <v/>
      </c>
      <c r="X77" s="24">
        <f>IF($F77="","",IFERROR(INDEX('CAT_CENTROS_COSTO'!$F$4:$F$28,MATCH($F77,'CAT_CENTROS_COSTO'!$A$4:$A$28,0)),"(sin catálogo)"))</f>
        <v/>
      </c>
      <c r="Y77" s="24">
        <f>IF($F77="","",IFERROR(INDEX('CAT_CENTROS_COSTO'!$D$4:$D$28,MATCH($F77,'CAT_CENTROS_COSTO'!$A$4:$A$28,0)),"(sin catálogo)"))</f>
        <v/>
      </c>
      <c r="Z77" s="24">
        <f>IF($F77="","",IF((IFERROR(INDEX('CAT_CENTROS_COSTO'!$E$4:$E$28,MATCH($F77,'CAT_CENTROS_COSTO'!$A$4:$A$28,0)),""))&lt;&gt;"",IFERROR(INDEX('CAT_CENTROS_COSTO'!$E$4:$E$28,MATCH($F77,'CAT_CENTROS_COSTO'!$A$4:$A$28,0)),""),$Y77))</f>
        <v/>
      </c>
      <c r="AA77" s="24">
        <f>IF($F77="","",IFERROR(INDEX('CAT_CENTROS_COSTO'!$G$4:$G$28,MATCH($F77,'CAT_CENTROS_COSTO'!$A$4:$A$28,0)),"(sin catálogo)"))</f>
        <v/>
      </c>
      <c r="AB77" s="24">
        <f>IF($G77="","",IFERROR(INDEX('CAT_PUESTOS'!$B$4:$B$23,MATCH($G77,'CAT_PUESTOS'!$A$4:$A$23,0)),"(sin catálogo)"))</f>
        <v/>
      </c>
      <c r="AC77" s="24">
        <f>IF($H77="","",IFERROR(INDEX('CAT_ACTIVIDADES'!$B$4:$B$26,MATCH($H77,'CAT_ACTIVIDADES'!$A$4:$A$26,0)),"(sin catálogo)"))</f>
        <v/>
      </c>
      <c r="AD77" s="26">
        <f>IF($J77="","",TODAY()-$J77)</f>
        <v/>
      </c>
      <c r="AE77" s="26">
        <f>IF($J77="","",IF($J77&lt;=TODAY(),COUNTIFS(cal_fechas,"&gt;="&amp;$J77,cal_fechas,"&lt;"&amp;TODAY(),cal_habil,"sí"),-COUNTIFS(cal_fechas,"&gt;="&amp;TODAY(),cal_fechas,"&lt;"&amp;$J77,cal_habil,"sí")))</f>
        <v/>
      </c>
      <c r="AF77" s="24">
        <f>IF($AE77="","",IF($AE77&lt;0,"FUTURO",IF($AE77&gt;p_dias_backlog_max,"BACKLOG","MES CORRIENTE")))</f>
        <v/>
      </c>
      <c r="AG77" s="24">
        <f>IF($AE77="",FALSE,AND($AE77&gt;p_dias_backlog_min,$AE77&lt;=p_dias_backlog_max))</f>
        <v/>
      </c>
      <c r="AH77" s="4" t="n"/>
      <c r="AI77" s="24">
        <f>IF($AH77="","",IF((IFERROR(INDEX('ASIGNACIONES'!$J$4:$J$451,MATCH($O77&amp;"|"&amp;$S77&amp;"|"&amp;$AH77,'ASIGNACIONES'!$N$4:$N$451,0)),""))=0,"",IFERROR(INDEX('ASIGNACIONES'!$J$4:$J$451,MATCH($O77&amp;"|"&amp;$S77&amp;"|"&amp;$AH77,'ASIGNACIONES'!$N$4:$N$451,0)),"")))</f>
        <v/>
      </c>
      <c r="AJ77" s="42">
        <f>IF($AH77="","",SUMIFS('ORDENES'!$M$4:$M$1203,'ORDENES'!$AH$4:$AH$1203,$AH77,'ORDENES'!$O$4:$O$1203,$O77,'ORDENES'!$S$4:$S$1203,$S77))</f>
        <v/>
      </c>
      <c r="AK77" s="42">
        <f>IF($AJ77="","",p_factor_productividad*IFERROR(INDEX('ASIGNACIONES'!$M$4:$M$451,MATCH($O77&amp;"|"&amp;$S77&amp;"|"&amp;$AH77,'ASIGNACIONES'!$N$4:$N$451,0)),0)-$AJ77)</f>
        <v/>
      </c>
      <c r="AL77" s="32">
        <f>IF($A77="","",IFERROR(INDEX('2_IMPORTAR_EJECUCION'!$F$9:$F$1208,MATCH($AU77,'2_IMPORTAR_EJECUCION'!$J$9:$J$1208,0)),0))</f>
        <v/>
      </c>
      <c r="AM77" s="32">
        <f>IF($A77="","",MAX(0,IFERROR(INDEX('2_IMPORTAR_EJECUCION'!$H$9:$H$1208,MATCH($AU77,'2_IMPORTAR_EJECUCION'!$J$9:$J$1208,0)),0)-$AL77))</f>
        <v/>
      </c>
      <c r="AN77" s="32">
        <f>IF($A77="","",$AL77+$AM77)</f>
        <v/>
      </c>
      <c r="AO77" s="24">
        <f>IF($A77="","",IF(OR((IFERROR(INDEX('CAT_ACTIVIDADES'!$D$4:$D$26,MATCH($H77,'CAT_ACTIVIDADES'!$A$4:$A$26,0)),""))=0,(IFERROR(INDEX('CAT_ACTIVIDADES'!$D$4:$D$26,MATCH($H77,'CAT_ACTIVIDADES'!$A$4:$A$26,0)),""))=""),"SIN CLASIFICAR",IFERROR(INDEX('CAT_ACTIVIDADES'!$D$4:$D$26,MATCH($H77,'CAT_ACTIVIDADES'!$A$4:$A$26,0)),"")))</f>
        <v/>
      </c>
      <c r="AP77" s="4" t="n"/>
      <c r="AQ77" s="4" t="n"/>
      <c r="AR77" s="4" t="n"/>
      <c r="AS77" s="24">
        <f>IF($AR77="","",HYPERLINK(p_ruta_base_checklists&amp;$AR77,"abrir"))</f>
        <v/>
      </c>
      <c r="AT77" s="4" t="n"/>
      <c r="AU77" s="24">
        <f>IF($A77="","",$A77&amp;IF($B77="","0010",$B77))</f>
        <v/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41" t="n"/>
      <c r="K78" s="5" t="n"/>
      <c r="L78" s="18" t="n"/>
      <c r="M78" s="24">
        <f>IF($A78="","",IFERROR(INDEX('AJUSTES'!$B$4:$B$303,MATCH($AU78,'AJUSTES'!$A$4:$A$303,0)),IF($K78="","",$K78)))</f>
        <v/>
      </c>
      <c r="N78" s="24">
        <f>IF($A78="","",IFERROR(INDEX('CAT_ESTADOS_ERP'!$B$4:$B$22,MATCH(IFERROR(INDEX('2_IMPORTAR_EJECUCION'!$C$9:$C$1208,MATCH($AU78,'2_IMPORTAR_EJECUCION'!$J$9:$J$1208,0)),""),'CAT_ESTADOS_ERP'!$A$4:$A$22,0)),"Pendiente"))</f>
        <v/>
      </c>
      <c r="O78" s="24">
        <f>IF($J78="","",YEAR($J78+4-WEEKDAY($J78,2))&amp;"-S"&amp;TEXT(_xlfn.ISOWEEKNUM($J78),"00"))</f>
        <v/>
      </c>
      <c r="P78" s="24">
        <f>IF($J78="","",YEAR($J78))</f>
        <v/>
      </c>
      <c r="Q78" s="24">
        <f>IF($J78="","",MONTH($J78))</f>
        <v/>
      </c>
      <c r="R78" s="24">
        <f>IF($J78="","",$P78&amp;"-"&amp;TEXT($Q78,"00"))</f>
        <v/>
      </c>
      <c r="S78" s="24">
        <f>IF($J78="","",INDEX(lista_dias,WEEKDAY($J78,2)))</f>
        <v/>
      </c>
      <c r="T78" s="24">
        <f>IF($J78="","",IFERROR(INDEX('CALENDARIO'!$C$15:$C$214,MATCH(TEXT($J78,"yyyy-mm-dd")&amp;"|"&amp;$Y78&amp;"|"&amp;$Z78,'CALENDARIO'!$G$15:$G$214,0)),IFERROR(INDEX('CALENDARIO'!$C$15:$C$214,MATCH(TEXT($J78,"yyyy-mm-dd")&amp;"|"&amp;$Y78&amp;"|",'CALENDARIO'!$G$15:$G$214,0)),IFERROR(INDEX('CALENDARIO'!$C$15:$C$214,MATCH(TEXT($J78,"yyyy-mm-dd")&amp;"||",'CALENDARIO'!$G$15:$G$214,0)),INDEX(patronHabil,WEEKDAY($J78,2))))))</f>
        <v/>
      </c>
      <c r="U78" s="24">
        <f>IF($I78="","",IFERROR(INDEX('CAT_TIPOS_OT'!$C$4:$C$23,MATCH($I78,'CAT_TIPOS_OT'!$A$4:$A$23,0)),"sin_clasificar"))</f>
        <v/>
      </c>
      <c r="V78" s="24">
        <f>IF($I78="","",IF(IFERROR(INDEX('CAT_TIPOS_OT'!$D$4:$D$23,MATCH($I78,'CAT_TIPOS_OT'!$A$4:$A$23,0)),"SIN CLASIFICAR")="","SIN CLASIFICAR",IFERROR(INDEX('CAT_TIPOS_OT'!$D$4:$D$23,MATCH($I78,'CAT_TIPOS_OT'!$A$4:$A$23,0)),"SIN CLASIFICAR")))</f>
        <v/>
      </c>
      <c r="W78" s="24">
        <f>IF($H78="","",IF(IFERROR(INDEX('CAT_ACTIVIDADES'!$F$4:$F$26,MATCH($H78,'CAT_ACTIVIDADES'!$A$4:$A$26,0)),"")=0,"",IFERROR(INDEX('CAT_ACTIVIDADES'!$F$4:$F$26,MATCH($H78,'CAT_ACTIVIDADES'!$A$4:$A$26,0)),"")))</f>
        <v/>
      </c>
      <c r="X78" s="24">
        <f>IF($F78="","",IFERROR(INDEX('CAT_CENTROS_COSTO'!$F$4:$F$28,MATCH($F78,'CAT_CENTROS_COSTO'!$A$4:$A$28,0)),"(sin catálogo)"))</f>
        <v/>
      </c>
      <c r="Y78" s="24">
        <f>IF($F78="","",IFERROR(INDEX('CAT_CENTROS_COSTO'!$D$4:$D$28,MATCH($F78,'CAT_CENTROS_COSTO'!$A$4:$A$28,0)),"(sin catálogo)"))</f>
        <v/>
      </c>
      <c r="Z78" s="24">
        <f>IF($F78="","",IF((IFERROR(INDEX('CAT_CENTROS_COSTO'!$E$4:$E$28,MATCH($F78,'CAT_CENTROS_COSTO'!$A$4:$A$28,0)),""))&lt;&gt;"",IFERROR(INDEX('CAT_CENTROS_COSTO'!$E$4:$E$28,MATCH($F78,'CAT_CENTROS_COSTO'!$A$4:$A$28,0)),""),$Y78))</f>
        <v/>
      </c>
      <c r="AA78" s="24">
        <f>IF($F78="","",IFERROR(INDEX('CAT_CENTROS_COSTO'!$G$4:$G$28,MATCH($F78,'CAT_CENTROS_COSTO'!$A$4:$A$28,0)),"(sin catálogo)"))</f>
        <v/>
      </c>
      <c r="AB78" s="24">
        <f>IF($G78="","",IFERROR(INDEX('CAT_PUESTOS'!$B$4:$B$23,MATCH($G78,'CAT_PUESTOS'!$A$4:$A$23,0)),"(sin catálogo)"))</f>
        <v/>
      </c>
      <c r="AC78" s="24">
        <f>IF($H78="","",IFERROR(INDEX('CAT_ACTIVIDADES'!$B$4:$B$26,MATCH($H78,'CAT_ACTIVIDADES'!$A$4:$A$26,0)),"(sin catálogo)"))</f>
        <v/>
      </c>
      <c r="AD78" s="26">
        <f>IF($J78="","",TODAY()-$J78)</f>
        <v/>
      </c>
      <c r="AE78" s="26">
        <f>IF($J78="","",IF($J78&lt;=TODAY(),COUNTIFS(cal_fechas,"&gt;="&amp;$J78,cal_fechas,"&lt;"&amp;TODAY(),cal_habil,"sí"),-COUNTIFS(cal_fechas,"&gt;="&amp;TODAY(),cal_fechas,"&lt;"&amp;$J78,cal_habil,"sí")))</f>
        <v/>
      </c>
      <c r="AF78" s="24">
        <f>IF($AE78="","",IF($AE78&lt;0,"FUTURO",IF($AE78&gt;p_dias_backlog_max,"BACKLOG","MES CORRIENTE")))</f>
        <v/>
      </c>
      <c r="AG78" s="24">
        <f>IF($AE78="",FALSE,AND($AE78&gt;p_dias_backlog_min,$AE78&lt;=p_dias_backlog_max))</f>
        <v/>
      </c>
      <c r="AH78" s="4" t="n"/>
      <c r="AI78" s="24">
        <f>IF($AH78="","",IF((IFERROR(INDEX('ASIGNACIONES'!$J$4:$J$451,MATCH($O78&amp;"|"&amp;$S78&amp;"|"&amp;$AH78,'ASIGNACIONES'!$N$4:$N$451,0)),""))=0,"",IFERROR(INDEX('ASIGNACIONES'!$J$4:$J$451,MATCH($O78&amp;"|"&amp;$S78&amp;"|"&amp;$AH78,'ASIGNACIONES'!$N$4:$N$451,0)),"")))</f>
        <v/>
      </c>
      <c r="AJ78" s="42">
        <f>IF($AH78="","",SUMIFS('ORDENES'!$M$4:$M$1203,'ORDENES'!$AH$4:$AH$1203,$AH78,'ORDENES'!$O$4:$O$1203,$O78,'ORDENES'!$S$4:$S$1203,$S78))</f>
        <v/>
      </c>
      <c r="AK78" s="42">
        <f>IF($AJ78="","",p_factor_productividad*IFERROR(INDEX('ASIGNACIONES'!$M$4:$M$451,MATCH($O78&amp;"|"&amp;$S78&amp;"|"&amp;$AH78,'ASIGNACIONES'!$N$4:$N$451,0)),0)-$AJ78)</f>
        <v/>
      </c>
      <c r="AL78" s="32">
        <f>IF($A78="","",IFERROR(INDEX('2_IMPORTAR_EJECUCION'!$F$9:$F$1208,MATCH($AU78,'2_IMPORTAR_EJECUCION'!$J$9:$J$1208,0)),0))</f>
        <v/>
      </c>
      <c r="AM78" s="32">
        <f>IF($A78="","",MAX(0,IFERROR(INDEX('2_IMPORTAR_EJECUCION'!$H$9:$H$1208,MATCH($AU78,'2_IMPORTAR_EJECUCION'!$J$9:$J$1208,0)),0)-$AL78))</f>
        <v/>
      </c>
      <c r="AN78" s="32">
        <f>IF($A78="","",$AL78+$AM78)</f>
        <v/>
      </c>
      <c r="AO78" s="24">
        <f>IF($A78="","",IF(OR((IFERROR(INDEX('CAT_ACTIVIDADES'!$D$4:$D$26,MATCH($H78,'CAT_ACTIVIDADES'!$A$4:$A$26,0)),""))=0,(IFERROR(INDEX('CAT_ACTIVIDADES'!$D$4:$D$26,MATCH($H78,'CAT_ACTIVIDADES'!$A$4:$A$26,0)),""))=""),"SIN CLASIFICAR",IFERROR(INDEX('CAT_ACTIVIDADES'!$D$4:$D$26,MATCH($H78,'CAT_ACTIVIDADES'!$A$4:$A$26,0)),"")))</f>
        <v/>
      </c>
      <c r="AP78" s="4" t="n"/>
      <c r="AQ78" s="4" t="n"/>
      <c r="AR78" s="4" t="n"/>
      <c r="AS78" s="24">
        <f>IF($AR78="","",HYPERLINK(p_ruta_base_checklists&amp;$AR78,"abrir"))</f>
        <v/>
      </c>
      <c r="AT78" s="4" t="n"/>
      <c r="AU78" s="24">
        <f>IF($A78="","",$A78&amp;IF($B78="","0010",$B78))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41" t="n"/>
      <c r="K79" s="5" t="n"/>
      <c r="L79" s="18" t="n"/>
      <c r="M79" s="24">
        <f>IF($A79="","",IFERROR(INDEX('AJUSTES'!$B$4:$B$303,MATCH($AU79,'AJUSTES'!$A$4:$A$303,0)),IF($K79="","",$K79)))</f>
        <v/>
      </c>
      <c r="N79" s="24">
        <f>IF($A79="","",IFERROR(INDEX('CAT_ESTADOS_ERP'!$B$4:$B$22,MATCH(IFERROR(INDEX('2_IMPORTAR_EJECUCION'!$C$9:$C$1208,MATCH($AU79,'2_IMPORTAR_EJECUCION'!$J$9:$J$1208,0)),""),'CAT_ESTADOS_ERP'!$A$4:$A$22,0)),"Pendiente"))</f>
        <v/>
      </c>
      <c r="O79" s="24">
        <f>IF($J79="","",YEAR($J79+4-WEEKDAY($J79,2))&amp;"-S"&amp;TEXT(_xlfn.ISOWEEKNUM($J79),"00"))</f>
        <v/>
      </c>
      <c r="P79" s="24">
        <f>IF($J79="","",YEAR($J79))</f>
        <v/>
      </c>
      <c r="Q79" s="24">
        <f>IF($J79="","",MONTH($J79))</f>
        <v/>
      </c>
      <c r="R79" s="24">
        <f>IF($J79="","",$P79&amp;"-"&amp;TEXT($Q79,"00"))</f>
        <v/>
      </c>
      <c r="S79" s="24">
        <f>IF($J79="","",INDEX(lista_dias,WEEKDAY($J79,2)))</f>
        <v/>
      </c>
      <c r="T79" s="24">
        <f>IF($J79="","",IFERROR(INDEX('CALENDARIO'!$C$15:$C$214,MATCH(TEXT($J79,"yyyy-mm-dd")&amp;"|"&amp;$Y79&amp;"|"&amp;$Z79,'CALENDARIO'!$G$15:$G$214,0)),IFERROR(INDEX('CALENDARIO'!$C$15:$C$214,MATCH(TEXT($J79,"yyyy-mm-dd")&amp;"|"&amp;$Y79&amp;"|",'CALENDARIO'!$G$15:$G$214,0)),IFERROR(INDEX('CALENDARIO'!$C$15:$C$214,MATCH(TEXT($J79,"yyyy-mm-dd")&amp;"||",'CALENDARIO'!$G$15:$G$214,0)),INDEX(patronHabil,WEEKDAY($J79,2))))))</f>
        <v/>
      </c>
      <c r="U79" s="24">
        <f>IF($I79="","",IFERROR(INDEX('CAT_TIPOS_OT'!$C$4:$C$23,MATCH($I79,'CAT_TIPOS_OT'!$A$4:$A$23,0)),"sin_clasificar"))</f>
        <v/>
      </c>
      <c r="V79" s="24">
        <f>IF($I79="","",IF(IFERROR(INDEX('CAT_TIPOS_OT'!$D$4:$D$23,MATCH($I79,'CAT_TIPOS_OT'!$A$4:$A$23,0)),"SIN CLASIFICAR")="","SIN CLASIFICAR",IFERROR(INDEX('CAT_TIPOS_OT'!$D$4:$D$23,MATCH($I79,'CAT_TIPOS_OT'!$A$4:$A$23,0)),"SIN CLASIFICAR")))</f>
        <v/>
      </c>
      <c r="W79" s="24">
        <f>IF($H79="","",IF(IFERROR(INDEX('CAT_ACTIVIDADES'!$F$4:$F$26,MATCH($H79,'CAT_ACTIVIDADES'!$A$4:$A$26,0)),"")=0,"",IFERROR(INDEX('CAT_ACTIVIDADES'!$F$4:$F$26,MATCH($H79,'CAT_ACTIVIDADES'!$A$4:$A$26,0)),"")))</f>
        <v/>
      </c>
      <c r="X79" s="24">
        <f>IF($F79="","",IFERROR(INDEX('CAT_CENTROS_COSTO'!$F$4:$F$28,MATCH($F79,'CAT_CENTROS_COSTO'!$A$4:$A$28,0)),"(sin catálogo)"))</f>
        <v/>
      </c>
      <c r="Y79" s="24">
        <f>IF($F79="","",IFERROR(INDEX('CAT_CENTROS_COSTO'!$D$4:$D$28,MATCH($F79,'CAT_CENTROS_COSTO'!$A$4:$A$28,0)),"(sin catálogo)"))</f>
        <v/>
      </c>
      <c r="Z79" s="24">
        <f>IF($F79="","",IF((IFERROR(INDEX('CAT_CENTROS_COSTO'!$E$4:$E$28,MATCH($F79,'CAT_CENTROS_COSTO'!$A$4:$A$28,0)),""))&lt;&gt;"",IFERROR(INDEX('CAT_CENTROS_COSTO'!$E$4:$E$28,MATCH($F79,'CAT_CENTROS_COSTO'!$A$4:$A$28,0)),""),$Y79))</f>
        <v/>
      </c>
      <c r="AA79" s="24">
        <f>IF($F79="","",IFERROR(INDEX('CAT_CENTROS_COSTO'!$G$4:$G$28,MATCH($F79,'CAT_CENTROS_COSTO'!$A$4:$A$28,0)),"(sin catálogo)"))</f>
        <v/>
      </c>
      <c r="AB79" s="24">
        <f>IF($G79="","",IFERROR(INDEX('CAT_PUESTOS'!$B$4:$B$23,MATCH($G79,'CAT_PUESTOS'!$A$4:$A$23,0)),"(sin catálogo)"))</f>
        <v/>
      </c>
      <c r="AC79" s="24">
        <f>IF($H79="","",IFERROR(INDEX('CAT_ACTIVIDADES'!$B$4:$B$26,MATCH($H79,'CAT_ACTIVIDADES'!$A$4:$A$26,0)),"(sin catálogo)"))</f>
        <v/>
      </c>
      <c r="AD79" s="26">
        <f>IF($J79="","",TODAY()-$J79)</f>
        <v/>
      </c>
      <c r="AE79" s="26">
        <f>IF($J79="","",IF($J79&lt;=TODAY(),COUNTIFS(cal_fechas,"&gt;="&amp;$J79,cal_fechas,"&lt;"&amp;TODAY(),cal_habil,"sí"),-COUNTIFS(cal_fechas,"&gt;="&amp;TODAY(),cal_fechas,"&lt;"&amp;$J79,cal_habil,"sí")))</f>
        <v/>
      </c>
      <c r="AF79" s="24">
        <f>IF($AE79="","",IF($AE79&lt;0,"FUTURO",IF($AE79&gt;p_dias_backlog_max,"BACKLOG","MES CORRIENTE")))</f>
        <v/>
      </c>
      <c r="AG79" s="24">
        <f>IF($AE79="",FALSE,AND($AE79&gt;p_dias_backlog_min,$AE79&lt;=p_dias_backlog_max))</f>
        <v/>
      </c>
      <c r="AH79" s="4" t="n"/>
      <c r="AI79" s="24">
        <f>IF($AH79="","",IF((IFERROR(INDEX('ASIGNACIONES'!$J$4:$J$451,MATCH($O79&amp;"|"&amp;$S79&amp;"|"&amp;$AH79,'ASIGNACIONES'!$N$4:$N$451,0)),""))=0,"",IFERROR(INDEX('ASIGNACIONES'!$J$4:$J$451,MATCH($O79&amp;"|"&amp;$S79&amp;"|"&amp;$AH79,'ASIGNACIONES'!$N$4:$N$451,0)),"")))</f>
        <v/>
      </c>
      <c r="AJ79" s="42">
        <f>IF($AH79="","",SUMIFS('ORDENES'!$M$4:$M$1203,'ORDENES'!$AH$4:$AH$1203,$AH79,'ORDENES'!$O$4:$O$1203,$O79,'ORDENES'!$S$4:$S$1203,$S79))</f>
        <v/>
      </c>
      <c r="AK79" s="42">
        <f>IF($AJ79="","",p_factor_productividad*IFERROR(INDEX('ASIGNACIONES'!$M$4:$M$451,MATCH($O79&amp;"|"&amp;$S79&amp;"|"&amp;$AH79,'ASIGNACIONES'!$N$4:$N$451,0)),0)-$AJ79)</f>
        <v/>
      </c>
      <c r="AL79" s="32">
        <f>IF($A79="","",IFERROR(INDEX('2_IMPORTAR_EJECUCION'!$F$9:$F$1208,MATCH($AU79,'2_IMPORTAR_EJECUCION'!$J$9:$J$1208,0)),0))</f>
        <v/>
      </c>
      <c r="AM79" s="32">
        <f>IF($A79="","",MAX(0,IFERROR(INDEX('2_IMPORTAR_EJECUCION'!$H$9:$H$1208,MATCH($AU79,'2_IMPORTAR_EJECUCION'!$J$9:$J$1208,0)),0)-$AL79))</f>
        <v/>
      </c>
      <c r="AN79" s="32">
        <f>IF($A79="","",$AL79+$AM79)</f>
        <v/>
      </c>
      <c r="AO79" s="24">
        <f>IF($A79="","",IF(OR((IFERROR(INDEX('CAT_ACTIVIDADES'!$D$4:$D$26,MATCH($H79,'CAT_ACTIVIDADES'!$A$4:$A$26,0)),""))=0,(IFERROR(INDEX('CAT_ACTIVIDADES'!$D$4:$D$26,MATCH($H79,'CAT_ACTIVIDADES'!$A$4:$A$26,0)),""))=""),"SIN CLASIFICAR",IFERROR(INDEX('CAT_ACTIVIDADES'!$D$4:$D$26,MATCH($H79,'CAT_ACTIVIDADES'!$A$4:$A$26,0)),"")))</f>
        <v/>
      </c>
      <c r="AP79" s="4" t="n"/>
      <c r="AQ79" s="4" t="n"/>
      <c r="AR79" s="4" t="n"/>
      <c r="AS79" s="24">
        <f>IF($AR79="","",HYPERLINK(p_ruta_base_checklists&amp;$AR79,"abrir"))</f>
        <v/>
      </c>
      <c r="AT79" s="4" t="n"/>
      <c r="AU79" s="24">
        <f>IF($A79="","",$A79&amp;IF($B79="","0010",$B79))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41" t="n"/>
      <c r="K80" s="5" t="n"/>
      <c r="L80" s="18" t="n"/>
      <c r="M80" s="24">
        <f>IF($A80="","",IFERROR(INDEX('AJUSTES'!$B$4:$B$303,MATCH($AU80,'AJUSTES'!$A$4:$A$303,0)),IF($K80="","",$K80)))</f>
        <v/>
      </c>
      <c r="N80" s="24">
        <f>IF($A80="","",IFERROR(INDEX('CAT_ESTADOS_ERP'!$B$4:$B$22,MATCH(IFERROR(INDEX('2_IMPORTAR_EJECUCION'!$C$9:$C$1208,MATCH($AU80,'2_IMPORTAR_EJECUCION'!$J$9:$J$1208,0)),""),'CAT_ESTADOS_ERP'!$A$4:$A$22,0)),"Pendiente"))</f>
        <v/>
      </c>
      <c r="O80" s="24">
        <f>IF($J80="","",YEAR($J80+4-WEEKDAY($J80,2))&amp;"-S"&amp;TEXT(_xlfn.ISOWEEKNUM($J80),"00"))</f>
        <v/>
      </c>
      <c r="P80" s="24">
        <f>IF($J80="","",YEAR($J80))</f>
        <v/>
      </c>
      <c r="Q80" s="24">
        <f>IF($J80="","",MONTH($J80))</f>
        <v/>
      </c>
      <c r="R80" s="24">
        <f>IF($J80="","",$P80&amp;"-"&amp;TEXT($Q80,"00"))</f>
        <v/>
      </c>
      <c r="S80" s="24">
        <f>IF($J80="","",INDEX(lista_dias,WEEKDAY($J80,2)))</f>
        <v/>
      </c>
      <c r="T80" s="24">
        <f>IF($J80="","",IFERROR(INDEX('CALENDARIO'!$C$15:$C$214,MATCH(TEXT($J80,"yyyy-mm-dd")&amp;"|"&amp;$Y80&amp;"|"&amp;$Z80,'CALENDARIO'!$G$15:$G$214,0)),IFERROR(INDEX('CALENDARIO'!$C$15:$C$214,MATCH(TEXT($J80,"yyyy-mm-dd")&amp;"|"&amp;$Y80&amp;"|",'CALENDARIO'!$G$15:$G$214,0)),IFERROR(INDEX('CALENDARIO'!$C$15:$C$214,MATCH(TEXT($J80,"yyyy-mm-dd")&amp;"||",'CALENDARIO'!$G$15:$G$214,0)),INDEX(patronHabil,WEEKDAY($J80,2))))))</f>
        <v/>
      </c>
      <c r="U80" s="24">
        <f>IF($I80="","",IFERROR(INDEX('CAT_TIPOS_OT'!$C$4:$C$23,MATCH($I80,'CAT_TIPOS_OT'!$A$4:$A$23,0)),"sin_clasificar"))</f>
        <v/>
      </c>
      <c r="V80" s="24">
        <f>IF($I80="","",IF(IFERROR(INDEX('CAT_TIPOS_OT'!$D$4:$D$23,MATCH($I80,'CAT_TIPOS_OT'!$A$4:$A$23,0)),"SIN CLASIFICAR")="","SIN CLASIFICAR",IFERROR(INDEX('CAT_TIPOS_OT'!$D$4:$D$23,MATCH($I80,'CAT_TIPOS_OT'!$A$4:$A$23,0)),"SIN CLASIFICAR")))</f>
        <v/>
      </c>
      <c r="W80" s="24">
        <f>IF($H80="","",IF(IFERROR(INDEX('CAT_ACTIVIDADES'!$F$4:$F$26,MATCH($H80,'CAT_ACTIVIDADES'!$A$4:$A$26,0)),"")=0,"",IFERROR(INDEX('CAT_ACTIVIDADES'!$F$4:$F$26,MATCH($H80,'CAT_ACTIVIDADES'!$A$4:$A$26,0)),"")))</f>
        <v/>
      </c>
      <c r="X80" s="24">
        <f>IF($F80="","",IFERROR(INDEX('CAT_CENTROS_COSTO'!$F$4:$F$28,MATCH($F80,'CAT_CENTROS_COSTO'!$A$4:$A$28,0)),"(sin catálogo)"))</f>
        <v/>
      </c>
      <c r="Y80" s="24">
        <f>IF($F80="","",IFERROR(INDEX('CAT_CENTROS_COSTO'!$D$4:$D$28,MATCH($F80,'CAT_CENTROS_COSTO'!$A$4:$A$28,0)),"(sin catálogo)"))</f>
        <v/>
      </c>
      <c r="Z80" s="24">
        <f>IF($F80="","",IF((IFERROR(INDEX('CAT_CENTROS_COSTO'!$E$4:$E$28,MATCH($F80,'CAT_CENTROS_COSTO'!$A$4:$A$28,0)),""))&lt;&gt;"",IFERROR(INDEX('CAT_CENTROS_COSTO'!$E$4:$E$28,MATCH($F80,'CAT_CENTROS_COSTO'!$A$4:$A$28,0)),""),$Y80))</f>
        <v/>
      </c>
      <c r="AA80" s="24">
        <f>IF($F80="","",IFERROR(INDEX('CAT_CENTROS_COSTO'!$G$4:$G$28,MATCH($F80,'CAT_CENTROS_COSTO'!$A$4:$A$28,0)),"(sin catálogo)"))</f>
        <v/>
      </c>
      <c r="AB80" s="24">
        <f>IF($G80="","",IFERROR(INDEX('CAT_PUESTOS'!$B$4:$B$23,MATCH($G80,'CAT_PUESTOS'!$A$4:$A$23,0)),"(sin catálogo)"))</f>
        <v/>
      </c>
      <c r="AC80" s="24">
        <f>IF($H80="","",IFERROR(INDEX('CAT_ACTIVIDADES'!$B$4:$B$26,MATCH($H80,'CAT_ACTIVIDADES'!$A$4:$A$26,0)),"(sin catálogo)"))</f>
        <v/>
      </c>
      <c r="AD80" s="26">
        <f>IF($J80="","",TODAY()-$J80)</f>
        <v/>
      </c>
      <c r="AE80" s="26">
        <f>IF($J80="","",IF($J80&lt;=TODAY(),COUNTIFS(cal_fechas,"&gt;="&amp;$J80,cal_fechas,"&lt;"&amp;TODAY(),cal_habil,"sí"),-COUNTIFS(cal_fechas,"&gt;="&amp;TODAY(),cal_fechas,"&lt;"&amp;$J80,cal_habil,"sí")))</f>
        <v/>
      </c>
      <c r="AF80" s="24">
        <f>IF($AE80="","",IF($AE80&lt;0,"FUTURO",IF($AE80&gt;p_dias_backlog_max,"BACKLOG","MES CORRIENTE")))</f>
        <v/>
      </c>
      <c r="AG80" s="24">
        <f>IF($AE80="",FALSE,AND($AE80&gt;p_dias_backlog_min,$AE80&lt;=p_dias_backlog_max))</f>
        <v/>
      </c>
      <c r="AH80" s="4" t="n"/>
      <c r="AI80" s="24">
        <f>IF($AH80="","",IF((IFERROR(INDEX('ASIGNACIONES'!$J$4:$J$451,MATCH($O80&amp;"|"&amp;$S80&amp;"|"&amp;$AH80,'ASIGNACIONES'!$N$4:$N$451,0)),""))=0,"",IFERROR(INDEX('ASIGNACIONES'!$J$4:$J$451,MATCH($O80&amp;"|"&amp;$S80&amp;"|"&amp;$AH80,'ASIGNACIONES'!$N$4:$N$451,0)),"")))</f>
        <v/>
      </c>
      <c r="AJ80" s="42">
        <f>IF($AH80="","",SUMIFS('ORDENES'!$M$4:$M$1203,'ORDENES'!$AH$4:$AH$1203,$AH80,'ORDENES'!$O$4:$O$1203,$O80,'ORDENES'!$S$4:$S$1203,$S80))</f>
        <v/>
      </c>
      <c r="AK80" s="42">
        <f>IF($AJ80="","",p_factor_productividad*IFERROR(INDEX('ASIGNACIONES'!$M$4:$M$451,MATCH($O80&amp;"|"&amp;$S80&amp;"|"&amp;$AH80,'ASIGNACIONES'!$N$4:$N$451,0)),0)-$AJ80)</f>
        <v/>
      </c>
      <c r="AL80" s="32">
        <f>IF($A80="","",IFERROR(INDEX('2_IMPORTAR_EJECUCION'!$F$9:$F$1208,MATCH($AU80,'2_IMPORTAR_EJECUCION'!$J$9:$J$1208,0)),0))</f>
        <v/>
      </c>
      <c r="AM80" s="32">
        <f>IF($A80="","",MAX(0,IFERROR(INDEX('2_IMPORTAR_EJECUCION'!$H$9:$H$1208,MATCH($AU80,'2_IMPORTAR_EJECUCION'!$J$9:$J$1208,0)),0)-$AL80))</f>
        <v/>
      </c>
      <c r="AN80" s="32">
        <f>IF($A80="","",$AL80+$AM80)</f>
        <v/>
      </c>
      <c r="AO80" s="24">
        <f>IF($A80="","",IF(OR((IFERROR(INDEX('CAT_ACTIVIDADES'!$D$4:$D$26,MATCH($H80,'CAT_ACTIVIDADES'!$A$4:$A$26,0)),""))=0,(IFERROR(INDEX('CAT_ACTIVIDADES'!$D$4:$D$26,MATCH($H80,'CAT_ACTIVIDADES'!$A$4:$A$26,0)),""))=""),"SIN CLASIFICAR",IFERROR(INDEX('CAT_ACTIVIDADES'!$D$4:$D$26,MATCH($H80,'CAT_ACTIVIDADES'!$A$4:$A$26,0)),"")))</f>
        <v/>
      </c>
      <c r="AP80" s="4" t="n"/>
      <c r="AQ80" s="4" t="n"/>
      <c r="AR80" s="4" t="n"/>
      <c r="AS80" s="24">
        <f>IF($AR80="","",HYPERLINK(p_ruta_base_checklists&amp;$AR80,"abrir"))</f>
        <v/>
      </c>
      <c r="AT80" s="4" t="n"/>
      <c r="AU80" s="24">
        <f>IF($A80="","",$A80&amp;IF($B80="","0010",$B80))</f>
        <v/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41" t="n"/>
      <c r="K81" s="5" t="n"/>
      <c r="L81" s="18" t="n"/>
      <c r="M81" s="24">
        <f>IF($A81="","",IFERROR(INDEX('AJUSTES'!$B$4:$B$303,MATCH($AU81,'AJUSTES'!$A$4:$A$303,0)),IF($K81="","",$K81)))</f>
        <v/>
      </c>
      <c r="N81" s="24">
        <f>IF($A81="","",IFERROR(INDEX('CAT_ESTADOS_ERP'!$B$4:$B$22,MATCH(IFERROR(INDEX('2_IMPORTAR_EJECUCION'!$C$9:$C$1208,MATCH($AU81,'2_IMPORTAR_EJECUCION'!$J$9:$J$1208,0)),""),'CAT_ESTADOS_ERP'!$A$4:$A$22,0)),"Pendiente"))</f>
        <v/>
      </c>
      <c r="O81" s="24">
        <f>IF($J81="","",YEAR($J81+4-WEEKDAY($J81,2))&amp;"-S"&amp;TEXT(_xlfn.ISOWEEKNUM($J81),"00"))</f>
        <v/>
      </c>
      <c r="P81" s="24">
        <f>IF($J81="","",YEAR($J81))</f>
        <v/>
      </c>
      <c r="Q81" s="24">
        <f>IF($J81="","",MONTH($J81))</f>
        <v/>
      </c>
      <c r="R81" s="24">
        <f>IF($J81="","",$P81&amp;"-"&amp;TEXT($Q81,"00"))</f>
        <v/>
      </c>
      <c r="S81" s="24">
        <f>IF($J81="","",INDEX(lista_dias,WEEKDAY($J81,2)))</f>
        <v/>
      </c>
      <c r="T81" s="24">
        <f>IF($J81="","",IFERROR(INDEX('CALENDARIO'!$C$15:$C$214,MATCH(TEXT($J81,"yyyy-mm-dd")&amp;"|"&amp;$Y81&amp;"|"&amp;$Z81,'CALENDARIO'!$G$15:$G$214,0)),IFERROR(INDEX('CALENDARIO'!$C$15:$C$214,MATCH(TEXT($J81,"yyyy-mm-dd")&amp;"|"&amp;$Y81&amp;"|",'CALENDARIO'!$G$15:$G$214,0)),IFERROR(INDEX('CALENDARIO'!$C$15:$C$214,MATCH(TEXT($J81,"yyyy-mm-dd")&amp;"||",'CALENDARIO'!$G$15:$G$214,0)),INDEX(patronHabil,WEEKDAY($J81,2))))))</f>
        <v/>
      </c>
      <c r="U81" s="24">
        <f>IF($I81="","",IFERROR(INDEX('CAT_TIPOS_OT'!$C$4:$C$23,MATCH($I81,'CAT_TIPOS_OT'!$A$4:$A$23,0)),"sin_clasificar"))</f>
        <v/>
      </c>
      <c r="V81" s="24">
        <f>IF($I81="","",IF(IFERROR(INDEX('CAT_TIPOS_OT'!$D$4:$D$23,MATCH($I81,'CAT_TIPOS_OT'!$A$4:$A$23,0)),"SIN CLASIFICAR")="","SIN CLASIFICAR",IFERROR(INDEX('CAT_TIPOS_OT'!$D$4:$D$23,MATCH($I81,'CAT_TIPOS_OT'!$A$4:$A$23,0)),"SIN CLASIFICAR")))</f>
        <v/>
      </c>
      <c r="W81" s="24">
        <f>IF($H81="","",IF(IFERROR(INDEX('CAT_ACTIVIDADES'!$F$4:$F$26,MATCH($H81,'CAT_ACTIVIDADES'!$A$4:$A$26,0)),"")=0,"",IFERROR(INDEX('CAT_ACTIVIDADES'!$F$4:$F$26,MATCH($H81,'CAT_ACTIVIDADES'!$A$4:$A$26,0)),"")))</f>
        <v/>
      </c>
      <c r="X81" s="24">
        <f>IF($F81="","",IFERROR(INDEX('CAT_CENTROS_COSTO'!$F$4:$F$28,MATCH($F81,'CAT_CENTROS_COSTO'!$A$4:$A$28,0)),"(sin catálogo)"))</f>
        <v/>
      </c>
      <c r="Y81" s="24">
        <f>IF($F81="","",IFERROR(INDEX('CAT_CENTROS_COSTO'!$D$4:$D$28,MATCH($F81,'CAT_CENTROS_COSTO'!$A$4:$A$28,0)),"(sin catálogo)"))</f>
        <v/>
      </c>
      <c r="Z81" s="24">
        <f>IF($F81="","",IF((IFERROR(INDEX('CAT_CENTROS_COSTO'!$E$4:$E$28,MATCH($F81,'CAT_CENTROS_COSTO'!$A$4:$A$28,0)),""))&lt;&gt;"",IFERROR(INDEX('CAT_CENTROS_COSTO'!$E$4:$E$28,MATCH($F81,'CAT_CENTROS_COSTO'!$A$4:$A$28,0)),""),$Y81))</f>
        <v/>
      </c>
      <c r="AA81" s="24">
        <f>IF($F81="","",IFERROR(INDEX('CAT_CENTROS_COSTO'!$G$4:$G$28,MATCH($F81,'CAT_CENTROS_COSTO'!$A$4:$A$28,0)),"(sin catálogo)"))</f>
        <v/>
      </c>
      <c r="AB81" s="24">
        <f>IF($G81="","",IFERROR(INDEX('CAT_PUESTOS'!$B$4:$B$23,MATCH($G81,'CAT_PUESTOS'!$A$4:$A$23,0)),"(sin catálogo)"))</f>
        <v/>
      </c>
      <c r="AC81" s="24">
        <f>IF($H81="","",IFERROR(INDEX('CAT_ACTIVIDADES'!$B$4:$B$26,MATCH($H81,'CAT_ACTIVIDADES'!$A$4:$A$26,0)),"(sin catálogo)"))</f>
        <v/>
      </c>
      <c r="AD81" s="26">
        <f>IF($J81="","",TODAY()-$J81)</f>
        <v/>
      </c>
      <c r="AE81" s="26">
        <f>IF($J81="","",IF($J81&lt;=TODAY(),COUNTIFS(cal_fechas,"&gt;="&amp;$J81,cal_fechas,"&lt;"&amp;TODAY(),cal_habil,"sí"),-COUNTIFS(cal_fechas,"&gt;="&amp;TODAY(),cal_fechas,"&lt;"&amp;$J81,cal_habil,"sí")))</f>
        <v/>
      </c>
      <c r="AF81" s="24">
        <f>IF($AE81="","",IF($AE81&lt;0,"FUTURO",IF($AE81&gt;p_dias_backlog_max,"BACKLOG","MES CORRIENTE")))</f>
        <v/>
      </c>
      <c r="AG81" s="24">
        <f>IF($AE81="",FALSE,AND($AE81&gt;p_dias_backlog_min,$AE81&lt;=p_dias_backlog_max))</f>
        <v/>
      </c>
      <c r="AH81" s="4" t="n"/>
      <c r="AI81" s="24">
        <f>IF($AH81="","",IF((IFERROR(INDEX('ASIGNACIONES'!$J$4:$J$451,MATCH($O81&amp;"|"&amp;$S81&amp;"|"&amp;$AH81,'ASIGNACIONES'!$N$4:$N$451,0)),""))=0,"",IFERROR(INDEX('ASIGNACIONES'!$J$4:$J$451,MATCH($O81&amp;"|"&amp;$S81&amp;"|"&amp;$AH81,'ASIGNACIONES'!$N$4:$N$451,0)),"")))</f>
        <v/>
      </c>
      <c r="AJ81" s="42">
        <f>IF($AH81="","",SUMIFS('ORDENES'!$M$4:$M$1203,'ORDENES'!$AH$4:$AH$1203,$AH81,'ORDENES'!$O$4:$O$1203,$O81,'ORDENES'!$S$4:$S$1203,$S81))</f>
        <v/>
      </c>
      <c r="AK81" s="42">
        <f>IF($AJ81="","",p_factor_productividad*IFERROR(INDEX('ASIGNACIONES'!$M$4:$M$451,MATCH($O81&amp;"|"&amp;$S81&amp;"|"&amp;$AH81,'ASIGNACIONES'!$N$4:$N$451,0)),0)-$AJ81)</f>
        <v/>
      </c>
      <c r="AL81" s="32">
        <f>IF($A81="","",IFERROR(INDEX('2_IMPORTAR_EJECUCION'!$F$9:$F$1208,MATCH($AU81,'2_IMPORTAR_EJECUCION'!$J$9:$J$1208,0)),0))</f>
        <v/>
      </c>
      <c r="AM81" s="32">
        <f>IF($A81="","",MAX(0,IFERROR(INDEX('2_IMPORTAR_EJECUCION'!$H$9:$H$1208,MATCH($AU81,'2_IMPORTAR_EJECUCION'!$J$9:$J$1208,0)),0)-$AL81))</f>
        <v/>
      </c>
      <c r="AN81" s="32">
        <f>IF($A81="","",$AL81+$AM81)</f>
        <v/>
      </c>
      <c r="AO81" s="24">
        <f>IF($A81="","",IF(OR((IFERROR(INDEX('CAT_ACTIVIDADES'!$D$4:$D$26,MATCH($H81,'CAT_ACTIVIDADES'!$A$4:$A$26,0)),""))=0,(IFERROR(INDEX('CAT_ACTIVIDADES'!$D$4:$D$26,MATCH($H81,'CAT_ACTIVIDADES'!$A$4:$A$26,0)),""))=""),"SIN CLASIFICAR",IFERROR(INDEX('CAT_ACTIVIDADES'!$D$4:$D$26,MATCH($H81,'CAT_ACTIVIDADES'!$A$4:$A$26,0)),"")))</f>
        <v/>
      </c>
      <c r="AP81" s="4" t="n"/>
      <c r="AQ81" s="4" t="n"/>
      <c r="AR81" s="4" t="n"/>
      <c r="AS81" s="24">
        <f>IF($AR81="","",HYPERLINK(p_ruta_base_checklists&amp;$AR81,"abrir"))</f>
        <v/>
      </c>
      <c r="AT81" s="4" t="n"/>
      <c r="AU81" s="24">
        <f>IF($A81="","",$A81&amp;IF($B81="","0010",$B81))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41" t="n"/>
      <c r="K82" s="5" t="n"/>
      <c r="L82" s="18" t="n"/>
      <c r="M82" s="24">
        <f>IF($A82="","",IFERROR(INDEX('AJUSTES'!$B$4:$B$303,MATCH($AU82,'AJUSTES'!$A$4:$A$303,0)),IF($K82="","",$K82)))</f>
        <v/>
      </c>
      <c r="N82" s="24">
        <f>IF($A82="","",IFERROR(INDEX('CAT_ESTADOS_ERP'!$B$4:$B$22,MATCH(IFERROR(INDEX('2_IMPORTAR_EJECUCION'!$C$9:$C$1208,MATCH($AU82,'2_IMPORTAR_EJECUCION'!$J$9:$J$1208,0)),""),'CAT_ESTADOS_ERP'!$A$4:$A$22,0)),"Pendiente"))</f>
        <v/>
      </c>
      <c r="O82" s="24">
        <f>IF($J82="","",YEAR($J82+4-WEEKDAY($J82,2))&amp;"-S"&amp;TEXT(_xlfn.ISOWEEKNUM($J82),"00"))</f>
        <v/>
      </c>
      <c r="P82" s="24">
        <f>IF($J82="","",YEAR($J82))</f>
        <v/>
      </c>
      <c r="Q82" s="24">
        <f>IF($J82="","",MONTH($J82))</f>
        <v/>
      </c>
      <c r="R82" s="24">
        <f>IF($J82="","",$P82&amp;"-"&amp;TEXT($Q82,"00"))</f>
        <v/>
      </c>
      <c r="S82" s="24">
        <f>IF($J82="","",INDEX(lista_dias,WEEKDAY($J82,2)))</f>
        <v/>
      </c>
      <c r="T82" s="24">
        <f>IF($J82="","",IFERROR(INDEX('CALENDARIO'!$C$15:$C$214,MATCH(TEXT($J82,"yyyy-mm-dd")&amp;"|"&amp;$Y82&amp;"|"&amp;$Z82,'CALENDARIO'!$G$15:$G$214,0)),IFERROR(INDEX('CALENDARIO'!$C$15:$C$214,MATCH(TEXT($J82,"yyyy-mm-dd")&amp;"|"&amp;$Y82&amp;"|",'CALENDARIO'!$G$15:$G$214,0)),IFERROR(INDEX('CALENDARIO'!$C$15:$C$214,MATCH(TEXT($J82,"yyyy-mm-dd")&amp;"||",'CALENDARIO'!$G$15:$G$214,0)),INDEX(patronHabil,WEEKDAY($J82,2))))))</f>
        <v/>
      </c>
      <c r="U82" s="24">
        <f>IF($I82="","",IFERROR(INDEX('CAT_TIPOS_OT'!$C$4:$C$23,MATCH($I82,'CAT_TIPOS_OT'!$A$4:$A$23,0)),"sin_clasificar"))</f>
        <v/>
      </c>
      <c r="V82" s="24">
        <f>IF($I82="","",IF(IFERROR(INDEX('CAT_TIPOS_OT'!$D$4:$D$23,MATCH($I82,'CAT_TIPOS_OT'!$A$4:$A$23,0)),"SIN CLASIFICAR")="","SIN CLASIFICAR",IFERROR(INDEX('CAT_TIPOS_OT'!$D$4:$D$23,MATCH($I82,'CAT_TIPOS_OT'!$A$4:$A$23,0)),"SIN CLASIFICAR")))</f>
        <v/>
      </c>
      <c r="W82" s="24">
        <f>IF($H82="","",IF(IFERROR(INDEX('CAT_ACTIVIDADES'!$F$4:$F$26,MATCH($H82,'CAT_ACTIVIDADES'!$A$4:$A$26,0)),"")=0,"",IFERROR(INDEX('CAT_ACTIVIDADES'!$F$4:$F$26,MATCH($H82,'CAT_ACTIVIDADES'!$A$4:$A$26,0)),"")))</f>
        <v/>
      </c>
      <c r="X82" s="24">
        <f>IF($F82="","",IFERROR(INDEX('CAT_CENTROS_COSTO'!$F$4:$F$28,MATCH($F82,'CAT_CENTROS_COSTO'!$A$4:$A$28,0)),"(sin catálogo)"))</f>
        <v/>
      </c>
      <c r="Y82" s="24">
        <f>IF($F82="","",IFERROR(INDEX('CAT_CENTROS_COSTO'!$D$4:$D$28,MATCH($F82,'CAT_CENTROS_COSTO'!$A$4:$A$28,0)),"(sin catálogo)"))</f>
        <v/>
      </c>
      <c r="Z82" s="24">
        <f>IF($F82="","",IF((IFERROR(INDEX('CAT_CENTROS_COSTO'!$E$4:$E$28,MATCH($F82,'CAT_CENTROS_COSTO'!$A$4:$A$28,0)),""))&lt;&gt;"",IFERROR(INDEX('CAT_CENTROS_COSTO'!$E$4:$E$28,MATCH($F82,'CAT_CENTROS_COSTO'!$A$4:$A$28,0)),""),$Y82))</f>
        <v/>
      </c>
      <c r="AA82" s="24">
        <f>IF($F82="","",IFERROR(INDEX('CAT_CENTROS_COSTO'!$G$4:$G$28,MATCH($F82,'CAT_CENTROS_COSTO'!$A$4:$A$28,0)),"(sin catálogo)"))</f>
        <v/>
      </c>
      <c r="AB82" s="24">
        <f>IF($G82="","",IFERROR(INDEX('CAT_PUESTOS'!$B$4:$B$23,MATCH($G82,'CAT_PUESTOS'!$A$4:$A$23,0)),"(sin catálogo)"))</f>
        <v/>
      </c>
      <c r="AC82" s="24">
        <f>IF($H82="","",IFERROR(INDEX('CAT_ACTIVIDADES'!$B$4:$B$26,MATCH($H82,'CAT_ACTIVIDADES'!$A$4:$A$26,0)),"(sin catálogo)"))</f>
        <v/>
      </c>
      <c r="AD82" s="26">
        <f>IF($J82="","",TODAY()-$J82)</f>
        <v/>
      </c>
      <c r="AE82" s="26">
        <f>IF($J82="","",IF($J82&lt;=TODAY(),COUNTIFS(cal_fechas,"&gt;="&amp;$J82,cal_fechas,"&lt;"&amp;TODAY(),cal_habil,"sí"),-COUNTIFS(cal_fechas,"&gt;="&amp;TODAY(),cal_fechas,"&lt;"&amp;$J82,cal_habil,"sí")))</f>
        <v/>
      </c>
      <c r="AF82" s="24">
        <f>IF($AE82="","",IF($AE82&lt;0,"FUTURO",IF($AE82&gt;p_dias_backlog_max,"BACKLOG","MES CORRIENTE")))</f>
        <v/>
      </c>
      <c r="AG82" s="24">
        <f>IF($AE82="",FALSE,AND($AE82&gt;p_dias_backlog_min,$AE82&lt;=p_dias_backlog_max))</f>
        <v/>
      </c>
      <c r="AH82" s="4" t="n"/>
      <c r="AI82" s="24">
        <f>IF($AH82="","",IF((IFERROR(INDEX('ASIGNACIONES'!$J$4:$J$451,MATCH($O82&amp;"|"&amp;$S82&amp;"|"&amp;$AH82,'ASIGNACIONES'!$N$4:$N$451,0)),""))=0,"",IFERROR(INDEX('ASIGNACIONES'!$J$4:$J$451,MATCH($O82&amp;"|"&amp;$S82&amp;"|"&amp;$AH82,'ASIGNACIONES'!$N$4:$N$451,0)),"")))</f>
        <v/>
      </c>
      <c r="AJ82" s="42">
        <f>IF($AH82="","",SUMIFS('ORDENES'!$M$4:$M$1203,'ORDENES'!$AH$4:$AH$1203,$AH82,'ORDENES'!$O$4:$O$1203,$O82,'ORDENES'!$S$4:$S$1203,$S82))</f>
        <v/>
      </c>
      <c r="AK82" s="42">
        <f>IF($AJ82="","",p_factor_productividad*IFERROR(INDEX('ASIGNACIONES'!$M$4:$M$451,MATCH($O82&amp;"|"&amp;$S82&amp;"|"&amp;$AH82,'ASIGNACIONES'!$N$4:$N$451,0)),0)-$AJ82)</f>
        <v/>
      </c>
      <c r="AL82" s="32">
        <f>IF($A82="","",IFERROR(INDEX('2_IMPORTAR_EJECUCION'!$F$9:$F$1208,MATCH($AU82,'2_IMPORTAR_EJECUCION'!$J$9:$J$1208,0)),0))</f>
        <v/>
      </c>
      <c r="AM82" s="32">
        <f>IF($A82="","",MAX(0,IFERROR(INDEX('2_IMPORTAR_EJECUCION'!$H$9:$H$1208,MATCH($AU82,'2_IMPORTAR_EJECUCION'!$J$9:$J$1208,0)),0)-$AL82))</f>
        <v/>
      </c>
      <c r="AN82" s="32">
        <f>IF($A82="","",$AL82+$AM82)</f>
        <v/>
      </c>
      <c r="AO82" s="24">
        <f>IF($A82="","",IF(OR((IFERROR(INDEX('CAT_ACTIVIDADES'!$D$4:$D$26,MATCH($H82,'CAT_ACTIVIDADES'!$A$4:$A$26,0)),""))=0,(IFERROR(INDEX('CAT_ACTIVIDADES'!$D$4:$D$26,MATCH($H82,'CAT_ACTIVIDADES'!$A$4:$A$26,0)),""))=""),"SIN CLASIFICAR",IFERROR(INDEX('CAT_ACTIVIDADES'!$D$4:$D$26,MATCH($H82,'CAT_ACTIVIDADES'!$A$4:$A$26,0)),"")))</f>
        <v/>
      </c>
      <c r="AP82" s="4" t="n"/>
      <c r="AQ82" s="4" t="n"/>
      <c r="AR82" s="4" t="n"/>
      <c r="AS82" s="24">
        <f>IF($AR82="","",HYPERLINK(p_ruta_base_checklists&amp;$AR82,"abrir"))</f>
        <v/>
      </c>
      <c r="AT82" s="4" t="n"/>
      <c r="AU82" s="24">
        <f>IF($A82="","",$A82&amp;IF($B82="","0010",$B82))</f>
        <v/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41" t="n"/>
      <c r="K83" s="5" t="n"/>
      <c r="L83" s="18" t="n"/>
      <c r="M83" s="24">
        <f>IF($A83="","",IFERROR(INDEX('AJUSTES'!$B$4:$B$303,MATCH($AU83,'AJUSTES'!$A$4:$A$303,0)),IF($K83="","",$K83)))</f>
        <v/>
      </c>
      <c r="N83" s="24">
        <f>IF($A83="","",IFERROR(INDEX('CAT_ESTADOS_ERP'!$B$4:$B$22,MATCH(IFERROR(INDEX('2_IMPORTAR_EJECUCION'!$C$9:$C$1208,MATCH($AU83,'2_IMPORTAR_EJECUCION'!$J$9:$J$1208,0)),""),'CAT_ESTADOS_ERP'!$A$4:$A$22,0)),"Pendiente"))</f>
        <v/>
      </c>
      <c r="O83" s="24">
        <f>IF($J83="","",YEAR($J83+4-WEEKDAY($J83,2))&amp;"-S"&amp;TEXT(_xlfn.ISOWEEKNUM($J83),"00"))</f>
        <v/>
      </c>
      <c r="P83" s="24">
        <f>IF($J83="","",YEAR($J83))</f>
        <v/>
      </c>
      <c r="Q83" s="24">
        <f>IF($J83="","",MONTH($J83))</f>
        <v/>
      </c>
      <c r="R83" s="24">
        <f>IF($J83="","",$P83&amp;"-"&amp;TEXT($Q83,"00"))</f>
        <v/>
      </c>
      <c r="S83" s="24">
        <f>IF($J83="","",INDEX(lista_dias,WEEKDAY($J83,2)))</f>
        <v/>
      </c>
      <c r="T83" s="24">
        <f>IF($J83="","",IFERROR(INDEX('CALENDARIO'!$C$15:$C$214,MATCH(TEXT($J83,"yyyy-mm-dd")&amp;"|"&amp;$Y83&amp;"|"&amp;$Z83,'CALENDARIO'!$G$15:$G$214,0)),IFERROR(INDEX('CALENDARIO'!$C$15:$C$214,MATCH(TEXT($J83,"yyyy-mm-dd")&amp;"|"&amp;$Y83&amp;"|",'CALENDARIO'!$G$15:$G$214,0)),IFERROR(INDEX('CALENDARIO'!$C$15:$C$214,MATCH(TEXT($J83,"yyyy-mm-dd")&amp;"||",'CALENDARIO'!$G$15:$G$214,0)),INDEX(patronHabil,WEEKDAY($J83,2))))))</f>
        <v/>
      </c>
      <c r="U83" s="24">
        <f>IF($I83="","",IFERROR(INDEX('CAT_TIPOS_OT'!$C$4:$C$23,MATCH($I83,'CAT_TIPOS_OT'!$A$4:$A$23,0)),"sin_clasificar"))</f>
        <v/>
      </c>
      <c r="V83" s="24">
        <f>IF($I83="","",IF(IFERROR(INDEX('CAT_TIPOS_OT'!$D$4:$D$23,MATCH($I83,'CAT_TIPOS_OT'!$A$4:$A$23,0)),"SIN CLASIFICAR")="","SIN CLASIFICAR",IFERROR(INDEX('CAT_TIPOS_OT'!$D$4:$D$23,MATCH($I83,'CAT_TIPOS_OT'!$A$4:$A$23,0)),"SIN CLASIFICAR")))</f>
        <v/>
      </c>
      <c r="W83" s="24">
        <f>IF($H83="","",IF(IFERROR(INDEX('CAT_ACTIVIDADES'!$F$4:$F$26,MATCH($H83,'CAT_ACTIVIDADES'!$A$4:$A$26,0)),"")=0,"",IFERROR(INDEX('CAT_ACTIVIDADES'!$F$4:$F$26,MATCH($H83,'CAT_ACTIVIDADES'!$A$4:$A$26,0)),"")))</f>
        <v/>
      </c>
      <c r="X83" s="24">
        <f>IF($F83="","",IFERROR(INDEX('CAT_CENTROS_COSTO'!$F$4:$F$28,MATCH($F83,'CAT_CENTROS_COSTO'!$A$4:$A$28,0)),"(sin catálogo)"))</f>
        <v/>
      </c>
      <c r="Y83" s="24">
        <f>IF($F83="","",IFERROR(INDEX('CAT_CENTROS_COSTO'!$D$4:$D$28,MATCH($F83,'CAT_CENTROS_COSTO'!$A$4:$A$28,0)),"(sin catálogo)"))</f>
        <v/>
      </c>
      <c r="Z83" s="24">
        <f>IF($F83="","",IF((IFERROR(INDEX('CAT_CENTROS_COSTO'!$E$4:$E$28,MATCH($F83,'CAT_CENTROS_COSTO'!$A$4:$A$28,0)),""))&lt;&gt;"",IFERROR(INDEX('CAT_CENTROS_COSTO'!$E$4:$E$28,MATCH($F83,'CAT_CENTROS_COSTO'!$A$4:$A$28,0)),""),$Y83))</f>
        <v/>
      </c>
      <c r="AA83" s="24">
        <f>IF($F83="","",IFERROR(INDEX('CAT_CENTROS_COSTO'!$G$4:$G$28,MATCH($F83,'CAT_CENTROS_COSTO'!$A$4:$A$28,0)),"(sin catálogo)"))</f>
        <v/>
      </c>
      <c r="AB83" s="24">
        <f>IF($G83="","",IFERROR(INDEX('CAT_PUESTOS'!$B$4:$B$23,MATCH($G83,'CAT_PUESTOS'!$A$4:$A$23,0)),"(sin catálogo)"))</f>
        <v/>
      </c>
      <c r="AC83" s="24">
        <f>IF($H83="","",IFERROR(INDEX('CAT_ACTIVIDADES'!$B$4:$B$26,MATCH($H83,'CAT_ACTIVIDADES'!$A$4:$A$26,0)),"(sin catálogo)"))</f>
        <v/>
      </c>
      <c r="AD83" s="26">
        <f>IF($J83="","",TODAY()-$J83)</f>
        <v/>
      </c>
      <c r="AE83" s="26">
        <f>IF($J83="","",IF($J83&lt;=TODAY(),COUNTIFS(cal_fechas,"&gt;="&amp;$J83,cal_fechas,"&lt;"&amp;TODAY(),cal_habil,"sí"),-COUNTIFS(cal_fechas,"&gt;="&amp;TODAY(),cal_fechas,"&lt;"&amp;$J83,cal_habil,"sí")))</f>
        <v/>
      </c>
      <c r="AF83" s="24">
        <f>IF($AE83="","",IF($AE83&lt;0,"FUTURO",IF($AE83&gt;p_dias_backlog_max,"BACKLOG","MES CORRIENTE")))</f>
        <v/>
      </c>
      <c r="AG83" s="24">
        <f>IF($AE83="",FALSE,AND($AE83&gt;p_dias_backlog_min,$AE83&lt;=p_dias_backlog_max))</f>
        <v/>
      </c>
      <c r="AH83" s="4" t="n"/>
      <c r="AI83" s="24">
        <f>IF($AH83="","",IF((IFERROR(INDEX('ASIGNACIONES'!$J$4:$J$451,MATCH($O83&amp;"|"&amp;$S83&amp;"|"&amp;$AH83,'ASIGNACIONES'!$N$4:$N$451,0)),""))=0,"",IFERROR(INDEX('ASIGNACIONES'!$J$4:$J$451,MATCH($O83&amp;"|"&amp;$S83&amp;"|"&amp;$AH83,'ASIGNACIONES'!$N$4:$N$451,0)),"")))</f>
        <v/>
      </c>
      <c r="AJ83" s="42">
        <f>IF($AH83="","",SUMIFS('ORDENES'!$M$4:$M$1203,'ORDENES'!$AH$4:$AH$1203,$AH83,'ORDENES'!$O$4:$O$1203,$O83,'ORDENES'!$S$4:$S$1203,$S83))</f>
        <v/>
      </c>
      <c r="AK83" s="42">
        <f>IF($AJ83="","",p_factor_productividad*IFERROR(INDEX('ASIGNACIONES'!$M$4:$M$451,MATCH($O83&amp;"|"&amp;$S83&amp;"|"&amp;$AH83,'ASIGNACIONES'!$N$4:$N$451,0)),0)-$AJ83)</f>
        <v/>
      </c>
      <c r="AL83" s="32">
        <f>IF($A83="","",IFERROR(INDEX('2_IMPORTAR_EJECUCION'!$F$9:$F$1208,MATCH($AU83,'2_IMPORTAR_EJECUCION'!$J$9:$J$1208,0)),0))</f>
        <v/>
      </c>
      <c r="AM83" s="32">
        <f>IF($A83="","",MAX(0,IFERROR(INDEX('2_IMPORTAR_EJECUCION'!$H$9:$H$1208,MATCH($AU83,'2_IMPORTAR_EJECUCION'!$J$9:$J$1208,0)),0)-$AL83))</f>
        <v/>
      </c>
      <c r="AN83" s="32">
        <f>IF($A83="","",$AL83+$AM83)</f>
        <v/>
      </c>
      <c r="AO83" s="24">
        <f>IF($A83="","",IF(OR((IFERROR(INDEX('CAT_ACTIVIDADES'!$D$4:$D$26,MATCH($H83,'CAT_ACTIVIDADES'!$A$4:$A$26,0)),""))=0,(IFERROR(INDEX('CAT_ACTIVIDADES'!$D$4:$D$26,MATCH($H83,'CAT_ACTIVIDADES'!$A$4:$A$26,0)),""))=""),"SIN CLASIFICAR",IFERROR(INDEX('CAT_ACTIVIDADES'!$D$4:$D$26,MATCH($H83,'CAT_ACTIVIDADES'!$A$4:$A$26,0)),"")))</f>
        <v/>
      </c>
      <c r="AP83" s="4" t="n"/>
      <c r="AQ83" s="4" t="n"/>
      <c r="AR83" s="4" t="n"/>
      <c r="AS83" s="24">
        <f>IF($AR83="","",HYPERLINK(p_ruta_base_checklists&amp;$AR83,"abrir"))</f>
        <v/>
      </c>
      <c r="AT83" s="4" t="n"/>
      <c r="AU83" s="24">
        <f>IF($A83="","",$A83&amp;IF($B83="","0010",$B83))</f>
        <v/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41" t="n"/>
      <c r="K84" s="5" t="n"/>
      <c r="L84" s="18" t="n"/>
      <c r="M84" s="24">
        <f>IF($A84="","",IFERROR(INDEX('AJUSTES'!$B$4:$B$303,MATCH($AU84,'AJUSTES'!$A$4:$A$303,0)),IF($K84="","",$K84)))</f>
        <v/>
      </c>
      <c r="N84" s="24">
        <f>IF($A84="","",IFERROR(INDEX('CAT_ESTADOS_ERP'!$B$4:$B$22,MATCH(IFERROR(INDEX('2_IMPORTAR_EJECUCION'!$C$9:$C$1208,MATCH($AU84,'2_IMPORTAR_EJECUCION'!$J$9:$J$1208,0)),""),'CAT_ESTADOS_ERP'!$A$4:$A$22,0)),"Pendiente"))</f>
        <v/>
      </c>
      <c r="O84" s="24">
        <f>IF($J84="","",YEAR($J84+4-WEEKDAY($J84,2))&amp;"-S"&amp;TEXT(_xlfn.ISOWEEKNUM($J84),"00"))</f>
        <v/>
      </c>
      <c r="P84" s="24">
        <f>IF($J84="","",YEAR($J84))</f>
        <v/>
      </c>
      <c r="Q84" s="24">
        <f>IF($J84="","",MONTH($J84))</f>
        <v/>
      </c>
      <c r="R84" s="24">
        <f>IF($J84="","",$P84&amp;"-"&amp;TEXT($Q84,"00"))</f>
        <v/>
      </c>
      <c r="S84" s="24">
        <f>IF($J84="","",INDEX(lista_dias,WEEKDAY($J84,2)))</f>
        <v/>
      </c>
      <c r="T84" s="24">
        <f>IF($J84="","",IFERROR(INDEX('CALENDARIO'!$C$15:$C$214,MATCH(TEXT($J84,"yyyy-mm-dd")&amp;"|"&amp;$Y84&amp;"|"&amp;$Z84,'CALENDARIO'!$G$15:$G$214,0)),IFERROR(INDEX('CALENDARIO'!$C$15:$C$214,MATCH(TEXT($J84,"yyyy-mm-dd")&amp;"|"&amp;$Y84&amp;"|",'CALENDARIO'!$G$15:$G$214,0)),IFERROR(INDEX('CALENDARIO'!$C$15:$C$214,MATCH(TEXT($J84,"yyyy-mm-dd")&amp;"||",'CALENDARIO'!$G$15:$G$214,0)),INDEX(patronHabil,WEEKDAY($J84,2))))))</f>
        <v/>
      </c>
      <c r="U84" s="24">
        <f>IF($I84="","",IFERROR(INDEX('CAT_TIPOS_OT'!$C$4:$C$23,MATCH($I84,'CAT_TIPOS_OT'!$A$4:$A$23,0)),"sin_clasificar"))</f>
        <v/>
      </c>
      <c r="V84" s="24">
        <f>IF($I84="","",IF(IFERROR(INDEX('CAT_TIPOS_OT'!$D$4:$D$23,MATCH($I84,'CAT_TIPOS_OT'!$A$4:$A$23,0)),"SIN CLASIFICAR")="","SIN CLASIFICAR",IFERROR(INDEX('CAT_TIPOS_OT'!$D$4:$D$23,MATCH($I84,'CAT_TIPOS_OT'!$A$4:$A$23,0)),"SIN CLASIFICAR")))</f>
        <v/>
      </c>
      <c r="W84" s="24">
        <f>IF($H84="","",IF(IFERROR(INDEX('CAT_ACTIVIDADES'!$F$4:$F$26,MATCH($H84,'CAT_ACTIVIDADES'!$A$4:$A$26,0)),"")=0,"",IFERROR(INDEX('CAT_ACTIVIDADES'!$F$4:$F$26,MATCH($H84,'CAT_ACTIVIDADES'!$A$4:$A$26,0)),"")))</f>
        <v/>
      </c>
      <c r="X84" s="24">
        <f>IF($F84="","",IFERROR(INDEX('CAT_CENTROS_COSTO'!$F$4:$F$28,MATCH($F84,'CAT_CENTROS_COSTO'!$A$4:$A$28,0)),"(sin catálogo)"))</f>
        <v/>
      </c>
      <c r="Y84" s="24">
        <f>IF($F84="","",IFERROR(INDEX('CAT_CENTROS_COSTO'!$D$4:$D$28,MATCH($F84,'CAT_CENTROS_COSTO'!$A$4:$A$28,0)),"(sin catálogo)"))</f>
        <v/>
      </c>
      <c r="Z84" s="24">
        <f>IF($F84="","",IF((IFERROR(INDEX('CAT_CENTROS_COSTO'!$E$4:$E$28,MATCH($F84,'CAT_CENTROS_COSTO'!$A$4:$A$28,0)),""))&lt;&gt;"",IFERROR(INDEX('CAT_CENTROS_COSTO'!$E$4:$E$28,MATCH($F84,'CAT_CENTROS_COSTO'!$A$4:$A$28,0)),""),$Y84))</f>
        <v/>
      </c>
      <c r="AA84" s="24">
        <f>IF($F84="","",IFERROR(INDEX('CAT_CENTROS_COSTO'!$G$4:$G$28,MATCH($F84,'CAT_CENTROS_COSTO'!$A$4:$A$28,0)),"(sin catálogo)"))</f>
        <v/>
      </c>
      <c r="AB84" s="24">
        <f>IF($G84="","",IFERROR(INDEX('CAT_PUESTOS'!$B$4:$B$23,MATCH($G84,'CAT_PUESTOS'!$A$4:$A$23,0)),"(sin catálogo)"))</f>
        <v/>
      </c>
      <c r="AC84" s="24">
        <f>IF($H84="","",IFERROR(INDEX('CAT_ACTIVIDADES'!$B$4:$B$26,MATCH($H84,'CAT_ACTIVIDADES'!$A$4:$A$26,0)),"(sin catálogo)"))</f>
        <v/>
      </c>
      <c r="AD84" s="26">
        <f>IF($J84="","",TODAY()-$J84)</f>
        <v/>
      </c>
      <c r="AE84" s="26">
        <f>IF($J84="","",IF($J84&lt;=TODAY(),COUNTIFS(cal_fechas,"&gt;="&amp;$J84,cal_fechas,"&lt;"&amp;TODAY(),cal_habil,"sí"),-COUNTIFS(cal_fechas,"&gt;="&amp;TODAY(),cal_fechas,"&lt;"&amp;$J84,cal_habil,"sí")))</f>
        <v/>
      </c>
      <c r="AF84" s="24">
        <f>IF($AE84="","",IF($AE84&lt;0,"FUTURO",IF($AE84&gt;p_dias_backlog_max,"BACKLOG","MES CORRIENTE")))</f>
        <v/>
      </c>
      <c r="AG84" s="24">
        <f>IF($AE84="",FALSE,AND($AE84&gt;p_dias_backlog_min,$AE84&lt;=p_dias_backlog_max))</f>
        <v/>
      </c>
      <c r="AH84" s="4" t="n"/>
      <c r="AI84" s="24">
        <f>IF($AH84="","",IF((IFERROR(INDEX('ASIGNACIONES'!$J$4:$J$451,MATCH($O84&amp;"|"&amp;$S84&amp;"|"&amp;$AH84,'ASIGNACIONES'!$N$4:$N$451,0)),""))=0,"",IFERROR(INDEX('ASIGNACIONES'!$J$4:$J$451,MATCH($O84&amp;"|"&amp;$S84&amp;"|"&amp;$AH84,'ASIGNACIONES'!$N$4:$N$451,0)),"")))</f>
        <v/>
      </c>
      <c r="AJ84" s="42">
        <f>IF($AH84="","",SUMIFS('ORDENES'!$M$4:$M$1203,'ORDENES'!$AH$4:$AH$1203,$AH84,'ORDENES'!$O$4:$O$1203,$O84,'ORDENES'!$S$4:$S$1203,$S84))</f>
        <v/>
      </c>
      <c r="AK84" s="42">
        <f>IF($AJ84="","",p_factor_productividad*IFERROR(INDEX('ASIGNACIONES'!$M$4:$M$451,MATCH($O84&amp;"|"&amp;$S84&amp;"|"&amp;$AH84,'ASIGNACIONES'!$N$4:$N$451,0)),0)-$AJ84)</f>
        <v/>
      </c>
      <c r="AL84" s="32">
        <f>IF($A84="","",IFERROR(INDEX('2_IMPORTAR_EJECUCION'!$F$9:$F$1208,MATCH($AU84,'2_IMPORTAR_EJECUCION'!$J$9:$J$1208,0)),0))</f>
        <v/>
      </c>
      <c r="AM84" s="32">
        <f>IF($A84="","",MAX(0,IFERROR(INDEX('2_IMPORTAR_EJECUCION'!$H$9:$H$1208,MATCH($AU84,'2_IMPORTAR_EJECUCION'!$J$9:$J$1208,0)),0)-$AL84))</f>
        <v/>
      </c>
      <c r="AN84" s="32">
        <f>IF($A84="","",$AL84+$AM84)</f>
        <v/>
      </c>
      <c r="AO84" s="24">
        <f>IF($A84="","",IF(OR((IFERROR(INDEX('CAT_ACTIVIDADES'!$D$4:$D$26,MATCH($H84,'CAT_ACTIVIDADES'!$A$4:$A$26,0)),""))=0,(IFERROR(INDEX('CAT_ACTIVIDADES'!$D$4:$D$26,MATCH($H84,'CAT_ACTIVIDADES'!$A$4:$A$26,0)),""))=""),"SIN CLASIFICAR",IFERROR(INDEX('CAT_ACTIVIDADES'!$D$4:$D$26,MATCH($H84,'CAT_ACTIVIDADES'!$A$4:$A$26,0)),"")))</f>
        <v/>
      </c>
      <c r="AP84" s="4" t="n"/>
      <c r="AQ84" s="4" t="n"/>
      <c r="AR84" s="4" t="n"/>
      <c r="AS84" s="24">
        <f>IF($AR84="","",HYPERLINK(p_ruta_base_checklists&amp;$AR84,"abrir"))</f>
        <v/>
      </c>
      <c r="AT84" s="4" t="n"/>
      <c r="AU84" s="24">
        <f>IF($A84="","",$A84&amp;IF($B84="","0010",$B84))</f>
        <v/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41" t="n"/>
      <c r="K85" s="5" t="n"/>
      <c r="L85" s="18" t="n"/>
      <c r="M85" s="24">
        <f>IF($A85="","",IFERROR(INDEX('AJUSTES'!$B$4:$B$303,MATCH($AU85,'AJUSTES'!$A$4:$A$303,0)),IF($K85="","",$K85)))</f>
        <v/>
      </c>
      <c r="N85" s="24">
        <f>IF($A85="","",IFERROR(INDEX('CAT_ESTADOS_ERP'!$B$4:$B$22,MATCH(IFERROR(INDEX('2_IMPORTAR_EJECUCION'!$C$9:$C$1208,MATCH($AU85,'2_IMPORTAR_EJECUCION'!$J$9:$J$1208,0)),""),'CAT_ESTADOS_ERP'!$A$4:$A$22,0)),"Pendiente"))</f>
        <v/>
      </c>
      <c r="O85" s="24">
        <f>IF($J85="","",YEAR($J85+4-WEEKDAY($J85,2))&amp;"-S"&amp;TEXT(_xlfn.ISOWEEKNUM($J85),"00"))</f>
        <v/>
      </c>
      <c r="P85" s="24">
        <f>IF($J85="","",YEAR($J85))</f>
        <v/>
      </c>
      <c r="Q85" s="24">
        <f>IF($J85="","",MONTH($J85))</f>
        <v/>
      </c>
      <c r="R85" s="24">
        <f>IF($J85="","",$P85&amp;"-"&amp;TEXT($Q85,"00"))</f>
        <v/>
      </c>
      <c r="S85" s="24">
        <f>IF($J85="","",INDEX(lista_dias,WEEKDAY($J85,2)))</f>
        <v/>
      </c>
      <c r="T85" s="24">
        <f>IF($J85="","",IFERROR(INDEX('CALENDARIO'!$C$15:$C$214,MATCH(TEXT($J85,"yyyy-mm-dd")&amp;"|"&amp;$Y85&amp;"|"&amp;$Z85,'CALENDARIO'!$G$15:$G$214,0)),IFERROR(INDEX('CALENDARIO'!$C$15:$C$214,MATCH(TEXT($J85,"yyyy-mm-dd")&amp;"|"&amp;$Y85&amp;"|",'CALENDARIO'!$G$15:$G$214,0)),IFERROR(INDEX('CALENDARIO'!$C$15:$C$214,MATCH(TEXT($J85,"yyyy-mm-dd")&amp;"||",'CALENDARIO'!$G$15:$G$214,0)),INDEX(patronHabil,WEEKDAY($J85,2))))))</f>
        <v/>
      </c>
      <c r="U85" s="24">
        <f>IF($I85="","",IFERROR(INDEX('CAT_TIPOS_OT'!$C$4:$C$23,MATCH($I85,'CAT_TIPOS_OT'!$A$4:$A$23,0)),"sin_clasificar"))</f>
        <v/>
      </c>
      <c r="V85" s="24">
        <f>IF($I85="","",IF(IFERROR(INDEX('CAT_TIPOS_OT'!$D$4:$D$23,MATCH($I85,'CAT_TIPOS_OT'!$A$4:$A$23,0)),"SIN CLASIFICAR")="","SIN CLASIFICAR",IFERROR(INDEX('CAT_TIPOS_OT'!$D$4:$D$23,MATCH($I85,'CAT_TIPOS_OT'!$A$4:$A$23,0)),"SIN CLASIFICAR")))</f>
        <v/>
      </c>
      <c r="W85" s="24">
        <f>IF($H85="","",IF(IFERROR(INDEX('CAT_ACTIVIDADES'!$F$4:$F$26,MATCH($H85,'CAT_ACTIVIDADES'!$A$4:$A$26,0)),"")=0,"",IFERROR(INDEX('CAT_ACTIVIDADES'!$F$4:$F$26,MATCH($H85,'CAT_ACTIVIDADES'!$A$4:$A$26,0)),"")))</f>
        <v/>
      </c>
      <c r="X85" s="24">
        <f>IF($F85="","",IFERROR(INDEX('CAT_CENTROS_COSTO'!$F$4:$F$28,MATCH($F85,'CAT_CENTROS_COSTO'!$A$4:$A$28,0)),"(sin catálogo)"))</f>
        <v/>
      </c>
      <c r="Y85" s="24">
        <f>IF($F85="","",IFERROR(INDEX('CAT_CENTROS_COSTO'!$D$4:$D$28,MATCH($F85,'CAT_CENTROS_COSTO'!$A$4:$A$28,0)),"(sin catálogo)"))</f>
        <v/>
      </c>
      <c r="Z85" s="24">
        <f>IF($F85="","",IF((IFERROR(INDEX('CAT_CENTROS_COSTO'!$E$4:$E$28,MATCH($F85,'CAT_CENTROS_COSTO'!$A$4:$A$28,0)),""))&lt;&gt;"",IFERROR(INDEX('CAT_CENTROS_COSTO'!$E$4:$E$28,MATCH($F85,'CAT_CENTROS_COSTO'!$A$4:$A$28,0)),""),$Y85))</f>
        <v/>
      </c>
      <c r="AA85" s="24">
        <f>IF($F85="","",IFERROR(INDEX('CAT_CENTROS_COSTO'!$G$4:$G$28,MATCH($F85,'CAT_CENTROS_COSTO'!$A$4:$A$28,0)),"(sin catálogo)"))</f>
        <v/>
      </c>
      <c r="AB85" s="24">
        <f>IF($G85="","",IFERROR(INDEX('CAT_PUESTOS'!$B$4:$B$23,MATCH($G85,'CAT_PUESTOS'!$A$4:$A$23,0)),"(sin catálogo)"))</f>
        <v/>
      </c>
      <c r="AC85" s="24">
        <f>IF($H85="","",IFERROR(INDEX('CAT_ACTIVIDADES'!$B$4:$B$26,MATCH($H85,'CAT_ACTIVIDADES'!$A$4:$A$26,0)),"(sin catálogo)"))</f>
        <v/>
      </c>
      <c r="AD85" s="26">
        <f>IF($J85="","",TODAY()-$J85)</f>
        <v/>
      </c>
      <c r="AE85" s="26">
        <f>IF($J85="","",IF($J85&lt;=TODAY(),COUNTIFS(cal_fechas,"&gt;="&amp;$J85,cal_fechas,"&lt;"&amp;TODAY(),cal_habil,"sí"),-COUNTIFS(cal_fechas,"&gt;="&amp;TODAY(),cal_fechas,"&lt;"&amp;$J85,cal_habil,"sí")))</f>
        <v/>
      </c>
      <c r="AF85" s="24">
        <f>IF($AE85="","",IF($AE85&lt;0,"FUTURO",IF($AE85&gt;p_dias_backlog_max,"BACKLOG","MES CORRIENTE")))</f>
        <v/>
      </c>
      <c r="AG85" s="24">
        <f>IF($AE85="",FALSE,AND($AE85&gt;p_dias_backlog_min,$AE85&lt;=p_dias_backlog_max))</f>
        <v/>
      </c>
      <c r="AH85" s="4" t="n"/>
      <c r="AI85" s="24">
        <f>IF($AH85="","",IF((IFERROR(INDEX('ASIGNACIONES'!$J$4:$J$451,MATCH($O85&amp;"|"&amp;$S85&amp;"|"&amp;$AH85,'ASIGNACIONES'!$N$4:$N$451,0)),""))=0,"",IFERROR(INDEX('ASIGNACIONES'!$J$4:$J$451,MATCH($O85&amp;"|"&amp;$S85&amp;"|"&amp;$AH85,'ASIGNACIONES'!$N$4:$N$451,0)),"")))</f>
        <v/>
      </c>
      <c r="AJ85" s="42">
        <f>IF($AH85="","",SUMIFS('ORDENES'!$M$4:$M$1203,'ORDENES'!$AH$4:$AH$1203,$AH85,'ORDENES'!$O$4:$O$1203,$O85,'ORDENES'!$S$4:$S$1203,$S85))</f>
        <v/>
      </c>
      <c r="AK85" s="42">
        <f>IF($AJ85="","",p_factor_productividad*IFERROR(INDEX('ASIGNACIONES'!$M$4:$M$451,MATCH($O85&amp;"|"&amp;$S85&amp;"|"&amp;$AH85,'ASIGNACIONES'!$N$4:$N$451,0)),0)-$AJ85)</f>
        <v/>
      </c>
      <c r="AL85" s="32">
        <f>IF($A85="","",IFERROR(INDEX('2_IMPORTAR_EJECUCION'!$F$9:$F$1208,MATCH($AU85,'2_IMPORTAR_EJECUCION'!$J$9:$J$1208,0)),0))</f>
        <v/>
      </c>
      <c r="AM85" s="32">
        <f>IF($A85="","",MAX(0,IFERROR(INDEX('2_IMPORTAR_EJECUCION'!$H$9:$H$1208,MATCH($AU85,'2_IMPORTAR_EJECUCION'!$J$9:$J$1208,0)),0)-$AL85))</f>
        <v/>
      </c>
      <c r="AN85" s="32">
        <f>IF($A85="","",$AL85+$AM85)</f>
        <v/>
      </c>
      <c r="AO85" s="24">
        <f>IF($A85="","",IF(OR((IFERROR(INDEX('CAT_ACTIVIDADES'!$D$4:$D$26,MATCH($H85,'CAT_ACTIVIDADES'!$A$4:$A$26,0)),""))=0,(IFERROR(INDEX('CAT_ACTIVIDADES'!$D$4:$D$26,MATCH($H85,'CAT_ACTIVIDADES'!$A$4:$A$26,0)),""))=""),"SIN CLASIFICAR",IFERROR(INDEX('CAT_ACTIVIDADES'!$D$4:$D$26,MATCH($H85,'CAT_ACTIVIDADES'!$A$4:$A$26,0)),"")))</f>
        <v/>
      </c>
      <c r="AP85" s="4" t="n"/>
      <c r="AQ85" s="4" t="n"/>
      <c r="AR85" s="4" t="n"/>
      <c r="AS85" s="24">
        <f>IF($AR85="","",HYPERLINK(p_ruta_base_checklists&amp;$AR85,"abrir"))</f>
        <v/>
      </c>
      <c r="AT85" s="4" t="n"/>
      <c r="AU85" s="24">
        <f>IF($A85="","",$A85&amp;IF($B85="","0010",$B85))</f>
        <v/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41" t="n"/>
      <c r="K86" s="5" t="n"/>
      <c r="L86" s="18" t="n"/>
      <c r="M86" s="24">
        <f>IF($A86="","",IFERROR(INDEX('AJUSTES'!$B$4:$B$303,MATCH($AU86,'AJUSTES'!$A$4:$A$303,0)),IF($K86="","",$K86)))</f>
        <v/>
      </c>
      <c r="N86" s="24">
        <f>IF($A86="","",IFERROR(INDEX('CAT_ESTADOS_ERP'!$B$4:$B$22,MATCH(IFERROR(INDEX('2_IMPORTAR_EJECUCION'!$C$9:$C$1208,MATCH($AU86,'2_IMPORTAR_EJECUCION'!$J$9:$J$1208,0)),""),'CAT_ESTADOS_ERP'!$A$4:$A$22,0)),"Pendiente"))</f>
        <v/>
      </c>
      <c r="O86" s="24">
        <f>IF($J86="","",YEAR($J86+4-WEEKDAY($J86,2))&amp;"-S"&amp;TEXT(_xlfn.ISOWEEKNUM($J86),"00"))</f>
        <v/>
      </c>
      <c r="P86" s="24">
        <f>IF($J86="","",YEAR($J86))</f>
        <v/>
      </c>
      <c r="Q86" s="24">
        <f>IF($J86="","",MONTH($J86))</f>
        <v/>
      </c>
      <c r="R86" s="24">
        <f>IF($J86="","",$P86&amp;"-"&amp;TEXT($Q86,"00"))</f>
        <v/>
      </c>
      <c r="S86" s="24">
        <f>IF($J86="","",INDEX(lista_dias,WEEKDAY($J86,2)))</f>
        <v/>
      </c>
      <c r="T86" s="24">
        <f>IF($J86="","",IFERROR(INDEX('CALENDARIO'!$C$15:$C$214,MATCH(TEXT($J86,"yyyy-mm-dd")&amp;"|"&amp;$Y86&amp;"|"&amp;$Z86,'CALENDARIO'!$G$15:$G$214,0)),IFERROR(INDEX('CALENDARIO'!$C$15:$C$214,MATCH(TEXT($J86,"yyyy-mm-dd")&amp;"|"&amp;$Y86&amp;"|",'CALENDARIO'!$G$15:$G$214,0)),IFERROR(INDEX('CALENDARIO'!$C$15:$C$214,MATCH(TEXT($J86,"yyyy-mm-dd")&amp;"||",'CALENDARIO'!$G$15:$G$214,0)),INDEX(patronHabil,WEEKDAY($J86,2))))))</f>
        <v/>
      </c>
      <c r="U86" s="24">
        <f>IF($I86="","",IFERROR(INDEX('CAT_TIPOS_OT'!$C$4:$C$23,MATCH($I86,'CAT_TIPOS_OT'!$A$4:$A$23,0)),"sin_clasificar"))</f>
        <v/>
      </c>
      <c r="V86" s="24">
        <f>IF($I86="","",IF(IFERROR(INDEX('CAT_TIPOS_OT'!$D$4:$D$23,MATCH($I86,'CAT_TIPOS_OT'!$A$4:$A$23,0)),"SIN CLASIFICAR")="","SIN CLASIFICAR",IFERROR(INDEX('CAT_TIPOS_OT'!$D$4:$D$23,MATCH($I86,'CAT_TIPOS_OT'!$A$4:$A$23,0)),"SIN CLASIFICAR")))</f>
        <v/>
      </c>
      <c r="W86" s="24">
        <f>IF($H86="","",IF(IFERROR(INDEX('CAT_ACTIVIDADES'!$F$4:$F$26,MATCH($H86,'CAT_ACTIVIDADES'!$A$4:$A$26,0)),"")=0,"",IFERROR(INDEX('CAT_ACTIVIDADES'!$F$4:$F$26,MATCH($H86,'CAT_ACTIVIDADES'!$A$4:$A$26,0)),"")))</f>
        <v/>
      </c>
      <c r="X86" s="24">
        <f>IF($F86="","",IFERROR(INDEX('CAT_CENTROS_COSTO'!$F$4:$F$28,MATCH($F86,'CAT_CENTROS_COSTO'!$A$4:$A$28,0)),"(sin catálogo)"))</f>
        <v/>
      </c>
      <c r="Y86" s="24">
        <f>IF($F86="","",IFERROR(INDEX('CAT_CENTROS_COSTO'!$D$4:$D$28,MATCH($F86,'CAT_CENTROS_COSTO'!$A$4:$A$28,0)),"(sin catálogo)"))</f>
        <v/>
      </c>
      <c r="Z86" s="24">
        <f>IF($F86="","",IF((IFERROR(INDEX('CAT_CENTROS_COSTO'!$E$4:$E$28,MATCH($F86,'CAT_CENTROS_COSTO'!$A$4:$A$28,0)),""))&lt;&gt;"",IFERROR(INDEX('CAT_CENTROS_COSTO'!$E$4:$E$28,MATCH($F86,'CAT_CENTROS_COSTO'!$A$4:$A$28,0)),""),$Y86))</f>
        <v/>
      </c>
      <c r="AA86" s="24">
        <f>IF($F86="","",IFERROR(INDEX('CAT_CENTROS_COSTO'!$G$4:$G$28,MATCH($F86,'CAT_CENTROS_COSTO'!$A$4:$A$28,0)),"(sin catálogo)"))</f>
        <v/>
      </c>
      <c r="AB86" s="24">
        <f>IF($G86="","",IFERROR(INDEX('CAT_PUESTOS'!$B$4:$B$23,MATCH($G86,'CAT_PUESTOS'!$A$4:$A$23,0)),"(sin catálogo)"))</f>
        <v/>
      </c>
      <c r="AC86" s="24">
        <f>IF($H86="","",IFERROR(INDEX('CAT_ACTIVIDADES'!$B$4:$B$26,MATCH($H86,'CAT_ACTIVIDADES'!$A$4:$A$26,0)),"(sin catálogo)"))</f>
        <v/>
      </c>
      <c r="AD86" s="26">
        <f>IF($J86="","",TODAY()-$J86)</f>
        <v/>
      </c>
      <c r="AE86" s="26">
        <f>IF($J86="","",IF($J86&lt;=TODAY(),COUNTIFS(cal_fechas,"&gt;="&amp;$J86,cal_fechas,"&lt;"&amp;TODAY(),cal_habil,"sí"),-COUNTIFS(cal_fechas,"&gt;="&amp;TODAY(),cal_fechas,"&lt;"&amp;$J86,cal_habil,"sí")))</f>
        <v/>
      </c>
      <c r="AF86" s="24">
        <f>IF($AE86="","",IF($AE86&lt;0,"FUTURO",IF($AE86&gt;p_dias_backlog_max,"BACKLOG","MES CORRIENTE")))</f>
        <v/>
      </c>
      <c r="AG86" s="24">
        <f>IF($AE86="",FALSE,AND($AE86&gt;p_dias_backlog_min,$AE86&lt;=p_dias_backlog_max))</f>
        <v/>
      </c>
      <c r="AH86" s="4" t="n"/>
      <c r="AI86" s="24">
        <f>IF($AH86="","",IF((IFERROR(INDEX('ASIGNACIONES'!$J$4:$J$451,MATCH($O86&amp;"|"&amp;$S86&amp;"|"&amp;$AH86,'ASIGNACIONES'!$N$4:$N$451,0)),""))=0,"",IFERROR(INDEX('ASIGNACIONES'!$J$4:$J$451,MATCH($O86&amp;"|"&amp;$S86&amp;"|"&amp;$AH86,'ASIGNACIONES'!$N$4:$N$451,0)),"")))</f>
        <v/>
      </c>
      <c r="AJ86" s="42">
        <f>IF($AH86="","",SUMIFS('ORDENES'!$M$4:$M$1203,'ORDENES'!$AH$4:$AH$1203,$AH86,'ORDENES'!$O$4:$O$1203,$O86,'ORDENES'!$S$4:$S$1203,$S86))</f>
        <v/>
      </c>
      <c r="AK86" s="42">
        <f>IF($AJ86="","",p_factor_productividad*IFERROR(INDEX('ASIGNACIONES'!$M$4:$M$451,MATCH($O86&amp;"|"&amp;$S86&amp;"|"&amp;$AH86,'ASIGNACIONES'!$N$4:$N$451,0)),0)-$AJ86)</f>
        <v/>
      </c>
      <c r="AL86" s="32">
        <f>IF($A86="","",IFERROR(INDEX('2_IMPORTAR_EJECUCION'!$F$9:$F$1208,MATCH($AU86,'2_IMPORTAR_EJECUCION'!$J$9:$J$1208,0)),0))</f>
        <v/>
      </c>
      <c r="AM86" s="32">
        <f>IF($A86="","",MAX(0,IFERROR(INDEX('2_IMPORTAR_EJECUCION'!$H$9:$H$1208,MATCH($AU86,'2_IMPORTAR_EJECUCION'!$J$9:$J$1208,0)),0)-$AL86))</f>
        <v/>
      </c>
      <c r="AN86" s="32">
        <f>IF($A86="","",$AL86+$AM86)</f>
        <v/>
      </c>
      <c r="AO86" s="24">
        <f>IF($A86="","",IF(OR((IFERROR(INDEX('CAT_ACTIVIDADES'!$D$4:$D$26,MATCH($H86,'CAT_ACTIVIDADES'!$A$4:$A$26,0)),""))=0,(IFERROR(INDEX('CAT_ACTIVIDADES'!$D$4:$D$26,MATCH($H86,'CAT_ACTIVIDADES'!$A$4:$A$26,0)),""))=""),"SIN CLASIFICAR",IFERROR(INDEX('CAT_ACTIVIDADES'!$D$4:$D$26,MATCH($H86,'CAT_ACTIVIDADES'!$A$4:$A$26,0)),"")))</f>
        <v/>
      </c>
      <c r="AP86" s="4" t="n"/>
      <c r="AQ86" s="4" t="n"/>
      <c r="AR86" s="4" t="n"/>
      <c r="AS86" s="24">
        <f>IF($AR86="","",HYPERLINK(p_ruta_base_checklists&amp;$AR86,"abrir"))</f>
        <v/>
      </c>
      <c r="AT86" s="4" t="n"/>
      <c r="AU86" s="24">
        <f>IF($A86="","",$A86&amp;IF($B86="","0010",$B86))</f>
        <v/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41" t="n"/>
      <c r="K87" s="5" t="n"/>
      <c r="L87" s="18" t="n"/>
      <c r="M87" s="24">
        <f>IF($A87="","",IFERROR(INDEX('AJUSTES'!$B$4:$B$303,MATCH($AU87,'AJUSTES'!$A$4:$A$303,0)),IF($K87="","",$K87)))</f>
        <v/>
      </c>
      <c r="N87" s="24">
        <f>IF($A87="","",IFERROR(INDEX('CAT_ESTADOS_ERP'!$B$4:$B$22,MATCH(IFERROR(INDEX('2_IMPORTAR_EJECUCION'!$C$9:$C$1208,MATCH($AU87,'2_IMPORTAR_EJECUCION'!$J$9:$J$1208,0)),""),'CAT_ESTADOS_ERP'!$A$4:$A$22,0)),"Pendiente"))</f>
        <v/>
      </c>
      <c r="O87" s="24">
        <f>IF($J87="","",YEAR($J87+4-WEEKDAY($J87,2))&amp;"-S"&amp;TEXT(_xlfn.ISOWEEKNUM($J87),"00"))</f>
        <v/>
      </c>
      <c r="P87" s="24">
        <f>IF($J87="","",YEAR($J87))</f>
        <v/>
      </c>
      <c r="Q87" s="24">
        <f>IF($J87="","",MONTH($J87))</f>
        <v/>
      </c>
      <c r="R87" s="24">
        <f>IF($J87="","",$P87&amp;"-"&amp;TEXT($Q87,"00"))</f>
        <v/>
      </c>
      <c r="S87" s="24">
        <f>IF($J87="","",INDEX(lista_dias,WEEKDAY($J87,2)))</f>
        <v/>
      </c>
      <c r="T87" s="24">
        <f>IF($J87="","",IFERROR(INDEX('CALENDARIO'!$C$15:$C$214,MATCH(TEXT($J87,"yyyy-mm-dd")&amp;"|"&amp;$Y87&amp;"|"&amp;$Z87,'CALENDARIO'!$G$15:$G$214,0)),IFERROR(INDEX('CALENDARIO'!$C$15:$C$214,MATCH(TEXT($J87,"yyyy-mm-dd")&amp;"|"&amp;$Y87&amp;"|",'CALENDARIO'!$G$15:$G$214,0)),IFERROR(INDEX('CALENDARIO'!$C$15:$C$214,MATCH(TEXT($J87,"yyyy-mm-dd")&amp;"||",'CALENDARIO'!$G$15:$G$214,0)),INDEX(patronHabil,WEEKDAY($J87,2))))))</f>
        <v/>
      </c>
      <c r="U87" s="24">
        <f>IF($I87="","",IFERROR(INDEX('CAT_TIPOS_OT'!$C$4:$C$23,MATCH($I87,'CAT_TIPOS_OT'!$A$4:$A$23,0)),"sin_clasificar"))</f>
        <v/>
      </c>
      <c r="V87" s="24">
        <f>IF($I87="","",IF(IFERROR(INDEX('CAT_TIPOS_OT'!$D$4:$D$23,MATCH($I87,'CAT_TIPOS_OT'!$A$4:$A$23,0)),"SIN CLASIFICAR")="","SIN CLASIFICAR",IFERROR(INDEX('CAT_TIPOS_OT'!$D$4:$D$23,MATCH($I87,'CAT_TIPOS_OT'!$A$4:$A$23,0)),"SIN CLASIFICAR")))</f>
        <v/>
      </c>
      <c r="W87" s="24">
        <f>IF($H87="","",IF(IFERROR(INDEX('CAT_ACTIVIDADES'!$F$4:$F$26,MATCH($H87,'CAT_ACTIVIDADES'!$A$4:$A$26,0)),"")=0,"",IFERROR(INDEX('CAT_ACTIVIDADES'!$F$4:$F$26,MATCH($H87,'CAT_ACTIVIDADES'!$A$4:$A$26,0)),"")))</f>
        <v/>
      </c>
      <c r="X87" s="24">
        <f>IF($F87="","",IFERROR(INDEX('CAT_CENTROS_COSTO'!$F$4:$F$28,MATCH($F87,'CAT_CENTROS_COSTO'!$A$4:$A$28,0)),"(sin catálogo)"))</f>
        <v/>
      </c>
      <c r="Y87" s="24">
        <f>IF($F87="","",IFERROR(INDEX('CAT_CENTROS_COSTO'!$D$4:$D$28,MATCH($F87,'CAT_CENTROS_COSTO'!$A$4:$A$28,0)),"(sin catálogo)"))</f>
        <v/>
      </c>
      <c r="Z87" s="24">
        <f>IF($F87="","",IF((IFERROR(INDEX('CAT_CENTROS_COSTO'!$E$4:$E$28,MATCH($F87,'CAT_CENTROS_COSTO'!$A$4:$A$28,0)),""))&lt;&gt;"",IFERROR(INDEX('CAT_CENTROS_COSTO'!$E$4:$E$28,MATCH($F87,'CAT_CENTROS_COSTO'!$A$4:$A$28,0)),""),$Y87))</f>
        <v/>
      </c>
      <c r="AA87" s="24">
        <f>IF($F87="","",IFERROR(INDEX('CAT_CENTROS_COSTO'!$G$4:$G$28,MATCH($F87,'CAT_CENTROS_COSTO'!$A$4:$A$28,0)),"(sin catálogo)"))</f>
        <v/>
      </c>
      <c r="AB87" s="24">
        <f>IF($G87="","",IFERROR(INDEX('CAT_PUESTOS'!$B$4:$B$23,MATCH($G87,'CAT_PUESTOS'!$A$4:$A$23,0)),"(sin catálogo)"))</f>
        <v/>
      </c>
      <c r="AC87" s="24">
        <f>IF($H87="","",IFERROR(INDEX('CAT_ACTIVIDADES'!$B$4:$B$26,MATCH($H87,'CAT_ACTIVIDADES'!$A$4:$A$26,0)),"(sin catálogo)"))</f>
        <v/>
      </c>
      <c r="AD87" s="26">
        <f>IF($J87="","",TODAY()-$J87)</f>
        <v/>
      </c>
      <c r="AE87" s="26">
        <f>IF($J87="","",IF($J87&lt;=TODAY(),COUNTIFS(cal_fechas,"&gt;="&amp;$J87,cal_fechas,"&lt;"&amp;TODAY(),cal_habil,"sí"),-COUNTIFS(cal_fechas,"&gt;="&amp;TODAY(),cal_fechas,"&lt;"&amp;$J87,cal_habil,"sí")))</f>
        <v/>
      </c>
      <c r="AF87" s="24">
        <f>IF($AE87="","",IF($AE87&lt;0,"FUTURO",IF($AE87&gt;p_dias_backlog_max,"BACKLOG","MES CORRIENTE")))</f>
        <v/>
      </c>
      <c r="AG87" s="24">
        <f>IF($AE87="",FALSE,AND($AE87&gt;p_dias_backlog_min,$AE87&lt;=p_dias_backlog_max))</f>
        <v/>
      </c>
      <c r="AH87" s="4" t="n"/>
      <c r="AI87" s="24">
        <f>IF($AH87="","",IF((IFERROR(INDEX('ASIGNACIONES'!$J$4:$J$451,MATCH($O87&amp;"|"&amp;$S87&amp;"|"&amp;$AH87,'ASIGNACIONES'!$N$4:$N$451,0)),""))=0,"",IFERROR(INDEX('ASIGNACIONES'!$J$4:$J$451,MATCH($O87&amp;"|"&amp;$S87&amp;"|"&amp;$AH87,'ASIGNACIONES'!$N$4:$N$451,0)),"")))</f>
        <v/>
      </c>
      <c r="AJ87" s="42">
        <f>IF($AH87="","",SUMIFS('ORDENES'!$M$4:$M$1203,'ORDENES'!$AH$4:$AH$1203,$AH87,'ORDENES'!$O$4:$O$1203,$O87,'ORDENES'!$S$4:$S$1203,$S87))</f>
        <v/>
      </c>
      <c r="AK87" s="42">
        <f>IF($AJ87="","",p_factor_productividad*IFERROR(INDEX('ASIGNACIONES'!$M$4:$M$451,MATCH($O87&amp;"|"&amp;$S87&amp;"|"&amp;$AH87,'ASIGNACIONES'!$N$4:$N$451,0)),0)-$AJ87)</f>
        <v/>
      </c>
      <c r="AL87" s="32">
        <f>IF($A87="","",IFERROR(INDEX('2_IMPORTAR_EJECUCION'!$F$9:$F$1208,MATCH($AU87,'2_IMPORTAR_EJECUCION'!$J$9:$J$1208,0)),0))</f>
        <v/>
      </c>
      <c r="AM87" s="32">
        <f>IF($A87="","",MAX(0,IFERROR(INDEX('2_IMPORTAR_EJECUCION'!$H$9:$H$1208,MATCH($AU87,'2_IMPORTAR_EJECUCION'!$J$9:$J$1208,0)),0)-$AL87))</f>
        <v/>
      </c>
      <c r="AN87" s="32">
        <f>IF($A87="","",$AL87+$AM87)</f>
        <v/>
      </c>
      <c r="AO87" s="24">
        <f>IF($A87="","",IF(OR((IFERROR(INDEX('CAT_ACTIVIDADES'!$D$4:$D$26,MATCH($H87,'CAT_ACTIVIDADES'!$A$4:$A$26,0)),""))=0,(IFERROR(INDEX('CAT_ACTIVIDADES'!$D$4:$D$26,MATCH($H87,'CAT_ACTIVIDADES'!$A$4:$A$26,0)),""))=""),"SIN CLASIFICAR",IFERROR(INDEX('CAT_ACTIVIDADES'!$D$4:$D$26,MATCH($H87,'CAT_ACTIVIDADES'!$A$4:$A$26,0)),"")))</f>
        <v/>
      </c>
      <c r="AP87" s="4" t="n"/>
      <c r="AQ87" s="4" t="n"/>
      <c r="AR87" s="4" t="n"/>
      <c r="AS87" s="24">
        <f>IF($AR87="","",HYPERLINK(p_ruta_base_checklists&amp;$AR87,"abrir"))</f>
        <v/>
      </c>
      <c r="AT87" s="4" t="n"/>
      <c r="AU87" s="24">
        <f>IF($A87="","",$A87&amp;IF($B87="","0010",$B87))</f>
        <v/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41" t="n"/>
      <c r="K88" s="5" t="n"/>
      <c r="L88" s="18" t="n"/>
      <c r="M88" s="24">
        <f>IF($A88="","",IFERROR(INDEX('AJUSTES'!$B$4:$B$303,MATCH($AU88,'AJUSTES'!$A$4:$A$303,0)),IF($K88="","",$K88)))</f>
        <v/>
      </c>
      <c r="N88" s="24">
        <f>IF($A88="","",IFERROR(INDEX('CAT_ESTADOS_ERP'!$B$4:$B$22,MATCH(IFERROR(INDEX('2_IMPORTAR_EJECUCION'!$C$9:$C$1208,MATCH($AU88,'2_IMPORTAR_EJECUCION'!$J$9:$J$1208,0)),""),'CAT_ESTADOS_ERP'!$A$4:$A$22,0)),"Pendiente"))</f>
        <v/>
      </c>
      <c r="O88" s="24">
        <f>IF($J88="","",YEAR($J88+4-WEEKDAY($J88,2))&amp;"-S"&amp;TEXT(_xlfn.ISOWEEKNUM($J88),"00"))</f>
        <v/>
      </c>
      <c r="P88" s="24">
        <f>IF($J88="","",YEAR($J88))</f>
        <v/>
      </c>
      <c r="Q88" s="24">
        <f>IF($J88="","",MONTH($J88))</f>
        <v/>
      </c>
      <c r="R88" s="24">
        <f>IF($J88="","",$P88&amp;"-"&amp;TEXT($Q88,"00"))</f>
        <v/>
      </c>
      <c r="S88" s="24">
        <f>IF($J88="","",INDEX(lista_dias,WEEKDAY($J88,2)))</f>
        <v/>
      </c>
      <c r="T88" s="24">
        <f>IF($J88="","",IFERROR(INDEX('CALENDARIO'!$C$15:$C$214,MATCH(TEXT($J88,"yyyy-mm-dd")&amp;"|"&amp;$Y88&amp;"|"&amp;$Z88,'CALENDARIO'!$G$15:$G$214,0)),IFERROR(INDEX('CALENDARIO'!$C$15:$C$214,MATCH(TEXT($J88,"yyyy-mm-dd")&amp;"|"&amp;$Y88&amp;"|",'CALENDARIO'!$G$15:$G$214,0)),IFERROR(INDEX('CALENDARIO'!$C$15:$C$214,MATCH(TEXT($J88,"yyyy-mm-dd")&amp;"||",'CALENDARIO'!$G$15:$G$214,0)),INDEX(patronHabil,WEEKDAY($J88,2))))))</f>
        <v/>
      </c>
      <c r="U88" s="24">
        <f>IF($I88="","",IFERROR(INDEX('CAT_TIPOS_OT'!$C$4:$C$23,MATCH($I88,'CAT_TIPOS_OT'!$A$4:$A$23,0)),"sin_clasificar"))</f>
        <v/>
      </c>
      <c r="V88" s="24">
        <f>IF($I88="","",IF(IFERROR(INDEX('CAT_TIPOS_OT'!$D$4:$D$23,MATCH($I88,'CAT_TIPOS_OT'!$A$4:$A$23,0)),"SIN CLASIFICAR")="","SIN CLASIFICAR",IFERROR(INDEX('CAT_TIPOS_OT'!$D$4:$D$23,MATCH($I88,'CAT_TIPOS_OT'!$A$4:$A$23,0)),"SIN CLASIFICAR")))</f>
        <v/>
      </c>
      <c r="W88" s="24">
        <f>IF($H88="","",IF(IFERROR(INDEX('CAT_ACTIVIDADES'!$F$4:$F$26,MATCH($H88,'CAT_ACTIVIDADES'!$A$4:$A$26,0)),"")=0,"",IFERROR(INDEX('CAT_ACTIVIDADES'!$F$4:$F$26,MATCH($H88,'CAT_ACTIVIDADES'!$A$4:$A$26,0)),"")))</f>
        <v/>
      </c>
      <c r="X88" s="24">
        <f>IF($F88="","",IFERROR(INDEX('CAT_CENTROS_COSTO'!$F$4:$F$28,MATCH($F88,'CAT_CENTROS_COSTO'!$A$4:$A$28,0)),"(sin catálogo)"))</f>
        <v/>
      </c>
      <c r="Y88" s="24">
        <f>IF($F88="","",IFERROR(INDEX('CAT_CENTROS_COSTO'!$D$4:$D$28,MATCH($F88,'CAT_CENTROS_COSTO'!$A$4:$A$28,0)),"(sin catálogo)"))</f>
        <v/>
      </c>
      <c r="Z88" s="24">
        <f>IF($F88="","",IF((IFERROR(INDEX('CAT_CENTROS_COSTO'!$E$4:$E$28,MATCH($F88,'CAT_CENTROS_COSTO'!$A$4:$A$28,0)),""))&lt;&gt;"",IFERROR(INDEX('CAT_CENTROS_COSTO'!$E$4:$E$28,MATCH($F88,'CAT_CENTROS_COSTO'!$A$4:$A$28,0)),""),$Y88))</f>
        <v/>
      </c>
      <c r="AA88" s="24">
        <f>IF($F88="","",IFERROR(INDEX('CAT_CENTROS_COSTO'!$G$4:$G$28,MATCH($F88,'CAT_CENTROS_COSTO'!$A$4:$A$28,0)),"(sin catálogo)"))</f>
        <v/>
      </c>
      <c r="AB88" s="24">
        <f>IF($G88="","",IFERROR(INDEX('CAT_PUESTOS'!$B$4:$B$23,MATCH($G88,'CAT_PUESTOS'!$A$4:$A$23,0)),"(sin catálogo)"))</f>
        <v/>
      </c>
      <c r="AC88" s="24">
        <f>IF($H88="","",IFERROR(INDEX('CAT_ACTIVIDADES'!$B$4:$B$26,MATCH($H88,'CAT_ACTIVIDADES'!$A$4:$A$26,0)),"(sin catálogo)"))</f>
        <v/>
      </c>
      <c r="AD88" s="26">
        <f>IF($J88="","",TODAY()-$J88)</f>
        <v/>
      </c>
      <c r="AE88" s="26">
        <f>IF($J88="","",IF($J88&lt;=TODAY(),COUNTIFS(cal_fechas,"&gt;="&amp;$J88,cal_fechas,"&lt;"&amp;TODAY(),cal_habil,"sí"),-COUNTIFS(cal_fechas,"&gt;="&amp;TODAY(),cal_fechas,"&lt;"&amp;$J88,cal_habil,"sí")))</f>
        <v/>
      </c>
      <c r="AF88" s="24">
        <f>IF($AE88="","",IF($AE88&lt;0,"FUTURO",IF($AE88&gt;p_dias_backlog_max,"BACKLOG","MES CORRIENTE")))</f>
        <v/>
      </c>
      <c r="AG88" s="24">
        <f>IF($AE88="",FALSE,AND($AE88&gt;p_dias_backlog_min,$AE88&lt;=p_dias_backlog_max))</f>
        <v/>
      </c>
      <c r="AH88" s="4" t="n"/>
      <c r="AI88" s="24">
        <f>IF($AH88="","",IF((IFERROR(INDEX('ASIGNACIONES'!$J$4:$J$451,MATCH($O88&amp;"|"&amp;$S88&amp;"|"&amp;$AH88,'ASIGNACIONES'!$N$4:$N$451,0)),""))=0,"",IFERROR(INDEX('ASIGNACIONES'!$J$4:$J$451,MATCH($O88&amp;"|"&amp;$S88&amp;"|"&amp;$AH88,'ASIGNACIONES'!$N$4:$N$451,0)),"")))</f>
        <v/>
      </c>
      <c r="AJ88" s="42">
        <f>IF($AH88="","",SUMIFS('ORDENES'!$M$4:$M$1203,'ORDENES'!$AH$4:$AH$1203,$AH88,'ORDENES'!$O$4:$O$1203,$O88,'ORDENES'!$S$4:$S$1203,$S88))</f>
        <v/>
      </c>
      <c r="AK88" s="42">
        <f>IF($AJ88="","",p_factor_productividad*IFERROR(INDEX('ASIGNACIONES'!$M$4:$M$451,MATCH($O88&amp;"|"&amp;$S88&amp;"|"&amp;$AH88,'ASIGNACIONES'!$N$4:$N$451,0)),0)-$AJ88)</f>
        <v/>
      </c>
      <c r="AL88" s="32">
        <f>IF($A88="","",IFERROR(INDEX('2_IMPORTAR_EJECUCION'!$F$9:$F$1208,MATCH($AU88,'2_IMPORTAR_EJECUCION'!$J$9:$J$1208,0)),0))</f>
        <v/>
      </c>
      <c r="AM88" s="32">
        <f>IF($A88="","",MAX(0,IFERROR(INDEX('2_IMPORTAR_EJECUCION'!$H$9:$H$1208,MATCH($AU88,'2_IMPORTAR_EJECUCION'!$J$9:$J$1208,0)),0)-$AL88))</f>
        <v/>
      </c>
      <c r="AN88" s="32">
        <f>IF($A88="","",$AL88+$AM88)</f>
        <v/>
      </c>
      <c r="AO88" s="24">
        <f>IF($A88="","",IF(OR((IFERROR(INDEX('CAT_ACTIVIDADES'!$D$4:$D$26,MATCH($H88,'CAT_ACTIVIDADES'!$A$4:$A$26,0)),""))=0,(IFERROR(INDEX('CAT_ACTIVIDADES'!$D$4:$D$26,MATCH($H88,'CAT_ACTIVIDADES'!$A$4:$A$26,0)),""))=""),"SIN CLASIFICAR",IFERROR(INDEX('CAT_ACTIVIDADES'!$D$4:$D$26,MATCH($H88,'CAT_ACTIVIDADES'!$A$4:$A$26,0)),"")))</f>
        <v/>
      </c>
      <c r="AP88" s="4" t="n"/>
      <c r="AQ88" s="4" t="n"/>
      <c r="AR88" s="4" t="n"/>
      <c r="AS88" s="24">
        <f>IF($AR88="","",HYPERLINK(p_ruta_base_checklists&amp;$AR88,"abrir"))</f>
        <v/>
      </c>
      <c r="AT88" s="4" t="n"/>
      <c r="AU88" s="24">
        <f>IF($A88="","",$A88&amp;IF($B88="","0010",$B88))</f>
        <v/>
      </c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41" t="n"/>
      <c r="K89" s="5" t="n"/>
      <c r="L89" s="18" t="n"/>
      <c r="M89" s="24">
        <f>IF($A89="","",IFERROR(INDEX('AJUSTES'!$B$4:$B$303,MATCH($AU89,'AJUSTES'!$A$4:$A$303,0)),IF($K89="","",$K89)))</f>
        <v/>
      </c>
      <c r="N89" s="24">
        <f>IF($A89="","",IFERROR(INDEX('CAT_ESTADOS_ERP'!$B$4:$B$22,MATCH(IFERROR(INDEX('2_IMPORTAR_EJECUCION'!$C$9:$C$1208,MATCH($AU89,'2_IMPORTAR_EJECUCION'!$J$9:$J$1208,0)),""),'CAT_ESTADOS_ERP'!$A$4:$A$22,0)),"Pendiente"))</f>
        <v/>
      </c>
      <c r="O89" s="24">
        <f>IF($J89="","",YEAR($J89+4-WEEKDAY($J89,2))&amp;"-S"&amp;TEXT(_xlfn.ISOWEEKNUM($J89),"00"))</f>
        <v/>
      </c>
      <c r="P89" s="24">
        <f>IF($J89="","",YEAR($J89))</f>
        <v/>
      </c>
      <c r="Q89" s="24">
        <f>IF($J89="","",MONTH($J89))</f>
        <v/>
      </c>
      <c r="R89" s="24">
        <f>IF($J89="","",$P89&amp;"-"&amp;TEXT($Q89,"00"))</f>
        <v/>
      </c>
      <c r="S89" s="24">
        <f>IF($J89="","",INDEX(lista_dias,WEEKDAY($J89,2)))</f>
        <v/>
      </c>
      <c r="T89" s="24">
        <f>IF($J89="","",IFERROR(INDEX('CALENDARIO'!$C$15:$C$214,MATCH(TEXT($J89,"yyyy-mm-dd")&amp;"|"&amp;$Y89&amp;"|"&amp;$Z89,'CALENDARIO'!$G$15:$G$214,0)),IFERROR(INDEX('CALENDARIO'!$C$15:$C$214,MATCH(TEXT($J89,"yyyy-mm-dd")&amp;"|"&amp;$Y89&amp;"|",'CALENDARIO'!$G$15:$G$214,0)),IFERROR(INDEX('CALENDARIO'!$C$15:$C$214,MATCH(TEXT($J89,"yyyy-mm-dd")&amp;"||",'CALENDARIO'!$G$15:$G$214,0)),INDEX(patronHabil,WEEKDAY($J89,2))))))</f>
        <v/>
      </c>
      <c r="U89" s="24">
        <f>IF($I89="","",IFERROR(INDEX('CAT_TIPOS_OT'!$C$4:$C$23,MATCH($I89,'CAT_TIPOS_OT'!$A$4:$A$23,0)),"sin_clasificar"))</f>
        <v/>
      </c>
      <c r="V89" s="24">
        <f>IF($I89="","",IF(IFERROR(INDEX('CAT_TIPOS_OT'!$D$4:$D$23,MATCH($I89,'CAT_TIPOS_OT'!$A$4:$A$23,0)),"SIN CLASIFICAR")="","SIN CLASIFICAR",IFERROR(INDEX('CAT_TIPOS_OT'!$D$4:$D$23,MATCH($I89,'CAT_TIPOS_OT'!$A$4:$A$23,0)),"SIN CLASIFICAR")))</f>
        <v/>
      </c>
      <c r="W89" s="24">
        <f>IF($H89="","",IF(IFERROR(INDEX('CAT_ACTIVIDADES'!$F$4:$F$26,MATCH($H89,'CAT_ACTIVIDADES'!$A$4:$A$26,0)),"")=0,"",IFERROR(INDEX('CAT_ACTIVIDADES'!$F$4:$F$26,MATCH($H89,'CAT_ACTIVIDADES'!$A$4:$A$26,0)),"")))</f>
        <v/>
      </c>
      <c r="X89" s="24">
        <f>IF($F89="","",IFERROR(INDEX('CAT_CENTROS_COSTO'!$F$4:$F$28,MATCH($F89,'CAT_CENTROS_COSTO'!$A$4:$A$28,0)),"(sin catálogo)"))</f>
        <v/>
      </c>
      <c r="Y89" s="24">
        <f>IF($F89="","",IFERROR(INDEX('CAT_CENTROS_COSTO'!$D$4:$D$28,MATCH($F89,'CAT_CENTROS_COSTO'!$A$4:$A$28,0)),"(sin catálogo)"))</f>
        <v/>
      </c>
      <c r="Z89" s="24">
        <f>IF($F89="","",IF((IFERROR(INDEX('CAT_CENTROS_COSTO'!$E$4:$E$28,MATCH($F89,'CAT_CENTROS_COSTO'!$A$4:$A$28,0)),""))&lt;&gt;"",IFERROR(INDEX('CAT_CENTROS_COSTO'!$E$4:$E$28,MATCH($F89,'CAT_CENTROS_COSTO'!$A$4:$A$28,0)),""),$Y89))</f>
        <v/>
      </c>
      <c r="AA89" s="24">
        <f>IF($F89="","",IFERROR(INDEX('CAT_CENTROS_COSTO'!$G$4:$G$28,MATCH($F89,'CAT_CENTROS_COSTO'!$A$4:$A$28,0)),"(sin catálogo)"))</f>
        <v/>
      </c>
      <c r="AB89" s="24">
        <f>IF($G89="","",IFERROR(INDEX('CAT_PUESTOS'!$B$4:$B$23,MATCH($G89,'CAT_PUESTOS'!$A$4:$A$23,0)),"(sin catálogo)"))</f>
        <v/>
      </c>
      <c r="AC89" s="24">
        <f>IF($H89="","",IFERROR(INDEX('CAT_ACTIVIDADES'!$B$4:$B$26,MATCH($H89,'CAT_ACTIVIDADES'!$A$4:$A$26,0)),"(sin catálogo)"))</f>
        <v/>
      </c>
      <c r="AD89" s="26">
        <f>IF($J89="","",TODAY()-$J89)</f>
        <v/>
      </c>
      <c r="AE89" s="26">
        <f>IF($J89="","",IF($J89&lt;=TODAY(),COUNTIFS(cal_fechas,"&gt;="&amp;$J89,cal_fechas,"&lt;"&amp;TODAY(),cal_habil,"sí"),-COUNTIFS(cal_fechas,"&gt;="&amp;TODAY(),cal_fechas,"&lt;"&amp;$J89,cal_habil,"sí")))</f>
        <v/>
      </c>
      <c r="AF89" s="24">
        <f>IF($AE89="","",IF($AE89&lt;0,"FUTURO",IF($AE89&gt;p_dias_backlog_max,"BACKLOG","MES CORRIENTE")))</f>
        <v/>
      </c>
      <c r="AG89" s="24">
        <f>IF($AE89="",FALSE,AND($AE89&gt;p_dias_backlog_min,$AE89&lt;=p_dias_backlog_max))</f>
        <v/>
      </c>
      <c r="AH89" s="4" t="n"/>
      <c r="AI89" s="24">
        <f>IF($AH89="","",IF((IFERROR(INDEX('ASIGNACIONES'!$J$4:$J$451,MATCH($O89&amp;"|"&amp;$S89&amp;"|"&amp;$AH89,'ASIGNACIONES'!$N$4:$N$451,0)),""))=0,"",IFERROR(INDEX('ASIGNACIONES'!$J$4:$J$451,MATCH($O89&amp;"|"&amp;$S89&amp;"|"&amp;$AH89,'ASIGNACIONES'!$N$4:$N$451,0)),"")))</f>
        <v/>
      </c>
      <c r="AJ89" s="42">
        <f>IF($AH89="","",SUMIFS('ORDENES'!$M$4:$M$1203,'ORDENES'!$AH$4:$AH$1203,$AH89,'ORDENES'!$O$4:$O$1203,$O89,'ORDENES'!$S$4:$S$1203,$S89))</f>
        <v/>
      </c>
      <c r="AK89" s="42">
        <f>IF($AJ89="","",p_factor_productividad*IFERROR(INDEX('ASIGNACIONES'!$M$4:$M$451,MATCH($O89&amp;"|"&amp;$S89&amp;"|"&amp;$AH89,'ASIGNACIONES'!$N$4:$N$451,0)),0)-$AJ89)</f>
        <v/>
      </c>
      <c r="AL89" s="32">
        <f>IF($A89="","",IFERROR(INDEX('2_IMPORTAR_EJECUCION'!$F$9:$F$1208,MATCH($AU89,'2_IMPORTAR_EJECUCION'!$J$9:$J$1208,0)),0))</f>
        <v/>
      </c>
      <c r="AM89" s="32">
        <f>IF($A89="","",MAX(0,IFERROR(INDEX('2_IMPORTAR_EJECUCION'!$H$9:$H$1208,MATCH($AU89,'2_IMPORTAR_EJECUCION'!$J$9:$J$1208,0)),0)-$AL89))</f>
        <v/>
      </c>
      <c r="AN89" s="32">
        <f>IF($A89="","",$AL89+$AM89)</f>
        <v/>
      </c>
      <c r="AO89" s="24">
        <f>IF($A89="","",IF(OR((IFERROR(INDEX('CAT_ACTIVIDADES'!$D$4:$D$26,MATCH($H89,'CAT_ACTIVIDADES'!$A$4:$A$26,0)),""))=0,(IFERROR(INDEX('CAT_ACTIVIDADES'!$D$4:$D$26,MATCH($H89,'CAT_ACTIVIDADES'!$A$4:$A$26,0)),""))=""),"SIN CLASIFICAR",IFERROR(INDEX('CAT_ACTIVIDADES'!$D$4:$D$26,MATCH($H89,'CAT_ACTIVIDADES'!$A$4:$A$26,0)),"")))</f>
        <v/>
      </c>
      <c r="AP89" s="4" t="n"/>
      <c r="AQ89" s="4" t="n"/>
      <c r="AR89" s="4" t="n"/>
      <c r="AS89" s="24">
        <f>IF($AR89="","",HYPERLINK(p_ruta_base_checklists&amp;$AR89,"abrir"))</f>
        <v/>
      </c>
      <c r="AT89" s="4" t="n"/>
      <c r="AU89" s="24">
        <f>IF($A89="","",$A89&amp;IF($B89="","0010",$B89))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41" t="n"/>
      <c r="K90" s="5" t="n"/>
      <c r="L90" s="18" t="n"/>
      <c r="M90" s="24">
        <f>IF($A90="","",IFERROR(INDEX('AJUSTES'!$B$4:$B$303,MATCH($AU90,'AJUSTES'!$A$4:$A$303,0)),IF($K90="","",$K90)))</f>
        <v/>
      </c>
      <c r="N90" s="24">
        <f>IF($A90="","",IFERROR(INDEX('CAT_ESTADOS_ERP'!$B$4:$B$22,MATCH(IFERROR(INDEX('2_IMPORTAR_EJECUCION'!$C$9:$C$1208,MATCH($AU90,'2_IMPORTAR_EJECUCION'!$J$9:$J$1208,0)),""),'CAT_ESTADOS_ERP'!$A$4:$A$22,0)),"Pendiente"))</f>
        <v/>
      </c>
      <c r="O90" s="24">
        <f>IF($J90="","",YEAR($J90+4-WEEKDAY($J90,2))&amp;"-S"&amp;TEXT(_xlfn.ISOWEEKNUM($J90),"00"))</f>
        <v/>
      </c>
      <c r="P90" s="24">
        <f>IF($J90="","",YEAR($J90))</f>
        <v/>
      </c>
      <c r="Q90" s="24">
        <f>IF($J90="","",MONTH($J90))</f>
        <v/>
      </c>
      <c r="R90" s="24">
        <f>IF($J90="","",$P90&amp;"-"&amp;TEXT($Q90,"00"))</f>
        <v/>
      </c>
      <c r="S90" s="24">
        <f>IF($J90="","",INDEX(lista_dias,WEEKDAY($J90,2)))</f>
        <v/>
      </c>
      <c r="T90" s="24">
        <f>IF($J90="","",IFERROR(INDEX('CALENDARIO'!$C$15:$C$214,MATCH(TEXT($J90,"yyyy-mm-dd")&amp;"|"&amp;$Y90&amp;"|"&amp;$Z90,'CALENDARIO'!$G$15:$G$214,0)),IFERROR(INDEX('CALENDARIO'!$C$15:$C$214,MATCH(TEXT($J90,"yyyy-mm-dd")&amp;"|"&amp;$Y90&amp;"|",'CALENDARIO'!$G$15:$G$214,0)),IFERROR(INDEX('CALENDARIO'!$C$15:$C$214,MATCH(TEXT($J90,"yyyy-mm-dd")&amp;"||",'CALENDARIO'!$G$15:$G$214,0)),INDEX(patronHabil,WEEKDAY($J90,2))))))</f>
        <v/>
      </c>
      <c r="U90" s="24">
        <f>IF($I90="","",IFERROR(INDEX('CAT_TIPOS_OT'!$C$4:$C$23,MATCH($I90,'CAT_TIPOS_OT'!$A$4:$A$23,0)),"sin_clasificar"))</f>
        <v/>
      </c>
      <c r="V90" s="24">
        <f>IF($I90="","",IF(IFERROR(INDEX('CAT_TIPOS_OT'!$D$4:$D$23,MATCH($I90,'CAT_TIPOS_OT'!$A$4:$A$23,0)),"SIN CLASIFICAR")="","SIN CLASIFICAR",IFERROR(INDEX('CAT_TIPOS_OT'!$D$4:$D$23,MATCH($I90,'CAT_TIPOS_OT'!$A$4:$A$23,0)),"SIN CLASIFICAR")))</f>
        <v/>
      </c>
      <c r="W90" s="24">
        <f>IF($H90="","",IF(IFERROR(INDEX('CAT_ACTIVIDADES'!$F$4:$F$26,MATCH($H90,'CAT_ACTIVIDADES'!$A$4:$A$26,0)),"")=0,"",IFERROR(INDEX('CAT_ACTIVIDADES'!$F$4:$F$26,MATCH($H90,'CAT_ACTIVIDADES'!$A$4:$A$26,0)),"")))</f>
        <v/>
      </c>
      <c r="X90" s="24">
        <f>IF($F90="","",IFERROR(INDEX('CAT_CENTROS_COSTO'!$F$4:$F$28,MATCH($F90,'CAT_CENTROS_COSTO'!$A$4:$A$28,0)),"(sin catálogo)"))</f>
        <v/>
      </c>
      <c r="Y90" s="24">
        <f>IF($F90="","",IFERROR(INDEX('CAT_CENTROS_COSTO'!$D$4:$D$28,MATCH($F90,'CAT_CENTROS_COSTO'!$A$4:$A$28,0)),"(sin catálogo)"))</f>
        <v/>
      </c>
      <c r="Z90" s="24">
        <f>IF($F90="","",IF((IFERROR(INDEX('CAT_CENTROS_COSTO'!$E$4:$E$28,MATCH($F90,'CAT_CENTROS_COSTO'!$A$4:$A$28,0)),""))&lt;&gt;"",IFERROR(INDEX('CAT_CENTROS_COSTO'!$E$4:$E$28,MATCH($F90,'CAT_CENTROS_COSTO'!$A$4:$A$28,0)),""),$Y90))</f>
        <v/>
      </c>
      <c r="AA90" s="24">
        <f>IF($F90="","",IFERROR(INDEX('CAT_CENTROS_COSTO'!$G$4:$G$28,MATCH($F90,'CAT_CENTROS_COSTO'!$A$4:$A$28,0)),"(sin catálogo)"))</f>
        <v/>
      </c>
      <c r="AB90" s="24">
        <f>IF($G90="","",IFERROR(INDEX('CAT_PUESTOS'!$B$4:$B$23,MATCH($G90,'CAT_PUESTOS'!$A$4:$A$23,0)),"(sin catálogo)"))</f>
        <v/>
      </c>
      <c r="AC90" s="24">
        <f>IF($H90="","",IFERROR(INDEX('CAT_ACTIVIDADES'!$B$4:$B$26,MATCH($H90,'CAT_ACTIVIDADES'!$A$4:$A$26,0)),"(sin catálogo)"))</f>
        <v/>
      </c>
      <c r="AD90" s="26">
        <f>IF($J90="","",TODAY()-$J90)</f>
        <v/>
      </c>
      <c r="AE90" s="26">
        <f>IF($J90="","",IF($J90&lt;=TODAY(),COUNTIFS(cal_fechas,"&gt;="&amp;$J90,cal_fechas,"&lt;"&amp;TODAY(),cal_habil,"sí"),-COUNTIFS(cal_fechas,"&gt;="&amp;TODAY(),cal_fechas,"&lt;"&amp;$J90,cal_habil,"sí")))</f>
        <v/>
      </c>
      <c r="AF90" s="24">
        <f>IF($AE90="","",IF($AE90&lt;0,"FUTURO",IF($AE90&gt;p_dias_backlog_max,"BACKLOG","MES CORRIENTE")))</f>
        <v/>
      </c>
      <c r="AG90" s="24">
        <f>IF($AE90="",FALSE,AND($AE90&gt;p_dias_backlog_min,$AE90&lt;=p_dias_backlog_max))</f>
        <v/>
      </c>
      <c r="AH90" s="4" t="n"/>
      <c r="AI90" s="24">
        <f>IF($AH90="","",IF((IFERROR(INDEX('ASIGNACIONES'!$J$4:$J$451,MATCH($O90&amp;"|"&amp;$S90&amp;"|"&amp;$AH90,'ASIGNACIONES'!$N$4:$N$451,0)),""))=0,"",IFERROR(INDEX('ASIGNACIONES'!$J$4:$J$451,MATCH($O90&amp;"|"&amp;$S90&amp;"|"&amp;$AH90,'ASIGNACIONES'!$N$4:$N$451,0)),"")))</f>
        <v/>
      </c>
      <c r="AJ90" s="42">
        <f>IF($AH90="","",SUMIFS('ORDENES'!$M$4:$M$1203,'ORDENES'!$AH$4:$AH$1203,$AH90,'ORDENES'!$O$4:$O$1203,$O90,'ORDENES'!$S$4:$S$1203,$S90))</f>
        <v/>
      </c>
      <c r="AK90" s="42">
        <f>IF($AJ90="","",p_factor_productividad*IFERROR(INDEX('ASIGNACIONES'!$M$4:$M$451,MATCH($O90&amp;"|"&amp;$S90&amp;"|"&amp;$AH90,'ASIGNACIONES'!$N$4:$N$451,0)),0)-$AJ90)</f>
        <v/>
      </c>
      <c r="AL90" s="32">
        <f>IF($A90="","",IFERROR(INDEX('2_IMPORTAR_EJECUCION'!$F$9:$F$1208,MATCH($AU90,'2_IMPORTAR_EJECUCION'!$J$9:$J$1208,0)),0))</f>
        <v/>
      </c>
      <c r="AM90" s="32">
        <f>IF($A90="","",MAX(0,IFERROR(INDEX('2_IMPORTAR_EJECUCION'!$H$9:$H$1208,MATCH($AU90,'2_IMPORTAR_EJECUCION'!$J$9:$J$1208,0)),0)-$AL90))</f>
        <v/>
      </c>
      <c r="AN90" s="32">
        <f>IF($A90="","",$AL90+$AM90)</f>
        <v/>
      </c>
      <c r="AO90" s="24">
        <f>IF($A90="","",IF(OR((IFERROR(INDEX('CAT_ACTIVIDADES'!$D$4:$D$26,MATCH($H90,'CAT_ACTIVIDADES'!$A$4:$A$26,0)),""))=0,(IFERROR(INDEX('CAT_ACTIVIDADES'!$D$4:$D$26,MATCH($H90,'CAT_ACTIVIDADES'!$A$4:$A$26,0)),""))=""),"SIN CLASIFICAR",IFERROR(INDEX('CAT_ACTIVIDADES'!$D$4:$D$26,MATCH($H90,'CAT_ACTIVIDADES'!$A$4:$A$26,0)),"")))</f>
        <v/>
      </c>
      <c r="AP90" s="4" t="n"/>
      <c r="AQ90" s="4" t="n"/>
      <c r="AR90" s="4" t="n"/>
      <c r="AS90" s="24">
        <f>IF($AR90="","",HYPERLINK(p_ruta_base_checklists&amp;$AR90,"abrir"))</f>
        <v/>
      </c>
      <c r="AT90" s="4" t="n"/>
      <c r="AU90" s="24">
        <f>IF($A90="","",$A90&amp;IF($B90="","0010",$B90))</f>
        <v/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41" t="n"/>
      <c r="K91" s="5" t="n"/>
      <c r="L91" s="18" t="n"/>
      <c r="M91" s="24">
        <f>IF($A91="","",IFERROR(INDEX('AJUSTES'!$B$4:$B$303,MATCH($AU91,'AJUSTES'!$A$4:$A$303,0)),IF($K91="","",$K91)))</f>
        <v/>
      </c>
      <c r="N91" s="24">
        <f>IF($A91="","",IFERROR(INDEX('CAT_ESTADOS_ERP'!$B$4:$B$22,MATCH(IFERROR(INDEX('2_IMPORTAR_EJECUCION'!$C$9:$C$1208,MATCH($AU91,'2_IMPORTAR_EJECUCION'!$J$9:$J$1208,0)),""),'CAT_ESTADOS_ERP'!$A$4:$A$22,0)),"Pendiente"))</f>
        <v/>
      </c>
      <c r="O91" s="24">
        <f>IF($J91="","",YEAR($J91+4-WEEKDAY($J91,2))&amp;"-S"&amp;TEXT(_xlfn.ISOWEEKNUM($J91),"00"))</f>
        <v/>
      </c>
      <c r="P91" s="24">
        <f>IF($J91="","",YEAR($J91))</f>
        <v/>
      </c>
      <c r="Q91" s="24">
        <f>IF($J91="","",MONTH($J91))</f>
        <v/>
      </c>
      <c r="R91" s="24">
        <f>IF($J91="","",$P91&amp;"-"&amp;TEXT($Q91,"00"))</f>
        <v/>
      </c>
      <c r="S91" s="24">
        <f>IF($J91="","",INDEX(lista_dias,WEEKDAY($J91,2)))</f>
        <v/>
      </c>
      <c r="T91" s="24">
        <f>IF($J91="","",IFERROR(INDEX('CALENDARIO'!$C$15:$C$214,MATCH(TEXT($J91,"yyyy-mm-dd")&amp;"|"&amp;$Y91&amp;"|"&amp;$Z91,'CALENDARIO'!$G$15:$G$214,0)),IFERROR(INDEX('CALENDARIO'!$C$15:$C$214,MATCH(TEXT($J91,"yyyy-mm-dd")&amp;"|"&amp;$Y91&amp;"|",'CALENDARIO'!$G$15:$G$214,0)),IFERROR(INDEX('CALENDARIO'!$C$15:$C$214,MATCH(TEXT($J91,"yyyy-mm-dd")&amp;"||",'CALENDARIO'!$G$15:$G$214,0)),INDEX(patronHabil,WEEKDAY($J91,2))))))</f>
        <v/>
      </c>
      <c r="U91" s="24">
        <f>IF($I91="","",IFERROR(INDEX('CAT_TIPOS_OT'!$C$4:$C$23,MATCH($I91,'CAT_TIPOS_OT'!$A$4:$A$23,0)),"sin_clasificar"))</f>
        <v/>
      </c>
      <c r="V91" s="24">
        <f>IF($I91="","",IF(IFERROR(INDEX('CAT_TIPOS_OT'!$D$4:$D$23,MATCH($I91,'CAT_TIPOS_OT'!$A$4:$A$23,0)),"SIN CLASIFICAR")="","SIN CLASIFICAR",IFERROR(INDEX('CAT_TIPOS_OT'!$D$4:$D$23,MATCH($I91,'CAT_TIPOS_OT'!$A$4:$A$23,0)),"SIN CLASIFICAR")))</f>
        <v/>
      </c>
      <c r="W91" s="24">
        <f>IF($H91="","",IF(IFERROR(INDEX('CAT_ACTIVIDADES'!$F$4:$F$26,MATCH($H91,'CAT_ACTIVIDADES'!$A$4:$A$26,0)),"")=0,"",IFERROR(INDEX('CAT_ACTIVIDADES'!$F$4:$F$26,MATCH($H91,'CAT_ACTIVIDADES'!$A$4:$A$26,0)),"")))</f>
        <v/>
      </c>
      <c r="X91" s="24">
        <f>IF($F91="","",IFERROR(INDEX('CAT_CENTROS_COSTO'!$F$4:$F$28,MATCH($F91,'CAT_CENTROS_COSTO'!$A$4:$A$28,0)),"(sin catálogo)"))</f>
        <v/>
      </c>
      <c r="Y91" s="24">
        <f>IF($F91="","",IFERROR(INDEX('CAT_CENTROS_COSTO'!$D$4:$D$28,MATCH($F91,'CAT_CENTROS_COSTO'!$A$4:$A$28,0)),"(sin catálogo)"))</f>
        <v/>
      </c>
      <c r="Z91" s="24">
        <f>IF($F91="","",IF((IFERROR(INDEX('CAT_CENTROS_COSTO'!$E$4:$E$28,MATCH($F91,'CAT_CENTROS_COSTO'!$A$4:$A$28,0)),""))&lt;&gt;"",IFERROR(INDEX('CAT_CENTROS_COSTO'!$E$4:$E$28,MATCH($F91,'CAT_CENTROS_COSTO'!$A$4:$A$28,0)),""),$Y91))</f>
        <v/>
      </c>
      <c r="AA91" s="24">
        <f>IF($F91="","",IFERROR(INDEX('CAT_CENTROS_COSTO'!$G$4:$G$28,MATCH($F91,'CAT_CENTROS_COSTO'!$A$4:$A$28,0)),"(sin catálogo)"))</f>
        <v/>
      </c>
      <c r="AB91" s="24">
        <f>IF($G91="","",IFERROR(INDEX('CAT_PUESTOS'!$B$4:$B$23,MATCH($G91,'CAT_PUESTOS'!$A$4:$A$23,0)),"(sin catálogo)"))</f>
        <v/>
      </c>
      <c r="AC91" s="24">
        <f>IF($H91="","",IFERROR(INDEX('CAT_ACTIVIDADES'!$B$4:$B$26,MATCH($H91,'CAT_ACTIVIDADES'!$A$4:$A$26,0)),"(sin catálogo)"))</f>
        <v/>
      </c>
      <c r="AD91" s="26">
        <f>IF($J91="","",TODAY()-$J91)</f>
        <v/>
      </c>
      <c r="AE91" s="26">
        <f>IF($J91="","",IF($J91&lt;=TODAY(),COUNTIFS(cal_fechas,"&gt;="&amp;$J91,cal_fechas,"&lt;"&amp;TODAY(),cal_habil,"sí"),-COUNTIFS(cal_fechas,"&gt;="&amp;TODAY(),cal_fechas,"&lt;"&amp;$J91,cal_habil,"sí")))</f>
        <v/>
      </c>
      <c r="AF91" s="24">
        <f>IF($AE91="","",IF($AE91&lt;0,"FUTURO",IF($AE91&gt;p_dias_backlog_max,"BACKLOG","MES CORRIENTE")))</f>
        <v/>
      </c>
      <c r="AG91" s="24">
        <f>IF($AE91="",FALSE,AND($AE91&gt;p_dias_backlog_min,$AE91&lt;=p_dias_backlog_max))</f>
        <v/>
      </c>
      <c r="AH91" s="4" t="n"/>
      <c r="AI91" s="24">
        <f>IF($AH91="","",IF((IFERROR(INDEX('ASIGNACIONES'!$J$4:$J$451,MATCH($O91&amp;"|"&amp;$S91&amp;"|"&amp;$AH91,'ASIGNACIONES'!$N$4:$N$451,0)),""))=0,"",IFERROR(INDEX('ASIGNACIONES'!$J$4:$J$451,MATCH($O91&amp;"|"&amp;$S91&amp;"|"&amp;$AH91,'ASIGNACIONES'!$N$4:$N$451,0)),"")))</f>
        <v/>
      </c>
      <c r="AJ91" s="42">
        <f>IF($AH91="","",SUMIFS('ORDENES'!$M$4:$M$1203,'ORDENES'!$AH$4:$AH$1203,$AH91,'ORDENES'!$O$4:$O$1203,$O91,'ORDENES'!$S$4:$S$1203,$S91))</f>
        <v/>
      </c>
      <c r="AK91" s="42">
        <f>IF($AJ91="","",p_factor_productividad*IFERROR(INDEX('ASIGNACIONES'!$M$4:$M$451,MATCH($O91&amp;"|"&amp;$S91&amp;"|"&amp;$AH91,'ASIGNACIONES'!$N$4:$N$451,0)),0)-$AJ91)</f>
        <v/>
      </c>
      <c r="AL91" s="32">
        <f>IF($A91="","",IFERROR(INDEX('2_IMPORTAR_EJECUCION'!$F$9:$F$1208,MATCH($AU91,'2_IMPORTAR_EJECUCION'!$J$9:$J$1208,0)),0))</f>
        <v/>
      </c>
      <c r="AM91" s="32">
        <f>IF($A91="","",MAX(0,IFERROR(INDEX('2_IMPORTAR_EJECUCION'!$H$9:$H$1208,MATCH($AU91,'2_IMPORTAR_EJECUCION'!$J$9:$J$1208,0)),0)-$AL91))</f>
        <v/>
      </c>
      <c r="AN91" s="32">
        <f>IF($A91="","",$AL91+$AM91)</f>
        <v/>
      </c>
      <c r="AO91" s="24">
        <f>IF($A91="","",IF(OR((IFERROR(INDEX('CAT_ACTIVIDADES'!$D$4:$D$26,MATCH($H91,'CAT_ACTIVIDADES'!$A$4:$A$26,0)),""))=0,(IFERROR(INDEX('CAT_ACTIVIDADES'!$D$4:$D$26,MATCH($H91,'CAT_ACTIVIDADES'!$A$4:$A$26,0)),""))=""),"SIN CLASIFICAR",IFERROR(INDEX('CAT_ACTIVIDADES'!$D$4:$D$26,MATCH($H91,'CAT_ACTIVIDADES'!$A$4:$A$26,0)),"")))</f>
        <v/>
      </c>
      <c r="AP91" s="4" t="n"/>
      <c r="AQ91" s="4" t="n"/>
      <c r="AR91" s="4" t="n"/>
      <c r="AS91" s="24">
        <f>IF($AR91="","",HYPERLINK(p_ruta_base_checklists&amp;$AR91,"abrir"))</f>
        <v/>
      </c>
      <c r="AT91" s="4" t="n"/>
      <c r="AU91" s="24">
        <f>IF($A91="","",$A91&amp;IF($B91="","0010",$B91))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41" t="n"/>
      <c r="K92" s="5" t="n"/>
      <c r="L92" s="18" t="n"/>
      <c r="M92" s="24">
        <f>IF($A92="","",IFERROR(INDEX('AJUSTES'!$B$4:$B$303,MATCH($AU92,'AJUSTES'!$A$4:$A$303,0)),IF($K92="","",$K92)))</f>
        <v/>
      </c>
      <c r="N92" s="24">
        <f>IF($A92="","",IFERROR(INDEX('CAT_ESTADOS_ERP'!$B$4:$B$22,MATCH(IFERROR(INDEX('2_IMPORTAR_EJECUCION'!$C$9:$C$1208,MATCH($AU92,'2_IMPORTAR_EJECUCION'!$J$9:$J$1208,0)),""),'CAT_ESTADOS_ERP'!$A$4:$A$22,0)),"Pendiente"))</f>
        <v/>
      </c>
      <c r="O92" s="24">
        <f>IF($J92="","",YEAR($J92+4-WEEKDAY($J92,2))&amp;"-S"&amp;TEXT(_xlfn.ISOWEEKNUM($J92),"00"))</f>
        <v/>
      </c>
      <c r="P92" s="24">
        <f>IF($J92="","",YEAR($J92))</f>
        <v/>
      </c>
      <c r="Q92" s="24">
        <f>IF($J92="","",MONTH($J92))</f>
        <v/>
      </c>
      <c r="R92" s="24">
        <f>IF($J92="","",$P92&amp;"-"&amp;TEXT($Q92,"00"))</f>
        <v/>
      </c>
      <c r="S92" s="24">
        <f>IF($J92="","",INDEX(lista_dias,WEEKDAY($J92,2)))</f>
        <v/>
      </c>
      <c r="T92" s="24">
        <f>IF($J92="","",IFERROR(INDEX('CALENDARIO'!$C$15:$C$214,MATCH(TEXT($J92,"yyyy-mm-dd")&amp;"|"&amp;$Y92&amp;"|"&amp;$Z92,'CALENDARIO'!$G$15:$G$214,0)),IFERROR(INDEX('CALENDARIO'!$C$15:$C$214,MATCH(TEXT($J92,"yyyy-mm-dd")&amp;"|"&amp;$Y92&amp;"|",'CALENDARIO'!$G$15:$G$214,0)),IFERROR(INDEX('CALENDARIO'!$C$15:$C$214,MATCH(TEXT($J92,"yyyy-mm-dd")&amp;"||",'CALENDARIO'!$G$15:$G$214,0)),INDEX(patronHabil,WEEKDAY($J92,2))))))</f>
        <v/>
      </c>
      <c r="U92" s="24">
        <f>IF($I92="","",IFERROR(INDEX('CAT_TIPOS_OT'!$C$4:$C$23,MATCH($I92,'CAT_TIPOS_OT'!$A$4:$A$23,0)),"sin_clasificar"))</f>
        <v/>
      </c>
      <c r="V92" s="24">
        <f>IF($I92="","",IF(IFERROR(INDEX('CAT_TIPOS_OT'!$D$4:$D$23,MATCH($I92,'CAT_TIPOS_OT'!$A$4:$A$23,0)),"SIN CLASIFICAR")="","SIN CLASIFICAR",IFERROR(INDEX('CAT_TIPOS_OT'!$D$4:$D$23,MATCH($I92,'CAT_TIPOS_OT'!$A$4:$A$23,0)),"SIN CLASIFICAR")))</f>
        <v/>
      </c>
      <c r="W92" s="24">
        <f>IF($H92="","",IF(IFERROR(INDEX('CAT_ACTIVIDADES'!$F$4:$F$26,MATCH($H92,'CAT_ACTIVIDADES'!$A$4:$A$26,0)),"")=0,"",IFERROR(INDEX('CAT_ACTIVIDADES'!$F$4:$F$26,MATCH($H92,'CAT_ACTIVIDADES'!$A$4:$A$26,0)),"")))</f>
        <v/>
      </c>
      <c r="X92" s="24">
        <f>IF($F92="","",IFERROR(INDEX('CAT_CENTROS_COSTO'!$F$4:$F$28,MATCH($F92,'CAT_CENTROS_COSTO'!$A$4:$A$28,0)),"(sin catálogo)"))</f>
        <v/>
      </c>
      <c r="Y92" s="24">
        <f>IF($F92="","",IFERROR(INDEX('CAT_CENTROS_COSTO'!$D$4:$D$28,MATCH($F92,'CAT_CENTROS_COSTO'!$A$4:$A$28,0)),"(sin catálogo)"))</f>
        <v/>
      </c>
      <c r="Z92" s="24">
        <f>IF($F92="","",IF((IFERROR(INDEX('CAT_CENTROS_COSTO'!$E$4:$E$28,MATCH($F92,'CAT_CENTROS_COSTO'!$A$4:$A$28,0)),""))&lt;&gt;"",IFERROR(INDEX('CAT_CENTROS_COSTO'!$E$4:$E$28,MATCH($F92,'CAT_CENTROS_COSTO'!$A$4:$A$28,0)),""),$Y92))</f>
        <v/>
      </c>
      <c r="AA92" s="24">
        <f>IF($F92="","",IFERROR(INDEX('CAT_CENTROS_COSTO'!$G$4:$G$28,MATCH($F92,'CAT_CENTROS_COSTO'!$A$4:$A$28,0)),"(sin catálogo)"))</f>
        <v/>
      </c>
      <c r="AB92" s="24">
        <f>IF($G92="","",IFERROR(INDEX('CAT_PUESTOS'!$B$4:$B$23,MATCH($G92,'CAT_PUESTOS'!$A$4:$A$23,0)),"(sin catálogo)"))</f>
        <v/>
      </c>
      <c r="AC92" s="24">
        <f>IF($H92="","",IFERROR(INDEX('CAT_ACTIVIDADES'!$B$4:$B$26,MATCH($H92,'CAT_ACTIVIDADES'!$A$4:$A$26,0)),"(sin catálogo)"))</f>
        <v/>
      </c>
      <c r="AD92" s="26">
        <f>IF($J92="","",TODAY()-$J92)</f>
        <v/>
      </c>
      <c r="AE92" s="26">
        <f>IF($J92="","",IF($J92&lt;=TODAY(),COUNTIFS(cal_fechas,"&gt;="&amp;$J92,cal_fechas,"&lt;"&amp;TODAY(),cal_habil,"sí"),-COUNTIFS(cal_fechas,"&gt;="&amp;TODAY(),cal_fechas,"&lt;"&amp;$J92,cal_habil,"sí")))</f>
        <v/>
      </c>
      <c r="AF92" s="24">
        <f>IF($AE92="","",IF($AE92&lt;0,"FUTURO",IF($AE92&gt;p_dias_backlog_max,"BACKLOG","MES CORRIENTE")))</f>
        <v/>
      </c>
      <c r="AG92" s="24">
        <f>IF($AE92="",FALSE,AND($AE92&gt;p_dias_backlog_min,$AE92&lt;=p_dias_backlog_max))</f>
        <v/>
      </c>
      <c r="AH92" s="4" t="n"/>
      <c r="AI92" s="24">
        <f>IF($AH92="","",IF((IFERROR(INDEX('ASIGNACIONES'!$J$4:$J$451,MATCH($O92&amp;"|"&amp;$S92&amp;"|"&amp;$AH92,'ASIGNACIONES'!$N$4:$N$451,0)),""))=0,"",IFERROR(INDEX('ASIGNACIONES'!$J$4:$J$451,MATCH($O92&amp;"|"&amp;$S92&amp;"|"&amp;$AH92,'ASIGNACIONES'!$N$4:$N$451,0)),"")))</f>
        <v/>
      </c>
      <c r="AJ92" s="42">
        <f>IF($AH92="","",SUMIFS('ORDENES'!$M$4:$M$1203,'ORDENES'!$AH$4:$AH$1203,$AH92,'ORDENES'!$O$4:$O$1203,$O92,'ORDENES'!$S$4:$S$1203,$S92))</f>
        <v/>
      </c>
      <c r="AK92" s="42">
        <f>IF($AJ92="","",p_factor_productividad*IFERROR(INDEX('ASIGNACIONES'!$M$4:$M$451,MATCH($O92&amp;"|"&amp;$S92&amp;"|"&amp;$AH92,'ASIGNACIONES'!$N$4:$N$451,0)),0)-$AJ92)</f>
        <v/>
      </c>
      <c r="AL92" s="32">
        <f>IF($A92="","",IFERROR(INDEX('2_IMPORTAR_EJECUCION'!$F$9:$F$1208,MATCH($AU92,'2_IMPORTAR_EJECUCION'!$J$9:$J$1208,0)),0))</f>
        <v/>
      </c>
      <c r="AM92" s="32">
        <f>IF($A92="","",MAX(0,IFERROR(INDEX('2_IMPORTAR_EJECUCION'!$H$9:$H$1208,MATCH($AU92,'2_IMPORTAR_EJECUCION'!$J$9:$J$1208,0)),0)-$AL92))</f>
        <v/>
      </c>
      <c r="AN92" s="32">
        <f>IF($A92="","",$AL92+$AM92)</f>
        <v/>
      </c>
      <c r="AO92" s="24">
        <f>IF($A92="","",IF(OR((IFERROR(INDEX('CAT_ACTIVIDADES'!$D$4:$D$26,MATCH($H92,'CAT_ACTIVIDADES'!$A$4:$A$26,0)),""))=0,(IFERROR(INDEX('CAT_ACTIVIDADES'!$D$4:$D$26,MATCH($H92,'CAT_ACTIVIDADES'!$A$4:$A$26,0)),""))=""),"SIN CLASIFICAR",IFERROR(INDEX('CAT_ACTIVIDADES'!$D$4:$D$26,MATCH($H92,'CAT_ACTIVIDADES'!$A$4:$A$26,0)),"")))</f>
        <v/>
      </c>
      <c r="AP92" s="4" t="n"/>
      <c r="AQ92" s="4" t="n"/>
      <c r="AR92" s="4" t="n"/>
      <c r="AS92" s="24">
        <f>IF($AR92="","",HYPERLINK(p_ruta_base_checklists&amp;$AR92,"abrir"))</f>
        <v/>
      </c>
      <c r="AT92" s="4" t="n"/>
      <c r="AU92" s="24">
        <f>IF($A92="","",$A92&amp;IF($B92="","0010",$B92))</f>
        <v/>
      </c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41" t="n"/>
      <c r="K93" s="5" t="n"/>
      <c r="L93" s="18" t="n"/>
      <c r="M93" s="24">
        <f>IF($A93="","",IFERROR(INDEX('AJUSTES'!$B$4:$B$303,MATCH($AU93,'AJUSTES'!$A$4:$A$303,0)),IF($K93="","",$K93)))</f>
        <v/>
      </c>
      <c r="N93" s="24">
        <f>IF($A93="","",IFERROR(INDEX('CAT_ESTADOS_ERP'!$B$4:$B$22,MATCH(IFERROR(INDEX('2_IMPORTAR_EJECUCION'!$C$9:$C$1208,MATCH($AU93,'2_IMPORTAR_EJECUCION'!$J$9:$J$1208,0)),""),'CAT_ESTADOS_ERP'!$A$4:$A$22,0)),"Pendiente"))</f>
        <v/>
      </c>
      <c r="O93" s="24">
        <f>IF($J93="","",YEAR($J93+4-WEEKDAY($J93,2))&amp;"-S"&amp;TEXT(_xlfn.ISOWEEKNUM($J93),"00"))</f>
        <v/>
      </c>
      <c r="P93" s="24">
        <f>IF($J93="","",YEAR($J93))</f>
        <v/>
      </c>
      <c r="Q93" s="24">
        <f>IF($J93="","",MONTH($J93))</f>
        <v/>
      </c>
      <c r="R93" s="24">
        <f>IF($J93="","",$P93&amp;"-"&amp;TEXT($Q93,"00"))</f>
        <v/>
      </c>
      <c r="S93" s="24">
        <f>IF($J93="","",INDEX(lista_dias,WEEKDAY($J93,2)))</f>
        <v/>
      </c>
      <c r="T93" s="24">
        <f>IF($J93="","",IFERROR(INDEX('CALENDARIO'!$C$15:$C$214,MATCH(TEXT($J93,"yyyy-mm-dd")&amp;"|"&amp;$Y93&amp;"|"&amp;$Z93,'CALENDARIO'!$G$15:$G$214,0)),IFERROR(INDEX('CALENDARIO'!$C$15:$C$214,MATCH(TEXT($J93,"yyyy-mm-dd")&amp;"|"&amp;$Y93&amp;"|",'CALENDARIO'!$G$15:$G$214,0)),IFERROR(INDEX('CALENDARIO'!$C$15:$C$214,MATCH(TEXT($J93,"yyyy-mm-dd")&amp;"||",'CALENDARIO'!$G$15:$G$214,0)),INDEX(patronHabil,WEEKDAY($J93,2))))))</f>
        <v/>
      </c>
      <c r="U93" s="24">
        <f>IF($I93="","",IFERROR(INDEX('CAT_TIPOS_OT'!$C$4:$C$23,MATCH($I93,'CAT_TIPOS_OT'!$A$4:$A$23,0)),"sin_clasificar"))</f>
        <v/>
      </c>
      <c r="V93" s="24">
        <f>IF($I93="","",IF(IFERROR(INDEX('CAT_TIPOS_OT'!$D$4:$D$23,MATCH($I93,'CAT_TIPOS_OT'!$A$4:$A$23,0)),"SIN CLASIFICAR")="","SIN CLASIFICAR",IFERROR(INDEX('CAT_TIPOS_OT'!$D$4:$D$23,MATCH($I93,'CAT_TIPOS_OT'!$A$4:$A$23,0)),"SIN CLASIFICAR")))</f>
        <v/>
      </c>
      <c r="W93" s="24">
        <f>IF($H93="","",IF(IFERROR(INDEX('CAT_ACTIVIDADES'!$F$4:$F$26,MATCH($H93,'CAT_ACTIVIDADES'!$A$4:$A$26,0)),"")=0,"",IFERROR(INDEX('CAT_ACTIVIDADES'!$F$4:$F$26,MATCH($H93,'CAT_ACTIVIDADES'!$A$4:$A$26,0)),"")))</f>
        <v/>
      </c>
      <c r="X93" s="24">
        <f>IF($F93="","",IFERROR(INDEX('CAT_CENTROS_COSTO'!$F$4:$F$28,MATCH($F93,'CAT_CENTROS_COSTO'!$A$4:$A$28,0)),"(sin catálogo)"))</f>
        <v/>
      </c>
      <c r="Y93" s="24">
        <f>IF($F93="","",IFERROR(INDEX('CAT_CENTROS_COSTO'!$D$4:$D$28,MATCH($F93,'CAT_CENTROS_COSTO'!$A$4:$A$28,0)),"(sin catálogo)"))</f>
        <v/>
      </c>
      <c r="Z93" s="24">
        <f>IF($F93="","",IF((IFERROR(INDEX('CAT_CENTROS_COSTO'!$E$4:$E$28,MATCH($F93,'CAT_CENTROS_COSTO'!$A$4:$A$28,0)),""))&lt;&gt;"",IFERROR(INDEX('CAT_CENTROS_COSTO'!$E$4:$E$28,MATCH($F93,'CAT_CENTROS_COSTO'!$A$4:$A$28,0)),""),$Y93))</f>
        <v/>
      </c>
      <c r="AA93" s="24">
        <f>IF($F93="","",IFERROR(INDEX('CAT_CENTROS_COSTO'!$G$4:$G$28,MATCH($F93,'CAT_CENTROS_COSTO'!$A$4:$A$28,0)),"(sin catálogo)"))</f>
        <v/>
      </c>
      <c r="AB93" s="24">
        <f>IF($G93="","",IFERROR(INDEX('CAT_PUESTOS'!$B$4:$B$23,MATCH($G93,'CAT_PUESTOS'!$A$4:$A$23,0)),"(sin catálogo)"))</f>
        <v/>
      </c>
      <c r="AC93" s="24">
        <f>IF($H93="","",IFERROR(INDEX('CAT_ACTIVIDADES'!$B$4:$B$26,MATCH($H93,'CAT_ACTIVIDADES'!$A$4:$A$26,0)),"(sin catálogo)"))</f>
        <v/>
      </c>
      <c r="AD93" s="26">
        <f>IF($J93="","",TODAY()-$J93)</f>
        <v/>
      </c>
      <c r="AE93" s="26">
        <f>IF($J93="","",IF($J93&lt;=TODAY(),COUNTIFS(cal_fechas,"&gt;="&amp;$J93,cal_fechas,"&lt;"&amp;TODAY(),cal_habil,"sí"),-COUNTIFS(cal_fechas,"&gt;="&amp;TODAY(),cal_fechas,"&lt;"&amp;$J93,cal_habil,"sí")))</f>
        <v/>
      </c>
      <c r="AF93" s="24">
        <f>IF($AE93="","",IF($AE93&lt;0,"FUTURO",IF($AE93&gt;p_dias_backlog_max,"BACKLOG","MES CORRIENTE")))</f>
        <v/>
      </c>
      <c r="AG93" s="24">
        <f>IF($AE93="",FALSE,AND($AE93&gt;p_dias_backlog_min,$AE93&lt;=p_dias_backlog_max))</f>
        <v/>
      </c>
      <c r="AH93" s="4" t="n"/>
      <c r="AI93" s="24">
        <f>IF($AH93="","",IF((IFERROR(INDEX('ASIGNACIONES'!$J$4:$J$451,MATCH($O93&amp;"|"&amp;$S93&amp;"|"&amp;$AH93,'ASIGNACIONES'!$N$4:$N$451,0)),""))=0,"",IFERROR(INDEX('ASIGNACIONES'!$J$4:$J$451,MATCH($O93&amp;"|"&amp;$S93&amp;"|"&amp;$AH93,'ASIGNACIONES'!$N$4:$N$451,0)),"")))</f>
        <v/>
      </c>
      <c r="AJ93" s="42">
        <f>IF($AH93="","",SUMIFS('ORDENES'!$M$4:$M$1203,'ORDENES'!$AH$4:$AH$1203,$AH93,'ORDENES'!$O$4:$O$1203,$O93,'ORDENES'!$S$4:$S$1203,$S93))</f>
        <v/>
      </c>
      <c r="AK93" s="42">
        <f>IF($AJ93="","",p_factor_productividad*IFERROR(INDEX('ASIGNACIONES'!$M$4:$M$451,MATCH($O93&amp;"|"&amp;$S93&amp;"|"&amp;$AH93,'ASIGNACIONES'!$N$4:$N$451,0)),0)-$AJ93)</f>
        <v/>
      </c>
      <c r="AL93" s="32">
        <f>IF($A93="","",IFERROR(INDEX('2_IMPORTAR_EJECUCION'!$F$9:$F$1208,MATCH($AU93,'2_IMPORTAR_EJECUCION'!$J$9:$J$1208,0)),0))</f>
        <v/>
      </c>
      <c r="AM93" s="32">
        <f>IF($A93="","",MAX(0,IFERROR(INDEX('2_IMPORTAR_EJECUCION'!$H$9:$H$1208,MATCH($AU93,'2_IMPORTAR_EJECUCION'!$J$9:$J$1208,0)),0)-$AL93))</f>
        <v/>
      </c>
      <c r="AN93" s="32">
        <f>IF($A93="","",$AL93+$AM93)</f>
        <v/>
      </c>
      <c r="AO93" s="24">
        <f>IF($A93="","",IF(OR((IFERROR(INDEX('CAT_ACTIVIDADES'!$D$4:$D$26,MATCH($H93,'CAT_ACTIVIDADES'!$A$4:$A$26,0)),""))=0,(IFERROR(INDEX('CAT_ACTIVIDADES'!$D$4:$D$26,MATCH($H93,'CAT_ACTIVIDADES'!$A$4:$A$26,0)),""))=""),"SIN CLASIFICAR",IFERROR(INDEX('CAT_ACTIVIDADES'!$D$4:$D$26,MATCH($H93,'CAT_ACTIVIDADES'!$A$4:$A$26,0)),"")))</f>
        <v/>
      </c>
      <c r="AP93" s="4" t="n"/>
      <c r="AQ93" s="4" t="n"/>
      <c r="AR93" s="4" t="n"/>
      <c r="AS93" s="24">
        <f>IF($AR93="","",HYPERLINK(p_ruta_base_checklists&amp;$AR93,"abrir"))</f>
        <v/>
      </c>
      <c r="AT93" s="4" t="n"/>
      <c r="AU93" s="24">
        <f>IF($A93="","",$A93&amp;IF($B93="","0010",$B93))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41" t="n"/>
      <c r="K94" s="5" t="n"/>
      <c r="L94" s="18" t="n"/>
      <c r="M94" s="24">
        <f>IF($A94="","",IFERROR(INDEX('AJUSTES'!$B$4:$B$303,MATCH($AU94,'AJUSTES'!$A$4:$A$303,0)),IF($K94="","",$K94)))</f>
        <v/>
      </c>
      <c r="N94" s="24">
        <f>IF($A94="","",IFERROR(INDEX('CAT_ESTADOS_ERP'!$B$4:$B$22,MATCH(IFERROR(INDEX('2_IMPORTAR_EJECUCION'!$C$9:$C$1208,MATCH($AU94,'2_IMPORTAR_EJECUCION'!$J$9:$J$1208,0)),""),'CAT_ESTADOS_ERP'!$A$4:$A$22,0)),"Pendiente"))</f>
        <v/>
      </c>
      <c r="O94" s="24">
        <f>IF($J94="","",YEAR($J94+4-WEEKDAY($J94,2))&amp;"-S"&amp;TEXT(_xlfn.ISOWEEKNUM($J94),"00"))</f>
        <v/>
      </c>
      <c r="P94" s="24">
        <f>IF($J94="","",YEAR($J94))</f>
        <v/>
      </c>
      <c r="Q94" s="24">
        <f>IF($J94="","",MONTH($J94))</f>
        <v/>
      </c>
      <c r="R94" s="24">
        <f>IF($J94="","",$P94&amp;"-"&amp;TEXT($Q94,"00"))</f>
        <v/>
      </c>
      <c r="S94" s="24">
        <f>IF($J94="","",INDEX(lista_dias,WEEKDAY($J94,2)))</f>
        <v/>
      </c>
      <c r="T94" s="24">
        <f>IF($J94="","",IFERROR(INDEX('CALENDARIO'!$C$15:$C$214,MATCH(TEXT($J94,"yyyy-mm-dd")&amp;"|"&amp;$Y94&amp;"|"&amp;$Z94,'CALENDARIO'!$G$15:$G$214,0)),IFERROR(INDEX('CALENDARIO'!$C$15:$C$214,MATCH(TEXT($J94,"yyyy-mm-dd")&amp;"|"&amp;$Y94&amp;"|",'CALENDARIO'!$G$15:$G$214,0)),IFERROR(INDEX('CALENDARIO'!$C$15:$C$214,MATCH(TEXT($J94,"yyyy-mm-dd")&amp;"||",'CALENDARIO'!$G$15:$G$214,0)),INDEX(patronHabil,WEEKDAY($J94,2))))))</f>
        <v/>
      </c>
      <c r="U94" s="24">
        <f>IF($I94="","",IFERROR(INDEX('CAT_TIPOS_OT'!$C$4:$C$23,MATCH($I94,'CAT_TIPOS_OT'!$A$4:$A$23,0)),"sin_clasificar"))</f>
        <v/>
      </c>
      <c r="V94" s="24">
        <f>IF($I94="","",IF(IFERROR(INDEX('CAT_TIPOS_OT'!$D$4:$D$23,MATCH($I94,'CAT_TIPOS_OT'!$A$4:$A$23,0)),"SIN CLASIFICAR")="","SIN CLASIFICAR",IFERROR(INDEX('CAT_TIPOS_OT'!$D$4:$D$23,MATCH($I94,'CAT_TIPOS_OT'!$A$4:$A$23,0)),"SIN CLASIFICAR")))</f>
        <v/>
      </c>
      <c r="W94" s="24">
        <f>IF($H94="","",IF(IFERROR(INDEX('CAT_ACTIVIDADES'!$F$4:$F$26,MATCH($H94,'CAT_ACTIVIDADES'!$A$4:$A$26,0)),"")=0,"",IFERROR(INDEX('CAT_ACTIVIDADES'!$F$4:$F$26,MATCH($H94,'CAT_ACTIVIDADES'!$A$4:$A$26,0)),"")))</f>
        <v/>
      </c>
      <c r="X94" s="24">
        <f>IF($F94="","",IFERROR(INDEX('CAT_CENTROS_COSTO'!$F$4:$F$28,MATCH($F94,'CAT_CENTROS_COSTO'!$A$4:$A$28,0)),"(sin catálogo)"))</f>
        <v/>
      </c>
      <c r="Y94" s="24">
        <f>IF($F94="","",IFERROR(INDEX('CAT_CENTROS_COSTO'!$D$4:$D$28,MATCH($F94,'CAT_CENTROS_COSTO'!$A$4:$A$28,0)),"(sin catálogo)"))</f>
        <v/>
      </c>
      <c r="Z94" s="24">
        <f>IF($F94="","",IF((IFERROR(INDEX('CAT_CENTROS_COSTO'!$E$4:$E$28,MATCH($F94,'CAT_CENTROS_COSTO'!$A$4:$A$28,0)),""))&lt;&gt;"",IFERROR(INDEX('CAT_CENTROS_COSTO'!$E$4:$E$28,MATCH($F94,'CAT_CENTROS_COSTO'!$A$4:$A$28,0)),""),$Y94))</f>
        <v/>
      </c>
      <c r="AA94" s="24">
        <f>IF($F94="","",IFERROR(INDEX('CAT_CENTROS_COSTO'!$G$4:$G$28,MATCH($F94,'CAT_CENTROS_COSTO'!$A$4:$A$28,0)),"(sin catálogo)"))</f>
        <v/>
      </c>
      <c r="AB94" s="24">
        <f>IF($G94="","",IFERROR(INDEX('CAT_PUESTOS'!$B$4:$B$23,MATCH($G94,'CAT_PUESTOS'!$A$4:$A$23,0)),"(sin catálogo)"))</f>
        <v/>
      </c>
      <c r="AC94" s="24">
        <f>IF($H94="","",IFERROR(INDEX('CAT_ACTIVIDADES'!$B$4:$B$26,MATCH($H94,'CAT_ACTIVIDADES'!$A$4:$A$26,0)),"(sin catálogo)"))</f>
        <v/>
      </c>
      <c r="AD94" s="26">
        <f>IF($J94="","",TODAY()-$J94)</f>
        <v/>
      </c>
      <c r="AE94" s="26">
        <f>IF($J94="","",IF($J94&lt;=TODAY(),COUNTIFS(cal_fechas,"&gt;="&amp;$J94,cal_fechas,"&lt;"&amp;TODAY(),cal_habil,"sí"),-COUNTIFS(cal_fechas,"&gt;="&amp;TODAY(),cal_fechas,"&lt;"&amp;$J94,cal_habil,"sí")))</f>
        <v/>
      </c>
      <c r="AF94" s="24">
        <f>IF($AE94="","",IF($AE94&lt;0,"FUTURO",IF($AE94&gt;p_dias_backlog_max,"BACKLOG","MES CORRIENTE")))</f>
        <v/>
      </c>
      <c r="AG94" s="24">
        <f>IF($AE94="",FALSE,AND($AE94&gt;p_dias_backlog_min,$AE94&lt;=p_dias_backlog_max))</f>
        <v/>
      </c>
      <c r="AH94" s="4" t="n"/>
      <c r="AI94" s="24">
        <f>IF($AH94="","",IF((IFERROR(INDEX('ASIGNACIONES'!$J$4:$J$451,MATCH($O94&amp;"|"&amp;$S94&amp;"|"&amp;$AH94,'ASIGNACIONES'!$N$4:$N$451,0)),""))=0,"",IFERROR(INDEX('ASIGNACIONES'!$J$4:$J$451,MATCH($O94&amp;"|"&amp;$S94&amp;"|"&amp;$AH94,'ASIGNACIONES'!$N$4:$N$451,0)),"")))</f>
        <v/>
      </c>
      <c r="AJ94" s="42">
        <f>IF($AH94="","",SUMIFS('ORDENES'!$M$4:$M$1203,'ORDENES'!$AH$4:$AH$1203,$AH94,'ORDENES'!$O$4:$O$1203,$O94,'ORDENES'!$S$4:$S$1203,$S94))</f>
        <v/>
      </c>
      <c r="AK94" s="42">
        <f>IF($AJ94="","",p_factor_productividad*IFERROR(INDEX('ASIGNACIONES'!$M$4:$M$451,MATCH($O94&amp;"|"&amp;$S94&amp;"|"&amp;$AH94,'ASIGNACIONES'!$N$4:$N$451,0)),0)-$AJ94)</f>
        <v/>
      </c>
      <c r="AL94" s="32">
        <f>IF($A94="","",IFERROR(INDEX('2_IMPORTAR_EJECUCION'!$F$9:$F$1208,MATCH($AU94,'2_IMPORTAR_EJECUCION'!$J$9:$J$1208,0)),0))</f>
        <v/>
      </c>
      <c r="AM94" s="32">
        <f>IF($A94="","",MAX(0,IFERROR(INDEX('2_IMPORTAR_EJECUCION'!$H$9:$H$1208,MATCH($AU94,'2_IMPORTAR_EJECUCION'!$J$9:$J$1208,0)),0)-$AL94))</f>
        <v/>
      </c>
      <c r="AN94" s="32">
        <f>IF($A94="","",$AL94+$AM94)</f>
        <v/>
      </c>
      <c r="AO94" s="24">
        <f>IF($A94="","",IF(OR((IFERROR(INDEX('CAT_ACTIVIDADES'!$D$4:$D$26,MATCH($H94,'CAT_ACTIVIDADES'!$A$4:$A$26,0)),""))=0,(IFERROR(INDEX('CAT_ACTIVIDADES'!$D$4:$D$26,MATCH($H94,'CAT_ACTIVIDADES'!$A$4:$A$26,0)),""))=""),"SIN CLASIFICAR",IFERROR(INDEX('CAT_ACTIVIDADES'!$D$4:$D$26,MATCH($H94,'CAT_ACTIVIDADES'!$A$4:$A$26,0)),"")))</f>
        <v/>
      </c>
      <c r="AP94" s="4" t="n"/>
      <c r="AQ94" s="4" t="n"/>
      <c r="AR94" s="4" t="n"/>
      <c r="AS94" s="24">
        <f>IF($AR94="","",HYPERLINK(p_ruta_base_checklists&amp;$AR94,"abrir"))</f>
        <v/>
      </c>
      <c r="AT94" s="4" t="n"/>
      <c r="AU94" s="24">
        <f>IF($A94="","",$A94&amp;IF($B94="","0010",$B94))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41" t="n"/>
      <c r="K95" s="5" t="n"/>
      <c r="L95" s="18" t="n"/>
      <c r="M95" s="24">
        <f>IF($A95="","",IFERROR(INDEX('AJUSTES'!$B$4:$B$303,MATCH($AU95,'AJUSTES'!$A$4:$A$303,0)),IF($K95="","",$K95)))</f>
        <v/>
      </c>
      <c r="N95" s="24">
        <f>IF($A95="","",IFERROR(INDEX('CAT_ESTADOS_ERP'!$B$4:$B$22,MATCH(IFERROR(INDEX('2_IMPORTAR_EJECUCION'!$C$9:$C$1208,MATCH($AU95,'2_IMPORTAR_EJECUCION'!$J$9:$J$1208,0)),""),'CAT_ESTADOS_ERP'!$A$4:$A$22,0)),"Pendiente"))</f>
        <v/>
      </c>
      <c r="O95" s="24">
        <f>IF($J95="","",YEAR($J95+4-WEEKDAY($J95,2))&amp;"-S"&amp;TEXT(_xlfn.ISOWEEKNUM($J95),"00"))</f>
        <v/>
      </c>
      <c r="P95" s="24">
        <f>IF($J95="","",YEAR($J95))</f>
        <v/>
      </c>
      <c r="Q95" s="24">
        <f>IF($J95="","",MONTH($J95))</f>
        <v/>
      </c>
      <c r="R95" s="24">
        <f>IF($J95="","",$P95&amp;"-"&amp;TEXT($Q95,"00"))</f>
        <v/>
      </c>
      <c r="S95" s="24">
        <f>IF($J95="","",INDEX(lista_dias,WEEKDAY($J95,2)))</f>
        <v/>
      </c>
      <c r="T95" s="24">
        <f>IF($J95="","",IFERROR(INDEX('CALENDARIO'!$C$15:$C$214,MATCH(TEXT($J95,"yyyy-mm-dd")&amp;"|"&amp;$Y95&amp;"|"&amp;$Z95,'CALENDARIO'!$G$15:$G$214,0)),IFERROR(INDEX('CALENDARIO'!$C$15:$C$214,MATCH(TEXT($J95,"yyyy-mm-dd")&amp;"|"&amp;$Y95&amp;"|",'CALENDARIO'!$G$15:$G$214,0)),IFERROR(INDEX('CALENDARIO'!$C$15:$C$214,MATCH(TEXT($J95,"yyyy-mm-dd")&amp;"||",'CALENDARIO'!$G$15:$G$214,0)),INDEX(patronHabil,WEEKDAY($J95,2))))))</f>
        <v/>
      </c>
      <c r="U95" s="24">
        <f>IF($I95="","",IFERROR(INDEX('CAT_TIPOS_OT'!$C$4:$C$23,MATCH($I95,'CAT_TIPOS_OT'!$A$4:$A$23,0)),"sin_clasificar"))</f>
        <v/>
      </c>
      <c r="V95" s="24">
        <f>IF($I95="","",IF(IFERROR(INDEX('CAT_TIPOS_OT'!$D$4:$D$23,MATCH($I95,'CAT_TIPOS_OT'!$A$4:$A$23,0)),"SIN CLASIFICAR")="","SIN CLASIFICAR",IFERROR(INDEX('CAT_TIPOS_OT'!$D$4:$D$23,MATCH($I95,'CAT_TIPOS_OT'!$A$4:$A$23,0)),"SIN CLASIFICAR")))</f>
        <v/>
      </c>
      <c r="W95" s="24">
        <f>IF($H95="","",IF(IFERROR(INDEX('CAT_ACTIVIDADES'!$F$4:$F$26,MATCH($H95,'CAT_ACTIVIDADES'!$A$4:$A$26,0)),"")=0,"",IFERROR(INDEX('CAT_ACTIVIDADES'!$F$4:$F$26,MATCH($H95,'CAT_ACTIVIDADES'!$A$4:$A$26,0)),"")))</f>
        <v/>
      </c>
      <c r="X95" s="24">
        <f>IF($F95="","",IFERROR(INDEX('CAT_CENTROS_COSTO'!$F$4:$F$28,MATCH($F95,'CAT_CENTROS_COSTO'!$A$4:$A$28,0)),"(sin catálogo)"))</f>
        <v/>
      </c>
      <c r="Y95" s="24">
        <f>IF($F95="","",IFERROR(INDEX('CAT_CENTROS_COSTO'!$D$4:$D$28,MATCH($F95,'CAT_CENTROS_COSTO'!$A$4:$A$28,0)),"(sin catálogo)"))</f>
        <v/>
      </c>
      <c r="Z95" s="24">
        <f>IF($F95="","",IF((IFERROR(INDEX('CAT_CENTROS_COSTO'!$E$4:$E$28,MATCH($F95,'CAT_CENTROS_COSTO'!$A$4:$A$28,0)),""))&lt;&gt;"",IFERROR(INDEX('CAT_CENTROS_COSTO'!$E$4:$E$28,MATCH($F95,'CAT_CENTROS_COSTO'!$A$4:$A$28,0)),""),$Y95))</f>
        <v/>
      </c>
      <c r="AA95" s="24">
        <f>IF($F95="","",IFERROR(INDEX('CAT_CENTROS_COSTO'!$G$4:$G$28,MATCH($F95,'CAT_CENTROS_COSTO'!$A$4:$A$28,0)),"(sin catálogo)"))</f>
        <v/>
      </c>
      <c r="AB95" s="24">
        <f>IF($G95="","",IFERROR(INDEX('CAT_PUESTOS'!$B$4:$B$23,MATCH($G95,'CAT_PUESTOS'!$A$4:$A$23,0)),"(sin catálogo)"))</f>
        <v/>
      </c>
      <c r="AC95" s="24">
        <f>IF($H95="","",IFERROR(INDEX('CAT_ACTIVIDADES'!$B$4:$B$26,MATCH($H95,'CAT_ACTIVIDADES'!$A$4:$A$26,0)),"(sin catálogo)"))</f>
        <v/>
      </c>
      <c r="AD95" s="26">
        <f>IF($J95="","",TODAY()-$J95)</f>
        <v/>
      </c>
      <c r="AE95" s="26">
        <f>IF($J95="","",IF($J95&lt;=TODAY(),COUNTIFS(cal_fechas,"&gt;="&amp;$J95,cal_fechas,"&lt;"&amp;TODAY(),cal_habil,"sí"),-COUNTIFS(cal_fechas,"&gt;="&amp;TODAY(),cal_fechas,"&lt;"&amp;$J95,cal_habil,"sí")))</f>
        <v/>
      </c>
      <c r="AF95" s="24">
        <f>IF($AE95="","",IF($AE95&lt;0,"FUTURO",IF($AE95&gt;p_dias_backlog_max,"BACKLOG","MES CORRIENTE")))</f>
        <v/>
      </c>
      <c r="AG95" s="24">
        <f>IF($AE95="",FALSE,AND($AE95&gt;p_dias_backlog_min,$AE95&lt;=p_dias_backlog_max))</f>
        <v/>
      </c>
      <c r="AH95" s="4" t="n"/>
      <c r="AI95" s="24">
        <f>IF($AH95="","",IF((IFERROR(INDEX('ASIGNACIONES'!$J$4:$J$451,MATCH($O95&amp;"|"&amp;$S95&amp;"|"&amp;$AH95,'ASIGNACIONES'!$N$4:$N$451,0)),""))=0,"",IFERROR(INDEX('ASIGNACIONES'!$J$4:$J$451,MATCH($O95&amp;"|"&amp;$S95&amp;"|"&amp;$AH95,'ASIGNACIONES'!$N$4:$N$451,0)),"")))</f>
        <v/>
      </c>
      <c r="AJ95" s="42">
        <f>IF($AH95="","",SUMIFS('ORDENES'!$M$4:$M$1203,'ORDENES'!$AH$4:$AH$1203,$AH95,'ORDENES'!$O$4:$O$1203,$O95,'ORDENES'!$S$4:$S$1203,$S95))</f>
        <v/>
      </c>
      <c r="AK95" s="42">
        <f>IF($AJ95="","",p_factor_productividad*IFERROR(INDEX('ASIGNACIONES'!$M$4:$M$451,MATCH($O95&amp;"|"&amp;$S95&amp;"|"&amp;$AH95,'ASIGNACIONES'!$N$4:$N$451,0)),0)-$AJ95)</f>
        <v/>
      </c>
      <c r="AL95" s="32">
        <f>IF($A95="","",IFERROR(INDEX('2_IMPORTAR_EJECUCION'!$F$9:$F$1208,MATCH($AU95,'2_IMPORTAR_EJECUCION'!$J$9:$J$1208,0)),0))</f>
        <v/>
      </c>
      <c r="AM95" s="32">
        <f>IF($A95="","",MAX(0,IFERROR(INDEX('2_IMPORTAR_EJECUCION'!$H$9:$H$1208,MATCH($AU95,'2_IMPORTAR_EJECUCION'!$J$9:$J$1208,0)),0)-$AL95))</f>
        <v/>
      </c>
      <c r="AN95" s="32">
        <f>IF($A95="","",$AL95+$AM95)</f>
        <v/>
      </c>
      <c r="AO95" s="24">
        <f>IF($A95="","",IF(OR((IFERROR(INDEX('CAT_ACTIVIDADES'!$D$4:$D$26,MATCH($H95,'CAT_ACTIVIDADES'!$A$4:$A$26,0)),""))=0,(IFERROR(INDEX('CAT_ACTIVIDADES'!$D$4:$D$26,MATCH($H95,'CAT_ACTIVIDADES'!$A$4:$A$26,0)),""))=""),"SIN CLASIFICAR",IFERROR(INDEX('CAT_ACTIVIDADES'!$D$4:$D$26,MATCH($H95,'CAT_ACTIVIDADES'!$A$4:$A$26,0)),"")))</f>
        <v/>
      </c>
      <c r="AP95" s="4" t="n"/>
      <c r="AQ95" s="4" t="n"/>
      <c r="AR95" s="4" t="n"/>
      <c r="AS95" s="24">
        <f>IF($AR95="","",HYPERLINK(p_ruta_base_checklists&amp;$AR95,"abrir"))</f>
        <v/>
      </c>
      <c r="AT95" s="4" t="n"/>
      <c r="AU95" s="24">
        <f>IF($A95="","",$A95&amp;IF($B95="","0010",$B95))</f>
        <v/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41" t="n"/>
      <c r="K96" s="5" t="n"/>
      <c r="L96" s="18" t="n"/>
      <c r="M96" s="24">
        <f>IF($A96="","",IFERROR(INDEX('AJUSTES'!$B$4:$B$303,MATCH($AU96,'AJUSTES'!$A$4:$A$303,0)),IF($K96="","",$K96)))</f>
        <v/>
      </c>
      <c r="N96" s="24">
        <f>IF($A96="","",IFERROR(INDEX('CAT_ESTADOS_ERP'!$B$4:$B$22,MATCH(IFERROR(INDEX('2_IMPORTAR_EJECUCION'!$C$9:$C$1208,MATCH($AU96,'2_IMPORTAR_EJECUCION'!$J$9:$J$1208,0)),""),'CAT_ESTADOS_ERP'!$A$4:$A$22,0)),"Pendiente"))</f>
        <v/>
      </c>
      <c r="O96" s="24">
        <f>IF($J96="","",YEAR($J96+4-WEEKDAY($J96,2))&amp;"-S"&amp;TEXT(_xlfn.ISOWEEKNUM($J96),"00"))</f>
        <v/>
      </c>
      <c r="P96" s="24">
        <f>IF($J96="","",YEAR($J96))</f>
        <v/>
      </c>
      <c r="Q96" s="24">
        <f>IF($J96="","",MONTH($J96))</f>
        <v/>
      </c>
      <c r="R96" s="24">
        <f>IF($J96="","",$P96&amp;"-"&amp;TEXT($Q96,"00"))</f>
        <v/>
      </c>
      <c r="S96" s="24">
        <f>IF($J96="","",INDEX(lista_dias,WEEKDAY($J96,2)))</f>
        <v/>
      </c>
      <c r="T96" s="24">
        <f>IF($J96="","",IFERROR(INDEX('CALENDARIO'!$C$15:$C$214,MATCH(TEXT($J96,"yyyy-mm-dd")&amp;"|"&amp;$Y96&amp;"|"&amp;$Z96,'CALENDARIO'!$G$15:$G$214,0)),IFERROR(INDEX('CALENDARIO'!$C$15:$C$214,MATCH(TEXT($J96,"yyyy-mm-dd")&amp;"|"&amp;$Y96&amp;"|",'CALENDARIO'!$G$15:$G$214,0)),IFERROR(INDEX('CALENDARIO'!$C$15:$C$214,MATCH(TEXT($J96,"yyyy-mm-dd")&amp;"||",'CALENDARIO'!$G$15:$G$214,0)),INDEX(patronHabil,WEEKDAY($J96,2))))))</f>
        <v/>
      </c>
      <c r="U96" s="24">
        <f>IF($I96="","",IFERROR(INDEX('CAT_TIPOS_OT'!$C$4:$C$23,MATCH($I96,'CAT_TIPOS_OT'!$A$4:$A$23,0)),"sin_clasificar"))</f>
        <v/>
      </c>
      <c r="V96" s="24">
        <f>IF($I96="","",IF(IFERROR(INDEX('CAT_TIPOS_OT'!$D$4:$D$23,MATCH($I96,'CAT_TIPOS_OT'!$A$4:$A$23,0)),"SIN CLASIFICAR")="","SIN CLASIFICAR",IFERROR(INDEX('CAT_TIPOS_OT'!$D$4:$D$23,MATCH($I96,'CAT_TIPOS_OT'!$A$4:$A$23,0)),"SIN CLASIFICAR")))</f>
        <v/>
      </c>
      <c r="W96" s="24">
        <f>IF($H96="","",IF(IFERROR(INDEX('CAT_ACTIVIDADES'!$F$4:$F$26,MATCH($H96,'CAT_ACTIVIDADES'!$A$4:$A$26,0)),"")=0,"",IFERROR(INDEX('CAT_ACTIVIDADES'!$F$4:$F$26,MATCH($H96,'CAT_ACTIVIDADES'!$A$4:$A$26,0)),"")))</f>
        <v/>
      </c>
      <c r="X96" s="24">
        <f>IF($F96="","",IFERROR(INDEX('CAT_CENTROS_COSTO'!$F$4:$F$28,MATCH($F96,'CAT_CENTROS_COSTO'!$A$4:$A$28,0)),"(sin catálogo)"))</f>
        <v/>
      </c>
      <c r="Y96" s="24">
        <f>IF($F96="","",IFERROR(INDEX('CAT_CENTROS_COSTO'!$D$4:$D$28,MATCH($F96,'CAT_CENTROS_COSTO'!$A$4:$A$28,0)),"(sin catálogo)"))</f>
        <v/>
      </c>
      <c r="Z96" s="24">
        <f>IF($F96="","",IF((IFERROR(INDEX('CAT_CENTROS_COSTO'!$E$4:$E$28,MATCH($F96,'CAT_CENTROS_COSTO'!$A$4:$A$28,0)),""))&lt;&gt;"",IFERROR(INDEX('CAT_CENTROS_COSTO'!$E$4:$E$28,MATCH($F96,'CAT_CENTROS_COSTO'!$A$4:$A$28,0)),""),$Y96))</f>
        <v/>
      </c>
      <c r="AA96" s="24">
        <f>IF($F96="","",IFERROR(INDEX('CAT_CENTROS_COSTO'!$G$4:$G$28,MATCH($F96,'CAT_CENTROS_COSTO'!$A$4:$A$28,0)),"(sin catálogo)"))</f>
        <v/>
      </c>
      <c r="AB96" s="24">
        <f>IF($G96="","",IFERROR(INDEX('CAT_PUESTOS'!$B$4:$B$23,MATCH($G96,'CAT_PUESTOS'!$A$4:$A$23,0)),"(sin catálogo)"))</f>
        <v/>
      </c>
      <c r="AC96" s="24">
        <f>IF($H96="","",IFERROR(INDEX('CAT_ACTIVIDADES'!$B$4:$B$26,MATCH($H96,'CAT_ACTIVIDADES'!$A$4:$A$26,0)),"(sin catálogo)"))</f>
        <v/>
      </c>
      <c r="AD96" s="26">
        <f>IF($J96="","",TODAY()-$J96)</f>
        <v/>
      </c>
      <c r="AE96" s="26">
        <f>IF($J96="","",IF($J96&lt;=TODAY(),COUNTIFS(cal_fechas,"&gt;="&amp;$J96,cal_fechas,"&lt;"&amp;TODAY(),cal_habil,"sí"),-COUNTIFS(cal_fechas,"&gt;="&amp;TODAY(),cal_fechas,"&lt;"&amp;$J96,cal_habil,"sí")))</f>
        <v/>
      </c>
      <c r="AF96" s="24">
        <f>IF($AE96="","",IF($AE96&lt;0,"FUTURO",IF($AE96&gt;p_dias_backlog_max,"BACKLOG","MES CORRIENTE")))</f>
        <v/>
      </c>
      <c r="AG96" s="24">
        <f>IF($AE96="",FALSE,AND($AE96&gt;p_dias_backlog_min,$AE96&lt;=p_dias_backlog_max))</f>
        <v/>
      </c>
      <c r="AH96" s="4" t="n"/>
      <c r="AI96" s="24">
        <f>IF($AH96="","",IF((IFERROR(INDEX('ASIGNACIONES'!$J$4:$J$451,MATCH($O96&amp;"|"&amp;$S96&amp;"|"&amp;$AH96,'ASIGNACIONES'!$N$4:$N$451,0)),""))=0,"",IFERROR(INDEX('ASIGNACIONES'!$J$4:$J$451,MATCH($O96&amp;"|"&amp;$S96&amp;"|"&amp;$AH96,'ASIGNACIONES'!$N$4:$N$451,0)),"")))</f>
        <v/>
      </c>
      <c r="AJ96" s="42">
        <f>IF($AH96="","",SUMIFS('ORDENES'!$M$4:$M$1203,'ORDENES'!$AH$4:$AH$1203,$AH96,'ORDENES'!$O$4:$O$1203,$O96,'ORDENES'!$S$4:$S$1203,$S96))</f>
        <v/>
      </c>
      <c r="AK96" s="42">
        <f>IF($AJ96="","",p_factor_productividad*IFERROR(INDEX('ASIGNACIONES'!$M$4:$M$451,MATCH($O96&amp;"|"&amp;$S96&amp;"|"&amp;$AH96,'ASIGNACIONES'!$N$4:$N$451,0)),0)-$AJ96)</f>
        <v/>
      </c>
      <c r="AL96" s="32">
        <f>IF($A96="","",IFERROR(INDEX('2_IMPORTAR_EJECUCION'!$F$9:$F$1208,MATCH($AU96,'2_IMPORTAR_EJECUCION'!$J$9:$J$1208,0)),0))</f>
        <v/>
      </c>
      <c r="AM96" s="32">
        <f>IF($A96="","",MAX(0,IFERROR(INDEX('2_IMPORTAR_EJECUCION'!$H$9:$H$1208,MATCH($AU96,'2_IMPORTAR_EJECUCION'!$J$9:$J$1208,0)),0)-$AL96))</f>
        <v/>
      </c>
      <c r="AN96" s="32">
        <f>IF($A96="","",$AL96+$AM96)</f>
        <v/>
      </c>
      <c r="AO96" s="24">
        <f>IF($A96="","",IF(OR((IFERROR(INDEX('CAT_ACTIVIDADES'!$D$4:$D$26,MATCH($H96,'CAT_ACTIVIDADES'!$A$4:$A$26,0)),""))=0,(IFERROR(INDEX('CAT_ACTIVIDADES'!$D$4:$D$26,MATCH($H96,'CAT_ACTIVIDADES'!$A$4:$A$26,0)),""))=""),"SIN CLASIFICAR",IFERROR(INDEX('CAT_ACTIVIDADES'!$D$4:$D$26,MATCH($H96,'CAT_ACTIVIDADES'!$A$4:$A$26,0)),"")))</f>
        <v/>
      </c>
      <c r="AP96" s="4" t="n"/>
      <c r="AQ96" s="4" t="n"/>
      <c r="AR96" s="4" t="n"/>
      <c r="AS96" s="24">
        <f>IF($AR96="","",HYPERLINK(p_ruta_base_checklists&amp;$AR96,"abrir"))</f>
        <v/>
      </c>
      <c r="AT96" s="4" t="n"/>
      <c r="AU96" s="24">
        <f>IF($A96="","",$A96&amp;IF($B96="","0010",$B96))</f>
        <v/>
      </c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41" t="n"/>
      <c r="K97" s="5" t="n"/>
      <c r="L97" s="18" t="n"/>
      <c r="M97" s="24">
        <f>IF($A97="","",IFERROR(INDEX('AJUSTES'!$B$4:$B$303,MATCH($AU97,'AJUSTES'!$A$4:$A$303,0)),IF($K97="","",$K97)))</f>
        <v/>
      </c>
      <c r="N97" s="24">
        <f>IF($A97="","",IFERROR(INDEX('CAT_ESTADOS_ERP'!$B$4:$B$22,MATCH(IFERROR(INDEX('2_IMPORTAR_EJECUCION'!$C$9:$C$1208,MATCH($AU97,'2_IMPORTAR_EJECUCION'!$J$9:$J$1208,0)),""),'CAT_ESTADOS_ERP'!$A$4:$A$22,0)),"Pendiente"))</f>
        <v/>
      </c>
      <c r="O97" s="24">
        <f>IF($J97="","",YEAR($J97+4-WEEKDAY($J97,2))&amp;"-S"&amp;TEXT(_xlfn.ISOWEEKNUM($J97),"00"))</f>
        <v/>
      </c>
      <c r="P97" s="24">
        <f>IF($J97="","",YEAR($J97))</f>
        <v/>
      </c>
      <c r="Q97" s="24">
        <f>IF($J97="","",MONTH($J97))</f>
        <v/>
      </c>
      <c r="R97" s="24">
        <f>IF($J97="","",$P97&amp;"-"&amp;TEXT($Q97,"00"))</f>
        <v/>
      </c>
      <c r="S97" s="24">
        <f>IF($J97="","",INDEX(lista_dias,WEEKDAY($J97,2)))</f>
        <v/>
      </c>
      <c r="T97" s="24">
        <f>IF($J97="","",IFERROR(INDEX('CALENDARIO'!$C$15:$C$214,MATCH(TEXT($J97,"yyyy-mm-dd")&amp;"|"&amp;$Y97&amp;"|"&amp;$Z97,'CALENDARIO'!$G$15:$G$214,0)),IFERROR(INDEX('CALENDARIO'!$C$15:$C$214,MATCH(TEXT($J97,"yyyy-mm-dd")&amp;"|"&amp;$Y97&amp;"|",'CALENDARIO'!$G$15:$G$214,0)),IFERROR(INDEX('CALENDARIO'!$C$15:$C$214,MATCH(TEXT($J97,"yyyy-mm-dd")&amp;"||",'CALENDARIO'!$G$15:$G$214,0)),INDEX(patronHabil,WEEKDAY($J97,2))))))</f>
        <v/>
      </c>
      <c r="U97" s="24">
        <f>IF($I97="","",IFERROR(INDEX('CAT_TIPOS_OT'!$C$4:$C$23,MATCH($I97,'CAT_TIPOS_OT'!$A$4:$A$23,0)),"sin_clasificar"))</f>
        <v/>
      </c>
      <c r="V97" s="24">
        <f>IF($I97="","",IF(IFERROR(INDEX('CAT_TIPOS_OT'!$D$4:$D$23,MATCH($I97,'CAT_TIPOS_OT'!$A$4:$A$23,0)),"SIN CLASIFICAR")="","SIN CLASIFICAR",IFERROR(INDEX('CAT_TIPOS_OT'!$D$4:$D$23,MATCH($I97,'CAT_TIPOS_OT'!$A$4:$A$23,0)),"SIN CLASIFICAR")))</f>
        <v/>
      </c>
      <c r="W97" s="24">
        <f>IF($H97="","",IF(IFERROR(INDEX('CAT_ACTIVIDADES'!$F$4:$F$26,MATCH($H97,'CAT_ACTIVIDADES'!$A$4:$A$26,0)),"")=0,"",IFERROR(INDEX('CAT_ACTIVIDADES'!$F$4:$F$26,MATCH($H97,'CAT_ACTIVIDADES'!$A$4:$A$26,0)),"")))</f>
        <v/>
      </c>
      <c r="X97" s="24">
        <f>IF($F97="","",IFERROR(INDEX('CAT_CENTROS_COSTO'!$F$4:$F$28,MATCH($F97,'CAT_CENTROS_COSTO'!$A$4:$A$28,0)),"(sin catálogo)"))</f>
        <v/>
      </c>
      <c r="Y97" s="24">
        <f>IF($F97="","",IFERROR(INDEX('CAT_CENTROS_COSTO'!$D$4:$D$28,MATCH($F97,'CAT_CENTROS_COSTO'!$A$4:$A$28,0)),"(sin catálogo)"))</f>
        <v/>
      </c>
      <c r="Z97" s="24">
        <f>IF($F97="","",IF((IFERROR(INDEX('CAT_CENTROS_COSTO'!$E$4:$E$28,MATCH($F97,'CAT_CENTROS_COSTO'!$A$4:$A$28,0)),""))&lt;&gt;"",IFERROR(INDEX('CAT_CENTROS_COSTO'!$E$4:$E$28,MATCH($F97,'CAT_CENTROS_COSTO'!$A$4:$A$28,0)),""),$Y97))</f>
        <v/>
      </c>
      <c r="AA97" s="24">
        <f>IF($F97="","",IFERROR(INDEX('CAT_CENTROS_COSTO'!$G$4:$G$28,MATCH($F97,'CAT_CENTROS_COSTO'!$A$4:$A$28,0)),"(sin catálogo)"))</f>
        <v/>
      </c>
      <c r="AB97" s="24">
        <f>IF($G97="","",IFERROR(INDEX('CAT_PUESTOS'!$B$4:$B$23,MATCH($G97,'CAT_PUESTOS'!$A$4:$A$23,0)),"(sin catálogo)"))</f>
        <v/>
      </c>
      <c r="AC97" s="24">
        <f>IF($H97="","",IFERROR(INDEX('CAT_ACTIVIDADES'!$B$4:$B$26,MATCH($H97,'CAT_ACTIVIDADES'!$A$4:$A$26,0)),"(sin catálogo)"))</f>
        <v/>
      </c>
      <c r="AD97" s="26">
        <f>IF($J97="","",TODAY()-$J97)</f>
        <v/>
      </c>
      <c r="AE97" s="26">
        <f>IF($J97="","",IF($J97&lt;=TODAY(),COUNTIFS(cal_fechas,"&gt;="&amp;$J97,cal_fechas,"&lt;"&amp;TODAY(),cal_habil,"sí"),-COUNTIFS(cal_fechas,"&gt;="&amp;TODAY(),cal_fechas,"&lt;"&amp;$J97,cal_habil,"sí")))</f>
        <v/>
      </c>
      <c r="AF97" s="24">
        <f>IF($AE97="","",IF($AE97&lt;0,"FUTURO",IF($AE97&gt;p_dias_backlog_max,"BACKLOG","MES CORRIENTE")))</f>
        <v/>
      </c>
      <c r="AG97" s="24">
        <f>IF($AE97="",FALSE,AND($AE97&gt;p_dias_backlog_min,$AE97&lt;=p_dias_backlog_max))</f>
        <v/>
      </c>
      <c r="AH97" s="4" t="n"/>
      <c r="AI97" s="24">
        <f>IF($AH97="","",IF((IFERROR(INDEX('ASIGNACIONES'!$J$4:$J$451,MATCH($O97&amp;"|"&amp;$S97&amp;"|"&amp;$AH97,'ASIGNACIONES'!$N$4:$N$451,0)),""))=0,"",IFERROR(INDEX('ASIGNACIONES'!$J$4:$J$451,MATCH($O97&amp;"|"&amp;$S97&amp;"|"&amp;$AH97,'ASIGNACIONES'!$N$4:$N$451,0)),"")))</f>
        <v/>
      </c>
      <c r="AJ97" s="42">
        <f>IF($AH97="","",SUMIFS('ORDENES'!$M$4:$M$1203,'ORDENES'!$AH$4:$AH$1203,$AH97,'ORDENES'!$O$4:$O$1203,$O97,'ORDENES'!$S$4:$S$1203,$S97))</f>
        <v/>
      </c>
      <c r="AK97" s="42">
        <f>IF($AJ97="","",p_factor_productividad*IFERROR(INDEX('ASIGNACIONES'!$M$4:$M$451,MATCH($O97&amp;"|"&amp;$S97&amp;"|"&amp;$AH97,'ASIGNACIONES'!$N$4:$N$451,0)),0)-$AJ97)</f>
        <v/>
      </c>
      <c r="AL97" s="32">
        <f>IF($A97="","",IFERROR(INDEX('2_IMPORTAR_EJECUCION'!$F$9:$F$1208,MATCH($AU97,'2_IMPORTAR_EJECUCION'!$J$9:$J$1208,0)),0))</f>
        <v/>
      </c>
      <c r="AM97" s="32">
        <f>IF($A97="","",MAX(0,IFERROR(INDEX('2_IMPORTAR_EJECUCION'!$H$9:$H$1208,MATCH($AU97,'2_IMPORTAR_EJECUCION'!$J$9:$J$1208,0)),0)-$AL97))</f>
        <v/>
      </c>
      <c r="AN97" s="32">
        <f>IF($A97="","",$AL97+$AM97)</f>
        <v/>
      </c>
      <c r="AO97" s="24">
        <f>IF($A97="","",IF(OR((IFERROR(INDEX('CAT_ACTIVIDADES'!$D$4:$D$26,MATCH($H97,'CAT_ACTIVIDADES'!$A$4:$A$26,0)),""))=0,(IFERROR(INDEX('CAT_ACTIVIDADES'!$D$4:$D$26,MATCH($H97,'CAT_ACTIVIDADES'!$A$4:$A$26,0)),""))=""),"SIN CLASIFICAR",IFERROR(INDEX('CAT_ACTIVIDADES'!$D$4:$D$26,MATCH($H97,'CAT_ACTIVIDADES'!$A$4:$A$26,0)),"")))</f>
        <v/>
      </c>
      <c r="AP97" s="4" t="n"/>
      <c r="AQ97" s="4" t="n"/>
      <c r="AR97" s="4" t="n"/>
      <c r="AS97" s="24">
        <f>IF($AR97="","",HYPERLINK(p_ruta_base_checklists&amp;$AR97,"abrir"))</f>
        <v/>
      </c>
      <c r="AT97" s="4" t="n"/>
      <c r="AU97" s="24">
        <f>IF($A97="","",$A97&amp;IF($B97="","0010",$B97))</f>
        <v/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41" t="n"/>
      <c r="K98" s="5" t="n"/>
      <c r="L98" s="18" t="n"/>
      <c r="M98" s="24">
        <f>IF($A98="","",IFERROR(INDEX('AJUSTES'!$B$4:$B$303,MATCH($AU98,'AJUSTES'!$A$4:$A$303,0)),IF($K98="","",$K98)))</f>
        <v/>
      </c>
      <c r="N98" s="24">
        <f>IF($A98="","",IFERROR(INDEX('CAT_ESTADOS_ERP'!$B$4:$B$22,MATCH(IFERROR(INDEX('2_IMPORTAR_EJECUCION'!$C$9:$C$1208,MATCH($AU98,'2_IMPORTAR_EJECUCION'!$J$9:$J$1208,0)),""),'CAT_ESTADOS_ERP'!$A$4:$A$22,0)),"Pendiente"))</f>
        <v/>
      </c>
      <c r="O98" s="24">
        <f>IF($J98="","",YEAR($J98+4-WEEKDAY($J98,2))&amp;"-S"&amp;TEXT(_xlfn.ISOWEEKNUM($J98),"00"))</f>
        <v/>
      </c>
      <c r="P98" s="24">
        <f>IF($J98="","",YEAR($J98))</f>
        <v/>
      </c>
      <c r="Q98" s="24">
        <f>IF($J98="","",MONTH($J98))</f>
        <v/>
      </c>
      <c r="R98" s="24">
        <f>IF($J98="","",$P98&amp;"-"&amp;TEXT($Q98,"00"))</f>
        <v/>
      </c>
      <c r="S98" s="24">
        <f>IF($J98="","",INDEX(lista_dias,WEEKDAY($J98,2)))</f>
        <v/>
      </c>
      <c r="T98" s="24">
        <f>IF($J98="","",IFERROR(INDEX('CALENDARIO'!$C$15:$C$214,MATCH(TEXT($J98,"yyyy-mm-dd")&amp;"|"&amp;$Y98&amp;"|"&amp;$Z98,'CALENDARIO'!$G$15:$G$214,0)),IFERROR(INDEX('CALENDARIO'!$C$15:$C$214,MATCH(TEXT($J98,"yyyy-mm-dd")&amp;"|"&amp;$Y98&amp;"|",'CALENDARIO'!$G$15:$G$214,0)),IFERROR(INDEX('CALENDARIO'!$C$15:$C$214,MATCH(TEXT($J98,"yyyy-mm-dd")&amp;"||",'CALENDARIO'!$G$15:$G$214,0)),INDEX(patronHabil,WEEKDAY($J98,2))))))</f>
        <v/>
      </c>
      <c r="U98" s="24">
        <f>IF($I98="","",IFERROR(INDEX('CAT_TIPOS_OT'!$C$4:$C$23,MATCH($I98,'CAT_TIPOS_OT'!$A$4:$A$23,0)),"sin_clasificar"))</f>
        <v/>
      </c>
      <c r="V98" s="24">
        <f>IF($I98="","",IF(IFERROR(INDEX('CAT_TIPOS_OT'!$D$4:$D$23,MATCH($I98,'CAT_TIPOS_OT'!$A$4:$A$23,0)),"SIN CLASIFICAR")="","SIN CLASIFICAR",IFERROR(INDEX('CAT_TIPOS_OT'!$D$4:$D$23,MATCH($I98,'CAT_TIPOS_OT'!$A$4:$A$23,0)),"SIN CLASIFICAR")))</f>
        <v/>
      </c>
      <c r="W98" s="24">
        <f>IF($H98="","",IF(IFERROR(INDEX('CAT_ACTIVIDADES'!$F$4:$F$26,MATCH($H98,'CAT_ACTIVIDADES'!$A$4:$A$26,0)),"")=0,"",IFERROR(INDEX('CAT_ACTIVIDADES'!$F$4:$F$26,MATCH($H98,'CAT_ACTIVIDADES'!$A$4:$A$26,0)),"")))</f>
        <v/>
      </c>
      <c r="X98" s="24">
        <f>IF($F98="","",IFERROR(INDEX('CAT_CENTROS_COSTO'!$F$4:$F$28,MATCH($F98,'CAT_CENTROS_COSTO'!$A$4:$A$28,0)),"(sin catálogo)"))</f>
        <v/>
      </c>
      <c r="Y98" s="24">
        <f>IF($F98="","",IFERROR(INDEX('CAT_CENTROS_COSTO'!$D$4:$D$28,MATCH($F98,'CAT_CENTROS_COSTO'!$A$4:$A$28,0)),"(sin catálogo)"))</f>
        <v/>
      </c>
      <c r="Z98" s="24">
        <f>IF($F98="","",IF((IFERROR(INDEX('CAT_CENTROS_COSTO'!$E$4:$E$28,MATCH($F98,'CAT_CENTROS_COSTO'!$A$4:$A$28,0)),""))&lt;&gt;"",IFERROR(INDEX('CAT_CENTROS_COSTO'!$E$4:$E$28,MATCH($F98,'CAT_CENTROS_COSTO'!$A$4:$A$28,0)),""),$Y98))</f>
        <v/>
      </c>
      <c r="AA98" s="24">
        <f>IF($F98="","",IFERROR(INDEX('CAT_CENTROS_COSTO'!$G$4:$G$28,MATCH($F98,'CAT_CENTROS_COSTO'!$A$4:$A$28,0)),"(sin catálogo)"))</f>
        <v/>
      </c>
      <c r="AB98" s="24">
        <f>IF($G98="","",IFERROR(INDEX('CAT_PUESTOS'!$B$4:$B$23,MATCH($G98,'CAT_PUESTOS'!$A$4:$A$23,0)),"(sin catálogo)"))</f>
        <v/>
      </c>
      <c r="AC98" s="24">
        <f>IF($H98="","",IFERROR(INDEX('CAT_ACTIVIDADES'!$B$4:$B$26,MATCH($H98,'CAT_ACTIVIDADES'!$A$4:$A$26,0)),"(sin catálogo)"))</f>
        <v/>
      </c>
      <c r="AD98" s="26">
        <f>IF($J98="","",TODAY()-$J98)</f>
        <v/>
      </c>
      <c r="AE98" s="26">
        <f>IF($J98="","",IF($J98&lt;=TODAY(),COUNTIFS(cal_fechas,"&gt;="&amp;$J98,cal_fechas,"&lt;"&amp;TODAY(),cal_habil,"sí"),-COUNTIFS(cal_fechas,"&gt;="&amp;TODAY(),cal_fechas,"&lt;"&amp;$J98,cal_habil,"sí")))</f>
        <v/>
      </c>
      <c r="AF98" s="24">
        <f>IF($AE98="","",IF($AE98&lt;0,"FUTURO",IF($AE98&gt;p_dias_backlog_max,"BACKLOG","MES CORRIENTE")))</f>
        <v/>
      </c>
      <c r="AG98" s="24">
        <f>IF($AE98="",FALSE,AND($AE98&gt;p_dias_backlog_min,$AE98&lt;=p_dias_backlog_max))</f>
        <v/>
      </c>
      <c r="AH98" s="4" t="n"/>
      <c r="AI98" s="24">
        <f>IF($AH98="","",IF((IFERROR(INDEX('ASIGNACIONES'!$J$4:$J$451,MATCH($O98&amp;"|"&amp;$S98&amp;"|"&amp;$AH98,'ASIGNACIONES'!$N$4:$N$451,0)),""))=0,"",IFERROR(INDEX('ASIGNACIONES'!$J$4:$J$451,MATCH($O98&amp;"|"&amp;$S98&amp;"|"&amp;$AH98,'ASIGNACIONES'!$N$4:$N$451,0)),"")))</f>
        <v/>
      </c>
      <c r="AJ98" s="42">
        <f>IF($AH98="","",SUMIFS('ORDENES'!$M$4:$M$1203,'ORDENES'!$AH$4:$AH$1203,$AH98,'ORDENES'!$O$4:$O$1203,$O98,'ORDENES'!$S$4:$S$1203,$S98))</f>
        <v/>
      </c>
      <c r="AK98" s="42">
        <f>IF($AJ98="","",p_factor_productividad*IFERROR(INDEX('ASIGNACIONES'!$M$4:$M$451,MATCH($O98&amp;"|"&amp;$S98&amp;"|"&amp;$AH98,'ASIGNACIONES'!$N$4:$N$451,0)),0)-$AJ98)</f>
        <v/>
      </c>
      <c r="AL98" s="32">
        <f>IF($A98="","",IFERROR(INDEX('2_IMPORTAR_EJECUCION'!$F$9:$F$1208,MATCH($AU98,'2_IMPORTAR_EJECUCION'!$J$9:$J$1208,0)),0))</f>
        <v/>
      </c>
      <c r="AM98" s="32">
        <f>IF($A98="","",MAX(0,IFERROR(INDEX('2_IMPORTAR_EJECUCION'!$H$9:$H$1208,MATCH($AU98,'2_IMPORTAR_EJECUCION'!$J$9:$J$1208,0)),0)-$AL98))</f>
        <v/>
      </c>
      <c r="AN98" s="32">
        <f>IF($A98="","",$AL98+$AM98)</f>
        <v/>
      </c>
      <c r="AO98" s="24">
        <f>IF($A98="","",IF(OR((IFERROR(INDEX('CAT_ACTIVIDADES'!$D$4:$D$26,MATCH($H98,'CAT_ACTIVIDADES'!$A$4:$A$26,0)),""))=0,(IFERROR(INDEX('CAT_ACTIVIDADES'!$D$4:$D$26,MATCH($H98,'CAT_ACTIVIDADES'!$A$4:$A$26,0)),""))=""),"SIN CLASIFICAR",IFERROR(INDEX('CAT_ACTIVIDADES'!$D$4:$D$26,MATCH($H98,'CAT_ACTIVIDADES'!$A$4:$A$26,0)),"")))</f>
        <v/>
      </c>
      <c r="AP98" s="4" t="n"/>
      <c r="AQ98" s="4" t="n"/>
      <c r="AR98" s="4" t="n"/>
      <c r="AS98" s="24">
        <f>IF($AR98="","",HYPERLINK(p_ruta_base_checklists&amp;$AR98,"abrir"))</f>
        <v/>
      </c>
      <c r="AT98" s="4" t="n"/>
      <c r="AU98" s="24">
        <f>IF($A98="","",$A98&amp;IF($B98="","0010",$B98))</f>
        <v/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41" t="n"/>
      <c r="K99" s="5" t="n"/>
      <c r="L99" s="18" t="n"/>
      <c r="M99" s="24">
        <f>IF($A99="","",IFERROR(INDEX('AJUSTES'!$B$4:$B$303,MATCH($AU99,'AJUSTES'!$A$4:$A$303,0)),IF($K99="","",$K99)))</f>
        <v/>
      </c>
      <c r="N99" s="24">
        <f>IF($A99="","",IFERROR(INDEX('CAT_ESTADOS_ERP'!$B$4:$B$22,MATCH(IFERROR(INDEX('2_IMPORTAR_EJECUCION'!$C$9:$C$1208,MATCH($AU99,'2_IMPORTAR_EJECUCION'!$J$9:$J$1208,0)),""),'CAT_ESTADOS_ERP'!$A$4:$A$22,0)),"Pendiente"))</f>
        <v/>
      </c>
      <c r="O99" s="24">
        <f>IF($J99="","",YEAR($J99+4-WEEKDAY($J99,2))&amp;"-S"&amp;TEXT(_xlfn.ISOWEEKNUM($J99),"00"))</f>
        <v/>
      </c>
      <c r="P99" s="24">
        <f>IF($J99="","",YEAR($J99))</f>
        <v/>
      </c>
      <c r="Q99" s="24">
        <f>IF($J99="","",MONTH($J99))</f>
        <v/>
      </c>
      <c r="R99" s="24">
        <f>IF($J99="","",$P99&amp;"-"&amp;TEXT($Q99,"00"))</f>
        <v/>
      </c>
      <c r="S99" s="24">
        <f>IF($J99="","",INDEX(lista_dias,WEEKDAY($J99,2)))</f>
        <v/>
      </c>
      <c r="T99" s="24">
        <f>IF($J99="","",IFERROR(INDEX('CALENDARIO'!$C$15:$C$214,MATCH(TEXT($J99,"yyyy-mm-dd")&amp;"|"&amp;$Y99&amp;"|"&amp;$Z99,'CALENDARIO'!$G$15:$G$214,0)),IFERROR(INDEX('CALENDARIO'!$C$15:$C$214,MATCH(TEXT($J99,"yyyy-mm-dd")&amp;"|"&amp;$Y99&amp;"|",'CALENDARIO'!$G$15:$G$214,0)),IFERROR(INDEX('CALENDARIO'!$C$15:$C$214,MATCH(TEXT($J99,"yyyy-mm-dd")&amp;"||",'CALENDARIO'!$G$15:$G$214,0)),INDEX(patronHabil,WEEKDAY($J99,2))))))</f>
        <v/>
      </c>
      <c r="U99" s="24">
        <f>IF($I99="","",IFERROR(INDEX('CAT_TIPOS_OT'!$C$4:$C$23,MATCH($I99,'CAT_TIPOS_OT'!$A$4:$A$23,0)),"sin_clasificar"))</f>
        <v/>
      </c>
      <c r="V99" s="24">
        <f>IF($I99="","",IF(IFERROR(INDEX('CAT_TIPOS_OT'!$D$4:$D$23,MATCH($I99,'CAT_TIPOS_OT'!$A$4:$A$23,0)),"SIN CLASIFICAR")="","SIN CLASIFICAR",IFERROR(INDEX('CAT_TIPOS_OT'!$D$4:$D$23,MATCH($I99,'CAT_TIPOS_OT'!$A$4:$A$23,0)),"SIN CLASIFICAR")))</f>
        <v/>
      </c>
      <c r="W99" s="24">
        <f>IF($H99="","",IF(IFERROR(INDEX('CAT_ACTIVIDADES'!$F$4:$F$26,MATCH($H99,'CAT_ACTIVIDADES'!$A$4:$A$26,0)),"")=0,"",IFERROR(INDEX('CAT_ACTIVIDADES'!$F$4:$F$26,MATCH($H99,'CAT_ACTIVIDADES'!$A$4:$A$26,0)),"")))</f>
        <v/>
      </c>
      <c r="X99" s="24">
        <f>IF($F99="","",IFERROR(INDEX('CAT_CENTROS_COSTO'!$F$4:$F$28,MATCH($F99,'CAT_CENTROS_COSTO'!$A$4:$A$28,0)),"(sin catálogo)"))</f>
        <v/>
      </c>
      <c r="Y99" s="24">
        <f>IF($F99="","",IFERROR(INDEX('CAT_CENTROS_COSTO'!$D$4:$D$28,MATCH($F99,'CAT_CENTROS_COSTO'!$A$4:$A$28,0)),"(sin catálogo)"))</f>
        <v/>
      </c>
      <c r="Z99" s="24">
        <f>IF($F99="","",IF((IFERROR(INDEX('CAT_CENTROS_COSTO'!$E$4:$E$28,MATCH($F99,'CAT_CENTROS_COSTO'!$A$4:$A$28,0)),""))&lt;&gt;"",IFERROR(INDEX('CAT_CENTROS_COSTO'!$E$4:$E$28,MATCH($F99,'CAT_CENTROS_COSTO'!$A$4:$A$28,0)),""),$Y99))</f>
        <v/>
      </c>
      <c r="AA99" s="24">
        <f>IF($F99="","",IFERROR(INDEX('CAT_CENTROS_COSTO'!$G$4:$G$28,MATCH($F99,'CAT_CENTROS_COSTO'!$A$4:$A$28,0)),"(sin catálogo)"))</f>
        <v/>
      </c>
      <c r="AB99" s="24">
        <f>IF($G99="","",IFERROR(INDEX('CAT_PUESTOS'!$B$4:$B$23,MATCH($G99,'CAT_PUESTOS'!$A$4:$A$23,0)),"(sin catálogo)"))</f>
        <v/>
      </c>
      <c r="AC99" s="24">
        <f>IF($H99="","",IFERROR(INDEX('CAT_ACTIVIDADES'!$B$4:$B$26,MATCH($H99,'CAT_ACTIVIDADES'!$A$4:$A$26,0)),"(sin catálogo)"))</f>
        <v/>
      </c>
      <c r="AD99" s="26">
        <f>IF($J99="","",TODAY()-$J99)</f>
        <v/>
      </c>
      <c r="AE99" s="26">
        <f>IF($J99="","",IF($J99&lt;=TODAY(),COUNTIFS(cal_fechas,"&gt;="&amp;$J99,cal_fechas,"&lt;"&amp;TODAY(),cal_habil,"sí"),-COUNTIFS(cal_fechas,"&gt;="&amp;TODAY(),cal_fechas,"&lt;"&amp;$J99,cal_habil,"sí")))</f>
        <v/>
      </c>
      <c r="AF99" s="24">
        <f>IF($AE99="","",IF($AE99&lt;0,"FUTURO",IF($AE99&gt;p_dias_backlog_max,"BACKLOG","MES CORRIENTE")))</f>
        <v/>
      </c>
      <c r="AG99" s="24">
        <f>IF($AE99="",FALSE,AND($AE99&gt;p_dias_backlog_min,$AE99&lt;=p_dias_backlog_max))</f>
        <v/>
      </c>
      <c r="AH99" s="4" t="n"/>
      <c r="AI99" s="24">
        <f>IF($AH99="","",IF((IFERROR(INDEX('ASIGNACIONES'!$J$4:$J$451,MATCH($O99&amp;"|"&amp;$S99&amp;"|"&amp;$AH99,'ASIGNACIONES'!$N$4:$N$451,0)),""))=0,"",IFERROR(INDEX('ASIGNACIONES'!$J$4:$J$451,MATCH($O99&amp;"|"&amp;$S99&amp;"|"&amp;$AH99,'ASIGNACIONES'!$N$4:$N$451,0)),"")))</f>
        <v/>
      </c>
      <c r="AJ99" s="42">
        <f>IF($AH99="","",SUMIFS('ORDENES'!$M$4:$M$1203,'ORDENES'!$AH$4:$AH$1203,$AH99,'ORDENES'!$O$4:$O$1203,$O99,'ORDENES'!$S$4:$S$1203,$S99))</f>
        <v/>
      </c>
      <c r="AK99" s="42">
        <f>IF($AJ99="","",p_factor_productividad*IFERROR(INDEX('ASIGNACIONES'!$M$4:$M$451,MATCH($O99&amp;"|"&amp;$S99&amp;"|"&amp;$AH99,'ASIGNACIONES'!$N$4:$N$451,0)),0)-$AJ99)</f>
        <v/>
      </c>
      <c r="AL99" s="32">
        <f>IF($A99="","",IFERROR(INDEX('2_IMPORTAR_EJECUCION'!$F$9:$F$1208,MATCH($AU99,'2_IMPORTAR_EJECUCION'!$J$9:$J$1208,0)),0))</f>
        <v/>
      </c>
      <c r="AM99" s="32">
        <f>IF($A99="","",MAX(0,IFERROR(INDEX('2_IMPORTAR_EJECUCION'!$H$9:$H$1208,MATCH($AU99,'2_IMPORTAR_EJECUCION'!$J$9:$J$1208,0)),0)-$AL99))</f>
        <v/>
      </c>
      <c r="AN99" s="32">
        <f>IF($A99="","",$AL99+$AM99)</f>
        <v/>
      </c>
      <c r="AO99" s="24">
        <f>IF($A99="","",IF(OR((IFERROR(INDEX('CAT_ACTIVIDADES'!$D$4:$D$26,MATCH($H99,'CAT_ACTIVIDADES'!$A$4:$A$26,0)),""))=0,(IFERROR(INDEX('CAT_ACTIVIDADES'!$D$4:$D$26,MATCH($H99,'CAT_ACTIVIDADES'!$A$4:$A$26,0)),""))=""),"SIN CLASIFICAR",IFERROR(INDEX('CAT_ACTIVIDADES'!$D$4:$D$26,MATCH($H99,'CAT_ACTIVIDADES'!$A$4:$A$26,0)),"")))</f>
        <v/>
      </c>
      <c r="AP99" s="4" t="n"/>
      <c r="AQ99" s="4" t="n"/>
      <c r="AR99" s="4" t="n"/>
      <c r="AS99" s="24">
        <f>IF($AR99="","",HYPERLINK(p_ruta_base_checklists&amp;$AR99,"abrir"))</f>
        <v/>
      </c>
      <c r="AT99" s="4" t="n"/>
      <c r="AU99" s="24">
        <f>IF($A99="","",$A99&amp;IF($B99="","0010",$B99))</f>
        <v/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41" t="n"/>
      <c r="K100" s="5" t="n"/>
      <c r="L100" s="18" t="n"/>
      <c r="M100" s="24">
        <f>IF($A100="","",IFERROR(INDEX('AJUSTES'!$B$4:$B$303,MATCH($AU100,'AJUSTES'!$A$4:$A$303,0)),IF($K100="","",$K100)))</f>
        <v/>
      </c>
      <c r="N100" s="24">
        <f>IF($A100="","",IFERROR(INDEX('CAT_ESTADOS_ERP'!$B$4:$B$22,MATCH(IFERROR(INDEX('2_IMPORTAR_EJECUCION'!$C$9:$C$1208,MATCH($AU100,'2_IMPORTAR_EJECUCION'!$J$9:$J$1208,0)),""),'CAT_ESTADOS_ERP'!$A$4:$A$22,0)),"Pendiente"))</f>
        <v/>
      </c>
      <c r="O100" s="24">
        <f>IF($J100="","",YEAR($J100+4-WEEKDAY($J100,2))&amp;"-S"&amp;TEXT(_xlfn.ISOWEEKNUM($J100),"00"))</f>
        <v/>
      </c>
      <c r="P100" s="24">
        <f>IF($J100="","",YEAR($J100))</f>
        <v/>
      </c>
      <c r="Q100" s="24">
        <f>IF($J100="","",MONTH($J100))</f>
        <v/>
      </c>
      <c r="R100" s="24">
        <f>IF($J100="","",$P100&amp;"-"&amp;TEXT($Q100,"00"))</f>
        <v/>
      </c>
      <c r="S100" s="24">
        <f>IF($J100="","",INDEX(lista_dias,WEEKDAY($J100,2)))</f>
        <v/>
      </c>
      <c r="T100" s="24">
        <f>IF($J100="","",IFERROR(INDEX('CALENDARIO'!$C$15:$C$214,MATCH(TEXT($J100,"yyyy-mm-dd")&amp;"|"&amp;$Y100&amp;"|"&amp;$Z100,'CALENDARIO'!$G$15:$G$214,0)),IFERROR(INDEX('CALENDARIO'!$C$15:$C$214,MATCH(TEXT($J100,"yyyy-mm-dd")&amp;"|"&amp;$Y100&amp;"|",'CALENDARIO'!$G$15:$G$214,0)),IFERROR(INDEX('CALENDARIO'!$C$15:$C$214,MATCH(TEXT($J100,"yyyy-mm-dd")&amp;"||",'CALENDARIO'!$G$15:$G$214,0)),INDEX(patronHabil,WEEKDAY($J100,2))))))</f>
        <v/>
      </c>
      <c r="U100" s="24">
        <f>IF($I100="","",IFERROR(INDEX('CAT_TIPOS_OT'!$C$4:$C$23,MATCH($I100,'CAT_TIPOS_OT'!$A$4:$A$23,0)),"sin_clasificar"))</f>
        <v/>
      </c>
      <c r="V100" s="24">
        <f>IF($I100="","",IF(IFERROR(INDEX('CAT_TIPOS_OT'!$D$4:$D$23,MATCH($I100,'CAT_TIPOS_OT'!$A$4:$A$23,0)),"SIN CLASIFICAR")="","SIN CLASIFICAR",IFERROR(INDEX('CAT_TIPOS_OT'!$D$4:$D$23,MATCH($I100,'CAT_TIPOS_OT'!$A$4:$A$23,0)),"SIN CLASIFICAR")))</f>
        <v/>
      </c>
      <c r="W100" s="24">
        <f>IF($H100="","",IF(IFERROR(INDEX('CAT_ACTIVIDADES'!$F$4:$F$26,MATCH($H100,'CAT_ACTIVIDADES'!$A$4:$A$26,0)),"")=0,"",IFERROR(INDEX('CAT_ACTIVIDADES'!$F$4:$F$26,MATCH($H100,'CAT_ACTIVIDADES'!$A$4:$A$26,0)),"")))</f>
        <v/>
      </c>
      <c r="X100" s="24">
        <f>IF($F100="","",IFERROR(INDEX('CAT_CENTROS_COSTO'!$F$4:$F$28,MATCH($F100,'CAT_CENTROS_COSTO'!$A$4:$A$28,0)),"(sin catálogo)"))</f>
        <v/>
      </c>
      <c r="Y100" s="24">
        <f>IF($F100="","",IFERROR(INDEX('CAT_CENTROS_COSTO'!$D$4:$D$28,MATCH($F100,'CAT_CENTROS_COSTO'!$A$4:$A$28,0)),"(sin catálogo)"))</f>
        <v/>
      </c>
      <c r="Z100" s="24">
        <f>IF($F100="","",IF((IFERROR(INDEX('CAT_CENTROS_COSTO'!$E$4:$E$28,MATCH($F100,'CAT_CENTROS_COSTO'!$A$4:$A$28,0)),""))&lt;&gt;"",IFERROR(INDEX('CAT_CENTROS_COSTO'!$E$4:$E$28,MATCH($F100,'CAT_CENTROS_COSTO'!$A$4:$A$28,0)),""),$Y100))</f>
        <v/>
      </c>
      <c r="AA100" s="24">
        <f>IF($F100="","",IFERROR(INDEX('CAT_CENTROS_COSTO'!$G$4:$G$28,MATCH($F100,'CAT_CENTROS_COSTO'!$A$4:$A$28,0)),"(sin catálogo)"))</f>
        <v/>
      </c>
      <c r="AB100" s="24">
        <f>IF($G100="","",IFERROR(INDEX('CAT_PUESTOS'!$B$4:$B$23,MATCH($G100,'CAT_PUESTOS'!$A$4:$A$23,0)),"(sin catálogo)"))</f>
        <v/>
      </c>
      <c r="AC100" s="24">
        <f>IF($H100="","",IFERROR(INDEX('CAT_ACTIVIDADES'!$B$4:$B$26,MATCH($H100,'CAT_ACTIVIDADES'!$A$4:$A$26,0)),"(sin catálogo)"))</f>
        <v/>
      </c>
      <c r="AD100" s="26">
        <f>IF($J100="","",TODAY()-$J100)</f>
        <v/>
      </c>
      <c r="AE100" s="26">
        <f>IF($J100="","",IF($J100&lt;=TODAY(),COUNTIFS(cal_fechas,"&gt;="&amp;$J100,cal_fechas,"&lt;"&amp;TODAY(),cal_habil,"sí"),-COUNTIFS(cal_fechas,"&gt;="&amp;TODAY(),cal_fechas,"&lt;"&amp;$J100,cal_habil,"sí")))</f>
        <v/>
      </c>
      <c r="AF100" s="24">
        <f>IF($AE100="","",IF($AE100&lt;0,"FUTURO",IF($AE100&gt;p_dias_backlog_max,"BACKLOG","MES CORRIENTE")))</f>
        <v/>
      </c>
      <c r="AG100" s="24">
        <f>IF($AE100="",FALSE,AND($AE100&gt;p_dias_backlog_min,$AE100&lt;=p_dias_backlog_max))</f>
        <v/>
      </c>
      <c r="AH100" s="4" t="n"/>
      <c r="AI100" s="24">
        <f>IF($AH100="","",IF((IFERROR(INDEX('ASIGNACIONES'!$J$4:$J$451,MATCH($O100&amp;"|"&amp;$S100&amp;"|"&amp;$AH100,'ASIGNACIONES'!$N$4:$N$451,0)),""))=0,"",IFERROR(INDEX('ASIGNACIONES'!$J$4:$J$451,MATCH($O100&amp;"|"&amp;$S100&amp;"|"&amp;$AH100,'ASIGNACIONES'!$N$4:$N$451,0)),"")))</f>
        <v/>
      </c>
      <c r="AJ100" s="42">
        <f>IF($AH100="","",SUMIFS('ORDENES'!$M$4:$M$1203,'ORDENES'!$AH$4:$AH$1203,$AH100,'ORDENES'!$O$4:$O$1203,$O100,'ORDENES'!$S$4:$S$1203,$S100))</f>
        <v/>
      </c>
      <c r="AK100" s="42">
        <f>IF($AJ100="","",p_factor_productividad*IFERROR(INDEX('ASIGNACIONES'!$M$4:$M$451,MATCH($O100&amp;"|"&amp;$S100&amp;"|"&amp;$AH100,'ASIGNACIONES'!$N$4:$N$451,0)),0)-$AJ100)</f>
        <v/>
      </c>
      <c r="AL100" s="32">
        <f>IF($A100="","",IFERROR(INDEX('2_IMPORTAR_EJECUCION'!$F$9:$F$1208,MATCH($AU100,'2_IMPORTAR_EJECUCION'!$J$9:$J$1208,0)),0))</f>
        <v/>
      </c>
      <c r="AM100" s="32">
        <f>IF($A100="","",MAX(0,IFERROR(INDEX('2_IMPORTAR_EJECUCION'!$H$9:$H$1208,MATCH($AU100,'2_IMPORTAR_EJECUCION'!$J$9:$J$1208,0)),0)-$AL100))</f>
        <v/>
      </c>
      <c r="AN100" s="32">
        <f>IF($A100="","",$AL100+$AM100)</f>
        <v/>
      </c>
      <c r="AO100" s="24">
        <f>IF($A100="","",IF(OR((IFERROR(INDEX('CAT_ACTIVIDADES'!$D$4:$D$26,MATCH($H100,'CAT_ACTIVIDADES'!$A$4:$A$26,0)),""))=0,(IFERROR(INDEX('CAT_ACTIVIDADES'!$D$4:$D$26,MATCH($H100,'CAT_ACTIVIDADES'!$A$4:$A$26,0)),""))=""),"SIN CLASIFICAR",IFERROR(INDEX('CAT_ACTIVIDADES'!$D$4:$D$26,MATCH($H100,'CAT_ACTIVIDADES'!$A$4:$A$26,0)),"")))</f>
        <v/>
      </c>
      <c r="AP100" s="4" t="n"/>
      <c r="AQ100" s="4" t="n"/>
      <c r="AR100" s="4" t="n"/>
      <c r="AS100" s="24">
        <f>IF($AR100="","",HYPERLINK(p_ruta_base_checklists&amp;$AR100,"abrir"))</f>
        <v/>
      </c>
      <c r="AT100" s="4" t="n"/>
      <c r="AU100" s="24">
        <f>IF($A100="","",$A100&amp;IF($B100="","0010",$B100))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41" t="n"/>
      <c r="K101" s="5" t="n"/>
      <c r="L101" s="18" t="n"/>
      <c r="M101" s="24">
        <f>IF($A101="","",IFERROR(INDEX('AJUSTES'!$B$4:$B$303,MATCH($AU101,'AJUSTES'!$A$4:$A$303,0)),IF($K101="","",$K101)))</f>
        <v/>
      </c>
      <c r="N101" s="24">
        <f>IF($A101="","",IFERROR(INDEX('CAT_ESTADOS_ERP'!$B$4:$B$22,MATCH(IFERROR(INDEX('2_IMPORTAR_EJECUCION'!$C$9:$C$1208,MATCH($AU101,'2_IMPORTAR_EJECUCION'!$J$9:$J$1208,0)),""),'CAT_ESTADOS_ERP'!$A$4:$A$22,0)),"Pendiente"))</f>
        <v/>
      </c>
      <c r="O101" s="24">
        <f>IF($J101="","",YEAR($J101+4-WEEKDAY($J101,2))&amp;"-S"&amp;TEXT(_xlfn.ISOWEEKNUM($J101),"00"))</f>
        <v/>
      </c>
      <c r="P101" s="24">
        <f>IF($J101="","",YEAR($J101))</f>
        <v/>
      </c>
      <c r="Q101" s="24">
        <f>IF($J101="","",MONTH($J101))</f>
        <v/>
      </c>
      <c r="R101" s="24">
        <f>IF($J101="","",$P101&amp;"-"&amp;TEXT($Q101,"00"))</f>
        <v/>
      </c>
      <c r="S101" s="24">
        <f>IF($J101="","",INDEX(lista_dias,WEEKDAY($J101,2)))</f>
        <v/>
      </c>
      <c r="T101" s="24">
        <f>IF($J101="","",IFERROR(INDEX('CALENDARIO'!$C$15:$C$214,MATCH(TEXT($J101,"yyyy-mm-dd")&amp;"|"&amp;$Y101&amp;"|"&amp;$Z101,'CALENDARIO'!$G$15:$G$214,0)),IFERROR(INDEX('CALENDARIO'!$C$15:$C$214,MATCH(TEXT($J101,"yyyy-mm-dd")&amp;"|"&amp;$Y101&amp;"|",'CALENDARIO'!$G$15:$G$214,0)),IFERROR(INDEX('CALENDARIO'!$C$15:$C$214,MATCH(TEXT($J101,"yyyy-mm-dd")&amp;"||",'CALENDARIO'!$G$15:$G$214,0)),INDEX(patronHabil,WEEKDAY($J101,2))))))</f>
        <v/>
      </c>
      <c r="U101" s="24">
        <f>IF($I101="","",IFERROR(INDEX('CAT_TIPOS_OT'!$C$4:$C$23,MATCH($I101,'CAT_TIPOS_OT'!$A$4:$A$23,0)),"sin_clasificar"))</f>
        <v/>
      </c>
      <c r="V101" s="24">
        <f>IF($I101="","",IF(IFERROR(INDEX('CAT_TIPOS_OT'!$D$4:$D$23,MATCH($I101,'CAT_TIPOS_OT'!$A$4:$A$23,0)),"SIN CLASIFICAR")="","SIN CLASIFICAR",IFERROR(INDEX('CAT_TIPOS_OT'!$D$4:$D$23,MATCH($I101,'CAT_TIPOS_OT'!$A$4:$A$23,0)),"SIN CLASIFICAR")))</f>
        <v/>
      </c>
      <c r="W101" s="24">
        <f>IF($H101="","",IF(IFERROR(INDEX('CAT_ACTIVIDADES'!$F$4:$F$26,MATCH($H101,'CAT_ACTIVIDADES'!$A$4:$A$26,0)),"")=0,"",IFERROR(INDEX('CAT_ACTIVIDADES'!$F$4:$F$26,MATCH($H101,'CAT_ACTIVIDADES'!$A$4:$A$26,0)),"")))</f>
        <v/>
      </c>
      <c r="X101" s="24">
        <f>IF($F101="","",IFERROR(INDEX('CAT_CENTROS_COSTO'!$F$4:$F$28,MATCH($F101,'CAT_CENTROS_COSTO'!$A$4:$A$28,0)),"(sin catálogo)"))</f>
        <v/>
      </c>
      <c r="Y101" s="24">
        <f>IF($F101="","",IFERROR(INDEX('CAT_CENTROS_COSTO'!$D$4:$D$28,MATCH($F101,'CAT_CENTROS_COSTO'!$A$4:$A$28,0)),"(sin catálogo)"))</f>
        <v/>
      </c>
      <c r="Z101" s="24">
        <f>IF($F101="","",IF((IFERROR(INDEX('CAT_CENTROS_COSTO'!$E$4:$E$28,MATCH($F101,'CAT_CENTROS_COSTO'!$A$4:$A$28,0)),""))&lt;&gt;"",IFERROR(INDEX('CAT_CENTROS_COSTO'!$E$4:$E$28,MATCH($F101,'CAT_CENTROS_COSTO'!$A$4:$A$28,0)),""),$Y101))</f>
        <v/>
      </c>
      <c r="AA101" s="24">
        <f>IF($F101="","",IFERROR(INDEX('CAT_CENTROS_COSTO'!$G$4:$G$28,MATCH($F101,'CAT_CENTROS_COSTO'!$A$4:$A$28,0)),"(sin catálogo)"))</f>
        <v/>
      </c>
      <c r="AB101" s="24">
        <f>IF($G101="","",IFERROR(INDEX('CAT_PUESTOS'!$B$4:$B$23,MATCH($G101,'CAT_PUESTOS'!$A$4:$A$23,0)),"(sin catálogo)"))</f>
        <v/>
      </c>
      <c r="AC101" s="24">
        <f>IF($H101="","",IFERROR(INDEX('CAT_ACTIVIDADES'!$B$4:$B$26,MATCH($H101,'CAT_ACTIVIDADES'!$A$4:$A$26,0)),"(sin catálogo)"))</f>
        <v/>
      </c>
      <c r="AD101" s="26">
        <f>IF($J101="","",TODAY()-$J101)</f>
        <v/>
      </c>
      <c r="AE101" s="26">
        <f>IF($J101="","",IF($J101&lt;=TODAY(),COUNTIFS(cal_fechas,"&gt;="&amp;$J101,cal_fechas,"&lt;"&amp;TODAY(),cal_habil,"sí"),-COUNTIFS(cal_fechas,"&gt;="&amp;TODAY(),cal_fechas,"&lt;"&amp;$J101,cal_habil,"sí")))</f>
        <v/>
      </c>
      <c r="AF101" s="24">
        <f>IF($AE101="","",IF($AE101&lt;0,"FUTURO",IF($AE101&gt;p_dias_backlog_max,"BACKLOG","MES CORRIENTE")))</f>
        <v/>
      </c>
      <c r="AG101" s="24">
        <f>IF($AE101="",FALSE,AND($AE101&gt;p_dias_backlog_min,$AE101&lt;=p_dias_backlog_max))</f>
        <v/>
      </c>
      <c r="AH101" s="4" t="n"/>
      <c r="AI101" s="24">
        <f>IF($AH101="","",IF((IFERROR(INDEX('ASIGNACIONES'!$J$4:$J$451,MATCH($O101&amp;"|"&amp;$S101&amp;"|"&amp;$AH101,'ASIGNACIONES'!$N$4:$N$451,0)),""))=0,"",IFERROR(INDEX('ASIGNACIONES'!$J$4:$J$451,MATCH($O101&amp;"|"&amp;$S101&amp;"|"&amp;$AH101,'ASIGNACIONES'!$N$4:$N$451,0)),"")))</f>
        <v/>
      </c>
      <c r="AJ101" s="42">
        <f>IF($AH101="","",SUMIFS('ORDENES'!$M$4:$M$1203,'ORDENES'!$AH$4:$AH$1203,$AH101,'ORDENES'!$O$4:$O$1203,$O101,'ORDENES'!$S$4:$S$1203,$S101))</f>
        <v/>
      </c>
      <c r="AK101" s="42">
        <f>IF($AJ101="","",p_factor_productividad*IFERROR(INDEX('ASIGNACIONES'!$M$4:$M$451,MATCH($O101&amp;"|"&amp;$S101&amp;"|"&amp;$AH101,'ASIGNACIONES'!$N$4:$N$451,0)),0)-$AJ101)</f>
        <v/>
      </c>
      <c r="AL101" s="32">
        <f>IF($A101="","",IFERROR(INDEX('2_IMPORTAR_EJECUCION'!$F$9:$F$1208,MATCH($AU101,'2_IMPORTAR_EJECUCION'!$J$9:$J$1208,0)),0))</f>
        <v/>
      </c>
      <c r="AM101" s="32">
        <f>IF($A101="","",MAX(0,IFERROR(INDEX('2_IMPORTAR_EJECUCION'!$H$9:$H$1208,MATCH($AU101,'2_IMPORTAR_EJECUCION'!$J$9:$J$1208,0)),0)-$AL101))</f>
        <v/>
      </c>
      <c r="AN101" s="32">
        <f>IF($A101="","",$AL101+$AM101)</f>
        <v/>
      </c>
      <c r="AO101" s="24">
        <f>IF($A101="","",IF(OR((IFERROR(INDEX('CAT_ACTIVIDADES'!$D$4:$D$26,MATCH($H101,'CAT_ACTIVIDADES'!$A$4:$A$26,0)),""))=0,(IFERROR(INDEX('CAT_ACTIVIDADES'!$D$4:$D$26,MATCH($H101,'CAT_ACTIVIDADES'!$A$4:$A$26,0)),""))=""),"SIN CLASIFICAR",IFERROR(INDEX('CAT_ACTIVIDADES'!$D$4:$D$26,MATCH($H101,'CAT_ACTIVIDADES'!$A$4:$A$26,0)),"")))</f>
        <v/>
      </c>
      <c r="AP101" s="4" t="n"/>
      <c r="AQ101" s="4" t="n"/>
      <c r="AR101" s="4" t="n"/>
      <c r="AS101" s="24">
        <f>IF($AR101="","",HYPERLINK(p_ruta_base_checklists&amp;$AR101,"abrir"))</f>
        <v/>
      </c>
      <c r="AT101" s="4" t="n"/>
      <c r="AU101" s="24">
        <f>IF($A101="","",$A101&amp;IF($B101="","0010",$B101))</f>
        <v/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41" t="n"/>
      <c r="K102" s="5" t="n"/>
      <c r="L102" s="18" t="n"/>
      <c r="M102" s="24">
        <f>IF($A102="","",IFERROR(INDEX('AJUSTES'!$B$4:$B$303,MATCH($AU102,'AJUSTES'!$A$4:$A$303,0)),IF($K102="","",$K102)))</f>
        <v/>
      </c>
      <c r="N102" s="24">
        <f>IF($A102="","",IFERROR(INDEX('CAT_ESTADOS_ERP'!$B$4:$B$22,MATCH(IFERROR(INDEX('2_IMPORTAR_EJECUCION'!$C$9:$C$1208,MATCH($AU102,'2_IMPORTAR_EJECUCION'!$J$9:$J$1208,0)),""),'CAT_ESTADOS_ERP'!$A$4:$A$22,0)),"Pendiente"))</f>
        <v/>
      </c>
      <c r="O102" s="24">
        <f>IF($J102="","",YEAR($J102+4-WEEKDAY($J102,2))&amp;"-S"&amp;TEXT(_xlfn.ISOWEEKNUM($J102),"00"))</f>
        <v/>
      </c>
      <c r="P102" s="24">
        <f>IF($J102="","",YEAR($J102))</f>
        <v/>
      </c>
      <c r="Q102" s="24">
        <f>IF($J102="","",MONTH($J102))</f>
        <v/>
      </c>
      <c r="R102" s="24">
        <f>IF($J102="","",$P102&amp;"-"&amp;TEXT($Q102,"00"))</f>
        <v/>
      </c>
      <c r="S102" s="24">
        <f>IF($J102="","",INDEX(lista_dias,WEEKDAY($J102,2)))</f>
        <v/>
      </c>
      <c r="T102" s="24">
        <f>IF($J102="","",IFERROR(INDEX('CALENDARIO'!$C$15:$C$214,MATCH(TEXT($J102,"yyyy-mm-dd")&amp;"|"&amp;$Y102&amp;"|"&amp;$Z102,'CALENDARIO'!$G$15:$G$214,0)),IFERROR(INDEX('CALENDARIO'!$C$15:$C$214,MATCH(TEXT($J102,"yyyy-mm-dd")&amp;"|"&amp;$Y102&amp;"|",'CALENDARIO'!$G$15:$G$214,0)),IFERROR(INDEX('CALENDARIO'!$C$15:$C$214,MATCH(TEXT($J102,"yyyy-mm-dd")&amp;"||",'CALENDARIO'!$G$15:$G$214,0)),INDEX(patronHabil,WEEKDAY($J102,2))))))</f>
        <v/>
      </c>
      <c r="U102" s="24">
        <f>IF($I102="","",IFERROR(INDEX('CAT_TIPOS_OT'!$C$4:$C$23,MATCH($I102,'CAT_TIPOS_OT'!$A$4:$A$23,0)),"sin_clasificar"))</f>
        <v/>
      </c>
      <c r="V102" s="24">
        <f>IF($I102="","",IF(IFERROR(INDEX('CAT_TIPOS_OT'!$D$4:$D$23,MATCH($I102,'CAT_TIPOS_OT'!$A$4:$A$23,0)),"SIN CLASIFICAR")="","SIN CLASIFICAR",IFERROR(INDEX('CAT_TIPOS_OT'!$D$4:$D$23,MATCH($I102,'CAT_TIPOS_OT'!$A$4:$A$23,0)),"SIN CLASIFICAR")))</f>
        <v/>
      </c>
      <c r="W102" s="24">
        <f>IF($H102="","",IF(IFERROR(INDEX('CAT_ACTIVIDADES'!$F$4:$F$26,MATCH($H102,'CAT_ACTIVIDADES'!$A$4:$A$26,0)),"")=0,"",IFERROR(INDEX('CAT_ACTIVIDADES'!$F$4:$F$26,MATCH($H102,'CAT_ACTIVIDADES'!$A$4:$A$26,0)),"")))</f>
        <v/>
      </c>
      <c r="X102" s="24">
        <f>IF($F102="","",IFERROR(INDEX('CAT_CENTROS_COSTO'!$F$4:$F$28,MATCH($F102,'CAT_CENTROS_COSTO'!$A$4:$A$28,0)),"(sin catálogo)"))</f>
        <v/>
      </c>
      <c r="Y102" s="24">
        <f>IF($F102="","",IFERROR(INDEX('CAT_CENTROS_COSTO'!$D$4:$D$28,MATCH($F102,'CAT_CENTROS_COSTO'!$A$4:$A$28,0)),"(sin catálogo)"))</f>
        <v/>
      </c>
      <c r="Z102" s="24">
        <f>IF($F102="","",IF((IFERROR(INDEX('CAT_CENTROS_COSTO'!$E$4:$E$28,MATCH($F102,'CAT_CENTROS_COSTO'!$A$4:$A$28,0)),""))&lt;&gt;"",IFERROR(INDEX('CAT_CENTROS_COSTO'!$E$4:$E$28,MATCH($F102,'CAT_CENTROS_COSTO'!$A$4:$A$28,0)),""),$Y102))</f>
        <v/>
      </c>
      <c r="AA102" s="24">
        <f>IF($F102="","",IFERROR(INDEX('CAT_CENTROS_COSTO'!$G$4:$G$28,MATCH($F102,'CAT_CENTROS_COSTO'!$A$4:$A$28,0)),"(sin catálogo)"))</f>
        <v/>
      </c>
      <c r="AB102" s="24">
        <f>IF($G102="","",IFERROR(INDEX('CAT_PUESTOS'!$B$4:$B$23,MATCH($G102,'CAT_PUESTOS'!$A$4:$A$23,0)),"(sin catálogo)"))</f>
        <v/>
      </c>
      <c r="AC102" s="24">
        <f>IF($H102="","",IFERROR(INDEX('CAT_ACTIVIDADES'!$B$4:$B$26,MATCH($H102,'CAT_ACTIVIDADES'!$A$4:$A$26,0)),"(sin catálogo)"))</f>
        <v/>
      </c>
      <c r="AD102" s="26">
        <f>IF($J102="","",TODAY()-$J102)</f>
        <v/>
      </c>
      <c r="AE102" s="26">
        <f>IF($J102="","",IF($J102&lt;=TODAY(),COUNTIFS(cal_fechas,"&gt;="&amp;$J102,cal_fechas,"&lt;"&amp;TODAY(),cal_habil,"sí"),-COUNTIFS(cal_fechas,"&gt;="&amp;TODAY(),cal_fechas,"&lt;"&amp;$J102,cal_habil,"sí")))</f>
        <v/>
      </c>
      <c r="AF102" s="24">
        <f>IF($AE102="","",IF($AE102&lt;0,"FUTURO",IF($AE102&gt;p_dias_backlog_max,"BACKLOG","MES CORRIENTE")))</f>
        <v/>
      </c>
      <c r="AG102" s="24">
        <f>IF($AE102="",FALSE,AND($AE102&gt;p_dias_backlog_min,$AE102&lt;=p_dias_backlog_max))</f>
        <v/>
      </c>
      <c r="AH102" s="4" t="n"/>
      <c r="AI102" s="24">
        <f>IF($AH102="","",IF((IFERROR(INDEX('ASIGNACIONES'!$J$4:$J$451,MATCH($O102&amp;"|"&amp;$S102&amp;"|"&amp;$AH102,'ASIGNACIONES'!$N$4:$N$451,0)),""))=0,"",IFERROR(INDEX('ASIGNACIONES'!$J$4:$J$451,MATCH($O102&amp;"|"&amp;$S102&amp;"|"&amp;$AH102,'ASIGNACIONES'!$N$4:$N$451,0)),"")))</f>
        <v/>
      </c>
      <c r="AJ102" s="42">
        <f>IF($AH102="","",SUMIFS('ORDENES'!$M$4:$M$1203,'ORDENES'!$AH$4:$AH$1203,$AH102,'ORDENES'!$O$4:$O$1203,$O102,'ORDENES'!$S$4:$S$1203,$S102))</f>
        <v/>
      </c>
      <c r="AK102" s="42">
        <f>IF($AJ102="","",p_factor_productividad*IFERROR(INDEX('ASIGNACIONES'!$M$4:$M$451,MATCH($O102&amp;"|"&amp;$S102&amp;"|"&amp;$AH102,'ASIGNACIONES'!$N$4:$N$451,0)),0)-$AJ102)</f>
        <v/>
      </c>
      <c r="AL102" s="32">
        <f>IF($A102="","",IFERROR(INDEX('2_IMPORTAR_EJECUCION'!$F$9:$F$1208,MATCH($AU102,'2_IMPORTAR_EJECUCION'!$J$9:$J$1208,0)),0))</f>
        <v/>
      </c>
      <c r="AM102" s="32">
        <f>IF($A102="","",MAX(0,IFERROR(INDEX('2_IMPORTAR_EJECUCION'!$H$9:$H$1208,MATCH($AU102,'2_IMPORTAR_EJECUCION'!$J$9:$J$1208,0)),0)-$AL102))</f>
        <v/>
      </c>
      <c r="AN102" s="32">
        <f>IF($A102="","",$AL102+$AM102)</f>
        <v/>
      </c>
      <c r="AO102" s="24">
        <f>IF($A102="","",IF(OR((IFERROR(INDEX('CAT_ACTIVIDADES'!$D$4:$D$26,MATCH($H102,'CAT_ACTIVIDADES'!$A$4:$A$26,0)),""))=0,(IFERROR(INDEX('CAT_ACTIVIDADES'!$D$4:$D$26,MATCH($H102,'CAT_ACTIVIDADES'!$A$4:$A$26,0)),""))=""),"SIN CLASIFICAR",IFERROR(INDEX('CAT_ACTIVIDADES'!$D$4:$D$26,MATCH($H102,'CAT_ACTIVIDADES'!$A$4:$A$26,0)),"")))</f>
        <v/>
      </c>
      <c r="AP102" s="4" t="n"/>
      <c r="AQ102" s="4" t="n"/>
      <c r="AR102" s="4" t="n"/>
      <c r="AS102" s="24">
        <f>IF($AR102="","",HYPERLINK(p_ruta_base_checklists&amp;$AR102,"abrir"))</f>
        <v/>
      </c>
      <c r="AT102" s="4" t="n"/>
      <c r="AU102" s="24">
        <f>IF($A102="","",$A102&amp;IF($B102="","0010",$B102))</f>
        <v/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41" t="n"/>
      <c r="K103" s="5" t="n"/>
      <c r="L103" s="18" t="n"/>
      <c r="M103" s="24">
        <f>IF($A103="","",IFERROR(INDEX('AJUSTES'!$B$4:$B$303,MATCH($AU103,'AJUSTES'!$A$4:$A$303,0)),IF($K103="","",$K103)))</f>
        <v/>
      </c>
      <c r="N103" s="24">
        <f>IF($A103="","",IFERROR(INDEX('CAT_ESTADOS_ERP'!$B$4:$B$22,MATCH(IFERROR(INDEX('2_IMPORTAR_EJECUCION'!$C$9:$C$1208,MATCH($AU103,'2_IMPORTAR_EJECUCION'!$J$9:$J$1208,0)),""),'CAT_ESTADOS_ERP'!$A$4:$A$22,0)),"Pendiente"))</f>
        <v/>
      </c>
      <c r="O103" s="24">
        <f>IF($J103="","",YEAR($J103+4-WEEKDAY($J103,2))&amp;"-S"&amp;TEXT(_xlfn.ISOWEEKNUM($J103),"00"))</f>
        <v/>
      </c>
      <c r="P103" s="24">
        <f>IF($J103="","",YEAR($J103))</f>
        <v/>
      </c>
      <c r="Q103" s="24">
        <f>IF($J103="","",MONTH($J103))</f>
        <v/>
      </c>
      <c r="R103" s="24">
        <f>IF($J103="","",$P103&amp;"-"&amp;TEXT($Q103,"00"))</f>
        <v/>
      </c>
      <c r="S103" s="24">
        <f>IF($J103="","",INDEX(lista_dias,WEEKDAY($J103,2)))</f>
        <v/>
      </c>
      <c r="T103" s="24">
        <f>IF($J103="","",IFERROR(INDEX('CALENDARIO'!$C$15:$C$214,MATCH(TEXT($J103,"yyyy-mm-dd")&amp;"|"&amp;$Y103&amp;"|"&amp;$Z103,'CALENDARIO'!$G$15:$G$214,0)),IFERROR(INDEX('CALENDARIO'!$C$15:$C$214,MATCH(TEXT($J103,"yyyy-mm-dd")&amp;"|"&amp;$Y103&amp;"|",'CALENDARIO'!$G$15:$G$214,0)),IFERROR(INDEX('CALENDARIO'!$C$15:$C$214,MATCH(TEXT($J103,"yyyy-mm-dd")&amp;"||",'CALENDARIO'!$G$15:$G$214,0)),INDEX(patronHabil,WEEKDAY($J103,2))))))</f>
        <v/>
      </c>
      <c r="U103" s="24">
        <f>IF($I103="","",IFERROR(INDEX('CAT_TIPOS_OT'!$C$4:$C$23,MATCH($I103,'CAT_TIPOS_OT'!$A$4:$A$23,0)),"sin_clasificar"))</f>
        <v/>
      </c>
      <c r="V103" s="24">
        <f>IF($I103="","",IF(IFERROR(INDEX('CAT_TIPOS_OT'!$D$4:$D$23,MATCH($I103,'CAT_TIPOS_OT'!$A$4:$A$23,0)),"SIN CLASIFICAR")="","SIN CLASIFICAR",IFERROR(INDEX('CAT_TIPOS_OT'!$D$4:$D$23,MATCH($I103,'CAT_TIPOS_OT'!$A$4:$A$23,0)),"SIN CLASIFICAR")))</f>
        <v/>
      </c>
      <c r="W103" s="24">
        <f>IF($H103="","",IF(IFERROR(INDEX('CAT_ACTIVIDADES'!$F$4:$F$26,MATCH($H103,'CAT_ACTIVIDADES'!$A$4:$A$26,0)),"")=0,"",IFERROR(INDEX('CAT_ACTIVIDADES'!$F$4:$F$26,MATCH($H103,'CAT_ACTIVIDADES'!$A$4:$A$26,0)),"")))</f>
        <v/>
      </c>
      <c r="X103" s="24">
        <f>IF($F103="","",IFERROR(INDEX('CAT_CENTROS_COSTO'!$F$4:$F$28,MATCH($F103,'CAT_CENTROS_COSTO'!$A$4:$A$28,0)),"(sin catálogo)"))</f>
        <v/>
      </c>
      <c r="Y103" s="24">
        <f>IF($F103="","",IFERROR(INDEX('CAT_CENTROS_COSTO'!$D$4:$D$28,MATCH($F103,'CAT_CENTROS_COSTO'!$A$4:$A$28,0)),"(sin catálogo)"))</f>
        <v/>
      </c>
      <c r="Z103" s="24">
        <f>IF($F103="","",IF((IFERROR(INDEX('CAT_CENTROS_COSTO'!$E$4:$E$28,MATCH($F103,'CAT_CENTROS_COSTO'!$A$4:$A$28,0)),""))&lt;&gt;"",IFERROR(INDEX('CAT_CENTROS_COSTO'!$E$4:$E$28,MATCH($F103,'CAT_CENTROS_COSTO'!$A$4:$A$28,0)),""),$Y103))</f>
        <v/>
      </c>
      <c r="AA103" s="24">
        <f>IF($F103="","",IFERROR(INDEX('CAT_CENTROS_COSTO'!$G$4:$G$28,MATCH($F103,'CAT_CENTROS_COSTO'!$A$4:$A$28,0)),"(sin catálogo)"))</f>
        <v/>
      </c>
      <c r="AB103" s="24">
        <f>IF($G103="","",IFERROR(INDEX('CAT_PUESTOS'!$B$4:$B$23,MATCH($G103,'CAT_PUESTOS'!$A$4:$A$23,0)),"(sin catálogo)"))</f>
        <v/>
      </c>
      <c r="AC103" s="24">
        <f>IF($H103="","",IFERROR(INDEX('CAT_ACTIVIDADES'!$B$4:$B$26,MATCH($H103,'CAT_ACTIVIDADES'!$A$4:$A$26,0)),"(sin catálogo)"))</f>
        <v/>
      </c>
      <c r="AD103" s="26">
        <f>IF($J103="","",TODAY()-$J103)</f>
        <v/>
      </c>
      <c r="AE103" s="26">
        <f>IF($J103="","",IF($J103&lt;=TODAY(),COUNTIFS(cal_fechas,"&gt;="&amp;$J103,cal_fechas,"&lt;"&amp;TODAY(),cal_habil,"sí"),-COUNTIFS(cal_fechas,"&gt;="&amp;TODAY(),cal_fechas,"&lt;"&amp;$J103,cal_habil,"sí")))</f>
        <v/>
      </c>
      <c r="AF103" s="24">
        <f>IF($AE103="","",IF($AE103&lt;0,"FUTURO",IF($AE103&gt;p_dias_backlog_max,"BACKLOG","MES CORRIENTE")))</f>
        <v/>
      </c>
      <c r="AG103" s="24">
        <f>IF($AE103="",FALSE,AND($AE103&gt;p_dias_backlog_min,$AE103&lt;=p_dias_backlog_max))</f>
        <v/>
      </c>
      <c r="AH103" s="4" t="n"/>
      <c r="AI103" s="24">
        <f>IF($AH103="","",IF((IFERROR(INDEX('ASIGNACIONES'!$J$4:$J$451,MATCH($O103&amp;"|"&amp;$S103&amp;"|"&amp;$AH103,'ASIGNACIONES'!$N$4:$N$451,0)),""))=0,"",IFERROR(INDEX('ASIGNACIONES'!$J$4:$J$451,MATCH($O103&amp;"|"&amp;$S103&amp;"|"&amp;$AH103,'ASIGNACIONES'!$N$4:$N$451,0)),"")))</f>
        <v/>
      </c>
      <c r="AJ103" s="42">
        <f>IF($AH103="","",SUMIFS('ORDENES'!$M$4:$M$1203,'ORDENES'!$AH$4:$AH$1203,$AH103,'ORDENES'!$O$4:$O$1203,$O103,'ORDENES'!$S$4:$S$1203,$S103))</f>
        <v/>
      </c>
      <c r="AK103" s="42">
        <f>IF($AJ103="","",p_factor_productividad*IFERROR(INDEX('ASIGNACIONES'!$M$4:$M$451,MATCH($O103&amp;"|"&amp;$S103&amp;"|"&amp;$AH103,'ASIGNACIONES'!$N$4:$N$451,0)),0)-$AJ103)</f>
        <v/>
      </c>
      <c r="AL103" s="32">
        <f>IF($A103="","",IFERROR(INDEX('2_IMPORTAR_EJECUCION'!$F$9:$F$1208,MATCH($AU103,'2_IMPORTAR_EJECUCION'!$J$9:$J$1208,0)),0))</f>
        <v/>
      </c>
      <c r="AM103" s="32">
        <f>IF($A103="","",MAX(0,IFERROR(INDEX('2_IMPORTAR_EJECUCION'!$H$9:$H$1208,MATCH($AU103,'2_IMPORTAR_EJECUCION'!$J$9:$J$1208,0)),0)-$AL103))</f>
        <v/>
      </c>
      <c r="AN103" s="32">
        <f>IF($A103="","",$AL103+$AM103)</f>
        <v/>
      </c>
      <c r="AO103" s="24">
        <f>IF($A103="","",IF(OR((IFERROR(INDEX('CAT_ACTIVIDADES'!$D$4:$D$26,MATCH($H103,'CAT_ACTIVIDADES'!$A$4:$A$26,0)),""))=0,(IFERROR(INDEX('CAT_ACTIVIDADES'!$D$4:$D$26,MATCH($H103,'CAT_ACTIVIDADES'!$A$4:$A$26,0)),""))=""),"SIN CLASIFICAR",IFERROR(INDEX('CAT_ACTIVIDADES'!$D$4:$D$26,MATCH($H103,'CAT_ACTIVIDADES'!$A$4:$A$26,0)),"")))</f>
        <v/>
      </c>
      <c r="AP103" s="4" t="n"/>
      <c r="AQ103" s="4" t="n"/>
      <c r="AR103" s="4" t="n"/>
      <c r="AS103" s="24">
        <f>IF($AR103="","",HYPERLINK(p_ruta_base_checklists&amp;$AR103,"abrir"))</f>
        <v/>
      </c>
      <c r="AT103" s="4" t="n"/>
      <c r="AU103" s="24">
        <f>IF($A103="","",$A103&amp;IF($B103="","0010",$B103))</f>
        <v/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41" t="n"/>
      <c r="K104" s="5" t="n"/>
      <c r="L104" s="18" t="n"/>
      <c r="M104" s="24">
        <f>IF($A104="","",IFERROR(INDEX('AJUSTES'!$B$4:$B$303,MATCH($AU104,'AJUSTES'!$A$4:$A$303,0)),IF($K104="","",$K104)))</f>
        <v/>
      </c>
      <c r="N104" s="24">
        <f>IF($A104="","",IFERROR(INDEX('CAT_ESTADOS_ERP'!$B$4:$B$22,MATCH(IFERROR(INDEX('2_IMPORTAR_EJECUCION'!$C$9:$C$1208,MATCH($AU104,'2_IMPORTAR_EJECUCION'!$J$9:$J$1208,0)),""),'CAT_ESTADOS_ERP'!$A$4:$A$22,0)),"Pendiente"))</f>
        <v/>
      </c>
      <c r="O104" s="24">
        <f>IF($J104="","",YEAR($J104+4-WEEKDAY($J104,2))&amp;"-S"&amp;TEXT(_xlfn.ISOWEEKNUM($J104),"00"))</f>
        <v/>
      </c>
      <c r="P104" s="24">
        <f>IF($J104="","",YEAR($J104))</f>
        <v/>
      </c>
      <c r="Q104" s="24">
        <f>IF($J104="","",MONTH($J104))</f>
        <v/>
      </c>
      <c r="R104" s="24">
        <f>IF($J104="","",$P104&amp;"-"&amp;TEXT($Q104,"00"))</f>
        <v/>
      </c>
      <c r="S104" s="24">
        <f>IF($J104="","",INDEX(lista_dias,WEEKDAY($J104,2)))</f>
        <v/>
      </c>
      <c r="T104" s="24">
        <f>IF($J104="","",IFERROR(INDEX('CALENDARIO'!$C$15:$C$214,MATCH(TEXT($J104,"yyyy-mm-dd")&amp;"|"&amp;$Y104&amp;"|"&amp;$Z104,'CALENDARIO'!$G$15:$G$214,0)),IFERROR(INDEX('CALENDARIO'!$C$15:$C$214,MATCH(TEXT($J104,"yyyy-mm-dd")&amp;"|"&amp;$Y104&amp;"|",'CALENDARIO'!$G$15:$G$214,0)),IFERROR(INDEX('CALENDARIO'!$C$15:$C$214,MATCH(TEXT($J104,"yyyy-mm-dd")&amp;"||",'CALENDARIO'!$G$15:$G$214,0)),INDEX(patronHabil,WEEKDAY($J104,2))))))</f>
        <v/>
      </c>
      <c r="U104" s="24">
        <f>IF($I104="","",IFERROR(INDEX('CAT_TIPOS_OT'!$C$4:$C$23,MATCH($I104,'CAT_TIPOS_OT'!$A$4:$A$23,0)),"sin_clasificar"))</f>
        <v/>
      </c>
      <c r="V104" s="24">
        <f>IF($I104="","",IF(IFERROR(INDEX('CAT_TIPOS_OT'!$D$4:$D$23,MATCH($I104,'CAT_TIPOS_OT'!$A$4:$A$23,0)),"SIN CLASIFICAR")="","SIN CLASIFICAR",IFERROR(INDEX('CAT_TIPOS_OT'!$D$4:$D$23,MATCH($I104,'CAT_TIPOS_OT'!$A$4:$A$23,0)),"SIN CLASIFICAR")))</f>
        <v/>
      </c>
      <c r="W104" s="24">
        <f>IF($H104="","",IF(IFERROR(INDEX('CAT_ACTIVIDADES'!$F$4:$F$26,MATCH($H104,'CAT_ACTIVIDADES'!$A$4:$A$26,0)),"")=0,"",IFERROR(INDEX('CAT_ACTIVIDADES'!$F$4:$F$26,MATCH($H104,'CAT_ACTIVIDADES'!$A$4:$A$26,0)),"")))</f>
        <v/>
      </c>
      <c r="X104" s="24">
        <f>IF($F104="","",IFERROR(INDEX('CAT_CENTROS_COSTO'!$F$4:$F$28,MATCH($F104,'CAT_CENTROS_COSTO'!$A$4:$A$28,0)),"(sin catálogo)"))</f>
        <v/>
      </c>
      <c r="Y104" s="24">
        <f>IF($F104="","",IFERROR(INDEX('CAT_CENTROS_COSTO'!$D$4:$D$28,MATCH($F104,'CAT_CENTROS_COSTO'!$A$4:$A$28,0)),"(sin catálogo)"))</f>
        <v/>
      </c>
      <c r="Z104" s="24">
        <f>IF($F104="","",IF((IFERROR(INDEX('CAT_CENTROS_COSTO'!$E$4:$E$28,MATCH($F104,'CAT_CENTROS_COSTO'!$A$4:$A$28,0)),""))&lt;&gt;"",IFERROR(INDEX('CAT_CENTROS_COSTO'!$E$4:$E$28,MATCH($F104,'CAT_CENTROS_COSTO'!$A$4:$A$28,0)),""),$Y104))</f>
        <v/>
      </c>
      <c r="AA104" s="24">
        <f>IF($F104="","",IFERROR(INDEX('CAT_CENTROS_COSTO'!$G$4:$G$28,MATCH($F104,'CAT_CENTROS_COSTO'!$A$4:$A$28,0)),"(sin catálogo)"))</f>
        <v/>
      </c>
      <c r="AB104" s="24">
        <f>IF($G104="","",IFERROR(INDEX('CAT_PUESTOS'!$B$4:$B$23,MATCH($G104,'CAT_PUESTOS'!$A$4:$A$23,0)),"(sin catálogo)"))</f>
        <v/>
      </c>
      <c r="AC104" s="24">
        <f>IF($H104="","",IFERROR(INDEX('CAT_ACTIVIDADES'!$B$4:$B$26,MATCH($H104,'CAT_ACTIVIDADES'!$A$4:$A$26,0)),"(sin catálogo)"))</f>
        <v/>
      </c>
      <c r="AD104" s="26">
        <f>IF($J104="","",TODAY()-$J104)</f>
        <v/>
      </c>
      <c r="AE104" s="26">
        <f>IF($J104="","",IF($J104&lt;=TODAY(),COUNTIFS(cal_fechas,"&gt;="&amp;$J104,cal_fechas,"&lt;"&amp;TODAY(),cal_habil,"sí"),-COUNTIFS(cal_fechas,"&gt;="&amp;TODAY(),cal_fechas,"&lt;"&amp;$J104,cal_habil,"sí")))</f>
        <v/>
      </c>
      <c r="AF104" s="24">
        <f>IF($AE104="","",IF($AE104&lt;0,"FUTURO",IF($AE104&gt;p_dias_backlog_max,"BACKLOG","MES CORRIENTE")))</f>
        <v/>
      </c>
      <c r="AG104" s="24">
        <f>IF($AE104="",FALSE,AND($AE104&gt;p_dias_backlog_min,$AE104&lt;=p_dias_backlog_max))</f>
        <v/>
      </c>
      <c r="AH104" s="4" t="n"/>
      <c r="AI104" s="24">
        <f>IF($AH104="","",IF((IFERROR(INDEX('ASIGNACIONES'!$J$4:$J$451,MATCH($O104&amp;"|"&amp;$S104&amp;"|"&amp;$AH104,'ASIGNACIONES'!$N$4:$N$451,0)),""))=0,"",IFERROR(INDEX('ASIGNACIONES'!$J$4:$J$451,MATCH($O104&amp;"|"&amp;$S104&amp;"|"&amp;$AH104,'ASIGNACIONES'!$N$4:$N$451,0)),"")))</f>
        <v/>
      </c>
      <c r="AJ104" s="42">
        <f>IF($AH104="","",SUMIFS('ORDENES'!$M$4:$M$1203,'ORDENES'!$AH$4:$AH$1203,$AH104,'ORDENES'!$O$4:$O$1203,$O104,'ORDENES'!$S$4:$S$1203,$S104))</f>
        <v/>
      </c>
      <c r="AK104" s="42">
        <f>IF($AJ104="","",p_factor_productividad*IFERROR(INDEX('ASIGNACIONES'!$M$4:$M$451,MATCH($O104&amp;"|"&amp;$S104&amp;"|"&amp;$AH104,'ASIGNACIONES'!$N$4:$N$451,0)),0)-$AJ104)</f>
        <v/>
      </c>
      <c r="AL104" s="32">
        <f>IF($A104="","",IFERROR(INDEX('2_IMPORTAR_EJECUCION'!$F$9:$F$1208,MATCH($AU104,'2_IMPORTAR_EJECUCION'!$J$9:$J$1208,0)),0))</f>
        <v/>
      </c>
      <c r="AM104" s="32">
        <f>IF($A104="","",MAX(0,IFERROR(INDEX('2_IMPORTAR_EJECUCION'!$H$9:$H$1208,MATCH($AU104,'2_IMPORTAR_EJECUCION'!$J$9:$J$1208,0)),0)-$AL104))</f>
        <v/>
      </c>
      <c r="AN104" s="32">
        <f>IF($A104="","",$AL104+$AM104)</f>
        <v/>
      </c>
      <c r="AO104" s="24">
        <f>IF($A104="","",IF(OR((IFERROR(INDEX('CAT_ACTIVIDADES'!$D$4:$D$26,MATCH($H104,'CAT_ACTIVIDADES'!$A$4:$A$26,0)),""))=0,(IFERROR(INDEX('CAT_ACTIVIDADES'!$D$4:$D$26,MATCH($H104,'CAT_ACTIVIDADES'!$A$4:$A$26,0)),""))=""),"SIN CLASIFICAR",IFERROR(INDEX('CAT_ACTIVIDADES'!$D$4:$D$26,MATCH($H104,'CAT_ACTIVIDADES'!$A$4:$A$26,0)),"")))</f>
        <v/>
      </c>
      <c r="AP104" s="4" t="n"/>
      <c r="AQ104" s="4" t="n"/>
      <c r="AR104" s="4" t="n"/>
      <c r="AS104" s="24">
        <f>IF($AR104="","",HYPERLINK(p_ruta_base_checklists&amp;$AR104,"abrir"))</f>
        <v/>
      </c>
      <c r="AT104" s="4" t="n"/>
      <c r="AU104" s="24">
        <f>IF($A104="","",$A104&amp;IF($B104="","0010",$B104))</f>
        <v/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41" t="n"/>
      <c r="K105" s="5" t="n"/>
      <c r="L105" s="18" t="n"/>
      <c r="M105" s="24">
        <f>IF($A105="","",IFERROR(INDEX('AJUSTES'!$B$4:$B$303,MATCH($AU105,'AJUSTES'!$A$4:$A$303,0)),IF($K105="","",$K105)))</f>
        <v/>
      </c>
      <c r="N105" s="24">
        <f>IF($A105="","",IFERROR(INDEX('CAT_ESTADOS_ERP'!$B$4:$B$22,MATCH(IFERROR(INDEX('2_IMPORTAR_EJECUCION'!$C$9:$C$1208,MATCH($AU105,'2_IMPORTAR_EJECUCION'!$J$9:$J$1208,0)),""),'CAT_ESTADOS_ERP'!$A$4:$A$22,0)),"Pendiente"))</f>
        <v/>
      </c>
      <c r="O105" s="24">
        <f>IF($J105="","",YEAR($J105+4-WEEKDAY($J105,2))&amp;"-S"&amp;TEXT(_xlfn.ISOWEEKNUM($J105),"00"))</f>
        <v/>
      </c>
      <c r="P105" s="24">
        <f>IF($J105="","",YEAR($J105))</f>
        <v/>
      </c>
      <c r="Q105" s="24">
        <f>IF($J105="","",MONTH($J105))</f>
        <v/>
      </c>
      <c r="R105" s="24">
        <f>IF($J105="","",$P105&amp;"-"&amp;TEXT($Q105,"00"))</f>
        <v/>
      </c>
      <c r="S105" s="24">
        <f>IF($J105="","",INDEX(lista_dias,WEEKDAY($J105,2)))</f>
        <v/>
      </c>
      <c r="T105" s="24">
        <f>IF($J105="","",IFERROR(INDEX('CALENDARIO'!$C$15:$C$214,MATCH(TEXT($J105,"yyyy-mm-dd")&amp;"|"&amp;$Y105&amp;"|"&amp;$Z105,'CALENDARIO'!$G$15:$G$214,0)),IFERROR(INDEX('CALENDARIO'!$C$15:$C$214,MATCH(TEXT($J105,"yyyy-mm-dd")&amp;"|"&amp;$Y105&amp;"|",'CALENDARIO'!$G$15:$G$214,0)),IFERROR(INDEX('CALENDARIO'!$C$15:$C$214,MATCH(TEXT($J105,"yyyy-mm-dd")&amp;"||",'CALENDARIO'!$G$15:$G$214,0)),INDEX(patronHabil,WEEKDAY($J105,2))))))</f>
        <v/>
      </c>
      <c r="U105" s="24">
        <f>IF($I105="","",IFERROR(INDEX('CAT_TIPOS_OT'!$C$4:$C$23,MATCH($I105,'CAT_TIPOS_OT'!$A$4:$A$23,0)),"sin_clasificar"))</f>
        <v/>
      </c>
      <c r="V105" s="24">
        <f>IF($I105="","",IF(IFERROR(INDEX('CAT_TIPOS_OT'!$D$4:$D$23,MATCH($I105,'CAT_TIPOS_OT'!$A$4:$A$23,0)),"SIN CLASIFICAR")="","SIN CLASIFICAR",IFERROR(INDEX('CAT_TIPOS_OT'!$D$4:$D$23,MATCH($I105,'CAT_TIPOS_OT'!$A$4:$A$23,0)),"SIN CLASIFICAR")))</f>
        <v/>
      </c>
      <c r="W105" s="24">
        <f>IF($H105="","",IF(IFERROR(INDEX('CAT_ACTIVIDADES'!$F$4:$F$26,MATCH($H105,'CAT_ACTIVIDADES'!$A$4:$A$26,0)),"")=0,"",IFERROR(INDEX('CAT_ACTIVIDADES'!$F$4:$F$26,MATCH($H105,'CAT_ACTIVIDADES'!$A$4:$A$26,0)),"")))</f>
        <v/>
      </c>
      <c r="X105" s="24">
        <f>IF($F105="","",IFERROR(INDEX('CAT_CENTROS_COSTO'!$F$4:$F$28,MATCH($F105,'CAT_CENTROS_COSTO'!$A$4:$A$28,0)),"(sin catálogo)"))</f>
        <v/>
      </c>
      <c r="Y105" s="24">
        <f>IF($F105="","",IFERROR(INDEX('CAT_CENTROS_COSTO'!$D$4:$D$28,MATCH($F105,'CAT_CENTROS_COSTO'!$A$4:$A$28,0)),"(sin catálogo)"))</f>
        <v/>
      </c>
      <c r="Z105" s="24">
        <f>IF($F105="","",IF((IFERROR(INDEX('CAT_CENTROS_COSTO'!$E$4:$E$28,MATCH($F105,'CAT_CENTROS_COSTO'!$A$4:$A$28,0)),""))&lt;&gt;"",IFERROR(INDEX('CAT_CENTROS_COSTO'!$E$4:$E$28,MATCH($F105,'CAT_CENTROS_COSTO'!$A$4:$A$28,0)),""),$Y105))</f>
        <v/>
      </c>
      <c r="AA105" s="24">
        <f>IF($F105="","",IFERROR(INDEX('CAT_CENTROS_COSTO'!$G$4:$G$28,MATCH($F105,'CAT_CENTROS_COSTO'!$A$4:$A$28,0)),"(sin catálogo)"))</f>
        <v/>
      </c>
      <c r="AB105" s="24">
        <f>IF($G105="","",IFERROR(INDEX('CAT_PUESTOS'!$B$4:$B$23,MATCH($G105,'CAT_PUESTOS'!$A$4:$A$23,0)),"(sin catálogo)"))</f>
        <v/>
      </c>
      <c r="AC105" s="24">
        <f>IF($H105="","",IFERROR(INDEX('CAT_ACTIVIDADES'!$B$4:$B$26,MATCH($H105,'CAT_ACTIVIDADES'!$A$4:$A$26,0)),"(sin catálogo)"))</f>
        <v/>
      </c>
      <c r="AD105" s="26">
        <f>IF($J105="","",TODAY()-$J105)</f>
        <v/>
      </c>
      <c r="AE105" s="26">
        <f>IF($J105="","",IF($J105&lt;=TODAY(),COUNTIFS(cal_fechas,"&gt;="&amp;$J105,cal_fechas,"&lt;"&amp;TODAY(),cal_habil,"sí"),-COUNTIFS(cal_fechas,"&gt;="&amp;TODAY(),cal_fechas,"&lt;"&amp;$J105,cal_habil,"sí")))</f>
        <v/>
      </c>
      <c r="AF105" s="24">
        <f>IF($AE105="","",IF($AE105&lt;0,"FUTURO",IF($AE105&gt;p_dias_backlog_max,"BACKLOG","MES CORRIENTE")))</f>
        <v/>
      </c>
      <c r="AG105" s="24">
        <f>IF($AE105="",FALSE,AND($AE105&gt;p_dias_backlog_min,$AE105&lt;=p_dias_backlog_max))</f>
        <v/>
      </c>
      <c r="AH105" s="4" t="n"/>
      <c r="AI105" s="24">
        <f>IF($AH105="","",IF((IFERROR(INDEX('ASIGNACIONES'!$J$4:$J$451,MATCH($O105&amp;"|"&amp;$S105&amp;"|"&amp;$AH105,'ASIGNACIONES'!$N$4:$N$451,0)),""))=0,"",IFERROR(INDEX('ASIGNACIONES'!$J$4:$J$451,MATCH($O105&amp;"|"&amp;$S105&amp;"|"&amp;$AH105,'ASIGNACIONES'!$N$4:$N$451,0)),"")))</f>
        <v/>
      </c>
      <c r="AJ105" s="42">
        <f>IF($AH105="","",SUMIFS('ORDENES'!$M$4:$M$1203,'ORDENES'!$AH$4:$AH$1203,$AH105,'ORDENES'!$O$4:$O$1203,$O105,'ORDENES'!$S$4:$S$1203,$S105))</f>
        <v/>
      </c>
      <c r="AK105" s="42">
        <f>IF($AJ105="","",p_factor_productividad*IFERROR(INDEX('ASIGNACIONES'!$M$4:$M$451,MATCH($O105&amp;"|"&amp;$S105&amp;"|"&amp;$AH105,'ASIGNACIONES'!$N$4:$N$451,0)),0)-$AJ105)</f>
        <v/>
      </c>
      <c r="AL105" s="32">
        <f>IF($A105="","",IFERROR(INDEX('2_IMPORTAR_EJECUCION'!$F$9:$F$1208,MATCH($AU105,'2_IMPORTAR_EJECUCION'!$J$9:$J$1208,0)),0))</f>
        <v/>
      </c>
      <c r="AM105" s="32">
        <f>IF($A105="","",MAX(0,IFERROR(INDEX('2_IMPORTAR_EJECUCION'!$H$9:$H$1208,MATCH($AU105,'2_IMPORTAR_EJECUCION'!$J$9:$J$1208,0)),0)-$AL105))</f>
        <v/>
      </c>
      <c r="AN105" s="32">
        <f>IF($A105="","",$AL105+$AM105)</f>
        <v/>
      </c>
      <c r="AO105" s="24">
        <f>IF($A105="","",IF(OR((IFERROR(INDEX('CAT_ACTIVIDADES'!$D$4:$D$26,MATCH($H105,'CAT_ACTIVIDADES'!$A$4:$A$26,0)),""))=0,(IFERROR(INDEX('CAT_ACTIVIDADES'!$D$4:$D$26,MATCH($H105,'CAT_ACTIVIDADES'!$A$4:$A$26,0)),""))=""),"SIN CLASIFICAR",IFERROR(INDEX('CAT_ACTIVIDADES'!$D$4:$D$26,MATCH($H105,'CAT_ACTIVIDADES'!$A$4:$A$26,0)),"")))</f>
        <v/>
      </c>
      <c r="AP105" s="4" t="n"/>
      <c r="AQ105" s="4" t="n"/>
      <c r="AR105" s="4" t="n"/>
      <c r="AS105" s="24">
        <f>IF($AR105="","",HYPERLINK(p_ruta_base_checklists&amp;$AR105,"abrir"))</f>
        <v/>
      </c>
      <c r="AT105" s="4" t="n"/>
      <c r="AU105" s="24">
        <f>IF($A105="","",$A105&amp;IF($B105="","0010",$B105))</f>
        <v/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41" t="n"/>
      <c r="K106" s="5" t="n"/>
      <c r="L106" s="18" t="n"/>
      <c r="M106" s="24">
        <f>IF($A106="","",IFERROR(INDEX('AJUSTES'!$B$4:$B$303,MATCH($AU106,'AJUSTES'!$A$4:$A$303,0)),IF($K106="","",$K106)))</f>
        <v/>
      </c>
      <c r="N106" s="24">
        <f>IF($A106="","",IFERROR(INDEX('CAT_ESTADOS_ERP'!$B$4:$B$22,MATCH(IFERROR(INDEX('2_IMPORTAR_EJECUCION'!$C$9:$C$1208,MATCH($AU106,'2_IMPORTAR_EJECUCION'!$J$9:$J$1208,0)),""),'CAT_ESTADOS_ERP'!$A$4:$A$22,0)),"Pendiente"))</f>
        <v/>
      </c>
      <c r="O106" s="24">
        <f>IF($J106="","",YEAR($J106+4-WEEKDAY($J106,2))&amp;"-S"&amp;TEXT(_xlfn.ISOWEEKNUM($J106),"00"))</f>
        <v/>
      </c>
      <c r="P106" s="24">
        <f>IF($J106="","",YEAR($J106))</f>
        <v/>
      </c>
      <c r="Q106" s="24">
        <f>IF($J106="","",MONTH($J106))</f>
        <v/>
      </c>
      <c r="R106" s="24">
        <f>IF($J106="","",$P106&amp;"-"&amp;TEXT($Q106,"00"))</f>
        <v/>
      </c>
      <c r="S106" s="24">
        <f>IF($J106="","",INDEX(lista_dias,WEEKDAY($J106,2)))</f>
        <v/>
      </c>
      <c r="T106" s="24">
        <f>IF($J106="","",IFERROR(INDEX('CALENDARIO'!$C$15:$C$214,MATCH(TEXT($J106,"yyyy-mm-dd")&amp;"|"&amp;$Y106&amp;"|"&amp;$Z106,'CALENDARIO'!$G$15:$G$214,0)),IFERROR(INDEX('CALENDARIO'!$C$15:$C$214,MATCH(TEXT($J106,"yyyy-mm-dd")&amp;"|"&amp;$Y106&amp;"|",'CALENDARIO'!$G$15:$G$214,0)),IFERROR(INDEX('CALENDARIO'!$C$15:$C$214,MATCH(TEXT($J106,"yyyy-mm-dd")&amp;"||",'CALENDARIO'!$G$15:$G$214,0)),INDEX(patronHabil,WEEKDAY($J106,2))))))</f>
        <v/>
      </c>
      <c r="U106" s="24">
        <f>IF($I106="","",IFERROR(INDEX('CAT_TIPOS_OT'!$C$4:$C$23,MATCH($I106,'CAT_TIPOS_OT'!$A$4:$A$23,0)),"sin_clasificar"))</f>
        <v/>
      </c>
      <c r="V106" s="24">
        <f>IF($I106="","",IF(IFERROR(INDEX('CAT_TIPOS_OT'!$D$4:$D$23,MATCH($I106,'CAT_TIPOS_OT'!$A$4:$A$23,0)),"SIN CLASIFICAR")="","SIN CLASIFICAR",IFERROR(INDEX('CAT_TIPOS_OT'!$D$4:$D$23,MATCH($I106,'CAT_TIPOS_OT'!$A$4:$A$23,0)),"SIN CLASIFICAR")))</f>
        <v/>
      </c>
      <c r="W106" s="24">
        <f>IF($H106="","",IF(IFERROR(INDEX('CAT_ACTIVIDADES'!$F$4:$F$26,MATCH($H106,'CAT_ACTIVIDADES'!$A$4:$A$26,0)),"")=0,"",IFERROR(INDEX('CAT_ACTIVIDADES'!$F$4:$F$26,MATCH($H106,'CAT_ACTIVIDADES'!$A$4:$A$26,0)),"")))</f>
        <v/>
      </c>
      <c r="X106" s="24">
        <f>IF($F106="","",IFERROR(INDEX('CAT_CENTROS_COSTO'!$F$4:$F$28,MATCH($F106,'CAT_CENTROS_COSTO'!$A$4:$A$28,0)),"(sin catálogo)"))</f>
        <v/>
      </c>
      <c r="Y106" s="24">
        <f>IF($F106="","",IFERROR(INDEX('CAT_CENTROS_COSTO'!$D$4:$D$28,MATCH($F106,'CAT_CENTROS_COSTO'!$A$4:$A$28,0)),"(sin catálogo)"))</f>
        <v/>
      </c>
      <c r="Z106" s="24">
        <f>IF($F106="","",IF((IFERROR(INDEX('CAT_CENTROS_COSTO'!$E$4:$E$28,MATCH($F106,'CAT_CENTROS_COSTO'!$A$4:$A$28,0)),""))&lt;&gt;"",IFERROR(INDEX('CAT_CENTROS_COSTO'!$E$4:$E$28,MATCH($F106,'CAT_CENTROS_COSTO'!$A$4:$A$28,0)),""),$Y106))</f>
        <v/>
      </c>
      <c r="AA106" s="24">
        <f>IF($F106="","",IFERROR(INDEX('CAT_CENTROS_COSTO'!$G$4:$G$28,MATCH($F106,'CAT_CENTROS_COSTO'!$A$4:$A$28,0)),"(sin catálogo)"))</f>
        <v/>
      </c>
      <c r="AB106" s="24">
        <f>IF($G106="","",IFERROR(INDEX('CAT_PUESTOS'!$B$4:$B$23,MATCH($G106,'CAT_PUESTOS'!$A$4:$A$23,0)),"(sin catálogo)"))</f>
        <v/>
      </c>
      <c r="AC106" s="24">
        <f>IF($H106="","",IFERROR(INDEX('CAT_ACTIVIDADES'!$B$4:$B$26,MATCH($H106,'CAT_ACTIVIDADES'!$A$4:$A$26,0)),"(sin catálogo)"))</f>
        <v/>
      </c>
      <c r="AD106" s="26">
        <f>IF($J106="","",TODAY()-$J106)</f>
        <v/>
      </c>
      <c r="AE106" s="26">
        <f>IF($J106="","",IF($J106&lt;=TODAY(),COUNTIFS(cal_fechas,"&gt;="&amp;$J106,cal_fechas,"&lt;"&amp;TODAY(),cal_habil,"sí"),-COUNTIFS(cal_fechas,"&gt;="&amp;TODAY(),cal_fechas,"&lt;"&amp;$J106,cal_habil,"sí")))</f>
        <v/>
      </c>
      <c r="AF106" s="24">
        <f>IF($AE106="","",IF($AE106&lt;0,"FUTURO",IF($AE106&gt;p_dias_backlog_max,"BACKLOG","MES CORRIENTE")))</f>
        <v/>
      </c>
      <c r="AG106" s="24">
        <f>IF($AE106="",FALSE,AND($AE106&gt;p_dias_backlog_min,$AE106&lt;=p_dias_backlog_max))</f>
        <v/>
      </c>
      <c r="AH106" s="4" t="n"/>
      <c r="AI106" s="24">
        <f>IF($AH106="","",IF((IFERROR(INDEX('ASIGNACIONES'!$J$4:$J$451,MATCH($O106&amp;"|"&amp;$S106&amp;"|"&amp;$AH106,'ASIGNACIONES'!$N$4:$N$451,0)),""))=0,"",IFERROR(INDEX('ASIGNACIONES'!$J$4:$J$451,MATCH($O106&amp;"|"&amp;$S106&amp;"|"&amp;$AH106,'ASIGNACIONES'!$N$4:$N$451,0)),"")))</f>
        <v/>
      </c>
      <c r="AJ106" s="42">
        <f>IF($AH106="","",SUMIFS('ORDENES'!$M$4:$M$1203,'ORDENES'!$AH$4:$AH$1203,$AH106,'ORDENES'!$O$4:$O$1203,$O106,'ORDENES'!$S$4:$S$1203,$S106))</f>
        <v/>
      </c>
      <c r="AK106" s="42">
        <f>IF($AJ106="","",p_factor_productividad*IFERROR(INDEX('ASIGNACIONES'!$M$4:$M$451,MATCH($O106&amp;"|"&amp;$S106&amp;"|"&amp;$AH106,'ASIGNACIONES'!$N$4:$N$451,0)),0)-$AJ106)</f>
        <v/>
      </c>
      <c r="AL106" s="32">
        <f>IF($A106="","",IFERROR(INDEX('2_IMPORTAR_EJECUCION'!$F$9:$F$1208,MATCH($AU106,'2_IMPORTAR_EJECUCION'!$J$9:$J$1208,0)),0))</f>
        <v/>
      </c>
      <c r="AM106" s="32">
        <f>IF($A106="","",MAX(0,IFERROR(INDEX('2_IMPORTAR_EJECUCION'!$H$9:$H$1208,MATCH($AU106,'2_IMPORTAR_EJECUCION'!$J$9:$J$1208,0)),0)-$AL106))</f>
        <v/>
      </c>
      <c r="AN106" s="32">
        <f>IF($A106="","",$AL106+$AM106)</f>
        <v/>
      </c>
      <c r="AO106" s="24">
        <f>IF($A106="","",IF(OR((IFERROR(INDEX('CAT_ACTIVIDADES'!$D$4:$D$26,MATCH($H106,'CAT_ACTIVIDADES'!$A$4:$A$26,0)),""))=0,(IFERROR(INDEX('CAT_ACTIVIDADES'!$D$4:$D$26,MATCH($H106,'CAT_ACTIVIDADES'!$A$4:$A$26,0)),""))=""),"SIN CLASIFICAR",IFERROR(INDEX('CAT_ACTIVIDADES'!$D$4:$D$26,MATCH($H106,'CAT_ACTIVIDADES'!$A$4:$A$26,0)),"")))</f>
        <v/>
      </c>
      <c r="AP106" s="4" t="n"/>
      <c r="AQ106" s="4" t="n"/>
      <c r="AR106" s="4" t="n"/>
      <c r="AS106" s="24">
        <f>IF($AR106="","",HYPERLINK(p_ruta_base_checklists&amp;$AR106,"abrir"))</f>
        <v/>
      </c>
      <c r="AT106" s="4" t="n"/>
      <c r="AU106" s="24">
        <f>IF($A106="","",$A106&amp;IF($B106="","0010",$B106))</f>
        <v/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41" t="n"/>
      <c r="K107" s="5" t="n"/>
      <c r="L107" s="18" t="n"/>
      <c r="M107" s="24">
        <f>IF($A107="","",IFERROR(INDEX('AJUSTES'!$B$4:$B$303,MATCH($AU107,'AJUSTES'!$A$4:$A$303,0)),IF($K107="","",$K107)))</f>
        <v/>
      </c>
      <c r="N107" s="24">
        <f>IF($A107="","",IFERROR(INDEX('CAT_ESTADOS_ERP'!$B$4:$B$22,MATCH(IFERROR(INDEX('2_IMPORTAR_EJECUCION'!$C$9:$C$1208,MATCH($AU107,'2_IMPORTAR_EJECUCION'!$J$9:$J$1208,0)),""),'CAT_ESTADOS_ERP'!$A$4:$A$22,0)),"Pendiente"))</f>
        <v/>
      </c>
      <c r="O107" s="24">
        <f>IF($J107="","",YEAR($J107+4-WEEKDAY($J107,2))&amp;"-S"&amp;TEXT(_xlfn.ISOWEEKNUM($J107),"00"))</f>
        <v/>
      </c>
      <c r="P107" s="24">
        <f>IF($J107="","",YEAR($J107))</f>
        <v/>
      </c>
      <c r="Q107" s="24">
        <f>IF($J107="","",MONTH($J107))</f>
        <v/>
      </c>
      <c r="R107" s="24">
        <f>IF($J107="","",$P107&amp;"-"&amp;TEXT($Q107,"00"))</f>
        <v/>
      </c>
      <c r="S107" s="24">
        <f>IF($J107="","",INDEX(lista_dias,WEEKDAY($J107,2)))</f>
        <v/>
      </c>
      <c r="T107" s="24">
        <f>IF($J107="","",IFERROR(INDEX('CALENDARIO'!$C$15:$C$214,MATCH(TEXT($J107,"yyyy-mm-dd")&amp;"|"&amp;$Y107&amp;"|"&amp;$Z107,'CALENDARIO'!$G$15:$G$214,0)),IFERROR(INDEX('CALENDARIO'!$C$15:$C$214,MATCH(TEXT($J107,"yyyy-mm-dd")&amp;"|"&amp;$Y107&amp;"|",'CALENDARIO'!$G$15:$G$214,0)),IFERROR(INDEX('CALENDARIO'!$C$15:$C$214,MATCH(TEXT($J107,"yyyy-mm-dd")&amp;"||",'CALENDARIO'!$G$15:$G$214,0)),INDEX(patronHabil,WEEKDAY($J107,2))))))</f>
        <v/>
      </c>
      <c r="U107" s="24">
        <f>IF($I107="","",IFERROR(INDEX('CAT_TIPOS_OT'!$C$4:$C$23,MATCH($I107,'CAT_TIPOS_OT'!$A$4:$A$23,0)),"sin_clasificar"))</f>
        <v/>
      </c>
      <c r="V107" s="24">
        <f>IF($I107="","",IF(IFERROR(INDEX('CAT_TIPOS_OT'!$D$4:$D$23,MATCH($I107,'CAT_TIPOS_OT'!$A$4:$A$23,0)),"SIN CLASIFICAR")="","SIN CLASIFICAR",IFERROR(INDEX('CAT_TIPOS_OT'!$D$4:$D$23,MATCH($I107,'CAT_TIPOS_OT'!$A$4:$A$23,0)),"SIN CLASIFICAR")))</f>
        <v/>
      </c>
      <c r="W107" s="24">
        <f>IF($H107="","",IF(IFERROR(INDEX('CAT_ACTIVIDADES'!$F$4:$F$26,MATCH($H107,'CAT_ACTIVIDADES'!$A$4:$A$26,0)),"")=0,"",IFERROR(INDEX('CAT_ACTIVIDADES'!$F$4:$F$26,MATCH($H107,'CAT_ACTIVIDADES'!$A$4:$A$26,0)),"")))</f>
        <v/>
      </c>
      <c r="X107" s="24">
        <f>IF($F107="","",IFERROR(INDEX('CAT_CENTROS_COSTO'!$F$4:$F$28,MATCH($F107,'CAT_CENTROS_COSTO'!$A$4:$A$28,0)),"(sin catálogo)"))</f>
        <v/>
      </c>
      <c r="Y107" s="24">
        <f>IF($F107="","",IFERROR(INDEX('CAT_CENTROS_COSTO'!$D$4:$D$28,MATCH($F107,'CAT_CENTROS_COSTO'!$A$4:$A$28,0)),"(sin catálogo)"))</f>
        <v/>
      </c>
      <c r="Z107" s="24">
        <f>IF($F107="","",IF((IFERROR(INDEX('CAT_CENTROS_COSTO'!$E$4:$E$28,MATCH($F107,'CAT_CENTROS_COSTO'!$A$4:$A$28,0)),""))&lt;&gt;"",IFERROR(INDEX('CAT_CENTROS_COSTO'!$E$4:$E$28,MATCH($F107,'CAT_CENTROS_COSTO'!$A$4:$A$28,0)),""),$Y107))</f>
        <v/>
      </c>
      <c r="AA107" s="24">
        <f>IF($F107="","",IFERROR(INDEX('CAT_CENTROS_COSTO'!$G$4:$G$28,MATCH($F107,'CAT_CENTROS_COSTO'!$A$4:$A$28,0)),"(sin catálogo)"))</f>
        <v/>
      </c>
      <c r="AB107" s="24">
        <f>IF($G107="","",IFERROR(INDEX('CAT_PUESTOS'!$B$4:$B$23,MATCH($G107,'CAT_PUESTOS'!$A$4:$A$23,0)),"(sin catálogo)"))</f>
        <v/>
      </c>
      <c r="AC107" s="24">
        <f>IF($H107="","",IFERROR(INDEX('CAT_ACTIVIDADES'!$B$4:$B$26,MATCH($H107,'CAT_ACTIVIDADES'!$A$4:$A$26,0)),"(sin catálogo)"))</f>
        <v/>
      </c>
      <c r="AD107" s="26">
        <f>IF($J107="","",TODAY()-$J107)</f>
        <v/>
      </c>
      <c r="AE107" s="26">
        <f>IF($J107="","",IF($J107&lt;=TODAY(),COUNTIFS(cal_fechas,"&gt;="&amp;$J107,cal_fechas,"&lt;"&amp;TODAY(),cal_habil,"sí"),-COUNTIFS(cal_fechas,"&gt;="&amp;TODAY(),cal_fechas,"&lt;"&amp;$J107,cal_habil,"sí")))</f>
        <v/>
      </c>
      <c r="AF107" s="24">
        <f>IF($AE107="","",IF($AE107&lt;0,"FUTURO",IF($AE107&gt;p_dias_backlog_max,"BACKLOG","MES CORRIENTE")))</f>
        <v/>
      </c>
      <c r="AG107" s="24">
        <f>IF($AE107="",FALSE,AND($AE107&gt;p_dias_backlog_min,$AE107&lt;=p_dias_backlog_max))</f>
        <v/>
      </c>
      <c r="AH107" s="4" t="n"/>
      <c r="AI107" s="24">
        <f>IF($AH107="","",IF((IFERROR(INDEX('ASIGNACIONES'!$J$4:$J$451,MATCH($O107&amp;"|"&amp;$S107&amp;"|"&amp;$AH107,'ASIGNACIONES'!$N$4:$N$451,0)),""))=0,"",IFERROR(INDEX('ASIGNACIONES'!$J$4:$J$451,MATCH($O107&amp;"|"&amp;$S107&amp;"|"&amp;$AH107,'ASIGNACIONES'!$N$4:$N$451,0)),"")))</f>
        <v/>
      </c>
      <c r="AJ107" s="42">
        <f>IF($AH107="","",SUMIFS('ORDENES'!$M$4:$M$1203,'ORDENES'!$AH$4:$AH$1203,$AH107,'ORDENES'!$O$4:$O$1203,$O107,'ORDENES'!$S$4:$S$1203,$S107))</f>
        <v/>
      </c>
      <c r="AK107" s="42">
        <f>IF($AJ107="","",p_factor_productividad*IFERROR(INDEX('ASIGNACIONES'!$M$4:$M$451,MATCH($O107&amp;"|"&amp;$S107&amp;"|"&amp;$AH107,'ASIGNACIONES'!$N$4:$N$451,0)),0)-$AJ107)</f>
        <v/>
      </c>
      <c r="AL107" s="32">
        <f>IF($A107="","",IFERROR(INDEX('2_IMPORTAR_EJECUCION'!$F$9:$F$1208,MATCH($AU107,'2_IMPORTAR_EJECUCION'!$J$9:$J$1208,0)),0))</f>
        <v/>
      </c>
      <c r="AM107" s="32">
        <f>IF($A107="","",MAX(0,IFERROR(INDEX('2_IMPORTAR_EJECUCION'!$H$9:$H$1208,MATCH($AU107,'2_IMPORTAR_EJECUCION'!$J$9:$J$1208,0)),0)-$AL107))</f>
        <v/>
      </c>
      <c r="AN107" s="32">
        <f>IF($A107="","",$AL107+$AM107)</f>
        <v/>
      </c>
      <c r="AO107" s="24">
        <f>IF($A107="","",IF(OR((IFERROR(INDEX('CAT_ACTIVIDADES'!$D$4:$D$26,MATCH($H107,'CAT_ACTIVIDADES'!$A$4:$A$26,0)),""))=0,(IFERROR(INDEX('CAT_ACTIVIDADES'!$D$4:$D$26,MATCH($H107,'CAT_ACTIVIDADES'!$A$4:$A$26,0)),""))=""),"SIN CLASIFICAR",IFERROR(INDEX('CAT_ACTIVIDADES'!$D$4:$D$26,MATCH($H107,'CAT_ACTIVIDADES'!$A$4:$A$26,0)),"")))</f>
        <v/>
      </c>
      <c r="AP107" s="4" t="n"/>
      <c r="AQ107" s="4" t="n"/>
      <c r="AR107" s="4" t="n"/>
      <c r="AS107" s="24">
        <f>IF($AR107="","",HYPERLINK(p_ruta_base_checklists&amp;$AR107,"abrir"))</f>
        <v/>
      </c>
      <c r="AT107" s="4" t="n"/>
      <c r="AU107" s="24">
        <f>IF($A107="","",$A107&amp;IF($B107="","0010",$B107))</f>
        <v/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41" t="n"/>
      <c r="K108" s="5" t="n"/>
      <c r="L108" s="18" t="n"/>
      <c r="M108" s="24">
        <f>IF($A108="","",IFERROR(INDEX('AJUSTES'!$B$4:$B$303,MATCH($AU108,'AJUSTES'!$A$4:$A$303,0)),IF($K108="","",$K108)))</f>
        <v/>
      </c>
      <c r="N108" s="24">
        <f>IF($A108="","",IFERROR(INDEX('CAT_ESTADOS_ERP'!$B$4:$B$22,MATCH(IFERROR(INDEX('2_IMPORTAR_EJECUCION'!$C$9:$C$1208,MATCH($AU108,'2_IMPORTAR_EJECUCION'!$J$9:$J$1208,0)),""),'CAT_ESTADOS_ERP'!$A$4:$A$22,0)),"Pendiente"))</f>
        <v/>
      </c>
      <c r="O108" s="24">
        <f>IF($J108="","",YEAR($J108+4-WEEKDAY($J108,2))&amp;"-S"&amp;TEXT(_xlfn.ISOWEEKNUM($J108),"00"))</f>
        <v/>
      </c>
      <c r="P108" s="24">
        <f>IF($J108="","",YEAR($J108))</f>
        <v/>
      </c>
      <c r="Q108" s="24">
        <f>IF($J108="","",MONTH($J108))</f>
        <v/>
      </c>
      <c r="R108" s="24">
        <f>IF($J108="","",$P108&amp;"-"&amp;TEXT($Q108,"00"))</f>
        <v/>
      </c>
      <c r="S108" s="24">
        <f>IF($J108="","",INDEX(lista_dias,WEEKDAY($J108,2)))</f>
        <v/>
      </c>
      <c r="T108" s="24">
        <f>IF($J108="","",IFERROR(INDEX('CALENDARIO'!$C$15:$C$214,MATCH(TEXT($J108,"yyyy-mm-dd")&amp;"|"&amp;$Y108&amp;"|"&amp;$Z108,'CALENDARIO'!$G$15:$G$214,0)),IFERROR(INDEX('CALENDARIO'!$C$15:$C$214,MATCH(TEXT($J108,"yyyy-mm-dd")&amp;"|"&amp;$Y108&amp;"|",'CALENDARIO'!$G$15:$G$214,0)),IFERROR(INDEX('CALENDARIO'!$C$15:$C$214,MATCH(TEXT($J108,"yyyy-mm-dd")&amp;"||",'CALENDARIO'!$G$15:$G$214,0)),INDEX(patronHabil,WEEKDAY($J108,2))))))</f>
        <v/>
      </c>
      <c r="U108" s="24">
        <f>IF($I108="","",IFERROR(INDEX('CAT_TIPOS_OT'!$C$4:$C$23,MATCH($I108,'CAT_TIPOS_OT'!$A$4:$A$23,0)),"sin_clasificar"))</f>
        <v/>
      </c>
      <c r="V108" s="24">
        <f>IF($I108="","",IF(IFERROR(INDEX('CAT_TIPOS_OT'!$D$4:$D$23,MATCH($I108,'CAT_TIPOS_OT'!$A$4:$A$23,0)),"SIN CLASIFICAR")="","SIN CLASIFICAR",IFERROR(INDEX('CAT_TIPOS_OT'!$D$4:$D$23,MATCH($I108,'CAT_TIPOS_OT'!$A$4:$A$23,0)),"SIN CLASIFICAR")))</f>
        <v/>
      </c>
      <c r="W108" s="24">
        <f>IF($H108="","",IF(IFERROR(INDEX('CAT_ACTIVIDADES'!$F$4:$F$26,MATCH($H108,'CAT_ACTIVIDADES'!$A$4:$A$26,0)),"")=0,"",IFERROR(INDEX('CAT_ACTIVIDADES'!$F$4:$F$26,MATCH($H108,'CAT_ACTIVIDADES'!$A$4:$A$26,0)),"")))</f>
        <v/>
      </c>
      <c r="X108" s="24">
        <f>IF($F108="","",IFERROR(INDEX('CAT_CENTROS_COSTO'!$F$4:$F$28,MATCH($F108,'CAT_CENTROS_COSTO'!$A$4:$A$28,0)),"(sin catálogo)"))</f>
        <v/>
      </c>
      <c r="Y108" s="24">
        <f>IF($F108="","",IFERROR(INDEX('CAT_CENTROS_COSTO'!$D$4:$D$28,MATCH($F108,'CAT_CENTROS_COSTO'!$A$4:$A$28,0)),"(sin catálogo)"))</f>
        <v/>
      </c>
      <c r="Z108" s="24">
        <f>IF($F108="","",IF((IFERROR(INDEX('CAT_CENTROS_COSTO'!$E$4:$E$28,MATCH($F108,'CAT_CENTROS_COSTO'!$A$4:$A$28,0)),""))&lt;&gt;"",IFERROR(INDEX('CAT_CENTROS_COSTO'!$E$4:$E$28,MATCH($F108,'CAT_CENTROS_COSTO'!$A$4:$A$28,0)),""),$Y108))</f>
        <v/>
      </c>
      <c r="AA108" s="24">
        <f>IF($F108="","",IFERROR(INDEX('CAT_CENTROS_COSTO'!$G$4:$G$28,MATCH($F108,'CAT_CENTROS_COSTO'!$A$4:$A$28,0)),"(sin catálogo)"))</f>
        <v/>
      </c>
      <c r="AB108" s="24">
        <f>IF($G108="","",IFERROR(INDEX('CAT_PUESTOS'!$B$4:$B$23,MATCH($G108,'CAT_PUESTOS'!$A$4:$A$23,0)),"(sin catálogo)"))</f>
        <v/>
      </c>
      <c r="AC108" s="24">
        <f>IF($H108="","",IFERROR(INDEX('CAT_ACTIVIDADES'!$B$4:$B$26,MATCH($H108,'CAT_ACTIVIDADES'!$A$4:$A$26,0)),"(sin catálogo)"))</f>
        <v/>
      </c>
      <c r="AD108" s="26">
        <f>IF($J108="","",TODAY()-$J108)</f>
        <v/>
      </c>
      <c r="AE108" s="26">
        <f>IF($J108="","",IF($J108&lt;=TODAY(),COUNTIFS(cal_fechas,"&gt;="&amp;$J108,cal_fechas,"&lt;"&amp;TODAY(),cal_habil,"sí"),-COUNTIFS(cal_fechas,"&gt;="&amp;TODAY(),cal_fechas,"&lt;"&amp;$J108,cal_habil,"sí")))</f>
        <v/>
      </c>
      <c r="AF108" s="24">
        <f>IF($AE108="","",IF($AE108&lt;0,"FUTURO",IF($AE108&gt;p_dias_backlog_max,"BACKLOG","MES CORRIENTE")))</f>
        <v/>
      </c>
      <c r="AG108" s="24">
        <f>IF($AE108="",FALSE,AND($AE108&gt;p_dias_backlog_min,$AE108&lt;=p_dias_backlog_max))</f>
        <v/>
      </c>
      <c r="AH108" s="4" t="n"/>
      <c r="AI108" s="24">
        <f>IF($AH108="","",IF((IFERROR(INDEX('ASIGNACIONES'!$J$4:$J$451,MATCH($O108&amp;"|"&amp;$S108&amp;"|"&amp;$AH108,'ASIGNACIONES'!$N$4:$N$451,0)),""))=0,"",IFERROR(INDEX('ASIGNACIONES'!$J$4:$J$451,MATCH($O108&amp;"|"&amp;$S108&amp;"|"&amp;$AH108,'ASIGNACIONES'!$N$4:$N$451,0)),"")))</f>
        <v/>
      </c>
      <c r="AJ108" s="42">
        <f>IF($AH108="","",SUMIFS('ORDENES'!$M$4:$M$1203,'ORDENES'!$AH$4:$AH$1203,$AH108,'ORDENES'!$O$4:$O$1203,$O108,'ORDENES'!$S$4:$S$1203,$S108))</f>
        <v/>
      </c>
      <c r="AK108" s="42">
        <f>IF($AJ108="","",p_factor_productividad*IFERROR(INDEX('ASIGNACIONES'!$M$4:$M$451,MATCH($O108&amp;"|"&amp;$S108&amp;"|"&amp;$AH108,'ASIGNACIONES'!$N$4:$N$451,0)),0)-$AJ108)</f>
        <v/>
      </c>
      <c r="AL108" s="32">
        <f>IF($A108="","",IFERROR(INDEX('2_IMPORTAR_EJECUCION'!$F$9:$F$1208,MATCH($AU108,'2_IMPORTAR_EJECUCION'!$J$9:$J$1208,0)),0))</f>
        <v/>
      </c>
      <c r="AM108" s="32">
        <f>IF($A108="","",MAX(0,IFERROR(INDEX('2_IMPORTAR_EJECUCION'!$H$9:$H$1208,MATCH($AU108,'2_IMPORTAR_EJECUCION'!$J$9:$J$1208,0)),0)-$AL108))</f>
        <v/>
      </c>
      <c r="AN108" s="32">
        <f>IF($A108="","",$AL108+$AM108)</f>
        <v/>
      </c>
      <c r="AO108" s="24">
        <f>IF($A108="","",IF(OR((IFERROR(INDEX('CAT_ACTIVIDADES'!$D$4:$D$26,MATCH($H108,'CAT_ACTIVIDADES'!$A$4:$A$26,0)),""))=0,(IFERROR(INDEX('CAT_ACTIVIDADES'!$D$4:$D$26,MATCH($H108,'CAT_ACTIVIDADES'!$A$4:$A$26,0)),""))=""),"SIN CLASIFICAR",IFERROR(INDEX('CAT_ACTIVIDADES'!$D$4:$D$26,MATCH($H108,'CAT_ACTIVIDADES'!$A$4:$A$26,0)),"")))</f>
        <v/>
      </c>
      <c r="AP108" s="4" t="n"/>
      <c r="AQ108" s="4" t="n"/>
      <c r="AR108" s="4" t="n"/>
      <c r="AS108" s="24">
        <f>IF($AR108="","",HYPERLINK(p_ruta_base_checklists&amp;$AR108,"abrir"))</f>
        <v/>
      </c>
      <c r="AT108" s="4" t="n"/>
      <c r="AU108" s="24">
        <f>IF($A108="","",$A108&amp;IF($B108="","0010",$B108))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41" t="n"/>
      <c r="K109" s="5" t="n"/>
      <c r="L109" s="18" t="n"/>
      <c r="M109" s="24">
        <f>IF($A109="","",IFERROR(INDEX('AJUSTES'!$B$4:$B$303,MATCH($AU109,'AJUSTES'!$A$4:$A$303,0)),IF($K109="","",$K109)))</f>
        <v/>
      </c>
      <c r="N109" s="24">
        <f>IF($A109="","",IFERROR(INDEX('CAT_ESTADOS_ERP'!$B$4:$B$22,MATCH(IFERROR(INDEX('2_IMPORTAR_EJECUCION'!$C$9:$C$1208,MATCH($AU109,'2_IMPORTAR_EJECUCION'!$J$9:$J$1208,0)),""),'CAT_ESTADOS_ERP'!$A$4:$A$22,0)),"Pendiente"))</f>
        <v/>
      </c>
      <c r="O109" s="24">
        <f>IF($J109="","",YEAR($J109+4-WEEKDAY($J109,2))&amp;"-S"&amp;TEXT(_xlfn.ISOWEEKNUM($J109),"00"))</f>
        <v/>
      </c>
      <c r="P109" s="24">
        <f>IF($J109="","",YEAR($J109))</f>
        <v/>
      </c>
      <c r="Q109" s="24">
        <f>IF($J109="","",MONTH($J109))</f>
        <v/>
      </c>
      <c r="R109" s="24">
        <f>IF($J109="","",$P109&amp;"-"&amp;TEXT($Q109,"00"))</f>
        <v/>
      </c>
      <c r="S109" s="24">
        <f>IF($J109="","",INDEX(lista_dias,WEEKDAY($J109,2)))</f>
        <v/>
      </c>
      <c r="T109" s="24">
        <f>IF($J109="","",IFERROR(INDEX('CALENDARIO'!$C$15:$C$214,MATCH(TEXT($J109,"yyyy-mm-dd")&amp;"|"&amp;$Y109&amp;"|"&amp;$Z109,'CALENDARIO'!$G$15:$G$214,0)),IFERROR(INDEX('CALENDARIO'!$C$15:$C$214,MATCH(TEXT($J109,"yyyy-mm-dd")&amp;"|"&amp;$Y109&amp;"|",'CALENDARIO'!$G$15:$G$214,0)),IFERROR(INDEX('CALENDARIO'!$C$15:$C$214,MATCH(TEXT($J109,"yyyy-mm-dd")&amp;"||",'CALENDARIO'!$G$15:$G$214,0)),INDEX(patronHabil,WEEKDAY($J109,2))))))</f>
        <v/>
      </c>
      <c r="U109" s="24">
        <f>IF($I109="","",IFERROR(INDEX('CAT_TIPOS_OT'!$C$4:$C$23,MATCH($I109,'CAT_TIPOS_OT'!$A$4:$A$23,0)),"sin_clasificar"))</f>
        <v/>
      </c>
      <c r="V109" s="24">
        <f>IF($I109="","",IF(IFERROR(INDEX('CAT_TIPOS_OT'!$D$4:$D$23,MATCH($I109,'CAT_TIPOS_OT'!$A$4:$A$23,0)),"SIN CLASIFICAR")="","SIN CLASIFICAR",IFERROR(INDEX('CAT_TIPOS_OT'!$D$4:$D$23,MATCH($I109,'CAT_TIPOS_OT'!$A$4:$A$23,0)),"SIN CLASIFICAR")))</f>
        <v/>
      </c>
      <c r="W109" s="24">
        <f>IF($H109="","",IF(IFERROR(INDEX('CAT_ACTIVIDADES'!$F$4:$F$26,MATCH($H109,'CAT_ACTIVIDADES'!$A$4:$A$26,0)),"")=0,"",IFERROR(INDEX('CAT_ACTIVIDADES'!$F$4:$F$26,MATCH($H109,'CAT_ACTIVIDADES'!$A$4:$A$26,0)),"")))</f>
        <v/>
      </c>
      <c r="X109" s="24">
        <f>IF($F109="","",IFERROR(INDEX('CAT_CENTROS_COSTO'!$F$4:$F$28,MATCH($F109,'CAT_CENTROS_COSTO'!$A$4:$A$28,0)),"(sin catálogo)"))</f>
        <v/>
      </c>
      <c r="Y109" s="24">
        <f>IF($F109="","",IFERROR(INDEX('CAT_CENTROS_COSTO'!$D$4:$D$28,MATCH($F109,'CAT_CENTROS_COSTO'!$A$4:$A$28,0)),"(sin catálogo)"))</f>
        <v/>
      </c>
      <c r="Z109" s="24">
        <f>IF($F109="","",IF((IFERROR(INDEX('CAT_CENTROS_COSTO'!$E$4:$E$28,MATCH($F109,'CAT_CENTROS_COSTO'!$A$4:$A$28,0)),""))&lt;&gt;"",IFERROR(INDEX('CAT_CENTROS_COSTO'!$E$4:$E$28,MATCH($F109,'CAT_CENTROS_COSTO'!$A$4:$A$28,0)),""),$Y109))</f>
        <v/>
      </c>
      <c r="AA109" s="24">
        <f>IF($F109="","",IFERROR(INDEX('CAT_CENTROS_COSTO'!$G$4:$G$28,MATCH($F109,'CAT_CENTROS_COSTO'!$A$4:$A$28,0)),"(sin catálogo)"))</f>
        <v/>
      </c>
      <c r="AB109" s="24">
        <f>IF($G109="","",IFERROR(INDEX('CAT_PUESTOS'!$B$4:$B$23,MATCH($G109,'CAT_PUESTOS'!$A$4:$A$23,0)),"(sin catálogo)"))</f>
        <v/>
      </c>
      <c r="AC109" s="24">
        <f>IF($H109="","",IFERROR(INDEX('CAT_ACTIVIDADES'!$B$4:$B$26,MATCH($H109,'CAT_ACTIVIDADES'!$A$4:$A$26,0)),"(sin catálogo)"))</f>
        <v/>
      </c>
      <c r="AD109" s="26">
        <f>IF($J109="","",TODAY()-$J109)</f>
        <v/>
      </c>
      <c r="AE109" s="26">
        <f>IF($J109="","",IF($J109&lt;=TODAY(),COUNTIFS(cal_fechas,"&gt;="&amp;$J109,cal_fechas,"&lt;"&amp;TODAY(),cal_habil,"sí"),-COUNTIFS(cal_fechas,"&gt;="&amp;TODAY(),cal_fechas,"&lt;"&amp;$J109,cal_habil,"sí")))</f>
        <v/>
      </c>
      <c r="AF109" s="24">
        <f>IF($AE109="","",IF($AE109&lt;0,"FUTURO",IF($AE109&gt;p_dias_backlog_max,"BACKLOG","MES CORRIENTE")))</f>
        <v/>
      </c>
      <c r="AG109" s="24">
        <f>IF($AE109="",FALSE,AND($AE109&gt;p_dias_backlog_min,$AE109&lt;=p_dias_backlog_max))</f>
        <v/>
      </c>
      <c r="AH109" s="4" t="n"/>
      <c r="AI109" s="24">
        <f>IF($AH109="","",IF((IFERROR(INDEX('ASIGNACIONES'!$J$4:$J$451,MATCH($O109&amp;"|"&amp;$S109&amp;"|"&amp;$AH109,'ASIGNACIONES'!$N$4:$N$451,0)),""))=0,"",IFERROR(INDEX('ASIGNACIONES'!$J$4:$J$451,MATCH($O109&amp;"|"&amp;$S109&amp;"|"&amp;$AH109,'ASIGNACIONES'!$N$4:$N$451,0)),"")))</f>
        <v/>
      </c>
      <c r="AJ109" s="42">
        <f>IF($AH109="","",SUMIFS('ORDENES'!$M$4:$M$1203,'ORDENES'!$AH$4:$AH$1203,$AH109,'ORDENES'!$O$4:$O$1203,$O109,'ORDENES'!$S$4:$S$1203,$S109))</f>
        <v/>
      </c>
      <c r="AK109" s="42">
        <f>IF($AJ109="","",p_factor_productividad*IFERROR(INDEX('ASIGNACIONES'!$M$4:$M$451,MATCH($O109&amp;"|"&amp;$S109&amp;"|"&amp;$AH109,'ASIGNACIONES'!$N$4:$N$451,0)),0)-$AJ109)</f>
        <v/>
      </c>
      <c r="AL109" s="32">
        <f>IF($A109="","",IFERROR(INDEX('2_IMPORTAR_EJECUCION'!$F$9:$F$1208,MATCH($AU109,'2_IMPORTAR_EJECUCION'!$J$9:$J$1208,0)),0))</f>
        <v/>
      </c>
      <c r="AM109" s="32">
        <f>IF($A109="","",MAX(0,IFERROR(INDEX('2_IMPORTAR_EJECUCION'!$H$9:$H$1208,MATCH($AU109,'2_IMPORTAR_EJECUCION'!$J$9:$J$1208,0)),0)-$AL109))</f>
        <v/>
      </c>
      <c r="AN109" s="32">
        <f>IF($A109="","",$AL109+$AM109)</f>
        <v/>
      </c>
      <c r="AO109" s="24">
        <f>IF($A109="","",IF(OR((IFERROR(INDEX('CAT_ACTIVIDADES'!$D$4:$D$26,MATCH($H109,'CAT_ACTIVIDADES'!$A$4:$A$26,0)),""))=0,(IFERROR(INDEX('CAT_ACTIVIDADES'!$D$4:$D$26,MATCH($H109,'CAT_ACTIVIDADES'!$A$4:$A$26,0)),""))=""),"SIN CLASIFICAR",IFERROR(INDEX('CAT_ACTIVIDADES'!$D$4:$D$26,MATCH($H109,'CAT_ACTIVIDADES'!$A$4:$A$26,0)),"")))</f>
        <v/>
      </c>
      <c r="AP109" s="4" t="n"/>
      <c r="AQ109" s="4" t="n"/>
      <c r="AR109" s="4" t="n"/>
      <c r="AS109" s="24">
        <f>IF($AR109="","",HYPERLINK(p_ruta_base_checklists&amp;$AR109,"abrir"))</f>
        <v/>
      </c>
      <c r="AT109" s="4" t="n"/>
      <c r="AU109" s="24">
        <f>IF($A109="","",$A109&amp;IF($B109="","0010",$B109))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41" t="n"/>
      <c r="K110" s="5" t="n"/>
      <c r="L110" s="18" t="n"/>
      <c r="M110" s="24">
        <f>IF($A110="","",IFERROR(INDEX('AJUSTES'!$B$4:$B$303,MATCH($AU110,'AJUSTES'!$A$4:$A$303,0)),IF($K110="","",$K110)))</f>
        <v/>
      </c>
      <c r="N110" s="24">
        <f>IF($A110="","",IFERROR(INDEX('CAT_ESTADOS_ERP'!$B$4:$B$22,MATCH(IFERROR(INDEX('2_IMPORTAR_EJECUCION'!$C$9:$C$1208,MATCH($AU110,'2_IMPORTAR_EJECUCION'!$J$9:$J$1208,0)),""),'CAT_ESTADOS_ERP'!$A$4:$A$22,0)),"Pendiente"))</f>
        <v/>
      </c>
      <c r="O110" s="24">
        <f>IF($J110="","",YEAR($J110+4-WEEKDAY($J110,2))&amp;"-S"&amp;TEXT(_xlfn.ISOWEEKNUM($J110),"00"))</f>
        <v/>
      </c>
      <c r="P110" s="24">
        <f>IF($J110="","",YEAR($J110))</f>
        <v/>
      </c>
      <c r="Q110" s="24">
        <f>IF($J110="","",MONTH($J110))</f>
        <v/>
      </c>
      <c r="R110" s="24">
        <f>IF($J110="","",$P110&amp;"-"&amp;TEXT($Q110,"00"))</f>
        <v/>
      </c>
      <c r="S110" s="24">
        <f>IF($J110="","",INDEX(lista_dias,WEEKDAY($J110,2)))</f>
        <v/>
      </c>
      <c r="T110" s="24">
        <f>IF($J110="","",IFERROR(INDEX('CALENDARIO'!$C$15:$C$214,MATCH(TEXT($J110,"yyyy-mm-dd")&amp;"|"&amp;$Y110&amp;"|"&amp;$Z110,'CALENDARIO'!$G$15:$G$214,0)),IFERROR(INDEX('CALENDARIO'!$C$15:$C$214,MATCH(TEXT($J110,"yyyy-mm-dd")&amp;"|"&amp;$Y110&amp;"|",'CALENDARIO'!$G$15:$G$214,0)),IFERROR(INDEX('CALENDARIO'!$C$15:$C$214,MATCH(TEXT($J110,"yyyy-mm-dd")&amp;"||",'CALENDARIO'!$G$15:$G$214,0)),INDEX(patronHabil,WEEKDAY($J110,2))))))</f>
        <v/>
      </c>
      <c r="U110" s="24">
        <f>IF($I110="","",IFERROR(INDEX('CAT_TIPOS_OT'!$C$4:$C$23,MATCH($I110,'CAT_TIPOS_OT'!$A$4:$A$23,0)),"sin_clasificar"))</f>
        <v/>
      </c>
      <c r="V110" s="24">
        <f>IF($I110="","",IF(IFERROR(INDEX('CAT_TIPOS_OT'!$D$4:$D$23,MATCH($I110,'CAT_TIPOS_OT'!$A$4:$A$23,0)),"SIN CLASIFICAR")="","SIN CLASIFICAR",IFERROR(INDEX('CAT_TIPOS_OT'!$D$4:$D$23,MATCH($I110,'CAT_TIPOS_OT'!$A$4:$A$23,0)),"SIN CLASIFICAR")))</f>
        <v/>
      </c>
      <c r="W110" s="24">
        <f>IF($H110="","",IF(IFERROR(INDEX('CAT_ACTIVIDADES'!$F$4:$F$26,MATCH($H110,'CAT_ACTIVIDADES'!$A$4:$A$26,0)),"")=0,"",IFERROR(INDEX('CAT_ACTIVIDADES'!$F$4:$F$26,MATCH($H110,'CAT_ACTIVIDADES'!$A$4:$A$26,0)),"")))</f>
        <v/>
      </c>
      <c r="X110" s="24">
        <f>IF($F110="","",IFERROR(INDEX('CAT_CENTROS_COSTO'!$F$4:$F$28,MATCH($F110,'CAT_CENTROS_COSTO'!$A$4:$A$28,0)),"(sin catálogo)"))</f>
        <v/>
      </c>
      <c r="Y110" s="24">
        <f>IF($F110="","",IFERROR(INDEX('CAT_CENTROS_COSTO'!$D$4:$D$28,MATCH($F110,'CAT_CENTROS_COSTO'!$A$4:$A$28,0)),"(sin catálogo)"))</f>
        <v/>
      </c>
      <c r="Z110" s="24">
        <f>IF($F110="","",IF((IFERROR(INDEX('CAT_CENTROS_COSTO'!$E$4:$E$28,MATCH($F110,'CAT_CENTROS_COSTO'!$A$4:$A$28,0)),""))&lt;&gt;"",IFERROR(INDEX('CAT_CENTROS_COSTO'!$E$4:$E$28,MATCH($F110,'CAT_CENTROS_COSTO'!$A$4:$A$28,0)),""),$Y110))</f>
        <v/>
      </c>
      <c r="AA110" s="24">
        <f>IF($F110="","",IFERROR(INDEX('CAT_CENTROS_COSTO'!$G$4:$G$28,MATCH($F110,'CAT_CENTROS_COSTO'!$A$4:$A$28,0)),"(sin catálogo)"))</f>
        <v/>
      </c>
      <c r="AB110" s="24">
        <f>IF($G110="","",IFERROR(INDEX('CAT_PUESTOS'!$B$4:$B$23,MATCH($G110,'CAT_PUESTOS'!$A$4:$A$23,0)),"(sin catálogo)"))</f>
        <v/>
      </c>
      <c r="AC110" s="24">
        <f>IF($H110="","",IFERROR(INDEX('CAT_ACTIVIDADES'!$B$4:$B$26,MATCH($H110,'CAT_ACTIVIDADES'!$A$4:$A$26,0)),"(sin catálogo)"))</f>
        <v/>
      </c>
      <c r="AD110" s="26">
        <f>IF($J110="","",TODAY()-$J110)</f>
        <v/>
      </c>
      <c r="AE110" s="26">
        <f>IF($J110="","",IF($J110&lt;=TODAY(),COUNTIFS(cal_fechas,"&gt;="&amp;$J110,cal_fechas,"&lt;"&amp;TODAY(),cal_habil,"sí"),-COUNTIFS(cal_fechas,"&gt;="&amp;TODAY(),cal_fechas,"&lt;"&amp;$J110,cal_habil,"sí")))</f>
        <v/>
      </c>
      <c r="AF110" s="24">
        <f>IF($AE110="","",IF($AE110&lt;0,"FUTURO",IF($AE110&gt;p_dias_backlog_max,"BACKLOG","MES CORRIENTE")))</f>
        <v/>
      </c>
      <c r="AG110" s="24">
        <f>IF($AE110="",FALSE,AND($AE110&gt;p_dias_backlog_min,$AE110&lt;=p_dias_backlog_max))</f>
        <v/>
      </c>
      <c r="AH110" s="4" t="n"/>
      <c r="AI110" s="24">
        <f>IF($AH110="","",IF((IFERROR(INDEX('ASIGNACIONES'!$J$4:$J$451,MATCH($O110&amp;"|"&amp;$S110&amp;"|"&amp;$AH110,'ASIGNACIONES'!$N$4:$N$451,0)),""))=0,"",IFERROR(INDEX('ASIGNACIONES'!$J$4:$J$451,MATCH($O110&amp;"|"&amp;$S110&amp;"|"&amp;$AH110,'ASIGNACIONES'!$N$4:$N$451,0)),"")))</f>
        <v/>
      </c>
      <c r="AJ110" s="42">
        <f>IF($AH110="","",SUMIFS('ORDENES'!$M$4:$M$1203,'ORDENES'!$AH$4:$AH$1203,$AH110,'ORDENES'!$O$4:$O$1203,$O110,'ORDENES'!$S$4:$S$1203,$S110))</f>
        <v/>
      </c>
      <c r="AK110" s="42">
        <f>IF($AJ110="","",p_factor_productividad*IFERROR(INDEX('ASIGNACIONES'!$M$4:$M$451,MATCH($O110&amp;"|"&amp;$S110&amp;"|"&amp;$AH110,'ASIGNACIONES'!$N$4:$N$451,0)),0)-$AJ110)</f>
        <v/>
      </c>
      <c r="AL110" s="32">
        <f>IF($A110="","",IFERROR(INDEX('2_IMPORTAR_EJECUCION'!$F$9:$F$1208,MATCH($AU110,'2_IMPORTAR_EJECUCION'!$J$9:$J$1208,0)),0))</f>
        <v/>
      </c>
      <c r="AM110" s="32">
        <f>IF($A110="","",MAX(0,IFERROR(INDEX('2_IMPORTAR_EJECUCION'!$H$9:$H$1208,MATCH($AU110,'2_IMPORTAR_EJECUCION'!$J$9:$J$1208,0)),0)-$AL110))</f>
        <v/>
      </c>
      <c r="AN110" s="32">
        <f>IF($A110="","",$AL110+$AM110)</f>
        <v/>
      </c>
      <c r="AO110" s="24">
        <f>IF($A110="","",IF(OR((IFERROR(INDEX('CAT_ACTIVIDADES'!$D$4:$D$26,MATCH($H110,'CAT_ACTIVIDADES'!$A$4:$A$26,0)),""))=0,(IFERROR(INDEX('CAT_ACTIVIDADES'!$D$4:$D$26,MATCH($H110,'CAT_ACTIVIDADES'!$A$4:$A$26,0)),""))=""),"SIN CLASIFICAR",IFERROR(INDEX('CAT_ACTIVIDADES'!$D$4:$D$26,MATCH($H110,'CAT_ACTIVIDADES'!$A$4:$A$26,0)),"")))</f>
        <v/>
      </c>
      <c r="AP110" s="4" t="n"/>
      <c r="AQ110" s="4" t="n"/>
      <c r="AR110" s="4" t="n"/>
      <c r="AS110" s="24">
        <f>IF($AR110="","",HYPERLINK(p_ruta_base_checklists&amp;$AR110,"abrir"))</f>
        <v/>
      </c>
      <c r="AT110" s="4" t="n"/>
      <c r="AU110" s="24">
        <f>IF($A110="","",$A110&amp;IF($B110="","0010",$B110))</f>
        <v/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41" t="n"/>
      <c r="K111" s="5" t="n"/>
      <c r="L111" s="18" t="n"/>
      <c r="M111" s="24">
        <f>IF($A111="","",IFERROR(INDEX('AJUSTES'!$B$4:$B$303,MATCH($AU111,'AJUSTES'!$A$4:$A$303,0)),IF($K111="","",$K111)))</f>
        <v/>
      </c>
      <c r="N111" s="24">
        <f>IF($A111="","",IFERROR(INDEX('CAT_ESTADOS_ERP'!$B$4:$B$22,MATCH(IFERROR(INDEX('2_IMPORTAR_EJECUCION'!$C$9:$C$1208,MATCH($AU111,'2_IMPORTAR_EJECUCION'!$J$9:$J$1208,0)),""),'CAT_ESTADOS_ERP'!$A$4:$A$22,0)),"Pendiente"))</f>
        <v/>
      </c>
      <c r="O111" s="24">
        <f>IF($J111="","",YEAR($J111+4-WEEKDAY($J111,2))&amp;"-S"&amp;TEXT(_xlfn.ISOWEEKNUM($J111),"00"))</f>
        <v/>
      </c>
      <c r="P111" s="24">
        <f>IF($J111="","",YEAR($J111))</f>
        <v/>
      </c>
      <c r="Q111" s="24">
        <f>IF($J111="","",MONTH($J111))</f>
        <v/>
      </c>
      <c r="R111" s="24">
        <f>IF($J111="","",$P111&amp;"-"&amp;TEXT($Q111,"00"))</f>
        <v/>
      </c>
      <c r="S111" s="24">
        <f>IF($J111="","",INDEX(lista_dias,WEEKDAY($J111,2)))</f>
        <v/>
      </c>
      <c r="T111" s="24">
        <f>IF($J111="","",IFERROR(INDEX('CALENDARIO'!$C$15:$C$214,MATCH(TEXT($J111,"yyyy-mm-dd")&amp;"|"&amp;$Y111&amp;"|"&amp;$Z111,'CALENDARIO'!$G$15:$G$214,0)),IFERROR(INDEX('CALENDARIO'!$C$15:$C$214,MATCH(TEXT($J111,"yyyy-mm-dd")&amp;"|"&amp;$Y111&amp;"|",'CALENDARIO'!$G$15:$G$214,0)),IFERROR(INDEX('CALENDARIO'!$C$15:$C$214,MATCH(TEXT($J111,"yyyy-mm-dd")&amp;"||",'CALENDARIO'!$G$15:$G$214,0)),INDEX(patronHabil,WEEKDAY($J111,2))))))</f>
        <v/>
      </c>
      <c r="U111" s="24">
        <f>IF($I111="","",IFERROR(INDEX('CAT_TIPOS_OT'!$C$4:$C$23,MATCH($I111,'CAT_TIPOS_OT'!$A$4:$A$23,0)),"sin_clasificar"))</f>
        <v/>
      </c>
      <c r="V111" s="24">
        <f>IF($I111="","",IF(IFERROR(INDEX('CAT_TIPOS_OT'!$D$4:$D$23,MATCH($I111,'CAT_TIPOS_OT'!$A$4:$A$23,0)),"SIN CLASIFICAR")="","SIN CLASIFICAR",IFERROR(INDEX('CAT_TIPOS_OT'!$D$4:$D$23,MATCH($I111,'CAT_TIPOS_OT'!$A$4:$A$23,0)),"SIN CLASIFICAR")))</f>
        <v/>
      </c>
      <c r="W111" s="24">
        <f>IF($H111="","",IF(IFERROR(INDEX('CAT_ACTIVIDADES'!$F$4:$F$26,MATCH($H111,'CAT_ACTIVIDADES'!$A$4:$A$26,0)),"")=0,"",IFERROR(INDEX('CAT_ACTIVIDADES'!$F$4:$F$26,MATCH($H111,'CAT_ACTIVIDADES'!$A$4:$A$26,0)),"")))</f>
        <v/>
      </c>
      <c r="X111" s="24">
        <f>IF($F111="","",IFERROR(INDEX('CAT_CENTROS_COSTO'!$F$4:$F$28,MATCH($F111,'CAT_CENTROS_COSTO'!$A$4:$A$28,0)),"(sin catálogo)"))</f>
        <v/>
      </c>
      <c r="Y111" s="24">
        <f>IF($F111="","",IFERROR(INDEX('CAT_CENTROS_COSTO'!$D$4:$D$28,MATCH($F111,'CAT_CENTROS_COSTO'!$A$4:$A$28,0)),"(sin catálogo)"))</f>
        <v/>
      </c>
      <c r="Z111" s="24">
        <f>IF($F111="","",IF((IFERROR(INDEX('CAT_CENTROS_COSTO'!$E$4:$E$28,MATCH($F111,'CAT_CENTROS_COSTO'!$A$4:$A$28,0)),""))&lt;&gt;"",IFERROR(INDEX('CAT_CENTROS_COSTO'!$E$4:$E$28,MATCH($F111,'CAT_CENTROS_COSTO'!$A$4:$A$28,0)),""),$Y111))</f>
        <v/>
      </c>
      <c r="AA111" s="24">
        <f>IF($F111="","",IFERROR(INDEX('CAT_CENTROS_COSTO'!$G$4:$G$28,MATCH($F111,'CAT_CENTROS_COSTO'!$A$4:$A$28,0)),"(sin catálogo)"))</f>
        <v/>
      </c>
      <c r="AB111" s="24">
        <f>IF($G111="","",IFERROR(INDEX('CAT_PUESTOS'!$B$4:$B$23,MATCH($G111,'CAT_PUESTOS'!$A$4:$A$23,0)),"(sin catálogo)"))</f>
        <v/>
      </c>
      <c r="AC111" s="24">
        <f>IF($H111="","",IFERROR(INDEX('CAT_ACTIVIDADES'!$B$4:$B$26,MATCH($H111,'CAT_ACTIVIDADES'!$A$4:$A$26,0)),"(sin catálogo)"))</f>
        <v/>
      </c>
      <c r="AD111" s="26">
        <f>IF($J111="","",TODAY()-$J111)</f>
        <v/>
      </c>
      <c r="AE111" s="26">
        <f>IF($J111="","",IF($J111&lt;=TODAY(),COUNTIFS(cal_fechas,"&gt;="&amp;$J111,cal_fechas,"&lt;"&amp;TODAY(),cal_habil,"sí"),-COUNTIFS(cal_fechas,"&gt;="&amp;TODAY(),cal_fechas,"&lt;"&amp;$J111,cal_habil,"sí")))</f>
        <v/>
      </c>
      <c r="AF111" s="24">
        <f>IF($AE111="","",IF($AE111&lt;0,"FUTURO",IF($AE111&gt;p_dias_backlog_max,"BACKLOG","MES CORRIENTE")))</f>
        <v/>
      </c>
      <c r="AG111" s="24">
        <f>IF($AE111="",FALSE,AND($AE111&gt;p_dias_backlog_min,$AE111&lt;=p_dias_backlog_max))</f>
        <v/>
      </c>
      <c r="AH111" s="4" t="n"/>
      <c r="AI111" s="24">
        <f>IF($AH111="","",IF((IFERROR(INDEX('ASIGNACIONES'!$J$4:$J$451,MATCH($O111&amp;"|"&amp;$S111&amp;"|"&amp;$AH111,'ASIGNACIONES'!$N$4:$N$451,0)),""))=0,"",IFERROR(INDEX('ASIGNACIONES'!$J$4:$J$451,MATCH($O111&amp;"|"&amp;$S111&amp;"|"&amp;$AH111,'ASIGNACIONES'!$N$4:$N$451,0)),"")))</f>
        <v/>
      </c>
      <c r="AJ111" s="42">
        <f>IF($AH111="","",SUMIFS('ORDENES'!$M$4:$M$1203,'ORDENES'!$AH$4:$AH$1203,$AH111,'ORDENES'!$O$4:$O$1203,$O111,'ORDENES'!$S$4:$S$1203,$S111))</f>
        <v/>
      </c>
      <c r="AK111" s="42">
        <f>IF($AJ111="","",p_factor_productividad*IFERROR(INDEX('ASIGNACIONES'!$M$4:$M$451,MATCH($O111&amp;"|"&amp;$S111&amp;"|"&amp;$AH111,'ASIGNACIONES'!$N$4:$N$451,0)),0)-$AJ111)</f>
        <v/>
      </c>
      <c r="AL111" s="32">
        <f>IF($A111="","",IFERROR(INDEX('2_IMPORTAR_EJECUCION'!$F$9:$F$1208,MATCH($AU111,'2_IMPORTAR_EJECUCION'!$J$9:$J$1208,0)),0))</f>
        <v/>
      </c>
      <c r="AM111" s="32">
        <f>IF($A111="","",MAX(0,IFERROR(INDEX('2_IMPORTAR_EJECUCION'!$H$9:$H$1208,MATCH($AU111,'2_IMPORTAR_EJECUCION'!$J$9:$J$1208,0)),0)-$AL111))</f>
        <v/>
      </c>
      <c r="AN111" s="32">
        <f>IF($A111="","",$AL111+$AM111)</f>
        <v/>
      </c>
      <c r="AO111" s="24">
        <f>IF($A111="","",IF(OR((IFERROR(INDEX('CAT_ACTIVIDADES'!$D$4:$D$26,MATCH($H111,'CAT_ACTIVIDADES'!$A$4:$A$26,0)),""))=0,(IFERROR(INDEX('CAT_ACTIVIDADES'!$D$4:$D$26,MATCH($H111,'CAT_ACTIVIDADES'!$A$4:$A$26,0)),""))=""),"SIN CLASIFICAR",IFERROR(INDEX('CAT_ACTIVIDADES'!$D$4:$D$26,MATCH($H111,'CAT_ACTIVIDADES'!$A$4:$A$26,0)),"")))</f>
        <v/>
      </c>
      <c r="AP111" s="4" t="n"/>
      <c r="AQ111" s="4" t="n"/>
      <c r="AR111" s="4" t="n"/>
      <c r="AS111" s="24">
        <f>IF($AR111="","",HYPERLINK(p_ruta_base_checklists&amp;$AR111,"abrir"))</f>
        <v/>
      </c>
      <c r="AT111" s="4" t="n"/>
      <c r="AU111" s="24">
        <f>IF($A111="","",$A111&amp;IF($B111="","0010",$B111))</f>
        <v/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41" t="n"/>
      <c r="K112" s="5" t="n"/>
      <c r="L112" s="18" t="n"/>
      <c r="M112" s="24">
        <f>IF($A112="","",IFERROR(INDEX('AJUSTES'!$B$4:$B$303,MATCH($AU112,'AJUSTES'!$A$4:$A$303,0)),IF($K112="","",$K112)))</f>
        <v/>
      </c>
      <c r="N112" s="24">
        <f>IF($A112="","",IFERROR(INDEX('CAT_ESTADOS_ERP'!$B$4:$B$22,MATCH(IFERROR(INDEX('2_IMPORTAR_EJECUCION'!$C$9:$C$1208,MATCH($AU112,'2_IMPORTAR_EJECUCION'!$J$9:$J$1208,0)),""),'CAT_ESTADOS_ERP'!$A$4:$A$22,0)),"Pendiente"))</f>
        <v/>
      </c>
      <c r="O112" s="24">
        <f>IF($J112="","",YEAR($J112+4-WEEKDAY($J112,2))&amp;"-S"&amp;TEXT(_xlfn.ISOWEEKNUM($J112),"00"))</f>
        <v/>
      </c>
      <c r="P112" s="24">
        <f>IF($J112="","",YEAR($J112))</f>
        <v/>
      </c>
      <c r="Q112" s="24">
        <f>IF($J112="","",MONTH($J112))</f>
        <v/>
      </c>
      <c r="R112" s="24">
        <f>IF($J112="","",$P112&amp;"-"&amp;TEXT($Q112,"00"))</f>
        <v/>
      </c>
      <c r="S112" s="24">
        <f>IF($J112="","",INDEX(lista_dias,WEEKDAY($J112,2)))</f>
        <v/>
      </c>
      <c r="T112" s="24">
        <f>IF($J112="","",IFERROR(INDEX('CALENDARIO'!$C$15:$C$214,MATCH(TEXT($J112,"yyyy-mm-dd")&amp;"|"&amp;$Y112&amp;"|"&amp;$Z112,'CALENDARIO'!$G$15:$G$214,0)),IFERROR(INDEX('CALENDARIO'!$C$15:$C$214,MATCH(TEXT($J112,"yyyy-mm-dd")&amp;"|"&amp;$Y112&amp;"|",'CALENDARIO'!$G$15:$G$214,0)),IFERROR(INDEX('CALENDARIO'!$C$15:$C$214,MATCH(TEXT($J112,"yyyy-mm-dd")&amp;"||",'CALENDARIO'!$G$15:$G$214,0)),INDEX(patronHabil,WEEKDAY($J112,2))))))</f>
        <v/>
      </c>
      <c r="U112" s="24">
        <f>IF($I112="","",IFERROR(INDEX('CAT_TIPOS_OT'!$C$4:$C$23,MATCH($I112,'CAT_TIPOS_OT'!$A$4:$A$23,0)),"sin_clasificar"))</f>
        <v/>
      </c>
      <c r="V112" s="24">
        <f>IF($I112="","",IF(IFERROR(INDEX('CAT_TIPOS_OT'!$D$4:$D$23,MATCH($I112,'CAT_TIPOS_OT'!$A$4:$A$23,0)),"SIN CLASIFICAR")="","SIN CLASIFICAR",IFERROR(INDEX('CAT_TIPOS_OT'!$D$4:$D$23,MATCH($I112,'CAT_TIPOS_OT'!$A$4:$A$23,0)),"SIN CLASIFICAR")))</f>
        <v/>
      </c>
      <c r="W112" s="24">
        <f>IF($H112="","",IF(IFERROR(INDEX('CAT_ACTIVIDADES'!$F$4:$F$26,MATCH($H112,'CAT_ACTIVIDADES'!$A$4:$A$26,0)),"")=0,"",IFERROR(INDEX('CAT_ACTIVIDADES'!$F$4:$F$26,MATCH($H112,'CAT_ACTIVIDADES'!$A$4:$A$26,0)),"")))</f>
        <v/>
      </c>
      <c r="X112" s="24">
        <f>IF($F112="","",IFERROR(INDEX('CAT_CENTROS_COSTO'!$F$4:$F$28,MATCH($F112,'CAT_CENTROS_COSTO'!$A$4:$A$28,0)),"(sin catálogo)"))</f>
        <v/>
      </c>
      <c r="Y112" s="24">
        <f>IF($F112="","",IFERROR(INDEX('CAT_CENTROS_COSTO'!$D$4:$D$28,MATCH($F112,'CAT_CENTROS_COSTO'!$A$4:$A$28,0)),"(sin catálogo)"))</f>
        <v/>
      </c>
      <c r="Z112" s="24">
        <f>IF($F112="","",IF((IFERROR(INDEX('CAT_CENTROS_COSTO'!$E$4:$E$28,MATCH($F112,'CAT_CENTROS_COSTO'!$A$4:$A$28,0)),""))&lt;&gt;"",IFERROR(INDEX('CAT_CENTROS_COSTO'!$E$4:$E$28,MATCH($F112,'CAT_CENTROS_COSTO'!$A$4:$A$28,0)),""),$Y112))</f>
        <v/>
      </c>
      <c r="AA112" s="24">
        <f>IF($F112="","",IFERROR(INDEX('CAT_CENTROS_COSTO'!$G$4:$G$28,MATCH($F112,'CAT_CENTROS_COSTO'!$A$4:$A$28,0)),"(sin catálogo)"))</f>
        <v/>
      </c>
      <c r="AB112" s="24">
        <f>IF($G112="","",IFERROR(INDEX('CAT_PUESTOS'!$B$4:$B$23,MATCH($G112,'CAT_PUESTOS'!$A$4:$A$23,0)),"(sin catálogo)"))</f>
        <v/>
      </c>
      <c r="AC112" s="24">
        <f>IF($H112="","",IFERROR(INDEX('CAT_ACTIVIDADES'!$B$4:$B$26,MATCH($H112,'CAT_ACTIVIDADES'!$A$4:$A$26,0)),"(sin catálogo)"))</f>
        <v/>
      </c>
      <c r="AD112" s="26">
        <f>IF($J112="","",TODAY()-$J112)</f>
        <v/>
      </c>
      <c r="AE112" s="26">
        <f>IF($J112="","",IF($J112&lt;=TODAY(),COUNTIFS(cal_fechas,"&gt;="&amp;$J112,cal_fechas,"&lt;"&amp;TODAY(),cal_habil,"sí"),-COUNTIFS(cal_fechas,"&gt;="&amp;TODAY(),cal_fechas,"&lt;"&amp;$J112,cal_habil,"sí")))</f>
        <v/>
      </c>
      <c r="AF112" s="24">
        <f>IF($AE112="","",IF($AE112&lt;0,"FUTURO",IF($AE112&gt;p_dias_backlog_max,"BACKLOG","MES CORRIENTE")))</f>
        <v/>
      </c>
      <c r="AG112" s="24">
        <f>IF($AE112="",FALSE,AND($AE112&gt;p_dias_backlog_min,$AE112&lt;=p_dias_backlog_max))</f>
        <v/>
      </c>
      <c r="AH112" s="4" t="n"/>
      <c r="AI112" s="24">
        <f>IF($AH112="","",IF((IFERROR(INDEX('ASIGNACIONES'!$J$4:$J$451,MATCH($O112&amp;"|"&amp;$S112&amp;"|"&amp;$AH112,'ASIGNACIONES'!$N$4:$N$451,0)),""))=0,"",IFERROR(INDEX('ASIGNACIONES'!$J$4:$J$451,MATCH($O112&amp;"|"&amp;$S112&amp;"|"&amp;$AH112,'ASIGNACIONES'!$N$4:$N$451,0)),"")))</f>
        <v/>
      </c>
      <c r="AJ112" s="42">
        <f>IF($AH112="","",SUMIFS('ORDENES'!$M$4:$M$1203,'ORDENES'!$AH$4:$AH$1203,$AH112,'ORDENES'!$O$4:$O$1203,$O112,'ORDENES'!$S$4:$S$1203,$S112))</f>
        <v/>
      </c>
      <c r="AK112" s="42">
        <f>IF($AJ112="","",p_factor_productividad*IFERROR(INDEX('ASIGNACIONES'!$M$4:$M$451,MATCH($O112&amp;"|"&amp;$S112&amp;"|"&amp;$AH112,'ASIGNACIONES'!$N$4:$N$451,0)),0)-$AJ112)</f>
        <v/>
      </c>
      <c r="AL112" s="32">
        <f>IF($A112="","",IFERROR(INDEX('2_IMPORTAR_EJECUCION'!$F$9:$F$1208,MATCH($AU112,'2_IMPORTAR_EJECUCION'!$J$9:$J$1208,0)),0))</f>
        <v/>
      </c>
      <c r="AM112" s="32">
        <f>IF($A112="","",MAX(0,IFERROR(INDEX('2_IMPORTAR_EJECUCION'!$H$9:$H$1208,MATCH($AU112,'2_IMPORTAR_EJECUCION'!$J$9:$J$1208,0)),0)-$AL112))</f>
        <v/>
      </c>
      <c r="AN112" s="32">
        <f>IF($A112="","",$AL112+$AM112)</f>
        <v/>
      </c>
      <c r="AO112" s="24">
        <f>IF($A112="","",IF(OR((IFERROR(INDEX('CAT_ACTIVIDADES'!$D$4:$D$26,MATCH($H112,'CAT_ACTIVIDADES'!$A$4:$A$26,0)),""))=0,(IFERROR(INDEX('CAT_ACTIVIDADES'!$D$4:$D$26,MATCH($H112,'CAT_ACTIVIDADES'!$A$4:$A$26,0)),""))=""),"SIN CLASIFICAR",IFERROR(INDEX('CAT_ACTIVIDADES'!$D$4:$D$26,MATCH($H112,'CAT_ACTIVIDADES'!$A$4:$A$26,0)),"")))</f>
        <v/>
      </c>
      <c r="AP112" s="4" t="n"/>
      <c r="AQ112" s="4" t="n"/>
      <c r="AR112" s="4" t="n"/>
      <c r="AS112" s="24">
        <f>IF($AR112="","",HYPERLINK(p_ruta_base_checklists&amp;$AR112,"abrir"))</f>
        <v/>
      </c>
      <c r="AT112" s="4" t="n"/>
      <c r="AU112" s="24">
        <f>IF($A112="","",$A112&amp;IF($B112="","0010",$B112))</f>
        <v/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41" t="n"/>
      <c r="K113" s="5" t="n"/>
      <c r="L113" s="18" t="n"/>
      <c r="M113" s="24">
        <f>IF($A113="","",IFERROR(INDEX('AJUSTES'!$B$4:$B$303,MATCH($AU113,'AJUSTES'!$A$4:$A$303,0)),IF($K113="","",$K113)))</f>
        <v/>
      </c>
      <c r="N113" s="24">
        <f>IF($A113="","",IFERROR(INDEX('CAT_ESTADOS_ERP'!$B$4:$B$22,MATCH(IFERROR(INDEX('2_IMPORTAR_EJECUCION'!$C$9:$C$1208,MATCH($AU113,'2_IMPORTAR_EJECUCION'!$J$9:$J$1208,0)),""),'CAT_ESTADOS_ERP'!$A$4:$A$22,0)),"Pendiente"))</f>
        <v/>
      </c>
      <c r="O113" s="24">
        <f>IF($J113="","",YEAR($J113+4-WEEKDAY($J113,2))&amp;"-S"&amp;TEXT(_xlfn.ISOWEEKNUM($J113),"00"))</f>
        <v/>
      </c>
      <c r="P113" s="24">
        <f>IF($J113="","",YEAR($J113))</f>
        <v/>
      </c>
      <c r="Q113" s="24">
        <f>IF($J113="","",MONTH($J113))</f>
        <v/>
      </c>
      <c r="R113" s="24">
        <f>IF($J113="","",$P113&amp;"-"&amp;TEXT($Q113,"00"))</f>
        <v/>
      </c>
      <c r="S113" s="24">
        <f>IF($J113="","",INDEX(lista_dias,WEEKDAY($J113,2)))</f>
        <v/>
      </c>
      <c r="T113" s="24">
        <f>IF($J113="","",IFERROR(INDEX('CALENDARIO'!$C$15:$C$214,MATCH(TEXT($J113,"yyyy-mm-dd")&amp;"|"&amp;$Y113&amp;"|"&amp;$Z113,'CALENDARIO'!$G$15:$G$214,0)),IFERROR(INDEX('CALENDARIO'!$C$15:$C$214,MATCH(TEXT($J113,"yyyy-mm-dd")&amp;"|"&amp;$Y113&amp;"|",'CALENDARIO'!$G$15:$G$214,0)),IFERROR(INDEX('CALENDARIO'!$C$15:$C$214,MATCH(TEXT($J113,"yyyy-mm-dd")&amp;"||",'CALENDARIO'!$G$15:$G$214,0)),INDEX(patronHabil,WEEKDAY($J113,2))))))</f>
        <v/>
      </c>
      <c r="U113" s="24">
        <f>IF($I113="","",IFERROR(INDEX('CAT_TIPOS_OT'!$C$4:$C$23,MATCH($I113,'CAT_TIPOS_OT'!$A$4:$A$23,0)),"sin_clasificar"))</f>
        <v/>
      </c>
      <c r="V113" s="24">
        <f>IF($I113="","",IF(IFERROR(INDEX('CAT_TIPOS_OT'!$D$4:$D$23,MATCH($I113,'CAT_TIPOS_OT'!$A$4:$A$23,0)),"SIN CLASIFICAR")="","SIN CLASIFICAR",IFERROR(INDEX('CAT_TIPOS_OT'!$D$4:$D$23,MATCH($I113,'CAT_TIPOS_OT'!$A$4:$A$23,0)),"SIN CLASIFICAR")))</f>
        <v/>
      </c>
      <c r="W113" s="24">
        <f>IF($H113="","",IF(IFERROR(INDEX('CAT_ACTIVIDADES'!$F$4:$F$26,MATCH($H113,'CAT_ACTIVIDADES'!$A$4:$A$26,0)),"")=0,"",IFERROR(INDEX('CAT_ACTIVIDADES'!$F$4:$F$26,MATCH($H113,'CAT_ACTIVIDADES'!$A$4:$A$26,0)),"")))</f>
        <v/>
      </c>
      <c r="X113" s="24">
        <f>IF($F113="","",IFERROR(INDEX('CAT_CENTROS_COSTO'!$F$4:$F$28,MATCH($F113,'CAT_CENTROS_COSTO'!$A$4:$A$28,0)),"(sin catálogo)"))</f>
        <v/>
      </c>
      <c r="Y113" s="24">
        <f>IF($F113="","",IFERROR(INDEX('CAT_CENTROS_COSTO'!$D$4:$D$28,MATCH($F113,'CAT_CENTROS_COSTO'!$A$4:$A$28,0)),"(sin catálogo)"))</f>
        <v/>
      </c>
      <c r="Z113" s="24">
        <f>IF($F113="","",IF((IFERROR(INDEX('CAT_CENTROS_COSTO'!$E$4:$E$28,MATCH($F113,'CAT_CENTROS_COSTO'!$A$4:$A$28,0)),""))&lt;&gt;"",IFERROR(INDEX('CAT_CENTROS_COSTO'!$E$4:$E$28,MATCH($F113,'CAT_CENTROS_COSTO'!$A$4:$A$28,0)),""),$Y113))</f>
        <v/>
      </c>
      <c r="AA113" s="24">
        <f>IF($F113="","",IFERROR(INDEX('CAT_CENTROS_COSTO'!$G$4:$G$28,MATCH($F113,'CAT_CENTROS_COSTO'!$A$4:$A$28,0)),"(sin catálogo)"))</f>
        <v/>
      </c>
      <c r="AB113" s="24">
        <f>IF($G113="","",IFERROR(INDEX('CAT_PUESTOS'!$B$4:$B$23,MATCH($G113,'CAT_PUESTOS'!$A$4:$A$23,0)),"(sin catálogo)"))</f>
        <v/>
      </c>
      <c r="AC113" s="24">
        <f>IF($H113="","",IFERROR(INDEX('CAT_ACTIVIDADES'!$B$4:$B$26,MATCH($H113,'CAT_ACTIVIDADES'!$A$4:$A$26,0)),"(sin catálogo)"))</f>
        <v/>
      </c>
      <c r="AD113" s="26">
        <f>IF($J113="","",TODAY()-$J113)</f>
        <v/>
      </c>
      <c r="AE113" s="26">
        <f>IF($J113="","",IF($J113&lt;=TODAY(),COUNTIFS(cal_fechas,"&gt;="&amp;$J113,cal_fechas,"&lt;"&amp;TODAY(),cal_habil,"sí"),-COUNTIFS(cal_fechas,"&gt;="&amp;TODAY(),cal_fechas,"&lt;"&amp;$J113,cal_habil,"sí")))</f>
        <v/>
      </c>
      <c r="AF113" s="24">
        <f>IF($AE113="","",IF($AE113&lt;0,"FUTURO",IF($AE113&gt;p_dias_backlog_max,"BACKLOG","MES CORRIENTE")))</f>
        <v/>
      </c>
      <c r="AG113" s="24">
        <f>IF($AE113="",FALSE,AND($AE113&gt;p_dias_backlog_min,$AE113&lt;=p_dias_backlog_max))</f>
        <v/>
      </c>
      <c r="AH113" s="4" t="n"/>
      <c r="AI113" s="24">
        <f>IF($AH113="","",IF((IFERROR(INDEX('ASIGNACIONES'!$J$4:$J$451,MATCH($O113&amp;"|"&amp;$S113&amp;"|"&amp;$AH113,'ASIGNACIONES'!$N$4:$N$451,0)),""))=0,"",IFERROR(INDEX('ASIGNACIONES'!$J$4:$J$451,MATCH($O113&amp;"|"&amp;$S113&amp;"|"&amp;$AH113,'ASIGNACIONES'!$N$4:$N$451,0)),"")))</f>
        <v/>
      </c>
      <c r="AJ113" s="42">
        <f>IF($AH113="","",SUMIFS('ORDENES'!$M$4:$M$1203,'ORDENES'!$AH$4:$AH$1203,$AH113,'ORDENES'!$O$4:$O$1203,$O113,'ORDENES'!$S$4:$S$1203,$S113))</f>
        <v/>
      </c>
      <c r="AK113" s="42">
        <f>IF($AJ113="","",p_factor_productividad*IFERROR(INDEX('ASIGNACIONES'!$M$4:$M$451,MATCH($O113&amp;"|"&amp;$S113&amp;"|"&amp;$AH113,'ASIGNACIONES'!$N$4:$N$451,0)),0)-$AJ113)</f>
        <v/>
      </c>
      <c r="AL113" s="32">
        <f>IF($A113="","",IFERROR(INDEX('2_IMPORTAR_EJECUCION'!$F$9:$F$1208,MATCH($AU113,'2_IMPORTAR_EJECUCION'!$J$9:$J$1208,0)),0))</f>
        <v/>
      </c>
      <c r="AM113" s="32">
        <f>IF($A113="","",MAX(0,IFERROR(INDEX('2_IMPORTAR_EJECUCION'!$H$9:$H$1208,MATCH($AU113,'2_IMPORTAR_EJECUCION'!$J$9:$J$1208,0)),0)-$AL113))</f>
        <v/>
      </c>
      <c r="AN113" s="32">
        <f>IF($A113="","",$AL113+$AM113)</f>
        <v/>
      </c>
      <c r="AO113" s="24">
        <f>IF($A113="","",IF(OR((IFERROR(INDEX('CAT_ACTIVIDADES'!$D$4:$D$26,MATCH($H113,'CAT_ACTIVIDADES'!$A$4:$A$26,0)),""))=0,(IFERROR(INDEX('CAT_ACTIVIDADES'!$D$4:$D$26,MATCH($H113,'CAT_ACTIVIDADES'!$A$4:$A$26,0)),""))=""),"SIN CLASIFICAR",IFERROR(INDEX('CAT_ACTIVIDADES'!$D$4:$D$26,MATCH($H113,'CAT_ACTIVIDADES'!$A$4:$A$26,0)),"")))</f>
        <v/>
      </c>
      <c r="AP113" s="4" t="n"/>
      <c r="AQ113" s="4" t="n"/>
      <c r="AR113" s="4" t="n"/>
      <c r="AS113" s="24">
        <f>IF($AR113="","",HYPERLINK(p_ruta_base_checklists&amp;$AR113,"abrir"))</f>
        <v/>
      </c>
      <c r="AT113" s="4" t="n"/>
      <c r="AU113" s="24">
        <f>IF($A113="","",$A113&amp;IF($B113="","0010",$B113))</f>
        <v/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41" t="n"/>
      <c r="K114" s="5" t="n"/>
      <c r="L114" s="18" t="n"/>
      <c r="M114" s="24">
        <f>IF($A114="","",IFERROR(INDEX('AJUSTES'!$B$4:$B$303,MATCH($AU114,'AJUSTES'!$A$4:$A$303,0)),IF($K114="","",$K114)))</f>
        <v/>
      </c>
      <c r="N114" s="24">
        <f>IF($A114="","",IFERROR(INDEX('CAT_ESTADOS_ERP'!$B$4:$B$22,MATCH(IFERROR(INDEX('2_IMPORTAR_EJECUCION'!$C$9:$C$1208,MATCH($AU114,'2_IMPORTAR_EJECUCION'!$J$9:$J$1208,0)),""),'CAT_ESTADOS_ERP'!$A$4:$A$22,0)),"Pendiente"))</f>
        <v/>
      </c>
      <c r="O114" s="24">
        <f>IF($J114="","",YEAR($J114+4-WEEKDAY($J114,2))&amp;"-S"&amp;TEXT(_xlfn.ISOWEEKNUM($J114),"00"))</f>
        <v/>
      </c>
      <c r="P114" s="24">
        <f>IF($J114="","",YEAR($J114))</f>
        <v/>
      </c>
      <c r="Q114" s="24">
        <f>IF($J114="","",MONTH($J114))</f>
        <v/>
      </c>
      <c r="R114" s="24">
        <f>IF($J114="","",$P114&amp;"-"&amp;TEXT($Q114,"00"))</f>
        <v/>
      </c>
      <c r="S114" s="24">
        <f>IF($J114="","",INDEX(lista_dias,WEEKDAY($J114,2)))</f>
        <v/>
      </c>
      <c r="T114" s="24">
        <f>IF($J114="","",IFERROR(INDEX('CALENDARIO'!$C$15:$C$214,MATCH(TEXT($J114,"yyyy-mm-dd")&amp;"|"&amp;$Y114&amp;"|"&amp;$Z114,'CALENDARIO'!$G$15:$G$214,0)),IFERROR(INDEX('CALENDARIO'!$C$15:$C$214,MATCH(TEXT($J114,"yyyy-mm-dd")&amp;"|"&amp;$Y114&amp;"|",'CALENDARIO'!$G$15:$G$214,0)),IFERROR(INDEX('CALENDARIO'!$C$15:$C$214,MATCH(TEXT($J114,"yyyy-mm-dd")&amp;"||",'CALENDARIO'!$G$15:$G$214,0)),INDEX(patronHabil,WEEKDAY($J114,2))))))</f>
        <v/>
      </c>
      <c r="U114" s="24">
        <f>IF($I114="","",IFERROR(INDEX('CAT_TIPOS_OT'!$C$4:$C$23,MATCH($I114,'CAT_TIPOS_OT'!$A$4:$A$23,0)),"sin_clasificar"))</f>
        <v/>
      </c>
      <c r="V114" s="24">
        <f>IF($I114="","",IF(IFERROR(INDEX('CAT_TIPOS_OT'!$D$4:$D$23,MATCH($I114,'CAT_TIPOS_OT'!$A$4:$A$23,0)),"SIN CLASIFICAR")="","SIN CLASIFICAR",IFERROR(INDEX('CAT_TIPOS_OT'!$D$4:$D$23,MATCH($I114,'CAT_TIPOS_OT'!$A$4:$A$23,0)),"SIN CLASIFICAR")))</f>
        <v/>
      </c>
      <c r="W114" s="24">
        <f>IF($H114="","",IF(IFERROR(INDEX('CAT_ACTIVIDADES'!$F$4:$F$26,MATCH($H114,'CAT_ACTIVIDADES'!$A$4:$A$26,0)),"")=0,"",IFERROR(INDEX('CAT_ACTIVIDADES'!$F$4:$F$26,MATCH($H114,'CAT_ACTIVIDADES'!$A$4:$A$26,0)),"")))</f>
        <v/>
      </c>
      <c r="X114" s="24">
        <f>IF($F114="","",IFERROR(INDEX('CAT_CENTROS_COSTO'!$F$4:$F$28,MATCH($F114,'CAT_CENTROS_COSTO'!$A$4:$A$28,0)),"(sin catálogo)"))</f>
        <v/>
      </c>
      <c r="Y114" s="24">
        <f>IF($F114="","",IFERROR(INDEX('CAT_CENTROS_COSTO'!$D$4:$D$28,MATCH($F114,'CAT_CENTROS_COSTO'!$A$4:$A$28,0)),"(sin catálogo)"))</f>
        <v/>
      </c>
      <c r="Z114" s="24">
        <f>IF($F114="","",IF((IFERROR(INDEX('CAT_CENTROS_COSTO'!$E$4:$E$28,MATCH($F114,'CAT_CENTROS_COSTO'!$A$4:$A$28,0)),""))&lt;&gt;"",IFERROR(INDEX('CAT_CENTROS_COSTO'!$E$4:$E$28,MATCH($F114,'CAT_CENTROS_COSTO'!$A$4:$A$28,0)),""),$Y114))</f>
        <v/>
      </c>
      <c r="AA114" s="24">
        <f>IF($F114="","",IFERROR(INDEX('CAT_CENTROS_COSTO'!$G$4:$G$28,MATCH($F114,'CAT_CENTROS_COSTO'!$A$4:$A$28,0)),"(sin catálogo)"))</f>
        <v/>
      </c>
      <c r="AB114" s="24">
        <f>IF($G114="","",IFERROR(INDEX('CAT_PUESTOS'!$B$4:$B$23,MATCH($G114,'CAT_PUESTOS'!$A$4:$A$23,0)),"(sin catálogo)"))</f>
        <v/>
      </c>
      <c r="AC114" s="24">
        <f>IF($H114="","",IFERROR(INDEX('CAT_ACTIVIDADES'!$B$4:$B$26,MATCH($H114,'CAT_ACTIVIDADES'!$A$4:$A$26,0)),"(sin catálogo)"))</f>
        <v/>
      </c>
      <c r="AD114" s="26">
        <f>IF($J114="","",TODAY()-$J114)</f>
        <v/>
      </c>
      <c r="AE114" s="26">
        <f>IF($J114="","",IF($J114&lt;=TODAY(),COUNTIFS(cal_fechas,"&gt;="&amp;$J114,cal_fechas,"&lt;"&amp;TODAY(),cal_habil,"sí"),-COUNTIFS(cal_fechas,"&gt;="&amp;TODAY(),cal_fechas,"&lt;"&amp;$J114,cal_habil,"sí")))</f>
        <v/>
      </c>
      <c r="AF114" s="24">
        <f>IF($AE114="","",IF($AE114&lt;0,"FUTURO",IF($AE114&gt;p_dias_backlog_max,"BACKLOG","MES CORRIENTE")))</f>
        <v/>
      </c>
      <c r="AG114" s="24">
        <f>IF($AE114="",FALSE,AND($AE114&gt;p_dias_backlog_min,$AE114&lt;=p_dias_backlog_max))</f>
        <v/>
      </c>
      <c r="AH114" s="4" t="n"/>
      <c r="AI114" s="24">
        <f>IF($AH114="","",IF((IFERROR(INDEX('ASIGNACIONES'!$J$4:$J$451,MATCH($O114&amp;"|"&amp;$S114&amp;"|"&amp;$AH114,'ASIGNACIONES'!$N$4:$N$451,0)),""))=0,"",IFERROR(INDEX('ASIGNACIONES'!$J$4:$J$451,MATCH($O114&amp;"|"&amp;$S114&amp;"|"&amp;$AH114,'ASIGNACIONES'!$N$4:$N$451,0)),"")))</f>
        <v/>
      </c>
      <c r="AJ114" s="42">
        <f>IF($AH114="","",SUMIFS('ORDENES'!$M$4:$M$1203,'ORDENES'!$AH$4:$AH$1203,$AH114,'ORDENES'!$O$4:$O$1203,$O114,'ORDENES'!$S$4:$S$1203,$S114))</f>
        <v/>
      </c>
      <c r="AK114" s="42">
        <f>IF($AJ114="","",p_factor_productividad*IFERROR(INDEX('ASIGNACIONES'!$M$4:$M$451,MATCH($O114&amp;"|"&amp;$S114&amp;"|"&amp;$AH114,'ASIGNACIONES'!$N$4:$N$451,0)),0)-$AJ114)</f>
        <v/>
      </c>
      <c r="AL114" s="32">
        <f>IF($A114="","",IFERROR(INDEX('2_IMPORTAR_EJECUCION'!$F$9:$F$1208,MATCH($AU114,'2_IMPORTAR_EJECUCION'!$J$9:$J$1208,0)),0))</f>
        <v/>
      </c>
      <c r="AM114" s="32">
        <f>IF($A114="","",MAX(0,IFERROR(INDEX('2_IMPORTAR_EJECUCION'!$H$9:$H$1208,MATCH($AU114,'2_IMPORTAR_EJECUCION'!$J$9:$J$1208,0)),0)-$AL114))</f>
        <v/>
      </c>
      <c r="AN114" s="32">
        <f>IF($A114="","",$AL114+$AM114)</f>
        <v/>
      </c>
      <c r="AO114" s="24">
        <f>IF($A114="","",IF(OR((IFERROR(INDEX('CAT_ACTIVIDADES'!$D$4:$D$26,MATCH($H114,'CAT_ACTIVIDADES'!$A$4:$A$26,0)),""))=0,(IFERROR(INDEX('CAT_ACTIVIDADES'!$D$4:$D$26,MATCH($H114,'CAT_ACTIVIDADES'!$A$4:$A$26,0)),""))=""),"SIN CLASIFICAR",IFERROR(INDEX('CAT_ACTIVIDADES'!$D$4:$D$26,MATCH($H114,'CAT_ACTIVIDADES'!$A$4:$A$26,0)),"")))</f>
        <v/>
      </c>
      <c r="AP114" s="4" t="n"/>
      <c r="AQ114" s="4" t="n"/>
      <c r="AR114" s="4" t="n"/>
      <c r="AS114" s="24">
        <f>IF($AR114="","",HYPERLINK(p_ruta_base_checklists&amp;$AR114,"abrir"))</f>
        <v/>
      </c>
      <c r="AT114" s="4" t="n"/>
      <c r="AU114" s="24">
        <f>IF($A114="","",$A114&amp;IF($B114="","0010",$B114))</f>
        <v/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41" t="n"/>
      <c r="K115" s="5" t="n"/>
      <c r="L115" s="18" t="n"/>
      <c r="M115" s="24">
        <f>IF($A115="","",IFERROR(INDEX('AJUSTES'!$B$4:$B$303,MATCH($AU115,'AJUSTES'!$A$4:$A$303,0)),IF($K115="","",$K115)))</f>
        <v/>
      </c>
      <c r="N115" s="24">
        <f>IF($A115="","",IFERROR(INDEX('CAT_ESTADOS_ERP'!$B$4:$B$22,MATCH(IFERROR(INDEX('2_IMPORTAR_EJECUCION'!$C$9:$C$1208,MATCH($AU115,'2_IMPORTAR_EJECUCION'!$J$9:$J$1208,0)),""),'CAT_ESTADOS_ERP'!$A$4:$A$22,0)),"Pendiente"))</f>
        <v/>
      </c>
      <c r="O115" s="24">
        <f>IF($J115="","",YEAR($J115+4-WEEKDAY($J115,2))&amp;"-S"&amp;TEXT(_xlfn.ISOWEEKNUM($J115),"00"))</f>
        <v/>
      </c>
      <c r="P115" s="24">
        <f>IF($J115="","",YEAR($J115))</f>
        <v/>
      </c>
      <c r="Q115" s="24">
        <f>IF($J115="","",MONTH($J115))</f>
        <v/>
      </c>
      <c r="R115" s="24">
        <f>IF($J115="","",$P115&amp;"-"&amp;TEXT($Q115,"00"))</f>
        <v/>
      </c>
      <c r="S115" s="24">
        <f>IF($J115="","",INDEX(lista_dias,WEEKDAY($J115,2)))</f>
        <v/>
      </c>
      <c r="T115" s="24">
        <f>IF($J115="","",IFERROR(INDEX('CALENDARIO'!$C$15:$C$214,MATCH(TEXT($J115,"yyyy-mm-dd")&amp;"|"&amp;$Y115&amp;"|"&amp;$Z115,'CALENDARIO'!$G$15:$G$214,0)),IFERROR(INDEX('CALENDARIO'!$C$15:$C$214,MATCH(TEXT($J115,"yyyy-mm-dd")&amp;"|"&amp;$Y115&amp;"|",'CALENDARIO'!$G$15:$G$214,0)),IFERROR(INDEX('CALENDARIO'!$C$15:$C$214,MATCH(TEXT($J115,"yyyy-mm-dd")&amp;"||",'CALENDARIO'!$G$15:$G$214,0)),INDEX(patronHabil,WEEKDAY($J115,2))))))</f>
        <v/>
      </c>
      <c r="U115" s="24">
        <f>IF($I115="","",IFERROR(INDEX('CAT_TIPOS_OT'!$C$4:$C$23,MATCH($I115,'CAT_TIPOS_OT'!$A$4:$A$23,0)),"sin_clasificar"))</f>
        <v/>
      </c>
      <c r="V115" s="24">
        <f>IF($I115="","",IF(IFERROR(INDEX('CAT_TIPOS_OT'!$D$4:$D$23,MATCH($I115,'CAT_TIPOS_OT'!$A$4:$A$23,0)),"SIN CLASIFICAR")="","SIN CLASIFICAR",IFERROR(INDEX('CAT_TIPOS_OT'!$D$4:$D$23,MATCH($I115,'CAT_TIPOS_OT'!$A$4:$A$23,0)),"SIN CLASIFICAR")))</f>
        <v/>
      </c>
      <c r="W115" s="24">
        <f>IF($H115="","",IF(IFERROR(INDEX('CAT_ACTIVIDADES'!$F$4:$F$26,MATCH($H115,'CAT_ACTIVIDADES'!$A$4:$A$26,0)),"")=0,"",IFERROR(INDEX('CAT_ACTIVIDADES'!$F$4:$F$26,MATCH($H115,'CAT_ACTIVIDADES'!$A$4:$A$26,0)),"")))</f>
        <v/>
      </c>
      <c r="X115" s="24">
        <f>IF($F115="","",IFERROR(INDEX('CAT_CENTROS_COSTO'!$F$4:$F$28,MATCH($F115,'CAT_CENTROS_COSTO'!$A$4:$A$28,0)),"(sin catálogo)"))</f>
        <v/>
      </c>
      <c r="Y115" s="24">
        <f>IF($F115="","",IFERROR(INDEX('CAT_CENTROS_COSTO'!$D$4:$D$28,MATCH($F115,'CAT_CENTROS_COSTO'!$A$4:$A$28,0)),"(sin catálogo)"))</f>
        <v/>
      </c>
      <c r="Z115" s="24">
        <f>IF($F115="","",IF((IFERROR(INDEX('CAT_CENTROS_COSTO'!$E$4:$E$28,MATCH($F115,'CAT_CENTROS_COSTO'!$A$4:$A$28,0)),""))&lt;&gt;"",IFERROR(INDEX('CAT_CENTROS_COSTO'!$E$4:$E$28,MATCH($F115,'CAT_CENTROS_COSTO'!$A$4:$A$28,0)),""),$Y115))</f>
        <v/>
      </c>
      <c r="AA115" s="24">
        <f>IF($F115="","",IFERROR(INDEX('CAT_CENTROS_COSTO'!$G$4:$G$28,MATCH($F115,'CAT_CENTROS_COSTO'!$A$4:$A$28,0)),"(sin catálogo)"))</f>
        <v/>
      </c>
      <c r="AB115" s="24">
        <f>IF($G115="","",IFERROR(INDEX('CAT_PUESTOS'!$B$4:$B$23,MATCH($G115,'CAT_PUESTOS'!$A$4:$A$23,0)),"(sin catálogo)"))</f>
        <v/>
      </c>
      <c r="AC115" s="24">
        <f>IF($H115="","",IFERROR(INDEX('CAT_ACTIVIDADES'!$B$4:$B$26,MATCH($H115,'CAT_ACTIVIDADES'!$A$4:$A$26,0)),"(sin catálogo)"))</f>
        <v/>
      </c>
      <c r="AD115" s="26">
        <f>IF($J115="","",TODAY()-$J115)</f>
        <v/>
      </c>
      <c r="AE115" s="26">
        <f>IF($J115="","",IF($J115&lt;=TODAY(),COUNTIFS(cal_fechas,"&gt;="&amp;$J115,cal_fechas,"&lt;"&amp;TODAY(),cal_habil,"sí"),-COUNTIFS(cal_fechas,"&gt;="&amp;TODAY(),cal_fechas,"&lt;"&amp;$J115,cal_habil,"sí")))</f>
        <v/>
      </c>
      <c r="AF115" s="24">
        <f>IF($AE115="","",IF($AE115&lt;0,"FUTURO",IF($AE115&gt;p_dias_backlog_max,"BACKLOG","MES CORRIENTE")))</f>
        <v/>
      </c>
      <c r="AG115" s="24">
        <f>IF($AE115="",FALSE,AND($AE115&gt;p_dias_backlog_min,$AE115&lt;=p_dias_backlog_max))</f>
        <v/>
      </c>
      <c r="AH115" s="4" t="n"/>
      <c r="AI115" s="24">
        <f>IF($AH115="","",IF((IFERROR(INDEX('ASIGNACIONES'!$J$4:$J$451,MATCH($O115&amp;"|"&amp;$S115&amp;"|"&amp;$AH115,'ASIGNACIONES'!$N$4:$N$451,0)),""))=0,"",IFERROR(INDEX('ASIGNACIONES'!$J$4:$J$451,MATCH($O115&amp;"|"&amp;$S115&amp;"|"&amp;$AH115,'ASIGNACIONES'!$N$4:$N$451,0)),"")))</f>
        <v/>
      </c>
      <c r="AJ115" s="42">
        <f>IF($AH115="","",SUMIFS('ORDENES'!$M$4:$M$1203,'ORDENES'!$AH$4:$AH$1203,$AH115,'ORDENES'!$O$4:$O$1203,$O115,'ORDENES'!$S$4:$S$1203,$S115))</f>
        <v/>
      </c>
      <c r="AK115" s="42">
        <f>IF($AJ115="","",p_factor_productividad*IFERROR(INDEX('ASIGNACIONES'!$M$4:$M$451,MATCH($O115&amp;"|"&amp;$S115&amp;"|"&amp;$AH115,'ASIGNACIONES'!$N$4:$N$451,0)),0)-$AJ115)</f>
        <v/>
      </c>
      <c r="AL115" s="32">
        <f>IF($A115="","",IFERROR(INDEX('2_IMPORTAR_EJECUCION'!$F$9:$F$1208,MATCH($AU115,'2_IMPORTAR_EJECUCION'!$J$9:$J$1208,0)),0))</f>
        <v/>
      </c>
      <c r="AM115" s="32">
        <f>IF($A115="","",MAX(0,IFERROR(INDEX('2_IMPORTAR_EJECUCION'!$H$9:$H$1208,MATCH($AU115,'2_IMPORTAR_EJECUCION'!$J$9:$J$1208,0)),0)-$AL115))</f>
        <v/>
      </c>
      <c r="AN115" s="32">
        <f>IF($A115="","",$AL115+$AM115)</f>
        <v/>
      </c>
      <c r="AO115" s="24">
        <f>IF($A115="","",IF(OR((IFERROR(INDEX('CAT_ACTIVIDADES'!$D$4:$D$26,MATCH($H115,'CAT_ACTIVIDADES'!$A$4:$A$26,0)),""))=0,(IFERROR(INDEX('CAT_ACTIVIDADES'!$D$4:$D$26,MATCH($H115,'CAT_ACTIVIDADES'!$A$4:$A$26,0)),""))=""),"SIN CLASIFICAR",IFERROR(INDEX('CAT_ACTIVIDADES'!$D$4:$D$26,MATCH($H115,'CAT_ACTIVIDADES'!$A$4:$A$26,0)),"")))</f>
        <v/>
      </c>
      <c r="AP115" s="4" t="n"/>
      <c r="AQ115" s="4" t="n"/>
      <c r="AR115" s="4" t="n"/>
      <c r="AS115" s="24">
        <f>IF($AR115="","",HYPERLINK(p_ruta_base_checklists&amp;$AR115,"abrir"))</f>
        <v/>
      </c>
      <c r="AT115" s="4" t="n"/>
      <c r="AU115" s="24">
        <f>IF($A115="","",$A115&amp;IF($B115="","0010",$B115))</f>
        <v/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41" t="n"/>
      <c r="K116" s="5" t="n"/>
      <c r="L116" s="18" t="n"/>
      <c r="M116" s="24">
        <f>IF($A116="","",IFERROR(INDEX('AJUSTES'!$B$4:$B$303,MATCH($AU116,'AJUSTES'!$A$4:$A$303,0)),IF($K116="","",$K116)))</f>
        <v/>
      </c>
      <c r="N116" s="24">
        <f>IF($A116="","",IFERROR(INDEX('CAT_ESTADOS_ERP'!$B$4:$B$22,MATCH(IFERROR(INDEX('2_IMPORTAR_EJECUCION'!$C$9:$C$1208,MATCH($AU116,'2_IMPORTAR_EJECUCION'!$J$9:$J$1208,0)),""),'CAT_ESTADOS_ERP'!$A$4:$A$22,0)),"Pendiente"))</f>
        <v/>
      </c>
      <c r="O116" s="24">
        <f>IF($J116="","",YEAR($J116+4-WEEKDAY($J116,2))&amp;"-S"&amp;TEXT(_xlfn.ISOWEEKNUM($J116),"00"))</f>
        <v/>
      </c>
      <c r="P116" s="24">
        <f>IF($J116="","",YEAR($J116))</f>
        <v/>
      </c>
      <c r="Q116" s="24">
        <f>IF($J116="","",MONTH($J116))</f>
        <v/>
      </c>
      <c r="R116" s="24">
        <f>IF($J116="","",$P116&amp;"-"&amp;TEXT($Q116,"00"))</f>
        <v/>
      </c>
      <c r="S116" s="24">
        <f>IF($J116="","",INDEX(lista_dias,WEEKDAY($J116,2)))</f>
        <v/>
      </c>
      <c r="T116" s="24">
        <f>IF($J116="","",IFERROR(INDEX('CALENDARIO'!$C$15:$C$214,MATCH(TEXT($J116,"yyyy-mm-dd")&amp;"|"&amp;$Y116&amp;"|"&amp;$Z116,'CALENDARIO'!$G$15:$G$214,0)),IFERROR(INDEX('CALENDARIO'!$C$15:$C$214,MATCH(TEXT($J116,"yyyy-mm-dd")&amp;"|"&amp;$Y116&amp;"|",'CALENDARIO'!$G$15:$G$214,0)),IFERROR(INDEX('CALENDARIO'!$C$15:$C$214,MATCH(TEXT($J116,"yyyy-mm-dd")&amp;"||",'CALENDARIO'!$G$15:$G$214,0)),INDEX(patronHabil,WEEKDAY($J116,2))))))</f>
        <v/>
      </c>
      <c r="U116" s="24">
        <f>IF($I116="","",IFERROR(INDEX('CAT_TIPOS_OT'!$C$4:$C$23,MATCH($I116,'CAT_TIPOS_OT'!$A$4:$A$23,0)),"sin_clasificar"))</f>
        <v/>
      </c>
      <c r="V116" s="24">
        <f>IF($I116="","",IF(IFERROR(INDEX('CAT_TIPOS_OT'!$D$4:$D$23,MATCH($I116,'CAT_TIPOS_OT'!$A$4:$A$23,0)),"SIN CLASIFICAR")="","SIN CLASIFICAR",IFERROR(INDEX('CAT_TIPOS_OT'!$D$4:$D$23,MATCH($I116,'CAT_TIPOS_OT'!$A$4:$A$23,0)),"SIN CLASIFICAR")))</f>
        <v/>
      </c>
      <c r="W116" s="24">
        <f>IF($H116="","",IF(IFERROR(INDEX('CAT_ACTIVIDADES'!$F$4:$F$26,MATCH($H116,'CAT_ACTIVIDADES'!$A$4:$A$26,0)),"")=0,"",IFERROR(INDEX('CAT_ACTIVIDADES'!$F$4:$F$26,MATCH($H116,'CAT_ACTIVIDADES'!$A$4:$A$26,0)),"")))</f>
        <v/>
      </c>
      <c r="X116" s="24">
        <f>IF($F116="","",IFERROR(INDEX('CAT_CENTROS_COSTO'!$F$4:$F$28,MATCH($F116,'CAT_CENTROS_COSTO'!$A$4:$A$28,0)),"(sin catálogo)"))</f>
        <v/>
      </c>
      <c r="Y116" s="24">
        <f>IF($F116="","",IFERROR(INDEX('CAT_CENTROS_COSTO'!$D$4:$D$28,MATCH($F116,'CAT_CENTROS_COSTO'!$A$4:$A$28,0)),"(sin catálogo)"))</f>
        <v/>
      </c>
      <c r="Z116" s="24">
        <f>IF($F116="","",IF((IFERROR(INDEX('CAT_CENTROS_COSTO'!$E$4:$E$28,MATCH($F116,'CAT_CENTROS_COSTO'!$A$4:$A$28,0)),""))&lt;&gt;"",IFERROR(INDEX('CAT_CENTROS_COSTO'!$E$4:$E$28,MATCH($F116,'CAT_CENTROS_COSTO'!$A$4:$A$28,0)),""),$Y116))</f>
        <v/>
      </c>
      <c r="AA116" s="24">
        <f>IF($F116="","",IFERROR(INDEX('CAT_CENTROS_COSTO'!$G$4:$G$28,MATCH($F116,'CAT_CENTROS_COSTO'!$A$4:$A$28,0)),"(sin catálogo)"))</f>
        <v/>
      </c>
      <c r="AB116" s="24">
        <f>IF($G116="","",IFERROR(INDEX('CAT_PUESTOS'!$B$4:$B$23,MATCH($G116,'CAT_PUESTOS'!$A$4:$A$23,0)),"(sin catálogo)"))</f>
        <v/>
      </c>
      <c r="AC116" s="24">
        <f>IF($H116="","",IFERROR(INDEX('CAT_ACTIVIDADES'!$B$4:$B$26,MATCH($H116,'CAT_ACTIVIDADES'!$A$4:$A$26,0)),"(sin catálogo)"))</f>
        <v/>
      </c>
      <c r="AD116" s="26">
        <f>IF($J116="","",TODAY()-$J116)</f>
        <v/>
      </c>
      <c r="AE116" s="26">
        <f>IF($J116="","",IF($J116&lt;=TODAY(),COUNTIFS(cal_fechas,"&gt;="&amp;$J116,cal_fechas,"&lt;"&amp;TODAY(),cal_habil,"sí"),-COUNTIFS(cal_fechas,"&gt;="&amp;TODAY(),cal_fechas,"&lt;"&amp;$J116,cal_habil,"sí")))</f>
        <v/>
      </c>
      <c r="AF116" s="24">
        <f>IF($AE116="","",IF($AE116&lt;0,"FUTURO",IF($AE116&gt;p_dias_backlog_max,"BACKLOG","MES CORRIENTE")))</f>
        <v/>
      </c>
      <c r="AG116" s="24">
        <f>IF($AE116="",FALSE,AND($AE116&gt;p_dias_backlog_min,$AE116&lt;=p_dias_backlog_max))</f>
        <v/>
      </c>
      <c r="AH116" s="4" t="n"/>
      <c r="AI116" s="24">
        <f>IF($AH116="","",IF((IFERROR(INDEX('ASIGNACIONES'!$J$4:$J$451,MATCH($O116&amp;"|"&amp;$S116&amp;"|"&amp;$AH116,'ASIGNACIONES'!$N$4:$N$451,0)),""))=0,"",IFERROR(INDEX('ASIGNACIONES'!$J$4:$J$451,MATCH($O116&amp;"|"&amp;$S116&amp;"|"&amp;$AH116,'ASIGNACIONES'!$N$4:$N$451,0)),"")))</f>
        <v/>
      </c>
      <c r="AJ116" s="42">
        <f>IF($AH116="","",SUMIFS('ORDENES'!$M$4:$M$1203,'ORDENES'!$AH$4:$AH$1203,$AH116,'ORDENES'!$O$4:$O$1203,$O116,'ORDENES'!$S$4:$S$1203,$S116))</f>
        <v/>
      </c>
      <c r="AK116" s="42">
        <f>IF($AJ116="","",p_factor_productividad*IFERROR(INDEX('ASIGNACIONES'!$M$4:$M$451,MATCH($O116&amp;"|"&amp;$S116&amp;"|"&amp;$AH116,'ASIGNACIONES'!$N$4:$N$451,0)),0)-$AJ116)</f>
        <v/>
      </c>
      <c r="AL116" s="32">
        <f>IF($A116="","",IFERROR(INDEX('2_IMPORTAR_EJECUCION'!$F$9:$F$1208,MATCH($AU116,'2_IMPORTAR_EJECUCION'!$J$9:$J$1208,0)),0))</f>
        <v/>
      </c>
      <c r="AM116" s="32">
        <f>IF($A116="","",MAX(0,IFERROR(INDEX('2_IMPORTAR_EJECUCION'!$H$9:$H$1208,MATCH($AU116,'2_IMPORTAR_EJECUCION'!$J$9:$J$1208,0)),0)-$AL116))</f>
        <v/>
      </c>
      <c r="AN116" s="32">
        <f>IF($A116="","",$AL116+$AM116)</f>
        <v/>
      </c>
      <c r="AO116" s="24">
        <f>IF($A116="","",IF(OR((IFERROR(INDEX('CAT_ACTIVIDADES'!$D$4:$D$26,MATCH($H116,'CAT_ACTIVIDADES'!$A$4:$A$26,0)),""))=0,(IFERROR(INDEX('CAT_ACTIVIDADES'!$D$4:$D$26,MATCH($H116,'CAT_ACTIVIDADES'!$A$4:$A$26,0)),""))=""),"SIN CLASIFICAR",IFERROR(INDEX('CAT_ACTIVIDADES'!$D$4:$D$26,MATCH($H116,'CAT_ACTIVIDADES'!$A$4:$A$26,0)),"")))</f>
        <v/>
      </c>
      <c r="AP116" s="4" t="n"/>
      <c r="AQ116" s="4" t="n"/>
      <c r="AR116" s="4" t="n"/>
      <c r="AS116" s="24">
        <f>IF($AR116="","",HYPERLINK(p_ruta_base_checklists&amp;$AR116,"abrir"))</f>
        <v/>
      </c>
      <c r="AT116" s="4" t="n"/>
      <c r="AU116" s="24">
        <f>IF($A116="","",$A116&amp;IF($B116="","0010",$B116))</f>
        <v/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41" t="n"/>
      <c r="K117" s="5" t="n"/>
      <c r="L117" s="18" t="n"/>
      <c r="M117" s="24">
        <f>IF($A117="","",IFERROR(INDEX('AJUSTES'!$B$4:$B$303,MATCH($AU117,'AJUSTES'!$A$4:$A$303,0)),IF($K117="","",$K117)))</f>
        <v/>
      </c>
      <c r="N117" s="24">
        <f>IF($A117="","",IFERROR(INDEX('CAT_ESTADOS_ERP'!$B$4:$B$22,MATCH(IFERROR(INDEX('2_IMPORTAR_EJECUCION'!$C$9:$C$1208,MATCH($AU117,'2_IMPORTAR_EJECUCION'!$J$9:$J$1208,0)),""),'CAT_ESTADOS_ERP'!$A$4:$A$22,0)),"Pendiente"))</f>
        <v/>
      </c>
      <c r="O117" s="24">
        <f>IF($J117="","",YEAR($J117+4-WEEKDAY($J117,2))&amp;"-S"&amp;TEXT(_xlfn.ISOWEEKNUM($J117),"00"))</f>
        <v/>
      </c>
      <c r="P117" s="24">
        <f>IF($J117="","",YEAR($J117))</f>
        <v/>
      </c>
      <c r="Q117" s="24">
        <f>IF($J117="","",MONTH($J117))</f>
        <v/>
      </c>
      <c r="R117" s="24">
        <f>IF($J117="","",$P117&amp;"-"&amp;TEXT($Q117,"00"))</f>
        <v/>
      </c>
      <c r="S117" s="24">
        <f>IF($J117="","",INDEX(lista_dias,WEEKDAY($J117,2)))</f>
        <v/>
      </c>
      <c r="T117" s="24">
        <f>IF($J117="","",IFERROR(INDEX('CALENDARIO'!$C$15:$C$214,MATCH(TEXT($J117,"yyyy-mm-dd")&amp;"|"&amp;$Y117&amp;"|"&amp;$Z117,'CALENDARIO'!$G$15:$G$214,0)),IFERROR(INDEX('CALENDARIO'!$C$15:$C$214,MATCH(TEXT($J117,"yyyy-mm-dd")&amp;"|"&amp;$Y117&amp;"|",'CALENDARIO'!$G$15:$G$214,0)),IFERROR(INDEX('CALENDARIO'!$C$15:$C$214,MATCH(TEXT($J117,"yyyy-mm-dd")&amp;"||",'CALENDARIO'!$G$15:$G$214,0)),INDEX(patronHabil,WEEKDAY($J117,2))))))</f>
        <v/>
      </c>
      <c r="U117" s="24">
        <f>IF($I117="","",IFERROR(INDEX('CAT_TIPOS_OT'!$C$4:$C$23,MATCH($I117,'CAT_TIPOS_OT'!$A$4:$A$23,0)),"sin_clasificar"))</f>
        <v/>
      </c>
      <c r="V117" s="24">
        <f>IF($I117="","",IF(IFERROR(INDEX('CAT_TIPOS_OT'!$D$4:$D$23,MATCH($I117,'CAT_TIPOS_OT'!$A$4:$A$23,0)),"SIN CLASIFICAR")="","SIN CLASIFICAR",IFERROR(INDEX('CAT_TIPOS_OT'!$D$4:$D$23,MATCH($I117,'CAT_TIPOS_OT'!$A$4:$A$23,0)),"SIN CLASIFICAR")))</f>
        <v/>
      </c>
      <c r="W117" s="24">
        <f>IF($H117="","",IF(IFERROR(INDEX('CAT_ACTIVIDADES'!$F$4:$F$26,MATCH($H117,'CAT_ACTIVIDADES'!$A$4:$A$26,0)),"")=0,"",IFERROR(INDEX('CAT_ACTIVIDADES'!$F$4:$F$26,MATCH($H117,'CAT_ACTIVIDADES'!$A$4:$A$26,0)),"")))</f>
        <v/>
      </c>
      <c r="X117" s="24">
        <f>IF($F117="","",IFERROR(INDEX('CAT_CENTROS_COSTO'!$F$4:$F$28,MATCH($F117,'CAT_CENTROS_COSTO'!$A$4:$A$28,0)),"(sin catálogo)"))</f>
        <v/>
      </c>
      <c r="Y117" s="24">
        <f>IF($F117="","",IFERROR(INDEX('CAT_CENTROS_COSTO'!$D$4:$D$28,MATCH($F117,'CAT_CENTROS_COSTO'!$A$4:$A$28,0)),"(sin catálogo)"))</f>
        <v/>
      </c>
      <c r="Z117" s="24">
        <f>IF($F117="","",IF((IFERROR(INDEX('CAT_CENTROS_COSTO'!$E$4:$E$28,MATCH($F117,'CAT_CENTROS_COSTO'!$A$4:$A$28,0)),""))&lt;&gt;"",IFERROR(INDEX('CAT_CENTROS_COSTO'!$E$4:$E$28,MATCH($F117,'CAT_CENTROS_COSTO'!$A$4:$A$28,0)),""),$Y117))</f>
        <v/>
      </c>
      <c r="AA117" s="24">
        <f>IF($F117="","",IFERROR(INDEX('CAT_CENTROS_COSTO'!$G$4:$G$28,MATCH($F117,'CAT_CENTROS_COSTO'!$A$4:$A$28,0)),"(sin catálogo)"))</f>
        <v/>
      </c>
      <c r="AB117" s="24">
        <f>IF($G117="","",IFERROR(INDEX('CAT_PUESTOS'!$B$4:$B$23,MATCH($G117,'CAT_PUESTOS'!$A$4:$A$23,0)),"(sin catálogo)"))</f>
        <v/>
      </c>
      <c r="AC117" s="24">
        <f>IF($H117="","",IFERROR(INDEX('CAT_ACTIVIDADES'!$B$4:$B$26,MATCH($H117,'CAT_ACTIVIDADES'!$A$4:$A$26,0)),"(sin catálogo)"))</f>
        <v/>
      </c>
      <c r="AD117" s="26">
        <f>IF($J117="","",TODAY()-$J117)</f>
        <v/>
      </c>
      <c r="AE117" s="26">
        <f>IF($J117="","",IF($J117&lt;=TODAY(),COUNTIFS(cal_fechas,"&gt;="&amp;$J117,cal_fechas,"&lt;"&amp;TODAY(),cal_habil,"sí"),-COUNTIFS(cal_fechas,"&gt;="&amp;TODAY(),cal_fechas,"&lt;"&amp;$J117,cal_habil,"sí")))</f>
        <v/>
      </c>
      <c r="AF117" s="24">
        <f>IF($AE117="","",IF($AE117&lt;0,"FUTURO",IF($AE117&gt;p_dias_backlog_max,"BACKLOG","MES CORRIENTE")))</f>
        <v/>
      </c>
      <c r="AG117" s="24">
        <f>IF($AE117="",FALSE,AND($AE117&gt;p_dias_backlog_min,$AE117&lt;=p_dias_backlog_max))</f>
        <v/>
      </c>
      <c r="AH117" s="4" t="n"/>
      <c r="AI117" s="24">
        <f>IF($AH117="","",IF((IFERROR(INDEX('ASIGNACIONES'!$J$4:$J$451,MATCH($O117&amp;"|"&amp;$S117&amp;"|"&amp;$AH117,'ASIGNACIONES'!$N$4:$N$451,0)),""))=0,"",IFERROR(INDEX('ASIGNACIONES'!$J$4:$J$451,MATCH($O117&amp;"|"&amp;$S117&amp;"|"&amp;$AH117,'ASIGNACIONES'!$N$4:$N$451,0)),"")))</f>
        <v/>
      </c>
      <c r="AJ117" s="42">
        <f>IF($AH117="","",SUMIFS('ORDENES'!$M$4:$M$1203,'ORDENES'!$AH$4:$AH$1203,$AH117,'ORDENES'!$O$4:$O$1203,$O117,'ORDENES'!$S$4:$S$1203,$S117))</f>
        <v/>
      </c>
      <c r="AK117" s="42">
        <f>IF($AJ117="","",p_factor_productividad*IFERROR(INDEX('ASIGNACIONES'!$M$4:$M$451,MATCH($O117&amp;"|"&amp;$S117&amp;"|"&amp;$AH117,'ASIGNACIONES'!$N$4:$N$451,0)),0)-$AJ117)</f>
        <v/>
      </c>
      <c r="AL117" s="32">
        <f>IF($A117="","",IFERROR(INDEX('2_IMPORTAR_EJECUCION'!$F$9:$F$1208,MATCH($AU117,'2_IMPORTAR_EJECUCION'!$J$9:$J$1208,0)),0))</f>
        <v/>
      </c>
      <c r="AM117" s="32">
        <f>IF($A117="","",MAX(0,IFERROR(INDEX('2_IMPORTAR_EJECUCION'!$H$9:$H$1208,MATCH($AU117,'2_IMPORTAR_EJECUCION'!$J$9:$J$1208,0)),0)-$AL117))</f>
        <v/>
      </c>
      <c r="AN117" s="32">
        <f>IF($A117="","",$AL117+$AM117)</f>
        <v/>
      </c>
      <c r="AO117" s="24">
        <f>IF($A117="","",IF(OR((IFERROR(INDEX('CAT_ACTIVIDADES'!$D$4:$D$26,MATCH($H117,'CAT_ACTIVIDADES'!$A$4:$A$26,0)),""))=0,(IFERROR(INDEX('CAT_ACTIVIDADES'!$D$4:$D$26,MATCH($H117,'CAT_ACTIVIDADES'!$A$4:$A$26,0)),""))=""),"SIN CLASIFICAR",IFERROR(INDEX('CAT_ACTIVIDADES'!$D$4:$D$26,MATCH($H117,'CAT_ACTIVIDADES'!$A$4:$A$26,0)),"")))</f>
        <v/>
      </c>
      <c r="AP117" s="4" t="n"/>
      <c r="AQ117" s="4" t="n"/>
      <c r="AR117" s="4" t="n"/>
      <c r="AS117" s="24">
        <f>IF($AR117="","",HYPERLINK(p_ruta_base_checklists&amp;$AR117,"abrir"))</f>
        <v/>
      </c>
      <c r="AT117" s="4" t="n"/>
      <c r="AU117" s="24">
        <f>IF($A117="","",$A117&amp;IF($B117="","0010",$B117))</f>
        <v/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41" t="n"/>
      <c r="K118" s="5" t="n"/>
      <c r="L118" s="18" t="n"/>
      <c r="M118" s="24">
        <f>IF($A118="","",IFERROR(INDEX('AJUSTES'!$B$4:$B$303,MATCH($AU118,'AJUSTES'!$A$4:$A$303,0)),IF($K118="","",$K118)))</f>
        <v/>
      </c>
      <c r="N118" s="24">
        <f>IF($A118="","",IFERROR(INDEX('CAT_ESTADOS_ERP'!$B$4:$B$22,MATCH(IFERROR(INDEX('2_IMPORTAR_EJECUCION'!$C$9:$C$1208,MATCH($AU118,'2_IMPORTAR_EJECUCION'!$J$9:$J$1208,0)),""),'CAT_ESTADOS_ERP'!$A$4:$A$22,0)),"Pendiente"))</f>
        <v/>
      </c>
      <c r="O118" s="24">
        <f>IF($J118="","",YEAR($J118+4-WEEKDAY($J118,2))&amp;"-S"&amp;TEXT(_xlfn.ISOWEEKNUM($J118),"00"))</f>
        <v/>
      </c>
      <c r="P118" s="24">
        <f>IF($J118="","",YEAR($J118))</f>
        <v/>
      </c>
      <c r="Q118" s="24">
        <f>IF($J118="","",MONTH($J118))</f>
        <v/>
      </c>
      <c r="R118" s="24">
        <f>IF($J118="","",$P118&amp;"-"&amp;TEXT($Q118,"00"))</f>
        <v/>
      </c>
      <c r="S118" s="24">
        <f>IF($J118="","",INDEX(lista_dias,WEEKDAY($J118,2)))</f>
        <v/>
      </c>
      <c r="T118" s="24">
        <f>IF($J118="","",IFERROR(INDEX('CALENDARIO'!$C$15:$C$214,MATCH(TEXT($J118,"yyyy-mm-dd")&amp;"|"&amp;$Y118&amp;"|"&amp;$Z118,'CALENDARIO'!$G$15:$G$214,0)),IFERROR(INDEX('CALENDARIO'!$C$15:$C$214,MATCH(TEXT($J118,"yyyy-mm-dd")&amp;"|"&amp;$Y118&amp;"|",'CALENDARIO'!$G$15:$G$214,0)),IFERROR(INDEX('CALENDARIO'!$C$15:$C$214,MATCH(TEXT($J118,"yyyy-mm-dd")&amp;"||",'CALENDARIO'!$G$15:$G$214,0)),INDEX(patronHabil,WEEKDAY($J118,2))))))</f>
        <v/>
      </c>
      <c r="U118" s="24">
        <f>IF($I118="","",IFERROR(INDEX('CAT_TIPOS_OT'!$C$4:$C$23,MATCH($I118,'CAT_TIPOS_OT'!$A$4:$A$23,0)),"sin_clasificar"))</f>
        <v/>
      </c>
      <c r="V118" s="24">
        <f>IF($I118="","",IF(IFERROR(INDEX('CAT_TIPOS_OT'!$D$4:$D$23,MATCH($I118,'CAT_TIPOS_OT'!$A$4:$A$23,0)),"SIN CLASIFICAR")="","SIN CLASIFICAR",IFERROR(INDEX('CAT_TIPOS_OT'!$D$4:$D$23,MATCH($I118,'CAT_TIPOS_OT'!$A$4:$A$23,0)),"SIN CLASIFICAR")))</f>
        <v/>
      </c>
      <c r="W118" s="24">
        <f>IF($H118="","",IF(IFERROR(INDEX('CAT_ACTIVIDADES'!$F$4:$F$26,MATCH($H118,'CAT_ACTIVIDADES'!$A$4:$A$26,0)),"")=0,"",IFERROR(INDEX('CAT_ACTIVIDADES'!$F$4:$F$26,MATCH($H118,'CAT_ACTIVIDADES'!$A$4:$A$26,0)),"")))</f>
        <v/>
      </c>
      <c r="X118" s="24">
        <f>IF($F118="","",IFERROR(INDEX('CAT_CENTROS_COSTO'!$F$4:$F$28,MATCH($F118,'CAT_CENTROS_COSTO'!$A$4:$A$28,0)),"(sin catálogo)"))</f>
        <v/>
      </c>
      <c r="Y118" s="24">
        <f>IF($F118="","",IFERROR(INDEX('CAT_CENTROS_COSTO'!$D$4:$D$28,MATCH($F118,'CAT_CENTROS_COSTO'!$A$4:$A$28,0)),"(sin catálogo)"))</f>
        <v/>
      </c>
      <c r="Z118" s="24">
        <f>IF($F118="","",IF((IFERROR(INDEX('CAT_CENTROS_COSTO'!$E$4:$E$28,MATCH($F118,'CAT_CENTROS_COSTO'!$A$4:$A$28,0)),""))&lt;&gt;"",IFERROR(INDEX('CAT_CENTROS_COSTO'!$E$4:$E$28,MATCH($F118,'CAT_CENTROS_COSTO'!$A$4:$A$28,0)),""),$Y118))</f>
        <v/>
      </c>
      <c r="AA118" s="24">
        <f>IF($F118="","",IFERROR(INDEX('CAT_CENTROS_COSTO'!$G$4:$G$28,MATCH($F118,'CAT_CENTROS_COSTO'!$A$4:$A$28,0)),"(sin catálogo)"))</f>
        <v/>
      </c>
      <c r="AB118" s="24">
        <f>IF($G118="","",IFERROR(INDEX('CAT_PUESTOS'!$B$4:$B$23,MATCH($G118,'CAT_PUESTOS'!$A$4:$A$23,0)),"(sin catálogo)"))</f>
        <v/>
      </c>
      <c r="AC118" s="24">
        <f>IF($H118="","",IFERROR(INDEX('CAT_ACTIVIDADES'!$B$4:$B$26,MATCH($H118,'CAT_ACTIVIDADES'!$A$4:$A$26,0)),"(sin catálogo)"))</f>
        <v/>
      </c>
      <c r="AD118" s="26">
        <f>IF($J118="","",TODAY()-$J118)</f>
        <v/>
      </c>
      <c r="AE118" s="26">
        <f>IF($J118="","",IF($J118&lt;=TODAY(),COUNTIFS(cal_fechas,"&gt;="&amp;$J118,cal_fechas,"&lt;"&amp;TODAY(),cal_habil,"sí"),-COUNTIFS(cal_fechas,"&gt;="&amp;TODAY(),cal_fechas,"&lt;"&amp;$J118,cal_habil,"sí")))</f>
        <v/>
      </c>
      <c r="AF118" s="24">
        <f>IF($AE118="","",IF($AE118&lt;0,"FUTURO",IF($AE118&gt;p_dias_backlog_max,"BACKLOG","MES CORRIENTE")))</f>
        <v/>
      </c>
      <c r="AG118" s="24">
        <f>IF($AE118="",FALSE,AND($AE118&gt;p_dias_backlog_min,$AE118&lt;=p_dias_backlog_max))</f>
        <v/>
      </c>
      <c r="AH118" s="4" t="n"/>
      <c r="AI118" s="24">
        <f>IF($AH118="","",IF((IFERROR(INDEX('ASIGNACIONES'!$J$4:$J$451,MATCH($O118&amp;"|"&amp;$S118&amp;"|"&amp;$AH118,'ASIGNACIONES'!$N$4:$N$451,0)),""))=0,"",IFERROR(INDEX('ASIGNACIONES'!$J$4:$J$451,MATCH($O118&amp;"|"&amp;$S118&amp;"|"&amp;$AH118,'ASIGNACIONES'!$N$4:$N$451,0)),"")))</f>
        <v/>
      </c>
      <c r="AJ118" s="42">
        <f>IF($AH118="","",SUMIFS('ORDENES'!$M$4:$M$1203,'ORDENES'!$AH$4:$AH$1203,$AH118,'ORDENES'!$O$4:$O$1203,$O118,'ORDENES'!$S$4:$S$1203,$S118))</f>
        <v/>
      </c>
      <c r="AK118" s="42">
        <f>IF($AJ118="","",p_factor_productividad*IFERROR(INDEX('ASIGNACIONES'!$M$4:$M$451,MATCH($O118&amp;"|"&amp;$S118&amp;"|"&amp;$AH118,'ASIGNACIONES'!$N$4:$N$451,0)),0)-$AJ118)</f>
        <v/>
      </c>
      <c r="AL118" s="32">
        <f>IF($A118="","",IFERROR(INDEX('2_IMPORTAR_EJECUCION'!$F$9:$F$1208,MATCH($AU118,'2_IMPORTAR_EJECUCION'!$J$9:$J$1208,0)),0))</f>
        <v/>
      </c>
      <c r="AM118" s="32">
        <f>IF($A118="","",MAX(0,IFERROR(INDEX('2_IMPORTAR_EJECUCION'!$H$9:$H$1208,MATCH($AU118,'2_IMPORTAR_EJECUCION'!$J$9:$J$1208,0)),0)-$AL118))</f>
        <v/>
      </c>
      <c r="AN118" s="32">
        <f>IF($A118="","",$AL118+$AM118)</f>
        <v/>
      </c>
      <c r="AO118" s="24">
        <f>IF($A118="","",IF(OR((IFERROR(INDEX('CAT_ACTIVIDADES'!$D$4:$D$26,MATCH($H118,'CAT_ACTIVIDADES'!$A$4:$A$26,0)),""))=0,(IFERROR(INDEX('CAT_ACTIVIDADES'!$D$4:$D$26,MATCH($H118,'CAT_ACTIVIDADES'!$A$4:$A$26,0)),""))=""),"SIN CLASIFICAR",IFERROR(INDEX('CAT_ACTIVIDADES'!$D$4:$D$26,MATCH($H118,'CAT_ACTIVIDADES'!$A$4:$A$26,0)),"")))</f>
        <v/>
      </c>
      <c r="AP118" s="4" t="n"/>
      <c r="AQ118" s="4" t="n"/>
      <c r="AR118" s="4" t="n"/>
      <c r="AS118" s="24">
        <f>IF($AR118="","",HYPERLINK(p_ruta_base_checklists&amp;$AR118,"abrir"))</f>
        <v/>
      </c>
      <c r="AT118" s="4" t="n"/>
      <c r="AU118" s="24">
        <f>IF($A118="","",$A118&amp;IF($B118="","0010",$B118))</f>
        <v/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41" t="n"/>
      <c r="K119" s="5" t="n"/>
      <c r="L119" s="18" t="n"/>
      <c r="M119" s="24">
        <f>IF($A119="","",IFERROR(INDEX('AJUSTES'!$B$4:$B$303,MATCH($AU119,'AJUSTES'!$A$4:$A$303,0)),IF($K119="","",$K119)))</f>
        <v/>
      </c>
      <c r="N119" s="24">
        <f>IF($A119="","",IFERROR(INDEX('CAT_ESTADOS_ERP'!$B$4:$B$22,MATCH(IFERROR(INDEX('2_IMPORTAR_EJECUCION'!$C$9:$C$1208,MATCH($AU119,'2_IMPORTAR_EJECUCION'!$J$9:$J$1208,0)),""),'CAT_ESTADOS_ERP'!$A$4:$A$22,0)),"Pendiente"))</f>
        <v/>
      </c>
      <c r="O119" s="24">
        <f>IF($J119="","",YEAR($J119+4-WEEKDAY($J119,2))&amp;"-S"&amp;TEXT(_xlfn.ISOWEEKNUM($J119),"00"))</f>
        <v/>
      </c>
      <c r="P119" s="24">
        <f>IF($J119="","",YEAR($J119))</f>
        <v/>
      </c>
      <c r="Q119" s="24">
        <f>IF($J119="","",MONTH($J119))</f>
        <v/>
      </c>
      <c r="R119" s="24">
        <f>IF($J119="","",$P119&amp;"-"&amp;TEXT($Q119,"00"))</f>
        <v/>
      </c>
      <c r="S119" s="24">
        <f>IF($J119="","",INDEX(lista_dias,WEEKDAY($J119,2)))</f>
        <v/>
      </c>
      <c r="T119" s="24">
        <f>IF($J119="","",IFERROR(INDEX('CALENDARIO'!$C$15:$C$214,MATCH(TEXT($J119,"yyyy-mm-dd")&amp;"|"&amp;$Y119&amp;"|"&amp;$Z119,'CALENDARIO'!$G$15:$G$214,0)),IFERROR(INDEX('CALENDARIO'!$C$15:$C$214,MATCH(TEXT($J119,"yyyy-mm-dd")&amp;"|"&amp;$Y119&amp;"|",'CALENDARIO'!$G$15:$G$214,0)),IFERROR(INDEX('CALENDARIO'!$C$15:$C$214,MATCH(TEXT($J119,"yyyy-mm-dd")&amp;"||",'CALENDARIO'!$G$15:$G$214,0)),INDEX(patronHabil,WEEKDAY($J119,2))))))</f>
        <v/>
      </c>
      <c r="U119" s="24">
        <f>IF($I119="","",IFERROR(INDEX('CAT_TIPOS_OT'!$C$4:$C$23,MATCH($I119,'CAT_TIPOS_OT'!$A$4:$A$23,0)),"sin_clasificar"))</f>
        <v/>
      </c>
      <c r="V119" s="24">
        <f>IF($I119="","",IF(IFERROR(INDEX('CAT_TIPOS_OT'!$D$4:$D$23,MATCH($I119,'CAT_TIPOS_OT'!$A$4:$A$23,0)),"SIN CLASIFICAR")="","SIN CLASIFICAR",IFERROR(INDEX('CAT_TIPOS_OT'!$D$4:$D$23,MATCH($I119,'CAT_TIPOS_OT'!$A$4:$A$23,0)),"SIN CLASIFICAR")))</f>
        <v/>
      </c>
      <c r="W119" s="24">
        <f>IF($H119="","",IF(IFERROR(INDEX('CAT_ACTIVIDADES'!$F$4:$F$26,MATCH($H119,'CAT_ACTIVIDADES'!$A$4:$A$26,0)),"")=0,"",IFERROR(INDEX('CAT_ACTIVIDADES'!$F$4:$F$26,MATCH($H119,'CAT_ACTIVIDADES'!$A$4:$A$26,0)),"")))</f>
        <v/>
      </c>
      <c r="X119" s="24">
        <f>IF($F119="","",IFERROR(INDEX('CAT_CENTROS_COSTO'!$F$4:$F$28,MATCH($F119,'CAT_CENTROS_COSTO'!$A$4:$A$28,0)),"(sin catálogo)"))</f>
        <v/>
      </c>
      <c r="Y119" s="24">
        <f>IF($F119="","",IFERROR(INDEX('CAT_CENTROS_COSTO'!$D$4:$D$28,MATCH($F119,'CAT_CENTROS_COSTO'!$A$4:$A$28,0)),"(sin catálogo)"))</f>
        <v/>
      </c>
      <c r="Z119" s="24">
        <f>IF($F119="","",IF((IFERROR(INDEX('CAT_CENTROS_COSTO'!$E$4:$E$28,MATCH($F119,'CAT_CENTROS_COSTO'!$A$4:$A$28,0)),""))&lt;&gt;"",IFERROR(INDEX('CAT_CENTROS_COSTO'!$E$4:$E$28,MATCH($F119,'CAT_CENTROS_COSTO'!$A$4:$A$28,0)),""),$Y119))</f>
        <v/>
      </c>
      <c r="AA119" s="24">
        <f>IF($F119="","",IFERROR(INDEX('CAT_CENTROS_COSTO'!$G$4:$G$28,MATCH($F119,'CAT_CENTROS_COSTO'!$A$4:$A$28,0)),"(sin catálogo)"))</f>
        <v/>
      </c>
      <c r="AB119" s="24">
        <f>IF($G119="","",IFERROR(INDEX('CAT_PUESTOS'!$B$4:$B$23,MATCH($G119,'CAT_PUESTOS'!$A$4:$A$23,0)),"(sin catálogo)"))</f>
        <v/>
      </c>
      <c r="AC119" s="24">
        <f>IF($H119="","",IFERROR(INDEX('CAT_ACTIVIDADES'!$B$4:$B$26,MATCH($H119,'CAT_ACTIVIDADES'!$A$4:$A$26,0)),"(sin catálogo)"))</f>
        <v/>
      </c>
      <c r="AD119" s="26">
        <f>IF($J119="","",TODAY()-$J119)</f>
        <v/>
      </c>
      <c r="AE119" s="26">
        <f>IF($J119="","",IF($J119&lt;=TODAY(),COUNTIFS(cal_fechas,"&gt;="&amp;$J119,cal_fechas,"&lt;"&amp;TODAY(),cal_habil,"sí"),-COUNTIFS(cal_fechas,"&gt;="&amp;TODAY(),cal_fechas,"&lt;"&amp;$J119,cal_habil,"sí")))</f>
        <v/>
      </c>
      <c r="AF119" s="24">
        <f>IF($AE119="","",IF($AE119&lt;0,"FUTURO",IF($AE119&gt;p_dias_backlog_max,"BACKLOG","MES CORRIENTE")))</f>
        <v/>
      </c>
      <c r="AG119" s="24">
        <f>IF($AE119="",FALSE,AND($AE119&gt;p_dias_backlog_min,$AE119&lt;=p_dias_backlog_max))</f>
        <v/>
      </c>
      <c r="AH119" s="4" t="n"/>
      <c r="AI119" s="24">
        <f>IF($AH119="","",IF((IFERROR(INDEX('ASIGNACIONES'!$J$4:$J$451,MATCH($O119&amp;"|"&amp;$S119&amp;"|"&amp;$AH119,'ASIGNACIONES'!$N$4:$N$451,0)),""))=0,"",IFERROR(INDEX('ASIGNACIONES'!$J$4:$J$451,MATCH($O119&amp;"|"&amp;$S119&amp;"|"&amp;$AH119,'ASIGNACIONES'!$N$4:$N$451,0)),"")))</f>
        <v/>
      </c>
      <c r="AJ119" s="42">
        <f>IF($AH119="","",SUMIFS('ORDENES'!$M$4:$M$1203,'ORDENES'!$AH$4:$AH$1203,$AH119,'ORDENES'!$O$4:$O$1203,$O119,'ORDENES'!$S$4:$S$1203,$S119))</f>
        <v/>
      </c>
      <c r="AK119" s="42">
        <f>IF($AJ119="","",p_factor_productividad*IFERROR(INDEX('ASIGNACIONES'!$M$4:$M$451,MATCH($O119&amp;"|"&amp;$S119&amp;"|"&amp;$AH119,'ASIGNACIONES'!$N$4:$N$451,0)),0)-$AJ119)</f>
        <v/>
      </c>
      <c r="AL119" s="32">
        <f>IF($A119="","",IFERROR(INDEX('2_IMPORTAR_EJECUCION'!$F$9:$F$1208,MATCH($AU119,'2_IMPORTAR_EJECUCION'!$J$9:$J$1208,0)),0))</f>
        <v/>
      </c>
      <c r="AM119" s="32">
        <f>IF($A119="","",MAX(0,IFERROR(INDEX('2_IMPORTAR_EJECUCION'!$H$9:$H$1208,MATCH($AU119,'2_IMPORTAR_EJECUCION'!$J$9:$J$1208,0)),0)-$AL119))</f>
        <v/>
      </c>
      <c r="AN119" s="32">
        <f>IF($A119="","",$AL119+$AM119)</f>
        <v/>
      </c>
      <c r="AO119" s="24">
        <f>IF($A119="","",IF(OR((IFERROR(INDEX('CAT_ACTIVIDADES'!$D$4:$D$26,MATCH($H119,'CAT_ACTIVIDADES'!$A$4:$A$26,0)),""))=0,(IFERROR(INDEX('CAT_ACTIVIDADES'!$D$4:$D$26,MATCH($H119,'CAT_ACTIVIDADES'!$A$4:$A$26,0)),""))=""),"SIN CLASIFICAR",IFERROR(INDEX('CAT_ACTIVIDADES'!$D$4:$D$26,MATCH($H119,'CAT_ACTIVIDADES'!$A$4:$A$26,0)),"")))</f>
        <v/>
      </c>
      <c r="AP119" s="4" t="n"/>
      <c r="AQ119" s="4" t="n"/>
      <c r="AR119" s="4" t="n"/>
      <c r="AS119" s="24">
        <f>IF($AR119="","",HYPERLINK(p_ruta_base_checklists&amp;$AR119,"abrir"))</f>
        <v/>
      </c>
      <c r="AT119" s="4" t="n"/>
      <c r="AU119" s="24">
        <f>IF($A119="","",$A119&amp;IF($B119="","0010",$B119))</f>
        <v/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41" t="n"/>
      <c r="K120" s="5" t="n"/>
      <c r="L120" s="18" t="n"/>
      <c r="M120" s="24">
        <f>IF($A120="","",IFERROR(INDEX('AJUSTES'!$B$4:$B$303,MATCH($AU120,'AJUSTES'!$A$4:$A$303,0)),IF($K120="","",$K120)))</f>
        <v/>
      </c>
      <c r="N120" s="24">
        <f>IF($A120="","",IFERROR(INDEX('CAT_ESTADOS_ERP'!$B$4:$B$22,MATCH(IFERROR(INDEX('2_IMPORTAR_EJECUCION'!$C$9:$C$1208,MATCH($AU120,'2_IMPORTAR_EJECUCION'!$J$9:$J$1208,0)),""),'CAT_ESTADOS_ERP'!$A$4:$A$22,0)),"Pendiente"))</f>
        <v/>
      </c>
      <c r="O120" s="24">
        <f>IF($J120="","",YEAR($J120+4-WEEKDAY($J120,2))&amp;"-S"&amp;TEXT(_xlfn.ISOWEEKNUM($J120),"00"))</f>
        <v/>
      </c>
      <c r="P120" s="24">
        <f>IF($J120="","",YEAR($J120))</f>
        <v/>
      </c>
      <c r="Q120" s="24">
        <f>IF($J120="","",MONTH($J120))</f>
        <v/>
      </c>
      <c r="R120" s="24">
        <f>IF($J120="","",$P120&amp;"-"&amp;TEXT($Q120,"00"))</f>
        <v/>
      </c>
      <c r="S120" s="24">
        <f>IF($J120="","",INDEX(lista_dias,WEEKDAY($J120,2)))</f>
        <v/>
      </c>
      <c r="T120" s="24">
        <f>IF($J120="","",IFERROR(INDEX('CALENDARIO'!$C$15:$C$214,MATCH(TEXT($J120,"yyyy-mm-dd")&amp;"|"&amp;$Y120&amp;"|"&amp;$Z120,'CALENDARIO'!$G$15:$G$214,0)),IFERROR(INDEX('CALENDARIO'!$C$15:$C$214,MATCH(TEXT($J120,"yyyy-mm-dd")&amp;"|"&amp;$Y120&amp;"|",'CALENDARIO'!$G$15:$G$214,0)),IFERROR(INDEX('CALENDARIO'!$C$15:$C$214,MATCH(TEXT($J120,"yyyy-mm-dd")&amp;"||",'CALENDARIO'!$G$15:$G$214,0)),INDEX(patronHabil,WEEKDAY($J120,2))))))</f>
        <v/>
      </c>
      <c r="U120" s="24">
        <f>IF($I120="","",IFERROR(INDEX('CAT_TIPOS_OT'!$C$4:$C$23,MATCH($I120,'CAT_TIPOS_OT'!$A$4:$A$23,0)),"sin_clasificar"))</f>
        <v/>
      </c>
      <c r="V120" s="24">
        <f>IF($I120="","",IF(IFERROR(INDEX('CAT_TIPOS_OT'!$D$4:$D$23,MATCH($I120,'CAT_TIPOS_OT'!$A$4:$A$23,0)),"SIN CLASIFICAR")="","SIN CLASIFICAR",IFERROR(INDEX('CAT_TIPOS_OT'!$D$4:$D$23,MATCH($I120,'CAT_TIPOS_OT'!$A$4:$A$23,0)),"SIN CLASIFICAR")))</f>
        <v/>
      </c>
      <c r="W120" s="24">
        <f>IF($H120="","",IF(IFERROR(INDEX('CAT_ACTIVIDADES'!$F$4:$F$26,MATCH($H120,'CAT_ACTIVIDADES'!$A$4:$A$26,0)),"")=0,"",IFERROR(INDEX('CAT_ACTIVIDADES'!$F$4:$F$26,MATCH($H120,'CAT_ACTIVIDADES'!$A$4:$A$26,0)),"")))</f>
        <v/>
      </c>
      <c r="X120" s="24">
        <f>IF($F120="","",IFERROR(INDEX('CAT_CENTROS_COSTO'!$F$4:$F$28,MATCH($F120,'CAT_CENTROS_COSTO'!$A$4:$A$28,0)),"(sin catálogo)"))</f>
        <v/>
      </c>
      <c r="Y120" s="24">
        <f>IF($F120="","",IFERROR(INDEX('CAT_CENTROS_COSTO'!$D$4:$D$28,MATCH($F120,'CAT_CENTROS_COSTO'!$A$4:$A$28,0)),"(sin catálogo)"))</f>
        <v/>
      </c>
      <c r="Z120" s="24">
        <f>IF($F120="","",IF((IFERROR(INDEX('CAT_CENTROS_COSTO'!$E$4:$E$28,MATCH($F120,'CAT_CENTROS_COSTO'!$A$4:$A$28,0)),""))&lt;&gt;"",IFERROR(INDEX('CAT_CENTROS_COSTO'!$E$4:$E$28,MATCH($F120,'CAT_CENTROS_COSTO'!$A$4:$A$28,0)),""),$Y120))</f>
        <v/>
      </c>
      <c r="AA120" s="24">
        <f>IF($F120="","",IFERROR(INDEX('CAT_CENTROS_COSTO'!$G$4:$G$28,MATCH($F120,'CAT_CENTROS_COSTO'!$A$4:$A$28,0)),"(sin catálogo)"))</f>
        <v/>
      </c>
      <c r="AB120" s="24">
        <f>IF($G120="","",IFERROR(INDEX('CAT_PUESTOS'!$B$4:$B$23,MATCH($G120,'CAT_PUESTOS'!$A$4:$A$23,0)),"(sin catálogo)"))</f>
        <v/>
      </c>
      <c r="AC120" s="24">
        <f>IF($H120="","",IFERROR(INDEX('CAT_ACTIVIDADES'!$B$4:$B$26,MATCH($H120,'CAT_ACTIVIDADES'!$A$4:$A$26,0)),"(sin catálogo)"))</f>
        <v/>
      </c>
      <c r="AD120" s="26">
        <f>IF($J120="","",TODAY()-$J120)</f>
        <v/>
      </c>
      <c r="AE120" s="26">
        <f>IF($J120="","",IF($J120&lt;=TODAY(),COUNTIFS(cal_fechas,"&gt;="&amp;$J120,cal_fechas,"&lt;"&amp;TODAY(),cal_habil,"sí"),-COUNTIFS(cal_fechas,"&gt;="&amp;TODAY(),cal_fechas,"&lt;"&amp;$J120,cal_habil,"sí")))</f>
        <v/>
      </c>
      <c r="AF120" s="24">
        <f>IF($AE120="","",IF($AE120&lt;0,"FUTURO",IF($AE120&gt;p_dias_backlog_max,"BACKLOG","MES CORRIENTE")))</f>
        <v/>
      </c>
      <c r="AG120" s="24">
        <f>IF($AE120="",FALSE,AND($AE120&gt;p_dias_backlog_min,$AE120&lt;=p_dias_backlog_max))</f>
        <v/>
      </c>
      <c r="AH120" s="4" t="n"/>
      <c r="AI120" s="24">
        <f>IF($AH120="","",IF((IFERROR(INDEX('ASIGNACIONES'!$J$4:$J$451,MATCH($O120&amp;"|"&amp;$S120&amp;"|"&amp;$AH120,'ASIGNACIONES'!$N$4:$N$451,0)),""))=0,"",IFERROR(INDEX('ASIGNACIONES'!$J$4:$J$451,MATCH($O120&amp;"|"&amp;$S120&amp;"|"&amp;$AH120,'ASIGNACIONES'!$N$4:$N$451,0)),"")))</f>
        <v/>
      </c>
      <c r="AJ120" s="42">
        <f>IF($AH120="","",SUMIFS('ORDENES'!$M$4:$M$1203,'ORDENES'!$AH$4:$AH$1203,$AH120,'ORDENES'!$O$4:$O$1203,$O120,'ORDENES'!$S$4:$S$1203,$S120))</f>
        <v/>
      </c>
      <c r="AK120" s="42">
        <f>IF($AJ120="","",p_factor_productividad*IFERROR(INDEX('ASIGNACIONES'!$M$4:$M$451,MATCH($O120&amp;"|"&amp;$S120&amp;"|"&amp;$AH120,'ASIGNACIONES'!$N$4:$N$451,0)),0)-$AJ120)</f>
        <v/>
      </c>
      <c r="AL120" s="32">
        <f>IF($A120="","",IFERROR(INDEX('2_IMPORTAR_EJECUCION'!$F$9:$F$1208,MATCH($AU120,'2_IMPORTAR_EJECUCION'!$J$9:$J$1208,0)),0))</f>
        <v/>
      </c>
      <c r="AM120" s="32">
        <f>IF($A120="","",MAX(0,IFERROR(INDEX('2_IMPORTAR_EJECUCION'!$H$9:$H$1208,MATCH($AU120,'2_IMPORTAR_EJECUCION'!$J$9:$J$1208,0)),0)-$AL120))</f>
        <v/>
      </c>
      <c r="AN120" s="32">
        <f>IF($A120="","",$AL120+$AM120)</f>
        <v/>
      </c>
      <c r="AO120" s="24">
        <f>IF($A120="","",IF(OR((IFERROR(INDEX('CAT_ACTIVIDADES'!$D$4:$D$26,MATCH($H120,'CAT_ACTIVIDADES'!$A$4:$A$26,0)),""))=0,(IFERROR(INDEX('CAT_ACTIVIDADES'!$D$4:$D$26,MATCH($H120,'CAT_ACTIVIDADES'!$A$4:$A$26,0)),""))=""),"SIN CLASIFICAR",IFERROR(INDEX('CAT_ACTIVIDADES'!$D$4:$D$26,MATCH($H120,'CAT_ACTIVIDADES'!$A$4:$A$26,0)),"")))</f>
        <v/>
      </c>
      <c r="AP120" s="4" t="n"/>
      <c r="AQ120" s="4" t="n"/>
      <c r="AR120" s="4" t="n"/>
      <c r="AS120" s="24">
        <f>IF($AR120="","",HYPERLINK(p_ruta_base_checklists&amp;$AR120,"abrir"))</f>
        <v/>
      </c>
      <c r="AT120" s="4" t="n"/>
      <c r="AU120" s="24">
        <f>IF($A120="","",$A120&amp;IF($B120="","0010",$B120))</f>
        <v/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41" t="n"/>
      <c r="K121" s="5" t="n"/>
      <c r="L121" s="18" t="n"/>
      <c r="M121" s="24">
        <f>IF($A121="","",IFERROR(INDEX('AJUSTES'!$B$4:$B$303,MATCH($AU121,'AJUSTES'!$A$4:$A$303,0)),IF($K121="","",$K121)))</f>
        <v/>
      </c>
      <c r="N121" s="24">
        <f>IF($A121="","",IFERROR(INDEX('CAT_ESTADOS_ERP'!$B$4:$B$22,MATCH(IFERROR(INDEX('2_IMPORTAR_EJECUCION'!$C$9:$C$1208,MATCH($AU121,'2_IMPORTAR_EJECUCION'!$J$9:$J$1208,0)),""),'CAT_ESTADOS_ERP'!$A$4:$A$22,0)),"Pendiente"))</f>
        <v/>
      </c>
      <c r="O121" s="24">
        <f>IF($J121="","",YEAR($J121+4-WEEKDAY($J121,2))&amp;"-S"&amp;TEXT(_xlfn.ISOWEEKNUM($J121),"00"))</f>
        <v/>
      </c>
      <c r="P121" s="24">
        <f>IF($J121="","",YEAR($J121))</f>
        <v/>
      </c>
      <c r="Q121" s="24">
        <f>IF($J121="","",MONTH($J121))</f>
        <v/>
      </c>
      <c r="R121" s="24">
        <f>IF($J121="","",$P121&amp;"-"&amp;TEXT($Q121,"00"))</f>
        <v/>
      </c>
      <c r="S121" s="24">
        <f>IF($J121="","",INDEX(lista_dias,WEEKDAY($J121,2)))</f>
        <v/>
      </c>
      <c r="T121" s="24">
        <f>IF($J121="","",IFERROR(INDEX('CALENDARIO'!$C$15:$C$214,MATCH(TEXT($J121,"yyyy-mm-dd")&amp;"|"&amp;$Y121&amp;"|"&amp;$Z121,'CALENDARIO'!$G$15:$G$214,0)),IFERROR(INDEX('CALENDARIO'!$C$15:$C$214,MATCH(TEXT($J121,"yyyy-mm-dd")&amp;"|"&amp;$Y121&amp;"|",'CALENDARIO'!$G$15:$G$214,0)),IFERROR(INDEX('CALENDARIO'!$C$15:$C$214,MATCH(TEXT($J121,"yyyy-mm-dd")&amp;"||",'CALENDARIO'!$G$15:$G$214,0)),INDEX(patronHabil,WEEKDAY($J121,2))))))</f>
        <v/>
      </c>
      <c r="U121" s="24">
        <f>IF($I121="","",IFERROR(INDEX('CAT_TIPOS_OT'!$C$4:$C$23,MATCH($I121,'CAT_TIPOS_OT'!$A$4:$A$23,0)),"sin_clasificar"))</f>
        <v/>
      </c>
      <c r="V121" s="24">
        <f>IF($I121="","",IF(IFERROR(INDEX('CAT_TIPOS_OT'!$D$4:$D$23,MATCH($I121,'CAT_TIPOS_OT'!$A$4:$A$23,0)),"SIN CLASIFICAR")="","SIN CLASIFICAR",IFERROR(INDEX('CAT_TIPOS_OT'!$D$4:$D$23,MATCH($I121,'CAT_TIPOS_OT'!$A$4:$A$23,0)),"SIN CLASIFICAR")))</f>
        <v/>
      </c>
      <c r="W121" s="24">
        <f>IF($H121="","",IF(IFERROR(INDEX('CAT_ACTIVIDADES'!$F$4:$F$26,MATCH($H121,'CAT_ACTIVIDADES'!$A$4:$A$26,0)),"")=0,"",IFERROR(INDEX('CAT_ACTIVIDADES'!$F$4:$F$26,MATCH($H121,'CAT_ACTIVIDADES'!$A$4:$A$26,0)),"")))</f>
        <v/>
      </c>
      <c r="X121" s="24">
        <f>IF($F121="","",IFERROR(INDEX('CAT_CENTROS_COSTO'!$F$4:$F$28,MATCH($F121,'CAT_CENTROS_COSTO'!$A$4:$A$28,0)),"(sin catálogo)"))</f>
        <v/>
      </c>
      <c r="Y121" s="24">
        <f>IF($F121="","",IFERROR(INDEX('CAT_CENTROS_COSTO'!$D$4:$D$28,MATCH($F121,'CAT_CENTROS_COSTO'!$A$4:$A$28,0)),"(sin catálogo)"))</f>
        <v/>
      </c>
      <c r="Z121" s="24">
        <f>IF($F121="","",IF((IFERROR(INDEX('CAT_CENTROS_COSTO'!$E$4:$E$28,MATCH($F121,'CAT_CENTROS_COSTO'!$A$4:$A$28,0)),""))&lt;&gt;"",IFERROR(INDEX('CAT_CENTROS_COSTO'!$E$4:$E$28,MATCH($F121,'CAT_CENTROS_COSTO'!$A$4:$A$28,0)),""),$Y121))</f>
        <v/>
      </c>
      <c r="AA121" s="24">
        <f>IF($F121="","",IFERROR(INDEX('CAT_CENTROS_COSTO'!$G$4:$G$28,MATCH($F121,'CAT_CENTROS_COSTO'!$A$4:$A$28,0)),"(sin catálogo)"))</f>
        <v/>
      </c>
      <c r="AB121" s="24">
        <f>IF($G121="","",IFERROR(INDEX('CAT_PUESTOS'!$B$4:$B$23,MATCH($G121,'CAT_PUESTOS'!$A$4:$A$23,0)),"(sin catálogo)"))</f>
        <v/>
      </c>
      <c r="AC121" s="24">
        <f>IF($H121="","",IFERROR(INDEX('CAT_ACTIVIDADES'!$B$4:$B$26,MATCH($H121,'CAT_ACTIVIDADES'!$A$4:$A$26,0)),"(sin catálogo)"))</f>
        <v/>
      </c>
      <c r="AD121" s="26">
        <f>IF($J121="","",TODAY()-$J121)</f>
        <v/>
      </c>
      <c r="AE121" s="26">
        <f>IF($J121="","",IF($J121&lt;=TODAY(),COUNTIFS(cal_fechas,"&gt;="&amp;$J121,cal_fechas,"&lt;"&amp;TODAY(),cal_habil,"sí"),-COUNTIFS(cal_fechas,"&gt;="&amp;TODAY(),cal_fechas,"&lt;"&amp;$J121,cal_habil,"sí")))</f>
        <v/>
      </c>
      <c r="AF121" s="24">
        <f>IF($AE121="","",IF($AE121&lt;0,"FUTURO",IF($AE121&gt;p_dias_backlog_max,"BACKLOG","MES CORRIENTE")))</f>
        <v/>
      </c>
      <c r="AG121" s="24">
        <f>IF($AE121="",FALSE,AND($AE121&gt;p_dias_backlog_min,$AE121&lt;=p_dias_backlog_max))</f>
        <v/>
      </c>
      <c r="AH121" s="4" t="n"/>
      <c r="AI121" s="24">
        <f>IF($AH121="","",IF((IFERROR(INDEX('ASIGNACIONES'!$J$4:$J$451,MATCH($O121&amp;"|"&amp;$S121&amp;"|"&amp;$AH121,'ASIGNACIONES'!$N$4:$N$451,0)),""))=0,"",IFERROR(INDEX('ASIGNACIONES'!$J$4:$J$451,MATCH($O121&amp;"|"&amp;$S121&amp;"|"&amp;$AH121,'ASIGNACIONES'!$N$4:$N$451,0)),"")))</f>
        <v/>
      </c>
      <c r="AJ121" s="42">
        <f>IF($AH121="","",SUMIFS('ORDENES'!$M$4:$M$1203,'ORDENES'!$AH$4:$AH$1203,$AH121,'ORDENES'!$O$4:$O$1203,$O121,'ORDENES'!$S$4:$S$1203,$S121))</f>
        <v/>
      </c>
      <c r="AK121" s="42">
        <f>IF($AJ121="","",p_factor_productividad*IFERROR(INDEX('ASIGNACIONES'!$M$4:$M$451,MATCH($O121&amp;"|"&amp;$S121&amp;"|"&amp;$AH121,'ASIGNACIONES'!$N$4:$N$451,0)),0)-$AJ121)</f>
        <v/>
      </c>
      <c r="AL121" s="32">
        <f>IF($A121="","",IFERROR(INDEX('2_IMPORTAR_EJECUCION'!$F$9:$F$1208,MATCH($AU121,'2_IMPORTAR_EJECUCION'!$J$9:$J$1208,0)),0))</f>
        <v/>
      </c>
      <c r="AM121" s="32">
        <f>IF($A121="","",MAX(0,IFERROR(INDEX('2_IMPORTAR_EJECUCION'!$H$9:$H$1208,MATCH($AU121,'2_IMPORTAR_EJECUCION'!$J$9:$J$1208,0)),0)-$AL121))</f>
        <v/>
      </c>
      <c r="AN121" s="32">
        <f>IF($A121="","",$AL121+$AM121)</f>
        <v/>
      </c>
      <c r="AO121" s="24">
        <f>IF($A121="","",IF(OR((IFERROR(INDEX('CAT_ACTIVIDADES'!$D$4:$D$26,MATCH($H121,'CAT_ACTIVIDADES'!$A$4:$A$26,0)),""))=0,(IFERROR(INDEX('CAT_ACTIVIDADES'!$D$4:$D$26,MATCH($H121,'CAT_ACTIVIDADES'!$A$4:$A$26,0)),""))=""),"SIN CLASIFICAR",IFERROR(INDEX('CAT_ACTIVIDADES'!$D$4:$D$26,MATCH($H121,'CAT_ACTIVIDADES'!$A$4:$A$26,0)),"")))</f>
        <v/>
      </c>
      <c r="AP121" s="4" t="n"/>
      <c r="AQ121" s="4" t="n"/>
      <c r="AR121" s="4" t="n"/>
      <c r="AS121" s="24">
        <f>IF($AR121="","",HYPERLINK(p_ruta_base_checklists&amp;$AR121,"abrir"))</f>
        <v/>
      </c>
      <c r="AT121" s="4" t="n"/>
      <c r="AU121" s="24">
        <f>IF($A121="","",$A121&amp;IF($B121="","0010",$B121))</f>
        <v/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41" t="n"/>
      <c r="K122" s="5" t="n"/>
      <c r="L122" s="18" t="n"/>
      <c r="M122" s="24">
        <f>IF($A122="","",IFERROR(INDEX('AJUSTES'!$B$4:$B$303,MATCH($AU122,'AJUSTES'!$A$4:$A$303,0)),IF($K122="","",$K122)))</f>
        <v/>
      </c>
      <c r="N122" s="24">
        <f>IF($A122="","",IFERROR(INDEX('CAT_ESTADOS_ERP'!$B$4:$B$22,MATCH(IFERROR(INDEX('2_IMPORTAR_EJECUCION'!$C$9:$C$1208,MATCH($AU122,'2_IMPORTAR_EJECUCION'!$J$9:$J$1208,0)),""),'CAT_ESTADOS_ERP'!$A$4:$A$22,0)),"Pendiente"))</f>
        <v/>
      </c>
      <c r="O122" s="24">
        <f>IF($J122="","",YEAR($J122+4-WEEKDAY($J122,2))&amp;"-S"&amp;TEXT(_xlfn.ISOWEEKNUM($J122),"00"))</f>
        <v/>
      </c>
      <c r="P122" s="24">
        <f>IF($J122="","",YEAR($J122))</f>
        <v/>
      </c>
      <c r="Q122" s="24">
        <f>IF($J122="","",MONTH($J122))</f>
        <v/>
      </c>
      <c r="R122" s="24">
        <f>IF($J122="","",$P122&amp;"-"&amp;TEXT($Q122,"00"))</f>
        <v/>
      </c>
      <c r="S122" s="24">
        <f>IF($J122="","",INDEX(lista_dias,WEEKDAY($J122,2)))</f>
        <v/>
      </c>
      <c r="T122" s="24">
        <f>IF($J122="","",IFERROR(INDEX('CALENDARIO'!$C$15:$C$214,MATCH(TEXT($J122,"yyyy-mm-dd")&amp;"|"&amp;$Y122&amp;"|"&amp;$Z122,'CALENDARIO'!$G$15:$G$214,0)),IFERROR(INDEX('CALENDARIO'!$C$15:$C$214,MATCH(TEXT($J122,"yyyy-mm-dd")&amp;"|"&amp;$Y122&amp;"|",'CALENDARIO'!$G$15:$G$214,0)),IFERROR(INDEX('CALENDARIO'!$C$15:$C$214,MATCH(TEXT($J122,"yyyy-mm-dd")&amp;"||",'CALENDARIO'!$G$15:$G$214,0)),INDEX(patronHabil,WEEKDAY($J122,2))))))</f>
        <v/>
      </c>
      <c r="U122" s="24">
        <f>IF($I122="","",IFERROR(INDEX('CAT_TIPOS_OT'!$C$4:$C$23,MATCH($I122,'CAT_TIPOS_OT'!$A$4:$A$23,0)),"sin_clasificar"))</f>
        <v/>
      </c>
      <c r="V122" s="24">
        <f>IF($I122="","",IF(IFERROR(INDEX('CAT_TIPOS_OT'!$D$4:$D$23,MATCH($I122,'CAT_TIPOS_OT'!$A$4:$A$23,0)),"SIN CLASIFICAR")="","SIN CLASIFICAR",IFERROR(INDEX('CAT_TIPOS_OT'!$D$4:$D$23,MATCH($I122,'CAT_TIPOS_OT'!$A$4:$A$23,0)),"SIN CLASIFICAR")))</f>
        <v/>
      </c>
      <c r="W122" s="24">
        <f>IF($H122="","",IF(IFERROR(INDEX('CAT_ACTIVIDADES'!$F$4:$F$26,MATCH($H122,'CAT_ACTIVIDADES'!$A$4:$A$26,0)),"")=0,"",IFERROR(INDEX('CAT_ACTIVIDADES'!$F$4:$F$26,MATCH($H122,'CAT_ACTIVIDADES'!$A$4:$A$26,0)),"")))</f>
        <v/>
      </c>
      <c r="X122" s="24">
        <f>IF($F122="","",IFERROR(INDEX('CAT_CENTROS_COSTO'!$F$4:$F$28,MATCH($F122,'CAT_CENTROS_COSTO'!$A$4:$A$28,0)),"(sin catálogo)"))</f>
        <v/>
      </c>
      <c r="Y122" s="24">
        <f>IF($F122="","",IFERROR(INDEX('CAT_CENTROS_COSTO'!$D$4:$D$28,MATCH($F122,'CAT_CENTROS_COSTO'!$A$4:$A$28,0)),"(sin catálogo)"))</f>
        <v/>
      </c>
      <c r="Z122" s="24">
        <f>IF($F122="","",IF((IFERROR(INDEX('CAT_CENTROS_COSTO'!$E$4:$E$28,MATCH($F122,'CAT_CENTROS_COSTO'!$A$4:$A$28,0)),""))&lt;&gt;"",IFERROR(INDEX('CAT_CENTROS_COSTO'!$E$4:$E$28,MATCH($F122,'CAT_CENTROS_COSTO'!$A$4:$A$28,0)),""),$Y122))</f>
        <v/>
      </c>
      <c r="AA122" s="24">
        <f>IF($F122="","",IFERROR(INDEX('CAT_CENTROS_COSTO'!$G$4:$G$28,MATCH($F122,'CAT_CENTROS_COSTO'!$A$4:$A$28,0)),"(sin catálogo)"))</f>
        <v/>
      </c>
      <c r="AB122" s="24">
        <f>IF($G122="","",IFERROR(INDEX('CAT_PUESTOS'!$B$4:$B$23,MATCH($G122,'CAT_PUESTOS'!$A$4:$A$23,0)),"(sin catálogo)"))</f>
        <v/>
      </c>
      <c r="AC122" s="24">
        <f>IF($H122="","",IFERROR(INDEX('CAT_ACTIVIDADES'!$B$4:$B$26,MATCH($H122,'CAT_ACTIVIDADES'!$A$4:$A$26,0)),"(sin catálogo)"))</f>
        <v/>
      </c>
      <c r="AD122" s="26">
        <f>IF($J122="","",TODAY()-$J122)</f>
        <v/>
      </c>
      <c r="AE122" s="26">
        <f>IF($J122="","",IF($J122&lt;=TODAY(),COUNTIFS(cal_fechas,"&gt;="&amp;$J122,cal_fechas,"&lt;"&amp;TODAY(),cal_habil,"sí"),-COUNTIFS(cal_fechas,"&gt;="&amp;TODAY(),cal_fechas,"&lt;"&amp;$J122,cal_habil,"sí")))</f>
        <v/>
      </c>
      <c r="AF122" s="24">
        <f>IF($AE122="","",IF($AE122&lt;0,"FUTURO",IF($AE122&gt;p_dias_backlog_max,"BACKLOG","MES CORRIENTE")))</f>
        <v/>
      </c>
      <c r="AG122" s="24">
        <f>IF($AE122="",FALSE,AND($AE122&gt;p_dias_backlog_min,$AE122&lt;=p_dias_backlog_max))</f>
        <v/>
      </c>
      <c r="AH122" s="4" t="n"/>
      <c r="AI122" s="24">
        <f>IF($AH122="","",IF((IFERROR(INDEX('ASIGNACIONES'!$J$4:$J$451,MATCH($O122&amp;"|"&amp;$S122&amp;"|"&amp;$AH122,'ASIGNACIONES'!$N$4:$N$451,0)),""))=0,"",IFERROR(INDEX('ASIGNACIONES'!$J$4:$J$451,MATCH($O122&amp;"|"&amp;$S122&amp;"|"&amp;$AH122,'ASIGNACIONES'!$N$4:$N$451,0)),"")))</f>
        <v/>
      </c>
      <c r="AJ122" s="42">
        <f>IF($AH122="","",SUMIFS('ORDENES'!$M$4:$M$1203,'ORDENES'!$AH$4:$AH$1203,$AH122,'ORDENES'!$O$4:$O$1203,$O122,'ORDENES'!$S$4:$S$1203,$S122))</f>
        <v/>
      </c>
      <c r="AK122" s="42">
        <f>IF($AJ122="","",p_factor_productividad*IFERROR(INDEX('ASIGNACIONES'!$M$4:$M$451,MATCH($O122&amp;"|"&amp;$S122&amp;"|"&amp;$AH122,'ASIGNACIONES'!$N$4:$N$451,0)),0)-$AJ122)</f>
        <v/>
      </c>
      <c r="AL122" s="32">
        <f>IF($A122="","",IFERROR(INDEX('2_IMPORTAR_EJECUCION'!$F$9:$F$1208,MATCH($AU122,'2_IMPORTAR_EJECUCION'!$J$9:$J$1208,0)),0))</f>
        <v/>
      </c>
      <c r="AM122" s="32">
        <f>IF($A122="","",MAX(0,IFERROR(INDEX('2_IMPORTAR_EJECUCION'!$H$9:$H$1208,MATCH($AU122,'2_IMPORTAR_EJECUCION'!$J$9:$J$1208,0)),0)-$AL122))</f>
        <v/>
      </c>
      <c r="AN122" s="32">
        <f>IF($A122="","",$AL122+$AM122)</f>
        <v/>
      </c>
      <c r="AO122" s="24">
        <f>IF($A122="","",IF(OR((IFERROR(INDEX('CAT_ACTIVIDADES'!$D$4:$D$26,MATCH($H122,'CAT_ACTIVIDADES'!$A$4:$A$26,0)),""))=0,(IFERROR(INDEX('CAT_ACTIVIDADES'!$D$4:$D$26,MATCH($H122,'CAT_ACTIVIDADES'!$A$4:$A$26,0)),""))=""),"SIN CLASIFICAR",IFERROR(INDEX('CAT_ACTIVIDADES'!$D$4:$D$26,MATCH($H122,'CAT_ACTIVIDADES'!$A$4:$A$26,0)),"")))</f>
        <v/>
      </c>
      <c r="AP122" s="4" t="n"/>
      <c r="AQ122" s="4" t="n"/>
      <c r="AR122" s="4" t="n"/>
      <c r="AS122" s="24">
        <f>IF($AR122="","",HYPERLINK(p_ruta_base_checklists&amp;$AR122,"abrir"))</f>
        <v/>
      </c>
      <c r="AT122" s="4" t="n"/>
      <c r="AU122" s="24">
        <f>IF($A122="","",$A122&amp;IF($B122="","0010",$B122))</f>
        <v/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41" t="n"/>
      <c r="K123" s="5" t="n"/>
      <c r="L123" s="18" t="n"/>
      <c r="M123" s="24">
        <f>IF($A123="","",IFERROR(INDEX('AJUSTES'!$B$4:$B$303,MATCH($AU123,'AJUSTES'!$A$4:$A$303,0)),IF($K123="","",$K123)))</f>
        <v/>
      </c>
      <c r="N123" s="24">
        <f>IF($A123="","",IFERROR(INDEX('CAT_ESTADOS_ERP'!$B$4:$B$22,MATCH(IFERROR(INDEX('2_IMPORTAR_EJECUCION'!$C$9:$C$1208,MATCH($AU123,'2_IMPORTAR_EJECUCION'!$J$9:$J$1208,0)),""),'CAT_ESTADOS_ERP'!$A$4:$A$22,0)),"Pendiente"))</f>
        <v/>
      </c>
      <c r="O123" s="24">
        <f>IF($J123="","",YEAR($J123+4-WEEKDAY($J123,2))&amp;"-S"&amp;TEXT(_xlfn.ISOWEEKNUM($J123),"00"))</f>
        <v/>
      </c>
      <c r="P123" s="24">
        <f>IF($J123="","",YEAR($J123))</f>
        <v/>
      </c>
      <c r="Q123" s="24">
        <f>IF($J123="","",MONTH($J123))</f>
        <v/>
      </c>
      <c r="R123" s="24">
        <f>IF($J123="","",$P123&amp;"-"&amp;TEXT($Q123,"00"))</f>
        <v/>
      </c>
      <c r="S123" s="24">
        <f>IF($J123="","",INDEX(lista_dias,WEEKDAY($J123,2)))</f>
        <v/>
      </c>
      <c r="T123" s="24">
        <f>IF($J123="","",IFERROR(INDEX('CALENDARIO'!$C$15:$C$214,MATCH(TEXT($J123,"yyyy-mm-dd")&amp;"|"&amp;$Y123&amp;"|"&amp;$Z123,'CALENDARIO'!$G$15:$G$214,0)),IFERROR(INDEX('CALENDARIO'!$C$15:$C$214,MATCH(TEXT($J123,"yyyy-mm-dd")&amp;"|"&amp;$Y123&amp;"|",'CALENDARIO'!$G$15:$G$214,0)),IFERROR(INDEX('CALENDARIO'!$C$15:$C$214,MATCH(TEXT($J123,"yyyy-mm-dd")&amp;"||",'CALENDARIO'!$G$15:$G$214,0)),INDEX(patronHabil,WEEKDAY($J123,2))))))</f>
        <v/>
      </c>
      <c r="U123" s="24">
        <f>IF($I123="","",IFERROR(INDEX('CAT_TIPOS_OT'!$C$4:$C$23,MATCH($I123,'CAT_TIPOS_OT'!$A$4:$A$23,0)),"sin_clasificar"))</f>
        <v/>
      </c>
      <c r="V123" s="24">
        <f>IF($I123="","",IF(IFERROR(INDEX('CAT_TIPOS_OT'!$D$4:$D$23,MATCH($I123,'CAT_TIPOS_OT'!$A$4:$A$23,0)),"SIN CLASIFICAR")="","SIN CLASIFICAR",IFERROR(INDEX('CAT_TIPOS_OT'!$D$4:$D$23,MATCH($I123,'CAT_TIPOS_OT'!$A$4:$A$23,0)),"SIN CLASIFICAR")))</f>
        <v/>
      </c>
      <c r="W123" s="24">
        <f>IF($H123="","",IF(IFERROR(INDEX('CAT_ACTIVIDADES'!$F$4:$F$26,MATCH($H123,'CAT_ACTIVIDADES'!$A$4:$A$26,0)),"")=0,"",IFERROR(INDEX('CAT_ACTIVIDADES'!$F$4:$F$26,MATCH($H123,'CAT_ACTIVIDADES'!$A$4:$A$26,0)),"")))</f>
        <v/>
      </c>
      <c r="X123" s="24">
        <f>IF($F123="","",IFERROR(INDEX('CAT_CENTROS_COSTO'!$F$4:$F$28,MATCH($F123,'CAT_CENTROS_COSTO'!$A$4:$A$28,0)),"(sin catálogo)"))</f>
        <v/>
      </c>
      <c r="Y123" s="24">
        <f>IF($F123="","",IFERROR(INDEX('CAT_CENTROS_COSTO'!$D$4:$D$28,MATCH($F123,'CAT_CENTROS_COSTO'!$A$4:$A$28,0)),"(sin catálogo)"))</f>
        <v/>
      </c>
      <c r="Z123" s="24">
        <f>IF($F123="","",IF((IFERROR(INDEX('CAT_CENTROS_COSTO'!$E$4:$E$28,MATCH($F123,'CAT_CENTROS_COSTO'!$A$4:$A$28,0)),""))&lt;&gt;"",IFERROR(INDEX('CAT_CENTROS_COSTO'!$E$4:$E$28,MATCH($F123,'CAT_CENTROS_COSTO'!$A$4:$A$28,0)),""),$Y123))</f>
        <v/>
      </c>
      <c r="AA123" s="24">
        <f>IF($F123="","",IFERROR(INDEX('CAT_CENTROS_COSTO'!$G$4:$G$28,MATCH($F123,'CAT_CENTROS_COSTO'!$A$4:$A$28,0)),"(sin catálogo)"))</f>
        <v/>
      </c>
      <c r="AB123" s="24">
        <f>IF($G123="","",IFERROR(INDEX('CAT_PUESTOS'!$B$4:$B$23,MATCH($G123,'CAT_PUESTOS'!$A$4:$A$23,0)),"(sin catálogo)"))</f>
        <v/>
      </c>
      <c r="AC123" s="24">
        <f>IF($H123="","",IFERROR(INDEX('CAT_ACTIVIDADES'!$B$4:$B$26,MATCH($H123,'CAT_ACTIVIDADES'!$A$4:$A$26,0)),"(sin catálogo)"))</f>
        <v/>
      </c>
      <c r="AD123" s="26">
        <f>IF($J123="","",TODAY()-$J123)</f>
        <v/>
      </c>
      <c r="AE123" s="26">
        <f>IF($J123="","",IF($J123&lt;=TODAY(),COUNTIFS(cal_fechas,"&gt;="&amp;$J123,cal_fechas,"&lt;"&amp;TODAY(),cal_habil,"sí"),-COUNTIFS(cal_fechas,"&gt;="&amp;TODAY(),cal_fechas,"&lt;"&amp;$J123,cal_habil,"sí")))</f>
        <v/>
      </c>
      <c r="AF123" s="24">
        <f>IF($AE123="","",IF($AE123&lt;0,"FUTURO",IF($AE123&gt;p_dias_backlog_max,"BACKLOG","MES CORRIENTE")))</f>
        <v/>
      </c>
      <c r="AG123" s="24">
        <f>IF($AE123="",FALSE,AND($AE123&gt;p_dias_backlog_min,$AE123&lt;=p_dias_backlog_max))</f>
        <v/>
      </c>
      <c r="AH123" s="4" t="n"/>
      <c r="AI123" s="24">
        <f>IF($AH123="","",IF((IFERROR(INDEX('ASIGNACIONES'!$J$4:$J$451,MATCH($O123&amp;"|"&amp;$S123&amp;"|"&amp;$AH123,'ASIGNACIONES'!$N$4:$N$451,0)),""))=0,"",IFERROR(INDEX('ASIGNACIONES'!$J$4:$J$451,MATCH($O123&amp;"|"&amp;$S123&amp;"|"&amp;$AH123,'ASIGNACIONES'!$N$4:$N$451,0)),"")))</f>
        <v/>
      </c>
      <c r="AJ123" s="42">
        <f>IF($AH123="","",SUMIFS('ORDENES'!$M$4:$M$1203,'ORDENES'!$AH$4:$AH$1203,$AH123,'ORDENES'!$O$4:$O$1203,$O123,'ORDENES'!$S$4:$S$1203,$S123))</f>
        <v/>
      </c>
      <c r="AK123" s="42">
        <f>IF($AJ123="","",p_factor_productividad*IFERROR(INDEX('ASIGNACIONES'!$M$4:$M$451,MATCH($O123&amp;"|"&amp;$S123&amp;"|"&amp;$AH123,'ASIGNACIONES'!$N$4:$N$451,0)),0)-$AJ123)</f>
        <v/>
      </c>
      <c r="AL123" s="32">
        <f>IF($A123="","",IFERROR(INDEX('2_IMPORTAR_EJECUCION'!$F$9:$F$1208,MATCH($AU123,'2_IMPORTAR_EJECUCION'!$J$9:$J$1208,0)),0))</f>
        <v/>
      </c>
      <c r="AM123" s="32">
        <f>IF($A123="","",MAX(0,IFERROR(INDEX('2_IMPORTAR_EJECUCION'!$H$9:$H$1208,MATCH($AU123,'2_IMPORTAR_EJECUCION'!$J$9:$J$1208,0)),0)-$AL123))</f>
        <v/>
      </c>
      <c r="AN123" s="32">
        <f>IF($A123="","",$AL123+$AM123)</f>
        <v/>
      </c>
      <c r="AO123" s="24">
        <f>IF($A123="","",IF(OR((IFERROR(INDEX('CAT_ACTIVIDADES'!$D$4:$D$26,MATCH($H123,'CAT_ACTIVIDADES'!$A$4:$A$26,0)),""))=0,(IFERROR(INDEX('CAT_ACTIVIDADES'!$D$4:$D$26,MATCH($H123,'CAT_ACTIVIDADES'!$A$4:$A$26,0)),""))=""),"SIN CLASIFICAR",IFERROR(INDEX('CAT_ACTIVIDADES'!$D$4:$D$26,MATCH($H123,'CAT_ACTIVIDADES'!$A$4:$A$26,0)),"")))</f>
        <v/>
      </c>
      <c r="AP123" s="4" t="n"/>
      <c r="AQ123" s="4" t="n"/>
      <c r="AR123" s="4" t="n"/>
      <c r="AS123" s="24">
        <f>IF($AR123="","",HYPERLINK(p_ruta_base_checklists&amp;$AR123,"abrir"))</f>
        <v/>
      </c>
      <c r="AT123" s="4" t="n"/>
      <c r="AU123" s="24">
        <f>IF($A123="","",$A123&amp;IF($B123="","0010",$B123))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41" t="n"/>
      <c r="K124" s="5" t="n"/>
      <c r="L124" s="18" t="n"/>
      <c r="M124" s="24">
        <f>IF($A124="","",IFERROR(INDEX('AJUSTES'!$B$4:$B$303,MATCH($AU124,'AJUSTES'!$A$4:$A$303,0)),IF($K124="","",$K124)))</f>
        <v/>
      </c>
      <c r="N124" s="24">
        <f>IF($A124="","",IFERROR(INDEX('CAT_ESTADOS_ERP'!$B$4:$B$22,MATCH(IFERROR(INDEX('2_IMPORTAR_EJECUCION'!$C$9:$C$1208,MATCH($AU124,'2_IMPORTAR_EJECUCION'!$J$9:$J$1208,0)),""),'CAT_ESTADOS_ERP'!$A$4:$A$22,0)),"Pendiente"))</f>
        <v/>
      </c>
      <c r="O124" s="24">
        <f>IF($J124="","",YEAR($J124+4-WEEKDAY($J124,2))&amp;"-S"&amp;TEXT(_xlfn.ISOWEEKNUM($J124),"00"))</f>
        <v/>
      </c>
      <c r="P124" s="24">
        <f>IF($J124="","",YEAR($J124))</f>
        <v/>
      </c>
      <c r="Q124" s="24">
        <f>IF($J124="","",MONTH($J124))</f>
        <v/>
      </c>
      <c r="R124" s="24">
        <f>IF($J124="","",$P124&amp;"-"&amp;TEXT($Q124,"00"))</f>
        <v/>
      </c>
      <c r="S124" s="24">
        <f>IF($J124="","",INDEX(lista_dias,WEEKDAY($J124,2)))</f>
        <v/>
      </c>
      <c r="T124" s="24">
        <f>IF($J124="","",IFERROR(INDEX('CALENDARIO'!$C$15:$C$214,MATCH(TEXT($J124,"yyyy-mm-dd")&amp;"|"&amp;$Y124&amp;"|"&amp;$Z124,'CALENDARIO'!$G$15:$G$214,0)),IFERROR(INDEX('CALENDARIO'!$C$15:$C$214,MATCH(TEXT($J124,"yyyy-mm-dd")&amp;"|"&amp;$Y124&amp;"|",'CALENDARIO'!$G$15:$G$214,0)),IFERROR(INDEX('CALENDARIO'!$C$15:$C$214,MATCH(TEXT($J124,"yyyy-mm-dd")&amp;"||",'CALENDARIO'!$G$15:$G$214,0)),INDEX(patronHabil,WEEKDAY($J124,2))))))</f>
        <v/>
      </c>
      <c r="U124" s="24">
        <f>IF($I124="","",IFERROR(INDEX('CAT_TIPOS_OT'!$C$4:$C$23,MATCH($I124,'CAT_TIPOS_OT'!$A$4:$A$23,0)),"sin_clasificar"))</f>
        <v/>
      </c>
      <c r="V124" s="24">
        <f>IF($I124="","",IF(IFERROR(INDEX('CAT_TIPOS_OT'!$D$4:$D$23,MATCH($I124,'CAT_TIPOS_OT'!$A$4:$A$23,0)),"SIN CLASIFICAR")="","SIN CLASIFICAR",IFERROR(INDEX('CAT_TIPOS_OT'!$D$4:$D$23,MATCH($I124,'CAT_TIPOS_OT'!$A$4:$A$23,0)),"SIN CLASIFICAR")))</f>
        <v/>
      </c>
      <c r="W124" s="24">
        <f>IF($H124="","",IF(IFERROR(INDEX('CAT_ACTIVIDADES'!$F$4:$F$26,MATCH($H124,'CAT_ACTIVIDADES'!$A$4:$A$26,0)),"")=0,"",IFERROR(INDEX('CAT_ACTIVIDADES'!$F$4:$F$26,MATCH($H124,'CAT_ACTIVIDADES'!$A$4:$A$26,0)),"")))</f>
        <v/>
      </c>
      <c r="X124" s="24">
        <f>IF($F124="","",IFERROR(INDEX('CAT_CENTROS_COSTO'!$F$4:$F$28,MATCH($F124,'CAT_CENTROS_COSTO'!$A$4:$A$28,0)),"(sin catálogo)"))</f>
        <v/>
      </c>
      <c r="Y124" s="24">
        <f>IF($F124="","",IFERROR(INDEX('CAT_CENTROS_COSTO'!$D$4:$D$28,MATCH($F124,'CAT_CENTROS_COSTO'!$A$4:$A$28,0)),"(sin catálogo)"))</f>
        <v/>
      </c>
      <c r="Z124" s="24">
        <f>IF($F124="","",IF((IFERROR(INDEX('CAT_CENTROS_COSTO'!$E$4:$E$28,MATCH($F124,'CAT_CENTROS_COSTO'!$A$4:$A$28,0)),""))&lt;&gt;"",IFERROR(INDEX('CAT_CENTROS_COSTO'!$E$4:$E$28,MATCH($F124,'CAT_CENTROS_COSTO'!$A$4:$A$28,0)),""),$Y124))</f>
        <v/>
      </c>
      <c r="AA124" s="24">
        <f>IF($F124="","",IFERROR(INDEX('CAT_CENTROS_COSTO'!$G$4:$G$28,MATCH($F124,'CAT_CENTROS_COSTO'!$A$4:$A$28,0)),"(sin catálogo)"))</f>
        <v/>
      </c>
      <c r="AB124" s="24">
        <f>IF($G124="","",IFERROR(INDEX('CAT_PUESTOS'!$B$4:$B$23,MATCH($G124,'CAT_PUESTOS'!$A$4:$A$23,0)),"(sin catálogo)"))</f>
        <v/>
      </c>
      <c r="AC124" s="24">
        <f>IF($H124="","",IFERROR(INDEX('CAT_ACTIVIDADES'!$B$4:$B$26,MATCH($H124,'CAT_ACTIVIDADES'!$A$4:$A$26,0)),"(sin catálogo)"))</f>
        <v/>
      </c>
      <c r="AD124" s="26">
        <f>IF($J124="","",TODAY()-$J124)</f>
        <v/>
      </c>
      <c r="AE124" s="26">
        <f>IF($J124="","",IF($J124&lt;=TODAY(),COUNTIFS(cal_fechas,"&gt;="&amp;$J124,cal_fechas,"&lt;"&amp;TODAY(),cal_habil,"sí"),-COUNTIFS(cal_fechas,"&gt;="&amp;TODAY(),cal_fechas,"&lt;"&amp;$J124,cal_habil,"sí")))</f>
        <v/>
      </c>
      <c r="AF124" s="24">
        <f>IF($AE124="","",IF($AE124&lt;0,"FUTURO",IF($AE124&gt;p_dias_backlog_max,"BACKLOG","MES CORRIENTE")))</f>
        <v/>
      </c>
      <c r="AG124" s="24">
        <f>IF($AE124="",FALSE,AND($AE124&gt;p_dias_backlog_min,$AE124&lt;=p_dias_backlog_max))</f>
        <v/>
      </c>
      <c r="AH124" s="4" t="n"/>
      <c r="AI124" s="24">
        <f>IF($AH124="","",IF((IFERROR(INDEX('ASIGNACIONES'!$J$4:$J$451,MATCH($O124&amp;"|"&amp;$S124&amp;"|"&amp;$AH124,'ASIGNACIONES'!$N$4:$N$451,0)),""))=0,"",IFERROR(INDEX('ASIGNACIONES'!$J$4:$J$451,MATCH($O124&amp;"|"&amp;$S124&amp;"|"&amp;$AH124,'ASIGNACIONES'!$N$4:$N$451,0)),"")))</f>
        <v/>
      </c>
      <c r="AJ124" s="42">
        <f>IF($AH124="","",SUMIFS('ORDENES'!$M$4:$M$1203,'ORDENES'!$AH$4:$AH$1203,$AH124,'ORDENES'!$O$4:$O$1203,$O124,'ORDENES'!$S$4:$S$1203,$S124))</f>
        <v/>
      </c>
      <c r="AK124" s="42">
        <f>IF($AJ124="","",p_factor_productividad*IFERROR(INDEX('ASIGNACIONES'!$M$4:$M$451,MATCH($O124&amp;"|"&amp;$S124&amp;"|"&amp;$AH124,'ASIGNACIONES'!$N$4:$N$451,0)),0)-$AJ124)</f>
        <v/>
      </c>
      <c r="AL124" s="32">
        <f>IF($A124="","",IFERROR(INDEX('2_IMPORTAR_EJECUCION'!$F$9:$F$1208,MATCH($AU124,'2_IMPORTAR_EJECUCION'!$J$9:$J$1208,0)),0))</f>
        <v/>
      </c>
      <c r="AM124" s="32">
        <f>IF($A124="","",MAX(0,IFERROR(INDEX('2_IMPORTAR_EJECUCION'!$H$9:$H$1208,MATCH($AU124,'2_IMPORTAR_EJECUCION'!$J$9:$J$1208,0)),0)-$AL124))</f>
        <v/>
      </c>
      <c r="AN124" s="32">
        <f>IF($A124="","",$AL124+$AM124)</f>
        <v/>
      </c>
      <c r="AO124" s="24">
        <f>IF($A124="","",IF(OR((IFERROR(INDEX('CAT_ACTIVIDADES'!$D$4:$D$26,MATCH($H124,'CAT_ACTIVIDADES'!$A$4:$A$26,0)),""))=0,(IFERROR(INDEX('CAT_ACTIVIDADES'!$D$4:$D$26,MATCH($H124,'CAT_ACTIVIDADES'!$A$4:$A$26,0)),""))=""),"SIN CLASIFICAR",IFERROR(INDEX('CAT_ACTIVIDADES'!$D$4:$D$26,MATCH($H124,'CAT_ACTIVIDADES'!$A$4:$A$26,0)),"")))</f>
        <v/>
      </c>
      <c r="AP124" s="4" t="n"/>
      <c r="AQ124" s="4" t="n"/>
      <c r="AR124" s="4" t="n"/>
      <c r="AS124" s="24">
        <f>IF($AR124="","",HYPERLINK(p_ruta_base_checklists&amp;$AR124,"abrir"))</f>
        <v/>
      </c>
      <c r="AT124" s="4" t="n"/>
      <c r="AU124" s="24">
        <f>IF($A124="","",$A124&amp;IF($B124="","0010",$B124))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41" t="n"/>
      <c r="K125" s="5" t="n"/>
      <c r="L125" s="18" t="n"/>
      <c r="M125" s="24">
        <f>IF($A125="","",IFERROR(INDEX('AJUSTES'!$B$4:$B$303,MATCH($AU125,'AJUSTES'!$A$4:$A$303,0)),IF($K125="","",$K125)))</f>
        <v/>
      </c>
      <c r="N125" s="24">
        <f>IF($A125="","",IFERROR(INDEX('CAT_ESTADOS_ERP'!$B$4:$B$22,MATCH(IFERROR(INDEX('2_IMPORTAR_EJECUCION'!$C$9:$C$1208,MATCH($AU125,'2_IMPORTAR_EJECUCION'!$J$9:$J$1208,0)),""),'CAT_ESTADOS_ERP'!$A$4:$A$22,0)),"Pendiente"))</f>
        <v/>
      </c>
      <c r="O125" s="24">
        <f>IF($J125="","",YEAR($J125+4-WEEKDAY($J125,2))&amp;"-S"&amp;TEXT(_xlfn.ISOWEEKNUM($J125),"00"))</f>
        <v/>
      </c>
      <c r="P125" s="24">
        <f>IF($J125="","",YEAR($J125))</f>
        <v/>
      </c>
      <c r="Q125" s="24">
        <f>IF($J125="","",MONTH($J125))</f>
        <v/>
      </c>
      <c r="R125" s="24">
        <f>IF($J125="","",$P125&amp;"-"&amp;TEXT($Q125,"00"))</f>
        <v/>
      </c>
      <c r="S125" s="24">
        <f>IF($J125="","",INDEX(lista_dias,WEEKDAY($J125,2)))</f>
        <v/>
      </c>
      <c r="T125" s="24">
        <f>IF($J125="","",IFERROR(INDEX('CALENDARIO'!$C$15:$C$214,MATCH(TEXT($J125,"yyyy-mm-dd")&amp;"|"&amp;$Y125&amp;"|"&amp;$Z125,'CALENDARIO'!$G$15:$G$214,0)),IFERROR(INDEX('CALENDARIO'!$C$15:$C$214,MATCH(TEXT($J125,"yyyy-mm-dd")&amp;"|"&amp;$Y125&amp;"|",'CALENDARIO'!$G$15:$G$214,0)),IFERROR(INDEX('CALENDARIO'!$C$15:$C$214,MATCH(TEXT($J125,"yyyy-mm-dd")&amp;"||",'CALENDARIO'!$G$15:$G$214,0)),INDEX(patronHabil,WEEKDAY($J125,2))))))</f>
        <v/>
      </c>
      <c r="U125" s="24">
        <f>IF($I125="","",IFERROR(INDEX('CAT_TIPOS_OT'!$C$4:$C$23,MATCH($I125,'CAT_TIPOS_OT'!$A$4:$A$23,0)),"sin_clasificar"))</f>
        <v/>
      </c>
      <c r="V125" s="24">
        <f>IF($I125="","",IF(IFERROR(INDEX('CAT_TIPOS_OT'!$D$4:$D$23,MATCH($I125,'CAT_TIPOS_OT'!$A$4:$A$23,0)),"SIN CLASIFICAR")="","SIN CLASIFICAR",IFERROR(INDEX('CAT_TIPOS_OT'!$D$4:$D$23,MATCH($I125,'CAT_TIPOS_OT'!$A$4:$A$23,0)),"SIN CLASIFICAR")))</f>
        <v/>
      </c>
      <c r="W125" s="24">
        <f>IF($H125="","",IF(IFERROR(INDEX('CAT_ACTIVIDADES'!$F$4:$F$26,MATCH($H125,'CAT_ACTIVIDADES'!$A$4:$A$26,0)),"")=0,"",IFERROR(INDEX('CAT_ACTIVIDADES'!$F$4:$F$26,MATCH($H125,'CAT_ACTIVIDADES'!$A$4:$A$26,0)),"")))</f>
        <v/>
      </c>
      <c r="X125" s="24">
        <f>IF($F125="","",IFERROR(INDEX('CAT_CENTROS_COSTO'!$F$4:$F$28,MATCH($F125,'CAT_CENTROS_COSTO'!$A$4:$A$28,0)),"(sin catálogo)"))</f>
        <v/>
      </c>
      <c r="Y125" s="24">
        <f>IF($F125="","",IFERROR(INDEX('CAT_CENTROS_COSTO'!$D$4:$D$28,MATCH($F125,'CAT_CENTROS_COSTO'!$A$4:$A$28,0)),"(sin catálogo)"))</f>
        <v/>
      </c>
      <c r="Z125" s="24">
        <f>IF($F125="","",IF((IFERROR(INDEX('CAT_CENTROS_COSTO'!$E$4:$E$28,MATCH($F125,'CAT_CENTROS_COSTO'!$A$4:$A$28,0)),""))&lt;&gt;"",IFERROR(INDEX('CAT_CENTROS_COSTO'!$E$4:$E$28,MATCH($F125,'CAT_CENTROS_COSTO'!$A$4:$A$28,0)),""),$Y125))</f>
        <v/>
      </c>
      <c r="AA125" s="24">
        <f>IF($F125="","",IFERROR(INDEX('CAT_CENTROS_COSTO'!$G$4:$G$28,MATCH($F125,'CAT_CENTROS_COSTO'!$A$4:$A$28,0)),"(sin catálogo)"))</f>
        <v/>
      </c>
      <c r="AB125" s="24">
        <f>IF($G125="","",IFERROR(INDEX('CAT_PUESTOS'!$B$4:$B$23,MATCH($G125,'CAT_PUESTOS'!$A$4:$A$23,0)),"(sin catálogo)"))</f>
        <v/>
      </c>
      <c r="AC125" s="24">
        <f>IF($H125="","",IFERROR(INDEX('CAT_ACTIVIDADES'!$B$4:$B$26,MATCH($H125,'CAT_ACTIVIDADES'!$A$4:$A$26,0)),"(sin catálogo)"))</f>
        <v/>
      </c>
      <c r="AD125" s="26">
        <f>IF($J125="","",TODAY()-$J125)</f>
        <v/>
      </c>
      <c r="AE125" s="26">
        <f>IF($J125="","",IF($J125&lt;=TODAY(),COUNTIFS(cal_fechas,"&gt;="&amp;$J125,cal_fechas,"&lt;"&amp;TODAY(),cal_habil,"sí"),-COUNTIFS(cal_fechas,"&gt;="&amp;TODAY(),cal_fechas,"&lt;"&amp;$J125,cal_habil,"sí")))</f>
        <v/>
      </c>
      <c r="AF125" s="24">
        <f>IF($AE125="","",IF($AE125&lt;0,"FUTURO",IF($AE125&gt;p_dias_backlog_max,"BACKLOG","MES CORRIENTE")))</f>
        <v/>
      </c>
      <c r="AG125" s="24">
        <f>IF($AE125="",FALSE,AND($AE125&gt;p_dias_backlog_min,$AE125&lt;=p_dias_backlog_max))</f>
        <v/>
      </c>
      <c r="AH125" s="4" t="n"/>
      <c r="AI125" s="24">
        <f>IF($AH125="","",IF((IFERROR(INDEX('ASIGNACIONES'!$J$4:$J$451,MATCH($O125&amp;"|"&amp;$S125&amp;"|"&amp;$AH125,'ASIGNACIONES'!$N$4:$N$451,0)),""))=0,"",IFERROR(INDEX('ASIGNACIONES'!$J$4:$J$451,MATCH($O125&amp;"|"&amp;$S125&amp;"|"&amp;$AH125,'ASIGNACIONES'!$N$4:$N$451,0)),"")))</f>
        <v/>
      </c>
      <c r="AJ125" s="42">
        <f>IF($AH125="","",SUMIFS('ORDENES'!$M$4:$M$1203,'ORDENES'!$AH$4:$AH$1203,$AH125,'ORDENES'!$O$4:$O$1203,$O125,'ORDENES'!$S$4:$S$1203,$S125))</f>
        <v/>
      </c>
      <c r="AK125" s="42">
        <f>IF($AJ125="","",p_factor_productividad*IFERROR(INDEX('ASIGNACIONES'!$M$4:$M$451,MATCH($O125&amp;"|"&amp;$S125&amp;"|"&amp;$AH125,'ASIGNACIONES'!$N$4:$N$451,0)),0)-$AJ125)</f>
        <v/>
      </c>
      <c r="AL125" s="32">
        <f>IF($A125="","",IFERROR(INDEX('2_IMPORTAR_EJECUCION'!$F$9:$F$1208,MATCH($AU125,'2_IMPORTAR_EJECUCION'!$J$9:$J$1208,0)),0))</f>
        <v/>
      </c>
      <c r="AM125" s="32">
        <f>IF($A125="","",MAX(0,IFERROR(INDEX('2_IMPORTAR_EJECUCION'!$H$9:$H$1208,MATCH($AU125,'2_IMPORTAR_EJECUCION'!$J$9:$J$1208,0)),0)-$AL125))</f>
        <v/>
      </c>
      <c r="AN125" s="32">
        <f>IF($A125="","",$AL125+$AM125)</f>
        <v/>
      </c>
      <c r="AO125" s="24">
        <f>IF($A125="","",IF(OR((IFERROR(INDEX('CAT_ACTIVIDADES'!$D$4:$D$26,MATCH($H125,'CAT_ACTIVIDADES'!$A$4:$A$26,0)),""))=0,(IFERROR(INDEX('CAT_ACTIVIDADES'!$D$4:$D$26,MATCH($H125,'CAT_ACTIVIDADES'!$A$4:$A$26,0)),""))=""),"SIN CLASIFICAR",IFERROR(INDEX('CAT_ACTIVIDADES'!$D$4:$D$26,MATCH($H125,'CAT_ACTIVIDADES'!$A$4:$A$26,0)),"")))</f>
        <v/>
      </c>
      <c r="AP125" s="4" t="n"/>
      <c r="AQ125" s="4" t="n"/>
      <c r="AR125" s="4" t="n"/>
      <c r="AS125" s="24">
        <f>IF($AR125="","",HYPERLINK(p_ruta_base_checklists&amp;$AR125,"abrir"))</f>
        <v/>
      </c>
      <c r="AT125" s="4" t="n"/>
      <c r="AU125" s="24">
        <f>IF($A125="","",$A125&amp;IF($B125="","0010",$B125))</f>
        <v/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41" t="n"/>
      <c r="K126" s="5" t="n"/>
      <c r="L126" s="18" t="n"/>
      <c r="M126" s="24">
        <f>IF($A126="","",IFERROR(INDEX('AJUSTES'!$B$4:$B$303,MATCH($AU126,'AJUSTES'!$A$4:$A$303,0)),IF($K126="","",$K126)))</f>
        <v/>
      </c>
      <c r="N126" s="24">
        <f>IF($A126="","",IFERROR(INDEX('CAT_ESTADOS_ERP'!$B$4:$B$22,MATCH(IFERROR(INDEX('2_IMPORTAR_EJECUCION'!$C$9:$C$1208,MATCH($AU126,'2_IMPORTAR_EJECUCION'!$J$9:$J$1208,0)),""),'CAT_ESTADOS_ERP'!$A$4:$A$22,0)),"Pendiente"))</f>
        <v/>
      </c>
      <c r="O126" s="24">
        <f>IF($J126="","",YEAR($J126+4-WEEKDAY($J126,2))&amp;"-S"&amp;TEXT(_xlfn.ISOWEEKNUM($J126),"00"))</f>
        <v/>
      </c>
      <c r="P126" s="24">
        <f>IF($J126="","",YEAR($J126))</f>
        <v/>
      </c>
      <c r="Q126" s="24">
        <f>IF($J126="","",MONTH($J126))</f>
        <v/>
      </c>
      <c r="R126" s="24">
        <f>IF($J126="","",$P126&amp;"-"&amp;TEXT($Q126,"00"))</f>
        <v/>
      </c>
      <c r="S126" s="24">
        <f>IF($J126="","",INDEX(lista_dias,WEEKDAY($J126,2)))</f>
        <v/>
      </c>
      <c r="T126" s="24">
        <f>IF($J126="","",IFERROR(INDEX('CALENDARIO'!$C$15:$C$214,MATCH(TEXT($J126,"yyyy-mm-dd")&amp;"|"&amp;$Y126&amp;"|"&amp;$Z126,'CALENDARIO'!$G$15:$G$214,0)),IFERROR(INDEX('CALENDARIO'!$C$15:$C$214,MATCH(TEXT($J126,"yyyy-mm-dd")&amp;"|"&amp;$Y126&amp;"|",'CALENDARIO'!$G$15:$G$214,0)),IFERROR(INDEX('CALENDARIO'!$C$15:$C$214,MATCH(TEXT($J126,"yyyy-mm-dd")&amp;"||",'CALENDARIO'!$G$15:$G$214,0)),INDEX(patronHabil,WEEKDAY($J126,2))))))</f>
        <v/>
      </c>
      <c r="U126" s="24">
        <f>IF($I126="","",IFERROR(INDEX('CAT_TIPOS_OT'!$C$4:$C$23,MATCH($I126,'CAT_TIPOS_OT'!$A$4:$A$23,0)),"sin_clasificar"))</f>
        <v/>
      </c>
      <c r="V126" s="24">
        <f>IF($I126="","",IF(IFERROR(INDEX('CAT_TIPOS_OT'!$D$4:$D$23,MATCH($I126,'CAT_TIPOS_OT'!$A$4:$A$23,0)),"SIN CLASIFICAR")="","SIN CLASIFICAR",IFERROR(INDEX('CAT_TIPOS_OT'!$D$4:$D$23,MATCH($I126,'CAT_TIPOS_OT'!$A$4:$A$23,0)),"SIN CLASIFICAR")))</f>
        <v/>
      </c>
      <c r="W126" s="24">
        <f>IF($H126="","",IF(IFERROR(INDEX('CAT_ACTIVIDADES'!$F$4:$F$26,MATCH($H126,'CAT_ACTIVIDADES'!$A$4:$A$26,0)),"")=0,"",IFERROR(INDEX('CAT_ACTIVIDADES'!$F$4:$F$26,MATCH($H126,'CAT_ACTIVIDADES'!$A$4:$A$26,0)),"")))</f>
        <v/>
      </c>
      <c r="X126" s="24">
        <f>IF($F126="","",IFERROR(INDEX('CAT_CENTROS_COSTO'!$F$4:$F$28,MATCH($F126,'CAT_CENTROS_COSTO'!$A$4:$A$28,0)),"(sin catálogo)"))</f>
        <v/>
      </c>
      <c r="Y126" s="24">
        <f>IF($F126="","",IFERROR(INDEX('CAT_CENTROS_COSTO'!$D$4:$D$28,MATCH($F126,'CAT_CENTROS_COSTO'!$A$4:$A$28,0)),"(sin catálogo)"))</f>
        <v/>
      </c>
      <c r="Z126" s="24">
        <f>IF($F126="","",IF((IFERROR(INDEX('CAT_CENTROS_COSTO'!$E$4:$E$28,MATCH($F126,'CAT_CENTROS_COSTO'!$A$4:$A$28,0)),""))&lt;&gt;"",IFERROR(INDEX('CAT_CENTROS_COSTO'!$E$4:$E$28,MATCH($F126,'CAT_CENTROS_COSTO'!$A$4:$A$28,0)),""),$Y126))</f>
        <v/>
      </c>
      <c r="AA126" s="24">
        <f>IF($F126="","",IFERROR(INDEX('CAT_CENTROS_COSTO'!$G$4:$G$28,MATCH($F126,'CAT_CENTROS_COSTO'!$A$4:$A$28,0)),"(sin catálogo)"))</f>
        <v/>
      </c>
      <c r="AB126" s="24">
        <f>IF($G126="","",IFERROR(INDEX('CAT_PUESTOS'!$B$4:$B$23,MATCH($G126,'CAT_PUESTOS'!$A$4:$A$23,0)),"(sin catálogo)"))</f>
        <v/>
      </c>
      <c r="AC126" s="24">
        <f>IF($H126="","",IFERROR(INDEX('CAT_ACTIVIDADES'!$B$4:$B$26,MATCH($H126,'CAT_ACTIVIDADES'!$A$4:$A$26,0)),"(sin catálogo)"))</f>
        <v/>
      </c>
      <c r="AD126" s="26">
        <f>IF($J126="","",TODAY()-$J126)</f>
        <v/>
      </c>
      <c r="AE126" s="26">
        <f>IF($J126="","",IF($J126&lt;=TODAY(),COUNTIFS(cal_fechas,"&gt;="&amp;$J126,cal_fechas,"&lt;"&amp;TODAY(),cal_habil,"sí"),-COUNTIFS(cal_fechas,"&gt;="&amp;TODAY(),cal_fechas,"&lt;"&amp;$J126,cal_habil,"sí")))</f>
        <v/>
      </c>
      <c r="AF126" s="24">
        <f>IF($AE126="","",IF($AE126&lt;0,"FUTURO",IF($AE126&gt;p_dias_backlog_max,"BACKLOG","MES CORRIENTE")))</f>
        <v/>
      </c>
      <c r="AG126" s="24">
        <f>IF($AE126="",FALSE,AND($AE126&gt;p_dias_backlog_min,$AE126&lt;=p_dias_backlog_max))</f>
        <v/>
      </c>
      <c r="AH126" s="4" t="n"/>
      <c r="AI126" s="24">
        <f>IF($AH126="","",IF((IFERROR(INDEX('ASIGNACIONES'!$J$4:$J$451,MATCH($O126&amp;"|"&amp;$S126&amp;"|"&amp;$AH126,'ASIGNACIONES'!$N$4:$N$451,0)),""))=0,"",IFERROR(INDEX('ASIGNACIONES'!$J$4:$J$451,MATCH($O126&amp;"|"&amp;$S126&amp;"|"&amp;$AH126,'ASIGNACIONES'!$N$4:$N$451,0)),"")))</f>
        <v/>
      </c>
      <c r="AJ126" s="42">
        <f>IF($AH126="","",SUMIFS('ORDENES'!$M$4:$M$1203,'ORDENES'!$AH$4:$AH$1203,$AH126,'ORDENES'!$O$4:$O$1203,$O126,'ORDENES'!$S$4:$S$1203,$S126))</f>
        <v/>
      </c>
      <c r="AK126" s="42">
        <f>IF($AJ126="","",p_factor_productividad*IFERROR(INDEX('ASIGNACIONES'!$M$4:$M$451,MATCH($O126&amp;"|"&amp;$S126&amp;"|"&amp;$AH126,'ASIGNACIONES'!$N$4:$N$451,0)),0)-$AJ126)</f>
        <v/>
      </c>
      <c r="AL126" s="32">
        <f>IF($A126="","",IFERROR(INDEX('2_IMPORTAR_EJECUCION'!$F$9:$F$1208,MATCH($AU126,'2_IMPORTAR_EJECUCION'!$J$9:$J$1208,0)),0))</f>
        <v/>
      </c>
      <c r="AM126" s="32">
        <f>IF($A126="","",MAX(0,IFERROR(INDEX('2_IMPORTAR_EJECUCION'!$H$9:$H$1208,MATCH($AU126,'2_IMPORTAR_EJECUCION'!$J$9:$J$1208,0)),0)-$AL126))</f>
        <v/>
      </c>
      <c r="AN126" s="32">
        <f>IF($A126="","",$AL126+$AM126)</f>
        <v/>
      </c>
      <c r="AO126" s="24">
        <f>IF($A126="","",IF(OR((IFERROR(INDEX('CAT_ACTIVIDADES'!$D$4:$D$26,MATCH($H126,'CAT_ACTIVIDADES'!$A$4:$A$26,0)),""))=0,(IFERROR(INDEX('CAT_ACTIVIDADES'!$D$4:$D$26,MATCH($H126,'CAT_ACTIVIDADES'!$A$4:$A$26,0)),""))=""),"SIN CLASIFICAR",IFERROR(INDEX('CAT_ACTIVIDADES'!$D$4:$D$26,MATCH($H126,'CAT_ACTIVIDADES'!$A$4:$A$26,0)),"")))</f>
        <v/>
      </c>
      <c r="AP126" s="4" t="n"/>
      <c r="AQ126" s="4" t="n"/>
      <c r="AR126" s="4" t="n"/>
      <c r="AS126" s="24">
        <f>IF($AR126="","",HYPERLINK(p_ruta_base_checklists&amp;$AR126,"abrir"))</f>
        <v/>
      </c>
      <c r="AT126" s="4" t="n"/>
      <c r="AU126" s="24">
        <f>IF($A126="","",$A126&amp;IF($B126="","0010",$B126))</f>
        <v/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41" t="n"/>
      <c r="K127" s="5" t="n"/>
      <c r="L127" s="18" t="n"/>
      <c r="M127" s="24">
        <f>IF($A127="","",IFERROR(INDEX('AJUSTES'!$B$4:$B$303,MATCH($AU127,'AJUSTES'!$A$4:$A$303,0)),IF($K127="","",$K127)))</f>
        <v/>
      </c>
      <c r="N127" s="24">
        <f>IF($A127="","",IFERROR(INDEX('CAT_ESTADOS_ERP'!$B$4:$B$22,MATCH(IFERROR(INDEX('2_IMPORTAR_EJECUCION'!$C$9:$C$1208,MATCH($AU127,'2_IMPORTAR_EJECUCION'!$J$9:$J$1208,0)),""),'CAT_ESTADOS_ERP'!$A$4:$A$22,0)),"Pendiente"))</f>
        <v/>
      </c>
      <c r="O127" s="24">
        <f>IF($J127="","",YEAR($J127+4-WEEKDAY($J127,2))&amp;"-S"&amp;TEXT(_xlfn.ISOWEEKNUM($J127),"00"))</f>
        <v/>
      </c>
      <c r="P127" s="24">
        <f>IF($J127="","",YEAR($J127))</f>
        <v/>
      </c>
      <c r="Q127" s="24">
        <f>IF($J127="","",MONTH($J127))</f>
        <v/>
      </c>
      <c r="R127" s="24">
        <f>IF($J127="","",$P127&amp;"-"&amp;TEXT($Q127,"00"))</f>
        <v/>
      </c>
      <c r="S127" s="24">
        <f>IF($J127="","",INDEX(lista_dias,WEEKDAY($J127,2)))</f>
        <v/>
      </c>
      <c r="T127" s="24">
        <f>IF($J127="","",IFERROR(INDEX('CALENDARIO'!$C$15:$C$214,MATCH(TEXT($J127,"yyyy-mm-dd")&amp;"|"&amp;$Y127&amp;"|"&amp;$Z127,'CALENDARIO'!$G$15:$G$214,0)),IFERROR(INDEX('CALENDARIO'!$C$15:$C$214,MATCH(TEXT($J127,"yyyy-mm-dd")&amp;"|"&amp;$Y127&amp;"|",'CALENDARIO'!$G$15:$G$214,0)),IFERROR(INDEX('CALENDARIO'!$C$15:$C$214,MATCH(TEXT($J127,"yyyy-mm-dd")&amp;"||",'CALENDARIO'!$G$15:$G$214,0)),INDEX(patronHabil,WEEKDAY($J127,2))))))</f>
        <v/>
      </c>
      <c r="U127" s="24">
        <f>IF($I127="","",IFERROR(INDEX('CAT_TIPOS_OT'!$C$4:$C$23,MATCH($I127,'CAT_TIPOS_OT'!$A$4:$A$23,0)),"sin_clasificar"))</f>
        <v/>
      </c>
      <c r="V127" s="24">
        <f>IF($I127="","",IF(IFERROR(INDEX('CAT_TIPOS_OT'!$D$4:$D$23,MATCH($I127,'CAT_TIPOS_OT'!$A$4:$A$23,0)),"SIN CLASIFICAR")="","SIN CLASIFICAR",IFERROR(INDEX('CAT_TIPOS_OT'!$D$4:$D$23,MATCH($I127,'CAT_TIPOS_OT'!$A$4:$A$23,0)),"SIN CLASIFICAR")))</f>
        <v/>
      </c>
      <c r="W127" s="24">
        <f>IF($H127="","",IF(IFERROR(INDEX('CAT_ACTIVIDADES'!$F$4:$F$26,MATCH($H127,'CAT_ACTIVIDADES'!$A$4:$A$26,0)),"")=0,"",IFERROR(INDEX('CAT_ACTIVIDADES'!$F$4:$F$26,MATCH($H127,'CAT_ACTIVIDADES'!$A$4:$A$26,0)),"")))</f>
        <v/>
      </c>
      <c r="X127" s="24">
        <f>IF($F127="","",IFERROR(INDEX('CAT_CENTROS_COSTO'!$F$4:$F$28,MATCH($F127,'CAT_CENTROS_COSTO'!$A$4:$A$28,0)),"(sin catálogo)"))</f>
        <v/>
      </c>
      <c r="Y127" s="24">
        <f>IF($F127="","",IFERROR(INDEX('CAT_CENTROS_COSTO'!$D$4:$D$28,MATCH($F127,'CAT_CENTROS_COSTO'!$A$4:$A$28,0)),"(sin catálogo)"))</f>
        <v/>
      </c>
      <c r="Z127" s="24">
        <f>IF($F127="","",IF((IFERROR(INDEX('CAT_CENTROS_COSTO'!$E$4:$E$28,MATCH($F127,'CAT_CENTROS_COSTO'!$A$4:$A$28,0)),""))&lt;&gt;"",IFERROR(INDEX('CAT_CENTROS_COSTO'!$E$4:$E$28,MATCH($F127,'CAT_CENTROS_COSTO'!$A$4:$A$28,0)),""),$Y127))</f>
        <v/>
      </c>
      <c r="AA127" s="24">
        <f>IF($F127="","",IFERROR(INDEX('CAT_CENTROS_COSTO'!$G$4:$G$28,MATCH($F127,'CAT_CENTROS_COSTO'!$A$4:$A$28,0)),"(sin catálogo)"))</f>
        <v/>
      </c>
      <c r="AB127" s="24">
        <f>IF($G127="","",IFERROR(INDEX('CAT_PUESTOS'!$B$4:$B$23,MATCH($G127,'CAT_PUESTOS'!$A$4:$A$23,0)),"(sin catálogo)"))</f>
        <v/>
      </c>
      <c r="AC127" s="24">
        <f>IF($H127="","",IFERROR(INDEX('CAT_ACTIVIDADES'!$B$4:$B$26,MATCH($H127,'CAT_ACTIVIDADES'!$A$4:$A$26,0)),"(sin catálogo)"))</f>
        <v/>
      </c>
      <c r="AD127" s="26">
        <f>IF($J127="","",TODAY()-$J127)</f>
        <v/>
      </c>
      <c r="AE127" s="26">
        <f>IF($J127="","",IF($J127&lt;=TODAY(),COUNTIFS(cal_fechas,"&gt;="&amp;$J127,cal_fechas,"&lt;"&amp;TODAY(),cal_habil,"sí"),-COUNTIFS(cal_fechas,"&gt;="&amp;TODAY(),cal_fechas,"&lt;"&amp;$J127,cal_habil,"sí")))</f>
        <v/>
      </c>
      <c r="AF127" s="24">
        <f>IF($AE127="","",IF($AE127&lt;0,"FUTURO",IF($AE127&gt;p_dias_backlog_max,"BACKLOG","MES CORRIENTE")))</f>
        <v/>
      </c>
      <c r="AG127" s="24">
        <f>IF($AE127="",FALSE,AND($AE127&gt;p_dias_backlog_min,$AE127&lt;=p_dias_backlog_max))</f>
        <v/>
      </c>
      <c r="AH127" s="4" t="n"/>
      <c r="AI127" s="24">
        <f>IF($AH127="","",IF((IFERROR(INDEX('ASIGNACIONES'!$J$4:$J$451,MATCH($O127&amp;"|"&amp;$S127&amp;"|"&amp;$AH127,'ASIGNACIONES'!$N$4:$N$451,0)),""))=0,"",IFERROR(INDEX('ASIGNACIONES'!$J$4:$J$451,MATCH($O127&amp;"|"&amp;$S127&amp;"|"&amp;$AH127,'ASIGNACIONES'!$N$4:$N$451,0)),"")))</f>
        <v/>
      </c>
      <c r="AJ127" s="42">
        <f>IF($AH127="","",SUMIFS('ORDENES'!$M$4:$M$1203,'ORDENES'!$AH$4:$AH$1203,$AH127,'ORDENES'!$O$4:$O$1203,$O127,'ORDENES'!$S$4:$S$1203,$S127))</f>
        <v/>
      </c>
      <c r="AK127" s="42">
        <f>IF($AJ127="","",p_factor_productividad*IFERROR(INDEX('ASIGNACIONES'!$M$4:$M$451,MATCH($O127&amp;"|"&amp;$S127&amp;"|"&amp;$AH127,'ASIGNACIONES'!$N$4:$N$451,0)),0)-$AJ127)</f>
        <v/>
      </c>
      <c r="AL127" s="32">
        <f>IF($A127="","",IFERROR(INDEX('2_IMPORTAR_EJECUCION'!$F$9:$F$1208,MATCH($AU127,'2_IMPORTAR_EJECUCION'!$J$9:$J$1208,0)),0))</f>
        <v/>
      </c>
      <c r="AM127" s="32">
        <f>IF($A127="","",MAX(0,IFERROR(INDEX('2_IMPORTAR_EJECUCION'!$H$9:$H$1208,MATCH($AU127,'2_IMPORTAR_EJECUCION'!$J$9:$J$1208,0)),0)-$AL127))</f>
        <v/>
      </c>
      <c r="AN127" s="32">
        <f>IF($A127="","",$AL127+$AM127)</f>
        <v/>
      </c>
      <c r="AO127" s="24">
        <f>IF($A127="","",IF(OR((IFERROR(INDEX('CAT_ACTIVIDADES'!$D$4:$D$26,MATCH($H127,'CAT_ACTIVIDADES'!$A$4:$A$26,0)),""))=0,(IFERROR(INDEX('CAT_ACTIVIDADES'!$D$4:$D$26,MATCH($H127,'CAT_ACTIVIDADES'!$A$4:$A$26,0)),""))=""),"SIN CLASIFICAR",IFERROR(INDEX('CAT_ACTIVIDADES'!$D$4:$D$26,MATCH($H127,'CAT_ACTIVIDADES'!$A$4:$A$26,0)),"")))</f>
        <v/>
      </c>
      <c r="AP127" s="4" t="n"/>
      <c r="AQ127" s="4" t="n"/>
      <c r="AR127" s="4" t="n"/>
      <c r="AS127" s="24">
        <f>IF($AR127="","",HYPERLINK(p_ruta_base_checklists&amp;$AR127,"abrir"))</f>
        <v/>
      </c>
      <c r="AT127" s="4" t="n"/>
      <c r="AU127" s="24">
        <f>IF($A127="","",$A127&amp;IF($B127="","0010",$B127))</f>
        <v/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41" t="n"/>
      <c r="K128" s="5" t="n"/>
      <c r="L128" s="18" t="n"/>
      <c r="M128" s="24">
        <f>IF($A128="","",IFERROR(INDEX('AJUSTES'!$B$4:$B$303,MATCH($AU128,'AJUSTES'!$A$4:$A$303,0)),IF($K128="","",$K128)))</f>
        <v/>
      </c>
      <c r="N128" s="24">
        <f>IF($A128="","",IFERROR(INDEX('CAT_ESTADOS_ERP'!$B$4:$B$22,MATCH(IFERROR(INDEX('2_IMPORTAR_EJECUCION'!$C$9:$C$1208,MATCH($AU128,'2_IMPORTAR_EJECUCION'!$J$9:$J$1208,0)),""),'CAT_ESTADOS_ERP'!$A$4:$A$22,0)),"Pendiente"))</f>
        <v/>
      </c>
      <c r="O128" s="24">
        <f>IF($J128="","",YEAR($J128+4-WEEKDAY($J128,2))&amp;"-S"&amp;TEXT(_xlfn.ISOWEEKNUM($J128),"00"))</f>
        <v/>
      </c>
      <c r="P128" s="24">
        <f>IF($J128="","",YEAR($J128))</f>
        <v/>
      </c>
      <c r="Q128" s="24">
        <f>IF($J128="","",MONTH($J128))</f>
        <v/>
      </c>
      <c r="R128" s="24">
        <f>IF($J128="","",$P128&amp;"-"&amp;TEXT($Q128,"00"))</f>
        <v/>
      </c>
      <c r="S128" s="24">
        <f>IF($J128="","",INDEX(lista_dias,WEEKDAY($J128,2)))</f>
        <v/>
      </c>
      <c r="T128" s="24">
        <f>IF($J128="","",IFERROR(INDEX('CALENDARIO'!$C$15:$C$214,MATCH(TEXT($J128,"yyyy-mm-dd")&amp;"|"&amp;$Y128&amp;"|"&amp;$Z128,'CALENDARIO'!$G$15:$G$214,0)),IFERROR(INDEX('CALENDARIO'!$C$15:$C$214,MATCH(TEXT($J128,"yyyy-mm-dd")&amp;"|"&amp;$Y128&amp;"|",'CALENDARIO'!$G$15:$G$214,0)),IFERROR(INDEX('CALENDARIO'!$C$15:$C$214,MATCH(TEXT($J128,"yyyy-mm-dd")&amp;"||",'CALENDARIO'!$G$15:$G$214,0)),INDEX(patronHabil,WEEKDAY($J128,2))))))</f>
        <v/>
      </c>
      <c r="U128" s="24">
        <f>IF($I128="","",IFERROR(INDEX('CAT_TIPOS_OT'!$C$4:$C$23,MATCH($I128,'CAT_TIPOS_OT'!$A$4:$A$23,0)),"sin_clasificar"))</f>
        <v/>
      </c>
      <c r="V128" s="24">
        <f>IF($I128="","",IF(IFERROR(INDEX('CAT_TIPOS_OT'!$D$4:$D$23,MATCH($I128,'CAT_TIPOS_OT'!$A$4:$A$23,0)),"SIN CLASIFICAR")="","SIN CLASIFICAR",IFERROR(INDEX('CAT_TIPOS_OT'!$D$4:$D$23,MATCH($I128,'CAT_TIPOS_OT'!$A$4:$A$23,0)),"SIN CLASIFICAR")))</f>
        <v/>
      </c>
      <c r="W128" s="24">
        <f>IF($H128="","",IF(IFERROR(INDEX('CAT_ACTIVIDADES'!$F$4:$F$26,MATCH($H128,'CAT_ACTIVIDADES'!$A$4:$A$26,0)),"")=0,"",IFERROR(INDEX('CAT_ACTIVIDADES'!$F$4:$F$26,MATCH($H128,'CAT_ACTIVIDADES'!$A$4:$A$26,0)),"")))</f>
        <v/>
      </c>
      <c r="X128" s="24">
        <f>IF($F128="","",IFERROR(INDEX('CAT_CENTROS_COSTO'!$F$4:$F$28,MATCH($F128,'CAT_CENTROS_COSTO'!$A$4:$A$28,0)),"(sin catálogo)"))</f>
        <v/>
      </c>
      <c r="Y128" s="24">
        <f>IF($F128="","",IFERROR(INDEX('CAT_CENTROS_COSTO'!$D$4:$D$28,MATCH($F128,'CAT_CENTROS_COSTO'!$A$4:$A$28,0)),"(sin catálogo)"))</f>
        <v/>
      </c>
      <c r="Z128" s="24">
        <f>IF($F128="","",IF((IFERROR(INDEX('CAT_CENTROS_COSTO'!$E$4:$E$28,MATCH($F128,'CAT_CENTROS_COSTO'!$A$4:$A$28,0)),""))&lt;&gt;"",IFERROR(INDEX('CAT_CENTROS_COSTO'!$E$4:$E$28,MATCH($F128,'CAT_CENTROS_COSTO'!$A$4:$A$28,0)),""),$Y128))</f>
        <v/>
      </c>
      <c r="AA128" s="24">
        <f>IF($F128="","",IFERROR(INDEX('CAT_CENTROS_COSTO'!$G$4:$G$28,MATCH($F128,'CAT_CENTROS_COSTO'!$A$4:$A$28,0)),"(sin catálogo)"))</f>
        <v/>
      </c>
      <c r="AB128" s="24">
        <f>IF($G128="","",IFERROR(INDEX('CAT_PUESTOS'!$B$4:$B$23,MATCH($G128,'CAT_PUESTOS'!$A$4:$A$23,0)),"(sin catálogo)"))</f>
        <v/>
      </c>
      <c r="AC128" s="24">
        <f>IF($H128="","",IFERROR(INDEX('CAT_ACTIVIDADES'!$B$4:$B$26,MATCH($H128,'CAT_ACTIVIDADES'!$A$4:$A$26,0)),"(sin catálogo)"))</f>
        <v/>
      </c>
      <c r="AD128" s="26">
        <f>IF($J128="","",TODAY()-$J128)</f>
        <v/>
      </c>
      <c r="AE128" s="26">
        <f>IF($J128="","",IF($J128&lt;=TODAY(),COUNTIFS(cal_fechas,"&gt;="&amp;$J128,cal_fechas,"&lt;"&amp;TODAY(),cal_habil,"sí"),-COUNTIFS(cal_fechas,"&gt;="&amp;TODAY(),cal_fechas,"&lt;"&amp;$J128,cal_habil,"sí")))</f>
        <v/>
      </c>
      <c r="AF128" s="24">
        <f>IF($AE128="","",IF($AE128&lt;0,"FUTURO",IF($AE128&gt;p_dias_backlog_max,"BACKLOG","MES CORRIENTE")))</f>
        <v/>
      </c>
      <c r="AG128" s="24">
        <f>IF($AE128="",FALSE,AND($AE128&gt;p_dias_backlog_min,$AE128&lt;=p_dias_backlog_max))</f>
        <v/>
      </c>
      <c r="AH128" s="4" t="n"/>
      <c r="AI128" s="24">
        <f>IF($AH128="","",IF((IFERROR(INDEX('ASIGNACIONES'!$J$4:$J$451,MATCH($O128&amp;"|"&amp;$S128&amp;"|"&amp;$AH128,'ASIGNACIONES'!$N$4:$N$451,0)),""))=0,"",IFERROR(INDEX('ASIGNACIONES'!$J$4:$J$451,MATCH($O128&amp;"|"&amp;$S128&amp;"|"&amp;$AH128,'ASIGNACIONES'!$N$4:$N$451,0)),"")))</f>
        <v/>
      </c>
      <c r="AJ128" s="42">
        <f>IF($AH128="","",SUMIFS('ORDENES'!$M$4:$M$1203,'ORDENES'!$AH$4:$AH$1203,$AH128,'ORDENES'!$O$4:$O$1203,$O128,'ORDENES'!$S$4:$S$1203,$S128))</f>
        <v/>
      </c>
      <c r="AK128" s="42">
        <f>IF($AJ128="","",p_factor_productividad*IFERROR(INDEX('ASIGNACIONES'!$M$4:$M$451,MATCH($O128&amp;"|"&amp;$S128&amp;"|"&amp;$AH128,'ASIGNACIONES'!$N$4:$N$451,0)),0)-$AJ128)</f>
        <v/>
      </c>
      <c r="AL128" s="32">
        <f>IF($A128="","",IFERROR(INDEX('2_IMPORTAR_EJECUCION'!$F$9:$F$1208,MATCH($AU128,'2_IMPORTAR_EJECUCION'!$J$9:$J$1208,0)),0))</f>
        <v/>
      </c>
      <c r="AM128" s="32">
        <f>IF($A128="","",MAX(0,IFERROR(INDEX('2_IMPORTAR_EJECUCION'!$H$9:$H$1208,MATCH($AU128,'2_IMPORTAR_EJECUCION'!$J$9:$J$1208,0)),0)-$AL128))</f>
        <v/>
      </c>
      <c r="AN128" s="32">
        <f>IF($A128="","",$AL128+$AM128)</f>
        <v/>
      </c>
      <c r="AO128" s="24">
        <f>IF($A128="","",IF(OR((IFERROR(INDEX('CAT_ACTIVIDADES'!$D$4:$D$26,MATCH($H128,'CAT_ACTIVIDADES'!$A$4:$A$26,0)),""))=0,(IFERROR(INDEX('CAT_ACTIVIDADES'!$D$4:$D$26,MATCH($H128,'CAT_ACTIVIDADES'!$A$4:$A$26,0)),""))=""),"SIN CLASIFICAR",IFERROR(INDEX('CAT_ACTIVIDADES'!$D$4:$D$26,MATCH($H128,'CAT_ACTIVIDADES'!$A$4:$A$26,0)),"")))</f>
        <v/>
      </c>
      <c r="AP128" s="4" t="n"/>
      <c r="AQ128" s="4" t="n"/>
      <c r="AR128" s="4" t="n"/>
      <c r="AS128" s="24">
        <f>IF($AR128="","",HYPERLINK(p_ruta_base_checklists&amp;$AR128,"abrir"))</f>
        <v/>
      </c>
      <c r="AT128" s="4" t="n"/>
      <c r="AU128" s="24">
        <f>IF($A128="","",$A128&amp;IF($B128="","0010",$B128))</f>
        <v/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41" t="n"/>
      <c r="K129" s="5" t="n"/>
      <c r="L129" s="18" t="n"/>
      <c r="M129" s="24">
        <f>IF($A129="","",IFERROR(INDEX('AJUSTES'!$B$4:$B$303,MATCH($AU129,'AJUSTES'!$A$4:$A$303,0)),IF($K129="","",$K129)))</f>
        <v/>
      </c>
      <c r="N129" s="24">
        <f>IF($A129="","",IFERROR(INDEX('CAT_ESTADOS_ERP'!$B$4:$B$22,MATCH(IFERROR(INDEX('2_IMPORTAR_EJECUCION'!$C$9:$C$1208,MATCH($AU129,'2_IMPORTAR_EJECUCION'!$J$9:$J$1208,0)),""),'CAT_ESTADOS_ERP'!$A$4:$A$22,0)),"Pendiente"))</f>
        <v/>
      </c>
      <c r="O129" s="24">
        <f>IF($J129="","",YEAR($J129+4-WEEKDAY($J129,2))&amp;"-S"&amp;TEXT(_xlfn.ISOWEEKNUM($J129),"00"))</f>
        <v/>
      </c>
      <c r="P129" s="24">
        <f>IF($J129="","",YEAR($J129))</f>
        <v/>
      </c>
      <c r="Q129" s="24">
        <f>IF($J129="","",MONTH($J129))</f>
        <v/>
      </c>
      <c r="R129" s="24">
        <f>IF($J129="","",$P129&amp;"-"&amp;TEXT($Q129,"00"))</f>
        <v/>
      </c>
      <c r="S129" s="24">
        <f>IF($J129="","",INDEX(lista_dias,WEEKDAY($J129,2)))</f>
        <v/>
      </c>
      <c r="T129" s="24">
        <f>IF($J129="","",IFERROR(INDEX('CALENDARIO'!$C$15:$C$214,MATCH(TEXT($J129,"yyyy-mm-dd")&amp;"|"&amp;$Y129&amp;"|"&amp;$Z129,'CALENDARIO'!$G$15:$G$214,0)),IFERROR(INDEX('CALENDARIO'!$C$15:$C$214,MATCH(TEXT($J129,"yyyy-mm-dd")&amp;"|"&amp;$Y129&amp;"|",'CALENDARIO'!$G$15:$G$214,0)),IFERROR(INDEX('CALENDARIO'!$C$15:$C$214,MATCH(TEXT($J129,"yyyy-mm-dd")&amp;"||",'CALENDARIO'!$G$15:$G$214,0)),INDEX(patronHabil,WEEKDAY($J129,2))))))</f>
        <v/>
      </c>
      <c r="U129" s="24">
        <f>IF($I129="","",IFERROR(INDEX('CAT_TIPOS_OT'!$C$4:$C$23,MATCH($I129,'CAT_TIPOS_OT'!$A$4:$A$23,0)),"sin_clasificar"))</f>
        <v/>
      </c>
      <c r="V129" s="24">
        <f>IF($I129="","",IF(IFERROR(INDEX('CAT_TIPOS_OT'!$D$4:$D$23,MATCH($I129,'CAT_TIPOS_OT'!$A$4:$A$23,0)),"SIN CLASIFICAR")="","SIN CLASIFICAR",IFERROR(INDEX('CAT_TIPOS_OT'!$D$4:$D$23,MATCH($I129,'CAT_TIPOS_OT'!$A$4:$A$23,0)),"SIN CLASIFICAR")))</f>
        <v/>
      </c>
      <c r="W129" s="24">
        <f>IF($H129="","",IF(IFERROR(INDEX('CAT_ACTIVIDADES'!$F$4:$F$26,MATCH($H129,'CAT_ACTIVIDADES'!$A$4:$A$26,0)),"")=0,"",IFERROR(INDEX('CAT_ACTIVIDADES'!$F$4:$F$26,MATCH($H129,'CAT_ACTIVIDADES'!$A$4:$A$26,0)),"")))</f>
        <v/>
      </c>
      <c r="X129" s="24">
        <f>IF($F129="","",IFERROR(INDEX('CAT_CENTROS_COSTO'!$F$4:$F$28,MATCH($F129,'CAT_CENTROS_COSTO'!$A$4:$A$28,0)),"(sin catálogo)"))</f>
        <v/>
      </c>
      <c r="Y129" s="24">
        <f>IF($F129="","",IFERROR(INDEX('CAT_CENTROS_COSTO'!$D$4:$D$28,MATCH($F129,'CAT_CENTROS_COSTO'!$A$4:$A$28,0)),"(sin catálogo)"))</f>
        <v/>
      </c>
      <c r="Z129" s="24">
        <f>IF($F129="","",IF((IFERROR(INDEX('CAT_CENTROS_COSTO'!$E$4:$E$28,MATCH($F129,'CAT_CENTROS_COSTO'!$A$4:$A$28,0)),""))&lt;&gt;"",IFERROR(INDEX('CAT_CENTROS_COSTO'!$E$4:$E$28,MATCH($F129,'CAT_CENTROS_COSTO'!$A$4:$A$28,0)),""),$Y129))</f>
        <v/>
      </c>
      <c r="AA129" s="24">
        <f>IF($F129="","",IFERROR(INDEX('CAT_CENTROS_COSTO'!$G$4:$G$28,MATCH($F129,'CAT_CENTROS_COSTO'!$A$4:$A$28,0)),"(sin catálogo)"))</f>
        <v/>
      </c>
      <c r="AB129" s="24">
        <f>IF($G129="","",IFERROR(INDEX('CAT_PUESTOS'!$B$4:$B$23,MATCH($G129,'CAT_PUESTOS'!$A$4:$A$23,0)),"(sin catálogo)"))</f>
        <v/>
      </c>
      <c r="AC129" s="24">
        <f>IF($H129="","",IFERROR(INDEX('CAT_ACTIVIDADES'!$B$4:$B$26,MATCH($H129,'CAT_ACTIVIDADES'!$A$4:$A$26,0)),"(sin catálogo)"))</f>
        <v/>
      </c>
      <c r="AD129" s="26">
        <f>IF($J129="","",TODAY()-$J129)</f>
        <v/>
      </c>
      <c r="AE129" s="26">
        <f>IF($J129="","",IF($J129&lt;=TODAY(),COUNTIFS(cal_fechas,"&gt;="&amp;$J129,cal_fechas,"&lt;"&amp;TODAY(),cal_habil,"sí"),-COUNTIFS(cal_fechas,"&gt;="&amp;TODAY(),cal_fechas,"&lt;"&amp;$J129,cal_habil,"sí")))</f>
        <v/>
      </c>
      <c r="AF129" s="24">
        <f>IF($AE129="","",IF($AE129&lt;0,"FUTURO",IF($AE129&gt;p_dias_backlog_max,"BACKLOG","MES CORRIENTE")))</f>
        <v/>
      </c>
      <c r="AG129" s="24">
        <f>IF($AE129="",FALSE,AND($AE129&gt;p_dias_backlog_min,$AE129&lt;=p_dias_backlog_max))</f>
        <v/>
      </c>
      <c r="AH129" s="4" t="n"/>
      <c r="AI129" s="24">
        <f>IF($AH129="","",IF((IFERROR(INDEX('ASIGNACIONES'!$J$4:$J$451,MATCH($O129&amp;"|"&amp;$S129&amp;"|"&amp;$AH129,'ASIGNACIONES'!$N$4:$N$451,0)),""))=0,"",IFERROR(INDEX('ASIGNACIONES'!$J$4:$J$451,MATCH($O129&amp;"|"&amp;$S129&amp;"|"&amp;$AH129,'ASIGNACIONES'!$N$4:$N$451,0)),"")))</f>
        <v/>
      </c>
      <c r="AJ129" s="42">
        <f>IF($AH129="","",SUMIFS('ORDENES'!$M$4:$M$1203,'ORDENES'!$AH$4:$AH$1203,$AH129,'ORDENES'!$O$4:$O$1203,$O129,'ORDENES'!$S$4:$S$1203,$S129))</f>
        <v/>
      </c>
      <c r="AK129" s="42">
        <f>IF($AJ129="","",p_factor_productividad*IFERROR(INDEX('ASIGNACIONES'!$M$4:$M$451,MATCH($O129&amp;"|"&amp;$S129&amp;"|"&amp;$AH129,'ASIGNACIONES'!$N$4:$N$451,0)),0)-$AJ129)</f>
        <v/>
      </c>
      <c r="AL129" s="32">
        <f>IF($A129="","",IFERROR(INDEX('2_IMPORTAR_EJECUCION'!$F$9:$F$1208,MATCH($AU129,'2_IMPORTAR_EJECUCION'!$J$9:$J$1208,0)),0))</f>
        <v/>
      </c>
      <c r="AM129" s="32">
        <f>IF($A129="","",MAX(0,IFERROR(INDEX('2_IMPORTAR_EJECUCION'!$H$9:$H$1208,MATCH($AU129,'2_IMPORTAR_EJECUCION'!$J$9:$J$1208,0)),0)-$AL129))</f>
        <v/>
      </c>
      <c r="AN129" s="32">
        <f>IF($A129="","",$AL129+$AM129)</f>
        <v/>
      </c>
      <c r="AO129" s="24">
        <f>IF($A129="","",IF(OR((IFERROR(INDEX('CAT_ACTIVIDADES'!$D$4:$D$26,MATCH($H129,'CAT_ACTIVIDADES'!$A$4:$A$26,0)),""))=0,(IFERROR(INDEX('CAT_ACTIVIDADES'!$D$4:$D$26,MATCH($H129,'CAT_ACTIVIDADES'!$A$4:$A$26,0)),""))=""),"SIN CLASIFICAR",IFERROR(INDEX('CAT_ACTIVIDADES'!$D$4:$D$26,MATCH($H129,'CAT_ACTIVIDADES'!$A$4:$A$26,0)),"")))</f>
        <v/>
      </c>
      <c r="AP129" s="4" t="n"/>
      <c r="AQ129" s="4" t="n"/>
      <c r="AR129" s="4" t="n"/>
      <c r="AS129" s="24">
        <f>IF($AR129="","",HYPERLINK(p_ruta_base_checklists&amp;$AR129,"abrir"))</f>
        <v/>
      </c>
      <c r="AT129" s="4" t="n"/>
      <c r="AU129" s="24">
        <f>IF($A129="","",$A129&amp;IF($B129="","0010",$B129))</f>
        <v/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41" t="n"/>
      <c r="K130" s="5" t="n"/>
      <c r="L130" s="18" t="n"/>
      <c r="M130" s="24">
        <f>IF($A130="","",IFERROR(INDEX('AJUSTES'!$B$4:$B$303,MATCH($AU130,'AJUSTES'!$A$4:$A$303,0)),IF($K130="","",$K130)))</f>
        <v/>
      </c>
      <c r="N130" s="24">
        <f>IF($A130="","",IFERROR(INDEX('CAT_ESTADOS_ERP'!$B$4:$B$22,MATCH(IFERROR(INDEX('2_IMPORTAR_EJECUCION'!$C$9:$C$1208,MATCH($AU130,'2_IMPORTAR_EJECUCION'!$J$9:$J$1208,0)),""),'CAT_ESTADOS_ERP'!$A$4:$A$22,0)),"Pendiente"))</f>
        <v/>
      </c>
      <c r="O130" s="24">
        <f>IF($J130="","",YEAR($J130+4-WEEKDAY($J130,2))&amp;"-S"&amp;TEXT(_xlfn.ISOWEEKNUM($J130),"00"))</f>
        <v/>
      </c>
      <c r="P130" s="24">
        <f>IF($J130="","",YEAR($J130))</f>
        <v/>
      </c>
      <c r="Q130" s="24">
        <f>IF($J130="","",MONTH($J130))</f>
        <v/>
      </c>
      <c r="R130" s="24">
        <f>IF($J130="","",$P130&amp;"-"&amp;TEXT($Q130,"00"))</f>
        <v/>
      </c>
      <c r="S130" s="24">
        <f>IF($J130="","",INDEX(lista_dias,WEEKDAY($J130,2)))</f>
        <v/>
      </c>
      <c r="T130" s="24">
        <f>IF($J130="","",IFERROR(INDEX('CALENDARIO'!$C$15:$C$214,MATCH(TEXT($J130,"yyyy-mm-dd")&amp;"|"&amp;$Y130&amp;"|"&amp;$Z130,'CALENDARIO'!$G$15:$G$214,0)),IFERROR(INDEX('CALENDARIO'!$C$15:$C$214,MATCH(TEXT($J130,"yyyy-mm-dd")&amp;"|"&amp;$Y130&amp;"|",'CALENDARIO'!$G$15:$G$214,0)),IFERROR(INDEX('CALENDARIO'!$C$15:$C$214,MATCH(TEXT($J130,"yyyy-mm-dd")&amp;"||",'CALENDARIO'!$G$15:$G$214,0)),INDEX(patronHabil,WEEKDAY($J130,2))))))</f>
        <v/>
      </c>
      <c r="U130" s="24">
        <f>IF($I130="","",IFERROR(INDEX('CAT_TIPOS_OT'!$C$4:$C$23,MATCH($I130,'CAT_TIPOS_OT'!$A$4:$A$23,0)),"sin_clasificar"))</f>
        <v/>
      </c>
      <c r="V130" s="24">
        <f>IF($I130="","",IF(IFERROR(INDEX('CAT_TIPOS_OT'!$D$4:$D$23,MATCH($I130,'CAT_TIPOS_OT'!$A$4:$A$23,0)),"SIN CLASIFICAR")="","SIN CLASIFICAR",IFERROR(INDEX('CAT_TIPOS_OT'!$D$4:$D$23,MATCH($I130,'CAT_TIPOS_OT'!$A$4:$A$23,0)),"SIN CLASIFICAR")))</f>
        <v/>
      </c>
      <c r="W130" s="24">
        <f>IF($H130="","",IF(IFERROR(INDEX('CAT_ACTIVIDADES'!$F$4:$F$26,MATCH($H130,'CAT_ACTIVIDADES'!$A$4:$A$26,0)),"")=0,"",IFERROR(INDEX('CAT_ACTIVIDADES'!$F$4:$F$26,MATCH($H130,'CAT_ACTIVIDADES'!$A$4:$A$26,0)),"")))</f>
        <v/>
      </c>
      <c r="X130" s="24">
        <f>IF($F130="","",IFERROR(INDEX('CAT_CENTROS_COSTO'!$F$4:$F$28,MATCH($F130,'CAT_CENTROS_COSTO'!$A$4:$A$28,0)),"(sin catálogo)"))</f>
        <v/>
      </c>
      <c r="Y130" s="24">
        <f>IF($F130="","",IFERROR(INDEX('CAT_CENTROS_COSTO'!$D$4:$D$28,MATCH($F130,'CAT_CENTROS_COSTO'!$A$4:$A$28,0)),"(sin catálogo)"))</f>
        <v/>
      </c>
      <c r="Z130" s="24">
        <f>IF($F130="","",IF((IFERROR(INDEX('CAT_CENTROS_COSTO'!$E$4:$E$28,MATCH($F130,'CAT_CENTROS_COSTO'!$A$4:$A$28,0)),""))&lt;&gt;"",IFERROR(INDEX('CAT_CENTROS_COSTO'!$E$4:$E$28,MATCH($F130,'CAT_CENTROS_COSTO'!$A$4:$A$28,0)),""),$Y130))</f>
        <v/>
      </c>
      <c r="AA130" s="24">
        <f>IF($F130="","",IFERROR(INDEX('CAT_CENTROS_COSTO'!$G$4:$G$28,MATCH($F130,'CAT_CENTROS_COSTO'!$A$4:$A$28,0)),"(sin catálogo)"))</f>
        <v/>
      </c>
      <c r="AB130" s="24">
        <f>IF($G130="","",IFERROR(INDEX('CAT_PUESTOS'!$B$4:$B$23,MATCH($G130,'CAT_PUESTOS'!$A$4:$A$23,0)),"(sin catálogo)"))</f>
        <v/>
      </c>
      <c r="AC130" s="24">
        <f>IF($H130="","",IFERROR(INDEX('CAT_ACTIVIDADES'!$B$4:$B$26,MATCH($H130,'CAT_ACTIVIDADES'!$A$4:$A$26,0)),"(sin catálogo)"))</f>
        <v/>
      </c>
      <c r="AD130" s="26">
        <f>IF($J130="","",TODAY()-$J130)</f>
        <v/>
      </c>
      <c r="AE130" s="26">
        <f>IF($J130="","",IF($J130&lt;=TODAY(),COUNTIFS(cal_fechas,"&gt;="&amp;$J130,cal_fechas,"&lt;"&amp;TODAY(),cal_habil,"sí"),-COUNTIFS(cal_fechas,"&gt;="&amp;TODAY(),cal_fechas,"&lt;"&amp;$J130,cal_habil,"sí")))</f>
        <v/>
      </c>
      <c r="AF130" s="24">
        <f>IF($AE130="","",IF($AE130&lt;0,"FUTURO",IF($AE130&gt;p_dias_backlog_max,"BACKLOG","MES CORRIENTE")))</f>
        <v/>
      </c>
      <c r="AG130" s="24">
        <f>IF($AE130="",FALSE,AND($AE130&gt;p_dias_backlog_min,$AE130&lt;=p_dias_backlog_max))</f>
        <v/>
      </c>
      <c r="AH130" s="4" t="n"/>
      <c r="AI130" s="24">
        <f>IF($AH130="","",IF((IFERROR(INDEX('ASIGNACIONES'!$J$4:$J$451,MATCH($O130&amp;"|"&amp;$S130&amp;"|"&amp;$AH130,'ASIGNACIONES'!$N$4:$N$451,0)),""))=0,"",IFERROR(INDEX('ASIGNACIONES'!$J$4:$J$451,MATCH($O130&amp;"|"&amp;$S130&amp;"|"&amp;$AH130,'ASIGNACIONES'!$N$4:$N$451,0)),"")))</f>
        <v/>
      </c>
      <c r="AJ130" s="42">
        <f>IF($AH130="","",SUMIFS('ORDENES'!$M$4:$M$1203,'ORDENES'!$AH$4:$AH$1203,$AH130,'ORDENES'!$O$4:$O$1203,$O130,'ORDENES'!$S$4:$S$1203,$S130))</f>
        <v/>
      </c>
      <c r="AK130" s="42">
        <f>IF($AJ130="","",p_factor_productividad*IFERROR(INDEX('ASIGNACIONES'!$M$4:$M$451,MATCH($O130&amp;"|"&amp;$S130&amp;"|"&amp;$AH130,'ASIGNACIONES'!$N$4:$N$451,0)),0)-$AJ130)</f>
        <v/>
      </c>
      <c r="AL130" s="32">
        <f>IF($A130="","",IFERROR(INDEX('2_IMPORTAR_EJECUCION'!$F$9:$F$1208,MATCH($AU130,'2_IMPORTAR_EJECUCION'!$J$9:$J$1208,0)),0))</f>
        <v/>
      </c>
      <c r="AM130" s="32">
        <f>IF($A130="","",MAX(0,IFERROR(INDEX('2_IMPORTAR_EJECUCION'!$H$9:$H$1208,MATCH($AU130,'2_IMPORTAR_EJECUCION'!$J$9:$J$1208,0)),0)-$AL130))</f>
        <v/>
      </c>
      <c r="AN130" s="32">
        <f>IF($A130="","",$AL130+$AM130)</f>
        <v/>
      </c>
      <c r="AO130" s="24">
        <f>IF($A130="","",IF(OR((IFERROR(INDEX('CAT_ACTIVIDADES'!$D$4:$D$26,MATCH($H130,'CAT_ACTIVIDADES'!$A$4:$A$26,0)),""))=0,(IFERROR(INDEX('CAT_ACTIVIDADES'!$D$4:$D$26,MATCH($H130,'CAT_ACTIVIDADES'!$A$4:$A$26,0)),""))=""),"SIN CLASIFICAR",IFERROR(INDEX('CAT_ACTIVIDADES'!$D$4:$D$26,MATCH($H130,'CAT_ACTIVIDADES'!$A$4:$A$26,0)),"")))</f>
        <v/>
      </c>
      <c r="AP130" s="4" t="n"/>
      <c r="AQ130" s="4" t="n"/>
      <c r="AR130" s="4" t="n"/>
      <c r="AS130" s="24">
        <f>IF($AR130="","",HYPERLINK(p_ruta_base_checklists&amp;$AR130,"abrir"))</f>
        <v/>
      </c>
      <c r="AT130" s="4" t="n"/>
      <c r="AU130" s="24">
        <f>IF($A130="","",$A130&amp;IF($B130="","0010",$B130))</f>
        <v/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41" t="n"/>
      <c r="K131" s="5" t="n"/>
      <c r="L131" s="18" t="n"/>
      <c r="M131" s="24">
        <f>IF($A131="","",IFERROR(INDEX('AJUSTES'!$B$4:$B$303,MATCH($AU131,'AJUSTES'!$A$4:$A$303,0)),IF($K131="","",$K131)))</f>
        <v/>
      </c>
      <c r="N131" s="24">
        <f>IF($A131="","",IFERROR(INDEX('CAT_ESTADOS_ERP'!$B$4:$B$22,MATCH(IFERROR(INDEX('2_IMPORTAR_EJECUCION'!$C$9:$C$1208,MATCH($AU131,'2_IMPORTAR_EJECUCION'!$J$9:$J$1208,0)),""),'CAT_ESTADOS_ERP'!$A$4:$A$22,0)),"Pendiente"))</f>
        <v/>
      </c>
      <c r="O131" s="24">
        <f>IF($J131="","",YEAR($J131+4-WEEKDAY($J131,2))&amp;"-S"&amp;TEXT(_xlfn.ISOWEEKNUM($J131),"00"))</f>
        <v/>
      </c>
      <c r="P131" s="24">
        <f>IF($J131="","",YEAR($J131))</f>
        <v/>
      </c>
      <c r="Q131" s="24">
        <f>IF($J131="","",MONTH($J131))</f>
        <v/>
      </c>
      <c r="R131" s="24">
        <f>IF($J131="","",$P131&amp;"-"&amp;TEXT($Q131,"00"))</f>
        <v/>
      </c>
      <c r="S131" s="24">
        <f>IF($J131="","",INDEX(lista_dias,WEEKDAY($J131,2)))</f>
        <v/>
      </c>
      <c r="T131" s="24">
        <f>IF($J131="","",IFERROR(INDEX('CALENDARIO'!$C$15:$C$214,MATCH(TEXT($J131,"yyyy-mm-dd")&amp;"|"&amp;$Y131&amp;"|"&amp;$Z131,'CALENDARIO'!$G$15:$G$214,0)),IFERROR(INDEX('CALENDARIO'!$C$15:$C$214,MATCH(TEXT($J131,"yyyy-mm-dd")&amp;"|"&amp;$Y131&amp;"|",'CALENDARIO'!$G$15:$G$214,0)),IFERROR(INDEX('CALENDARIO'!$C$15:$C$214,MATCH(TEXT($J131,"yyyy-mm-dd")&amp;"||",'CALENDARIO'!$G$15:$G$214,0)),INDEX(patronHabil,WEEKDAY($J131,2))))))</f>
        <v/>
      </c>
      <c r="U131" s="24">
        <f>IF($I131="","",IFERROR(INDEX('CAT_TIPOS_OT'!$C$4:$C$23,MATCH($I131,'CAT_TIPOS_OT'!$A$4:$A$23,0)),"sin_clasificar"))</f>
        <v/>
      </c>
      <c r="V131" s="24">
        <f>IF($I131="","",IF(IFERROR(INDEX('CAT_TIPOS_OT'!$D$4:$D$23,MATCH($I131,'CAT_TIPOS_OT'!$A$4:$A$23,0)),"SIN CLASIFICAR")="","SIN CLASIFICAR",IFERROR(INDEX('CAT_TIPOS_OT'!$D$4:$D$23,MATCH($I131,'CAT_TIPOS_OT'!$A$4:$A$23,0)),"SIN CLASIFICAR")))</f>
        <v/>
      </c>
      <c r="W131" s="24">
        <f>IF($H131="","",IF(IFERROR(INDEX('CAT_ACTIVIDADES'!$F$4:$F$26,MATCH($H131,'CAT_ACTIVIDADES'!$A$4:$A$26,0)),"")=0,"",IFERROR(INDEX('CAT_ACTIVIDADES'!$F$4:$F$26,MATCH($H131,'CAT_ACTIVIDADES'!$A$4:$A$26,0)),"")))</f>
        <v/>
      </c>
      <c r="X131" s="24">
        <f>IF($F131="","",IFERROR(INDEX('CAT_CENTROS_COSTO'!$F$4:$F$28,MATCH($F131,'CAT_CENTROS_COSTO'!$A$4:$A$28,0)),"(sin catálogo)"))</f>
        <v/>
      </c>
      <c r="Y131" s="24">
        <f>IF($F131="","",IFERROR(INDEX('CAT_CENTROS_COSTO'!$D$4:$D$28,MATCH($F131,'CAT_CENTROS_COSTO'!$A$4:$A$28,0)),"(sin catálogo)"))</f>
        <v/>
      </c>
      <c r="Z131" s="24">
        <f>IF($F131="","",IF((IFERROR(INDEX('CAT_CENTROS_COSTO'!$E$4:$E$28,MATCH($F131,'CAT_CENTROS_COSTO'!$A$4:$A$28,0)),""))&lt;&gt;"",IFERROR(INDEX('CAT_CENTROS_COSTO'!$E$4:$E$28,MATCH($F131,'CAT_CENTROS_COSTO'!$A$4:$A$28,0)),""),$Y131))</f>
        <v/>
      </c>
      <c r="AA131" s="24">
        <f>IF($F131="","",IFERROR(INDEX('CAT_CENTROS_COSTO'!$G$4:$G$28,MATCH($F131,'CAT_CENTROS_COSTO'!$A$4:$A$28,0)),"(sin catálogo)"))</f>
        <v/>
      </c>
      <c r="AB131" s="24">
        <f>IF($G131="","",IFERROR(INDEX('CAT_PUESTOS'!$B$4:$B$23,MATCH($G131,'CAT_PUESTOS'!$A$4:$A$23,0)),"(sin catálogo)"))</f>
        <v/>
      </c>
      <c r="AC131" s="24">
        <f>IF($H131="","",IFERROR(INDEX('CAT_ACTIVIDADES'!$B$4:$B$26,MATCH($H131,'CAT_ACTIVIDADES'!$A$4:$A$26,0)),"(sin catálogo)"))</f>
        <v/>
      </c>
      <c r="AD131" s="26">
        <f>IF($J131="","",TODAY()-$J131)</f>
        <v/>
      </c>
      <c r="AE131" s="26">
        <f>IF($J131="","",IF($J131&lt;=TODAY(),COUNTIFS(cal_fechas,"&gt;="&amp;$J131,cal_fechas,"&lt;"&amp;TODAY(),cal_habil,"sí"),-COUNTIFS(cal_fechas,"&gt;="&amp;TODAY(),cal_fechas,"&lt;"&amp;$J131,cal_habil,"sí")))</f>
        <v/>
      </c>
      <c r="AF131" s="24">
        <f>IF($AE131="","",IF($AE131&lt;0,"FUTURO",IF($AE131&gt;p_dias_backlog_max,"BACKLOG","MES CORRIENTE")))</f>
        <v/>
      </c>
      <c r="AG131" s="24">
        <f>IF($AE131="",FALSE,AND($AE131&gt;p_dias_backlog_min,$AE131&lt;=p_dias_backlog_max))</f>
        <v/>
      </c>
      <c r="AH131" s="4" t="n"/>
      <c r="AI131" s="24">
        <f>IF($AH131="","",IF((IFERROR(INDEX('ASIGNACIONES'!$J$4:$J$451,MATCH($O131&amp;"|"&amp;$S131&amp;"|"&amp;$AH131,'ASIGNACIONES'!$N$4:$N$451,0)),""))=0,"",IFERROR(INDEX('ASIGNACIONES'!$J$4:$J$451,MATCH($O131&amp;"|"&amp;$S131&amp;"|"&amp;$AH131,'ASIGNACIONES'!$N$4:$N$451,0)),"")))</f>
        <v/>
      </c>
      <c r="AJ131" s="42">
        <f>IF($AH131="","",SUMIFS('ORDENES'!$M$4:$M$1203,'ORDENES'!$AH$4:$AH$1203,$AH131,'ORDENES'!$O$4:$O$1203,$O131,'ORDENES'!$S$4:$S$1203,$S131))</f>
        <v/>
      </c>
      <c r="AK131" s="42">
        <f>IF($AJ131="","",p_factor_productividad*IFERROR(INDEX('ASIGNACIONES'!$M$4:$M$451,MATCH($O131&amp;"|"&amp;$S131&amp;"|"&amp;$AH131,'ASIGNACIONES'!$N$4:$N$451,0)),0)-$AJ131)</f>
        <v/>
      </c>
      <c r="AL131" s="32">
        <f>IF($A131="","",IFERROR(INDEX('2_IMPORTAR_EJECUCION'!$F$9:$F$1208,MATCH($AU131,'2_IMPORTAR_EJECUCION'!$J$9:$J$1208,0)),0))</f>
        <v/>
      </c>
      <c r="AM131" s="32">
        <f>IF($A131="","",MAX(0,IFERROR(INDEX('2_IMPORTAR_EJECUCION'!$H$9:$H$1208,MATCH($AU131,'2_IMPORTAR_EJECUCION'!$J$9:$J$1208,0)),0)-$AL131))</f>
        <v/>
      </c>
      <c r="AN131" s="32">
        <f>IF($A131="","",$AL131+$AM131)</f>
        <v/>
      </c>
      <c r="AO131" s="24">
        <f>IF($A131="","",IF(OR((IFERROR(INDEX('CAT_ACTIVIDADES'!$D$4:$D$26,MATCH($H131,'CAT_ACTIVIDADES'!$A$4:$A$26,0)),""))=0,(IFERROR(INDEX('CAT_ACTIVIDADES'!$D$4:$D$26,MATCH($H131,'CAT_ACTIVIDADES'!$A$4:$A$26,0)),""))=""),"SIN CLASIFICAR",IFERROR(INDEX('CAT_ACTIVIDADES'!$D$4:$D$26,MATCH($H131,'CAT_ACTIVIDADES'!$A$4:$A$26,0)),"")))</f>
        <v/>
      </c>
      <c r="AP131" s="4" t="n"/>
      <c r="AQ131" s="4" t="n"/>
      <c r="AR131" s="4" t="n"/>
      <c r="AS131" s="24">
        <f>IF($AR131="","",HYPERLINK(p_ruta_base_checklists&amp;$AR131,"abrir"))</f>
        <v/>
      </c>
      <c r="AT131" s="4" t="n"/>
      <c r="AU131" s="24">
        <f>IF($A131="","",$A131&amp;IF($B131="","0010",$B131))</f>
        <v/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41" t="n"/>
      <c r="K132" s="5" t="n"/>
      <c r="L132" s="18" t="n"/>
      <c r="M132" s="24">
        <f>IF($A132="","",IFERROR(INDEX('AJUSTES'!$B$4:$B$303,MATCH($AU132,'AJUSTES'!$A$4:$A$303,0)),IF($K132="","",$K132)))</f>
        <v/>
      </c>
      <c r="N132" s="24">
        <f>IF($A132="","",IFERROR(INDEX('CAT_ESTADOS_ERP'!$B$4:$B$22,MATCH(IFERROR(INDEX('2_IMPORTAR_EJECUCION'!$C$9:$C$1208,MATCH($AU132,'2_IMPORTAR_EJECUCION'!$J$9:$J$1208,0)),""),'CAT_ESTADOS_ERP'!$A$4:$A$22,0)),"Pendiente"))</f>
        <v/>
      </c>
      <c r="O132" s="24">
        <f>IF($J132="","",YEAR($J132+4-WEEKDAY($J132,2))&amp;"-S"&amp;TEXT(_xlfn.ISOWEEKNUM($J132),"00"))</f>
        <v/>
      </c>
      <c r="P132" s="24">
        <f>IF($J132="","",YEAR($J132))</f>
        <v/>
      </c>
      <c r="Q132" s="24">
        <f>IF($J132="","",MONTH($J132))</f>
        <v/>
      </c>
      <c r="R132" s="24">
        <f>IF($J132="","",$P132&amp;"-"&amp;TEXT($Q132,"00"))</f>
        <v/>
      </c>
      <c r="S132" s="24">
        <f>IF($J132="","",INDEX(lista_dias,WEEKDAY($J132,2)))</f>
        <v/>
      </c>
      <c r="T132" s="24">
        <f>IF($J132="","",IFERROR(INDEX('CALENDARIO'!$C$15:$C$214,MATCH(TEXT($J132,"yyyy-mm-dd")&amp;"|"&amp;$Y132&amp;"|"&amp;$Z132,'CALENDARIO'!$G$15:$G$214,0)),IFERROR(INDEX('CALENDARIO'!$C$15:$C$214,MATCH(TEXT($J132,"yyyy-mm-dd")&amp;"|"&amp;$Y132&amp;"|",'CALENDARIO'!$G$15:$G$214,0)),IFERROR(INDEX('CALENDARIO'!$C$15:$C$214,MATCH(TEXT($J132,"yyyy-mm-dd")&amp;"||",'CALENDARIO'!$G$15:$G$214,0)),INDEX(patronHabil,WEEKDAY($J132,2))))))</f>
        <v/>
      </c>
      <c r="U132" s="24">
        <f>IF($I132="","",IFERROR(INDEX('CAT_TIPOS_OT'!$C$4:$C$23,MATCH($I132,'CAT_TIPOS_OT'!$A$4:$A$23,0)),"sin_clasificar"))</f>
        <v/>
      </c>
      <c r="V132" s="24">
        <f>IF($I132="","",IF(IFERROR(INDEX('CAT_TIPOS_OT'!$D$4:$D$23,MATCH($I132,'CAT_TIPOS_OT'!$A$4:$A$23,0)),"SIN CLASIFICAR")="","SIN CLASIFICAR",IFERROR(INDEX('CAT_TIPOS_OT'!$D$4:$D$23,MATCH($I132,'CAT_TIPOS_OT'!$A$4:$A$23,0)),"SIN CLASIFICAR")))</f>
        <v/>
      </c>
      <c r="W132" s="24">
        <f>IF($H132="","",IF(IFERROR(INDEX('CAT_ACTIVIDADES'!$F$4:$F$26,MATCH($H132,'CAT_ACTIVIDADES'!$A$4:$A$26,0)),"")=0,"",IFERROR(INDEX('CAT_ACTIVIDADES'!$F$4:$F$26,MATCH($H132,'CAT_ACTIVIDADES'!$A$4:$A$26,0)),"")))</f>
        <v/>
      </c>
      <c r="X132" s="24">
        <f>IF($F132="","",IFERROR(INDEX('CAT_CENTROS_COSTO'!$F$4:$F$28,MATCH($F132,'CAT_CENTROS_COSTO'!$A$4:$A$28,0)),"(sin catálogo)"))</f>
        <v/>
      </c>
      <c r="Y132" s="24">
        <f>IF($F132="","",IFERROR(INDEX('CAT_CENTROS_COSTO'!$D$4:$D$28,MATCH($F132,'CAT_CENTROS_COSTO'!$A$4:$A$28,0)),"(sin catálogo)"))</f>
        <v/>
      </c>
      <c r="Z132" s="24">
        <f>IF($F132="","",IF((IFERROR(INDEX('CAT_CENTROS_COSTO'!$E$4:$E$28,MATCH($F132,'CAT_CENTROS_COSTO'!$A$4:$A$28,0)),""))&lt;&gt;"",IFERROR(INDEX('CAT_CENTROS_COSTO'!$E$4:$E$28,MATCH($F132,'CAT_CENTROS_COSTO'!$A$4:$A$28,0)),""),$Y132))</f>
        <v/>
      </c>
      <c r="AA132" s="24">
        <f>IF($F132="","",IFERROR(INDEX('CAT_CENTROS_COSTO'!$G$4:$G$28,MATCH($F132,'CAT_CENTROS_COSTO'!$A$4:$A$28,0)),"(sin catálogo)"))</f>
        <v/>
      </c>
      <c r="AB132" s="24">
        <f>IF($G132="","",IFERROR(INDEX('CAT_PUESTOS'!$B$4:$B$23,MATCH($G132,'CAT_PUESTOS'!$A$4:$A$23,0)),"(sin catálogo)"))</f>
        <v/>
      </c>
      <c r="AC132" s="24">
        <f>IF($H132="","",IFERROR(INDEX('CAT_ACTIVIDADES'!$B$4:$B$26,MATCH($H132,'CAT_ACTIVIDADES'!$A$4:$A$26,0)),"(sin catálogo)"))</f>
        <v/>
      </c>
      <c r="AD132" s="26">
        <f>IF($J132="","",TODAY()-$J132)</f>
        <v/>
      </c>
      <c r="AE132" s="26">
        <f>IF($J132="","",IF($J132&lt;=TODAY(),COUNTIFS(cal_fechas,"&gt;="&amp;$J132,cal_fechas,"&lt;"&amp;TODAY(),cal_habil,"sí"),-COUNTIFS(cal_fechas,"&gt;="&amp;TODAY(),cal_fechas,"&lt;"&amp;$J132,cal_habil,"sí")))</f>
        <v/>
      </c>
      <c r="AF132" s="24">
        <f>IF($AE132="","",IF($AE132&lt;0,"FUTURO",IF($AE132&gt;p_dias_backlog_max,"BACKLOG","MES CORRIENTE")))</f>
        <v/>
      </c>
      <c r="AG132" s="24">
        <f>IF($AE132="",FALSE,AND($AE132&gt;p_dias_backlog_min,$AE132&lt;=p_dias_backlog_max))</f>
        <v/>
      </c>
      <c r="AH132" s="4" t="n"/>
      <c r="AI132" s="24">
        <f>IF($AH132="","",IF((IFERROR(INDEX('ASIGNACIONES'!$J$4:$J$451,MATCH($O132&amp;"|"&amp;$S132&amp;"|"&amp;$AH132,'ASIGNACIONES'!$N$4:$N$451,0)),""))=0,"",IFERROR(INDEX('ASIGNACIONES'!$J$4:$J$451,MATCH($O132&amp;"|"&amp;$S132&amp;"|"&amp;$AH132,'ASIGNACIONES'!$N$4:$N$451,0)),"")))</f>
        <v/>
      </c>
      <c r="AJ132" s="42">
        <f>IF($AH132="","",SUMIFS('ORDENES'!$M$4:$M$1203,'ORDENES'!$AH$4:$AH$1203,$AH132,'ORDENES'!$O$4:$O$1203,$O132,'ORDENES'!$S$4:$S$1203,$S132))</f>
        <v/>
      </c>
      <c r="AK132" s="42">
        <f>IF($AJ132="","",p_factor_productividad*IFERROR(INDEX('ASIGNACIONES'!$M$4:$M$451,MATCH($O132&amp;"|"&amp;$S132&amp;"|"&amp;$AH132,'ASIGNACIONES'!$N$4:$N$451,0)),0)-$AJ132)</f>
        <v/>
      </c>
      <c r="AL132" s="32">
        <f>IF($A132="","",IFERROR(INDEX('2_IMPORTAR_EJECUCION'!$F$9:$F$1208,MATCH($AU132,'2_IMPORTAR_EJECUCION'!$J$9:$J$1208,0)),0))</f>
        <v/>
      </c>
      <c r="AM132" s="32">
        <f>IF($A132="","",MAX(0,IFERROR(INDEX('2_IMPORTAR_EJECUCION'!$H$9:$H$1208,MATCH($AU132,'2_IMPORTAR_EJECUCION'!$J$9:$J$1208,0)),0)-$AL132))</f>
        <v/>
      </c>
      <c r="AN132" s="32">
        <f>IF($A132="","",$AL132+$AM132)</f>
        <v/>
      </c>
      <c r="AO132" s="24">
        <f>IF($A132="","",IF(OR((IFERROR(INDEX('CAT_ACTIVIDADES'!$D$4:$D$26,MATCH($H132,'CAT_ACTIVIDADES'!$A$4:$A$26,0)),""))=0,(IFERROR(INDEX('CAT_ACTIVIDADES'!$D$4:$D$26,MATCH($H132,'CAT_ACTIVIDADES'!$A$4:$A$26,0)),""))=""),"SIN CLASIFICAR",IFERROR(INDEX('CAT_ACTIVIDADES'!$D$4:$D$26,MATCH($H132,'CAT_ACTIVIDADES'!$A$4:$A$26,0)),"")))</f>
        <v/>
      </c>
      <c r="AP132" s="4" t="n"/>
      <c r="AQ132" s="4" t="n"/>
      <c r="AR132" s="4" t="n"/>
      <c r="AS132" s="24">
        <f>IF($AR132="","",HYPERLINK(p_ruta_base_checklists&amp;$AR132,"abrir"))</f>
        <v/>
      </c>
      <c r="AT132" s="4" t="n"/>
      <c r="AU132" s="24">
        <f>IF($A132="","",$A132&amp;IF($B132="","0010",$B132))</f>
        <v/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41" t="n"/>
      <c r="K133" s="5" t="n"/>
      <c r="L133" s="18" t="n"/>
      <c r="M133" s="24">
        <f>IF($A133="","",IFERROR(INDEX('AJUSTES'!$B$4:$B$303,MATCH($AU133,'AJUSTES'!$A$4:$A$303,0)),IF($K133="","",$K133)))</f>
        <v/>
      </c>
      <c r="N133" s="24">
        <f>IF($A133="","",IFERROR(INDEX('CAT_ESTADOS_ERP'!$B$4:$B$22,MATCH(IFERROR(INDEX('2_IMPORTAR_EJECUCION'!$C$9:$C$1208,MATCH($AU133,'2_IMPORTAR_EJECUCION'!$J$9:$J$1208,0)),""),'CAT_ESTADOS_ERP'!$A$4:$A$22,0)),"Pendiente"))</f>
        <v/>
      </c>
      <c r="O133" s="24">
        <f>IF($J133="","",YEAR($J133+4-WEEKDAY($J133,2))&amp;"-S"&amp;TEXT(_xlfn.ISOWEEKNUM($J133),"00"))</f>
        <v/>
      </c>
      <c r="P133" s="24">
        <f>IF($J133="","",YEAR($J133))</f>
        <v/>
      </c>
      <c r="Q133" s="24">
        <f>IF($J133="","",MONTH($J133))</f>
        <v/>
      </c>
      <c r="R133" s="24">
        <f>IF($J133="","",$P133&amp;"-"&amp;TEXT($Q133,"00"))</f>
        <v/>
      </c>
      <c r="S133" s="24">
        <f>IF($J133="","",INDEX(lista_dias,WEEKDAY($J133,2)))</f>
        <v/>
      </c>
      <c r="T133" s="24">
        <f>IF($J133="","",IFERROR(INDEX('CALENDARIO'!$C$15:$C$214,MATCH(TEXT($J133,"yyyy-mm-dd")&amp;"|"&amp;$Y133&amp;"|"&amp;$Z133,'CALENDARIO'!$G$15:$G$214,0)),IFERROR(INDEX('CALENDARIO'!$C$15:$C$214,MATCH(TEXT($J133,"yyyy-mm-dd")&amp;"|"&amp;$Y133&amp;"|",'CALENDARIO'!$G$15:$G$214,0)),IFERROR(INDEX('CALENDARIO'!$C$15:$C$214,MATCH(TEXT($J133,"yyyy-mm-dd")&amp;"||",'CALENDARIO'!$G$15:$G$214,0)),INDEX(patronHabil,WEEKDAY($J133,2))))))</f>
        <v/>
      </c>
      <c r="U133" s="24">
        <f>IF($I133="","",IFERROR(INDEX('CAT_TIPOS_OT'!$C$4:$C$23,MATCH($I133,'CAT_TIPOS_OT'!$A$4:$A$23,0)),"sin_clasificar"))</f>
        <v/>
      </c>
      <c r="V133" s="24">
        <f>IF($I133="","",IF(IFERROR(INDEX('CAT_TIPOS_OT'!$D$4:$D$23,MATCH($I133,'CAT_TIPOS_OT'!$A$4:$A$23,0)),"SIN CLASIFICAR")="","SIN CLASIFICAR",IFERROR(INDEX('CAT_TIPOS_OT'!$D$4:$D$23,MATCH($I133,'CAT_TIPOS_OT'!$A$4:$A$23,0)),"SIN CLASIFICAR")))</f>
        <v/>
      </c>
      <c r="W133" s="24">
        <f>IF($H133="","",IF(IFERROR(INDEX('CAT_ACTIVIDADES'!$F$4:$F$26,MATCH($H133,'CAT_ACTIVIDADES'!$A$4:$A$26,0)),"")=0,"",IFERROR(INDEX('CAT_ACTIVIDADES'!$F$4:$F$26,MATCH($H133,'CAT_ACTIVIDADES'!$A$4:$A$26,0)),"")))</f>
        <v/>
      </c>
      <c r="X133" s="24">
        <f>IF($F133="","",IFERROR(INDEX('CAT_CENTROS_COSTO'!$F$4:$F$28,MATCH($F133,'CAT_CENTROS_COSTO'!$A$4:$A$28,0)),"(sin catálogo)"))</f>
        <v/>
      </c>
      <c r="Y133" s="24">
        <f>IF($F133="","",IFERROR(INDEX('CAT_CENTROS_COSTO'!$D$4:$D$28,MATCH($F133,'CAT_CENTROS_COSTO'!$A$4:$A$28,0)),"(sin catálogo)"))</f>
        <v/>
      </c>
      <c r="Z133" s="24">
        <f>IF($F133="","",IF((IFERROR(INDEX('CAT_CENTROS_COSTO'!$E$4:$E$28,MATCH($F133,'CAT_CENTROS_COSTO'!$A$4:$A$28,0)),""))&lt;&gt;"",IFERROR(INDEX('CAT_CENTROS_COSTO'!$E$4:$E$28,MATCH($F133,'CAT_CENTROS_COSTO'!$A$4:$A$28,0)),""),$Y133))</f>
        <v/>
      </c>
      <c r="AA133" s="24">
        <f>IF($F133="","",IFERROR(INDEX('CAT_CENTROS_COSTO'!$G$4:$G$28,MATCH($F133,'CAT_CENTROS_COSTO'!$A$4:$A$28,0)),"(sin catálogo)"))</f>
        <v/>
      </c>
      <c r="AB133" s="24">
        <f>IF($G133="","",IFERROR(INDEX('CAT_PUESTOS'!$B$4:$B$23,MATCH($G133,'CAT_PUESTOS'!$A$4:$A$23,0)),"(sin catálogo)"))</f>
        <v/>
      </c>
      <c r="AC133" s="24">
        <f>IF($H133="","",IFERROR(INDEX('CAT_ACTIVIDADES'!$B$4:$B$26,MATCH($H133,'CAT_ACTIVIDADES'!$A$4:$A$26,0)),"(sin catálogo)"))</f>
        <v/>
      </c>
      <c r="AD133" s="26">
        <f>IF($J133="","",TODAY()-$J133)</f>
        <v/>
      </c>
      <c r="AE133" s="26">
        <f>IF($J133="","",IF($J133&lt;=TODAY(),COUNTIFS(cal_fechas,"&gt;="&amp;$J133,cal_fechas,"&lt;"&amp;TODAY(),cal_habil,"sí"),-COUNTIFS(cal_fechas,"&gt;="&amp;TODAY(),cal_fechas,"&lt;"&amp;$J133,cal_habil,"sí")))</f>
        <v/>
      </c>
      <c r="AF133" s="24">
        <f>IF($AE133="","",IF($AE133&lt;0,"FUTURO",IF($AE133&gt;p_dias_backlog_max,"BACKLOG","MES CORRIENTE")))</f>
        <v/>
      </c>
      <c r="AG133" s="24">
        <f>IF($AE133="",FALSE,AND($AE133&gt;p_dias_backlog_min,$AE133&lt;=p_dias_backlog_max))</f>
        <v/>
      </c>
      <c r="AH133" s="4" t="n"/>
      <c r="AI133" s="24">
        <f>IF($AH133="","",IF((IFERROR(INDEX('ASIGNACIONES'!$J$4:$J$451,MATCH($O133&amp;"|"&amp;$S133&amp;"|"&amp;$AH133,'ASIGNACIONES'!$N$4:$N$451,0)),""))=0,"",IFERROR(INDEX('ASIGNACIONES'!$J$4:$J$451,MATCH($O133&amp;"|"&amp;$S133&amp;"|"&amp;$AH133,'ASIGNACIONES'!$N$4:$N$451,0)),"")))</f>
        <v/>
      </c>
      <c r="AJ133" s="42">
        <f>IF($AH133="","",SUMIFS('ORDENES'!$M$4:$M$1203,'ORDENES'!$AH$4:$AH$1203,$AH133,'ORDENES'!$O$4:$O$1203,$O133,'ORDENES'!$S$4:$S$1203,$S133))</f>
        <v/>
      </c>
      <c r="AK133" s="42">
        <f>IF($AJ133="","",p_factor_productividad*IFERROR(INDEX('ASIGNACIONES'!$M$4:$M$451,MATCH($O133&amp;"|"&amp;$S133&amp;"|"&amp;$AH133,'ASIGNACIONES'!$N$4:$N$451,0)),0)-$AJ133)</f>
        <v/>
      </c>
      <c r="AL133" s="32">
        <f>IF($A133="","",IFERROR(INDEX('2_IMPORTAR_EJECUCION'!$F$9:$F$1208,MATCH($AU133,'2_IMPORTAR_EJECUCION'!$J$9:$J$1208,0)),0))</f>
        <v/>
      </c>
      <c r="AM133" s="32">
        <f>IF($A133="","",MAX(0,IFERROR(INDEX('2_IMPORTAR_EJECUCION'!$H$9:$H$1208,MATCH($AU133,'2_IMPORTAR_EJECUCION'!$J$9:$J$1208,0)),0)-$AL133))</f>
        <v/>
      </c>
      <c r="AN133" s="32">
        <f>IF($A133="","",$AL133+$AM133)</f>
        <v/>
      </c>
      <c r="AO133" s="24">
        <f>IF($A133="","",IF(OR((IFERROR(INDEX('CAT_ACTIVIDADES'!$D$4:$D$26,MATCH($H133,'CAT_ACTIVIDADES'!$A$4:$A$26,0)),""))=0,(IFERROR(INDEX('CAT_ACTIVIDADES'!$D$4:$D$26,MATCH($H133,'CAT_ACTIVIDADES'!$A$4:$A$26,0)),""))=""),"SIN CLASIFICAR",IFERROR(INDEX('CAT_ACTIVIDADES'!$D$4:$D$26,MATCH($H133,'CAT_ACTIVIDADES'!$A$4:$A$26,0)),"")))</f>
        <v/>
      </c>
      <c r="AP133" s="4" t="n"/>
      <c r="AQ133" s="4" t="n"/>
      <c r="AR133" s="4" t="n"/>
      <c r="AS133" s="24">
        <f>IF($AR133="","",HYPERLINK(p_ruta_base_checklists&amp;$AR133,"abrir"))</f>
        <v/>
      </c>
      <c r="AT133" s="4" t="n"/>
      <c r="AU133" s="24">
        <f>IF($A133="","",$A133&amp;IF($B133="","0010",$B133))</f>
        <v/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41" t="n"/>
      <c r="K134" s="5" t="n"/>
      <c r="L134" s="18" t="n"/>
      <c r="M134" s="24">
        <f>IF($A134="","",IFERROR(INDEX('AJUSTES'!$B$4:$B$303,MATCH($AU134,'AJUSTES'!$A$4:$A$303,0)),IF($K134="","",$K134)))</f>
        <v/>
      </c>
      <c r="N134" s="24">
        <f>IF($A134="","",IFERROR(INDEX('CAT_ESTADOS_ERP'!$B$4:$B$22,MATCH(IFERROR(INDEX('2_IMPORTAR_EJECUCION'!$C$9:$C$1208,MATCH($AU134,'2_IMPORTAR_EJECUCION'!$J$9:$J$1208,0)),""),'CAT_ESTADOS_ERP'!$A$4:$A$22,0)),"Pendiente"))</f>
        <v/>
      </c>
      <c r="O134" s="24">
        <f>IF($J134="","",YEAR($J134+4-WEEKDAY($J134,2))&amp;"-S"&amp;TEXT(_xlfn.ISOWEEKNUM($J134),"00"))</f>
        <v/>
      </c>
      <c r="P134" s="24">
        <f>IF($J134="","",YEAR($J134))</f>
        <v/>
      </c>
      <c r="Q134" s="24">
        <f>IF($J134="","",MONTH($J134))</f>
        <v/>
      </c>
      <c r="R134" s="24">
        <f>IF($J134="","",$P134&amp;"-"&amp;TEXT($Q134,"00"))</f>
        <v/>
      </c>
      <c r="S134" s="24">
        <f>IF($J134="","",INDEX(lista_dias,WEEKDAY($J134,2)))</f>
        <v/>
      </c>
      <c r="T134" s="24">
        <f>IF($J134="","",IFERROR(INDEX('CALENDARIO'!$C$15:$C$214,MATCH(TEXT($J134,"yyyy-mm-dd")&amp;"|"&amp;$Y134&amp;"|"&amp;$Z134,'CALENDARIO'!$G$15:$G$214,0)),IFERROR(INDEX('CALENDARIO'!$C$15:$C$214,MATCH(TEXT($J134,"yyyy-mm-dd")&amp;"|"&amp;$Y134&amp;"|",'CALENDARIO'!$G$15:$G$214,0)),IFERROR(INDEX('CALENDARIO'!$C$15:$C$214,MATCH(TEXT($J134,"yyyy-mm-dd")&amp;"||",'CALENDARIO'!$G$15:$G$214,0)),INDEX(patronHabil,WEEKDAY($J134,2))))))</f>
        <v/>
      </c>
      <c r="U134" s="24">
        <f>IF($I134="","",IFERROR(INDEX('CAT_TIPOS_OT'!$C$4:$C$23,MATCH($I134,'CAT_TIPOS_OT'!$A$4:$A$23,0)),"sin_clasificar"))</f>
        <v/>
      </c>
      <c r="V134" s="24">
        <f>IF($I134="","",IF(IFERROR(INDEX('CAT_TIPOS_OT'!$D$4:$D$23,MATCH($I134,'CAT_TIPOS_OT'!$A$4:$A$23,0)),"SIN CLASIFICAR")="","SIN CLASIFICAR",IFERROR(INDEX('CAT_TIPOS_OT'!$D$4:$D$23,MATCH($I134,'CAT_TIPOS_OT'!$A$4:$A$23,0)),"SIN CLASIFICAR")))</f>
        <v/>
      </c>
      <c r="W134" s="24">
        <f>IF($H134="","",IF(IFERROR(INDEX('CAT_ACTIVIDADES'!$F$4:$F$26,MATCH($H134,'CAT_ACTIVIDADES'!$A$4:$A$26,0)),"")=0,"",IFERROR(INDEX('CAT_ACTIVIDADES'!$F$4:$F$26,MATCH($H134,'CAT_ACTIVIDADES'!$A$4:$A$26,0)),"")))</f>
        <v/>
      </c>
      <c r="X134" s="24">
        <f>IF($F134="","",IFERROR(INDEX('CAT_CENTROS_COSTO'!$F$4:$F$28,MATCH($F134,'CAT_CENTROS_COSTO'!$A$4:$A$28,0)),"(sin catálogo)"))</f>
        <v/>
      </c>
      <c r="Y134" s="24">
        <f>IF($F134="","",IFERROR(INDEX('CAT_CENTROS_COSTO'!$D$4:$D$28,MATCH($F134,'CAT_CENTROS_COSTO'!$A$4:$A$28,0)),"(sin catálogo)"))</f>
        <v/>
      </c>
      <c r="Z134" s="24">
        <f>IF($F134="","",IF((IFERROR(INDEX('CAT_CENTROS_COSTO'!$E$4:$E$28,MATCH($F134,'CAT_CENTROS_COSTO'!$A$4:$A$28,0)),""))&lt;&gt;"",IFERROR(INDEX('CAT_CENTROS_COSTO'!$E$4:$E$28,MATCH($F134,'CAT_CENTROS_COSTO'!$A$4:$A$28,0)),""),$Y134))</f>
        <v/>
      </c>
      <c r="AA134" s="24">
        <f>IF($F134="","",IFERROR(INDEX('CAT_CENTROS_COSTO'!$G$4:$G$28,MATCH($F134,'CAT_CENTROS_COSTO'!$A$4:$A$28,0)),"(sin catálogo)"))</f>
        <v/>
      </c>
      <c r="AB134" s="24">
        <f>IF($G134="","",IFERROR(INDEX('CAT_PUESTOS'!$B$4:$B$23,MATCH($G134,'CAT_PUESTOS'!$A$4:$A$23,0)),"(sin catálogo)"))</f>
        <v/>
      </c>
      <c r="AC134" s="24">
        <f>IF($H134="","",IFERROR(INDEX('CAT_ACTIVIDADES'!$B$4:$B$26,MATCH($H134,'CAT_ACTIVIDADES'!$A$4:$A$26,0)),"(sin catálogo)"))</f>
        <v/>
      </c>
      <c r="AD134" s="26">
        <f>IF($J134="","",TODAY()-$J134)</f>
        <v/>
      </c>
      <c r="AE134" s="26">
        <f>IF($J134="","",IF($J134&lt;=TODAY(),COUNTIFS(cal_fechas,"&gt;="&amp;$J134,cal_fechas,"&lt;"&amp;TODAY(),cal_habil,"sí"),-COUNTIFS(cal_fechas,"&gt;="&amp;TODAY(),cal_fechas,"&lt;"&amp;$J134,cal_habil,"sí")))</f>
        <v/>
      </c>
      <c r="AF134" s="24">
        <f>IF($AE134="","",IF($AE134&lt;0,"FUTURO",IF($AE134&gt;p_dias_backlog_max,"BACKLOG","MES CORRIENTE")))</f>
        <v/>
      </c>
      <c r="AG134" s="24">
        <f>IF($AE134="",FALSE,AND($AE134&gt;p_dias_backlog_min,$AE134&lt;=p_dias_backlog_max))</f>
        <v/>
      </c>
      <c r="AH134" s="4" t="n"/>
      <c r="AI134" s="24">
        <f>IF($AH134="","",IF((IFERROR(INDEX('ASIGNACIONES'!$J$4:$J$451,MATCH($O134&amp;"|"&amp;$S134&amp;"|"&amp;$AH134,'ASIGNACIONES'!$N$4:$N$451,0)),""))=0,"",IFERROR(INDEX('ASIGNACIONES'!$J$4:$J$451,MATCH($O134&amp;"|"&amp;$S134&amp;"|"&amp;$AH134,'ASIGNACIONES'!$N$4:$N$451,0)),"")))</f>
        <v/>
      </c>
      <c r="AJ134" s="42">
        <f>IF($AH134="","",SUMIFS('ORDENES'!$M$4:$M$1203,'ORDENES'!$AH$4:$AH$1203,$AH134,'ORDENES'!$O$4:$O$1203,$O134,'ORDENES'!$S$4:$S$1203,$S134))</f>
        <v/>
      </c>
      <c r="AK134" s="42">
        <f>IF($AJ134="","",p_factor_productividad*IFERROR(INDEX('ASIGNACIONES'!$M$4:$M$451,MATCH($O134&amp;"|"&amp;$S134&amp;"|"&amp;$AH134,'ASIGNACIONES'!$N$4:$N$451,0)),0)-$AJ134)</f>
        <v/>
      </c>
      <c r="AL134" s="32">
        <f>IF($A134="","",IFERROR(INDEX('2_IMPORTAR_EJECUCION'!$F$9:$F$1208,MATCH($AU134,'2_IMPORTAR_EJECUCION'!$J$9:$J$1208,0)),0))</f>
        <v/>
      </c>
      <c r="AM134" s="32">
        <f>IF($A134="","",MAX(0,IFERROR(INDEX('2_IMPORTAR_EJECUCION'!$H$9:$H$1208,MATCH($AU134,'2_IMPORTAR_EJECUCION'!$J$9:$J$1208,0)),0)-$AL134))</f>
        <v/>
      </c>
      <c r="AN134" s="32">
        <f>IF($A134="","",$AL134+$AM134)</f>
        <v/>
      </c>
      <c r="AO134" s="24">
        <f>IF($A134="","",IF(OR((IFERROR(INDEX('CAT_ACTIVIDADES'!$D$4:$D$26,MATCH($H134,'CAT_ACTIVIDADES'!$A$4:$A$26,0)),""))=0,(IFERROR(INDEX('CAT_ACTIVIDADES'!$D$4:$D$26,MATCH($H134,'CAT_ACTIVIDADES'!$A$4:$A$26,0)),""))=""),"SIN CLASIFICAR",IFERROR(INDEX('CAT_ACTIVIDADES'!$D$4:$D$26,MATCH($H134,'CAT_ACTIVIDADES'!$A$4:$A$26,0)),"")))</f>
        <v/>
      </c>
      <c r="AP134" s="4" t="n"/>
      <c r="AQ134" s="4" t="n"/>
      <c r="AR134" s="4" t="n"/>
      <c r="AS134" s="24">
        <f>IF($AR134="","",HYPERLINK(p_ruta_base_checklists&amp;$AR134,"abrir"))</f>
        <v/>
      </c>
      <c r="AT134" s="4" t="n"/>
      <c r="AU134" s="24">
        <f>IF($A134="","",$A134&amp;IF($B134="","0010",$B134))</f>
        <v/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41" t="n"/>
      <c r="K135" s="5" t="n"/>
      <c r="L135" s="18" t="n"/>
      <c r="M135" s="24">
        <f>IF($A135="","",IFERROR(INDEX('AJUSTES'!$B$4:$B$303,MATCH($AU135,'AJUSTES'!$A$4:$A$303,0)),IF($K135="","",$K135)))</f>
        <v/>
      </c>
      <c r="N135" s="24">
        <f>IF($A135="","",IFERROR(INDEX('CAT_ESTADOS_ERP'!$B$4:$B$22,MATCH(IFERROR(INDEX('2_IMPORTAR_EJECUCION'!$C$9:$C$1208,MATCH($AU135,'2_IMPORTAR_EJECUCION'!$J$9:$J$1208,0)),""),'CAT_ESTADOS_ERP'!$A$4:$A$22,0)),"Pendiente"))</f>
        <v/>
      </c>
      <c r="O135" s="24">
        <f>IF($J135="","",YEAR($J135+4-WEEKDAY($J135,2))&amp;"-S"&amp;TEXT(_xlfn.ISOWEEKNUM($J135),"00"))</f>
        <v/>
      </c>
      <c r="P135" s="24">
        <f>IF($J135="","",YEAR($J135))</f>
        <v/>
      </c>
      <c r="Q135" s="24">
        <f>IF($J135="","",MONTH($J135))</f>
        <v/>
      </c>
      <c r="R135" s="24">
        <f>IF($J135="","",$P135&amp;"-"&amp;TEXT($Q135,"00"))</f>
        <v/>
      </c>
      <c r="S135" s="24">
        <f>IF($J135="","",INDEX(lista_dias,WEEKDAY($J135,2)))</f>
        <v/>
      </c>
      <c r="T135" s="24">
        <f>IF($J135="","",IFERROR(INDEX('CALENDARIO'!$C$15:$C$214,MATCH(TEXT($J135,"yyyy-mm-dd")&amp;"|"&amp;$Y135&amp;"|"&amp;$Z135,'CALENDARIO'!$G$15:$G$214,0)),IFERROR(INDEX('CALENDARIO'!$C$15:$C$214,MATCH(TEXT($J135,"yyyy-mm-dd")&amp;"|"&amp;$Y135&amp;"|",'CALENDARIO'!$G$15:$G$214,0)),IFERROR(INDEX('CALENDARIO'!$C$15:$C$214,MATCH(TEXT($J135,"yyyy-mm-dd")&amp;"||",'CALENDARIO'!$G$15:$G$214,0)),INDEX(patronHabil,WEEKDAY($J135,2))))))</f>
        <v/>
      </c>
      <c r="U135" s="24">
        <f>IF($I135="","",IFERROR(INDEX('CAT_TIPOS_OT'!$C$4:$C$23,MATCH($I135,'CAT_TIPOS_OT'!$A$4:$A$23,0)),"sin_clasificar"))</f>
        <v/>
      </c>
      <c r="V135" s="24">
        <f>IF($I135="","",IF(IFERROR(INDEX('CAT_TIPOS_OT'!$D$4:$D$23,MATCH($I135,'CAT_TIPOS_OT'!$A$4:$A$23,0)),"SIN CLASIFICAR")="","SIN CLASIFICAR",IFERROR(INDEX('CAT_TIPOS_OT'!$D$4:$D$23,MATCH($I135,'CAT_TIPOS_OT'!$A$4:$A$23,0)),"SIN CLASIFICAR")))</f>
        <v/>
      </c>
      <c r="W135" s="24">
        <f>IF($H135="","",IF(IFERROR(INDEX('CAT_ACTIVIDADES'!$F$4:$F$26,MATCH($H135,'CAT_ACTIVIDADES'!$A$4:$A$26,0)),"")=0,"",IFERROR(INDEX('CAT_ACTIVIDADES'!$F$4:$F$26,MATCH($H135,'CAT_ACTIVIDADES'!$A$4:$A$26,0)),"")))</f>
        <v/>
      </c>
      <c r="X135" s="24">
        <f>IF($F135="","",IFERROR(INDEX('CAT_CENTROS_COSTO'!$F$4:$F$28,MATCH($F135,'CAT_CENTROS_COSTO'!$A$4:$A$28,0)),"(sin catálogo)"))</f>
        <v/>
      </c>
      <c r="Y135" s="24">
        <f>IF($F135="","",IFERROR(INDEX('CAT_CENTROS_COSTO'!$D$4:$D$28,MATCH($F135,'CAT_CENTROS_COSTO'!$A$4:$A$28,0)),"(sin catálogo)"))</f>
        <v/>
      </c>
      <c r="Z135" s="24">
        <f>IF($F135="","",IF((IFERROR(INDEX('CAT_CENTROS_COSTO'!$E$4:$E$28,MATCH($F135,'CAT_CENTROS_COSTO'!$A$4:$A$28,0)),""))&lt;&gt;"",IFERROR(INDEX('CAT_CENTROS_COSTO'!$E$4:$E$28,MATCH($F135,'CAT_CENTROS_COSTO'!$A$4:$A$28,0)),""),$Y135))</f>
        <v/>
      </c>
      <c r="AA135" s="24">
        <f>IF($F135="","",IFERROR(INDEX('CAT_CENTROS_COSTO'!$G$4:$G$28,MATCH($F135,'CAT_CENTROS_COSTO'!$A$4:$A$28,0)),"(sin catálogo)"))</f>
        <v/>
      </c>
      <c r="AB135" s="24">
        <f>IF($G135="","",IFERROR(INDEX('CAT_PUESTOS'!$B$4:$B$23,MATCH($G135,'CAT_PUESTOS'!$A$4:$A$23,0)),"(sin catálogo)"))</f>
        <v/>
      </c>
      <c r="AC135" s="24">
        <f>IF($H135="","",IFERROR(INDEX('CAT_ACTIVIDADES'!$B$4:$B$26,MATCH($H135,'CAT_ACTIVIDADES'!$A$4:$A$26,0)),"(sin catálogo)"))</f>
        <v/>
      </c>
      <c r="AD135" s="26">
        <f>IF($J135="","",TODAY()-$J135)</f>
        <v/>
      </c>
      <c r="AE135" s="26">
        <f>IF($J135="","",IF($J135&lt;=TODAY(),COUNTIFS(cal_fechas,"&gt;="&amp;$J135,cal_fechas,"&lt;"&amp;TODAY(),cal_habil,"sí"),-COUNTIFS(cal_fechas,"&gt;="&amp;TODAY(),cal_fechas,"&lt;"&amp;$J135,cal_habil,"sí")))</f>
        <v/>
      </c>
      <c r="AF135" s="24">
        <f>IF($AE135="","",IF($AE135&lt;0,"FUTURO",IF($AE135&gt;p_dias_backlog_max,"BACKLOG","MES CORRIENTE")))</f>
        <v/>
      </c>
      <c r="AG135" s="24">
        <f>IF($AE135="",FALSE,AND($AE135&gt;p_dias_backlog_min,$AE135&lt;=p_dias_backlog_max))</f>
        <v/>
      </c>
      <c r="AH135" s="4" t="n"/>
      <c r="AI135" s="24">
        <f>IF($AH135="","",IF((IFERROR(INDEX('ASIGNACIONES'!$J$4:$J$451,MATCH($O135&amp;"|"&amp;$S135&amp;"|"&amp;$AH135,'ASIGNACIONES'!$N$4:$N$451,0)),""))=0,"",IFERROR(INDEX('ASIGNACIONES'!$J$4:$J$451,MATCH($O135&amp;"|"&amp;$S135&amp;"|"&amp;$AH135,'ASIGNACIONES'!$N$4:$N$451,0)),"")))</f>
        <v/>
      </c>
      <c r="AJ135" s="42">
        <f>IF($AH135="","",SUMIFS('ORDENES'!$M$4:$M$1203,'ORDENES'!$AH$4:$AH$1203,$AH135,'ORDENES'!$O$4:$O$1203,$O135,'ORDENES'!$S$4:$S$1203,$S135))</f>
        <v/>
      </c>
      <c r="AK135" s="42">
        <f>IF($AJ135="","",p_factor_productividad*IFERROR(INDEX('ASIGNACIONES'!$M$4:$M$451,MATCH($O135&amp;"|"&amp;$S135&amp;"|"&amp;$AH135,'ASIGNACIONES'!$N$4:$N$451,0)),0)-$AJ135)</f>
        <v/>
      </c>
      <c r="AL135" s="32">
        <f>IF($A135="","",IFERROR(INDEX('2_IMPORTAR_EJECUCION'!$F$9:$F$1208,MATCH($AU135,'2_IMPORTAR_EJECUCION'!$J$9:$J$1208,0)),0))</f>
        <v/>
      </c>
      <c r="AM135" s="32">
        <f>IF($A135="","",MAX(0,IFERROR(INDEX('2_IMPORTAR_EJECUCION'!$H$9:$H$1208,MATCH($AU135,'2_IMPORTAR_EJECUCION'!$J$9:$J$1208,0)),0)-$AL135))</f>
        <v/>
      </c>
      <c r="AN135" s="32">
        <f>IF($A135="","",$AL135+$AM135)</f>
        <v/>
      </c>
      <c r="AO135" s="24">
        <f>IF($A135="","",IF(OR((IFERROR(INDEX('CAT_ACTIVIDADES'!$D$4:$D$26,MATCH($H135,'CAT_ACTIVIDADES'!$A$4:$A$26,0)),""))=0,(IFERROR(INDEX('CAT_ACTIVIDADES'!$D$4:$D$26,MATCH($H135,'CAT_ACTIVIDADES'!$A$4:$A$26,0)),""))=""),"SIN CLASIFICAR",IFERROR(INDEX('CAT_ACTIVIDADES'!$D$4:$D$26,MATCH($H135,'CAT_ACTIVIDADES'!$A$4:$A$26,0)),"")))</f>
        <v/>
      </c>
      <c r="AP135" s="4" t="n"/>
      <c r="AQ135" s="4" t="n"/>
      <c r="AR135" s="4" t="n"/>
      <c r="AS135" s="24">
        <f>IF($AR135="","",HYPERLINK(p_ruta_base_checklists&amp;$AR135,"abrir"))</f>
        <v/>
      </c>
      <c r="AT135" s="4" t="n"/>
      <c r="AU135" s="24">
        <f>IF($A135="","",$A135&amp;IF($B135="","0010",$B135))</f>
        <v/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41" t="n"/>
      <c r="K136" s="5" t="n"/>
      <c r="L136" s="18" t="n"/>
      <c r="M136" s="24">
        <f>IF($A136="","",IFERROR(INDEX('AJUSTES'!$B$4:$B$303,MATCH($AU136,'AJUSTES'!$A$4:$A$303,0)),IF($K136="","",$K136)))</f>
        <v/>
      </c>
      <c r="N136" s="24">
        <f>IF($A136="","",IFERROR(INDEX('CAT_ESTADOS_ERP'!$B$4:$B$22,MATCH(IFERROR(INDEX('2_IMPORTAR_EJECUCION'!$C$9:$C$1208,MATCH($AU136,'2_IMPORTAR_EJECUCION'!$J$9:$J$1208,0)),""),'CAT_ESTADOS_ERP'!$A$4:$A$22,0)),"Pendiente"))</f>
        <v/>
      </c>
      <c r="O136" s="24">
        <f>IF($J136="","",YEAR($J136+4-WEEKDAY($J136,2))&amp;"-S"&amp;TEXT(_xlfn.ISOWEEKNUM($J136),"00"))</f>
        <v/>
      </c>
      <c r="P136" s="24">
        <f>IF($J136="","",YEAR($J136))</f>
        <v/>
      </c>
      <c r="Q136" s="24">
        <f>IF($J136="","",MONTH($J136))</f>
        <v/>
      </c>
      <c r="R136" s="24">
        <f>IF($J136="","",$P136&amp;"-"&amp;TEXT($Q136,"00"))</f>
        <v/>
      </c>
      <c r="S136" s="24">
        <f>IF($J136="","",INDEX(lista_dias,WEEKDAY($J136,2)))</f>
        <v/>
      </c>
      <c r="T136" s="24">
        <f>IF($J136="","",IFERROR(INDEX('CALENDARIO'!$C$15:$C$214,MATCH(TEXT($J136,"yyyy-mm-dd")&amp;"|"&amp;$Y136&amp;"|"&amp;$Z136,'CALENDARIO'!$G$15:$G$214,0)),IFERROR(INDEX('CALENDARIO'!$C$15:$C$214,MATCH(TEXT($J136,"yyyy-mm-dd")&amp;"|"&amp;$Y136&amp;"|",'CALENDARIO'!$G$15:$G$214,0)),IFERROR(INDEX('CALENDARIO'!$C$15:$C$214,MATCH(TEXT($J136,"yyyy-mm-dd")&amp;"||",'CALENDARIO'!$G$15:$G$214,0)),INDEX(patronHabil,WEEKDAY($J136,2))))))</f>
        <v/>
      </c>
      <c r="U136" s="24">
        <f>IF($I136="","",IFERROR(INDEX('CAT_TIPOS_OT'!$C$4:$C$23,MATCH($I136,'CAT_TIPOS_OT'!$A$4:$A$23,0)),"sin_clasificar"))</f>
        <v/>
      </c>
      <c r="V136" s="24">
        <f>IF($I136="","",IF(IFERROR(INDEX('CAT_TIPOS_OT'!$D$4:$D$23,MATCH($I136,'CAT_TIPOS_OT'!$A$4:$A$23,0)),"SIN CLASIFICAR")="","SIN CLASIFICAR",IFERROR(INDEX('CAT_TIPOS_OT'!$D$4:$D$23,MATCH($I136,'CAT_TIPOS_OT'!$A$4:$A$23,0)),"SIN CLASIFICAR")))</f>
        <v/>
      </c>
      <c r="W136" s="24">
        <f>IF($H136="","",IF(IFERROR(INDEX('CAT_ACTIVIDADES'!$F$4:$F$26,MATCH($H136,'CAT_ACTIVIDADES'!$A$4:$A$26,0)),"")=0,"",IFERROR(INDEX('CAT_ACTIVIDADES'!$F$4:$F$26,MATCH($H136,'CAT_ACTIVIDADES'!$A$4:$A$26,0)),"")))</f>
        <v/>
      </c>
      <c r="X136" s="24">
        <f>IF($F136="","",IFERROR(INDEX('CAT_CENTROS_COSTO'!$F$4:$F$28,MATCH($F136,'CAT_CENTROS_COSTO'!$A$4:$A$28,0)),"(sin catálogo)"))</f>
        <v/>
      </c>
      <c r="Y136" s="24">
        <f>IF($F136="","",IFERROR(INDEX('CAT_CENTROS_COSTO'!$D$4:$D$28,MATCH($F136,'CAT_CENTROS_COSTO'!$A$4:$A$28,0)),"(sin catálogo)"))</f>
        <v/>
      </c>
      <c r="Z136" s="24">
        <f>IF($F136="","",IF((IFERROR(INDEX('CAT_CENTROS_COSTO'!$E$4:$E$28,MATCH($F136,'CAT_CENTROS_COSTO'!$A$4:$A$28,0)),""))&lt;&gt;"",IFERROR(INDEX('CAT_CENTROS_COSTO'!$E$4:$E$28,MATCH($F136,'CAT_CENTROS_COSTO'!$A$4:$A$28,0)),""),$Y136))</f>
        <v/>
      </c>
      <c r="AA136" s="24">
        <f>IF($F136="","",IFERROR(INDEX('CAT_CENTROS_COSTO'!$G$4:$G$28,MATCH($F136,'CAT_CENTROS_COSTO'!$A$4:$A$28,0)),"(sin catálogo)"))</f>
        <v/>
      </c>
      <c r="AB136" s="24">
        <f>IF($G136="","",IFERROR(INDEX('CAT_PUESTOS'!$B$4:$B$23,MATCH($G136,'CAT_PUESTOS'!$A$4:$A$23,0)),"(sin catálogo)"))</f>
        <v/>
      </c>
      <c r="AC136" s="24">
        <f>IF($H136="","",IFERROR(INDEX('CAT_ACTIVIDADES'!$B$4:$B$26,MATCH($H136,'CAT_ACTIVIDADES'!$A$4:$A$26,0)),"(sin catálogo)"))</f>
        <v/>
      </c>
      <c r="AD136" s="26">
        <f>IF($J136="","",TODAY()-$J136)</f>
        <v/>
      </c>
      <c r="AE136" s="26">
        <f>IF($J136="","",IF($J136&lt;=TODAY(),COUNTIFS(cal_fechas,"&gt;="&amp;$J136,cal_fechas,"&lt;"&amp;TODAY(),cal_habil,"sí"),-COUNTIFS(cal_fechas,"&gt;="&amp;TODAY(),cal_fechas,"&lt;"&amp;$J136,cal_habil,"sí")))</f>
        <v/>
      </c>
      <c r="AF136" s="24">
        <f>IF($AE136="","",IF($AE136&lt;0,"FUTURO",IF($AE136&gt;p_dias_backlog_max,"BACKLOG","MES CORRIENTE")))</f>
        <v/>
      </c>
      <c r="AG136" s="24">
        <f>IF($AE136="",FALSE,AND($AE136&gt;p_dias_backlog_min,$AE136&lt;=p_dias_backlog_max))</f>
        <v/>
      </c>
      <c r="AH136" s="4" t="n"/>
      <c r="AI136" s="24">
        <f>IF($AH136="","",IF((IFERROR(INDEX('ASIGNACIONES'!$J$4:$J$451,MATCH($O136&amp;"|"&amp;$S136&amp;"|"&amp;$AH136,'ASIGNACIONES'!$N$4:$N$451,0)),""))=0,"",IFERROR(INDEX('ASIGNACIONES'!$J$4:$J$451,MATCH($O136&amp;"|"&amp;$S136&amp;"|"&amp;$AH136,'ASIGNACIONES'!$N$4:$N$451,0)),"")))</f>
        <v/>
      </c>
      <c r="AJ136" s="42">
        <f>IF($AH136="","",SUMIFS('ORDENES'!$M$4:$M$1203,'ORDENES'!$AH$4:$AH$1203,$AH136,'ORDENES'!$O$4:$O$1203,$O136,'ORDENES'!$S$4:$S$1203,$S136))</f>
        <v/>
      </c>
      <c r="AK136" s="42">
        <f>IF($AJ136="","",p_factor_productividad*IFERROR(INDEX('ASIGNACIONES'!$M$4:$M$451,MATCH($O136&amp;"|"&amp;$S136&amp;"|"&amp;$AH136,'ASIGNACIONES'!$N$4:$N$451,0)),0)-$AJ136)</f>
        <v/>
      </c>
      <c r="AL136" s="32">
        <f>IF($A136="","",IFERROR(INDEX('2_IMPORTAR_EJECUCION'!$F$9:$F$1208,MATCH($AU136,'2_IMPORTAR_EJECUCION'!$J$9:$J$1208,0)),0))</f>
        <v/>
      </c>
      <c r="AM136" s="32">
        <f>IF($A136="","",MAX(0,IFERROR(INDEX('2_IMPORTAR_EJECUCION'!$H$9:$H$1208,MATCH($AU136,'2_IMPORTAR_EJECUCION'!$J$9:$J$1208,0)),0)-$AL136))</f>
        <v/>
      </c>
      <c r="AN136" s="32">
        <f>IF($A136="","",$AL136+$AM136)</f>
        <v/>
      </c>
      <c r="AO136" s="24">
        <f>IF($A136="","",IF(OR((IFERROR(INDEX('CAT_ACTIVIDADES'!$D$4:$D$26,MATCH($H136,'CAT_ACTIVIDADES'!$A$4:$A$26,0)),""))=0,(IFERROR(INDEX('CAT_ACTIVIDADES'!$D$4:$D$26,MATCH($H136,'CAT_ACTIVIDADES'!$A$4:$A$26,0)),""))=""),"SIN CLASIFICAR",IFERROR(INDEX('CAT_ACTIVIDADES'!$D$4:$D$26,MATCH($H136,'CAT_ACTIVIDADES'!$A$4:$A$26,0)),"")))</f>
        <v/>
      </c>
      <c r="AP136" s="4" t="n"/>
      <c r="AQ136" s="4" t="n"/>
      <c r="AR136" s="4" t="n"/>
      <c r="AS136" s="24">
        <f>IF($AR136="","",HYPERLINK(p_ruta_base_checklists&amp;$AR136,"abrir"))</f>
        <v/>
      </c>
      <c r="AT136" s="4" t="n"/>
      <c r="AU136" s="24">
        <f>IF($A136="","",$A136&amp;IF($B136="","0010",$B136))</f>
        <v/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41" t="n"/>
      <c r="K137" s="5" t="n"/>
      <c r="L137" s="18" t="n"/>
      <c r="M137" s="24">
        <f>IF($A137="","",IFERROR(INDEX('AJUSTES'!$B$4:$B$303,MATCH($AU137,'AJUSTES'!$A$4:$A$303,0)),IF($K137="","",$K137)))</f>
        <v/>
      </c>
      <c r="N137" s="24">
        <f>IF($A137="","",IFERROR(INDEX('CAT_ESTADOS_ERP'!$B$4:$B$22,MATCH(IFERROR(INDEX('2_IMPORTAR_EJECUCION'!$C$9:$C$1208,MATCH($AU137,'2_IMPORTAR_EJECUCION'!$J$9:$J$1208,0)),""),'CAT_ESTADOS_ERP'!$A$4:$A$22,0)),"Pendiente"))</f>
        <v/>
      </c>
      <c r="O137" s="24">
        <f>IF($J137="","",YEAR($J137+4-WEEKDAY($J137,2))&amp;"-S"&amp;TEXT(_xlfn.ISOWEEKNUM($J137),"00"))</f>
        <v/>
      </c>
      <c r="P137" s="24">
        <f>IF($J137="","",YEAR($J137))</f>
        <v/>
      </c>
      <c r="Q137" s="24">
        <f>IF($J137="","",MONTH($J137))</f>
        <v/>
      </c>
      <c r="R137" s="24">
        <f>IF($J137="","",$P137&amp;"-"&amp;TEXT($Q137,"00"))</f>
        <v/>
      </c>
      <c r="S137" s="24">
        <f>IF($J137="","",INDEX(lista_dias,WEEKDAY($J137,2)))</f>
        <v/>
      </c>
      <c r="T137" s="24">
        <f>IF($J137="","",IFERROR(INDEX('CALENDARIO'!$C$15:$C$214,MATCH(TEXT($J137,"yyyy-mm-dd")&amp;"|"&amp;$Y137&amp;"|"&amp;$Z137,'CALENDARIO'!$G$15:$G$214,0)),IFERROR(INDEX('CALENDARIO'!$C$15:$C$214,MATCH(TEXT($J137,"yyyy-mm-dd")&amp;"|"&amp;$Y137&amp;"|",'CALENDARIO'!$G$15:$G$214,0)),IFERROR(INDEX('CALENDARIO'!$C$15:$C$214,MATCH(TEXT($J137,"yyyy-mm-dd")&amp;"||",'CALENDARIO'!$G$15:$G$214,0)),INDEX(patronHabil,WEEKDAY($J137,2))))))</f>
        <v/>
      </c>
      <c r="U137" s="24">
        <f>IF($I137="","",IFERROR(INDEX('CAT_TIPOS_OT'!$C$4:$C$23,MATCH($I137,'CAT_TIPOS_OT'!$A$4:$A$23,0)),"sin_clasificar"))</f>
        <v/>
      </c>
      <c r="V137" s="24">
        <f>IF($I137="","",IF(IFERROR(INDEX('CAT_TIPOS_OT'!$D$4:$D$23,MATCH($I137,'CAT_TIPOS_OT'!$A$4:$A$23,0)),"SIN CLASIFICAR")="","SIN CLASIFICAR",IFERROR(INDEX('CAT_TIPOS_OT'!$D$4:$D$23,MATCH($I137,'CAT_TIPOS_OT'!$A$4:$A$23,0)),"SIN CLASIFICAR")))</f>
        <v/>
      </c>
      <c r="W137" s="24">
        <f>IF($H137="","",IF(IFERROR(INDEX('CAT_ACTIVIDADES'!$F$4:$F$26,MATCH($H137,'CAT_ACTIVIDADES'!$A$4:$A$26,0)),"")=0,"",IFERROR(INDEX('CAT_ACTIVIDADES'!$F$4:$F$26,MATCH($H137,'CAT_ACTIVIDADES'!$A$4:$A$26,0)),"")))</f>
        <v/>
      </c>
      <c r="X137" s="24">
        <f>IF($F137="","",IFERROR(INDEX('CAT_CENTROS_COSTO'!$F$4:$F$28,MATCH($F137,'CAT_CENTROS_COSTO'!$A$4:$A$28,0)),"(sin catálogo)"))</f>
        <v/>
      </c>
      <c r="Y137" s="24">
        <f>IF($F137="","",IFERROR(INDEX('CAT_CENTROS_COSTO'!$D$4:$D$28,MATCH($F137,'CAT_CENTROS_COSTO'!$A$4:$A$28,0)),"(sin catálogo)"))</f>
        <v/>
      </c>
      <c r="Z137" s="24">
        <f>IF($F137="","",IF((IFERROR(INDEX('CAT_CENTROS_COSTO'!$E$4:$E$28,MATCH($F137,'CAT_CENTROS_COSTO'!$A$4:$A$28,0)),""))&lt;&gt;"",IFERROR(INDEX('CAT_CENTROS_COSTO'!$E$4:$E$28,MATCH($F137,'CAT_CENTROS_COSTO'!$A$4:$A$28,0)),""),$Y137))</f>
        <v/>
      </c>
      <c r="AA137" s="24">
        <f>IF($F137="","",IFERROR(INDEX('CAT_CENTROS_COSTO'!$G$4:$G$28,MATCH($F137,'CAT_CENTROS_COSTO'!$A$4:$A$28,0)),"(sin catálogo)"))</f>
        <v/>
      </c>
      <c r="AB137" s="24">
        <f>IF($G137="","",IFERROR(INDEX('CAT_PUESTOS'!$B$4:$B$23,MATCH($G137,'CAT_PUESTOS'!$A$4:$A$23,0)),"(sin catálogo)"))</f>
        <v/>
      </c>
      <c r="AC137" s="24">
        <f>IF($H137="","",IFERROR(INDEX('CAT_ACTIVIDADES'!$B$4:$B$26,MATCH($H137,'CAT_ACTIVIDADES'!$A$4:$A$26,0)),"(sin catálogo)"))</f>
        <v/>
      </c>
      <c r="AD137" s="26">
        <f>IF($J137="","",TODAY()-$J137)</f>
        <v/>
      </c>
      <c r="AE137" s="26">
        <f>IF($J137="","",IF($J137&lt;=TODAY(),COUNTIFS(cal_fechas,"&gt;="&amp;$J137,cal_fechas,"&lt;"&amp;TODAY(),cal_habil,"sí"),-COUNTIFS(cal_fechas,"&gt;="&amp;TODAY(),cal_fechas,"&lt;"&amp;$J137,cal_habil,"sí")))</f>
        <v/>
      </c>
      <c r="AF137" s="24">
        <f>IF($AE137="","",IF($AE137&lt;0,"FUTURO",IF($AE137&gt;p_dias_backlog_max,"BACKLOG","MES CORRIENTE")))</f>
        <v/>
      </c>
      <c r="AG137" s="24">
        <f>IF($AE137="",FALSE,AND($AE137&gt;p_dias_backlog_min,$AE137&lt;=p_dias_backlog_max))</f>
        <v/>
      </c>
      <c r="AH137" s="4" t="n"/>
      <c r="AI137" s="24">
        <f>IF($AH137="","",IF((IFERROR(INDEX('ASIGNACIONES'!$J$4:$J$451,MATCH($O137&amp;"|"&amp;$S137&amp;"|"&amp;$AH137,'ASIGNACIONES'!$N$4:$N$451,0)),""))=0,"",IFERROR(INDEX('ASIGNACIONES'!$J$4:$J$451,MATCH($O137&amp;"|"&amp;$S137&amp;"|"&amp;$AH137,'ASIGNACIONES'!$N$4:$N$451,0)),"")))</f>
        <v/>
      </c>
      <c r="AJ137" s="42">
        <f>IF($AH137="","",SUMIFS('ORDENES'!$M$4:$M$1203,'ORDENES'!$AH$4:$AH$1203,$AH137,'ORDENES'!$O$4:$O$1203,$O137,'ORDENES'!$S$4:$S$1203,$S137))</f>
        <v/>
      </c>
      <c r="AK137" s="42">
        <f>IF($AJ137="","",p_factor_productividad*IFERROR(INDEX('ASIGNACIONES'!$M$4:$M$451,MATCH($O137&amp;"|"&amp;$S137&amp;"|"&amp;$AH137,'ASIGNACIONES'!$N$4:$N$451,0)),0)-$AJ137)</f>
        <v/>
      </c>
      <c r="AL137" s="32">
        <f>IF($A137="","",IFERROR(INDEX('2_IMPORTAR_EJECUCION'!$F$9:$F$1208,MATCH($AU137,'2_IMPORTAR_EJECUCION'!$J$9:$J$1208,0)),0))</f>
        <v/>
      </c>
      <c r="AM137" s="32">
        <f>IF($A137="","",MAX(0,IFERROR(INDEX('2_IMPORTAR_EJECUCION'!$H$9:$H$1208,MATCH($AU137,'2_IMPORTAR_EJECUCION'!$J$9:$J$1208,0)),0)-$AL137))</f>
        <v/>
      </c>
      <c r="AN137" s="32">
        <f>IF($A137="","",$AL137+$AM137)</f>
        <v/>
      </c>
      <c r="AO137" s="24">
        <f>IF($A137="","",IF(OR((IFERROR(INDEX('CAT_ACTIVIDADES'!$D$4:$D$26,MATCH($H137,'CAT_ACTIVIDADES'!$A$4:$A$26,0)),""))=0,(IFERROR(INDEX('CAT_ACTIVIDADES'!$D$4:$D$26,MATCH($H137,'CAT_ACTIVIDADES'!$A$4:$A$26,0)),""))=""),"SIN CLASIFICAR",IFERROR(INDEX('CAT_ACTIVIDADES'!$D$4:$D$26,MATCH($H137,'CAT_ACTIVIDADES'!$A$4:$A$26,0)),"")))</f>
        <v/>
      </c>
      <c r="AP137" s="4" t="n"/>
      <c r="AQ137" s="4" t="n"/>
      <c r="AR137" s="4" t="n"/>
      <c r="AS137" s="24">
        <f>IF($AR137="","",HYPERLINK(p_ruta_base_checklists&amp;$AR137,"abrir"))</f>
        <v/>
      </c>
      <c r="AT137" s="4" t="n"/>
      <c r="AU137" s="24">
        <f>IF($A137="","",$A137&amp;IF($B137="","0010",$B137))</f>
        <v/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41" t="n"/>
      <c r="K138" s="5" t="n"/>
      <c r="L138" s="18" t="n"/>
      <c r="M138" s="24">
        <f>IF($A138="","",IFERROR(INDEX('AJUSTES'!$B$4:$B$303,MATCH($AU138,'AJUSTES'!$A$4:$A$303,0)),IF($K138="","",$K138)))</f>
        <v/>
      </c>
      <c r="N138" s="24">
        <f>IF($A138="","",IFERROR(INDEX('CAT_ESTADOS_ERP'!$B$4:$B$22,MATCH(IFERROR(INDEX('2_IMPORTAR_EJECUCION'!$C$9:$C$1208,MATCH($AU138,'2_IMPORTAR_EJECUCION'!$J$9:$J$1208,0)),""),'CAT_ESTADOS_ERP'!$A$4:$A$22,0)),"Pendiente"))</f>
        <v/>
      </c>
      <c r="O138" s="24">
        <f>IF($J138="","",YEAR($J138+4-WEEKDAY($J138,2))&amp;"-S"&amp;TEXT(_xlfn.ISOWEEKNUM($J138),"00"))</f>
        <v/>
      </c>
      <c r="P138" s="24">
        <f>IF($J138="","",YEAR($J138))</f>
        <v/>
      </c>
      <c r="Q138" s="24">
        <f>IF($J138="","",MONTH($J138))</f>
        <v/>
      </c>
      <c r="R138" s="24">
        <f>IF($J138="","",$P138&amp;"-"&amp;TEXT($Q138,"00"))</f>
        <v/>
      </c>
      <c r="S138" s="24">
        <f>IF($J138="","",INDEX(lista_dias,WEEKDAY($J138,2)))</f>
        <v/>
      </c>
      <c r="T138" s="24">
        <f>IF($J138="","",IFERROR(INDEX('CALENDARIO'!$C$15:$C$214,MATCH(TEXT($J138,"yyyy-mm-dd")&amp;"|"&amp;$Y138&amp;"|"&amp;$Z138,'CALENDARIO'!$G$15:$G$214,0)),IFERROR(INDEX('CALENDARIO'!$C$15:$C$214,MATCH(TEXT($J138,"yyyy-mm-dd")&amp;"|"&amp;$Y138&amp;"|",'CALENDARIO'!$G$15:$G$214,0)),IFERROR(INDEX('CALENDARIO'!$C$15:$C$214,MATCH(TEXT($J138,"yyyy-mm-dd")&amp;"||",'CALENDARIO'!$G$15:$G$214,0)),INDEX(patronHabil,WEEKDAY($J138,2))))))</f>
        <v/>
      </c>
      <c r="U138" s="24">
        <f>IF($I138="","",IFERROR(INDEX('CAT_TIPOS_OT'!$C$4:$C$23,MATCH($I138,'CAT_TIPOS_OT'!$A$4:$A$23,0)),"sin_clasificar"))</f>
        <v/>
      </c>
      <c r="V138" s="24">
        <f>IF($I138="","",IF(IFERROR(INDEX('CAT_TIPOS_OT'!$D$4:$D$23,MATCH($I138,'CAT_TIPOS_OT'!$A$4:$A$23,0)),"SIN CLASIFICAR")="","SIN CLASIFICAR",IFERROR(INDEX('CAT_TIPOS_OT'!$D$4:$D$23,MATCH($I138,'CAT_TIPOS_OT'!$A$4:$A$23,0)),"SIN CLASIFICAR")))</f>
        <v/>
      </c>
      <c r="W138" s="24">
        <f>IF($H138="","",IF(IFERROR(INDEX('CAT_ACTIVIDADES'!$F$4:$F$26,MATCH($H138,'CAT_ACTIVIDADES'!$A$4:$A$26,0)),"")=0,"",IFERROR(INDEX('CAT_ACTIVIDADES'!$F$4:$F$26,MATCH($H138,'CAT_ACTIVIDADES'!$A$4:$A$26,0)),"")))</f>
        <v/>
      </c>
      <c r="X138" s="24">
        <f>IF($F138="","",IFERROR(INDEX('CAT_CENTROS_COSTO'!$F$4:$F$28,MATCH($F138,'CAT_CENTROS_COSTO'!$A$4:$A$28,0)),"(sin catálogo)"))</f>
        <v/>
      </c>
      <c r="Y138" s="24">
        <f>IF($F138="","",IFERROR(INDEX('CAT_CENTROS_COSTO'!$D$4:$D$28,MATCH($F138,'CAT_CENTROS_COSTO'!$A$4:$A$28,0)),"(sin catálogo)"))</f>
        <v/>
      </c>
      <c r="Z138" s="24">
        <f>IF($F138="","",IF((IFERROR(INDEX('CAT_CENTROS_COSTO'!$E$4:$E$28,MATCH($F138,'CAT_CENTROS_COSTO'!$A$4:$A$28,0)),""))&lt;&gt;"",IFERROR(INDEX('CAT_CENTROS_COSTO'!$E$4:$E$28,MATCH($F138,'CAT_CENTROS_COSTO'!$A$4:$A$28,0)),""),$Y138))</f>
        <v/>
      </c>
      <c r="AA138" s="24">
        <f>IF($F138="","",IFERROR(INDEX('CAT_CENTROS_COSTO'!$G$4:$G$28,MATCH($F138,'CAT_CENTROS_COSTO'!$A$4:$A$28,0)),"(sin catálogo)"))</f>
        <v/>
      </c>
      <c r="AB138" s="24">
        <f>IF($G138="","",IFERROR(INDEX('CAT_PUESTOS'!$B$4:$B$23,MATCH($G138,'CAT_PUESTOS'!$A$4:$A$23,0)),"(sin catálogo)"))</f>
        <v/>
      </c>
      <c r="AC138" s="24">
        <f>IF($H138="","",IFERROR(INDEX('CAT_ACTIVIDADES'!$B$4:$B$26,MATCH($H138,'CAT_ACTIVIDADES'!$A$4:$A$26,0)),"(sin catálogo)"))</f>
        <v/>
      </c>
      <c r="AD138" s="26">
        <f>IF($J138="","",TODAY()-$J138)</f>
        <v/>
      </c>
      <c r="AE138" s="26">
        <f>IF($J138="","",IF($J138&lt;=TODAY(),COUNTIFS(cal_fechas,"&gt;="&amp;$J138,cal_fechas,"&lt;"&amp;TODAY(),cal_habil,"sí"),-COUNTIFS(cal_fechas,"&gt;="&amp;TODAY(),cal_fechas,"&lt;"&amp;$J138,cal_habil,"sí")))</f>
        <v/>
      </c>
      <c r="AF138" s="24">
        <f>IF($AE138="","",IF($AE138&lt;0,"FUTURO",IF($AE138&gt;p_dias_backlog_max,"BACKLOG","MES CORRIENTE")))</f>
        <v/>
      </c>
      <c r="AG138" s="24">
        <f>IF($AE138="",FALSE,AND($AE138&gt;p_dias_backlog_min,$AE138&lt;=p_dias_backlog_max))</f>
        <v/>
      </c>
      <c r="AH138" s="4" t="n"/>
      <c r="AI138" s="24">
        <f>IF($AH138="","",IF((IFERROR(INDEX('ASIGNACIONES'!$J$4:$J$451,MATCH($O138&amp;"|"&amp;$S138&amp;"|"&amp;$AH138,'ASIGNACIONES'!$N$4:$N$451,0)),""))=0,"",IFERROR(INDEX('ASIGNACIONES'!$J$4:$J$451,MATCH($O138&amp;"|"&amp;$S138&amp;"|"&amp;$AH138,'ASIGNACIONES'!$N$4:$N$451,0)),"")))</f>
        <v/>
      </c>
      <c r="AJ138" s="42">
        <f>IF($AH138="","",SUMIFS('ORDENES'!$M$4:$M$1203,'ORDENES'!$AH$4:$AH$1203,$AH138,'ORDENES'!$O$4:$O$1203,$O138,'ORDENES'!$S$4:$S$1203,$S138))</f>
        <v/>
      </c>
      <c r="AK138" s="42">
        <f>IF($AJ138="","",p_factor_productividad*IFERROR(INDEX('ASIGNACIONES'!$M$4:$M$451,MATCH($O138&amp;"|"&amp;$S138&amp;"|"&amp;$AH138,'ASIGNACIONES'!$N$4:$N$451,0)),0)-$AJ138)</f>
        <v/>
      </c>
      <c r="AL138" s="32">
        <f>IF($A138="","",IFERROR(INDEX('2_IMPORTAR_EJECUCION'!$F$9:$F$1208,MATCH($AU138,'2_IMPORTAR_EJECUCION'!$J$9:$J$1208,0)),0))</f>
        <v/>
      </c>
      <c r="AM138" s="32">
        <f>IF($A138="","",MAX(0,IFERROR(INDEX('2_IMPORTAR_EJECUCION'!$H$9:$H$1208,MATCH($AU138,'2_IMPORTAR_EJECUCION'!$J$9:$J$1208,0)),0)-$AL138))</f>
        <v/>
      </c>
      <c r="AN138" s="32">
        <f>IF($A138="","",$AL138+$AM138)</f>
        <v/>
      </c>
      <c r="AO138" s="24">
        <f>IF($A138="","",IF(OR((IFERROR(INDEX('CAT_ACTIVIDADES'!$D$4:$D$26,MATCH($H138,'CAT_ACTIVIDADES'!$A$4:$A$26,0)),""))=0,(IFERROR(INDEX('CAT_ACTIVIDADES'!$D$4:$D$26,MATCH($H138,'CAT_ACTIVIDADES'!$A$4:$A$26,0)),""))=""),"SIN CLASIFICAR",IFERROR(INDEX('CAT_ACTIVIDADES'!$D$4:$D$26,MATCH($H138,'CAT_ACTIVIDADES'!$A$4:$A$26,0)),"")))</f>
        <v/>
      </c>
      <c r="AP138" s="4" t="n"/>
      <c r="AQ138" s="4" t="n"/>
      <c r="AR138" s="4" t="n"/>
      <c r="AS138" s="24">
        <f>IF($AR138="","",HYPERLINK(p_ruta_base_checklists&amp;$AR138,"abrir"))</f>
        <v/>
      </c>
      <c r="AT138" s="4" t="n"/>
      <c r="AU138" s="24">
        <f>IF($A138="","",$A138&amp;IF($B138="","0010",$B138))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41" t="n"/>
      <c r="K139" s="5" t="n"/>
      <c r="L139" s="18" t="n"/>
      <c r="M139" s="24">
        <f>IF($A139="","",IFERROR(INDEX('AJUSTES'!$B$4:$B$303,MATCH($AU139,'AJUSTES'!$A$4:$A$303,0)),IF($K139="","",$K139)))</f>
        <v/>
      </c>
      <c r="N139" s="24">
        <f>IF($A139="","",IFERROR(INDEX('CAT_ESTADOS_ERP'!$B$4:$B$22,MATCH(IFERROR(INDEX('2_IMPORTAR_EJECUCION'!$C$9:$C$1208,MATCH($AU139,'2_IMPORTAR_EJECUCION'!$J$9:$J$1208,0)),""),'CAT_ESTADOS_ERP'!$A$4:$A$22,0)),"Pendiente"))</f>
        <v/>
      </c>
      <c r="O139" s="24">
        <f>IF($J139="","",YEAR($J139+4-WEEKDAY($J139,2))&amp;"-S"&amp;TEXT(_xlfn.ISOWEEKNUM($J139),"00"))</f>
        <v/>
      </c>
      <c r="P139" s="24">
        <f>IF($J139="","",YEAR($J139))</f>
        <v/>
      </c>
      <c r="Q139" s="24">
        <f>IF($J139="","",MONTH($J139))</f>
        <v/>
      </c>
      <c r="R139" s="24">
        <f>IF($J139="","",$P139&amp;"-"&amp;TEXT($Q139,"00"))</f>
        <v/>
      </c>
      <c r="S139" s="24">
        <f>IF($J139="","",INDEX(lista_dias,WEEKDAY($J139,2)))</f>
        <v/>
      </c>
      <c r="T139" s="24">
        <f>IF($J139="","",IFERROR(INDEX('CALENDARIO'!$C$15:$C$214,MATCH(TEXT($J139,"yyyy-mm-dd")&amp;"|"&amp;$Y139&amp;"|"&amp;$Z139,'CALENDARIO'!$G$15:$G$214,0)),IFERROR(INDEX('CALENDARIO'!$C$15:$C$214,MATCH(TEXT($J139,"yyyy-mm-dd")&amp;"|"&amp;$Y139&amp;"|",'CALENDARIO'!$G$15:$G$214,0)),IFERROR(INDEX('CALENDARIO'!$C$15:$C$214,MATCH(TEXT($J139,"yyyy-mm-dd")&amp;"||",'CALENDARIO'!$G$15:$G$214,0)),INDEX(patronHabil,WEEKDAY($J139,2))))))</f>
        <v/>
      </c>
      <c r="U139" s="24">
        <f>IF($I139="","",IFERROR(INDEX('CAT_TIPOS_OT'!$C$4:$C$23,MATCH($I139,'CAT_TIPOS_OT'!$A$4:$A$23,0)),"sin_clasificar"))</f>
        <v/>
      </c>
      <c r="V139" s="24">
        <f>IF($I139="","",IF(IFERROR(INDEX('CAT_TIPOS_OT'!$D$4:$D$23,MATCH($I139,'CAT_TIPOS_OT'!$A$4:$A$23,0)),"SIN CLASIFICAR")="","SIN CLASIFICAR",IFERROR(INDEX('CAT_TIPOS_OT'!$D$4:$D$23,MATCH($I139,'CAT_TIPOS_OT'!$A$4:$A$23,0)),"SIN CLASIFICAR")))</f>
        <v/>
      </c>
      <c r="W139" s="24">
        <f>IF($H139="","",IF(IFERROR(INDEX('CAT_ACTIVIDADES'!$F$4:$F$26,MATCH($H139,'CAT_ACTIVIDADES'!$A$4:$A$26,0)),"")=0,"",IFERROR(INDEX('CAT_ACTIVIDADES'!$F$4:$F$26,MATCH($H139,'CAT_ACTIVIDADES'!$A$4:$A$26,0)),"")))</f>
        <v/>
      </c>
      <c r="X139" s="24">
        <f>IF($F139="","",IFERROR(INDEX('CAT_CENTROS_COSTO'!$F$4:$F$28,MATCH($F139,'CAT_CENTROS_COSTO'!$A$4:$A$28,0)),"(sin catálogo)"))</f>
        <v/>
      </c>
      <c r="Y139" s="24">
        <f>IF($F139="","",IFERROR(INDEX('CAT_CENTROS_COSTO'!$D$4:$D$28,MATCH($F139,'CAT_CENTROS_COSTO'!$A$4:$A$28,0)),"(sin catálogo)"))</f>
        <v/>
      </c>
      <c r="Z139" s="24">
        <f>IF($F139="","",IF((IFERROR(INDEX('CAT_CENTROS_COSTO'!$E$4:$E$28,MATCH($F139,'CAT_CENTROS_COSTO'!$A$4:$A$28,0)),""))&lt;&gt;"",IFERROR(INDEX('CAT_CENTROS_COSTO'!$E$4:$E$28,MATCH($F139,'CAT_CENTROS_COSTO'!$A$4:$A$28,0)),""),$Y139))</f>
        <v/>
      </c>
      <c r="AA139" s="24">
        <f>IF($F139="","",IFERROR(INDEX('CAT_CENTROS_COSTO'!$G$4:$G$28,MATCH($F139,'CAT_CENTROS_COSTO'!$A$4:$A$28,0)),"(sin catálogo)"))</f>
        <v/>
      </c>
      <c r="AB139" s="24">
        <f>IF($G139="","",IFERROR(INDEX('CAT_PUESTOS'!$B$4:$B$23,MATCH($G139,'CAT_PUESTOS'!$A$4:$A$23,0)),"(sin catálogo)"))</f>
        <v/>
      </c>
      <c r="AC139" s="24">
        <f>IF($H139="","",IFERROR(INDEX('CAT_ACTIVIDADES'!$B$4:$B$26,MATCH($H139,'CAT_ACTIVIDADES'!$A$4:$A$26,0)),"(sin catálogo)"))</f>
        <v/>
      </c>
      <c r="AD139" s="26">
        <f>IF($J139="","",TODAY()-$J139)</f>
        <v/>
      </c>
      <c r="AE139" s="26">
        <f>IF($J139="","",IF($J139&lt;=TODAY(),COUNTIFS(cal_fechas,"&gt;="&amp;$J139,cal_fechas,"&lt;"&amp;TODAY(),cal_habil,"sí"),-COUNTIFS(cal_fechas,"&gt;="&amp;TODAY(),cal_fechas,"&lt;"&amp;$J139,cal_habil,"sí")))</f>
        <v/>
      </c>
      <c r="AF139" s="24">
        <f>IF($AE139="","",IF($AE139&lt;0,"FUTURO",IF($AE139&gt;p_dias_backlog_max,"BACKLOG","MES CORRIENTE")))</f>
        <v/>
      </c>
      <c r="AG139" s="24">
        <f>IF($AE139="",FALSE,AND($AE139&gt;p_dias_backlog_min,$AE139&lt;=p_dias_backlog_max))</f>
        <v/>
      </c>
      <c r="AH139" s="4" t="n"/>
      <c r="AI139" s="24">
        <f>IF($AH139="","",IF((IFERROR(INDEX('ASIGNACIONES'!$J$4:$J$451,MATCH($O139&amp;"|"&amp;$S139&amp;"|"&amp;$AH139,'ASIGNACIONES'!$N$4:$N$451,0)),""))=0,"",IFERROR(INDEX('ASIGNACIONES'!$J$4:$J$451,MATCH($O139&amp;"|"&amp;$S139&amp;"|"&amp;$AH139,'ASIGNACIONES'!$N$4:$N$451,0)),"")))</f>
        <v/>
      </c>
      <c r="AJ139" s="42">
        <f>IF($AH139="","",SUMIFS('ORDENES'!$M$4:$M$1203,'ORDENES'!$AH$4:$AH$1203,$AH139,'ORDENES'!$O$4:$O$1203,$O139,'ORDENES'!$S$4:$S$1203,$S139))</f>
        <v/>
      </c>
      <c r="AK139" s="42">
        <f>IF($AJ139="","",p_factor_productividad*IFERROR(INDEX('ASIGNACIONES'!$M$4:$M$451,MATCH($O139&amp;"|"&amp;$S139&amp;"|"&amp;$AH139,'ASIGNACIONES'!$N$4:$N$451,0)),0)-$AJ139)</f>
        <v/>
      </c>
      <c r="AL139" s="32">
        <f>IF($A139="","",IFERROR(INDEX('2_IMPORTAR_EJECUCION'!$F$9:$F$1208,MATCH($AU139,'2_IMPORTAR_EJECUCION'!$J$9:$J$1208,0)),0))</f>
        <v/>
      </c>
      <c r="AM139" s="32">
        <f>IF($A139="","",MAX(0,IFERROR(INDEX('2_IMPORTAR_EJECUCION'!$H$9:$H$1208,MATCH($AU139,'2_IMPORTAR_EJECUCION'!$J$9:$J$1208,0)),0)-$AL139))</f>
        <v/>
      </c>
      <c r="AN139" s="32">
        <f>IF($A139="","",$AL139+$AM139)</f>
        <v/>
      </c>
      <c r="AO139" s="24">
        <f>IF($A139="","",IF(OR((IFERROR(INDEX('CAT_ACTIVIDADES'!$D$4:$D$26,MATCH($H139,'CAT_ACTIVIDADES'!$A$4:$A$26,0)),""))=0,(IFERROR(INDEX('CAT_ACTIVIDADES'!$D$4:$D$26,MATCH($H139,'CAT_ACTIVIDADES'!$A$4:$A$26,0)),""))=""),"SIN CLASIFICAR",IFERROR(INDEX('CAT_ACTIVIDADES'!$D$4:$D$26,MATCH($H139,'CAT_ACTIVIDADES'!$A$4:$A$26,0)),"")))</f>
        <v/>
      </c>
      <c r="AP139" s="4" t="n"/>
      <c r="AQ139" s="4" t="n"/>
      <c r="AR139" s="4" t="n"/>
      <c r="AS139" s="24">
        <f>IF($AR139="","",HYPERLINK(p_ruta_base_checklists&amp;$AR139,"abrir"))</f>
        <v/>
      </c>
      <c r="AT139" s="4" t="n"/>
      <c r="AU139" s="24">
        <f>IF($A139="","",$A139&amp;IF($B139="","0010",$B139))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41" t="n"/>
      <c r="K140" s="5" t="n"/>
      <c r="L140" s="18" t="n"/>
      <c r="M140" s="24">
        <f>IF($A140="","",IFERROR(INDEX('AJUSTES'!$B$4:$B$303,MATCH($AU140,'AJUSTES'!$A$4:$A$303,0)),IF($K140="","",$K140)))</f>
        <v/>
      </c>
      <c r="N140" s="24">
        <f>IF($A140="","",IFERROR(INDEX('CAT_ESTADOS_ERP'!$B$4:$B$22,MATCH(IFERROR(INDEX('2_IMPORTAR_EJECUCION'!$C$9:$C$1208,MATCH($AU140,'2_IMPORTAR_EJECUCION'!$J$9:$J$1208,0)),""),'CAT_ESTADOS_ERP'!$A$4:$A$22,0)),"Pendiente"))</f>
        <v/>
      </c>
      <c r="O140" s="24">
        <f>IF($J140="","",YEAR($J140+4-WEEKDAY($J140,2))&amp;"-S"&amp;TEXT(_xlfn.ISOWEEKNUM($J140),"00"))</f>
        <v/>
      </c>
      <c r="P140" s="24">
        <f>IF($J140="","",YEAR($J140))</f>
        <v/>
      </c>
      <c r="Q140" s="24">
        <f>IF($J140="","",MONTH($J140))</f>
        <v/>
      </c>
      <c r="R140" s="24">
        <f>IF($J140="","",$P140&amp;"-"&amp;TEXT($Q140,"00"))</f>
        <v/>
      </c>
      <c r="S140" s="24">
        <f>IF($J140="","",INDEX(lista_dias,WEEKDAY($J140,2)))</f>
        <v/>
      </c>
      <c r="T140" s="24">
        <f>IF($J140="","",IFERROR(INDEX('CALENDARIO'!$C$15:$C$214,MATCH(TEXT($J140,"yyyy-mm-dd")&amp;"|"&amp;$Y140&amp;"|"&amp;$Z140,'CALENDARIO'!$G$15:$G$214,0)),IFERROR(INDEX('CALENDARIO'!$C$15:$C$214,MATCH(TEXT($J140,"yyyy-mm-dd")&amp;"|"&amp;$Y140&amp;"|",'CALENDARIO'!$G$15:$G$214,0)),IFERROR(INDEX('CALENDARIO'!$C$15:$C$214,MATCH(TEXT($J140,"yyyy-mm-dd")&amp;"||",'CALENDARIO'!$G$15:$G$214,0)),INDEX(patronHabil,WEEKDAY($J140,2))))))</f>
        <v/>
      </c>
      <c r="U140" s="24">
        <f>IF($I140="","",IFERROR(INDEX('CAT_TIPOS_OT'!$C$4:$C$23,MATCH($I140,'CAT_TIPOS_OT'!$A$4:$A$23,0)),"sin_clasificar"))</f>
        <v/>
      </c>
      <c r="V140" s="24">
        <f>IF($I140="","",IF(IFERROR(INDEX('CAT_TIPOS_OT'!$D$4:$D$23,MATCH($I140,'CAT_TIPOS_OT'!$A$4:$A$23,0)),"SIN CLASIFICAR")="","SIN CLASIFICAR",IFERROR(INDEX('CAT_TIPOS_OT'!$D$4:$D$23,MATCH($I140,'CAT_TIPOS_OT'!$A$4:$A$23,0)),"SIN CLASIFICAR")))</f>
        <v/>
      </c>
      <c r="W140" s="24">
        <f>IF($H140="","",IF(IFERROR(INDEX('CAT_ACTIVIDADES'!$F$4:$F$26,MATCH($H140,'CAT_ACTIVIDADES'!$A$4:$A$26,0)),"")=0,"",IFERROR(INDEX('CAT_ACTIVIDADES'!$F$4:$F$26,MATCH($H140,'CAT_ACTIVIDADES'!$A$4:$A$26,0)),"")))</f>
        <v/>
      </c>
      <c r="X140" s="24">
        <f>IF($F140="","",IFERROR(INDEX('CAT_CENTROS_COSTO'!$F$4:$F$28,MATCH($F140,'CAT_CENTROS_COSTO'!$A$4:$A$28,0)),"(sin catálogo)"))</f>
        <v/>
      </c>
      <c r="Y140" s="24">
        <f>IF($F140="","",IFERROR(INDEX('CAT_CENTROS_COSTO'!$D$4:$D$28,MATCH($F140,'CAT_CENTROS_COSTO'!$A$4:$A$28,0)),"(sin catálogo)"))</f>
        <v/>
      </c>
      <c r="Z140" s="24">
        <f>IF($F140="","",IF((IFERROR(INDEX('CAT_CENTROS_COSTO'!$E$4:$E$28,MATCH($F140,'CAT_CENTROS_COSTO'!$A$4:$A$28,0)),""))&lt;&gt;"",IFERROR(INDEX('CAT_CENTROS_COSTO'!$E$4:$E$28,MATCH($F140,'CAT_CENTROS_COSTO'!$A$4:$A$28,0)),""),$Y140))</f>
        <v/>
      </c>
      <c r="AA140" s="24">
        <f>IF($F140="","",IFERROR(INDEX('CAT_CENTROS_COSTO'!$G$4:$G$28,MATCH($F140,'CAT_CENTROS_COSTO'!$A$4:$A$28,0)),"(sin catálogo)"))</f>
        <v/>
      </c>
      <c r="AB140" s="24">
        <f>IF($G140="","",IFERROR(INDEX('CAT_PUESTOS'!$B$4:$B$23,MATCH($G140,'CAT_PUESTOS'!$A$4:$A$23,0)),"(sin catálogo)"))</f>
        <v/>
      </c>
      <c r="AC140" s="24">
        <f>IF($H140="","",IFERROR(INDEX('CAT_ACTIVIDADES'!$B$4:$B$26,MATCH($H140,'CAT_ACTIVIDADES'!$A$4:$A$26,0)),"(sin catálogo)"))</f>
        <v/>
      </c>
      <c r="AD140" s="26">
        <f>IF($J140="","",TODAY()-$J140)</f>
        <v/>
      </c>
      <c r="AE140" s="26">
        <f>IF($J140="","",IF($J140&lt;=TODAY(),COUNTIFS(cal_fechas,"&gt;="&amp;$J140,cal_fechas,"&lt;"&amp;TODAY(),cal_habil,"sí"),-COUNTIFS(cal_fechas,"&gt;="&amp;TODAY(),cal_fechas,"&lt;"&amp;$J140,cal_habil,"sí")))</f>
        <v/>
      </c>
      <c r="AF140" s="24">
        <f>IF($AE140="","",IF($AE140&lt;0,"FUTURO",IF($AE140&gt;p_dias_backlog_max,"BACKLOG","MES CORRIENTE")))</f>
        <v/>
      </c>
      <c r="AG140" s="24">
        <f>IF($AE140="",FALSE,AND($AE140&gt;p_dias_backlog_min,$AE140&lt;=p_dias_backlog_max))</f>
        <v/>
      </c>
      <c r="AH140" s="4" t="n"/>
      <c r="AI140" s="24">
        <f>IF($AH140="","",IF((IFERROR(INDEX('ASIGNACIONES'!$J$4:$J$451,MATCH($O140&amp;"|"&amp;$S140&amp;"|"&amp;$AH140,'ASIGNACIONES'!$N$4:$N$451,0)),""))=0,"",IFERROR(INDEX('ASIGNACIONES'!$J$4:$J$451,MATCH($O140&amp;"|"&amp;$S140&amp;"|"&amp;$AH140,'ASIGNACIONES'!$N$4:$N$451,0)),"")))</f>
        <v/>
      </c>
      <c r="AJ140" s="42">
        <f>IF($AH140="","",SUMIFS('ORDENES'!$M$4:$M$1203,'ORDENES'!$AH$4:$AH$1203,$AH140,'ORDENES'!$O$4:$O$1203,$O140,'ORDENES'!$S$4:$S$1203,$S140))</f>
        <v/>
      </c>
      <c r="AK140" s="42">
        <f>IF($AJ140="","",p_factor_productividad*IFERROR(INDEX('ASIGNACIONES'!$M$4:$M$451,MATCH($O140&amp;"|"&amp;$S140&amp;"|"&amp;$AH140,'ASIGNACIONES'!$N$4:$N$451,0)),0)-$AJ140)</f>
        <v/>
      </c>
      <c r="AL140" s="32">
        <f>IF($A140="","",IFERROR(INDEX('2_IMPORTAR_EJECUCION'!$F$9:$F$1208,MATCH($AU140,'2_IMPORTAR_EJECUCION'!$J$9:$J$1208,0)),0))</f>
        <v/>
      </c>
      <c r="AM140" s="32">
        <f>IF($A140="","",MAX(0,IFERROR(INDEX('2_IMPORTAR_EJECUCION'!$H$9:$H$1208,MATCH($AU140,'2_IMPORTAR_EJECUCION'!$J$9:$J$1208,0)),0)-$AL140))</f>
        <v/>
      </c>
      <c r="AN140" s="32">
        <f>IF($A140="","",$AL140+$AM140)</f>
        <v/>
      </c>
      <c r="AO140" s="24">
        <f>IF($A140="","",IF(OR((IFERROR(INDEX('CAT_ACTIVIDADES'!$D$4:$D$26,MATCH($H140,'CAT_ACTIVIDADES'!$A$4:$A$26,0)),""))=0,(IFERROR(INDEX('CAT_ACTIVIDADES'!$D$4:$D$26,MATCH($H140,'CAT_ACTIVIDADES'!$A$4:$A$26,0)),""))=""),"SIN CLASIFICAR",IFERROR(INDEX('CAT_ACTIVIDADES'!$D$4:$D$26,MATCH($H140,'CAT_ACTIVIDADES'!$A$4:$A$26,0)),"")))</f>
        <v/>
      </c>
      <c r="AP140" s="4" t="n"/>
      <c r="AQ140" s="4" t="n"/>
      <c r="AR140" s="4" t="n"/>
      <c r="AS140" s="24">
        <f>IF($AR140="","",HYPERLINK(p_ruta_base_checklists&amp;$AR140,"abrir"))</f>
        <v/>
      </c>
      <c r="AT140" s="4" t="n"/>
      <c r="AU140" s="24">
        <f>IF($A140="","",$A140&amp;IF($B140="","0010",$B140))</f>
        <v/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41" t="n"/>
      <c r="K141" s="5" t="n"/>
      <c r="L141" s="18" t="n"/>
      <c r="M141" s="24">
        <f>IF($A141="","",IFERROR(INDEX('AJUSTES'!$B$4:$B$303,MATCH($AU141,'AJUSTES'!$A$4:$A$303,0)),IF($K141="","",$K141)))</f>
        <v/>
      </c>
      <c r="N141" s="24">
        <f>IF($A141="","",IFERROR(INDEX('CAT_ESTADOS_ERP'!$B$4:$B$22,MATCH(IFERROR(INDEX('2_IMPORTAR_EJECUCION'!$C$9:$C$1208,MATCH($AU141,'2_IMPORTAR_EJECUCION'!$J$9:$J$1208,0)),""),'CAT_ESTADOS_ERP'!$A$4:$A$22,0)),"Pendiente"))</f>
        <v/>
      </c>
      <c r="O141" s="24">
        <f>IF($J141="","",YEAR($J141+4-WEEKDAY($J141,2))&amp;"-S"&amp;TEXT(_xlfn.ISOWEEKNUM($J141),"00"))</f>
        <v/>
      </c>
      <c r="P141" s="24">
        <f>IF($J141="","",YEAR($J141))</f>
        <v/>
      </c>
      <c r="Q141" s="24">
        <f>IF($J141="","",MONTH($J141))</f>
        <v/>
      </c>
      <c r="R141" s="24">
        <f>IF($J141="","",$P141&amp;"-"&amp;TEXT($Q141,"00"))</f>
        <v/>
      </c>
      <c r="S141" s="24">
        <f>IF($J141="","",INDEX(lista_dias,WEEKDAY($J141,2)))</f>
        <v/>
      </c>
      <c r="T141" s="24">
        <f>IF($J141="","",IFERROR(INDEX('CALENDARIO'!$C$15:$C$214,MATCH(TEXT($J141,"yyyy-mm-dd")&amp;"|"&amp;$Y141&amp;"|"&amp;$Z141,'CALENDARIO'!$G$15:$G$214,0)),IFERROR(INDEX('CALENDARIO'!$C$15:$C$214,MATCH(TEXT($J141,"yyyy-mm-dd")&amp;"|"&amp;$Y141&amp;"|",'CALENDARIO'!$G$15:$G$214,0)),IFERROR(INDEX('CALENDARIO'!$C$15:$C$214,MATCH(TEXT($J141,"yyyy-mm-dd")&amp;"||",'CALENDARIO'!$G$15:$G$214,0)),INDEX(patronHabil,WEEKDAY($J141,2))))))</f>
        <v/>
      </c>
      <c r="U141" s="24">
        <f>IF($I141="","",IFERROR(INDEX('CAT_TIPOS_OT'!$C$4:$C$23,MATCH($I141,'CAT_TIPOS_OT'!$A$4:$A$23,0)),"sin_clasificar"))</f>
        <v/>
      </c>
      <c r="V141" s="24">
        <f>IF($I141="","",IF(IFERROR(INDEX('CAT_TIPOS_OT'!$D$4:$D$23,MATCH($I141,'CAT_TIPOS_OT'!$A$4:$A$23,0)),"SIN CLASIFICAR")="","SIN CLASIFICAR",IFERROR(INDEX('CAT_TIPOS_OT'!$D$4:$D$23,MATCH($I141,'CAT_TIPOS_OT'!$A$4:$A$23,0)),"SIN CLASIFICAR")))</f>
        <v/>
      </c>
      <c r="W141" s="24">
        <f>IF($H141="","",IF(IFERROR(INDEX('CAT_ACTIVIDADES'!$F$4:$F$26,MATCH($H141,'CAT_ACTIVIDADES'!$A$4:$A$26,0)),"")=0,"",IFERROR(INDEX('CAT_ACTIVIDADES'!$F$4:$F$26,MATCH($H141,'CAT_ACTIVIDADES'!$A$4:$A$26,0)),"")))</f>
        <v/>
      </c>
      <c r="X141" s="24">
        <f>IF($F141="","",IFERROR(INDEX('CAT_CENTROS_COSTO'!$F$4:$F$28,MATCH($F141,'CAT_CENTROS_COSTO'!$A$4:$A$28,0)),"(sin catálogo)"))</f>
        <v/>
      </c>
      <c r="Y141" s="24">
        <f>IF($F141="","",IFERROR(INDEX('CAT_CENTROS_COSTO'!$D$4:$D$28,MATCH($F141,'CAT_CENTROS_COSTO'!$A$4:$A$28,0)),"(sin catálogo)"))</f>
        <v/>
      </c>
      <c r="Z141" s="24">
        <f>IF($F141="","",IF((IFERROR(INDEX('CAT_CENTROS_COSTO'!$E$4:$E$28,MATCH($F141,'CAT_CENTROS_COSTO'!$A$4:$A$28,0)),""))&lt;&gt;"",IFERROR(INDEX('CAT_CENTROS_COSTO'!$E$4:$E$28,MATCH($F141,'CAT_CENTROS_COSTO'!$A$4:$A$28,0)),""),$Y141))</f>
        <v/>
      </c>
      <c r="AA141" s="24">
        <f>IF($F141="","",IFERROR(INDEX('CAT_CENTROS_COSTO'!$G$4:$G$28,MATCH($F141,'CAT_CENTROS_COSTO'!$A$4:$A$28,0)),"(sin catálogo)"))</f>
        <v/>
      </c>
      <c r="AB141" s="24">
        <f>IF($G141="","",IFERROR(INDEX('CAT_PUESTOS'!$B$4:$B$23,MATCH($G141,'CAT_PUESTOS'!$A$4:$A$23,0)),"(sin catálogo)"))</f>
        <v/>
      </c>
      <c r="AC141" s="24">
        <f>IF($H141="","",IFERROR(INDEX('CAT_ACTIVIDADES'!$B$4:$B$26,MATCH($H141,'CAT_ACTIVIDADES'!$A$4:$A$26,0)),"(sin catálogo)"))</f>
        <v/>
      </c>
      <c r="AD141" s="26">
        <f>IF($J141="","",TODAY()-$J141)</f>
        <v/>
      </c>
      <c r="AE141" s="26">
        <f>IF($J141="","",IF($J141&lt;=TODAY(),COUNTIFS(cal_fechas,"&gt;="&amp;$J141,cal_fechas,"&lt;"&amp;TODAY(),cal_habil,"sí"),-COUNTIFS(cal_fechas,"&gt;="&amp;TODAY(),cal_fechas,"&lt;"&amp;$J141,cal_habil,"sí")))</f>
        <v/>
      </c>
      <c r="AF141" s="24">
        <f>IF($AE141="","",IF($AE141&lt;0,"FUTURO",IF($AE141&gt;p_dias_backlog_max,"BACKLOG","MES CORRIENTE")))</f>
        <v/>
      </c>
      <c r="AG141" s="24">
        <f>IF($AE141="",FALSE,AND($AE141&gt;p_dias_backlog_min,$AE141&lt;=p_dias_backlog_max))</f>
        <v/>
      </c>
      <c r="AH141" s="4" t="n"/>
      <c r="AI141" s="24">
        <f>IF($AH141="","",IF((IFERROR(INDEX('ASIGNACIONES'!$J$4:$J$451,MATCH($O141&amp;"|"&amp;$S141&amp;"|"&amp;$AH141,'ASIGNACIONES'!$N$4:$N$451,0)),""))=0,"",IFERROR(INDEX('ASIGNACIONES'!$J$4:$J$451,MATCH($O141&amp;"|"&amp;$S141&amp;"|"&amp;$AH141,'ASIGNACIONES'!$N$4:$N$451,0)),"")))</f>
        <v/>
      </c>
      <c r="AJ141" s="42">
        <f>IF($AH141="","",SUMIFS('ORDENES'!$M$4:$M$1203,'ORDENES'!$AH$4:$AH$1203,$AH141,'ORDENES'!$O$4:$O$1203,$O141,'ORDENES'!$S$4:$S$1203,$S141))</f>
        <v/>
      </c>
      <c r="AK141" s="42">
        <f>IF($AJ141="","",p_factor_productividad*IFERROR(INDEX('ASIGNACIONES'!$M$4:$M$451,MATCH($O141&amp;"|"&amp;$S141&amp;"|"&amp;$AH141,'ASIGNACIONES'!$N$4:$N$451,0)),0)-$AJ141)</f>
        <v/>
      </c>
      <c r="AL141" s="32">
        <f>IF($A141="","",IFERROR(INDEX('2_IMPORTAR_EJECUCION'!$F$9:$F$1208,MATCH($AU141,'2_IMPORTAR_EJECUCION'!$J$9:$J$1208,0)),0))</f>
        <v/>
      </c>
      <c r="AM141" s="32">
        <f>IF($A141="","",MAX(0,IFERROR(INDEX('2_IMPORTAR_EJECUCION'!$H$9:$H$1208,MATCH($AU141,'2_IMPORTAR_EJECUCION'!$J$9:$J$1208,0)),0)-$AL141))</f>
        <v/>
      </c>
      <c r="AN141" s="32">
        <f>IF($A141="","",$AL141+$AM141)</f>
        <v/>
      </c>
      <c r="AO141" s="24">
        <f>IF($A141="","",IF(OR((IFERROR(INDEX('CAT_ACTIVIDADES'!$D$4:$D$26,MATCH($H141,'CAT_ACTIVIDADES'!$A$4:$A$26,0)),""))=0,(IFERROR(INDEX('CAT_ACTIVIDADES'!$D$4:$D$26,MATCH($H141,'CAT_ACTIVIDADES'!$A$4:$A$26,0)),""))=""),"SIN CLASIFICAR",IFERROR(INDEX('CAT_ACTIVIDADES'!$D$4:$D$26,MATCH($H141,'CAT_ACTIVIDADES'!$A$4:$A$26,0)),"")))</f>
        <v/>
      </c>
      <c r="AP141" s="4" t="n"/>
      <c r="AQ141" s="4" t="n"/>
      <c r="AR141" s="4" t="n"/>
      <c r="AS141" s="24">
        <f>IF($AR141="","",HYPERLINK(p_ruta_base_checklists&amp;$AR141,"abrir"))</f>
        <v/>
      </c>
      <c r="AT141" s="4" t="n"/>
      <c r="AU141" s="24">
        <f>IF($A141="","",$A141&amp;IF($B141="","0010",$B141))</f>
        <v/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41" t="n"/>
      <c r="K142" s="5" t="n"/>
      <c r="L142" s="18" t="n"/>
      <c r="M142" s="24">
        <f>IF($A142="","",IFERROR(INDEX('AJUSTES'!$B$4:$B$303,MATCH($AU142,'AJUSTES'!$A$4:$A$303,0)),IF($K142="","",$K142)))</f>
        <v/>
      </c>
      <c r="N142" s="24">
        <f>IF($A142="","",IFERROR(INDEX('CAT_ESTADOS_ERP'!$B$4:$B$22,MATCH(IFERROR(INDEX('2_IMPORTAR_EJECUCION'!$C$9:$C$1208,MATCH($AU142,'2_IMPORTAR_EJECUCION'!$J$9:$J$1208,0)),""),'CAT_ESTADOS_ERP'!$A$4:$A$22,0)),"Pendiente"))</f>
        <v/>
      </c>
      <c r="O142" s="24">
        <f>IF($J142="","",YEAR($J142+4-WEEKDAY($J142,2))&amp;"-S"&amp;TEXT(_xlfn.ISOWEEKNUM($J142),"00"))</f>
        <v/>
      </c>
      <c r="P142" s="24">
        <f>IF($J142="","",YEAR($J142))</f>
        <v/>
      </c>
      <c r="Q142" s="24">
        <f>IF($J142="","",MONTH($J142))</f>
        <v/>
      </c>
      <c r="R142" s="24">
        <f>IF($J142="","",$P142&amp;"-"&amp;TEXT($Q142,"00"))</f>
        <v/>
      </c>
      <c r="S142" s="24">
        <f>IF($J142="","",INDEX(lista_dias,WEEKDAY($J142,2)))</f>
        <v/>
      </c>
      <c r="T142" s="24">
        <f>IF($J142="","",IFERROR(INDEX('CALENDARIO'!$C$15:$C$214,MATCH(TEXT($J142,"yyyy-mm-dd")&amp;"|"&amp;$Y142&amp;"|"&amp;$Z142,'CALENDARIO'!$G$15:$G$214,0)),IFERROR(INDEX('CALENDARIO'!$C$15:$C$214,MATCH(TEXT($J142,"yyyy-mm-dd")&amp;"|"&amp;$Y142&amp;"|",'CALENDARIO'!$G$15:$G$214,0)),IFERROR(INDEX('CALENDARIO'!$C$15:$C$214,MATCH(TEXT($J142,"yyyy-mm-dd")&amp;"||",'CALENDARIO'!$G$15:$G$214,0)),INDEX(patronHabil,WEEKDAY($J142,2))))))</f>
        <v/>
      </c>
      <c r="U142" s="24">
        <f>IF($I142="","",IFERROR(INDEX('CAT_TIPOS_OT'!$C$4:$C$23,MATCH($I142,'CAT_TIPOS_OT'!$A$4:$A$23,0)),"sin_clasificar"))</f>
        <v/>
      </c>
      <c r="V142" s="24">
        <f>IF($I142="","",IF(IFERROR(INDEX('CAT_TIPOS_OT'!$D$4:$D$23,MATCH($I142,'CAT_TIPOS_OT'!$A$4:$A$23,0)),"SIN CLASIFICAR")="","SIN CLASIFICAR",IFERROR(INDEX('CAT_TIPOS_OT'!$D$4:$D$23,MATCH($I142,'CAT_TIPOS_OT'!$A$4:$A$23,0)),"SIN CLASIFICAR")))</f>
        <v/>
      </c>
      <c r="W142" s="24">
        <f>IF($H142="","",IF(IFERROR(INDEX('CAT_ACTIVIDADES'!$F$4:$F$26,MATCH($H142,'CAT_ACTIVIDADES'!$A$4:$A$26,0)),"")=0,"",IFERROR(INDEX('CAT_ACTIVIDADES'!$F$4:$F$26,MATCH($H142,'CAT_ACTIVIDADES'!$A$4:$A$26,0)),"")))</f>
        <v/>
      </c>
      <c r="X142" s="24">
        <f>IF($F142="","",IFERROR(INDEX('CAT_CENTROS_COSTO'!$F$4:$F$28,MATCH($F142,'CAT_CENTROS_COSTO'!$A$4:$A$28,0)),"(sin catálogo)"))</f>
        <v/>
      </c>
      <c r="Y142" s="24">
        <f>IF($F142="","",IFERROR(INDEX('CAT_CENTROS_COSTO'!$D$4:$D$28,MATCH($F142,'CAT_CENTROS_COSTO'!$A$4:$A$28,0)),"(sin catálogo)"))</f>
        <v/>
      </c>
      <c r="Z142" s="24">
        <f>IF($F142="","",IF((IFERROR(INDEX('CAT_CENTROS_COSTO'!$E$4:$E$28,MATCH($F142,'CAT_CENTROS_COSTO'!$A$4:$A$28,0)),""))&lt;&gt;"",IFERROR(INDEX('CAT_CENTROS_COSTO'!$E$4:$E$28,MATCH($F142,'CAT_CENTROS_COSTO'!$A$4:$A$28,0)),""),$Y142))</f>
        <v/>
      </c>
      <c r="AA142" s="24">
        <f>IF($F142="","",IFERROR(INDEX('CAT_CENTROS_COSTO'!$G$4:$G$28,MATCH($F142,'CAT_CENTROS_COSTO'!$A$4:$A$28,0)),"(sin catálogo)"))</f>
        <v/>
      </c>
      <c r="AB142" s="24">
        <f>IF($G142="","",IFERROR(INDEX('CAT_PUESTOS'!$B$4:$B$23,MATCH($G142,'CAT_PUESTOS'!$A$4:$A$23,0)),"(sin catálogo)"))</f>
        <v/>
      </c>
      <c r="AC142" s="24">
        <f>IF($H142="","",IFERROR(INDEX('CAT_ACTIVIDADES'!$B$4:$B$26,MATCH($H142,'CAT_ACTIVIDADES'!$A$4:$A$26,0)),"(sin catálogo)"))</f>
        <v/>
      </c>
      <c r="AD142" s="26">
        <f>IF($J142="","",TODAY()-$J142)</f>
        <v/>
      </c>
      <c r="AE142" s="26">
        <f>IF($J142="","",IF($J142&lt;=TODAY(),COUNTIFS(cal_fechas,"&gt;="&amp;$J142,cal_fechas,"&lt;"&amp;TODAY(),cal_habil,"sí"),-COUNTIFS(cal_fechas,"&gt;="&amp;TODAY(),cal_fechas,"&lt;"&amp;$J142,cal_habil,"sí")))</f>
        <v/>
      </c>
      <c r="AF142" s="24">
        <f>IF($AE142="","",IF($AE142&lt;0,"FUTURO",IF($AE142&gt;p_dias_backlog_max,"BACKLOG","MES CORRIENTE")))</f>
        <v/>
      </c>
      <c r="AG142" s="24">
        <f>IF($AE142="",FALSE,AND($AE142&gt;p_dias_backlog_min,$AE142&lt;=p_dias_backlog_max))</f>
        <v/>
      </c>
      <c r="AH142" s="4" t="n"/>
      <c r="AI142" s="24">
        <f>IF($AH142="","",IF((IFERROR(INDEX('ASIGNACIONES'!$J$4:$J$451,MATCH($O142&amp;"|"&amp;$S142&amp;"|"&amp;$AH142,'ASIGNACIONES'!$N$4:$N$451,0)),""))=0,"",IFERROR(INDEX('ASIGNACIONES'!$J$4:$J$451,MATCH($O142&amp;"|"&amp;$S142&amp;"|"&amp;$AH142,'ASIGNACIONES'!$N$4:$N$451,0)),"")))</f>
        <v/>
      </c>
      <c r="AJ142" s="42">
        <f>IF($AH142="","",SUMIFS('ORDENES'!$M$4:$M$1203,'ORDENES'!$AH$4:$AH$1203,$AH142,'ORDENES'!$O$4:$O$1203,$O142,'ORDENES'!$S$4:$S$1203,$S142))</f>
        <v/>
      </c>
      <c r="AK142" s="42">
        <f>IF($AJ142="","",p_factor_productividad*IFERROR(INDEX('ASIGNACIONES'!$M$4:$M$451,MATCH($O142&amp;"|"&amp;$S142&amp;"|"&amp;$AH142,'ASIGNACIONES'!$N$4:$N$451,0)),0)-$AJ142)</f>
        <v/>
      </c>
      <c r="AL142" s="32">
        <f>IF($A142="","",IFERROR(INDEX('2_IMPORTAR_EJECUCION'!$F$9:$F$1208,MATCH($AU142,'2_IMPORTAR_EJECUCION'!$J$9:$J$1208,0)),0))</f>
        <v/>
      </c>
      <c r="AM142" s="32">
        <f>IF($A142="","",MAX(0,IFERROR(INDEX('2_IMPORTAR_EJECUCION'!$H$9:$H$1208,MATCH($AU142,'2_IMPORTAR_EJECUCION'!$J$9:$J$1208,0)),0)-$AL142))</f>
        <v/>
      </c>
      <c r="AN142" s="32">
        <f>IF($A142="","",$AL142+$AM142)</f>
        <v/>
      </c>
      <c r="AO142" s="24">
        <f>IF($A142="","",IF(OR((IFERROR(INDEX('CAT_ACTIVIDADES'!$D$4:$D$26,MATCH($H142,'CAT_ACTIVIDADES'!$A$4:$A$26,0)),""))=0,(IFERROR(INDEX('CAT_ACTIVIDADES'!$D$4:$D$26,MATCH($H142,'CAT_ACTIVIDADES'!$A$4:$A$26,0)),""))=""),"SIN CLASIFICAR",IFERROR(INDEX('CAT_ACTIVIDADES'!$D$4:$D$26,MATCH($H142,'CAT_ACTIVIDADES'!$A$4:$A$26,0)),"")))</f>
        <v/>
      </c>
      <c r="AP142" s="4" t="n"/>
      <c r="AQ142" s="4" t="n"/>
      <c r="AR142" s="4" t="n"/>
      <c r="AS142" s="24">
        <f>IF($AR142="","",HYPERLINK(p_ruta_base_checklists&amp;$AR142,"abrir"))</f>
        <v/>
      </c>
      <c r="AT142" s="4" t="n"/>
      <c r="AU142" s="24">
        <f>IF($A142="","",$A142&amp;IF($B142="","0010",$B142))</f>
        <v/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41" t="n"/>
      <c r="K143" s="5" t="n"/>
      <c r="L143" s="18" t="n"/>
      <c r="M143" s="24">
        <f>IF($A143="","",IFERROR(INDEX('AJUSTES'!$B$4:$B$303,MATCH($AU143,'AJUSTES'!$A$4:$A$303,0)),IF($K143="","",$K143)))</f>
        <v/>
      </c>
      <c r="N143" s="24">
        <f>IF($A143="","",IFERROR(INDEX('CAT_ESTADOS_ERP'!$B$4:$B$22,MATCH(IFERROR(INDEX('2_IMPORTAR_EJECUCION'!$C$9:$C$1208,MATCH($AU143,'2_IMPORTAR_EJECUCION'!$J$9:$J$1208,0)),""),'CAT_ESTADOS_ERP'!$A$4:$A$22,0)),"Pendiente"))</f>
        <v/>
      </c>
      <c r="O143" s="24">
        <f>IF($J143="","",YEAR($J143+4-WEEKDAY($J143,2))&amp;"-S"&amp;TEXT(_xlfn.ISOWEEKNUM($J143),"00"))</f>
        <v/>
      </c>
      <c r="P143" s="24">
        <f>IF($J143="","",YEAR($J143))</f>
        <v/>
      </c>
      <c r="Q143" s="24">
        <f>IF($J143="","",MONTH($J143))</f>
        <v/>
      </c>
      <c r="R143" s="24">
        <f>IF($J143="","",$P143&amp;"-"&amp;TEXT($Q143,"00"))</f>
        <v/>
      </c>
      <c r="S143" s="24">
        <f>IF($J143="","",INDEX(lista_dias,WEEKDAY($J143,2)))</f>
        <v/>
      </c>
      <c r="T143" s="24">
        <f>IF($J143="","",IFERROR(INDEX('CALENDARIO'!$C$15:$C$214,MATCH(TEXT($J143,"yyyy-mm-dd")&amp;"|"&amp;$Y143&amp;"|"&amp;$Z143,'CALENDARIO'!$G$15:$G$214,0)),IFERROR(INDEX('CALENDARIO'!$C$15:$C$214,MATCH(TEXT($J143,"yyyy-mm-dd")&amp;"|"&amp;$Y143&amp;"|",'CALENDARIO'!$G$15:$G$214,0)),IFERROR(INDEX('CALENDARIO'!$C$15:$C$214,MATCH(TEXT($J143,"yyyy-mm-dd")&amp;"||",'CALENDARIO'!$G$15:$G$214,0)),INDEX(patronHabil,WEEKDAY($J143,2))))))</f>
        <v/>
      </c>
      <c r="U143" s="24">
        <f>IF($I143="","",IFERROR(INDEX('CAT_TIPOS_OT'!$C$4:$C$23,MATCH($I143,'CAT_TIPOS_OT'!$A$4:$A$23,0)),"sin_clasificar"))</f>
        <v/>
      </c>
      <c r="V143" s="24">
        <f>IF($I143="","",IF(IFERROR(INDEX('CAT_TIPOS_OT'!$D$4:$D$23,MATCH($I143,'CAT_TIPOS_OT'!$A$4:$A$23,0)),"SIN CLASIFICAR")="","SIN CLASIFICAR",IFERROR(INDEX('CAT_TIPOS_OT'!$D$4:$D$23,MATCH($I143,'CAT_TIPOS_OT'!$A$4:$A$23,0)),"SIN CLASIFICAR")))</f>
        <v/>
      </c>
      <c r="W143" s="24">
        <f>IF($H143="","",IF(IFERROR(INDEX('CAT_ACTIVIDADES'!$F$4:$F$26,MATCH($H143,'CAT_ACTIVIDADES'!$A$4:$A$26,0)),"")=0,"",IFERROR(INDEX('CAT_ACTIVIDADES'!$F$4:$F$26,MATCH($H143,'CAT_ACTIVIDADES'!$A$4:$A$26,0)),"")))</f>
        <v/>
      </c>
      <c r="X143" s="24">
        <f>IF($F143="","",IFERROR(INDEX('CAT_CENTROS_COSTO'!$F$4:$F$28,MATCH($F143,'CAT_CENTROS_COSTO'!$A$4:$A$28,0)),"(sin catálogo)"))</f>
        <v/>
      </c>
      <c r="Y143" s="24">
        <f>IF($F143="","",IFERROR(INDEX('CAT_CENTROS_COSTO'!$D$4:$D$28,MATCH($F143,'CAT_CENTROS_COSTO'!$A$4:$A$28,0)),"(sin catálogo)"))</f>
        <v/>
      </c>
      <c r="Z143" s="24">
        <f>IF($F143="","",IF((IFERROR(INDEX('CAT_CENTROS_COSTO'!$E$4:$E$28,MATCH($F143,'CAT_CENTROS_COSTO'!$A$4:$A$28,0)),""))&lt;&gt;"",IFERROR(INDEX('CAT_CENTROS_COSTO'!$E$4:$E$28,MATCH($F143,'CAT_CENTROS_COSTO'!$A$4:$A$28,0)),""),$Y143))</f>
        <v/>
      </c>
      <c r="AA143" s="24">
        <f>IF($F143="","",IFERROR(INDEX('CAT_CENTROS_COSTO'!$G$4:$G$28,MATCH($F143,'CAT_CENTROS_COSTO'!$A$4:$A$28,0)),"(sin catálogo)"))</f>
        <v/>
      </c>
      <c r="AB143" s="24">
        <f>IF($G143="","",IFERROR(INDEX('CAT_PUESTOS'!$B$4:$B$23,MATCH($G143,'CAT_PUESTOS'!$A$4:$A$23,0)),"(sin catálogo)"))</f>
        <v/>
      </c>
      <c r="AC143" s="24">
        <f>IF($H143="","",IFERROR(INDEX('CAT_ACTIVIDADES'!$B$4:$B$26,MATCH($H143,'CAT_ACTIVIDADES'!$A$4:$A$26,0)),"(sin catálogo)"))</f>
        <v/>
      </c>
      <c r="AD143" s="26">
        <f>IF($J143="","",TODAY()-$J143)</f>
        <v/>
      </c>
      <c r="AE143" s="26">
        <f>IF($J143="","",IF($J143&lt;=TODAY(),COUNTIFS(cal_fechas,"&gt;="&amp;$J143,cal_fechas,"&lt;"&amp;TODAY(),cal_habil,"sí"),-COUNTIFS(cal_fechas,"&gt;="&amp;TODAY(),cal_fechas,"&lt;"&amp;$J143,cal_habil,"sí")))</f>
        <v/>
      </c>
      <c r="AF143" s="24">
        <f>IF($AE143="","",IF($AE143&lt;0,"FUTURO",IF($AE143&gt;p_dias_backlog_max,"BACKLOG","MES CORRIENTE")))</f>
        <v/>
      </c>
      <c r="AG143" s="24">
        <f>IF($AE143="",FALSE,AND($AE143&gt;p_dias_backlog_min,$AE143&lt;=p_dias_backlog_max))</f>
        <v/>
      </c>
      <c r="AH143" s="4" t="n"/>
      <c r="AI143" s="24">
        <f>IF($AH143="","",IF((IFERROR(INDEX('ASIGNACIONES'!$J$4:$J$451,MATCH($O143&amp;"|"&amp;$S143&amp;"|"&amp;$AH143,'ASIGNACIONES'!$N$4:$N$451,0)),""))=0,"",IFERROR(INDEX('ASIGNACIONES'!$J$4:$J$451,MATCH($O143&amp;"|"&amp;$S143&amp;"|"&amp;$AH143,'ASIGNACIONES'!$N$4:$N$451,0)),"")))</f>
        <v/>
      </c>
      <c r="AJ143" s="42">
        <f>IF($AH143="","",SUMIFS('ORDENES'!$M$4:$M$1203,'ORDENES'!$AH$4:$AH$1203,$AH143,'ORDENES'!$O$4:$O$1203,$O143,'ORDENES'!$S$4:$S$1203,$S143))</f>
        <v/>
      </c>
      <c r="AK143" s="42">
        <f>IF($AJ143="","",p_factor_productividad*IFERROR(INDEX('ASIGNACIONES'!$M$4:$M$451,MATCH($O143&amp;"|"&amp;$S143&amp;"|"&amp;$AH143,'ASIGNACIONES'!$N$4:$N$451,0)),0)-$AJ143)</f>
        <v/>
      </c>
      <c r="AL143" s="32">
        <f>IF($A143="","",IFERROR(INDEX('2_IMPORTAR_EJECUCION'!$F$9:$F$1208,MATCH($AU143,'2_IMPORTAR_EJECUCION'!$J$9:$J$1208,0)),0))</f>
        <v/>
      </c>
      <c r="AM143" s="32">
        <f>IF($A143="","",MAX(0,IFERROR(INDEX('2_IMPORTAR_EJECUCION'!$H$9:$H$1208,MATCH($AU143,'2_IMPORTAR_EJECUCION'!$J$9:$J$1208,0)),0)-$AL143))</f>
        <v/>
      </c>
      <c r="AN143" s="32">
        <f>IF($A143="","",$AL143+$AM143)</f>
        <v/>
      </c>
      <c r="AO143" s="24">
        <f>IF($A143="","",IF(OR((IFERROR(INDEX('CAT_ACTIVIDADES'!$D$4:$D$26,MATCH($H143,'CAT_ACTIVIDADES'!$A$4:$A$26,0)),""))=0,(IFERROR(INDEX('CAT_ACTIVIDADES'!$D$4:$D$26,MATCH($H143,'CAT_ACTIVIDADES'!$A$4:$A$26,0)),""))=""),"SIN CLASIFICAR",IFERROR(INDEX('CAT_ACTIVIDADES'!$D$4:$D$26,MATCH($H143,'CAT_ACTIVIDADES'!$A$4:$A$26,0)),"")))</f>
        <v/>
      </c>
      <c r="AP143" s="4" t="n"/>
      <c r="AQ143" s="4" t="n"/>
      <c r="AR143" s="4" t="n"/>
      <c r="AS143" s="24">
        <f>IF($AR143="","",HYPERLINK(p_ruta_base_checklists&amp;$AR143,"abrir"))</f>
        <v/>
      </c>
      <c r="AT143" s="4" t="n"/>
      <c r="AU143" s="24">
        <f>IF($A143="","",$A143&amp;IF($B143="","0010",$B143))</f>
        <v/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41" t="n"/>
      <c r="K144" s="5" t="n"/>
      <c r="L144" s="18" t="n"/>
      <c r="M144" s="24">
        <f>IF($A144="","",IFERROR(INDEX('AJUSTES'!$B$4:$B$303,MATCH($AU144,'AJUSTES'!$A$4:$A$303,0)),IF($K144="","",$K144)))</f>
        <v/>
      </c>
      <c r="N144" s="24">
        <f>IF($A144="","",IFERROR(INDEX('CAT_ESTADOS_ERP'!$B$4:$B$22,MATCH(IFERROR(INDEX('2_IMPORTAR_EJECUCION'!$C$9:$C$1208,MATCH($AU144,'2_IMPORTAR_EJECUCION'!$J$9:$J$1208,0)),""),'CAT_ESTADOS_ERP'!$A$4:$A$22,0)),"Pendiente"))</f>
        <v/>
      </c>
      <c r="O144" s="24">
        <f>IF($J144="","",YEAR($J144+4-WEEKDAY($J144,2))&amp;"-S"&amp;TEXT(_xlfn.ISOWEEKNUM($J144),"00"))</f>
        <v/>
      </c>
      <c r="P144" s="24">
        <f>IF($J144="","",YEAR($J144))</f>
        <v/>
      </c>
      <c r="Q144" s="24">
        <f>IF($J144="","",MONTH($J144))</f>
        <v/>
      </c>
      <c r="R144" s="24">
        <f>IF($J144="","",$P144&amp;"-"&amp;TEXT($Q144,"00"))</f>
        <v/>
      </c>
      <c r="S144" s="24">
        <f>IF($J144="","",INDEX(lista_dias,WEEKDAY($J144,2)))</f>
        <v/>
      </c>
      <c r="T144" s="24">
        <f>IF($J144="","",IFERROR(INDEX('CALENDARIO'!$C$15:$C$214,MATCH(TEXT($J144,"yyyy-mm-dd")&amp;"|"&amp;$Y144&amp;"|"&amp;$Z144,'CALENDARIO'!$G$15:$G$214,0)),IFERROR(INDEX('CALENDARIO'!$C$15:$C$214,MATCH(TEXT($J144,"yyyy-mm-dd")&amp;"|"&amp;$Y144&amp;"|",'CALENDARIO'!$G$15:$G$214,0)),IFERROR(INDEX('CALENDARIO'!$C$15:$C$214,MATCH(TEXT($J144,"yyyy-mm-dd")&amp;"||",'CALENDARIO'!$G$15:$G$214,0)),INDEX(patronHabil,WEEKDAY($J144,2))))))</f>
        <v/>
      </c>
      <c r="U144" s="24">
        <f>IF($I144="","",IFERROR(INDEX('CAT_TIPOS_OT'!$C$4:$C$23,MATCH($I144,'CAT_TIPOS_OT'!$A$4:$A$23,0)),"sin_clasificar"))</f>
        <v/>
      </c>
      <c r="V144" s="24">
        <f>IF($I144="","",IF(IFERROR(INDEX('CAT_TIPOS_OT'!$D$4:$D$23,MATCH($I144,'CAT_TIPOS_OT'!$A$4:$A$23,0)),"SIN CLASIFICAR")="","SIN CLASIFICAR",IFERROR(INDEX('CAT_TIPOS_OT'!$D$4:$D$23,MATCH($I144,'CAT_TIPOS_OT'!$A$4:$A$23,0)),"SIN CLASIFICAR")))</f>
        <v/>
      </c>
      <c r="W144" s="24">
        <f>IF($H144="","",IF(IFERROR(INDEX('CAT_ACTIVIDADES'!$F$4:$F$26,MATCH($H144,'CAT_ACTIVIDADES'!$A$4:$A$26,0)),"")=0,"",IFERROR(INDEX('CAT_ACTIVIDADES'!$F$4:$F$26,MATCH($H144,'CAT_ACTIVIDADES'!$A$4:$A$26,0)),"")))</f>
        <v/>
      </c>
      <c r="X144" s="24">
        <f>IF($F144="","",IFERROR(INDEX('CAT_CENTROS_COSTO'!$F$4:$F$28,MATCH($F144,'CAT_CENTROS_COSTO'!$A$4:$A$28,0)),"(sin catálogo)"))</f>
        <v/>
      </c>
      <c r="Y144" s="24">
        <f>IF($F144="","",IFERROR(INDEX('CAT_CENTROS_COSTO'!$D$4:$D$28,MATCH($F144,'CAT_CENTROS_COSTO'!$A$4:$A$28,0)),"(sin catálogo)"))</f>
        <v/>
      </c>
      <c r="Z144" s="24">
        <f>IF($F144="","",IF((IFERROR(INDEX('CAT_CENTROS_COSTO'!$E$4:$E$28,MATCH($F144,'CAT_CENTROS_COSTO'!$A$4:$A$28,0)),""))&lt;&gt;"",IFERROR(INDEX('CAT_CENTROS_COSTO'!$E$4:$E$28,MATCH($F144,'CAT_CENTROS_COSTO'!$A$4:$A$28,0)),""),$Y144))</f>
        <v/>
      </c>
      <c r="AA144" s="24">
        <f>IF($F144="","",IFERROR(INDEX('CAT_CENTROS_COSTO'!$G$4:$G$28,MATCH($F144,'CAT_CENTROS_COSTO'!$A$4:$A$28,0)),"(sin catálogo)"))</f>
        <v/>
      </c>
      <c r="AB144" s="24">
        <f>IF($G144="","",IFERROR(INDEX('CAT_PUESTOS'!$B$4:$B$23,MATCH($G144,'CAT_PUESTOS'!$A$4:$A$23,0)),"(sin catálogo)"))</f>
        <v/>
      </c>
      <c r="AC144" s="24">
        <f>IF($H144="","",IFERROR(INDEX('CAT_ACTIVIDADES'!$B$4:$B$26,MATCH($H144,'CAT_ACTIVIDADES'!$A$4:$A$26,0)),"(sin catálogo)"))</f>
        <v/>
      </c>
      <c r="AD144" s="26">
        <f>IF($J144="","",TODAY()-$J144)</f>
        <v/>
      </c>
      <c r="AE144" s="26">
        <f>IF($J144="","",IF($J144&lt;=TODAY(),COUNTIFS(cal_fechas,"&gt;="&amp;$J144,cal_fechas,"&lt;"&amp;TODAY(),cal_habil,"sí"),-COUNTIFS(cal_fechas,"&gt;="&amp;TODAY(),cal_fechas,"&lt;"&amp;$J144,cal_habil,"sí")))</f>
        <v/>
      </c>
      <c r="AF144" s="24">
        <f>IF($AE144="","",IF($AE144&lt;0,"FUTURO",IF($AE144&gt;p_dias_backlog_max,"BACKLOG","MES CORRIENTE")))</f>
        <v/>
      </c>
      <c r="AG144" s="24">
        <f>IF($AE144="",FALSE,AND($AE144&gt;p_dias_backlog_min,$AE144&lt;=p_dias_backlog_max))</f>
        <v/>
      </c>
      <c r="AH144" s="4" t="n"/>
      <c r="AI144" s="24">
        <f>IF($AH144="","",IF((IFERROR(INDEX('ASIGNACIONES'!$J$4:$J$451,MATCH($O144&amp;"|"&amp;$S144&amp;"|"&amp;$AH144,'ASIGNACIONES'!$N$4:$N$451,0)),""))=0,"",IFERROR(INDEX('ASIGNACIONES'!$J$4:$J$451,MATCH($O144&amp;"|"&amp;$S144&amp;"|"&amp;$AH144,'ASIGNACIONES'!$N$4:$N$451,0)),"")))</f>
        <v/>
      </c>
      <c r="AJ144" s="42">
        <f>IF($AH144="","",SUMIFS('ORDENES'!$M$4:$M$1203,'ORDENES'!$AH$4:$AH$1203,$AH144,'ORDENES'!$O$4:$O$1203,$O144,'ORDENES'!$S$4:$S$1203,$S144))</f>
        <v/>
      </c>
      <c r="AK144" s="42">
        <f>IF($AJ144="","",p_factor_productividad*IFERROR(INDEX('ASIGNACIONES'!$M$4:$M$451,MATCH($O144&amp;"|"&amp;$S144&amp;"|"&amp;$AH144,'ASIGNACIONES'!$N$4:$N$451,0)),0)-$AJ144)</f>
        <v/>
      </c>
      <c r="AL144" s="32">
        <f>IF($A144="","",IFERROR(INDEX('2_IMPORTAR_EJECUCION'!$F$9:$F$1208,MATCH($AU144,'2_IMPORTAR_EJECUCION'!$J$9:$J$1208,0)),0))</f>
        <v/>
      </c>
      <c r="AM144" s="32">
        <f>IF($A144="","",MAX(0,IFERROR(INDEX('2_IMPORTAR_EJECUCION'!$H$9:$H$1208,MATCH($AU144,'2_IMPORTAR_EJECUCION'!$J$9:$J$1208,0)),0)-$AL144))</f>
        <v/>
      </c>
      <c r="AN144" s="32">
        <f>IF($A144="","",$AL144+$AM144)</f>
        <v/>
      </c>
      <c r="AO144" s="24">
        <f>IF($A144="","",IF(OR((IFERROR(INDEX('CAT_ACTIVIDADES'!$D$4:$D$26,MATCH($H144,'CAT_ACTIVIDADES'!$A$4:$A$26,0)),""))=0,(IFERROR(INDEX('CAT_ACTIVIDADES'!$D$4:$D$26,MATCH($H144,'CAT_ACTIVIDADES'!$A$4:$A$26,0)),""))=""),"SIN CLASIFICAR",IFERROR(INDEX('CAT_ACTIVIDADES'!$D$4:$D$26,MATCH($H144,'CAT_ACTIVIDADES'!$A$4:$A$26,0)),"")))</f>
        <v/>
      </c>
      <c r="AP144" s="4" t="n"/>
      <c r="AQ144" s="4" t="n"/>
      <c r="AR144" s="4" t="n"/>
      <c r="AS144" s="24">
        <f>IF($AR144="","",HYPERLINK(p_ruta_base_checklists&amp;$AR144,"abrir"))</f>
        <v/>
      </c>
      <c r="AT144" s="4" t="n"/>
      <c r="AU144" s="24">
        <f>IF($A144="","",$A144&amp;IF($B144="","0010",$B144))</f>
        <v/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41" t="n"/>
      <c r="K145" s="5" t="n"/>
      <c r="L145" s="18" t="n"/>
      <c r="M145" s="24">
        <f>IF($A145="","",IFERROR(INDEX('AJUSTES'!$B$4:$B$303,MATCH($AU145,'AJUSTES'!$A$4:$A$303,0)),IF($K145="","",$K145)))</f>
        <v/>
      </c>
      <c r="N145" s="24">
        <f>IF($A145="","",IFERROR(INDEX('CAT_ESTADOS_ERP'!$B$4:$B$22,MATCH(IFERROR(INDEX('2_IMPORTAR_EJECUCION'!$C$9:$C$1208,MATCH($AU145,'2_IMPORTAR_EJECUCION'!$J$9:$J$1208,0)),""),'CAT_ESTADOS_ERP'!$A$4:$A$22,0)),"Pendiente"))</f>
        <v/>
      </c>
      <c r="O145" s="24">
        <f>IF($J145="","",YEAR($J145+4-WEEKDAY($J145,2))&amp;"-S"&amp;TEXT(_xlfn.ISOWEEKNUM($J145),"00"))</f>
        <v/>
      </c>
      <c r="P145" s="24">
        <f>IF($J145="","",YEAR($J145))</f>
        <v/>
      </c>
      <c r="Q145" s="24">
        <f>IF($J145="","",MONTH($J145))</f>
        <v/>
      </c>
      <c r="R145" s="24">
        <f>IF($J145="","",$P145&amp;"-"&amp;TEXT($Q145,"00"))</f>
        <v/>
      </c>
      <c r="S145" s="24">
        <f>IF($J145="","",INDEX(lista_dias,WEEKDAY($J145,2)))</f>
        <v/>
      </c>
      <c r="T145" s="24">
        <f>IF($J145="","",IFERROR(INDEX('CALENDARIO'!$C$15:$C$214,MATCH(TEXT($J145,"yyyy-mm-dd")&amp;"|"&amp;$Y145&amp;"|"&amp;$Z145,'CALENDARIO'!$G$15:$G$214,0)),IFERROR(INDEX('CALENDARIO'!$C$15:$C$214,MATCH(TEXT($J145,"yyyy-mm-dd")&amp;"|"&amp;$Y145&amp;"|",'CALENDARIO'!$G$15:$G$214,0)),IFERROR(INDEX('CALENDARIO'!$C$15:$C$214,MATCH(TEXT($J145,"yyyy-mm-dd")&amp;"||",'CALENDARIO'!$G$15:$G$214,0)),INDEX(patronHabil,WEEKDAY($J145,2))))))</f>
        <v/>
      </c>
      <c r="U145" s="24">
        <f>IF($I145="","",IFERROR(INDEX('CAT_TIPOS_OT'!$C$4:$C$23,MATCH($I145,'CAT_TIPOS_OT'!$A$4:$A$23,0)),"sin_clasificar"))</f>
        <v/>
      </c>
      <c r="V145" s="24">
        <f>IF($I145="","",IF(IFERROR(INDEX('CAT_TIPOS_OT'!$D$4:$D$23,MATCH($I145,'CAT_TIPOS_OT'!$A$4:$A$23,0)),"SIN CLASIFICAR")="","SIN CLASIFICAR",IFERROR(INDEX('CAT_TIPOS_OT'!$D$4:$D$23,MATCH($I145,'CAT_TIPOS_OT'!$A$4:$A$23,0)),"SIN CLASIFICAR")))</f>
        <v/>
      </c>
      <c r="W145" s="24">
        <f>IF($H145="","",IF(IFERROR(INDEX('CAT_ACTIVIDADES'!$F$4:$F$26,MATCH($H145,'CAT_ACTIVIDADES'!$A$4:$A$26,0)),"")=0,"",IFERROR(INDEX('CAT_ACTIVIDADES'!$F$4:$F$26,MATCH($H145,'CAT_ACTIVIDADES'!$A$4:$A$26,0)),"")))</f>
        <v/>
      </c>
      <c r="X145" s="24">
        <f>IF($F145="","",IFERROR(INDEX('CAT_CENTROS_COSTO'!$F$4:$F$28,MATCH($F145,'CAT_CENTROS_COSTO'!$A$4:$A$28,0)),"(sin catálogo)"))</f>
        <v/>
      </c>
      <c r="Y145" s="24">
        <f>IF($F145="","",IFERROR(INDEX('CAT_CENTROS_COSTO'!$D$4:$D$28,MATCH($F145,'CAT_CENTROS_COSTO'!$A$4:$A$28,0)),"(sin catálogo)"))</f>
        <v/>
      </c>
      <c r="Z145" s="24">
        <f>IF($F145="","",IF((IFERROR(INDEX('CAT_CENTROS_COSTO'!$E$4:$E$28,MATCH($F145,'CAT_CENTROS_COSTO'!$A$4:$A$28,0)),""))&lt;&gt;"",IFERROR(INDEX('CAT_CENTROS_COSTO'!$E$4:$E$28,MATCH($F145,'CAT_CENTROS_COSTO'!$A$4:$A$28,0)),""),$Y145))</f>
        <v/>
      </c>
      <c r="AA145" s="24">
        <f>IF($F145="","",IFERROR(INDEX('CAT_CENTROS_COSTO'!$G$4:$G$28,MATCH($F145,'CAT_CENTROS_COSTO'!$A$4:$A$28,0)),"(sin catálogo)"))</f>
        <v/>
      </c>
      <c r="AB145" s="24">
        <f>IF($G145="","",IFERROR(INDEX('CAT_PUESTOS'!$B$4:$B$23,MATCH($G145,'CAT_PUESTOS'!$A$4:$A$23,0)),"(sin catálogo)"))</f>
        <v/>
      </c>
      <c r="AC145" s="24">
        <f>IF($H145="","",IFERROR(INDEX('CAT_ACTIVIDADES'!$B$4:$B$26,MATCH($H145,'CAT_ACTIVIDADES'!$A$4:$A$26,0)),"(sin catálogo)"))</f>
        <v/>
      </c>
      <c r="AD145" s="26">
        <f>IF($J145="","",TODAY()-$J145)</f>
        <v/>
      </c>
      <c r="AE145" s="26">
        <f>IF($J145="","",IF($J145&lt;=TODAY(),COUNTIFS(cal_fechas,"&gt;="&amp;$J145,cal_fechas,"&lt;"&amp;TODAY(),cal_habil,"sí"),-COUNTIFS(cal_fechas,"&gt;="&amp;TODAY(),cal_fechas,"&lt;"&amp;$J145,cal_habil,"sí")))</f>
        <v/>
      </c>
      <c r="AF145" s="24">
        <f>IF($AE145="","",IF($AE145&lt;0,"FUTURO",IF($AE145&gt;p_dias_backlog_max,"BACKLOG","MES CORRIENTE")))</f>
        <v/>
      </c>
      <c r="AG145" s="24">
        <f>IF($AE145="",FALSE,AND($AE145&gt;p_dias_backlog_min,$AE145&lt;=p_dias_backlog_max))</f>
        <v/>
      </c>
      <c r="AH145" s="4" t="n"/>
      <c r="AI145" s="24">
        <f>IF($AH145="","",IF((IFERROR(INDEX('ASIGNACIONES'!$J$4:$J$451,MATCH($O145&amp;"|"&amp;$S145&amp;"|"&amp;$AH145,'ASIGNACIONES'!$N$4:$N$451,0)),""))=0,"",IFERROR(INDEX('ASIGNACIONES'!$J$4:$J$451,MATCH($O145&amp;"|"&amp;$S145&amp;"|"&amp;$AH145,'ASIGNACIONES'!$N$4:$N$451,0)),"")))</f>
        <v/>
      </c>
      <c r="AJ145" s="42">
        <f>IF($AH145="","",SUMIFS('ORDENES'!$M$4:$M$1203,'ORDENES'!$AH$4:$AH$1203,$AH145,'ORDENES'!$O$4:$O$1203,$O145,'ORDENES'!$S$4:$S$1203,$S145))</f>
        <v/>
      </c>
      <c r="AK145" s="42">
        <f>IF($AJ145="","",p_factor_productividad*IFERROR(INDEX('ASIGNACIONES'!$M$4:$M$451,MATCH($O145&amp;"|"&amp;$S145&amp;"|"&amp;$AH145,'ASIGNACIONES'!$N$4:$N$451,0)),0)-$AJ145)</f>
        <v/>
      </c>
      <c r="AL145" s="32">
        <f>IF($A145="","",IFERROR(INDEX('2_IMPORTAR_EJECUCION'!$F$9:$F$1208,MATCH($AU145,'2_IMPORTAR_EJECUCION'!$J$9:$J$1208,0)),0))</f>
        <v/>
      </c>
      <c r="AM145" s="32">
        <f>IF($A145="","",MAX(0,IFERROR(INDEX('2_IMPORTAR_EJECUCION'!$H$9:$H$1208,MATCH($AU145,'2_IMPORTAR_EJECUCION'!$J$9:$J$1208,0)),0)-$AL145))</f>
        <v/>
      </c>
      <c r="AN145" s="32">
        <f>IF($A145="","",$AL145+$AM145)</f>
        <v/>
      </c>
      <c r="AO145" s="24">
        <f>IF($A145="","",IF(OR((IFERROR(INDEX('CAT_ACTIVIDADES'!$D$4:$D$26,MATCH($H145,'CAT_ACTIVIDADES'!$A$4:$A$26,0)),""))=0,(IFERROR(INDEX('CAT_ACTIVIDADES'!$D$4:$D$26,MATCH($H145,'CAT_ACTIVIDADES'!$A$4:$A$26,0)),""))=""),"SIN CLASIFICAR",IFERROR(INDEX('CAT_ACTIVIDADES'!$D$4:$D$26,MATCH($H145,'CAT_ACTIVIDADES'!$A$4:$A$26,0)),"")))</f>
        <v/>
      </c>
      <c r="AP145" s="4" t="n"/>
      <c r="AQ145" s="4" t="n"/>
      <c r="AR145" s="4" t="n"/>
      <c r="AS145" s="24">
        <f>IF($AR145="","",HYPERLINK(p_ruta_base_checklists&amp;$AR145,"abrir"))</f>
        <v/>
      </c>
      <c r="AT145" s="4" t="n"/>
      <c r="AU145" s="24">
        <f>IF($A145="","",$A145&amp;IF($B145="","0010",$B145))</f>
        <v/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41" t="n"/>
      <c r="K146" s="5" t="n"/>
      <c r="L146" s="18" t="n"/>
      <c r="M146" s="24">
        <f>IF($A146="","",IFERROR(INDEX('AJUSTES'!$B$4:$B$303,MATCH($AU146,'AJUSTES'!$A$4:$A$303,0)),IF($K146="","",$K146)))</f>
        <v/>
      </c>
      <c r="N146" s="24">
        <f>IF($A146="","",IFERROR(INDEX('CAT_ESTADOS_ERP'!$B$4:$B$22,MATCH(IFERROR(INDEX('2_IMPORTAR_EJECUCION'!$C$9:$C$1208,MATCH($AU146,'2_IMPORTAR_EJECUCION'!$J$9:$J$1208,0)),""),'CAT_ESTADOS_ERP'!$A$4:$A$22,0)),"Pendiente"))</f>
        <v/>
      </c>
      <c r="O146" s="24">
        <f>IF($J146="","",YEAR($J146+4-WEEKDAY($J146,2))&amp;"-S"&amp;TEXT(_xlfn.ISOWEEKNUM($J146),"00"))</f>
        <v/>
      </c>
      <c r="P146" s="24">
        <f>IF($J146="","",YEAR($J146))</f>
        <v/>
      </c>
      <c r="Q146" s="24">
        <f>IF($J146="","",MONTH($J146))</f>
        <v/>
      </c>
      <c r="R146" s="24">
        <f>IF($J146="","",$P146&amp;"-"&amp;TEXT($Q146,"00"))</f>
        <v/>
      </c>
      <c r="S146" s="24">
        <f>IF($J146="","",INDEX(lista_dias,WEEKDAY($J146,2)))</f>
        <v/>
      </c>
      <c r="T146" s="24">
        <f>IF($J146="","",IFERROR(INDEX('CALENDARIO'!$C$15:$C$214,MATCH(TEXT($J146,"yyyy-mm-dd")&amp;"|"&amp;$Y146&amp;"|"&amp;$Z146,'CALENDARIO'!$G$15:$G$214,0)),IFERROR(INDEX('CALENDARIO'!$C$15:$C$214,MATCH(TEXT($J146,"yyyy-mm-dd")&amp;"|"&amp;$Y146&amp;"|",'CALENDARIO'!$G$15:$G$214,0)),IFERROR(INDEX('CALENDARIO'!$C$15:$C$214,MATCH(TEXT($J146,"yyyy-mm-dd")&amp;"||",'CALENDARIO'!$G$15:$G$214,0)),INDEX(patronHabil,WEEKDAY($J146,2))))))</f>
        <v/>
      </c>
      <c r="U146" s="24">
        <f>IF($I146="","",IFERROR(INDEX('CAT_TIPOS_OT'!$C$4:$C$23,MATCH($I146,'CAT_TIPOS_OT'!$A$4:$A$23,0)),"sin_clasificar"))</f>
        <v/>
      </c>
      <c r="V146" s="24">
        <f>IF($I146="","",IF(IFERROR(INDEX('CAT_TIPOS_OT'!$D$4:$D$23,MATCH($I146,'CAT_TIPOS_OT'!$A$4:$A$23,0)),"SIN CLASIFICAR")="","SIN CLASIFICAR",IFERROR(INDEX('CAT_TIPOS_OT'!$D$4:$D$23,MATCH($I146,'CAT_TIPOS_OT'!$A$4:$A$23,0)),"SIN CLASIFICAR")))</f>
        <v/>
      </c>
      <c r="W146" s="24">
        <f>IF($H146="","",IF(IFERROR(INDEX('CAT_ACTIVIDADES'!$F$4:$F$26,MATCH($H146,'CAT_ACTIVIDADES'!$A$4:$A$26,0)),"")=0,"",IFERROR(INDEX('CAT_ACTIVIDADES'!$F$4:$F$26,MATCH($H146,'CAT_ACTIVIDADES'!$A$4:$A$26,0)),"")))</f>
        <v/>
      </c>
      <c r="X146" s="24">
        <f>IF($F146="","",IFERROR(INDEX('CAT_CENTROS_COSTO'!$F$4:$F$28,MATCH($F146,'CAT_CENTROS_COSTO'!$A$4:$A$28,0)),"(sin catálogo)"))</f>
        <v/>
      </c>
      <c r="Y146" s="24">
        <f>IF($F146="","",IFERROR(INDEX('CAT_CENTROS_COSTO'!$D$4:$D$28,MATCH($F146,'CAT_CENTROS_COSTO'!$A$4:$A$28,0)),"(sin catálogo)"))</f>
        <v/>
      </c>
      <c r="Z146" s="24">
        <f>IF($F146="","",IF((IFERROR(INDEX('CAT_CENTROS_COSTO'!$E$4:$E$28,MATCH($F146,'CAT_CENTROS_COSTO'!$A$4:$A$28,0)),""))&lt;&gt;"",IFERROR(INDEX('CAT_CENTROS_COSTO'!$E$4:$E$28,MATCH($F146,'CAT_CENTROS_COSTO'!$A$4:$A$28,0)),""),$Y146))</f>
        <v/>
      </c>
      <c r="AA146" s="24">
        <f>IF($F146="","",IFERROR(INDEX('CAT_CENTROS_COSTO'!$G$4:$G$28,MATCH($F146,'CAT_CENTROS_COSTO'!$A$4:$A$28,0)),"(sin catálogo)"))</f>
        <v/>
      </c>
      <c r="AB146" s="24">
        <f>IF($G146="","",IFERROR(INDEX('CAT_PUESTOS'!$B$4:$B$23,MATCH($G146,'CAT_PUESTOS'!$A$4:$A$23,0)),"(sin catálogo)"))</f>
        <v/>
      </c>
      <c r="AC146" s="24">
        <f>IF($H146="","",IFERROR(INDEX('CAT_ACTIVIDADES'!$B$4:$B$26,MATCH($H146,'CAT_ACTIVIDADES'!$A$4:$A$26,0)),"(sin catálogo)"))</f>
        <v/>
      </c>
      <c r="AD146" s="26">
        <f>IF($J146="","",TODAY()-$J146)</f>
        <v/>
      </c>
      <c r="AE146" s="26">
        <f>IF($J146="","",IF($J146&lt;=TODAY(),COUNTIFS(cal_fechas,"&gt;="&amp;$J146,cal_fechas,"&lt;"&amp;TODAY(),cal_habil,"sí"),-COUNTIFS(cal_fechas,"&gt;="&amp;TODAY(),cal_fechas,"&lt;"&amp;$J146,cal_habil,"sí")))</f>
        <v/>
      </c>
      <c r="AF146" s="24">
        <f>IF($AE146="","",IF($AE146&lt;0,"FUTURO",IF($AE146&gt;p_dias_backlog_max,"BACKLOG","MES CORRIENTE")))</f>
        <v/>
      </c>
      <c r="AG146" s="24">
        <f>IF($AE146="",FALSE,AND($AE146&gt;p_dias_backlog_min,$AE146&lt;=p_dias_backlog_max))</f>
        <v/>
      </c>
      <c r="AH146" s="4" t="n"/>
      <c r="AI146" s="24">
        <f>IF($AH146="","",IF((IFERROR(INDEX('ASIGNACIONES'!$J$4:$J$451,MATCH($O146&amp;"|"&amp;$S146&amp;"|"&amp;$AH146,'ASIGNACIONES'!$N$4:$N$451,0)),""))=0,"",IFERROR(INDEX('ASIGNACIONES'!$J$4:$J$451,MATCH($O146&amp;"|"&amp;$S146&amp;"|"&amp;$AH146,'ASIGNACIONES'!$N$4:$N$451,0)),"")))</f>
        <v/>
      </c>
      <c r="AJ146" s="42">
        <f>IF($AH146="","",SUMIFS('ORDENES'!$M$4:$M$1203,'ORDENES'!$AH$4:$AH$1203,$AH146,'ORDENES'!$O$4:$O$1203,$O146,'ORDENES'!$S$4:$S$1203,$S146))</f>
        <v/>
      </c>
      <c r="AK146" s="42">
        <f>IF($AJ146="","",p_factor_productividad*IFERROR(INDEX('ASIGNACIONES'!$M$4:$M$451,MATCH($O146&amp;"|"&amp;$S146&amp;"|"&amp;$AH146,'ASIGNACIONES'!$N$4:$N$451,0)),0)-$AJ146)</f>
        <v/>
      </c>
      <c r="AL146" s="32">
        <f>IF($A146="","",IFERROR(INDEX('2_IMPORTAR_EJECUCION'!$F$9:$F$1208,MATCH($AU146,'2_IMPORTAR_EJECUCION'!$J$9:$J$1208,0)),0))</f>
        <v/>
      </c>
      <c r="AM146" s="32">
        <f>IF($A146="","",MAX(0,IFERROR(INDEX('2_IMPORTAR_EJECUCION'!$H$9:$H$1208,MATCH($AU146,'2_IMPORTAR_EJECUCION'!$J$9:$J$1208,0)),0)-$AL146))</f>
        <v/>
      </c>
      <c r="AN146" s="32">
        <f>IF($A146="","",$AL146+$AM146)</f>
        <v/>
      </c>
      <c r="AO146" s="24">
        <f>IF($A146="","",IF(OR((IFERROR(INDEX('CAT_ACTIVIDADES'!$D$4:$D$26,MATCH($H146,'CAT_ACTIVIDADES'!$A$4:$A$26,0)),""))=0,(IFERROR(INDEX('CAT_ACTIVIDADES'!$D$4:$D$26,MATCH($H146,'CAT_ACTIVIDADES'!$A$4:$A$26,0)),""))=""),"SIN CLASIFICAR",IFERROR(INDEX('CAT_ACTIVIDADES'!$D$4:$D$26,MATCH($H146,'CAT_ACTIVIDADES'!$A$4:$A$26,0)),"")))</f>
        <v/>
      </c>
      <c r="AP146" s="4" t="n"/>
      <c r="AQ146" s="4" t="n"/>
      <c r="AR146" s="4" t="n"/>
      <c r="AS146" s="24">
        <f>IF($AR146="","",HYPERLINK(p_ruta_base_checklists&amp;$AR146,"abrir"))</f>
        <v/>
      </c>
      <c r="AT146" s="4" t="n"/>
      <c r="AU146" s="24">
        <f>IF($A146="","",$A146&amp;IF($B146="","0010",$B146))</f>
        <v/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41" t="n"/>
      <c r="K147" s="5" t="n"/>
      <c r="L147" s="18" t="n"/>
      <c r="M147" s="24">
        <f>IF($A147="","",IFERROR(INDEX('AJUSTES'!$B$4:$B$303,MATCH($AU147,'AJUSTES'!$A$4:$A$303,0)),IF($K147="","",$K147)))</f>
        <v/>
      </c>
      <c r="N147" s="24">
        <f>IF($A147="","",IFERROR(INDEX('CAT_ESTADOS_ERP'!$B$4:$B$22,MATCH(IFERROR(INDEX('2_IMPORTAR_EJECUCION'!$C$9:$C$1208,MATCH($AU147,'2_IMPORTAR_EJECUCION'!$J$9:$J$1208,0)),""),'CAT_ESTADOS_ERP'!$A$4:$A$22,0)),"Pendiente"))</f>
        <v/>
      </c>
      <c r="O147" s="24">
        <f>IF($J147="","",YEAR($J147+4-WEEKDAY($J147,2))&amp;"-S"&amp;TEXT(_xlfn.ISOWEEKNUM($J147),"00"))</f>
        <v/>
      </c>
      <c r="P147" s="24">
        <f>IF($J147="","",YEAR($J147))</f>
        <v/>
      </c>
      <c r="Q147" s="24">
        <f>IF($J147="","",MONTH($J147))</f>
        <v/>
      </c>
      <c r="R147" s="24">
        <f>IF($J147="","",$P147&amp;"-"&amp;TEXT($Q147,"00"))</f>
        <v/>
      </c>
      <c r="S147" s="24">
        <f>IF($J147="","",INDEX(lista_dias,WEEKDAY($J147,2)))</f>
        <v/>
      </c>
      <c r="T147" s="24">
        <f>IF($J147="","",IFERROR(INDEX('CALENDARIO'!$C$15:$C$214,MATCH(TEXT($J147,"yyyy-mm-dd")&amp;"|"&amp;$Y147&amp;"|"&amp;$Z147,'CALENDARIO'!$G$15:$G$214,0)),IFERROR(INDEX('CALENDARIO'!$C$15:$C$214,MATCH(TEXT($J147,"yyyy-mm-dd")&amp;"|"&amp;$Y147&amp;"|",'CALENDARIO'!$G$15:$G$214,0)),IFERROR(INDEX('CALENDARIO'!$C$15:$C$214,MATCH(TEXT($J147,"yyyy-mm-dd")&amp;"||",'CALENDARIO'!$G$15:$G$214,0)),INDEX(patronHabil,WEEKDAY($J147,2))))))</f>
        <v/>
      </c>
      <c r="U147" s="24">
        <f>IF($I147="","",IFERROR(INDEX('CAT_TIPOS_OT'!$C$4:$C$23,MATCH($I147,'CAT_TIPOS_OT'!$A$4:$A$23,0)),"sin_clasificar"))</f>
        <v/>
      </c>
      <c r="V147" s="24">
        <f>IF($I147="","",IF(IFERROR(INDEX('CAT_TIPOS_OT'!$D$4:$D$23,MATCH($I147,'CAT_TIPOS_OT'!$A$4:$A$23,0)),"SIN CLASIFICAR")="","SIN CLASIFICAR",IFERROR(INDEX('CAT_TIPOS_OT'!$D$4:$D$23,MATCH($I147,'CAT_TIPOS_OT'!$A$4:$A$23,0)),"SIN CLASIFICAR")))</f>
        <v/>
      </c>
      <c r="W147" s="24">
        <f>IF($H147="","",IF(IFERROR(INDEX('CAT_ACTIVIDADES'!$F$4:$F$26,MATCH($H147,'CAT_ACTIVIDADES'!$A$4:$A$26,0)),"")=0,"",IFERROR(INDEX('CAT_ACTIVIDADES'!$F$4:$F$26,MATCH($H147,'CAT_ACTIVIDADES'!$A$4:$A$26,0)),"")))</f>
        <v/>
      </c>
      <c r="X147" s="24">
        <f>IF($F147="","",IFERROR(INDEX('CAT_CENTROS_COSTO'!$F$4:$F$28,MATCH($F147,'CAT_CENTROS_COSTO'!$A$4:$A$28,0)),"(sin catálogo)"))</f>
        <v/>
      </c>
      <c r="Y147" s="24">
        <f>IF($F147="","",IFERROR(INDEX('CAT_CENTROS_COSTO'!$D$4:$D$28,MATCH($F147,'CAT_CENTROS_COSTO'!$A$4:$A$28,0)),"(sin catálogo)"))</f>
        <v/>
      </c>
      <c r="Z147" s="24">
        <f>IF($F147="","",IF((IFERROR(INDEX('CAT_CENTROS_COSTO'!$E$4:$E$28,MATCH($F147,'CAT_CENTROS_COSTO'!$A$4:$A$28,0)),""))&lt;&gt;"",IFERROR(INDEX('CAT_CENTROS_COSTO'!$E$4:$E$28,MATCH($F147,'CAT_CENTROS_COSTO'!$A$4:$A$28,0)),""),$Y147))</f>
        <v/>
      </c>
      <c r="AA147" s="24">
        <f>IF($F147="","",IFERROR(INDEX('CAT_CENTROS_COSTO'!$G$4:$G$28,MATCH($F147,'CAT_CENTROS_COSTO'!$A$4:$A$28,0)),"(sin catálogo)"))</f>
        <v/>
      </c>
      <c r="AB147" s="24">
        <f>IF($G147="","",IFERROR(INDEX('CAT_PUESTOS'!$B$4:$B$23,MATCH($G147,'CAT_PUESTOS'!$A$4:$A$23,0)),"(sin catálogo)"))</f>
        <v/>
      </c>
      <c r="AC147" s="24">
        <f>IF($H147="","",IFERROR(INDEX('CAT_ACTIVIDADES'!$B$4:$B$26,MATCH($H147,'CAT_ACTIVIDADES'!$A$4:$A$26,0)),"(sin catálogo)"))</f>
        <v/>
      </c>
      <c r="AD147" s="26">
        <f>IF($J147="","",TODAY()-$J147)</f>
        <v/>
      </c>
      <c r="AE147" s="26">
        <f>IF($J147="","",IF($J147&lt;=TODAY(),COUNTIFS(cal_fechas,"&gt;="&amp;$J147,cal_fechas,"&lt;"&amp;TODAY(),cal_habil,"sí"),-COUNTIFS(cal_fechas,"&gt;="&amp;TODAY(),cal_fechas,"&lt;"&amp;$J147,cal_habil,"sí")))</f>
        <v/>
      </c>
      <c r="AF147" s="24">
        <f>IF($AE147="","",IF($AE147&lt;0,"FUTURO",IF($AE147&gt;p_dias_backlog_max,"BACKLOG","MES CORRIENTE")))</f>
        <v/>
      </c>
      <c r="AG147" s="24">
        <f>IF($AE147="",FALSE,AND($AE147&gt;p_dias_backlog_min,$AE147&lt;=p_dias_backlog_max))</f>
        <v/>
      </c>
      <c r="AH147" s="4" t="n"/>
      <c r="AI147" s="24">
        <f>IF($AH147="","",IF((IFERROR(INDEX('ASIGNACIONES'!$J$4:$J$451,MATCH($O147&amp;"|"&amp;$S147&amp;"|"&amp;$AH147,'ASIGNACIONES'!$N$4:$N$451,0)),""))=0,"",IFERROR(INDEX('ASIGNACIONES'!$J$4:$J$451,MATCH($O147&amp;"|"&amp;$S147&amp;"|"&amp;$AH147,'ASIGNACIONES'!$N$4:$N$451,0)),"")))</f>
        <v/>
      </c>
      <c r="AJ147" s="42">
        <f>IF($AH147="","",SUMIFS('ORDENES'!$M$4:$M$1203,'ORDENES'!$AH$4:$AH$1203,$AH147,'ORDENES'!$O$4:$O$1203,$O147,'ORDENES'!$S$4:$S$1203,$S147))</f>
        <v/>
      </c>
      <c r="AK147" s="42">
        <f>IF($AJ147="","",p_factor_productividad*IFERROR(INDEX('ASIGNACIONES'!$M$4:$M$451,MATCH($O147&amp;"|"&amp;$S147&amp;"|"&amp;$AH147,'ASIGNACIONES'!$N$4:$N$451,0)),0)-$AJ147)</f>
        <v/>
      </c>
      <c r="AL147" s="32">
        <f>IF($A147="","",IFERROR(INDEX('2_IMPORTAR_EJECUCION'!$F$9:$F$1208,MATCH($AU147,'2_IMPORTAR_EJECUCION'!$J$9:$J$1208,0)),0))</f>
        <v/>
      </c>
      <c r="AM147" s="32">
        <f>IF($A147="","",MAX(0,IFERROR(INDEX('2_IMPORTAR_EJECUCION'!$H$9:$H$1208,MATCH($AU147,'2_IMPORTAR_EJECUCION'!$J$9:$J$1208,0)),0)-$AL147))</f>
        <v/>
      </c>
      <c r="AN147" s="32">
        <f>IF($A147="","",$AL147+$AM147)</f>
        <v/>
      </c>
      <c r="AO147" s="24">
        <f>IF($A147="","",IF(OR((IFERROR(INDEX('CAT_ACTIVIDADES'!$D$4:$D$26,MATCH($H147,'CAT_ACTIVIDADES'!$A$4:$A$26,0)),""))=0,(IFERROR(INDEX('CAT_ACTIVIDADES'!$D$4:$D$26,MATCH($H147,'CAT_ACTIVIDADES'!$A$4:$A$26,0)),""))=""),"SIN CLASIFICAR",IFERROR(INDEX('CAT_ACTIVIDADES'!$D$4:$D$26,MATCH($H147,'CAT_ACTIVIDADES'!$A$4:$A$26,0)),"")))</f>
        <v/>
      </c>
      <c r="AP147" s="4" t="n"/>
      <c r="AQ147" s="4" t="n"/>
      <c r="AR147" s="4" t="n"/>
      <c r="AS147" s="24">
        <f>IF($AR147="","",HYPERLINK(p_ruta_base_checklists&amp;$AR147,"abrir"))</f>
        <v/>
      </c>
      <c r="AT147" s="4" t="n"/>
      <c r="AU147" s="24">
        <f>IF($A147="","",$A147&amp;IF($B147="","0010",$B147))</f>
        <v/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41" t="n"/>
      <c r="K148" s="5" t="n"/>
      <c r="L148" s="18" t="n"/>
      <c r="M148" s="24">
        <f>IF($A148="","",IFERROR(INDEX('AJUSTES'!$B$4:$B$303,MATCH($AU148,'AJUSTES'!$A$4:$A$303,0)),IF($K148="","",$K148)))</f>
        <v/>
      </c>
      <c r="N148" s="24">
        <f>IF($A148="","",IFERROR(INDEX('CAT_ESTADOS_ERP'!$B$4:$B$22,MATCH(IFERROR(INDEX('2_IMPORTAR_EJECUCION'!$C$9:$C$1208,MATCH($AU148,'2_IMPORTAR_EJECUCION'!$J$9:$J$1208,0)),""),'CAT_ESTADOS_ERP'!$A$4:$A$22,0)),"Pendiente"))</f>
        <v/>
      </c>
      <c r="O148" s="24">
        <f>IF($J148="","",YEAR($J148+4-WEEKDAY($J148,2))&amp;"-S"&amp;TEXT(_xlfn.ISOWEEKNUM($J148),"00"))</f>
        <v/>
      </c>
      <c r="P148" s="24">
        <f>IF($J148="","",YEAR($J148))</f>
        <v/>
      </c>
      <c r="Q148" s="24">
        <f>IF($J148="","",MONTH($J148))</f>
        <v/>
      </c>
      <c r="R148" s="24">
        <f>IF($J148="","",$P148&amp;"-"&amp;TEXT($Q148,"00"))</f>
        <v/>
      </c>
      <c r="S148" s="24">
        <f>IF($J148="","",INDEX(lista_dias,WEEKDAY($J148,2)))</f>
        <v/>
      </c>
      <c r="T148" s="24">
        <f>IF($J148="","",IFERROR(INDEX('CALENDARIO'!$C$15:$C$214,MATCH(TEXT($J148,"yyyy-mm-dd")&amp;"|"&amp;$Y148&amp;"|"&amp;$Z148,'CALENDARIO'!$G$15:$G$214,0)),IFERROR(INDEX('CALENDARIO'!$C$15:$C$214,MATCH(TEXT($J148,"yyyy-mm-dd")&amp;"|"&amp;$Y148&amp;"|",'CALENDARIO'!$G$15:$G$214,0)),IFERROR(INDEX('CALENDARIO'!$C$15:$C$214,MATCH(TEXT($J148,"yyyy-mm-dd")&amp;"||",'CALENDARIO'!$G$15:$G$214,0)),INDEX(patronHabil,WEEKDAY($J148,2))))))</f>
        <v/>
      </c>
      <c r="U148" s="24">
        <f>IF($I148="","",IFERROR(INDEX('CAT_TIPOS_OT'!$C$4:$C$23,MATCH($I148,'CAT_TIPOS_OT'!$A$4:$A$23,0)),"sin_clasificar"))</f>
        <v/>
      </c>
      <c r="V148" s="24">
        <f>IF($I148="","",IF(IFERROR(INDEX('CAT_TIPOS_OT'!$D$4:$D$23,MATCH($I148,'CAT_TIPOS_OT'!$A$4:$A$23,0)),"SIN CLASIFICAR")="","SIN CLASIFICAR",IFERROR(INDEX('CAT_TIPOS_OT'!$D$4:$D$23,MATCH($I148,'CAT_TIPOS_OT'!$A$4:$A$23,0)),"SIN CLASIFICAR")))</f>
        <v/>
      </c>
      <c r="W148" s="24">
        <f>IF($H148="","",IF(IFERROR(INDEX('CAT_ACTIVIDADES'!$F$4:$F$26,MATCH($H148,'CAT_ACTIVIDADES'!$A$4:$A$26,0)),"")=0,"",IFERROR(INDEX('CAT_ACTIVIDADES'!$F$4:$F$26,MATCH($H148,'CAT_ACTIVIDADES'!$A$4:$A$26,0)),"")))</f>
        <v/>
      </c>
      <c r="X148" s="24">
        <f>IF($F148="","",IFERROR(INDEX('CAT_CENTROS_COSTO'!$F$4:$F$28,MATCH($F148,'CAT_CENTROS_COSTO'!$A$4:$A$28,0)),"(sin catálogo)"))</f>
        <v/>
      </c>
      <c r="Y148" s="24">
        <f>IF($F148="","",IFERROR(INDEX('CAT_CENTROS_COSTO'!$D$4:$D$28,MATCH($F148,'CAT_CENTROS_COSTO'!$A$4:$A$28,0)),"(sin catálogo)"))</f>
        <v/>
      </c>
      <c r="Z148" s="24">
        <f>IF($F148="","",IF((IFERROR(INDEX('CAT_CENTROS_COSTO'!$E$4:$E$28,MATCH($F148,'CAT_CENTROS_COSTO'!$A$4:$A$28,0)),""))&lt;&gt;"",IFERROR(INDEX('CAT_CENTROS_COSTO'!$E$4:$E$28,MATCH($F148,'CAT_CENTROS_COSTO'!$A$4:$A$28,0)),""),$Y148))</f>
        <v/>
      </c>
      <c r="AA148" s="24">
        <f>IF($F148="","",IFERROR(INDEX('CAT_CENTROS_COSTO'!$G$4:$G$28,MATCH($F148,'CAT_CENTROS_COSTO'!$A$4:$A$28,0)),"(sin catálogo)"))</f>
        <v/>
      </c>
      <c r="AB148" s="24">
        <f>IF($G148="","",IFERROR(INDEX('CAT_PUESTOS'!$B$4:$B$23,MATCH($G148,'CAT_PUESTOS'!$A$4:$A$23,0)),"(sin catálogo)"))</f>
        <v/>
      </c>
      <c r="AC148" s="24">
        <f>IF($H148="","",IFERROR(INDEX('CAT_ACTIVIDADES'!$B$4:$B$26,MATCH($H148,'CAT_ACTIVIDADES'!$A$4:$A$26,0)),"(sin catálogo)"))</f>
        <v/>
      </c>
      <c r="AD148" s="26">
        <f>IF($J148="","",TODAY()-$J148)</f>
        <v/>
      </c>
      <c r="AE148" s="26">
        <f>IF($J148="","",IF($J148&lt;=TODAY(),COUNTIFS(cal_fechas,"&gt;="&amp;$J148,cal_fechas,"&lt;"&amp;TODAY(),cal_habil,"sí"),-COUNTIFS(cal_fechas,"&gt;="&amp;TODAY(),cal_fechas,"&lt;"&amp;$J148,cal_habil,"sí")))</f>
        <v/>
      </c>
      <c r="AF148" s="24">
        <f>IF($AE148="","",IF($AE148&lt;0,"FUTURO",IF($AE148&gt;p_dias_backlog_max,"BACKLOG","MES CORRIENTE")))</f>
        <v/>
      </c>
      <c r="AG148" s="24">
        <f>IF($AE148="",FALSE,AND($AE148&gt;p_dias_backlog_min,$AE148&lt;=p_dias_backlog_max))</f>
        <v/>
      </c>
      <c r="AH148" s="4" t="n"/>
      <c r="AI148" s="24">
        <f>IF($AH148="","",IF((IFERROR(INDEX('ASIGNACIONES'!$J$4:$J$451,MATCH($O148&amp;"|"&amp;$S148&amp;"|"&amp;$AH148,'ASIGNACIONES'!$N$4:$N$451,0)),""))=0,"",IFERROR(INDEX('ASIGNACIONES'!$J$4:$J$451,MATCH($O148&amp;"|"&amp;$S148&amp;"|"&amp;$AH148,'ASIGNACIONES'!$N$4:$N$451,0)),"")))</f>
        <v/>
      </c>
      <c r="AJ148" s="42">
        <f>IF($AH148="","",SUMIFS('ORDENES'!$M$4:$M$1203,'ORDENES'!$AH$4:$AH$1203,$AH148,'ORDENES'!$O$4:$O$1203,$O148,'ORDENES'!$S$4:$S$1203,$S148))</f>
        <v/>
      </c>
      <c r="AK148" s="42">
        <f>IF($AJ148="","",p_factor_productividad*IFERROR(INDEX('ASIGNACIONES'!$M$4:$M$451,MATCH($O148&amp;"|"&amp;$S148&amp;"|"&amp;$AH148,'ASIGNACIONES'!$N$4:$N$451,0)),0)-$AJ148)</f>
        <v/>
      </c>
      <c r="AL148" s="32">
        <f>IF($A148="","",IFERROR(INDEX('2_IMPORTAR_EJECUCION'!$F$9:$F$1208,MATCH($AU148,'2_IMPORTAR_EJECUCION'!$J$9:$J$1208,0)),0))</f>
        <v/>
      </c>
      <c r="AM148" s="32">
        <f>IF($A148="","",MAX(0,IFERROR(INDEX('2_IMPORTAR_EJECUCION'!$H$9:$H$1208,MATCH($AU148,'2_IMPORTAR_EJECUCION'!$J$9:$J$1208,0)),0)-$AL148))</f>
        <v/>
      </c>
      <c r="AN148" s="32">
        <f>IF($A148="","",$AL148+$AM148)</f>
        <v/>
      </c>
      <c r="AO148" s="24">
        <f>IF($A148="","",IF(OR((IFERROR(INDEX('CAT_ACTIVIDADES'!$D$4:$D$26,MATCH($H148,'CAT_ACTIVIDADES'!$A$4:$A$26,0)),""))=0,(IFERROR(INDEX('CAT_ACTIVIDADES'!$D$4:$D$26,MATCH($H148,'CAT_ACTIVIDADES'!$A$4:$A$26,0)),""))=""),"SIN CLASIFICAR",IFERROR(INDEX('CAT_ACTIVIDADES'!$D$4:$D$26,MATCH($H148,'CAT_ACTIVIDADES'!$A$4:$A$26,0)),"")))</f>
        <v/>
      </c>
      <c r="AP148" s="4" t="n"/>
      <c r="AQ148" s="4" t="n"/>
      <c r="AR148" s="4" t="n"/>
      <c r="AS148" s="24">
        <f>IF($AR148="","",HYPERLINK(p_ruta_base_checklists&amp;$AR148,"abrir"))</f>
        <v/>
      </c>
      <c r="AT148" s="4" t="n"/>
      <c r="AU148" s="24">
        <f>IF($A148="","",$A148&amp;IF($B148="","0010",$B148))</f>
        <v/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41" t="n"/>
      <c r="K149" s="5" t="n"/>
      <c r="L149" s="18" t="n"/>
      <c r="M149" s="24">
        <f>IF($A149="","",IFERROR(INDEX('AJUSTES'!$B$4:$B$303,MATCH($AU149,'AJUSTES'!$A$4:$A$303,0)),IF($K149="","",$K149)))</f>
        <v/>
      </c>
      <c r="N149" s="24">
        <f>IF($A149="","",IFERROR(INDEX('CAT_ESTADOS_ERP'!$B$4:$B$22,MATCH(IFERROR(INDEX('2_IMPORTAR_EJECUCION'!$C$9:$C$1208,MATCH($AU149,'2_IMPORTAR_EJECUCION'!$J$9:$J$1208,0)),""),'CAT_ESTADOS_ERP'!$A$4:$A$22,0)),"Pendiente"))</f>
        <v/>
      </c>
      <c r="O149" s="24">
        <f>IF($J149="","",YEAR($J149+4-WEEKDAY($J149,2))&amp;"-S"&amp;TEXT(_xlfn.ISOWEEKNUM($J149),"00"))</f>
        <v/>
      </c>
      <c r="P149" s="24">
        <f>IF($J149="","",YEAR($J149))</f>
        <v/>
      </c>
      <c r="Q149" s="24">
        <f>IF($J149="","",MONTH($J149))</f>
        <v/>
      </c>
      <c r="R149" s="24">
        <f>IF($J149="","",$P149&amp;"-"&amp;TEXT($Q149,"00"))</f>
        <v/>
      </c>
      <c r="S149" s="24">
        <f>IF($J149="","",INDEX(lista_dias,WEEKDAY($J149,2)))</f>
        <v/>
      </c>
      <c r="T149" s="24">
        <f>IF($J149="","",IFERROR(INDEX('CALENDARIO'!$C$15:$C$214,MATCH(TEXT($J149,"yyyy-mm-dd")&amp;"|"&amp;$Y149&amp;"|"&amp;$Z149,'CALENDARIO'!$G$15:$G$214,0)),IFERROR(INDEX('CALENDARIO'!$C$15:$C$214,MATCH(TEXT($J149,"yyyy-mm-dd")&amp;"|"&amp;$Y149&amp;"|",'CALENDARIO'!$G$15:$G$214,0)),IFERROR(INDEX('CALENDARIO'!$C$15:$C$214,MATCH(TEXT($J149,"yyyy-mm-dd")&amp;"||",'CALENDARIO'!$G$15:$G$214,0)),INDEX(patronHabil,WEEKDAY($J149,2))))))</f>
        <v/>
      </c>
      <c r="U149" s="24">
        <f>IF($I149="","",IFERROR(INDEX('CAT_TIPOS_OT'!$C$4:$C$23,MATCH($I149,'CAT_TIPOS_OT'!$A$4:$A$23,0)),"sin_clasificar"))</f>
        <v/>
      </c>
      <c r="V149" s="24">
        <f>IF($I149="","",IF(IFERROR(INDEX('CAT_TIPOS_OT'!$D$4:$D$23,MATCH($I149,'CAT_TIPOS_OT'!$A$4:$A$23,0)),"SIN CLASIFICAR")="","SIN CLASIFICAR",IFERROR(INDEX('CAT_TIPOS_OT'!$D$4:$D$23,MATCH($I149,'CAT_TIPOS_OT'!$A$4:$A$23,0)),"SIN CLASIFICAR")))</f>
        <v/>
      </c>
      <c r="W149" s="24">
        <f>IF($H149="","",IF(IFERROR(INDEX('CAT_ACTIVIDADES'!$F$4:$F$26,MATCH($H149,'CAT_ACTIVIDADES'!$A$4:$A$26,0)),"")=0,"",IFERROR(INDEX('CAT_ACTIVIDADES'!$F$4:$F$26,MATCH($H149,'CAT_ACTIVIDADES'!$A$4:$A$26,0)),"")))</f>
        <v/>
      </c>
      <c r="X149" s="24">
        <f>IF($F149="","",IFERROR(INDEX('CAT_CENTROS_COSTO'!$F$4:$F$28,MATCH($F149,'CAT_CENTROS_COSTO'!$A$4:$A$28,0)),"(sin catálogo)"))</f>
        <v/>
      </c>
      <c r="Y149" s="24">
        <f>IF($F149="","",IFERROR(INDEX('CAT_CENTROS_COSTO'!$D$4:$D$28,MATCH($F149,'CAT_CENTROS_COSTO'!$A$4:$A$28,0)),"(sin catálogo)"))</f>
        <v/>
      </c>
      <c r="Z149" s="24">
        <f>IF($F149="","",IF((IFERROR(INDEX('CAT_CENTROS_COSTO'!$E$4:$E$28,MATCH($F149,'CAT_CENTROS_COSTO'!$A$4:$A$28,0)),""))&lt;&gt;"",IFERROR(INDEX('CAT_CENTROS_COSTO'!$E$4:$E$28,MATCH($F149,'CAT_CENTROS_COSTO'!$A$4:$A$28,0)),""),$Y149))</f>
        <v/>
      </c>
      <c r="AA149" s="24">
        <f>IF($F149="","",IFERROR(INDEX('CAT_CENTROS_COSTO'!$G$4:$G$28,MATCH($F149,'CAT_CENTROS_COSTO'!$A$4:$A$28,0)),"(sin catálogo)"))</f>
        <v/>
      </c>
      <c r="AB149" s="24">
        <f>IF($G149="","",IFERROR(INDEX('CAT_PUESTOS'!$B$4:$B$23,MATCH($G149,'CAT_PUESTOS'!$A$4:$A$23,0)),"(sin catálogo)"))</f>
        <v/>
      </c>
      <c r="AC149" s="24">
        <f>IF($H149="","",IFERROR(INDEX('CAT_ACTIVIDADES'!$B$4:$B$26,MATCH($H149,'CAT_ACTIVIDADES'!$A$4:$A$26,0)),"(sin catálogo)"))</f>
        <v/>
      </c>
      <c r="AD149" s="26">
        <f>IF($J149="","",TODAY()-$J149)</f>
        <v/>
      </c>
      <c r="AE149" s="26">
        <f>IF($J149="","",IF($J149&lt;=TODAY(),COUNTIFS(cal_fechas,"&gt;="&amp;$J149,cal_fechas,"&lt;"&amp;TODAY(),cal_habil,"sí"),-COUNTIFS(cal_fechas,"&gt;="&amp;TODAY(),cal_fechas,"&lt;"&amp;$J149,cal_habil,"sí")))</f>
        <v/>
      </c>
      <c r="AF149" s="24">
        <f>IF($AE149="","",IF($AE149&lt;0,"FUTURO",IF($AE149&gt;p_dias_backlog_max,"BACKLOG","MES CORRIENTE")))</f>
        <v/>
      </c>
      <c r="AG149" s="24">
        <f>IF($AE149="",FALSE,AND($AE149&gt;p_dias_backlog_min,$AE149&lt;=p_dias_backlog_max))</f>
        <v/>
      </c>
      <c r="AH149" s="4" t="n"/>
      <c r="AI149" s="24">
        <f>IF($AH149="","",IF((IFERROR(INDEX('ASIGNACIONES'!$J$4:$J$451,MATCH($O149&amp;"|"&amp;$S149&amp;"|"&amp;$AH149,'ASIGNACIONES'!$N$4:$N$451,0)),""))=0,"",IFERROR(INDEX('ASIGNACIONES'!$J$4:$J$451,MATCH($O149&amp;"|"&amp;$S149&amp;"|"&amp;$AH149,'ASIGNACIONES'!$N$4:$N$451,0)),"")))</f>
        <v/>
      </c>
      <c r="AJ149" s="42">
        <f>IF($AH149="","",SUMIFS('ORDENES'!$M$4:$M$1203,'ORDENES'!$AH$4:$AH$1203,$AH149,'ORDENES'!$O$4:$O$1203,$O149,'ORDENES'!$S$4:$S$1203,$S149))</f>
        <v/>
      </c>
      <c r="AK149" s="42">
        <f>IF($AJ149="","",p_factor_productividad*IFERROR(INDEX('ASIGNACIONES'!$M$4:$M$451,MATCH($O149&amp;"|"&amp;$S149&amp;"|"&amp;$AH149,'ASIGNACIONES'!$N$4:$N$451,0)),0)-$AJ149)</f>
        <v/>
      </c>
      <c r="AL149" s="32">
        <f>IF($A149="","",IFERROR(INDEX('2_IMPORTAR_EJECUCION'!$F$9:$F$1208,MATCH($AU149,'2_IMPORTAR_EJECUCION'!$J$9:$J$1208,0)),0))</f>
        <v/>
      </c>
      <c r="AM149" s="32">
        <f>IF($A149="","",MAX(0,IFERROR(INDEX('2_IMPORTAR_EJECUCION'!$H$9:$H$1208,MATCH($AU149,'2_IMPORTAR_EJECUCION'!$J$9:$J$1208,0)),0)-$AL149))</f>
        <v/>
      </c>
      <c r="AN149" s="32">
        <f>IF($A149="","",$AL149+$AM149)</f>
        <v/>
      </c>
      <c r="AO149" s="24">
        <f>IF($A149="","",IF(OR((IFERROR(INDEX('CAT_ACTIVIDADES'!$D$4:$D$26,MATCH($H149,'CAT_ACTIVIDADES'!$A$4:$A$26,0)),""))=0,(IFERROR(INDEX('CAT_ACTIVIDADES'!$D$4:$D$26,MATCH($H149,'CAT_ACTIVIDADES'!$A$4:$A$26,0)),""))=""),"SIN CLASIFICAR",IFERROR(INDEX('CAT_ACTIVIDADES'!$D$4:$D$26,MATCH($H149,'CAT_ACTIVIDADES'!$A$4:$A$26,0)),"")))</f>
        <v/>
      </c>
      <c r="AP149" s="4" t="n"/>
      <c r="AQ149" s="4" t="n"/>
      <c r="AR149" s="4" t="n"/>
      <c r="AS149" s="24">
        <f>IF($AR149="","",HYPERLINK(p_ruta_base_checklists&amp;$AR149,"abrir"))</f>
        <v/>
      </c>
      <c r="AT149" s="4" t="n"/>
      <c r="AU149" s="24">
        <f>IF($A149="","",$A149&amp;IF($B149="","0010",$B149))</f>
        <v/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41" t="n"/>
      <c r="K150" s="5" t="n"/>
      <c r="L150" s="18" t="n"/>
      <c r="M150" s="24">
        <f>IF($A150="","",IFERROR(INDEX('AJUSTES'!$B$4:$B$303,MATCH($AU150,'AJUSTES'!$A$4:$A$303,0)),IF($K150="","",$K150)))</f>
        <v/>
      </c>
      <c r="N150" s="24">
        <f>IF($A150="","",IFERROR(INDEX('CAT_ESTADOS_ERP'!$B$4:$B$22,MATCH(IFERROR(INDEX('2_IMPORTAR_EJECUCION'!$C$9:$C$1208,MATCH($AU150,'2_IMPORTAR_EJECUCION'!$J$9:$J$1208,0)),""),'CAT_ESTADOS_ERP'!$A$4:$A$22,0)),"Pendiente"))</f>
        <v/>
      </c>
      <c r="O150" s="24">
        <f>IF($J150="","",YEAR($J150+4-WEEKDAY($J150,2))&amp;"-S"&amp;TEXT(_xlfn.ISOWEEKNUM($J150),"00"))</f>
        <v/>
      </c>
      <c r="P150" s="24">
        <f>IF($J150="","",YEAR($J150))</f>
        <v/>
      </c>
      <c r="Q150" s="24">
        <f>IF($J150="","",MONTH($J150))</f>
        <v/>
      </c>
      <c r="R150" s="24">
        <f>IF($J150="","",$P150&amp;"-"&amp;TEXT($Q150,"00"))</f>
        <v/>
      </c>
      <c r="S150" s="24">
        <f>IF($J150="","",INDEX(lista_dias,WEEKDAY($J150,2)))</f>
        <v/>
      </c>
      <c r="T150" s="24">
        <f>IF($J150="","",IFERROR(INDEX('CALENDARIO'!$C$15:$C$214,MATCH(TEXT($J150,"yyyy-mm-dd")&amp;"|"&amp;$Y150&amp;"|"&amp;$Z150,'CALENDARIO'!$G$15:$G$214,0)),IFERROR(INDEX('CALENDARIO'!$C$15:$C$214,MATCH(TEXT($J150,"yyyy-mm-dd")&amp;"|"&amp;$Y150&amp;"|",'CALENDARIO'!$G$15:$G$214,0)),IFERROR(INDEX('CALENDARIO'!$C$15:$C$214,MATCH(TEXT($J150,"yyyy-mm-dd")&amp;"||",'CALENDARIO'!$G$15:$G$214,0)),INDEX(patronHabil,WEEKDAY($J150,2))))))</f>
        <v/>
      </c>
      <c r="U150" s="24">
        <f>IF($I150="","",IFERROR(INDEX('CAT_TIPOS_OT'!$C$4:$C$23,MATCH($I150,'CAT_TIPOS_OT'!$A$4:$A$23,0)),"sin_clasificar"))</f>
        <v/>
      </c>
      <c r="V150" s="24">
        <f>IF($I150="","",IF(IFERROR(INDEX('CAT_TIPOS_OT'!$D$4:$D$23,MATCH($I150,'CAT_TIPOS_OT'!$A$4:$A$23,0)),"SIN CLASIFICAR")="","SIN CLASIFICAR",IFERROR(INDEX('CAT_TIPOS_OT'!$D$4:$D$23,MATCH($I150,'CAT_TIPOS_OT'!$A$4:$A$23,0)),"SIN CLASIFICAR")))</f>
        <v/>
      </c>
      <c r="W150" s="24">
        <f>IF($H150="","",IF(IFERROR(INDEX('CAT_ACTIVIDADES'!$F$4:$F$26,MATCH($H150,'CAT_ACTIVIDADES'!$A$4:$A$26,0)),"")=0,"",IFERROR(INDEX('CAT_ACTIVIDADES'!$F$4:$F$26,MATCH($H150,'CAT_ACTIVIDADES'!$A$4:$A$26,0)),"")))</f>
        <v/>
      </c>
      <c r="X150" s="24">
        <f>IF($F150="","",IFERROR(INDEX('CAT_CENTROS_COSTO'!$F$4:$F$28,MATCH($F150,'CAT_CENTROS_COSTO'!$A$4:$A$28,0)),"(sin catálogo)"))</f>
        <v/>
      </c>
      <c r="Y150" s="24">
        <f>IF($F150="","",IFERROR(INDEX('CAT_CENTROS_COSTO'!$D$4:$D$28,MATCH($F150,'CAT_CENTROS_COSTO'!$A$4:$A$28,0)),"(sin catálogo)"))</f>
        <v/>
      </c>
      <c r="Z150" s="24">
        <f>IF($F150="","",IF((IFERROR(INDEX('CAT_CENTROS_COSTO'!$E$4:$E$28,MATCH($F150,'CAT_CENTROS_COSTO'!$A$4:$A$28,0)),""))&lt;&gt;"",IFERROR(INDEX('CAT_CENTROS_COSTO'!$E$4:$E$28,MATCH($F150,'CAT_CENTROS_COSTO'!$A$4:$A$28,0)),""),$Y150))</f>
        <v/>
      </c>
      <c r="AA150" s="24">
        <f>IF($F150="","",IFERROR(INDEX('CAT_CENTROS_COSTO'!$G$4:$G$28,MATCH($F150,'CAT_CENTROS_COSTO'!$A$4:$A$28,0)),"(sin catálogo)"))</f>
        <v/>
      </c>
      <c r="AB150" s="24">
        <f>IF($G150="","",IFERROR(INDEX('CAT_PUESTOS'!$B$4:$B$23,MATCH($G150,'CAT_PUESTOS'!$A$4:$A$23,0)),"(sin catálogo)"))</f>
        <v/>
      </c>
      <c r="AC150" s="24">
        <f>IF($H150="","",IFERROR(INDEX('CAT_ACTIVIDADES'!$B$4:$B$26,MATCH($H150,'CAT_ACTIVIDADES'!$A$4:$A$26,0)),"(sin catálogo)"))</f>
        <v/>
      </c>
      <c r="AD150" s="26">
        <f>IF($J150="","",TODAY()-$J150)</f>
        <v/>
      </c>
      <c r="AE150" s="26">
        <f>IF($J150="","",IF($J150&lt;=TODAY(),COUNTIFS(cal_fechas,"&gt;="&amp;$J150,cal_fechas,"&lt;"&amp;TODAY(),cal_habil,"sí"),-COUNTIFS(cal_fechas,"&gt;="&amp;TODAY(),cal_fechas,"&lt;"&amp;$J150,cal_habil,"sí")))</f>
        <v/>
      </c>
      <c r="AF150" s="24">
        <f>IF($AE150="","",IF($AE150&lt;0,"FUTURO",IF($AE150&gt;p_dias_backlog_max,"BACKLOG","MES CORRIENTE")))</f>
        <v/>
      </c>
      <c r="AG150" s="24">
        <f>IF($AE150="",FALSE,AND($AE150&gt;p_dias_backlog_min,$AE150&lt;=p_dias_backlog_max))</f>
        <v/>
      </c>
      <c r="AH150" s="4" t="n"/>
      <c r="AI150" s="24">
        <f>IF($AH150="","",IF((IFERROR(INDEX('ASIGNACIONES'!$J$4:$J$451,MATCH($O150&amp;"|"&amp;$S150&amp;"|"&amp;$AH150,'ASIGNACIONES'!$N$4:$N$451,0)),""))=0,"",IFERROR(INDEX('ASIGNACIONES'!$J$4:$J$451,MATCH($O150&amp;"|"&amp;$S150&amp;"|"&amp;$AH150,'ASIGNACIONES'!$N$4:$N$451,0)),"")))</f>
        <v/>
      </c>
      <c r="AJ150" s="42">
        <f>IF($AH150="","",SUMIFS('ORDENES'!$M$4:$M$1203,'ORDENES'!$AH$4:$AH$1203,$AH150,'ORDENES'!$O$4:$O$1203,$O150,'ORDENES'!$S$4:$S$1203,$S150))</f>
        <v/>
      </c>
      <c r="AK150" s="42">
        <f>IF($AJ150="","",p_factor_productividad*IFERROR(INDEX('ASIGNACIONES'!$M$4:$M$451,MATCH($O150&amp;"|"&amp;$S150&amp;"|"&amp;$AH150,'ASIGNACIONES'!$N$4:$N$451,0)),0)-$AJ150)</f>
        <v/>
      </c>
      <c r="AL150" s="32">
        <f>IF($A150="","",IFERROR(INDEX('2_IMPORTAR_EJECUCION'!$F$9:$F$1208,MATCH($AU150,'2_IMPORTAR_EJECUCION'!$J$9:$J$1208,0)),0))</f>
        <v/>
      </c>
      <c r="AM150" s="32">
        <f>IF($A150="","",MAX(0,IFERROR(INDEX('2_IMPORTAR_EJECUCION'!$H$9:$H$1208,MATCH($AU150,'2_IMPORTAR_EJECUCION'!$J$9:$J$1208,0)),0)-$AL150))</f>
        <v/>
      </c>
      <c r="AN150" s="32">
        <f>IF($A150="","",$AL150+$AM150)</f>
        <v/>
      </c>
      <c r="AO150" s="24">
        <f>IF($A150="","",IF(OR((IFERROR(INDEX('CAT_ACTIVIDADES'!$D$4:$D$26,MATCH($H150,'CAT_ACTIVIDADES'!$A$4:$A$26,0)),""))=0,(IFERROR(INDEX('CAT_ACTIVIDADES'!$D$4:$D$26,MATCH($H150,'CAT_ACTIVIDADES'!$A$4:$A$26,0)),""))=""),"SIN CLASIFICAR",IFERROR(INDEX('CAT_ACTIVIDADES'!$D$4:$D$26,MATCH($H150,'CAT_ACTIVIDADES'!$A$4:$A$26,0)),"")))</f>
        <v/>
      </c>
      <c r="AP150" s="4" t="n"/>
      <c r="AQ150" s="4" t="n"/>
      <c r="AR150" s="4" t="n"/>
      <c r="AS150" s="24">
        <f>IF($AR150="","",HYPERLINK(p_ruta_base_checklists&amp;$AR150,"abrir"))</f>
        <v/>
      </c>
      <c r="AT150" s="4" t="n"/>
      <c r="AU150" s="24">
        <f>IF($A150="","",$A150&amp;IF($B150="","0010",$B150))</f>
        <v/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41" t="n"/>
      <c r="K151" s="5" t="n"/>
      <c r="L151" s="18" t="n"/>
      <c r="M151" s="24">
        <f>IF($A151="","",IFERROR(INDEX('AJUSTES'!$B$4:$B$303,MATCH($AU151,'AJUSTES'!$A$4:$A$303,0)),IF($K151="","",$K151)))</f>
        <v/>
      </c>
      <c r="N151" s="24">
        <f>IF($A151="","",IFERROR(INDEX('CAT_ESTADOS_ERP'!$B$4:$B$22,MATCH(IFERROR(INDEX('2_IMPORTAR_EJECUCION'!$C$9:$C$1208,MATCH($AU151,'2_IMPORTAR_EJECUCION'!$J$9:$J$1208,0)),""),'CAT_ESTADOS_ERP'!$A$4:$A$22,0)),"Pendiente"))</f>
        <v/>
      </c>
      <c r="O151" s="24">
        <f>IF($J151="","",YEAR($J151+4-WEEKDAY($J151,2))&amp;"-S"&amp;TEXT(_xlfn.ISOWEEKNUM($J151),"00"))</f>
        <v/>
      </c>
      <c r="P151" s="24">
        <f>IF($J151="","",YEAR($J151))</f>
        <v/>
      </c>
      <c r="Q151" s="24">
        <f>IF($J151="","",MONTH($J151))</f>
        <v/>
      </c>
      <c r="R151" s="24">
        <f>IF($J151="","",$P151&amp;"-"&amp;TEXT($Q151,"00"))</f>
        <v/>
      </c>
      <c r="S151" s="24">
        <f>IF($J151="","",INDEX(lista_dias,WEEKDAY($J151,2)))</f>
        <v/>
      </c>
      <c r="T151" s="24">
        <f>IF($J151="","",IFERROR(INDEX('CALENDARIO'!$C$15:$C$214,MATCH(TEXT($J151,"yyyy-mm-dd")&amp;"|"&amp;$Y151&amp;"|"&amp;$Z151,'CALENDARIO'!$G$15:$G$214,0)),IFERROR(INDEX('CALENDARIO'!$C$15:$C$214,MATCH(TEXT($J151,"yyyy-mm-dd")&amp;"|"&amp;$Y151&amp;"|",'CALENDARIO'!$G$15:$G$214,0)),IFERROR(INDEX('CALENDARIO'!$C$15:$C$214,MATCH(TEXT($J151,"yyyy-mm-dd")&amp;"||",'CALENDARIO'!$G$15:$G$214,0)),INDEX(patronHabil,WEEKDAY($J151,2))))))</f>
        <v/>
      </c>
      <c r="U151" s="24">
        <f>IF($I151="","",IFERROR(INDEX('CAT_TIPOS_OT'!$C$4:$C$23,MATCH($I151,'CAT_TIPOS_OT'!$A$4:$A$23,0)),"sin_clasificar"))</f>
        <v/>
      </c>
      <c r="V151" s="24">
        <f>IF($I151="","",IF(IFERROR(INDEX('CAT_TIPOS_OT'!$D$4:$D$23,MATCH($I151,'CAT_TIPOS_OT'!$A$4:$A$23,0)),"SIN CLASIFICAR")="","SIN CLASIFICAR",IFERROR(INDEX('CAT_TIPOS_OT'!$D$4:$D$23,MATCH($I151,'CAT_TIPOS_OT'!$A$4:$A$23,0)),"SIN CLASIFICAR")))</f>
        <v/>
      </c>
      <c r="W151" s="24">
        <f>IF($H151="","",IF(IFERROR(INDEX('CAT_ACTIVIDADES'!$F$4:$F$26,MATCH($H151,'CAT_ACTIVIDADES'!$A$4:$A$26,0)),"")=0,"",IFERROR(INDEX('CAT_ACTIVIDADES'!$F$4:$F$26,MATCH($H151,'CAT_ACTIVIDADES'!$A$4:$A$26,0)),"")))</f>
        <v/>
      </c>
      <c r="X151" s="24">
        <f>IF($F151="","",IFERROR(INDEX('CAT_CENTROS_COSTO'!$F$4:$F$28,MATCH($F151,'CAT_CENTROS_COSTO'!$A$4:$A$28,0)),"(sin catálogo)"))</f>
        <v/>
      </c>
      <c r="Y151" s="24">
        <f>IF($F151="","",IFERROR(INDEX('CAT_CENTROS_COSTO'!$D$4:$D$28,MATCH($F151,'CAT_CENTROS_COSTO'!$A$4:$A$28,0)),"(sin catálogo)"))</f>
        <v/>
      </c>
      <c r="Z151" s="24">
        <f>IF($F151="","",IF((IFERROR(INDEX('CAT_CENTROS_COSTO'!$E$4:$E$28,MATCH($F151,'CAT_CENTROS_COSTO'!$A$4:$A$28,0)),""))&lt;&gt;"",IFERROR(INDEX('CAT_CENTROS_COSTO'!$E$4:$E$28,MATCH($F151,'CAT_CENTROS_COSTO'!$A$4:$A$28,0)),""),$Y151))</f>
        <v/>
      </c>
      <c r="AA151" s="24">
        <f>IF($F151="","",IFERROR(INDEX('CAT_CENTROS_COSTO'!$G$4:$G$28,MATCH($F151,'CAT_CENTROS_COSTO'!$A$4:$A$28,0)),"(sin catálogo)"))</f>
        <v/>
      </c>
      <c r="AB151" s="24">
        <f>IF($G151="","",IFERROR(INDEX('CAT_PUESTOS'!$B$4:$B$23,MATCH($G151,'CAT_PUESTOS'!$A$4:$A$23,0)),"(sin catálogo)"))</f>
        <v/>
      </c>
      <c r="AC151" s="24">
        <f>IF($H151="","",IFERROR(INDEX('CAT_ACTIVIDADES'!$B$4:$B$26,MATCH($H151,'CAT_ACTIVIDADES'!$A$4:$A$26,0)),"(sin catálogo)"))</f>
        <v/>
      </c>
      <c r="AD151" s="26">
        <f>IF($J151="","",TODAY()-$J151)</f>
        <v/>
      </c>
      <c r="AE151" s="26">
        <f>IF($J151="","",IF($J151&lt;=TODAY(),COUNTIFS(cal_fechas,"&gt;="&amp;$J151,cal_fechas,"&lt;"&amp;TODAY(),cal_habil,"sí"),-COUNTIFS(cal_fechas,"&gt;="&amp;TODAY(),cal_fechas,"&lt;"&amp;$J151,cal_habil,"sí")))</f>
        <v/>
      </c>
      <c r="AF151" s="24">
        <f>IF($AE151="","",IF($AE151&lt;0,"FUTURO",IF($AE151&gt;p_dias_backlog_max,"BACKLOG","MES CORRIENTE")))</f>
        <v/>
      </c>
      <c r="AG151" s="24">
        <f>IF($AE151="",FALSE,AND($AE151&gt;p_dias_backlog_min,$AE151&lt;=p_dias_backlog_max))</f>
        <v/>
      </c>
      <c r="AH151" s="4" t="n"/>
      <c r="AI151" s="24">
        <f>IF($AH151="","",IF((IFERROR(INDEX('ASIGNACIONES'!$J$4:$J$451,MATCH($O151&amp;"|"&amp;$S151&amp;"|"&amp;$AH151,'ASIGNACIONES'!$N$4:$N$451,0)),""))=0,"",IFERROR(INDEX('ASIGNACIONES'!$J$4:$J$451,MATCH($O151&amp;"|"&amp;$S151&amp;"|"&amp;$AH151,'ASIGNACIONES'!$N$4:$N$451,0)),"")))</f>
        <v/>
      </c>
      <c r="AJ151" s="42">
        <f>IF($AH151="","",SUMIFS('ORDENES'!$M$4:$M$1203,'ORDENES'!$AH$4:$AH$1203,$AH151,'ORDENES'!$O$4:$O$1203,$O151,'ORDENES'!$S$4:$S$1203,$S151))</f>
        <v/>
      </c>
      <c r="AK151" s="42">
        <f>IF($AJ151="","",p_factor_productividad*IFERROR(INDEX('ASIGNACIONES'!$M$4:$M$451,MATCH($O151&amp;"|"&amp;$S151&amp;"|"&amp;$AH151,'ASIGNACIONES'!$N$4:$N$451,0)),0)-$AJ151)</f>
        <v/>
      </c>
      <c r="AL151" s="32">
        <f>IF($A151="","",IFERROR(INDEX('2_IMPORTAR_EJECUCION'!$F$9:$F$1208,MATCH($AU151,'2_IMPORTAR_EJECUCION'!$J$9:$J$1208,0)),0))</f>
        <v/>
      </c>
      <c r="AM151" s="32">
        <f>IF($A151="","",MAX(0,IFERROR(INDEX('2_IMPORTAR_EJECUCION'!$H$9:$H$1208,MATCH($AU151,'2_IMPORTAR_EJECUCION'!$J$9:$J$1208,0)),0)-$AL151))</f>
        <v/>
      </c>
      <c r="AN151" s="32">
        <f>IF($A151="","",$AL151+$AM151)</f>
        <v/>
      </c>
      <c r="AO151" s="24">
        <f>IF($A151="","",IF(OR((IFERROR(INDEX('CAT_ACTIVIDADES'!$D$4:$D$26,MATCH($H151,'CAT_ACTIVIDADES'!$A$4:$A$26,0)),""))=0,(IFERROR(INDEX('CAT_ACTIVIDADES'!$D$4:$D$26,MATCH($H151,'CAT_ACTIVIDADES'!$A$4:$A$26,0)),""))=""),"SIN CLASIFICAR",IFERROR(INDEX('CAT_ACTIVIDADES'!$D$4:$D$26,MATCH($H151,'CAT_ACTIVIDADES'!$A$4:$A$26,0)),"")))</f>
        <v/>
      </c>
      <c r="AP151" s="4" t="n"/>
      <c r="AQ151" s="4" t="n"/>
      <c r="AR151" s="4" t="n"/>
      <c r="AS151" s="24">
        <f>IF($AR151="","",HYPERLINK(p_ruta_base_checklists&amp;$AR151,"abrir"))</f>
        <v/>
      </c>
      <c r="AT151" s="4" t="n"/>
      <c r="AU151" s="24">
        <f>IF($A151="","",$A151&amp;IF($B151="","0010",$B151))</f>
        <v/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41" t="n"/>
      <c r="K152" s="5" t="n"/>
      <c r="L152" s="18" t="n"/>
      <c r="M152" s="24">
        <f>IF($A152="","",IFERROR(INDEX('AJUSTES'!$B$4:$B$303,MATCH($AU152,'AJUSTES'!$A$4:$A$303,0)),IF($K152="","",$K152)))</f>
        <v/>
      </c>
      <c r="N152" s="24">
        <f>IF($A152="","",IFERROR(INDEX('CAT_ESTADOS_ERP'!$B$4:$B$22,MATCH(IFERROR(INDEX('2_IMPORTAR_EJECUCION'!$C$9:$C$1208,MATCH($AU152,'2_IMPORTAR_EJECUCION'!$J$9:$J$1208,0)),""),'CAT_ESTADOS_ERP'!$A$4:$A$22,0)),"Pendiente"))</f>
        <v/>
      </c>
      <c r="O152" s="24">
        <f>IF($J152="","",YEAR($J152+4-WEEKDAY($J152,2))&amp;"-S"&amp;TEXT(_xlfn.ISOWEEKNUM($J152),"00"))</f>
        <v/>
      </c>
      <c r="P152" s="24">
        <f>IF($J152="","",YEAR($J152))</f>
        <v/>
      </c>
      <c r="Q152" s="24">
        <f>IF($J152="","",MONTH($J152))</f>
        <v/>
      </c>
      <c r="R152" s="24">
        <f>IF($J152="","",$P152&amp;"-"&amp;TEXT($Q152,"00"))</f>
        <v/>
      </c>
      <c r="S152" s="24">
        <f>IF($J152="","",INDEX(lista_dias,WEEKDAY($J152,2)))</f>
        <v/>
      </c>
      <c r="T152" s="24">
        <f>IF($J152="","",IFERROR(INDEX('CALENDARIO'!$C$15:$C$214,MATCH(TEXT($J152,"yyyy-mm-dd")&amp;"|"&amp;$Y152&amp;"|"&amp;$Z152,'CALENDARIO'!$G$15:$G$214,0)),IFERROR(INDEX('CALENDARIO'!$C$15:$C$214,MATCH(TEXT($J152,"yyyy-mm-dd")&amp;"|"&amp;$Y152&amp;"|",'CALENDARIO'!$G$15:$G$214,0)),IFERROR(INDEX('CALENDARIO'!$C$15:$C$214,MATCH(TEXT($J152,"yyyy-mm-dd")&amp;"||",'CALENDARIO'!$G$15:$G$214,0)),INDEX(patronHabil,WEEKDAY($J152,2))))))</f>
        <v/>
      </c>
      <c r="U152" s="24">
        <f>IF($I152="","",IFERROR(INDEX('CAT_TIPOS_OT'!$C$4:$C$23,MATCH($I152,'CAT_TIPOS_OT'!$A$4:$A$23,0)),"sin_clasificar"))</f>
        <v/>
      </c>
      <c r="V152" s="24">
        <f>IF($I152="","",IF(IFERROR(INDEX('CAT_TIPOS_OT'!$D$4:$D$23,MATCH($I152,'CAT_TIPOS_OT'!$A$4:$A$23,0)),"SIN CLASIFICAR")="","SIN CLASIFICAR",IFERROR(INDEX('CAT_TIPOS_OT'!$D$4:$D$23,MATCH($I152,'CAT_TIPOS_OT'!$A$4:$A$23,0)),"SIN CLASIFICAR")))</f>
        <v/>
      </c>
      <c r="W152" s="24">
        <f>IF($H152="","",IF(IFERROR(INDEX('CAT_ACTIVIDADES'!$F$4:$F$26,MATCH($H152,'CAT_ACTIVIDADES'!$A$4:$A$26,0)),"")=0,"",IFERROR(INDEX('CAT_ACTIVIDADES'!$F$4:$F$26,MATCH($H152,'CAT_ACTIVIDADES'!$A$4:$A$26,0)),"")))</f>
        <v/>
      </c>
      <c r="X152" s="24">
        <f>IF($F152="","",IFERROR(INDEX('CAT_CENTROS_COSTO'!$F$4:$F$28,MATCH($F152,'CAT_CENTROS_COSTO'!$A$4:$A$28,0)),"(sin catálogo)"))</f>
        <v/>
      </c>
      <c r="Y152" s="24">
        <f>IF($F152="","",IFERROR(INDEX('CAT_CENTROS_COSTO'!$D$4:$D$28,MATCH($F152,'CAT_CENTROS_COSTO'!$A$4:$A$28,0)),"(sin catálogo)"))</f>
        <v/>
      </c>
      <c r="Z152" s="24">
        <f>IF($F152="","",IF((IFERROR(INDEX('CAT_CENTROS_COSTO'!$E$4:$E$28,MATCH($F152,'CAT_CENTROS_COSTO'!$A$4:$A$28,0)),""))&lt;&gt;"",IFERROR(INDEX('CAT_CENTROS_COSTO'!$E$4:$E$28,MATCH($F152,'CAT_CENTROS_COSTO'!$A$4:$A$28,0)),""),$Y152))</f>
        <v/>
      </c>
      <c r="AA152" s="24">
        <f>IF($F152="","",IFERROR(INDEX('CAT_CENTROS_COSTO'!$G$4:$G$28,MATCH($F152,'CAT_CENTROS_COSTO'!$A$4:$A$28,0)),"(sin catálogo)"))</f>
        <v/>
      </c>
      <c r="AB152" s="24">
        <f>IF($G152="","",IFERROR(INDEX('CAT_PUESTOS'!$B$4:$B$23,MATCH($G152,'CAT_PUESTOS'!$A$4:$A$23,0)),"(sin catálogo)"))</f>
        <v/>
      </c>
      <c r="AC152" s="24">
        <f>IF($H152="","",IFERROR(INDEX('CAT_ACTIVIDADES'!$B$4:$B$26,MATCH($H152,'CAT_ACTIVIDADES'!$A$4:$A$26,0)),"(sin catálogo)"))</f>
        <v/>
      </c>
      <c r="AD152" s="26">
        <f>IF($J152="","",TODAY()-$J152)</f>
        <v/>
      </c>
      <c r="AE152" s="26">
        <f>IF($J152="","",IF($J152&lt;=TODAY(),COUNTIFS(cal_fechas,"&gt;="&amp;$J152,cal_fechas,"&lt;"&amp;TODAY(),cal_habil,"sí"),-COUNTIFS(cal_fechas,"&gt;="&amp;TODAY(),cal_fechas,"&lt;"&amp;$J152,cal_habil,"sí")))</f>
        <v/>
      </c>
      <c r="AF152" s="24">
        <f>IF($AE152="","",IF($AE152&lt;0,"FUTURO",IF($AE152&gt;p_dias_backlog_max,"BACKLOG","MES CORRIENTE")))</f>
        <v/>
      </c>
      <c r="AG152" s="24">
        <f>IF($AE152="",FALSE,AND($AE152&gt;p_dias_backlog_min,$AE152&lt;=p_dias_backlog_max))</f>
        <v/>
      </c>
      <c r="AH152" s="4" t="n"/>
      <c r="AI152" s="24">
        <f>IF($AH152="","",IF((IFERROR(INDEX('ASIGNACIONES'!$J$4:$J$451,MATCH($O152&amp;"|"&amp;$S152&amp;"|"&amp;$AH152,'ASIGNACIONES'!$N$4:$N$451,0)),""))=0,"",IFERROR(INDEX('ASIGNACIONES'!$J$4:$J$451,MATCH($O152&amp;"|"&amp;$S152&amp;"|"&amp;$AH152,'ASIGNACIONES'!$N$4:$N$451,0)),"")))</f>
        <v/>
      </c>
      <c r="AJ152" s="42">
        <f>IF($AH152="","",SUMIFS('ORDENES'!$M$4:$M$1203,'ORDENES'!$AH$4:$AH$1203,$AH152,'ORDENES'!$O$4:$O$1203,$O152,'ORDENES'!$S$4:$S$1203,$S152))</f>
        <v/>
      </c>
      <c r="AK152" s="42">
        <f>IF($AJ152="","",p_factor_productividad*IFERROR(INDEX('ASIGNACIONES'!$M$4:$M$451,MATCH($O152&amp;"|"&amp;$S152&amp;"|"&amp;$AH152,'ASIGNACIONES'!$N$4:$N$451,0)),0)-$AJ152)</f>
        <v/>
      </c>
      <c r="AL152" s="32">
        <f>IF($A152="","",IFERROR(INDEX('2_IMPORTAR_EJECUCION'!$F$9:$F$1208,MATCH($AU152,'2_IMPORTAR_EJECUCION'!$J$9:$J$1208,0)),0))</f>
        <v/>
      </c>
      <c r="AM152" s="32">
        <f>IF($A152="","",MAX(0,IFERROR(INDEX('2_IMPORTAR_EJECUCION'!$H$9:$H$1208,MATCH($AU152,'2_IMPORTAR_EJECUCION'!$J$9:$J$1208,0)),0)-$AL152))</f>
        <v/>
      </c>
      <c r="AN152" s="32">
        <f>IF($A152="","",$AL152+$AM152)</f>
        <v/>
      </c>
      <c r="AO152" s="24">
        <f>IF($A152="","",IF(OR((IFERROR(INDEX('CAT_ACTIVIDADES'!$D$4:$D$26,MATCH($H152,'CAT_ACTIVIDADES'!$A$4:$A$26,0)),""))=0,(IFERROR(INDEX('CAT_ACTIVIDADES'!$D$4:$D$26,MATCH($H152,'CAT_ACTIVIDADES'!$A$4:$A$26,0)),""))=""),"SIN CLASIFICAR",IFERROR(INDEX('CAT_ACTIVIDADES'!$D$4:$D$26,MATCH($H152,'CAT_ACTIVIDADES'!$A$4:$A$26,0)),"")))</f>
        <v/>
      </c>
      <c r="AP152" s="4" t="n"/>
      <c r="AQ152" s="4" t="n"/>
      <c r="AR152" s="4" t="n"/>
      <c r="AS152" s="24">
        <f>IF($AR152="","",HYPERLINK(p_ruta_base_checklists&amp;$AR152,"abrir"))</f>
        <v/>
      </c>
      <c r="AT152" s="4" t="n"/>
      <c r="AU152" s="24">
        <f>IF($A152="","",$A152&amp;IF($B152="","0010",$B152))</f>
        <v/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41" t="n"/>
      <c r="K153" s="5" t="n"/>
      <c r="L153" s="18" t="n"/>
      <c r="M153" s="24">
        <f>IF($A153="","",IFERROR(INDEX('AJUSTES'!$B$4:$B$303,MATCH($AU153,'AJUSTES'!$A$4:$A$303,0)),IF($K153="","",$K153)))</f>
        <v/>
      </c>
      <c r="N153" s="24">
        <f>IF($A153="","",IFERROR(INDEX('CAT_ESTADOS_ERP'!$B$4:$B$22,MATCH(IFERROR(INDEX('2_IMPORTAR_EJECUCION'!$C$9:$C$1208,MATCH($AU153,'2_IMPORTAR_EJECUCION'!$J$9:$J$1208,0)),""),'CAT_ESTADOS_ERP'!$A$4:$A$22,0)),"Pendiente"))</f>
        <v/>
      </c>
      <c r="O153" s="24">
        <f>IF($J153="","",YEAR($J153+4-WEEKDAY($J153,2))&amp;"-S"&amp;TEXT(_xlfn.ISOWEEKNUM($J153),"00"))</f>
        <v/>
      </c>
      <c r="P153" s="24">
        <f>IF($J153="","",YEAR($J153))</f>
        <v/>
      </c>
      <c r="Q153" s="24">
        <f>IF($J153="","",MONTH($J153))</f>
        <v/>
      </c>
      <c r="R153" s="24">
        <f>IF($J153="","",$P153&amp;"-"&amp;TEXT($Q153,"00"))</f>
        <v/>
      </c>
      <c r="S153" s="24">
        <f>IF($J153="","",INDEX(lista_dias,WEEKDAY($J153,2)))</f>
        <v/>
      </c>
      <c r="T153" s="24">
        <f>IF($J153="","",IFERROR(INDEX('CALENDARIO'!$C$15:$C$214,MATCH(TEXT($J153,"yyyy-mm-dd")&amp;"|"&amp;$Y153&amp;"|"&amp;$Z153,'CALENDARIO'!$G$15:$G$214,0)),IFERROR(INDEX('CALENDARIO'!$C$15:$C$214,MATCH(TEXT($J153,"yyyy-mm-dd")&amp;"|"&amp;$Y153&amp;"|",'CALENDARIO'!$G$15:$G$214,0)),IFERROR(INDEX('CALENDARIO'!$C$15:$C$214,MATCH(TEXT($J153,"yyyy-mm-dd")&amp;"||",'CALENDARIO'!$G$15:$G$214,0)),INDEX(patronHabil,WEEKDAY($J153,2))))))</f>
        <v/>
      </c>
      <c r="U153" s="24">
        <f>IF($I153="","",IFERROR(INDEX('CAT_TIPOS_OT'!$C$4:$C$23,MATCH($I153,'CAT_TIPOS_OT'!$A$4:$A$23,0)),"sin_clasificar"))</f>
        <v/>
      </c>
      <c r="V153" s="24">
        <f>IF($I153="","",IF(IFERROR(INDEX('CAT_TIPOS_OT'!$D$4:$D$23,MATCH($I153,'CAT_TIPOS_OT'!$A$4:$A$23,0)),"SIN CLASIFICAR")="","SIN CLASIFICAR",IFERROR(INDEX('CAT_TIPOS_OT'!$D$4:$D$23,MATCH($I153,'CAT_TIPOS_OT'!$A$4:$A$23,0)),"SIN CLASIFICAR")))</f>
        <v/>
      </c>
      <c r="W153" s="24">
        <f>IF($H153="","",IF(IFERROR(INDEX('CAT_ACTIVIDADES'!$F$4:$F$26,MATCH($H153,'CAT_ACTIVIDADES'!$A$4:$A$26,0)),"")=0,"",IFERROR(INDEX('CAT_ACTIVIDADES'!$F$4:$F$26,MATCH($H153,'CAT_ACTIVIDADES'!$A$4:$A$26,0)),"")))</f>
        <v/>
      </c>
      <c r="X153" s="24">
        <f>IF($F153="","",IFERROR(INDEX('CAT_CENTROS_COSTO'!$F$4:$F$28,MATCH($F153,'CAT_CENTROS_COSTO'!$A$4:$A$28,0)),"(sin catálogo)"))</f>
        <v/>
      </c>
      <c r="Y153" s="24">
        <f>IF($F153="","",IFERROR(INDEX('CAT_CENTROS_COSTO'!$D$4:$D$28,MATCH($F153,'CAT_CENTROS_COSTO'!$A$4:$A$28,0)),"(sin catálogo)"))</f>
        <v/>
      </c>
      <c r="Z153" s="24">
        <f>IF($F153="","",IF((IFERROR(INDEX('CAT_CENTROS_COSTO'!$E$4:$E$28,MATCH($F153,'CAT_CENTROS_COSTO'!$A$4:$A$28,0)),""))&lt;&gt;"",IFERROR(INDEX('CAT_CENTROS_COSTO'!$E$4:$E$28,MATCH($F153,'CAT_CENTROS_COSTO'!$A$4:$A$28,0)),""),$Y153))</f>
        <v/>
      </c>
      <c r="AA153" s="24">
        <f>IF($F153="","",IFERROR(INDEX('CAT_CENTROS_COSTO'!$G$4:$G$28,MATCH($F153,'CAT_CENTROS_COSTO'!$A$4:$A$28,0)),"(sin catálogo)"))</f>
        <v/>
      </c>
      <c r="AB153" s="24">
        <f>IF($G153="","",IFERROR(INDEX('CAT_PUESTOS'!$B$4:$B$23,MATCH($G153,'CAT_PUESTOS'!$A$4:$A$23,0)),"(sin catálogo)"))</f>
        <v/>
      </c>
      <c r="AC153" s="24">
        <f>IF($H153="","",IFERROR(INDEX('CAT_ACTIVIDADES'!$B$4:$B$26,MATCH($H153,'CAT_ACTIVIDADES'!$A$4:$A$26,0)),"(sin catálogo)"))</f>
        <v/>
      </c>
      <c r="AD153" s="26">
        <f>IF($J153="","",TODAY()-$J153)</f>
        <v/>
      </c>
      <c r="AE153" s="26">
        <f>IF($J153="","",IF($J153&lt;=TODAY(),COUNTIFS(cal_fechas,"&gt;="&amp;$J153,cal_fechas,"&lt;"&amp;TODAY(),cal_habil,"sí"),-COUNTIFS(cal_fechas,"&gt;="&amp;TODAY(),cal_fechas,"&lt;"&amp;$J153,cal_habil,"sí")))</f>
        <v/>
      </c>
      <c r="AF153" s="24">
        <f>IF($AE153="","",IF($AE153&lt;0,"FUTURO",IF($AE153&gt;p_dias_backlog_max,"BACKLOG","MES CORRIENTE")))</f>
        <v/>
      </c>
      <c r="AG153" s="24">
        <f>IF($AE153="",FALSE,AND($AE153&gt;p_dias_backlog_min,$AE153&lt;=p_dias_backlog_max))</f>
        <v/>
      </c>
      <c r="AH153" s="4" t="n"/>
      <c r="AI153" s="24">
        <f>IF($AH153="","",IF((IFERROR(INDEX('ASIGNACIONES'!$J$4:$J$451,MATCH($O153&amp;"|"&amp;$S153&amp;"|"&amp;$AH153,'ASIGNACIONES'!$N$4:$N$451,0)),""))=0,"",IFERROR(INDEX('ASIGNACIONES'!$J$4:$J$451,MATCH($O153&amp;"|"&amp;$S153&amp;"|"&amp;$AH153,'ASIGNACIONES'!$N$4:$N$451,0)),"")))</f>
        <v/>
      </c>
      <c r="AJ153" s="42">
        <f>IF($AH153="","",SUMIFS('ORDENES'!$M$4:$M$1203,'ORDENES'!$AH$4:$AH$1203,$AH153,'ORDENES'!$O$4:$O$1203,$O153,'ORDENES'!$S$4:$S$1203,$S153))</f>
        <v/>
      </c>
      <c r="AK153" s="42">
        <f>IF($AJ153="","",p_factor_productividad*IFERROR(INDEX('ASIGNACIONES'!$M$4:$M$451,MATCH($O153&amp;"|"&amp;$S153&amp;"|"&amp;$AH153,'ASIGNACIONES'!$N$4:$N$451,0)),0)-$AJ153)</f>
        <v/>
      </c>
      <c r="AL153" s="32">
        <f>IF($A153="","",IFERROR(INDEX('2_IMPORTAR_EJECUCION'!$F$9:$F$1208,MATCH($AU153,'2_IMPORTAR_EJECUCION'!$J$9:$J$1208,0)),0))</f>
        <v/>
      </c>
      <c r="AM153" s="32">
        <f>IF($A153="","",MAX(0,IFERROR(INDEX('2_IMPORTAR_EJECUCION'!$H$9:$H$1208,MATCH($AU153,'2_IMPORTAR_EJECUCION'!$J$9:$J$1208,0)),0)-$AL153))</f>
        <v/>
      </c>
      <c r="AN153" s="32">
        <f>IF($A153="","",$AL153+$AM153)</f>
        <v/>
      </c>
      <c r="AO153" s="24">
        <f>IF($A153="","",IF(OR((IFERROR(INDEX('CAT_ACTIVIDADES'!$D$4:$D$26,MATCH($H153,'CAT_ACTIVIDADES'!$A$4:$A$26,0)),""))=0,(IFERROR(INDEX('CAT_ACTIVIDADES'!$D$4:$D$26,MATCH($H153,'CAT_ACTIVIDADES'!$A$4:$A$26,0)),""))=""),"SIN CLASIFICAR",IFERROR(INDEX('CAT_ACTIVIDADES'!$D$4:$D$26,MATCH($H153,'CAT_ACTIVIDADES'!$A$4:$A$26,0)),"")))</f>
        <v/>
      </c>
      <c r="AP153" s="4" t="n"/>
      <c r="AQ153" s="4" t="n"/>
      <c r="AR153" s="4" t="n"/>
      <c r="AS153" s="24">
        <f>IF($AR153="","",HYPERLINK(p_ruta_base_checklists&amp;$AR153,"abrir"))</f>
        <v/>
      </c>
      <c r="AT153" s="4" t="n"/>
      <c r="AU153" s="24">
        <f>IF($A153="","",$A153&amp;IF($B153="","0010",$B153))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41" t="n"/>
      <c r="K154" s="5" t="n"/>
      <c r="L154" s="18" t="n"/>
      <c r="M154" s="24">
        <f>IF($A154="","",IFERROR(INDEX('AJUSTES'!$B$4:$B$303,MATCH($AU154,'AJUSTES'!$A$4:$A$303,0)),IF($K154="","",$K154)))</f>
        <v/>
      </c>
      <c r="N154" s="24">
        <f>IF($A154="","",IFERROR(INDEX('CAT_ESTADOS_ERP'!$B$4:$B$22,MATCH(IFERROR(INDEX('2_IMPORTAR_EJECUCION'!$C$9:$C$1208,MATCH($AU154,'2_IMPORTAR_EJECUCION'!$J$9:$J$1208,0)),""),'CAT_ESTADOS_ERP'!$A$4:$A$22,0)),"Pendiente"))</f>
        <v/>
      </c>
      <c r="O154" s="24">
        <f>IF($J154="","",YEAR($J154+4-WEEKDAY($J154,2))&amp;"-S"&amp;TEXT(_xlfn.ISOWEEKNUM($J154),"00"))</f>
        <v/>
      </c>
      <c r="P154" s="24">
        <f>IF($J154="","",YEAR($J154))</f>
        <v/>
      </c>
      <c r="Q154" s="24">
        <f>IF($J154="","",MONTH($J154))</f>
        <v/>
      </c>
      <c r="R154" s="24">
        <f>IF($J154="","",$P154&amp;"-"&amp;TEXT($Q154,"00"))</f>
        <v/>
      </c>
      <c r="S154" s="24">
        <f>IF($J154="","",INDEX(lista_dias,WEEKDAY($J154,2)))</f>
        <v/>
      </c>
      <c r="T154" s="24">
        <f>IF($J154="","",IFERROR(INDEX('CALENDARIO'!$C$15:$C$214,MATCH(TEXT($J154,"yyyy-mm-dd")&amp;"|"&amp;$Y154&amp;"|"&amp;$Z154,'CALENDARIO'!$G$15:$G$214,0)),IFERROR(INDEX('CALENDARIO'!$C$15:$C$214,MATCH(TEXT($J154,"yyyy-mm-dd")&amp;"|"&amp;$Y154&amp;"|",'CALENDARIO'!$G$15:$G$214,0)),IFERROR(INDEX('CALENDARIO'!$C$15:$C$214,MATCH(TEXT($J154,"yyyy-mm-dd")&amp;"||",'CALENDARIO'!$G$15:$G$214,0)),INDEX(patronHabil,WEEKDAY($J154,2))))))</f>
        <v/>
      </c>
      <c r="U154" s="24">
        <f>IF($I154="","",IFERROR(INDEX('CAT_TIPOS_OT'!$C$4:$C$23,MATCH($I154,'CAT_TIPOS_OT'!$A$4:$A$23,0)),"sin_clasificar"))</f>
        <v/>
      </c>
      <c r="V154" s="24">
        <f>IF($I154="","",IF(IFERROR(INDEX('CAT_TIPOS_OT'!$D$4:$D$23,MATCH($I154,'CAT_TIPOS_OT'!$A$4:$A$23,0)),"SIN CLASIFICAR")="","SIN CLASIFICAR",IFERROR(INDEX('CAT_TIPOS_OT'!$D$4:$D$23,MATCH($I154,'CAT_TIPOS_OT'!$A$4:$A$23,0)),"SIN CLASIFICAR")))</f>
        <v/>
      </c>
      <c r="W154" s="24">
        <f>IF($H154="","",IF(IFERROR(INDEX('CAT_ACTIVIDADES'!$F$4:$F$26,MATCH($H154,'CAT_ACTIVIDADES'!$A$4:$A$26,0)),"")=0,"",IFERROR(INDEX('CAT_ACTIVIDADES'!$F$4:$F$26,MATCH($H154,'CAT_ACTIVIDADES'!$A$4:$A$26,0)),"")))</f>
        <v/>
      </c>
      <c r="X154" s="24">
        <f>IF($F154="","",IFERROR(INDEX('CAT_CENTROS_COSTO'!$F$4:$F$28,MATCH($F154,'CAT_CENTROS_COSTO'!$A$4:$A$28,0)),"(sin catálogo)"))</f>
        <v/>
      </c>
      <c r="Y154" s="24">
        <f>IF($F154="","",IFERROR(INDEX('CAT_CENTROS_COSTO'!$D$4:$D$28,MATCH($F154,'CAT_CENTROS_COSTO'!$A$4:$A$28,0)),"(sin catálogo)"))</f>
        <v/>
      </c>
      <c r="Z154" s="24">
        <f>IF($F154="","",IF((IFERROR(INDEX('CAT_CENTROS_COSTO'!$E$4:$E$28,MATCH($F154,'CAT_CENTROS_COSTO'!$A$4:$A$28,0)),""))&lt;&gt;"",IFERROR(INDEX('CAT_CENTROS_COSTO'!$E$4:$E$28,MATCH($F154,'CAT_CENTROS_COSTO'!$A$4:$A$28,0)),""),$Y154))</f>
        <v/>
      </c>
      <c r="AA154" s="24">
        <f>IF($F154="","",IFERROR(INDEX('CAT_CENTROS_COSTO'!$G$4:$G$28,MATCH($F154,'CAT_CENTROS_COSTO'!$A$4:$A$28,0)),"(sin catálogo)"))</f>
        <v/>
      </c>
      <c r="AB154" s="24">
        <f>IF($G154="","",IFERROR(INDEX('CAT_PUESTOS'!$B$4:$B$23,MATCH($G154,'CAT_PUESTOS'!$A$4:$A$23,0)),"(sin catálogo)"))</f>
        <v/>
      </c>
      <c r="AC154" s="24">
        <f>IF($H154="","",IFERROR(INDEX('CAT_ACTIVIDADES'!$B$4:$B$26,MATCH($H154,'CAT_ACTIVIDADES'!$A$4:$A$26,0)),"(sin catálogo)"))</f>
        <v/>
      </c>
      <c r="AD154" s="26">
        <f>IF($J154="","",TODAY()-$J154)</f>
        <v/>
      </c>
      <c r="AE154" s="26">
        <f>IF($J154="","",IF($J154&lt;=TODAY(),COUNTIFS(cal_fechas,"&gt;="&amp;$J154,cal_fechas,"&lt;"&amp;TODAY(),cal_habil,"sí"),-COUNTIFS(cal_fechas,"&gt;="&amp;TODAY(),cal_fechas,"&lt;"&amp;$J154,cal_habil,"sí")))</f>
        <v/>
      </c>
      <c r="AF154" s="24">
        <f>IF($AE154="","",IF($AE154&lt;0,"FUTURO",IF($AE154&gt;p_dias_backlog_max,"BACKLOG","MES CORRIENTE")))</f>
        <v/>
      </c>
      <c r="AG154" s="24">
        <f>IF($AE154="",FALSE,AND($AE154&gt;p_dias_backlog_min,$AE154&lt;=p_dias_backlog_max))</f>
        <v/>
      </c>
      <c r="AH154" s="4" t="n"/>
      <c r="AI154" s="24">
        <f>IF($AH154="","",IF((IFERROR(INDEX('ASIGNACIONES'!$J$4:$J$451,MATCH($O154&amp;"|"&amp;$S154&amp;"|"&amp;$AH154,'ASIGNACIONES'!$N$4:$N$451,0)),""))=0,"",IFERROR(INDEX('ASIGNACIONES'!$J$4:$J$451,MATCH($O154&amp;"|"&amp;$S154&amp;"|"&amp;$AH154,'ASIGNACIONES'!$N$4:$N$451,0)),"")))</f>
        <v/>
      </c>
      <c r="AJ154" s="42">
        <f>IF($AH154="","",SUMIFS('ORDENES'!$M$4:$M$1203,'ORDENES'!$AH$4:$AH$1203,$AH154,'ORDENES'!$O$4:$O$1203,$O154,'ORDENES'!$S$4:$S$1203,$S154))</f>
        <v/>
      </c>
      <c r="AK154" s="42">
        <f>IF($AJ154="","",p_factor_productividad*IFERROR(INDEX('ASIGNACIONES'!$M$4:$M$451,MATCH($O154&amp;"|"&amp;$S154&amp;"|"&amp;$AH154,'ASIGNACIONES'!$N$4:$N$451,0)),0)-$AJ154)</f>
        <v/>
      </c>
      <c r="AL154" s="32">
        <f>IF($A154="","",IFERROR(INDEX('2_IMPORTAR_EJECUCION'!$F$9:$F$1208,MATCH($AU154,'2_IMPORTAR_EJECUCION'!$J$9:$J$1208,0)),0))</f>
        <v/>
      </c>
      <c r="AM154" s="32">
        <f>IF($A154="","",MAX(0,IFERROR(INDEX('2_IMPORTAR_EJECUCION'!$H$9:$H$1208,MATCH($AU154,'2_IMPORTAR_EJECUCION'!$J$9:$J$1208,0)),0)-$AL154))</f>
        <v/>
      </c>
      <c r="AN154" s="32">
        <f>IF($A154="","",$AL154+$AM154)</f>
        <v/>
      </c>
      <c r="AO154" s="24">
        <f>IF($A154="","",IF(OR((IFERROR(INDEX('CAT_ACTIVIDADES'!$D$4:$D$26,MATCH($H154,'CAT_ACTIVIDADES'!$A$4:$A$26,0)),""))=0,(IFERROR(INDEX('CAT_ACTIVIDADES'!$D$4:$D$26,MATCH($H154,'CAT_ACTIVIDADES'!$A$4:$A$26,0)),""))=""),"SIN CLASIFICAR",IFERROR(INDEX('CAT_ACTIVIDADES'!$D$4:$D$26,MATCH($H154,'CAT_ACTIVIDADES'!$A$4:$A$26,0)),"")))</f>
        <v/>
      </c>
      <c r="AP154" s="4" t="n"/>
      <c r="AQ154" s="4" t="n"/>
      <c r="AR154" s="4" t="n"/>
      <c r="AS154" s="24">
        <f>IF($AR154="","",HYPERLINK(p_ruta_base_checklists&amp;$AR154,"abrir"))</f>
        <v/>
      </c>
      <c r="AT154" s="4" t="n"/>
      <c r="AU154" s="24">
        <f>IF($A154="","",$A154&amp;IF($B154="","0010",$B154))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41" t="n"/>
      <c r="K155" s="5" t="n"/>
      <c r="L155" s="18" t="n"/>
      <c r="M155" s="24">
        <f>IF($A155="","",IFERROR(INDEX('AJUSTES'!$B$4:$B$303,MATCH($AU155,'AJUSTES'!$A$4:$A$303,0)),IF($K155="","",$K155)))</f>
        <v/>
      </c>
      <c r="N155" s="24">
        <f>IF($A155="","",IFERROR(INDEX('CAT_ESTADOS_ERP'!$B$4:$B$22,MATCH(IFERROR(INDEX('2_IMPORTAR_EJECUCION'!$C$9:$C$1208,MATCH($AU155,'2_IMPORTAR_EJECUCION'!$J$9:$J$1208,0)),""),'CAT_ESTADOS_ERP'!$A$4:$A$22,0)),"Pendiente"))</f>
        <v/>
      </c>
      <c r="O155" s="24">
        <f>IF($J155="","",YEAR($J155+4-WEEKDAY($J155,2))&amp;"-S"&amp;TEXT(_xlfn.ISOWEEKNUM($J155),"00"))</f>
        <v/>
      </c>
      <c r="P155" s="24">
        <f>IF($J155="","",YEAR($J155))</f>
        <v/>
      </c>
      <c r="Q155" s="24">
        <f>IF($J155="","",MONTH($J155))</f>
        <v/>
      </c>
      <c r="R155" s="24">
        <f>IF($J155="","",$P155&amp;"-"&amp;TEXT($Q155,"00"))</f>
        <v/>
      </c>
      <c r="S155" s="24">
        <f>IF($J155="","",INDEX(lista_dias,WEEKDAY($J155,2)))</f>
        <v/>
      </c>
      <c r="T155" s="24">
        <f>IF($J155="","",IFERROR(INDEX('CALENDARIO'!$C$15:$C$214,MATCH(TEXT($J155,"yyyy-mm-dd")&amp;"|"&amp;$Y155&amp;"|"&amp;$Z155,'CALENDARIO'!$G$15:$G$214,0)),IFERROR(INDEX('CALENDARIO'!$C$15:$C$214,MATCH(TEXT($J155,"yyyy-mm-dd")&amp;"|"&amp;$Y155&amp;"|",'CALENDARIO'!$G$15:$G$214,0)),IFERROR(INDEX('CALENDARIO'!$C$15:$C$214,MATCH(TEXT($J155,"yyyy-mm-dd")&amp;"||",'CALENDARIO'!$G$15:$G$214,0)),INDEX(patronHabil,WEEKDAY($J155,2))))))</f>
        <v/>
      </c>
      <c r="U155" s="24">
        <f>IF($I155="","",IFERROR(INDEX('CAT_TIPOS_OT'!$C$4:$C$23,MATCH($I155,'CAT_TIPOS_OT'!$A$4:$A$23,0)),"sin_clasificar"))</f>
        <v/>
      </c>
      <c r="V155" s="24">
        <f>IF($I155="","",IF(IFERROR(INDEX('CAT_TIPOS_OT'!$D$4:$D$23,MATCH($I155,'CAT_TIPOS_OT'!$A$4:$A$23,0)),"SIN CLASIFICAR")="","SIN CLASIFICAR",IFERROR(INDEX('CAT_TIPOS_OT'!$D$4:$D$23,MATCH($I155,'CAT_TIPOS_OT'!$A$4:$A$23,0)),"SIN CLASIFICAR")))</f>
        <v/>
      </c>
      <c r="W155" s="24">
        <f>IF($H155="","",IF(IFERROR(INDEX('CAT_ACTIVIDADES'!$F$4:$F$26,MATCH($H155,'CAT_ACTIVIDADES'!$A$4:$A$26,0)),"")=0,"",IFERROR(INDEX('CAT_ACTIVIDADES'!$F$4:$F$26,MATCH($H155,'CAT_ACTIVIDADES'!$A$4:$A$26,0)),"")))</f>
        <v/>
      </c>
      <c r="X155" s="24">
        <f>IF($F155="","",IFERROR(INDEX('CAT_CENTROS_COSTO'!$F$4:$F$28,MATCH($F155,'CAT_CENTROS_COSTO'!$A$4:$A$28,0)),"(sin catálogo)"))</f>
        <v/>
      </c>
      <c r="Y155" s="24">
        <f>IF($F155="","",IFERROR(INDEX('CAT_CENTROS_COSTO'!$D$4:$D$28,MATCH($F155,'CAT_CENTROS_COSTO'!$A$4:$A$28,0)),"(sin catálogo)"))</f>
        <v/>
      </c>
      <c r="Z155" s="24">
        <f>IF($F155="","",IF((IFERROR(INDEX('CAT_CENTROS_COSTO'!$E$4:$E$28,MATCH($F155,'CAT_CENTROS_COSTO'!$A$4:$A$28,0)),""))&lt;&gt;"",IFERROR(INDEX('CAT_CENTROS_COSTO'!$E$4:$E$28,MATCH($F155,'CAT_CENTROS_COSTO'!$A$4:$A$28,0)),""),$Y155))</f>
        <v/>
      </c>
      <c r="AA155" s="24">
        <f>IF($F155="","",IFERROR(INDEX('CAT_CENTROS_COSTO'!$G$4:$G$28,MATCH($F155,'CAT_CENTROS_COSTO'!$A$4:$A$28,0)),"(sin catálogo)"))</f>
        <v/>
      </c>
      <c r="AB155" s="24">
        <f>IF($G155="","",IFERROR(INDEX('CAT_PUESTOS'!$B$4:$B$23,MATCH($G155,'CAT_PUESTOS'!$A$4:$A$23,0)),"(sin catálogo)"))</f>
        <v/>
      </c>
      <c r="AC155" s="24">
        <f>IF($H155="","",IFERROR(INDEX('CAT_ACTIVIDADES'!$B$4:$B$26,MATCH($H155,'CAT_ACTIVIDADES'!$A$4:$A$26,0)),"(sin catálogo)"))</f>
        <v/>
      </c>
      <c r="AD155" s="26">
        <f>IF($J155="","",TODAY()-$J155)</f>
        <v/>
      </c>
      <c r="AE155" s="26">
        <f>IF($J155="","",IF($J155&lt;=TODAY(),COUNTIFS(cal_fechas,"&gt;="&amp;$J155,cal_fechas,"&lt;"&amp;TODAY(),cal_habil,"sí"),-COUNTIFS(cal_fechas,"&gt;="&amp;TODAY(),cal_fechas,"&lt;"&amp;$J155,cal_habil,"sí")))</f>
        <v/>
      </c>
      <c r="AF155" s="24">
        <f>IF($AE155="","",IF($AE155&lt;0,"FUTURO",IF($AE155&gt;p_dias_backlog_max,"BACKLOG","MES CORRIENTE")))</f>
        <v/>
      </c>
      <c r="AG155" s="24">
        <f>IF($AE155="",FALSE,AND($AE155&gt;p_dias_backlog_min,$AE155&lt;=p_dias_backlog_max))</f>
        <v/>
      </c>
      <c r="AH155" s="4" t="n"/>
      <c r="AI155" s="24">
        <f>IF($AH155="","",IF((IFERROR(INDEX('ASIGNACIONES'!$J$4:$J$451,MATCH($O155&amp;"|"&amp;$S155&amp;"|"&amp;$AH155,'ASIGNACIONES'!$N$4:$N$451,0)),""))=0,"",IFERROR(INDEX('ASIGNACIONES'!$J$4:$J$451,MATCH($O155&amp;"|"&amp;$S155&amp;"|"&amp;$AH155,'ASIGNACIONES'!$N$4:$N$451,0)),"")))</f>
        <v/>
      </c>
      <c r="AJ155" s="42">
        <f>IF($AH155="","",SUMIFS('ORDENES'!$M$4:$M$1203,'ORDENES'!$AH$4:$AH$1203,$AH155,'ORDENES'!$O$4:$O$1203,$O155,'ORDENES'!$S$4:$S$1203,$S155))</f>
        <v/>
      </c>
      <c r="AK155" s="42">
        <f>IF($AJ155="","",p_factor_productividad*IFERROR(INDEX('ASIGNACIONES'!$M$4:$M$451,MATCH($O155&amp;"|"&amp;$S155&amp;"|"&amp;$AH155,'ASIGNACIONES'!$N$4:$N$451,0)),0)-$AJ155)</f>
        <v/>
      </c>
      <c r="AL155" s="32">
        <f>IF($A155="","",IFERROR(INDEX('2_IMPORTAR_EJECUCION'!$F$9:$F$1208,MATCH($AU155,'2_IMPORTAR_EJECUCION'!$J$9:$J$1208,0)),0))</f>
        <v/>
      </c>
      <c r="AM155" s="32">
        <f>IF($A155="","",MAX(0,IFERROR(INDEX('2_IMPORTAR_EJECUCION'!$H$9:$H$1208,MATCH($AU155,'2_IMPORTAR_EJECUCION'!$J$9:$J$1208,0)),0)-$AL155))</f>
        <v/>
      </c>
      <c r="AN155" s="32">
        <f>IF($A155="","",$AL155+$AM155)</f>
        <v/>
      </c>
      <c r="AO155" s="24">
        <f>IF($A155="","",IF(OR((IFERROR(INDEX('CAT_ACTIVIDADES'!$D$4:$D$26,MATCH($H155,'CAT_ACTIVIDADES'!$A$4:$A$26,0)),""))=0,(IFERROR(INDEX('CAT_ACTIVIDADES'!$D$4:$D$26,MATCH($H155,'CAT_ACTIVIDADES'!$A$4:$A$26,0)),""))=""),"SIN CLASIFICAR",IFERROR(INDEX('CAT_ACTIVIDADES'!$D$4:$D$26,MATCH($H155,'CAT_ACTIVIDADES'!$A$4:$A$26,0)),"")))</f>
        <v/>
      </c>
      <c r="AP155" s="4" t="n"/>
      <c r="AQ155" s="4" t="n"/>
      <c r="AR155" s="4" t="n"/>
      <c r="AS155" s="24">
        <f>IF($AR155="","",HYPERLINK(p_ruta_base_checklists&amp;$AR155,"abrir"))</f>
        <v/>
      </c>
      <c r="AT155" s="4" t="n"/>
      <c r="AU155" s="24">
        <f>IF($A155="","",$A155&amp;IF($B155="","0010",$B155))</f>
        <v/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41" t="n"/>
      <c r="K156" s="5" t="n"/>
      <c r="L156" s="18" t="n"/>
      <c r="M156" s="24">
        <f>IF($A156="","",IFERROR(INDEX('AJUSTES'!$B$4:$B$303,MATCH($AU156,'AJUSTES'!$A$4:$A$303,0)),IF($K156="","",$K156)))</f>
        <v/>
      </c>
      <c r="N156" s="24">
        <f>IF($A156="","",IFERROR(INDEX('CAT_ESTADOS_ERP'!$B$4:$B$22,MATCH(IFERROR(INDEX('2_IMPORTAR_EJECUCION'!$C$9:$C$1208,MATCH($AU156,'2_IMPORTAR_EJECUCION'!$J$9:$J$1208,0)),""),'CAT_ESTADOS_ERP'!$A$4:$A$22,0)),"Pendiente"))</f>
        <v/>
      </c>
      <c r="O156" s="24">
        <f>IF($J156="","",YEAR($J156+4-WEEKDAY($J156,2))&amp;"-S"&amp;TEXT(_xlfn.ISOWEEKNUM($J156),"00"))</f>
        <v/>
      </c>
      <c r="P156" s="24">
        <f>IF($J156="","",YEAR($J156))</f>
        <v/>
      </c>
      <c r="Q156" s="24">
        <f>IF($J156="","",MONTH($J156))</f>
        <v/>
      </c>
      <c r="R156" s="24">
        <f>IF($J156="","",$P156&amp;"-"&amp;TEXT($Q156,"00"))</f>
        <v/>
      </c>
      <c r="S156" s="24">
        <f>IF($J156="","",INDEX(lista_dias,WEEKDAY($J156,2)))</f>
        <v/>
      </c>
      <c r="T156" s="24">
        <f>IF($J156="","",IFERROR(INDEX('CALENDARIO'!$C$15:$C$214,MATCH(TEXT($J156,"yyyy-mm-dd")&amp;"|"&amp;$Y156&amp;"|"&amp;$Z156,'CALENDARIO'!$G$15:$G$214,0)),IFERROR(INDEX('CALENDARIO'!$C$15:$C$214,MATCH(TEXT($J156,"yyyy-mm-dd")&amp;"|"&amp;$Y156&amp;"|",'CALENDARIO'!$G$15:$G$214,0)),IFERROR(INDEX('CALENDARIO'!$C$15:$C$214,MATCH(TEXT($J156,"yyyy-mm-dd")&amp;"||",'CALENDARIO'!$G$15:$G$214,0)),INDEX(patronHabil,WEEKDAY($J156,2))))))</f>
        <v/>
      </c>
      <c r="U156" s="24">
        <f>IF($I156="","",IFERROR(INDEX('CAT_TIPOS_OT'!$C$4:$C$23,MATCH($I156,'CAT_TIPOS_OT'!$A$4:$A$23,0)),"sin_clasificar"))</f>
        <v/>
      </c>
      <c r="V156" s="24">
        <f>IF($I156="","",IF(IFERROR(INDEX('CAT_TIPOS_OT'!$D$4:$D$23,MATCH($I156,'CAT_TIPOS_OT'!$A$4:$A$23,0)),"SIN CLASIFICAR")="","SIN CLASIFICAR",IFERROR(INDEX('CAT_TIPOS_OT'!$D$4:$D$23,MATCH($I156,'CAT_TIPOS_OT'!$A$4:$A$23,0)),"SIN CLASIFICAR")))</f>
        <v/>
      </c>
      <c r="W156" s="24">
        <f>IF($H156="","",IF(IFERROR(INDEX('CAT_ACTIVIDADES'!$F$4:$F$26,MATCH($H156,'CAT_ACTIVIDADES'!$A$4:$A$26,0)),"")=0,"",IFERROR(INDEX('CAT_ACTIVIDADES'!$F$4:$F$26,MATCH($H156,'CAT_ACTIVIDADES'!$A$4:$A$26,0)),"")))</f>
        <v/>
      </c>
      <c r="X156" s="24">
        <f>IF($F156="","",IFERROR(INDEX('CAT_CENTROS_COSTO'!$F$4:$F$28,MATCH($F156,'CAT_CENTROS_COSTO'!$A$4:$A$28,0)),"(sin catálogo)"))</f>
        <v/>
      </c>
      <c r="Y156" s="24">
        <f>IF($F156="","",IFERROR(INDEX('CAT_CENTROS_COSTO'!$D$4:$D$28,MATCH($F156,'CAT_CENTROS_COSTO'!$A$4:$A$28,0)),"(sin catálogo)"))</f>
        <v/>
      </c>
      <c r="Z156" s="24">
        <f>IF($F156="","",IF((IFERROR(INDEX('CAT_CENTROS_COSTO'!$E$4:$E$28,MATCH($F156,'CAT_CENTROS_COSTO'!$A$4:$A$28,0)),""))&lt;&gt;"",IFERROR(INDEX('CAT_CENTROS_COSTO'!$E$4:$E$28,MATCH($F156,'CAT_CENTROS_COSTO'!$A$4:$A$28,0)),""),$Y156))</f>
        <v/>
      </c>
      <c r="AA156" s="24">
        <f>IF($F156="","",IFERROR(INDEX('CAT_CENTROS_COSTO'!$G$4:$G$28,MATCH($F156,'CAT_CENTROS_COSTO'!$A$4:$A$28,0)),"(sin catálogo)"))</f>
        <v/>
      </c>
      <c r="AB156" s="24">
        <f>IF($G156="","",IFERROR(INDEX('CAT_PUESTOS'!$B$4:$B$23,MATCH($G156,'CAT_PUESTOS'!$A$4:$A$23,0)),"(sin catálogo)"))</f>
        <v/>
      </c>
      <c r="AC156" s="24">
        <f>IF($H156="","",IFERROR(INDEX('CAT_ACTIVIDADES'!$B$4:$B$26,MATCH($H156,'CAT_ACTIVIDADES'!$A$4:$A$26,0)),"(sin catálogo)"))</f>
        <v/>
      </c>
      <c r="AD156" s="26">
        <f>IF($J156="","",TODAY()-$J156)</f>
        <v/>
      </c>
      <c r="AE156" s="26">
        <f>IF($J156="","",IF($J156&lt;=TODAY(),COUNTIFS(cal_fechas,"&gt;="&amp;$J156,cal_fechas,"&lt;"&amp;TODAY(),cal_habil,"sí"),-COUNTIFS(cal_fechas,"&gt;="&amp;TODAY(),cal_fechas,"&lt;"&amp;$J156,cal_habil,"sí")))</f>
        <v/>
      </c>
      <c r="AF156" s="24">
        <f>IF($AE156="","",IF($AE156&lt;0,"FUTURO",IF($AE156&gt;p_dias_backlog_max,"BACKLOG","MES CORRIENTE")))</f>
        <v/>
      </c>
      <c r="AG156" s="24">
        <f>IF($AE156="",FALSE,AND($AE156&gt;p_dias_backlog_min,$AE156&lt;=p_dias_backlog_max))</f>
        <v/>
      </c>
      <c r="AH156" s="4" t="n"/>
      <c r="AI156" s="24">
        <f>IF($AH156="","",IF((IFERROR(INDEX('ASIGNACIONES'!$J$4:$J$451,MATCH($O156&amp;"|"&amp;$S156&amp;"|"&amp;$AH156,'ASIGNACIONES'!$N$4:$N$451,0)),""))=0,"",IFERROR(INDEX('ASIGNACIONES'!$J$4:$J$451,MATCH($O156&amp;"|"&amp;$S156&amp;"|"&amp;$AH156,'ASIGNACIONES'!$N$4:$N$451,0)),"")))</f>
        <v/>
      </c>
      <c r="AJ156" s="42">
        <f>IF($AH156="","",SUMIFS('ORDENES'!$M$4:$M$1203,'ORDENES'!$AH$4:$AH$1203,$AH156,'ORDENES'!$O$4:$O$1203,$O156,'ORDENES'!$S$4:$S$1203,$S156))</f>
        <v/>
      </c>
      <c r="AK156" s="42">
        <f>IF($AJ156="","",p_factor_productividad*IFERROR(INDEX('ASIGNACIONES'!$M$4:$M$451,MATCH($O156&amp;"|"&amp;$S156&amp;"|"&amp;$AH156,'ASIGNACIONES'!$N$4:$N$451,0)),0)-$AJ156)</f>
        <v/>
      </c>
      <c r="AL156" s="32">
        <f>IF($A156="","",IFERROR(INDEX('2_IMPORTAR_EJECUCION'!$F$9:$F$1208,MATCH($AU156,'2_IMPORTAR_EJECUCION'!$J$9:$J$1208,0)),0))</f>
        <v/>
      </c>
      <c r="AM156" s="32">
        <f>IF($A156="","",MAX(0,IFERROR(INDEX('2_IMPORTAR_EJECUCION'!$H$9:$H$1208,MATCH($AU156,'2_IMPORTAR_EJECUCION'!$J$9:$J$1208,0)),0)-$AL156))</f>
        <v/>
      </c>
      <c r="AN156" s="32">
        <f>IF($A156="","",$AL156+$AM156)</f>
        <v/>
      </c>
      <c r="AO156" s="24">
        <f>IF($A156="","",IF(OR((IFERROR(INDEX('CAT_ACTIVIDADES'!$D$4:$D$26,MATCH($H156,'CAT_ACTIVIDADES'!$A$4:$A$26,0)),""))=0,(IFERROR(INDEX('CAT_ACTIVIDADES'!$D$4:$D$26,MATCH($H156,'CAT_ACTIVIDADES'!$A$4:$A$26,0)),""))=""),"SIN CLASIFICAR",IFERROR(INDEX('CAT_ACTIVIDADES'!$D$4:$D$26,MATCH($H156,'CAT_ACTIVIDADES'!$A$4:$A$26,0)),"")))</f>
        <v/>
      </c>
      <c r="AP156" s="4" t="n"/>
      <c r="AQ156" s="4" t="n"/>
      <c r="AR156" s="4" t="n"/>
      <c r="AS156" s="24">
        <f>IF($AR156="","",HYPERLINK(p_ruta_base_checklists&amp;$AR156,"abrir"))</f>
        <v/>
      </c>
      <c r="AT156" s="4" t="n"/>
      <c r="AU156" s="24">
        <f>IF($A156="","",$A156&amp;IF($B156="","0010",$B156))</f>
        <v/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41" t="n"/>
      <c r="K157" s="5" t="n"/>
      <c r="L157" s="18" t="n"/>
      <c r="M157" s="24">
        <f>IF($A157="","",IFERROR(INDEX('AJUSTES'!$B$4:$B$303,MATCH($AU157,'AJUSTES'!$A$4:$A$303,0)),IF($K157="","",$K157)))</f>
        <v/>
      </c>
      <c r="N157" s="24">
        <f>IF($A157="","",IFERROR(INDEX('CAT_ESTADOS_ERP'!$B$4:$B$22,MATCH(IFERROR(INDEX('2_IMPORTAR_EJECUCION'!$C$9:$C$1208,MATCH($AU157,'2_IMPORTAR_EJECUCION'!$J$9:$J$1208,0)),""),'CAT_ESTADOS_ERP'!$A$4:$A$22,0)),"Pendiente"))</f>
        <v/>
      </c>
      <c r="O157" s="24">
        <f>IF($J157="","",YEAR($J157+4-WEEKDAY($J157,2))&amp;"-S"&amp;TEXT(_xlfn.ISOWEEKNUM($J157),"00"))</f>
        <v/>
      </c>
      <c r="P157" s="24">
        <f>IF($J157="","",YEAR($J157))</f>
        <v/>
      </c>
      <c r="Q157" s="24">
        <f>IF($J157="","",MONTH($J157))</f>
        <v/>
      </c>
      <c r="R157" s="24">
        <f>IF($J157="","",$P157&amp;"-"&amp;TEXT($Q157,"00"))</f>
        <v/>
      </c>
      <c r="S157" s="24">
        <f>IF($J157="","",INDEX(lista_dias,WEEKDAY($J157,2)))</f>
        <v/>
      </c>
      <c r="T157" s="24">
        <f>IF($J157="","",IFERROR(INDEX('CALENDARIO'!$C$15:$C$214,MATCH(TEXT($J157,"yyyy-mm-dd")&amp;"|"&amp;$Y157&amp;"|"&amp;$Z157,'CALENDARIO'!$G$15:$G$214,0)),IFERROR(INDEX('CALENDARIO'!$C$15:$C$214,MATCH(TEXT($J157,"yyyy-mm-dd")&amp;"|"&amp;$Y157&amp;"|",'CALENDARIO'!$G$15:$G$214,0)),IFERROR(INDEX('CALENDARIO'!$C$15:$C$214,MATCH(TEXT($J157,"yyyy-mm-dd")&amp;"||",'CALENDARIO'!$G$15:$G$214,0)),INDEX(patronHabil,WEEKDAY($J157,2))))))</f>
        <v/>
      </c>
      <c r="U157" s="24">
        <f>IF($I157="","",IFERROR(INDEX('CAT_TIPOS_OT'!$C$4:$C$23,MATCH($I157,'CAT_TIPOS_OT'!$A$4:$A$23,0)),"sin_clasificar"))</f>
        <v/>
      </c>
      <c r="V157" s="24">
        <f>IF($I157="","",IF(IFERROR(INDEX('CAT_TIPOS_OT'!$D$4:$D$23,MATCH($I157,'CAT_TIPOS_OT'!$A$4:$A$23,0)),"SIN CLASIFICAR")="","SIN CLASIFICAR",IFERROR(INDEX('CAT_TIPOS_OT'!$D$4:$D$23,MATCH($I157,'CAT_TIPOS_OT'!$A$4:$A$23,0)),"SIN CLASIFICAR")))</f>
        <v/>
      </c>
      <c r="W157" s="24">
        <f>IF($H157="","",IF(IFERROR(INDEX('CAT_ACTIVIDADES'!$F$4:$F$26,MATCH($H157,'CAT_ACTIVIDADES'!$A$4:$A$26,0)),"")=0,"",IFERROR(INDEX('CAT_ACTIVIDADES'!$F$4:$F$26,MATCH($H157,'CAT_ACTIVIDADES'!$A$4:$A$26,0)),"")))</f>
        <v/>
      </c>
      <c r="X157" s="24">
        <f>IF($F157="","",IFERROR(INDEX('CAT_CENTROS_COSTO'!$F$4:$F$28,MATCH($F157,'CAT_CENTROS_COSTO'!$A$4:$A$28,0)),"(sin catálogo)"))</f>
        <v/>
      </c>
      <c r="Y157" s="24">
        <f>IF($F157="","",IFERROR(INDEX('CAT_CENTROS_COSTO'!$D$4:$D$28,MATCH($F157,'CAT_CENTROS_COSTO'!$A$4:$A$28,0)),"(sin catálogo)"))</f>
        <v/>
      </c>
      <c r="Z157" s="24">
        <f>IF($F157="","",IF((IFERROR(INDEX('CAT_CENTROS_COSTO'!$E$4:$E$28,MATCH($F157,'CAT_CENTROS_COSTO'!$A$4:$A$28,0)),""))&lt;&gt;"",IFERROR(INDEX('CAT_CENTROS_COSTO'!$E$4:$E$28,MATCH($F157,'CAT_CENTROS_COSTO'!$A$4:$A$28,0)),""),$Y157))</f>
        <v/>
      </c>
      <c r="AA157" s="24">
        <f>IF($F157="","",IFERROR(INDEX('CAT_CENTROS_COSTO'!$G$4:$G$28,MATCH($F157,'CAT_CENTROS_COSTO'!$A$4:$A$28,0)),"(sin catálogo)"))</f>
        <v/>
      </c>
      <c r="AB157" s="24">
        <f>IF($G157="","",IFERROR(INDEX('CAT_PUESTOS'!$B$4:$B$23,MATCH($G157,'CAT_PUESTOS'!$A$4:$A$23,0)),"(sin catálogo)"))</f>
        <v/>
      </c>
      <c r="AC157" s="24">
        <f>IF($H157="","",IFERROR(INDEX('CAT_ACTIVIDADES'!$B$4:$B$26,MATCH($H157,'CAT_ACTIVIDADES'!$A$4:$A$26,0)),"(sin catálogo)"))</f>
        <v/>
      </c>
      <c r="AD157" s="26">
        <f>IF($J157="","",TODAY()-$J157)</f>
        <v/>
      </c>
      <c r="AE157" s="26">
        <f>IF($J157="","",IF($J157&lt;=TODAY(),COUNTIFS(cal_fechas,"&gt;="&amp;$J157,cal_fechas,"&lt;"&amp;TODAY(),cal_habil,"sí"),-COUNTIFS(cal_fechas,"&gt;="&amp;TODAY(),cal_fechas,"&lt;"&amp;$J157,cal_habil,"sí")))</f>
        <v/>
      </c>
      <c r="AF157" s="24">
        <f>IF($AE157="","",IF($AE157&lt;0,"FUTURO",IF($AE157&gt;p_dias_backlog_max,"BACKLOG","MES CORRIENTE")))</f>
        <v/>
      </c>
      <c r="AG157" s="24">
        <f>IF($AE157="",FALSE,AND($AE157&gt;p_dias_backlog_min,$AE157&lt;=p_dias_backlog_max))</f>
        <v/>
      </c>
      <c r="AH157" s="4" t="n"/>
      <c r="AI157" s="24">
        <f>IF($AH157="","",IF((IFERROR(INDEX('ASIGNACIONES'!$J$4:$J$451,MATCH($O157&amp;"|"&amp;$S157&amp;"|"&amp;$AH157,'ASIGNACIONES'!$N$4:$N$451,0)),""))=0,"",IFERROR(INDEX('ASIGNACIONES'!$J$4:$J$451,MATCH($O157&amp;"|"&amp;$S157&amp;"|"&amp;$AH157,'ASIGNACIONES'!$N$4:$N$451,0)),"")))</f>
        <v/>
      </c>
      <c r="AJ157" s="42">
        <f>IF($AH157="","",SUMIFS('ORDENES'!$M$4:$M$1203,'ORDENES'!$AH$4:$AH$1203,$AH157,'ORDENES'!$O$4:$O$1203,$O157,'ORDENES'!$S$4:$S$1203,$S157))</f>
        <v/>
      </c>
      <c r="AK157" s="42">
        <f>IF($AJ157="","",p_factor_productividad*IFERROR(INDEX('ASIGNACIONES'!$M$4:$M$451,MATCH($O157&amp;"|"&amp;$S157&amp;"|"&amp;$AH157,'ASIGNACIONES'!$N$4:$N$451,0)),0)-$AJ157)</f>
        <v/>
      </c>
      <c r="AL157" s="32">
        <f>IF($A157="","",IFERROR(INDEX('2_IMPORTAR_EJECUCION'!$F$9:$F$1208,MATCH($AU157,'2_IMPORTAR_EJECUCION'!$J$9:$J$1208,0)),0))</f>
        <v/>
      </c>
      <c r="AM157" s="32">
        <f>IF($A157="","",MAX(0,IFERROR(INDEX('2_IMPORTAR_EJECUCION'!$H$9:$H$1208,MATCH($AU157,'2_IMPORTAR_EJECUCION'!$J$9:$J$1208,0)),0)-$AL157))</f>
        <v/>
      </c>
      <c r="AN157" s="32">
        <f>IF($A157="","",$AL157+$AM157)</f>
        <v/>
      </c>
      <c r="AO157" s="24">
        <f>IF($A157="","",IF(OR((IFERROR(INDEX('CAT_ACTIVIDADES'!$D$4:$D$26,MATCH($H157,'CAT_ACTIVIDADES'!$A$4:$A$26,0)),""))=0,(IFERROR(INDEX('CAT_ACTIVIDADES'!$D$4:$D$26,MATCH($H157,'CAT_ACTIVIDADES'!$A$4:$A$26,0)),""))=""),"SIN CLASIFICAR",IFERROR(INDEX('CAT_ACTIVIDADES'!$D$4:$D$26,MATCH($H157,'CAT_ACTIVIDADES'!$A$4:$A$26,0)),"")))</f>
        <v/>
      </c>
      <c r="AP157" s="4" t="n"/>
      <c r="AQ157" s="4" t="n"/>
      <c r="AR157" s="4" t="n"/>
      <c r="AS157" s="24">
        <f>IF($AR157="","",HYPERLINK(p_ruta_base_checklists&amp;$AR157,"abrir"))</f>
        <v/>
      </c>
      <c r="AT157" s="4" t="n"/>
      <c r="AU157" s="24">
        <f>IF($A157="","",$A157&amp;IF($B157="","0010",$B157))</f>
        <v/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41" t="n"/>
      <c r="K158" s="5" t="n"/>
      <c r="L158" s="18" t="n"/>
      <c r="M158" s="24">
        <f>IF($A158="","",IFERROR(INDEX('AJUSTES'!$B$4:$B$303,MATCH($AU158,'AJUSTES'!$A$4:$A$303,0)),IF($K158="","",$K158)))</f>
        <v/>
      </c>
      <c r="N158" s="24">
        <f>IF($A158="","",IFERROR(INDEX('CAT_ESTADOS_ERP'!$B$4:$B$22,MATCH(IFERROR(INDEX('2_IMPORTAR_EJECUCION'!$C$9:$C$1208,MATCH($AU158,'2_IMPORTAR_EJECUCION'!$J$9:$J$1208,0)),""),'CAT_ESTADOS_ERP'!$A$4:$A$22,0)),"Pendiente"))</f>
        <v/>
      </c>
      <c r="O158" s="24">
        <f>IF($J158="","",YEAR($J158+4-WEEKDAY($J158,2))&amp;"-S"&amp;TEXT(_xlfn.ISOWEEKNUM($J158),"00"))</f>
        <v/>
      </c>
      <c r="P158" s="24">
        <f>IF($J158="","",YEAR($J158))</f>
        <v/>
      </c>
      <c r="Q158" s="24">
        <f>IF($J158="","",MONTH($J158))</f>
        <v/>
      </c>
      <c r="R158" s="24">
        <f>IF($J158="","",$P158&amp;"-"&amp;TEXT($Q158,"00"))</f>
        <v/>
      </c>
      <c r="S158" s="24">
        <f>IF($J158="","",INDEX(lista_dias,WEEKDAY($J158,2)))</f>
        <v/>
      </c>
      <c r="T158" s="24">
        <f>IF($J158="","",IFERROR(INDEX('CALENDARIO'!$C$15:$C$214,MATCH(TEXT($J158,"yyyy-mm-dd")&amp;"|"&amp;$Y158&amp;"|"&amp;$Z158,'CALENDARIO'!$G$15:$G$214,0)),IFERROR(INDEX('CALENDARIO'!$C$15:$C$214,MATCH(TEXT($J158,"yyyy-mm-dd")&amp;"|"&amp;$Y158&amp;"|",'CALENDARIO'!$G$15:$G$214,0)),IFERROR(INDEX('CALENDARIO'!$C$15:$C$214,MATCH(TEXT($J158,"yyyy-mm-dd")&amp;"||",'CALENDARIO'!$G$15:$G$214,0)),INDEX(patronHabil,WEEKDAY($J158,2))))))</f>
        <v/>
      </c>
      <c r="U158" s="24">
        <f>IF($I158="","",IFERROR(INDEX('CAT_TIPOS_OT'!$C$4:$C$23,MATCH($I158,'CAT_TIPOS_OT'!$A$4:$A$23,0)),"sin_clasificar"))</f>
        <v/>
      </c>
      <c r="V158" s="24">
        <f>IF($I158="","",IF(IFERROR(INDEX('CAT_TIPOS_OT'!$D$4:$D$23,MATCH($I158,'CAT_TIPOS_OT'!$A$4:$A$23,0)),"SIN CLASIFICAR")="","SIN CLASIFICAR",IFERROR(INDEX('CAT_TIPOS_OT'!$D$4:$D$23,MATCH($I158,'CAT_TIPOS_OT'!$A$4:$A$23,0)),"SIN CLASIFICAR")))</f>
        <v/>
      </c>
      <c r="W158" s="24">
        <f>IF($H158="","",IF(IFERROR(INDEX('CAT_ACTIVIDADES'!$F$4:$F$26,MATCH($H158,'CAT_ACTIVIDADES'!$A$4:$A$26,0)),"")=0,"",IFERROR(INDEX('CAT_ACTIVIDADES'!$F$4:$F$26,MATCH($H158,'CAT_ACTIVIDADES'!$A$4:$A$26,0)),"")))</f>
        <v/>
      </c>
      <c r="X158" s="24">
        <f>IF($F158="","",IFERROR(INDEX('CAT_CENTROS_COSTO'!$F$4:$F$28,MATCH($F158,'CAT_CENTROS_COSTO'!$A$4:$A$28,0)),"(sin catálogo)"))</f>
        <v/>
      </c>
      <c r="Y158" s="24">
        <f>IF($F158="","",IFERROR(INDEX('CAT_CENTROS_COSTO'!$D$4:$D$28,MATCH($F158,'CAT_CENTROS_COSTO'!$A$4:$A$28,0)),"(sin catálogo)"))</f>
        <v/>
      </c>
      <c r="Z158" s="24">
        <f>IF($F158="","",IF((IFERROR(INDEX('CAT_CENTROS_COSTO'!$E$4:$E$28,MATCH($F158,'CAT_CENTROS_COSTO'!$A$4:$A$28,0)),""))&lt;&gt;"",IFERROR(INDEX('CAT_CENTROS_COSTO'!$E$4:$E$28,MATCH($F158,'CAT_CENTROS_COSTO'!$A$4:$A$28,0)),""),$Y158))</f>
        <v/>
      </c>
      <c r="AA158" s="24">
        <f>IF($F158="","",IFERROR(INDEX('CAT_CENTROS_COSTO'!$G$4:$G$28,MATCH($F158,'CAT_CENTROS_COSTO'!$A$4:$A$28,0)),"(sin catálogo)"))</f>
        <v/>
      </c>
      <c r="AB158" s="24">
        <f>IF($G158="","",IFERROR(INDEX('CAT_PUESTOS'!$B$4:$B$23,MATCH($G158,'CAT_PUESTOS'!$A$4:$A$23,0)),"(sin catálogo)"))</f>
        <v/>
      </c>
      <c r="AC158" s="24">
        <f>IF($H158="","",IFERROR(INDEX('CAT_ACTIVIDADES'!$B$4:$B$26,MATCH($H158,'CAT_ACTIVIDADES'!$A$4:$A$26,0)),"(sin catálogo)"))</f>
        <v/>
      </c>
      <c r="AD158" s="26">
        <f>IF($J158="","",TODAY()-$J158)</f>
        <v/>
      </c>
      <c r="AE158" s="26">
        <f>IF($J158="","",IF($J158&lt;=TODAY(),COUNTIFS(cal_fechas,"&gt;="&amp;$J158,cal_fechas,"&lt;"&amp;TODAY(),cal_habil,"sí"),-COUNTIFS(cal_fechas,"&gt;="&amp;TODAY(),cal_fechas,"&lt;"&amp;$J158,cal_habil,"sí")))</f>
        <v/>
      </c>
      <c r="AF158" s="24">
        <f>IF($AE158="","",IF($AE158&lt;0,"FUTURO",IF($AE158&gt;p_dias_backlog_max,"BACKLOG","MES CORRIENTE")))</f>
        <v/>
      </c>
      <c r="AG158" s="24">
        <f>IF($AE158="",FALSE,AND($AE158&gt;p_dias_backlog_min,$AE158&lt;=p_dias_backlog_max))</f>
        <v/>
      </c>
      <c r="AH158" s="4" t="n"/>
      <c r="AI158" s="24">
        <f>IF($AH158="","",IF((IFERROR(INDEX('ASIGNACIONES'!$J$4:$J$451,MATCH($O158&amp;"|"&amp;$S158&amp;"|"&amp;$AH158,'ASIGNACIONES'!$N$4:$N$451,0)),""))=0,"",IFERROR(INDEX('ASIGNACIONES'!$J$4:$J$451,MATCH($O158&amp;"|"&amp;$S158&amp;"|"&amp;$AH158,'ASIGNACIONES'!$N$4:$N$451,0)),"")))</f>
        <v/>
      </c>
      <c r="AJ158" s="42">
        <f>IF($AH158="","",SUMIFS('ORDENES'!$M$4:$M$1203,'ORDENES'!$AH$4:$AH$1203,$AH158,'ORDENES'!$O$4:$O$1203,$O158,'ORDENES'!$S$4:$S$1203,$S158))</f>
        <v/>
      </c>
      <c r="AK158" s="42">
        <f>IF($AJ158="","",p_factor_productividad*IFERROR(INDEX('ASIGNACIONES'!$M$4:$M$451,MATCH($O158&amp;"|"&amp;$S158&amp;"|"&amp;$AH158,'ASIGNACIONES'!$N$4:$N$451,0)),0)-$AJ158)</f>
        <v/>
      </c>
      <c r="AL158" s="32">
        <f>IF($A158="","",IFERROR(INDEX('2_IMPORTAR_EJECUCION'!$F$9:$F$1208,MATCH($AU158,'2_IMPORTAR_EJECUCION'!$J$9:$J$1208,0)),0))</f>
        <v/>
      </c>
      <c r="AM158" s="32">
        <f>IF($A158="","",MAX(0,IFERROR(INDEX('2_IMPORTAR_EJECUCION'!$H$9:$H$1208,MATCH($AU158,'2_IMPORTAR_EJECUCION'!$J$9:$J$1208,0)),0)-$AL158))</f>
        <v/>
      </c>
      <c r="AN158" s="32">
        <f>IF($A158="","",$AL158+$AM158)</f>
        <v/>
      </c>
      <c r="AO158" s="24">
        <f>IF($A158="","",IF(OR((IFERROR(INDEX('CAT_ACTIVIDADES'!$D$4:$D$26,MATCH($H158,'CAT_ACTIVIDADES'!$A$4:$A$26,0)),""))=0,(IFERROR(INDEX('CAT_ACTIVIDADES'!$D$4:$D$26,MATCH($H158,'CAT_ACTIVIDADES'!$A$4:$A$26,0)),""))=""),"SIN CLASIFICAR",IFERROR(INDEX('CAT_ACTIVIDADES'!$D$4:$D$26,MATCH($H158,'CAT_ACTIVIDADES'!$A$4:$A$26,0)),"")))</f>
        <v/>
      </c>
      <c r="AP158" s="4" t="n"/>
      <c r="AQ158" s="4" t="n"/>
      <c r="AR158" s="4" t="n"/>
      <c r="AS158" s="24">
        <f>IF($AR158="","",HYPERLINK(p_ruta_base_checklists&amp;$AR158,"abrir"))</f>
        <v/>
      </c>
      <c r="AT158" s="4" t="n"/>
      <c r="AU158" s="24">
        <f>IF($A158="","",$A158&amp;IF($B158="","0010",$B158))</f>
        <v/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41" t="n"/>
      <c r="K159" s="5" t="n"/>
      <c r="L159" s="18" t="n"/>
      <c r="M159" s="24">
        <f>IF($A159="","",IFERROR(INDEX('AJUSTES'!$B$4:$B$303,MATCH($AU159,'AJUSTES'!$A$4:$A$303,0)),IF($K159="","",$K159)))</f>
        <v/>
      </c>
      <c r="N159" s="24">
        <f>IF($A159="","",IFERROR(INDEX('CAT_ESTADOS_ERP'!$B$4:$B$22,MATCH(IFERROR(INDEX('2_IMPORTAR_EJECUCION'!$C$9:$C$1208,MATCH($AU159,'2_IMPORTAR_EJECUCION'!$J$9:$J$1208,0)),""),'CAT_ESTADOS_ERP'!$A$4:$A$22,0)),"Pendiente"))</f>
        <v/>
      </c>
      <c r="O159" s="24">
        <f>IF($J159="","",YEAR($J159+4-WEEKDAY($J159,2))&amp;"-S"&amp;TEXT(_xlfn.ISOWEEKNUM($J159),"00"))</f>
        <v/>
      </c>
      <c r="P159" s="24">
        <f>IF($J159="","",YEAR($J159))</f>
        <v/>
      </c>
      <c r="Q159" s="24">
        <f>IF($J159="","",MONTH($J159))</f>
        <v/>
      </c>
      <c r="R159" s="24">
        <f>IF($J159="","",$P159&amp;"-"&amp;TEXT($Q159,"00"))</f>
        <v/>
      </c>
      <c r="S159" s="24">
        <f>IF($J159="","",INDEX(lista_dias,WEEKDAY($J159,2)))</f>
        <v/>
      </c>
      <c r="T159" s="24">
        <f>IF($J159="","",IFERROR(INDEX('CALENDARIO'!$C$15:$C$214,MATCH(TEXT($J159,"yyyy-mm-dd")&amp;"|"&amp;$Y159&amp;"|"&amp;$Z159,'CALENDARIO'!$G$15:$G$214,0)),IFERROR(INDEX('CALENDARIO'!$C$15:$C$214,MATCH(TEXT($J159,"yyyy-mm-dd")&amp;"|"&amp;$Y159&amp;"|",'CALENDARIO'!$G$15:$G$214,0)),IFERROR(INDEX('CALENDARIO'!$C$15:$C$214,MATCH(TEXT($J159,"yyyy-mm-dd")&amp;"||",'CALENDARIO'!$G$15:$G$214,0)),INDEX(patronHabil,WEEKDAY($J159,2))))))</f>
        <v/>
      </c>
      <c r="U159" s="24">
        <f>IF($I159="","",IFERROR(INDEX('CAT_TIPOS_OT'!$C$4:$C$23,MATCH($I159,'CAT_TIPOS_OT'!$A$4:$A$23,0)),"sin_clasificar"))</f>
        <v/>
      </c>
      <c r="V159" s="24">
        <f>IF($I159="","",IF(IFERROR(INDEX('CAT_TIPOS_OT'!$D$4:$D$23,MATCH($I159,'CAT_TIPOS_OT'!$A$4:$A$23,0)),"SIN CLASIFICAR")="","SIN CLASIFICAR",IFERROR(INDEX('CAT_TIPOS_OT'!$D$4:$D$23,MATCH($I159,'CAT_TIPOS_OT'!$A$4:$A$23,0)),"SIN CLASIFICAR")))</f>
        <v/>
      </c>
      <c r="W159" s="24">
        <f>IF($H159="","",IF(IFERROR(INDEX('CAT_ACTIVIDADES'!$F$4:$F$26,MATCH($H159,'CAT_ACTIVIDADES'!$A$4:$A$26,0)),"")=0,"",IFERROR(INDEX('CAT_ACTIVIDADES'!$F$4:$F$26,MATCH($H159,'CAT_ACTIVIDADES'!$A$4:$A$26,0)),"")))</f>
        <v/>
      </c>
      <c r="X159" s="24">
        <f>IF($F159="","",IFERROR(INDEX('CAT_CENTROS_COSTO'!$F$4:$F$28,MATCH($F159,'CAT_CENTROS_COSTO'!$A$4:$A$28,0)),"(sin catálogo)"))</f>
        <v/>
      </c>
      <c r="Y159" s="24">
        <f>IF($F159="","",IFERROR(INDEX('CAT_CENTROS_COSTO'!$D$4:$D$28,MATCH($F159,'CAT_CENTROS_COSTO'!$A$4:$A$28,0)),"(sin catálogo)"))</f>
        <v/>
      </c>
      <c r="Z159" s="24">
        <f>IF($F159="","",IF((IFERROR(INDEX('CAT_CENTROS_COSTO'!$E$4:$E$28,MATCH($F159,'CAT_CENTROS_COSTO'!$A$4:$A$28,0)),""))&lt;&gt;"",IFERROR(INDEX('CAT_CENTROS_COSTO'!$E$4:$E$28,MATCH($F159,'CAT_CENTROS_COSTO'!$A$4:$A$28,0)),""),$Y159))</f>
        <v/>
      </c>
      <c r="AA159" s="24">
        <f>IF($F159="","",IFERROR(INDEX('CAT_CENTROS_COSTO'!$G$4:$G$28,MATCH($F159,'CAT_CENTROS_COSTO'!$A$4:$A$28,0)),"(sin catálogo)"))</f>
        <v/>
      </c>
      <c r="AB159" s="24">
        <f>IF($G159="","",IFERROR(INDEX('CAT_PUESTOS'!$B$4:$B$23,MATCH($G159,'CAT_PUESTOS'!$A$4:$A$23,0)),"(sin catálogo)"))</f>
        <v/>
      </c>
      <c r="AC159" s="24">
        <f>IF($H159="","",IFERROR(INDEX('CAT_ACTIVIDADES'!$B$4:$B$26,MATCH($H159,'CAT_ACTIVIDADES'!$A$4:$A$26,0)),"(sin catálogo)"))</f>
        <v/>
      </c>
      <c r="AD159" s="26">
        <f>IF($J159="","",TODAY()-$J159)</f>
        <v/>
      </c>
      <c r="AE159" s="26">
        <f>IF($J159="","",IF($J159&lt;=TODAY(),COUNTIFS(cal_fechas,"&gt;="&amp;$J159,cal_fechas,"&lt;"&amp;TODAY(),cal_habil,"sí"),-COUNTIFS(cal_fechas,"&gt;="&amp;TODAY(),cal_fechas,"&lt;"&amp;$J159,cal_habil,"sí")))</f>
        <v/>
      </c>
      <c r="AF159" s="24">
        <f>IF($AE159="","",IF($AE159&lt;0,"FUTURO",IF($AE159&gt;p_dias_backlog_max,"BACKLOG","MES CORRIENTE")))</f>
        <v/>
      </c>
      <c r="AG159" s="24">
        <f>IF($AE159="",FALSE,AND($AE159&gt;p_dias_backlog_min,$AE159&lt;=p_dias_backlog_max))</f>
        <v/>
      </c>
      <c r="AH159" s="4" t="n"/>
      <c r="AI159" s="24">
        <f>IF($AH159="","",IF((IFERROR(INDEX('ASIGNACIONES'!$J$4:$J$451,MATCH($O159&amp;"|"&amp;$S159&amp;"|"&amp;$AH159,'ASIGNACIONES'!$N$4:$N$451,0)),""))=0,"",IFERROR(INDEX('ASIGNACIONES'!$J$4:$J$451,MATCH($O159&amp;"|"&amp;$S159&amp;"|"&amp;$AH159,'ASIGNACIONES'!$N$4:$N$451,0)),"")))</f>
        <v/>
      </c>
      <c r="AJ159" s="42">
        <f>IF($AH159="","",SUMIFS('ORDENES'!$M$4:$M$1203,'ORDENES'!$AH$4:$AH$1203,$AH159,'ORDENES'!$O$4:$O$1203,$O159,'ORDENES'!$S$4:$S$1203,$S159))</f>
        <v/>
      </c>
      <c r="AK159" s="42">
        <f>IF($AJ159="","",p_factor_productividad*IFERROR(INDEX('ASIGNACIONES'!$M$4:$M$451,MATCH($O159&amp;"|"&amp;$S159&amp;"|"&amp;$AH159,'ASIGNACIONES'!$N$4:$N$451,0)),0)-$AJ159)</f>
        <v/>
      </c>
      <c r="AL159" s="32">
        <f>IF($A159="","",IFERROR(INDEX('2_IMPORTAR_EJECUCION'!$F$9:$F$1208,MATCH($AU159,'2_IMPORTAR_EJECUCION'!$J$9:$J$1208,0)),0))</f>
        <v/>
      </c>
      <c r="AM159" s="32">
        <f>IF($A159="","",MAX(0,IFERROR(INDEX('2_IMPORTAR_EJECUCION'!$H$9:$H$1208,MATCH($AU159,'2_IMPORTAR_EJECUCION'!$J$9:$J$1208,0)),0)-$AL159))</f>
        <v/>
      </c>
      <c r="AN159" s="32">
        <f>IF($A159="","",$AL159+$AM159)</f>
        <v/>
      </c>
      <c r="AO159" s="24">
        <f>IF($A159="","",IF(OR((IFERROR(INDEX('CAT_ACTIVIDADES'!$D$4:$D$26,MATCH($H159,'CAT_ACTIVIDADES'!$A$4:$A$26,0)),""))=0,(IFERROR(INDEX('CAT_ACTIVIDADES'!$D$4:$D$26,MATCH($H159,'CAT_ACTIVIDADES'!$A$4:$A$26,0)),""))=""),"SIN CLASIFICAR",IFERROR(INDEX('CAT_ACTIVIDADES'!$D$4:$D$26,MATCH($H159,'CAT_ACTIVIDADES'!$A$4:$A$26,0)),"")))</f>
        <v/>
      </c>
      <c r="AP159" s="4" t="n"/>
      <c r="AQ159" s="4" t="n"/>
      <c r="AR159" s="4" t="n"/>
      <c r="AS159" s="24">
        <f>IF($AR159="","",HYPERLINK(p_ruta_base_checklists&amp;$AR159,"abrir"))</f>
        <v/>
      </c>
      <c r="AT159" s="4" t="n"/>
      <c r="AU159" s="24">
        <f>IF($A159="","",$A159&amp;IF($B159="","0010",$B159))</f>
        <v/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41" t="n"/>
      <c r="K160" s="5" t="n"/>
      <c r="L160" s="18" t="n"/>
      <c r="M160" s="24">
        <f>IF($A160="","",IFERROR(INDEX('AJUSTES'!$B$4:$B$303,MATCH($AU160,'AJUSTES'!$A$4:$A$303,0)),IF($K160="","",$K160)))</f>
        <v/>
      </c>
      <c r="N160" s="24">
        <f>IF($A160="","",IFERROR(INDEX('CAT_ESTADOS_ERP'!$B$4:$B$22,MATCH(IFERROR(INDEX('2_IMPORTAR_EJECUCION'!$C$9:$C$1208,MATCH($AU160,'2_IMPORTAR_EJECUCION'!$J$9:$J$1208,0)),""),'CAT_ESTADOS_ERP'!$A$4:$A$22,0)),"Pendiente"))</f>
        <v/>
      </c>
      <c r="O160" s="24">
        <f>IF($J160="","",YEAR($J160+4-WEEKDAY($J160,2))&amp;"-S"&amp;TEXT(_xlfn.ISOWEEKNUM($J160),"00"))</f>
        <v/>
      </c>
      <c r="P160" s="24">
        <f>IF($J160="","",YEAR($J160))</f>
        <v/>
      </c>
      <c r="Q160" s="24">
        <f>IF($J160="","",MONTH($J160))</f>
        <v/>
      </c>
      <c r="R160" s="24">
        <f>IF($J160="","",$P160&amp;"-"&amp;TEXT($Q160,"00"))</f>
        <v/>
      </c>
      <c r="S160" s="24">
        <f>IF($J160="","",INDEX(lista_dias,WEEKDAY($J160,2)))</f>
        <v/>
      </c>
      <c r="T160" s="24">
        <f>IF($J160="","",IFERROR(INDEX('CALENDARIO'!$C$15:$C$214,MATCH(TEXT($J160,"yyyy-mm-dd")&amp;"|"&amp;$Y160&amp;"|"&amp;$Z160,'CALENDARIO'!$G$15:$G$214,0)),IFERROR(INDEX('CALENDARIO'!$C$15:$C$214,MATCH(TEXT($J160,"yyyy-mm-dd")&amp;"|"&amp;$Y160&amp;"|",'CALENDARIO'!$G$15:$G$214,0)),IFERROR(INDEX('CALENDARIO'!$C$15:$C$214,MATCH(TEXT($J160,"yyyy-mm-dd")&amp;"||",'CALENDARIO'!$G$15:$G$214,0)),INDEX(patronHabil,WEEKDAY($J160,2))))))</f>
        <v/>
      </c>
      <c r="U160" s="24">
        <f>IF($I160="","",IFERROR(INDEX('CAT_TIPOS_OT'!$C$4:$C$23,MATCH($I160,'CAT_TIPOS_OT'!$A$4:$A$23,0)),"sin_clasificar"))</f>
        <v/>
      </c>
      <c r="V160" s="24">
        <f>IF($I160="","",IF(IFERROR(INDEX('CAT_TIPOS_OT'!$D$4:$D$23,MATCH($I160,'CAT_TIPOS_OT'!$A$4:$A$23,0)),"SIN CLASIFICAR")="","SIN CLASIFICAR",IFERROR(INDEX('CAT_TIPOS_OT'!$D$4:$D$23,MATCH($I160,'CAT_TIPOS_OT'!$A$4:$A$23,0)),"SIN CLASIFICAR")))</f>
        <v/>
      </c>
      <c r="W160" s="24">
        <f>IF($H160="","",IF(IFERROR(INDEX('CAT_ACTIVIDADES'!$F$4:$F$26,MATCH($H160,'CAT_ACTIVIDADES'!$A$4:$A$26,0)),"")=0,"",IFERROR(INDEX('CAT_ACTIVIDADES'!$F$4:$F$26,MATCH($H160,'CAT_ACTIVIDADES'!$A$4:$A$26,0)),"")))</f>
        <v/>
      </c>
      <c r="X160" s="24">
        <f>IF($F160="","",IFERROR(INDEX('CAT_CENTROS_COSTO'!$F$4:$F$28,MATCH($F160,'CAT_CENTROS_COSTO'!$A$4:$A$28,0)),"(sin catálogo)"))</f>
        <v/>
      </c>
      <c r="Y160" s="24">
        <f>IF($F160="","",IFERROR(INDEX('CAT_CENTROS_COSTO'!$D$4:$D$28,MATCH($F160,'CAT_CENTROS_COSTO'!$A$4:$A$28,0)),"(sin catálogo)"))</f>
        <v/>
      </c>
      <c r="Z160" s="24">
        <f>IF($F160="","",IF((IFERROR(INDEX('CAT_CENTROS_COSTO'!$E$4:$E$28,MATCH($F160,'CAT_CENTROS_COSTO'!$A$4:$A$28,0)),""))&lt;&gt;"",IFERROR(INDEX('CAT_CENTROS_COSTO'!$E$4:$E$28,MATCH($F160,'CAT_CENTROS_COSTO'!$A$4:$A$28,0)),""),$Y160))</f>
        <v/>
      </c>
      <c r="AA160" s="24">
        <f>IF($F160="","",IFERROR(INDEX('CAT_CENTROS_COSTO'!$G$4:$G$28,MATCH($F160,'CAT_CENTROS_COSTO'!$A$4:$A$28,0)),"(sin catálogo)"))</f>
        <v/>
      </c>
      <c r="AB160" s="24">
        <f>IF($G160="","",IFERROR(INDEX('CAT_PUESTOS'!$B$4:$B$23,MATCH($G160,'CAT_PUESTOS'!$A$4:$A$23,0)),"(sin catálogo)"))</f>
        <v/>
      </c>
      <c r="AC160" s="24">
        <f>IF($H160="","",IFERROR(INDEX('CAT_ACTIVIDADES'!$B$4:$B$26,MATCH($H160,'CAT_ACTIVIDADES'!$A$4:$A$26,0)),"(sin catálogo)"))</f>
        <v/>
      </c>
      <c r="AD160" s="26">
        <f>IF($J160="","",TODAY()-$J160)</f>
        <v/>
      </c>
      <c r="AE160" s="26">
        <f>IF($J160="","",IF($J160&lt;=TODAY(),COUNTIFS(cal_fechas,"&gt;="&amp;$J160,cal_fechas,"&lt;"&amp;TODAY(),cal_habil,"sí"),-COUNTIFS(cal_fechas,"&gt;="&amp;TODAY(),cal_fechas,"&lt;"&amp;$J160,cal_habil,"sí")))</f>
        <v/>
      </c>
      <c r="AF160" s="24">
        <f>IF($AE160="","",IF($AE160&lt;0,"FUTURO",IF($AE160&gt;p_dias_backlog_max,"BACKLOG","MES CORRIENTE")))</f>
        <v/>
      </c>
      <c r="AG160" s="24">
        <f>IF($AE160="",FALSE,AND($AE160&gt;p_dias_backlog_min,$AE160&lt;=p_dias_backlog_max))</f>
        <v/>
      </c>
      <c r="AH160" s="4" t="n"/>
      <c r="AI160" s="24">
        <f>IF($AH160="","",IF((IFERROR(INDEX('ASIGNACIONES'!$J$4:$J$451,MATCH($O160&amp;"|"&amp;$S160&amp;"|"&amp;$AH160,'ASIGNACIONES'!$N$4:$N$451,0)),""))=0,"",IFERROR(INDEX('ASIGNACIONES'!$J$4:$J$451,MATCH($O160&amp;"|"&amp;$S160&amp;"|"&amp;$AH160,'ASIGNACIONES'!$N$4:$N$451,0)),"")))</f>
        <v/>
      </c>
      <c r="AJ160" s="42">
        <f>IF($AH160="","",SUMIFS('ORDENES'!$M$4:$M$1203,'ORDENES'!$AH$4:$AH$1203,$AH160,'ORDENES'!$O$4:$O$1203,$O160,'ORDENES'!$S$4:$S$1203,$S160))</f>
        <v/>
      </c>
      <c r="AK160" s="42">
        <f>IF($AJ160="","",p_factor_productividad*IFERROR(INDEX('ASIGNACIONES'!$M$4:$M$451,MATCH($O160&amp;"|"&amp;$S160&amp;"|"&amp;$AH160,'ASIGNACIONES'!$N$4:$N$451,0)),0)-$AJ160)</f>
        <v/>
      </c>
      <c r="AL160" s="32">
        <f>IF($A160="","",IFERROR(INDEX('2_IMPORTAR_EJECUCION'!$F$9:$F$1208,MATCH($AU160,'2_IMPORTAR_EJECUCION'!$J$9:$J$1208,0)),0))</f>
        <v/>
      </c>
      <c r="AM160" s="32">
        <f>IF($A160="","",MAX(0,IFERROR(INDEX('2_IMPORTAR_EJECUCION'!$H$9:$H$1208,MATCH($AU160,'2_IMPORTAR_EJECUCION'!$J$9:$J$1208,0)),0)-$AL160))</f>
        <v/>
      </c>
      <c r="AN160" s="32">
        <f>IF($A160="","",$AL160+$AM160)</f>
        <v/>
      </c>
      <c r="AO160" s="24">
        <f>IF($A160="","",IF(OR((IFERROR(INDEX('CAT_ACTIVIDADES'!$D$4:$D$26,MATCH($H160,'CAT_ACTIVIDADES'!$A$4:$A$26,0)),""))=0,(IFERROR(INDEX('CAT_ACTIVIDADES'!$D$4:$D$26,MATCH($H160,'CAT_ACTIVIDADES'!$A$4:$A$26,0)),""))=""),"SIN CLASIFICAR",IFERROR(INDEX('CAT_ACTIVIDADES'!$D$4:$D$26,MATCH($H160,'CAT_ACTIVIDADES'!$A$4:$A$26,0)),"")))</f>
        <v/>
      </c>
      <c r="AP160" s="4" t="n"/>
      <c r="AQ160" s="4" t="n"/>
      <c r="AR160" s="4" t="n"/>
      <c r="AS160" s="24">
        <f>IF($AR160="","",HYPERLINK(p_ruta_base_checklists&amp;$AR160,"abrir"))</f>
        <v/>
      </c>
      <c r="AT160" s="4" t="n"/>
      <c r="AU160" s="24">
        <f>IF($A160="","",$A160&amp;IF($B160="","0010",$B160))</f>
        <v/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41" t="n"/>
      <c r="K161" s="5" t="n"/>
      <c r="L161" s="18" t="n"/>
      <c r="M161" s="24">
        <f>IF($A161="","",IFERROR(INDEX('AJUSTES'!$B$4:$B$303,MATCH($AU161,'AJUSTES'!$A$4:$A$303,0)),IF($K161="","",$K161)))</f>
        <v/>
      </c>
      <c r="N161" s="24">
        <f>IF($A161="","",IFERROR(INDEX('CAT_ESTADOS_ERP'!$B$4:$B$22,MATCH(IFERROR(INDEX('2_IMPORTAR_EJECUCION'!$C$9:$C$1208,MATCH($AU161,'2_IMPORTAR_EJECUCION'!$J$9:$J$1208,0)),""),'CAT_ESTADOS_ERP'!$A$4:$A$22,0)),"Pendiente"))</f>
        <v/>
      </c>
      <c r="O161" s="24">
        <f>IF($J161="","",YEAR($J161+4-WEEKDAY($J161,2))&amp;"-S"&amp;TEXT(_xlfn.ISOWEEKNUM($J161),"00"))</f>
        <v/>
      </c>
      <c r="P161" s="24">
        <f>IF($J161="","",YEAR($J161))</f>
        <v/>
      </c>
      <c r="Q161" s="24">
        <f>IF($J161="","",MONTH($J161))</f>
        <v/>
      </c>
      <c r="R161" s="24">
        <f>IF($J161="","",$P161&amp;"-"&amp;TEXT($Q161,"00"))</f>
        <v/>
      </c>
      <c r="S161" s="24">
        <f>IF($J161="","",INDEX(lista_dias,WEEKDAY($J161,2)))</f>
        <v/>
      </c>
      <c r="T161" s="24">
        <f>IF($J161="","",IFERROR(INDEX('CALENDARIO'!$C$15:$C$214,MATCH(TEXT($J161,"yyyy-mm-dd")&amp;"|"&amp;$Y161&amp;"|"&amp;$Z161,'CALENDARIO'!$G$15:$G$214,0)),IFERROR(INDEX('CALENDARIO'!$C$15:$C$214,MATCH(TEXT($J161,"yyyy-mm-dd")&amp;"|"&amp;$Y161&amp;"|",'CALENDARIO'!$G$15:$G$214,0)),IFERROR(INDEX('CALENDARIO'!$C$15:$C$214,MATCH(TEXT($J161,"yyyy-mm-dd")&amp;"||",'CALENDARIO'!$G$15:$G$214,0)),INDEX(patronHabil,WEEKDAY($J161,2))))))</f>
        <v/>
      </c>
      <c r="U161" s="24">
        <f>IF($I161="","",IFERROR(INDEX('CAT_TIPOS_OT'!$C$4:$C$23,MATCH($I161,'CAT_TIPOS_OT'!$A$4:$A$23,0)),"sin_clasificar"))</f>
        <v/>
      </c>
      <c r="V161" s="24">
        <f>IF($I161="","",IF(IFERROR(INDEX('CAT_TIPOS_OT'!$D$4:$D$23,MATCH($I161,'CAT_TIPOS_OT'!$A$4:$A$23,0)),"SIN CLASIFICAR")="","SIN CLASIFICAR",IFERROR(INDEX('CAT_TIPOS_OT'!$D$4:$D$23,MATCH($I161,'CAT_TIPOS_OT'!$A$4:$A$23,0)),"SIN CLASIFICAR")))</f>
        <v/>
      </c>
      <c r="W161" s="24">
        <f>IF($H161="","",IF(IFERROR(INDEX('CAT_ACTIVIDADES'!$F$4:$F$26,MATCH($H161,'CAT_ACTIVIDADES'!$A$4:$A$26,0)),"")=0,"",IFERROR(INDEX('CAT_ACTIVIDADES'!$F$4:$F$26,MATCH($H161,'CAT_ACTIVIDADES'!$A$4:$A$26,0)),"")))</f>
        <v/>
      </c>
      <c r="X161" s="24">
        <f>IF($F161="","",IFERROR(INDEX('CAT_CENTROS_COSTO'!$F$4:$F$28,MATCH($F161,'CAT_CENTROS_COSTO'!$A$4:$A$28,0)),"(sin catálogo)"))</f>
        <v/>
      </c>
      <c r="Y161" s="24">
        <f>IF($F161="","",IFERROR(INDEX('CAT_CENTROS_COSTO'!$D$4:$D$28,MATCH($F161,'CAT_CENTROS_COSTO'!$A$4:$A$28,0)),"(sin catálogo)"))</f>
        <v/>
      </c>
      <c r="Z161" s="24">
        <f>IF($F161="","",IF((IFERROR(INDEX('CAT_CENTROS_COSTO'!$E$4:$E$28,MATCH($F161,'CAT_CENTROS_COSTO'!$A$4:$A$28,0)),""))&lt;&gt;"",IFERROR(INDEX('CAT_CENTROS_COSTO'!$E$4:$E$28,MATCH($F161,'CAT_CENTROS_COSTO'!$A$4:$A$28,0)),""),$Y161))</f>
        <v/>
      </c>
      <c r="AA161" s="24">
        <f>IF($F161="","",IFERROR(INDEX('CAT_CENTROS_COSTO'!$G$4:$G$28,MATCH($F161,'CAT_CENTROS_COSTO'!$A$4:$A$28,0)),"(sin catálogo)"))</f>
        <v/>
      </c>
      <c r="AB161" s="24">
        <f>IF($G161="","",IFERROR(INDEX('CAT_PUESTOS'!$B$4:$B$23,MATCH($G161,'CAT_PUESTOS'!$A$4:$A$23,0)),"(sin catálogo)"))</f>
        <v/>
      </c>
      <c r="AC161" s="24">
        <f>IF($H161="","",IFERROR(INDEX('CAT_ACTIVIDADES'!$B$4:$B$26,MATCH($H161,'CAT_ACTIVIDADES'!$A$4:$A$26,0)),"(sin catálogo)"))</f>
        <v/>
      </c>
      <c r="AD161" s="26">
        <f>IF($J161="","",TODAY()-$J161)</f>
        <v/>
      </c>
      <c r="AE161" s="26">
        <f>IF($J161="","",IF($J161&lt;=TODAY(),COUNTIFS(cal_fechas,"&gt;="&amp;$J161,cal_fechas,"&lt;"&amp;TODAY(),cal_habil,"sí"),-COUNTIFS(cal_fechas,"&gt;="&amp;TODAY(),cal_fechas,"&lt;"&amp;$J161,cal_habil,"sí")))</f>
        <v/>
      </c>
      <c r="AF161" s="24">
        <f>IF($AE161="","",IF($AE161&lt;0,"FUTURO",IF($AE161&gt;p_dias_backlog_max,"BACKLOG","MES CORRIENTE")))</f>
        <v/>
      </c>
      <c r="AG161" s="24">
        <f>IF($AE161="",FALSE,AND($AE161&gt;p_dias_backlog_min,$AE161&lt;=p_dias_backlog_max))</f>
        <v/>
      </c>
      <c r="AH161" s="4" t="n"/>
      <c r="AI161" s="24">
        <f>IF($AH161="","",IF((IFERROR(INDEX('ASIGNACIONES'!$J$4:$J$451,MATCH($O161&amp;"|"&amp;$S161&amp;"|"&amp;$AH161,'ASIGNACIONES'!$N$4:$N$451,0)),""))=0,"",IFERROR(INDEX('ASIGNACIONES'!$J$4:$J$451,MATCH($O161&amp;"|"&amp;$S161&amp;"|"&amp;$AH161,'ASIGNACIONES'!$N$4:$N$451,0)),"")))</f>
        <v/>
      </c>
      <c r="AJ161" s="42">
        <f>IF($AH161="","",SUMIFS('ORDENES'!$M$4:$M$1203,'ORDENES'!$AH$4:$AH$1203,$AH161,'ORDENES'!$O$4:$O$1203,$O161,'ORDENES'!$S$4:$S$1203,$S161))</f>
        <v/>
      </c>
      <c r="AK161" s="42">
        <f>IF($AJ161="","",p_factor_productividad*IFERROR(INDEX('ASIGNACIONES'!$M$4:$M$451,MATCH($O161&amp;"|"&amp;$S161&amp;"|"&amp;$AH161,'ASIGNACIONES'!$N$4:$N$451,0)),0)-$AJ161)</f>
        <v/>
      </c>
      <c r="AL161" s="32">
        <f>IF($A161="","",IFERROR(INDEX('2_IMPORTAR_EJECUCION'!$F$9:$F$1208,MATCH($AU161,'2_IMPORTAR_EJECUCION'!$J$9:$J$1208,0)),0))</f>
        <v/>
      </c>
      <c r="AM161" s="32">
        <f>IF($A161="","",MAX(0,IFERROR(INDEX('2_IMPORTAR_EJECUCION'!$H$9:$H$1208,MATCH($AU161,'2_IMPORTAR_EJECUCION'!$J$9:$J$1208,0)),0)-$AL161))</f>
        <v/>
      </c>
      <c r="AN161" s="32">
        <f>IF($A161="","",$AL161+$AM161)</f>
        <v/>
      </c>
      <c r="AO161" s="24">
        <f>IF($A161="","",IF(OR((IFERROR(INDEX('CAT_ACTIVIDADES'!$D$4:$D$26,MATCH($H161,'CAT_ACTIVIDADES'!$A$4:$A$26,0)),""))=0,(IFERROR(INDEX('CAT_ACTIVIDADES'!$D$4:$D$26,MATCH($H161,'CAT_ACTIVIDADES'!$A$4:$A$26,0)),""))=""),"SIN CLASIFICAR",IFERROR(INDEX('CAT_ACTIVIDADES'!$D$4:$D$26,MATCH($H161,'CAT_ACTIVIDADES'!$A$4:$A$26,0)),"")))</f>
        <v/>
      </c>
      <c r="AP161" s="4" t="n"/>
      <c r="AQ161" s="4" t="n"/>
      <c r="AR161" s="4" t="n"/>
      <c r="AS161" s="24">
        <f>IF($AR161="","",HYPERLINK(p_ruta_base_checklists&amp;$AR161,"abrir"))</f>
        <v/>
      </c>
      <c r="AT161" s="4" t="n"/>
      <c r="AU161" s="24">
        <f>IF($A161="","",$A161&amp;IF($B161="","0010",$B161))</f>
        <v/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41" t="n"/>
      <c r="K162" s="5" t="n"/>
      <c r="L162" s="18" t="n"/>
      <c r="M162" s="24">
        <f>IF($A162="","",IFERROR(INDEX('AJUSTES'!$B$4:$B$303,MATCH($AU162,'AJUSTES'!$A$4:$A$303,0)),IF($K162="","",$K162)))</f>
        <v/>
      </c>
      <c r="N162" s="24">
        <f>IF($A162="","",IFERROR(INDEX('CAT_ESTADOS_ERP'!$B$4:$B$22,MATCH(IFERROR(INDEX('2_IMPORTAR_EJECUCION'!$C$9:$C$1208,MATCH($AU162,'2_IMPORTAR_EJECUCION'!$J$9:$J$1208,0)),""),'CAT_ESTADOS_ERP'!$A$4:$A$22,0)),"Pendiente"))</f>
        <v/>
      </c>
      <c r="O162" s="24">
        <f>IF($J162="","",YEAR($J162+4-WEEKDAY($J162,2))&amp;"-S"&amp;TEXT(_xlfn.ISOWEEKNUM($J162),"00"))</f>
        <v/>
      </c>
      <c r="P162" s="24">
        <f>IF($J162="","",YEAR($J162))</f>
        <v/>
      </c>
      <c r="Q162" s="24">
        <f>IF($J162="","",MONTH($J162))</f>
        <v/>
      </c>
      <c r="R162" s="24">
        <f>IF($J162="","",$P162&amp;"-"&amp;TEXT($Q162,"00"))</f>
        <v/>
      </c>
      <c r="S162" s="24">
        <f>IF($J162="","",INDEX(lista_dias,WEEKDAY($J162,2)))</f>
        <v/>
      </c>
      <c r="T162" s="24">
        <f>IF($J162="","",IFERROR(INDEX('CALENDARIO'!$C$15:$C$214,MATCH(TEXT($J162,"yyyy-mm-dd")&amp;"|"&amp;$Y162&amp;"|"&amp;$Z162,'CALENDARIO'!$G$15:$G$214,0)),IFERROR(INDEX('CALENDARIO'!$C$15:$C$214,MATCH(TEXT($J162,"yyyy-mm-dd")&amp;"|"&amp;$Y162&amp;"|",'CALENDARIO'!$G$15:$G$214,0)),IFERROR(INDEX('CALENDARIO'!$C$15:$C$214,MATCH(TEXT($J162,"yyyy-mm-dd")&amp;"||",'CALENDARIO'!$G$15:$G$214,0)),INDEX(patronHabil,WEEKDAY($J162,2))))))</f>
        <v/>
      </c>
      <c r="U162" s="24">
        <f>IF($I162="","",IFERROR(INDEX('CAT_TIPOS_OT'!$C$4:$C$23,MATCH($I162,'CAT_TIPOS_OT'!$A$4:$A$23,0)),"sin_clasificar"))</f>
        <v/>
      </c>
      <c r="V162" s="24">
        <f>IF($I162="","",IF(IFERROR(INDEX('CAT_TIPOS_OT'!$D$4:$D$23,MATCH($I162,'CAT_TIPOS_OT'!$A$4:$A$23,0)),"SIN CLASIFICAR")="","SIN CLASIFICAR",IFERROR(INDEX('CAT_TIPOS_OT'!$D$4:$D$23,MATCH($I162,'CAT_TIPOS_OT'!$A$4:$A$23,0)),"SIN CLASIFICAR")))</f>
        <v/>
      </c>
      <c r="W162" s="24">
        <f>IF($H162="","",IF(IFERROR(INDEX('CAT_ACTIVIDADES'!$F$4:$F$26,MATCH($H162,'CAT_ACTIVIDADES'!$A$4:$A$26,0)),"")=0,"",IFERROR(INDEX('CAT_ACTIVIDADES'!$F$4:$F$26,MATCH($H162,'CAT_ACTIVIDADES'!$A$4:$A$26,0)),"")))</f>
        <v/>
      </c>
      <c r="X162" s="24">
        <f>IF($F162="","",IFERROR(INDEX('CAT_CENTROS_COSTO'!$F$4:$F$28,MATCH($F162,'CAT_CENTROS_COSTO'!$A$4:$A$28,0)),"(sin catálogo)"))</f>
        <v/>
      </c>
      <c r="Y162" s="24">
        <f>IF($F162="","",IFERROR(INDEX('CAT_CENTROS_COSTO'!$D$4:$D$28,MATCH($F162,'CAT_CENTROS_COSTO'!$A$4:$A$28,0)),"(sin catálogo)"))</f>
        <v/>
      </c>
      <c r="Z162" s="24">
        <f>IF($F162="","",IF((IFERROR(INDEX('CAT_CENTROS_COSTO'!$E$4:$E$28,MATCH($F162,'CAT_CENTROS_COSTO'!$A$4:$A$28,0)),""))&lt;&gt;"",IFERROR(INDEX('CAT_CENTROS_COSTO'!$E$4:$E$28,MATCH($F162,'CAT_CENTROS_COSTO'!$A$4:$A$28,0)),""),$Y162))</f>
        <v/>
      </c>
      <c r="AA162" s="24">
        <f>IF($F162="","",IFERROR(INDEX('CAT_CENTROS_COSTO'!$G$4:$G$28,MATCH($F162,'CAT_CENTROS_COSTO'!$A$4:$A$28,0)),"(sin catálogo)"))</f>
        <v/>
      </c>
      <c r="AB162" s="24">
        <f>IF($G162="","",IFERROR(INDEX('CAT_PUESTOS'!$B$4:$B$23,MATCH($G162,'CAT_PUESTOS'!$A$4:$A$23,0)),"(sin catálogo)"))</f>
        <v/>
      </c>
      <c r="AC162" s="24">
        <f>IF($H162="","",IFERROR(INDEX('CAT_ACTIVIDADES'!$B$4:$B$26,MATCH($H162,'CAT_ACTIVIDADES'!$A$4:$A$26,0)),"(sin catálogo)"))</f>
        <v/>
      </c>
      <c r="AD162" s="26">
        <f>IF($J162="","",TODAY()-$J162)</f>
        <v/>
      </c>
      <c r="AE162" s="26">
        <f>IF($J162="","",IF($J162&lt;=TODAY(),COUNTIFS(cal_fechas,"&gt;="&amp;$J162,cal_fechas,"&lt;"&amp;TODAY(),cal_habil,"sí"),-COUNTIFS(cal_fechas,"&gt;="&amp;TODAY(),cal_fechas,"&lt;"&amp;$J162,cal_habil,"sí")))</f>
        <v/>
      </c>
      <c r="AF162" s="24">
        <f>IF($AE162="","",IF($AE162&lt;0,"FUTURO",IF($AE162&gt;p_dias_backlog_max,"BACKLOG","MES CORRIENTE")))</f>
        <v/>
      </c>
      <c r="AG162" s="24">
        <f>IF($AE162="",FALSE,AND($AE162&gt;p_dias_backlog_min,$AE162&lt;=p_dias_backlog_max))</f>
        <v/>
      </c>
      <c r="AH162" s="4" t="n"/>
      <c r="AI162" s="24">
        <f>IF($AH162="","",IF((IFERROR(INDEX('ASIGNACIONES'!$J$4:$J$451,MATCH($O162&amp;"|"&amp;$S162&amp;"|"&amp;$AH162,'ASIGNACIONES'!$N$4:$N$451,0)),""))=0,"",IFERROR(INDEX('ASIGNACIONES'!$J$4:$J$451,MATCH($O162&amp;"|"&amp;$S162&amp;"|"&amp;$AH162,'ASIGNACIONES'!$N$4:$N$451,0)),"")))</f>
        <v/>
      </c>
      <c r="AJ162" s="42">
        <f>IF($AH162="","",SUMIFS('ORDENES'!$M$4:$M$1203,'ORDENES'!$AH$4:$AH$1203,$AH162,'ORDENES'!$O$4:$O$1203,$O162,'ORDENES'!$S$4:$S$1203,$S162))</f>
        <v/>
      </c>
      <c r="AK162" s="42">
        <f>IF($AJ162="","",p_factor_productividad*IFERROR(INDEX('ASIGNACIONES'!$M$4:$M$451,MATCH($O162&amp;"|"&amp;$S162&amp;"|"&amp;$AH162,'ASIGNACIONES'!$N$4:$N$451,0)),0)-$AJ162)</f>
        <v/>
      </c>
      <c r="AL162" s="32">
        <f>IF($A162="","",IFERROR(INDEX('2_IMPORTAR_EJECUCION'!$F$9:$F$1208,MATCH($AU162,'2_IMPORTAR_EJECUCION'!$J$9:$J$1208,0)),0))</f>
        <v/>
      </c>
      <c r="AM162" s="32">
        <f>IF($A162="","",MAX(0,IFERROR(INDEX('2_IMPORTAR_EJECUCION'!$H$9:$H$1208,MATCH($AU162,'2_IMPORTAR_EJECUCION'!$J$9:$J$1208,0)),0)-$AL162))</f>
        <v/>
      </c>
      <c r="AN162" s="32">
        <f>IF($A162="","",$AL162+$AM162)</f>
        <v/>
      </c>
      <c r="AO162" s="24">
        <f>IF($A162="","",IF(OR((IFERROR(INDEX('CAT_ACTIVIDADES'!$D$4:$D$26,MATCH($H162,'CAT_ACTIVIDADES'!$A$4:$A$26,0)),""))=0,(IFERROR(INDEX('CAT_ACTIVIDADES'!$D$4:$D$26,MATCH($H162,'CAT_ACTIVIDADES'!$A$4:$A$26,0)),""))=""),"SIN CLASIFICAR",IFERROR(INDEX('CAT_ACTIVIDADES'!$D$4:$D$26,MATCH($H162,'CAT_ACTIVIDADES'!$A$4:$A$26,0)),"")))</f>
        <v/>
      </c>
      <c r="AP162" s="4" t="n"/>
      <c r="AQ162" s="4" t="n"/>
      <c r="AR162" s="4" t="n"/>
      <c r="AS162" s="24">
        <f>IF($AR162="","",HYPERLINK(p_ruta_base_checklists&amp;$AR162,"abrir"))</f>
        <v/>
      </c>
      <c r="AT162" s="4" t="n"/>
      <c r="AU162" s="24">
        <f>IF($A162="","",$A162&amp;IF($B162="","0010",$B162))</f>
        <v/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41" t="n"/>
      <c r="K163" s="5" t="n"/>
      <c r="L163" s="18" t="n"/>
      <c r="M163" s="24">
        <f>IF($A163="","",IFERROR(INDEX('AJUSTES'!$B$4:$B$303,MATCH($AU163,'AJUSTES'!$A$4:$A$303,0)),IF($K163="","",$K163)))</f>
        <v/>
      </c>
      <c r="N163" s="24">
        <f>IF($A163="","",IFERROR(INDEX('CAT_ESTADOS_ERP'!$B$4:$B$22,MATCH(IFERROR(INDEX('2_IMPORTAR_EJECUCION'!$C$9:$C$1208,MATCH($AU163,'2_IMPORTAR_EJECUCION'!$J$9:$J$1208,0)),""),'CAT_ESTADOS_ERP'!$A$4:$A$22,0)),"Pendiente"))</f>
        <v/>
      </c>
      <c r="O163" s="24">
        <f>IF($J163="","",YEAR($J163+4-WEEKDAY($J163,2))&amp;"-S"&amp;TEXT(_xlfn.ISOWEEKNUM($J163),"00"))</f>
        <v/>
      </c>
      <c r="P163" s="24">
        <f>IF($J163="","",YEAR($J163))</f>
        <v/>
      </c>
      <c r="Q163" s="24">
        <f>IF($J163="","",MONTH($J163))</f>
        <v/>
      </c>
      <c r="R163" s="24">
        <f>IF($J163="","",$P163&amp;"-"&amp;TEXT($Q163,"00"))</f>
        <v/>
      </c>
      <c r="S163" s="24">
        <f>IF($J163="","",INDEX(lista_dias,WEEKDAY($J163,2)))</f>
        <v/>
      </c>
      <c r="T163" s="24">
        <f>IF($J163="","",IFERROR(INDEX('CALENDARIO'!$C$15:$C$214,MATCH(TEXT($J163,"yyyy-mm-dd")&amp;"|"&amp;$Y163&amp;"|"&amp;$Z163,'CALENDARIO'!$G$15:$G$214,0)),IFERROR(INDEX('CALENDARIO'!$C$15:$C$214,MATCH(TEXT($J163,"yyyy-mm-dd")&amp;"|"&amp;$Y163&amp;"|",'CALENDARIO'!$G$15:$G$214,0)),IFERROR(INDEX('CALENDARIO'!$C$15:$C$214,MATCH(TEXT($J163,"yyyy-mm-dd")&amp;"||",'CALENDARIO'!$G$15:$G$214,0)),INDEX(patronHabil,WEEKDAY($J163,2))))))</f>
        <v/>
      </c>
      <c r="U163" s="24">
        <f>IF($I163="","",IFERROR(INDEX('CAT_TIPOS_OT'!$C$4:$C$23,MATCH($I163,'CAT_TIPOS_OT'!$A$4:$A$23,0)),"sin_clasificar"))</f>
        <v/>
      </c>
      <c r="V163" s="24">
        <f>IF($I163="","",IF(IFERROR(INDEX('CAT_TIPOS_OT'!$D$4:$D$23,MATCH($I163,'CAT_TIPOS_OT'!$A$4:$A$23,0)),"SIN CLASIFICAR")="","SIN CLASIFICAR",IFERROR(INDEX('CAT_TIPOS_OT'!$D$4:$D$23,MATCH($I163,'CAT_TIPOS_OT'!$A$4:$A$23,0)),"SIN CLASIFICAR")))</f>
        <v/>
      </c>
      <c r="W163" s="24">
        <f>IF($H163="","",IF(IFERROR(INDEX('CAT_ACTIVIDADES'!$F$4:$F$26,MATCH($H163,'CAT_ACTIVIDADES'!$A$4:$A$26,0)),"")=0,"",IFERROR(INDEX('CAT_ACTIVIDADES'!$F$4:$F$26,MATCH($H163,'CAT_ACTIVIDADES'!$A$4:$A$26,0)),"")))</f>
        <v/>
      </c>
      <c r="X163" s="24">
        <f>IF($F163="","",IFERROR(INDEX('CAT_CENTROS_COSTO'!$F$4:$F$28,MATCH($F163,'CAT_CENTROS_COSTO'!$A$4:$A$28,0)),"(sin catálogo)"))</f>
        <v/>
      </c>
      <c r="Y163" s="24">
        <f>IF($F163="","",IFERROR(INDEX('CAT_CENTROS_COSTO'!$D$4:$D$28,MATCH($F163,'CAT_CENTROS_COSTO'!$A$4:$A$28,0)),"(sin catálogo)"))</f>
        <v/>
      </c>
      <c r="Z163" s="24">
        <f>IF($F163="","",IF((IFERROR(INDEX('CAT_CENTROS_COSTO'!$E$4:$E$28,MATCH($F163,'CAT_CENTROS_COSTO'!$A$4:$A$28,0)),""))&lt;&gt;"",IFERROR(INDEX('CAT_CENTROS_COSTO'!$E$4:$E$28,MATCH($F163,'CAT_CENTROS_COSTO'!$A$4:$A$28,0)),""),$Y163))</f>
        <v/>
      </c>
      <c r="AA163" s="24">
        <f>IF($F163="","",IFERROR(INDEX('CAT_CENTROS_COSTO'!$G$4:$G$28,MATCH($F163,'CAT_CENTROS_COSTO'!$A$4:$A$28,0)),"(sin catálogo)"))</f>
        <v/>
      </c>
      <c r="AB163" s="24">
        <f>IF($G163="","",IFERROR(INDEX('CAT_PUESTOS'!$B$4:$B$23,MATCH($G163,'CAT_PUESTOS'!$A$4:$A$23,0)),"(sin catálogo)"))</f>
        <v/>
      </c>
      <c r="AC163" s="24">
        <f>IF($H163="","",IFERROR(INDEX('CAT_ACTIVIDADES'!$B$4:$B$26,MATCH($H163,'CAT_ACTIVIDADES'!$A$4:$A$26,0)),"(sin catálogo)"))</f>
        <v/>
      </c>
      <c r="AD163" s="26">
        <f>IF($J163="","",TODAY()-$J163)</f>
        <v/>
      </c>
      <c r="AE163" s="26">
        <f>IF($J163="","",IF($J163&lt;=TODAY(),COUNTIFS(cal_fechas,"&gt;="&amp;$J163,cal_fechas,"&lt;"&amp;TODAY(),cal_habil,"sí"),-COUNTIFS(cal_fechas,"&gt;="&amp;TODAY(),cal_fechas,"&lt;"&amp;$J163,cal_habil,"sí")))</f>
        <v/>
      </c>
      <c r="AF163" s="24">
        <f>IF($AE163="","",IF($AE163&lt;0,"FUTURO",IF($AE163&gt;p_dias_backlog_max,"BACKLOG","MES CORRIENTE")))</f>
        <v/>
      </c>
      <c r="AG163" s="24">
        <f>IF($AE163="",FALSE,AND($AE163&gt;p_dias_backlog_min,$AE163&lt;=p_dias_backlog_max))</f>
        <v/>
      </c>
      <c r="AH163" s="4" t="n"/>
      <c r="AI163" s="24">
        <f>IF($AH163="","",IF((IFERROR(INDEX('ASIGNACIONES'!$J$4:$J$451,MATCH($O163&amp;"|"&amp;$S163&amp;"|"&amp;$AH163,'ASIGNACIONES'!$N$4:$N$451,0)),""))=0,"",IFERROR(INDEX('ASIGNACIONES'!$J$4:$J$451,MATCH($O163&amp;"|"&amp;$S163&amp;"|"&amp;$AH163,'ASIGNACIONES'!$N$4:$N$451,0)),"")))</f>
        <v/>
      </c>
      <c r="AJ163" s="42">
        <f>IF($AH163="","",SUMIFS('ORDENES'!$M$4:$M$1203,'ORDENES'!$AH$4:$AH$1203,$AH163,'ORDENES'!$O$4:$O$1203,$O163,'ORDENES'!$S$4:$S$1203,$S163))</f>
        <v/>
      </c>
      <c r="AK163" s="42">
        <f>IF($AJ163="","",p_factor_productividad*IFERROR(INDEX('ASIGNACIONES'!$M$4:$M$451,MATCH($O163&amp;"|"&amp;$S163&amp;"|"&amp;$AH163,'ASIGNACIONES'!$N$4:$N$451,0)),0)-$AJ163)</f>
        <v/>
      </c>
      <c r="AL163" s="32">
        <f>IF($A163="","",IFERROR(INDEX('2_IMPORTAR_EJECUCION'!$F$9:$F$1208,MATCH($AU163,'2_IMPORTAR_EJECUCION'!$J$9:$J$1208,0)),0))</f>
        <v/>
      </c>
      <c r="AM163" s="32">
        <f>IF($A163="","",MAX(0,IFERROR(INDEX('2_IMPORTAR_EJECUCION'!$H$9:$H$1208,MATCH($AU163,'2_IMPORTAR_EJECUCION'!$J$9:$J$1208,0)),0)-$AL163))</f>
        <v/>
      </c>
      <c r="AN163" s="32">
        <f>IF($A163="","",$AL163+$AM163)</f>
        <v/>
      </c>
      <c r="AO163" s="24">
        <f>IF($A163="","",IF(OR((IFERROR(INDEX('CAT_ACTIVIDADES'!$D$4:$D$26,MATCH($H163,'CAT_ACTIVIDADES'!$A$4:$A$26,0)),""))=0,(IFERROR(INDEX('CAT_ACTIVIDADES'!$D$4:$D$26,MATCH($H163,'CAT_ACTIVIDADES'!$A$4:$A$26,0)),""))=""),"SIN CLASIFICAR",IFERROR(INDEX('CAT_ACTIVIDADES'!$D$4:$D$26,MATCH($H163,'CAT_ACTIVIDADES'!$A$4:$A$26,0)),"")))</f>
        <v/>
      </c>
      <c r="AP163" s="4" t="n"/>
      <c r="AQ163" s="4" t="n"/>
      <c r="AR163" s="4" t="n"/>
      <c r="AS163" s="24">
        <f>IF($AR163="","",HYPERLINK(p_ruta_base_checklists&amp;$AR163,"abrir"))</f>
        <v/>
      </c>
      <c r="AT163" s="4" t="n"/>
      <c r="AU163" s="24">
        <f>IF($A163="","",$A163&amp;IF($B163="","0010",$B163))</f>
        <v/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41" t="n"/>
      <c r="K164" s="5" t="n"/>
      <c r="L164" s="18" t="n"/>
      <c r="M164" s="24">
        <f>IF($A164="","",IFERROR(INDEX('AJUSTES'!$B$4:$B$303,MATCH($AU164,'AJUSTES'!$A$4:$A$303,0)),IF($K164="","",$K164)))</f>
        <v/>
      </c>
      <c r="N164" s="24">
        <f>IF($A164="","",IFERROR(INDEX('CAT_ESTADOS_ERP'!$B$4:$B$22,MATCH(IFERROR(INDEX('2_IMPORTAR_EJECUCION'!$C$9:$C$1208,MATCH($AU164,'2_IMPORTAR_EJECUCION'!$J$9:$J$1208,0)),""),'CAT_ESTADOS_ERP'!$A$4:$A$22,0)),"Pendiente"))</f>
        <v/>
      </c>
      <c r="O164" s="24">
        <f>IF($J164="","",YEAR($J164+4-WEEKDAY($J164,2))&amp;"-S"&amp;TEXT(_xlfn.ISOWEEKNUM($J164),"00"))</f>
        <v/>
      </c>
      <c r="P164" s="24">
        <f>IF($J164="","",YEAR($J164))</f>
        <v/>
      </c>
      <c r="Q164" s="24">
        <f>IF($J164="","",MONTH($J164))</f>
        <v/>
      </c>
      <c r="R164" s="24">
        <f>IF($J164="","",$P164&amp;"-"&amp;TEXT($Q164,"00"))</f>
        <v/>
      </c>
      <c r="S164" s="24">
        <f>IF($J164="","",INDEX(lista_dias,WEEKDAY($J164,2)))</f>
        <v/>
      </c>
      <c r="T164" s="24">
        <f>IF($J164="","",IFERROR(INDEX('CALENDARIO'!$C$15:$C$214,MATCH(TEXT($J164,"yyyy-mm-dd")&amp;"|"&amp;$Y164&amp;"|"&amp;$Z164,'CALENDARIO'!$G$15:$G$214,0)),IFERROR(INDEX('CALENDARIO'!$C$15:$C$214,MATCH(TEXT($J164,"yyyy-mm-dd")&amp;"|"&amp;$Y164&amp;"|",'CALENDARIO'!$G$15:$G$214,0)),IFERROR(INDEX('CALENDARIO'!$C$15:$C$214,MATCH(TEXT($J164,"yyyy-mm-dd")&amp;"||",'CALENDARIO'!$G$15:$G$214,0)),INDEX(patronHabil,WEEKDAY($J164,2))))))</f>
        <v/>
      </c>
      <c r="U164" s="24">
        <f>IF($I164="","",IFERROR(INDEX('CAT_TIPOS_OT'!$C$4:$C$23,MATCH($I164,'CAT_TIPOS_OT'!$A$4:$A$23,0)),"sin_clasificar"))</f>
        <v/>
      </c>
      <c r="V164" s="24">
        <f>IF($I164="","",IF(IFERROR(INDEX('CAT_TIPOS_OT'!$D$4:$D$23,MATCH($I164,'CAT_TIPOS_OT'!$A$4:$A$23,0)),"SIN CLASIFICAR")="","SIN CLASIFICAR",IFERROR(INDEX('CAT_TIPOS_OT'!$D$4:$D$23,MATCH($I164,'CAT_TIPOS_OT'!$A$4:$A$23,0)),"SIN CLASIFICAR")))</f>
        <v/>
      </c>
      <c r="W164" s="24">
        <f>IF($H164="","",IF(IFERROR(INDEX('CAT_ACTIVIDADES'!$F$4:$F$26,MATCH($H164,'CAT_ACTIVIDADES'!$A$4:$A$26,0)),"")=0,"",IFERROR(INDEX('CAT_ACTIVIDADES'!$F$4:$F$26,MATCH($H164,'CAT_ACTIVIDADES'!$A$4:$A$26,0)),"")))</f>
        <v/>
      </c>
      <c r="X164" s="24">
        <f>IF($F164="","",IFERROR(INDEX('CAT_CENTROS_COSTO'!$F$4:$F$28,MATCH($F164,'CAT_CENTROS_COSTO'!$A$4:$A$28,0)),"(sin catálogo)"))</f>
        <v/>
      </c>
      <c r="Y164" s="24">
        <f>IF($F164="","",IFERROR(INDEX('CAT_CENTROS_COSTO'!$D$4:$D$28,MATCH($F164,'CAT_CENTROS_COSTO'!$A$4:$A$28,0)),"(sin catálogo)"))</f>
        <v/>
      </c>
      <c r="Z164" s="24">
        <f>IF($F164="","",IF((IFERROR(INDEX('CAT_CENTROS_COSTO'!$E$4:$E$28,MATCH($F164,'CAT_CENTROS_COSTO'!$A$4:$A$28,0)),""))&lt;&gt;"",IFERROR(INDEX('CAT_CENTROS_COSTO'!$E$4:$E$28,MATCH($F164,'CAT_CENTROS_COSTO'!$A$4:$A$28,0)),""),$Y164))</f>
        <v/>
      </c>
      <c r="AA164" s="24">
        <f>IF($F164="","",IFERROR(INDEX('CAT_CENTROS_COSTO'!$G$4:$G$28,MATCH($F164,'CAT_CENTROS_COSTO'!$A$4:$A$28,0)),"(sin catálogo)"))</f>
        <v/>
      </c>
      <c r="AB164" s="24">
        <f>IF($G164="","",IFERROR(INDEX('CAT_PUESTOS'!$B$4:$B$23,MATCH($G164,'CAT_PUESTOS'!$A$4:$A$23,0)),"(sin catálogo)"))</f>
        <v/>
      </c>
      <c r="AC164" s="24">
        <f>IF($H164="","",IFERROR(INDEX('CAT_ACTIVIDADES'!$B$4:$B$26,MATCH($H164,'CAT_ACTIVIDADES'!$A$4:$A$26,0)),"(sin catálogo)"))</f>
        <v/>
      </c>
      <c r="AD164" s="26">
        <f>IF($J164="","",TODAY()-$J164)</f>
        <v/>
      </c>
      <c r="AE164" s="26">
        <f>IF($J164="","",IF($J164&lt;=TODAY(),COUNTIFS(cal_fechas,"&gt;="&amp;$J164,cal_fechas,"&lt;"&amp;TODAY(),cal_habil,"sí"),-COUNTIFS(cal_fechas,"&gt;="&amp;TODAY(),cal_fechas,"&lt;"&amp;$J164,cal_habil,"sí")))</f>
        <v/>
      </c>
      <c r="AF164" s="24">
        <f>IF($AE164="","",IF($AE164&lt;0,"FUTURO",IF($AE164&gt;p_dias_backlog_max,"BACKLOG","MES CORRIENTE")))</f>
        <v/>
      </c>
      <c r="AG164" s="24">
        <f>IF($AE164="",FALSE,AND($AE164&gt;p_dias_backlog_min,$AE164&lt;=p_dias_backlog_max))</f>
        <v/>
      </c>
      <c r="AH164" s="4" t="n"/>
      <c r="AI164" s="24">
        <f>IF($AH164="","",IF((IFERROR(INDEX('ASIGNACIONES'!$J$4:$J$451,MATCH($O164&amp;"|"&amp;$S164&amp;"|"&amp;$AH164,'ASIGNACIONES'!$N$4:$N$451,0)),""))=0,"",IFERROR(INDEX('ASIGNACIONES'!$J$4:$J$451,MATCH($O164&amp;"|"&amp;$S164&amp;"|"&amp;$AH164,'ASIGNACIONES'!$N$4:$N$451,0)),"")))</f>
        <v/>
      </c>
      <c r="AJ164" s="42">
        <f>IF($AH164="","",SUMIFS('ORDENES'!$M$4:$M$1203,'ORDENES'!$AH$4:$AH$1203,$AH164,'ORDENES'!$O$4:$O$1203,$O164,'ORDENES'!$S$4:$S$1203,$S164))</f>
        <v/>
      </c>
      <c r="AK164" s="42">
        <f>IF($AJ164="","",p_factor_productividad*IFERROR(INDEX('ASIGNACIONES'!$M$4:$M$451,MATCH($O164&amp;"|"&amp;$S164&amp;"|"&amp;$AH164,'ASIGNACIONES'!$N$4:$N$451,0)),0)-$AJ164)</f>
        <v/>
      </c>
      <c r="AL164" s="32">
        <f>IF($A164="","",IFERROR(INDEX('2_IMPORTAR_EJECUCION'!$F$9:$F$1208,MATCH($AU164,'2_IMPORTAR_EJECUCION'!$J$9:$J$1208,0)),0))</f>
        <v/>
      </c>
      <c r="AM164" s="32">
        <f>IF($A164="","",MAX(0,IFERROR(INDEX('2_IMPORTAR_EJECUCION'!$H$9:$H$1208,MATCH($AU164,'2_IMPORTAR_EJECUCION'!$J$9:$J$1208,0)),0)-$AL164))</f>
        <v/>
      </c>
      <c r="AN164" s="32">
        <f>IF($A164="","",$AL164+$AM164)</f>
        <v/>
      </c>
      <c r="AO164" s="24">
        <f>IF($A164="","",IF(OR((IFERROR(INDEX('CAT_ACTIVIDADES'!$D$4:$D$26,MATCH($H164,'CAT_ACTIVIDADES'!$A$4:$A$26,0)),""))=0,(IFERROR(INDEX('CAT_ACTIVIDADES'!$D$4:$D$26,MATCH($H164,'CAT_ACTIVIDADES'!$A$4:$A$26,0)),""))=""),"SIN CLASIFICAR",IFERROR(INDEX('CAT_ACTIVIDADES'!$D$4:$D$26,MATCH($H164,'CAT_ACTIVIDADES'!$A$4:$A$26,0)),"")))</f>
        <v/>
      </c>
      <c r="AP164" s="4" t="n"/>
      <c r="AQ164" s="4" t="n"/>
      <c r="AR164" s="4" t="n"/>
      <c r="AS164" s="24">
        <f>IF($AR164="","",HYPERLINK(p_ruta_base_checklists&amp;$AR164,"abrir"))</f>
        <v/>
      </c>
      <c r="AT164" s="4" t="n"/>
      <c r="AU164" s="24">
        <f>IF($A164="","",$A164&amp;IF($B164="","0010",$B164))</f>
        <v/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41" t="n"/>
      <c r="K165" s="5" t="n"/>
      <c r="L165" s="18" t="n"/>
      <c r="M165" s="24">
        <f>IF($A165="","",IFERROR(INDEX('AJUSTES'!$B$4:$B$303,MATCH($AU165,'AJUSTES'!$A$4:$A$303,0)),IF($K165="","",$K165)))</f>
        <v/>
      </c>
      <c r="N165" s="24">
        <f>IF($A165="","",IFERROR(INDEX('CAT_ESTADOS_ERP'!$B$4:$B$22,MATCH(IFERROR(INDEX('2_IMPORTAR_EJECUCION'!$C$9:$C$1208,MATCH($AU165,'2_IMPORTAR_EJECUCION'!$J$9:$J$1208,0)),""),'CAT_ESTADOS_ERP'!$A$4:$A$22,0)),"Pendiente"))</f>
        <v/>
      </c>
      <c r="O165" s="24">
        <f>IF($J165="","",YEAR($J165+4-WEEKDAY($J165,2))&amp;"-S"&amp;TEXT(_xlfn.ISOWEEKNUM($J165),"00"))</f>
        <v/>
      </c>
      <c r="P165" s="24">
        <f>IF($J165="","",YEAR($J165))</f>
        <v/>
      </c>
      <c r="Q165" s="24">
        <f>IF($J165="","",MONTH($J165))</f>
        <v/>
      </c>
      <c r="R165" s="24">
        <f>IF($J165="","",$P165&amp;"-"&amp;TEXT($Q165,"00"))</f>
        <v/>
      </c>
      <c r="S165" s="24">
        <f>IF($J165="","",INDEX(lista_dias,WEEKDAY($J165,2)))</f>
        <v/>
      </c>
      <c r="T165" s="24">
        <f>IF($J165="","",IFERROR(INDEX('CALENDARIO'!$C$15:$C$214,MATCH(TEXT($J165,"yyyy-mm-dd")&amp;"|"&amp;$Y165&amp;"|"&amp;$Z165,'CALENDARIO'!$G$15:$G$214,0)),IFERROR(INDEX('CALENDARIO'!$C$15:$C$214,MATCH(TEXT($J165,"yyyy-mm-dd")&amp;"|"&amp;$Y165&amp;"|",'CALENDARIO'!$G$15:$G$214,0)),IFERROR(INDEX('CALENDARIO'!$C$15:$C$214,MATCH(TEXT($J165,"yyyy-mm-dd")&amp;"||",'CALENDARIO'!$G$15:$G$214,0)),INDEX(patronHabil,WEEKDAY($J165,2))))))</f>
        <v/>
      </c>
      <c r="U165" s="24">
        <f>IF($I165="","",IFERROR(INDEX('CAT_TIPOS_OT'!$C$4:$C$23,MATCH($I165,'CAT_TIPOS_OT'!$A$4:$A$23,0)),"sin_clasificar"))</f>
        <v/>
      </c>
      <c r="V165" s="24">
        <f>IF($I165="","",IF(IFERROR(INDEX('CAT_TIPOS_OT'!$D$4:$D$23,MATCH($I165,'CAT_TIPOS_OT'!$A$4:$A$23,0)),"SIN CLASIFICAR")="","SIN CLASIFICAR",IFERROR(INDEX('CAT_TIPOS_OT'!$D$4:$D$23,MATCH($I165,'CAT_TIPOS_OT'!$A$4:$A$23,0)),"SIN CLASIFICAR")))</f>
        <v/>
      </c>
      <c r="W165" s="24">
        <f>IF($H165="","",IF(IFERROR(INDEX('CAT_ACTIVIDADES'!$F$4:$F$26,MATCH($H165,'CAT_ACTIVIDADES'!$A$4:$A$26,0)),"")=0,"",IFERROR(INDEX('CAT_ACTIVIDADES'!$F$4:$F$26,MATCH($H165,'CAT_ACTIVIDADES'!$A$4:$A$26,0)),"")))</f>
        <v/>
      </c>
      <c r="X165" s="24">
        <f>IF($F165="","",IFERROR(INDEX('CAT_CENTROS_COSTO'!$F$4:$F$28,MATCH($F165,'CAT_CENTROS_COSTO'!$A$4:$A$28,0)),"(sin catálogo)"))</f>
        <v/>
      </c>
      <c r="Y165" s="24">
        <f>IF($F165="","",IFERROR(INDEX('CAT_CENTROS_COSTO'!$D$4:$D$28,MATCH($F165,'CAT_CENTROS_COSTO'!$A$4:$A$28,0)),"(sin catálogo)"))</f>
        <v/>
      </c>
      <c r="Z165" s="24">
        <f>IF($F165="","",IF((IFERROR(INDEX('CAT_CENTROS_COSTO'!$E$4:$E$28,MATCH($F165,'CAT_CENTROS_COSTO'!$A$4:$A$28,0)),""))&lt;&gt;"",IFERROR(INDEX('CAT_CENTROS_COSTO'!$E$4:$E$28,MATCH($F165,'CAT_CENTROS_COSTO'!$A$4:$A$28,0)),""),$Y165))</f>
        <v/>
      </c>
      <c r="AA165" s="24">
        <f>IF($F165="","",IFERROR(INDEX('CAT_CENTROS_COSTO'!$G$4:$G$28,MATCH($F165,'CAT_CENTROS_COSTO'!$A$4:$A$28,0)),"(sin catálogo)"))</f>
        <v/>
      </c>
      <c r="AB165" s="24">
        <f>IF($G165="","",IFERROR(INDEX('CAT_PUESTOS'!$B$4:$B$23,MATCH($G165,'CAT_PUESTOS'!$A$4:$A$23,0)),"(sin catálogo)"))</f>
        <v/>
      </c>
      <c r="AC165" s="24">
        <f>IF($H165="","",IFERROR(INDEX('CAT_ACTIVIDADES'!$B$4:$B$26,MATCH($H165,'CAT_ACTIVIDADES'!$A$4:$A$26,0)),"(sin catálogo)"))</f>
        <v/>
      </c>
      <c r="AD165" s="26">
        <f>IF($J165="","",TODAY()-$J165)</f>
        <v/>
      </c>
      <c r="AE165" s="26">
        <f>IF($J165="","",IF($J165&lt;=TODAY(),COUNTIFS(cal_fechas,"&gt;="&amp;$J165,cal_fechas,"&lt;"&amp;TODAY(),cal_habil,"sí"),-COUNTIFS(cal_fechas,"&gt;="&amp;TODAY(),cal_fechas,"&lt;"&amp;$J165,cal_habil,"sí")))</f>
        <v/>
      </c>
      <c r="AF165" s="24">
        <f>IF($AE165="","",IF($AE165&lt;0,"FUTURO",IF($AE165&gt;p_dias_backlog_max,"BACKLOG","MES CORRIENTE")))</f>
        <v/>
      </c>
      <c r="AG165" s="24">
        <f>IF($AE165="",FALSE,AND($AE165&gt;p_dias_backlog_min,$AE165&lt;=p_dias_backlog_max))</f>
        <v/>
      </c>
      <c r="AH165" s="4" t="n"/>
      <c r="AI165" s="24">
        <f>IF($AH165="","",IF((IFERROR(INDEX('ASIGNACIONES'!$J$4:$J$451,MATCH($O165&amp;"|"&amp;$S165&amp;"|"&amp;$AH165,'ASIGNACIONES'!$N$4:$N$451,0)),""))=0,"",IFERROR(INDEX('ASIGNACIONES'!$J$4:$J$451,MATCH($O165&amp;"|"&amp;$S165&amp;"|"&amp;$AH165,'ASIGNACIONES'!$N$4:$N$451,0)),"")))</f>
        <v/>
      </c>
      <c r="AJ165" s="42">
        <f>IF($AH165="","",SUMIFS('ORDENES'!$M$4:$M$1203,'ORDENES'!$AH$4:$AH$1203,$AH165,'ORDENES'!$O$4:$O$1203,$O165,'ORDENES'!$S$4:$S$1203,$S165))</f>
        <v/>
      </c>
      <c r="AK165" s="42">
        <f>IF($AJ165="","",p_factor_productividad*IFERROR(INDEX('ASIGNACIONES'!$M$4:$M$451,MATCH($O165&amp;"|"&amp;$S165&amp;"|"&amp;$AH165,'ASIGNACIONES'!$N$4:$N$451,0)),0)-$AJ165)</f>
        <v/>
      </c>
      <c r="AL165" s="32">
        <f>IF($A165="","",IFERROR(INDEX('2_IMPORTAR_EJECUCION'!$F$9:$F$1208,MATCH($AU165,'2_IMPORTAR_EJECUCION'!$J$9:$J$1208,0)),0))</f>
        <v/>
      </c>
      <c r="AM165" s="32">
        <f>IF($A165="","",MAX(0,IFERROR(INDEX('2_IMPORTAR_EJECUCION'!$H$9:$H$1208,MATCH($AU165,'2_IMPORTAR_EJECUCION'!$J$9:$J$1208,0)),0)-$AL165))</f>
        <v/>
      </c>
      <c r="AN165" s="32">
        <f>IF($A165="","",$AL165+$AM165)</f>
        <v/>
      </c>
      <c r="AO165" s="24">
        <f>IF($A165="","",IF(OR((IFERROR(INDEX('CAT_ACTIVIDADES'!$D$4:$D$26,MATCH($H165,'CAT_ACTIVIDADES'!$A$4:$A$26,0)),""))=0,(IFERROR(INDEX('CAT_ACTIVIDADES'!$D$4:$D$26,MATCH($H165,'CAT_ACTIVIDADES'!$A$4:$A$26,0)),""))=""),"SIN CLASIFICAR",IFERROR(INDEX('CAT_ACTIVIDADES'!$D$4:$D$26,MATCH($H165,'CAT_ACTIVIDADES'!$A$4:$A$26,0)),"")))</f>
        <v/>
      </c>
      <c r="AP165" s="4" t="n"/>
      <c r="AQ165" s="4" t="n"/>
      <c r="AR165" s="4" t="n"/>
      <c r="AS165" s="24">
        <f>IF($AR165="","",HYPERLINK(p_ruta_base_checklists&amp;$AR165,"abrir"))</f>
        <v/>
      </c>
      <c r="AT165" s="4" t="n"/>
      <c r="AU165" s="24">
        <f>IF($A165="","",$A165&amp;IF($B165="","0010",$B165))</f>
        <v/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41" t="n"/>
      <c r="K166" s="5" t="n"/>
      <c r="L166" s="18" t="n"/>
      <c r="M166" s="24">
        <f>IF($A166="","",IFERROR(INDEX('AJUSTES'!$B$4:$B$303,MATCH($AU166,'AJUSTES'!$A$4:$A$303,0)),IF($K166="","",$K166)))</f>
        <v/>
      </c>
      <c r="N166" s="24">
        <f>IF($A166="","",IFERROR(INDEX('CAT_ESTADOS_ERP'!$B$4:$B$22,MATCH(IFERROR(INDEX('2_IMPORTAR_EJECUCION'!$C$9:$C$1208,MATCH($AU166,'2_IMPORTAR_EJECUCION'!$J$9:$J$1208,0)),""),'CAT_ESTADOS_ERP'!$A$4:$A$22,0)),"Pendiente"))</f>
        <v/>
      </c>
      <c r="O166" s="24">
        <f>IF($J166="","",YEAR($J166+4-WEEKDAY($J166,2))&amp;"-S"&amp;TEXT(_xlfn.ISOWEEKNUM($J166),"00"))</f>
        <v/>
      </c>
      <c r="P166" s="24">
        <f>IF($J166="","",YEAR($J166))</f>
        <v/>
      </c>
      <c r="Q166" s="24">
        <f>IF($J166="","",MONTH($J166))</f>
        <v/>
      </c>
      <c r="R166" s="24">
        <f>IF($J166="","",$P166&amp;"-"&amp;TEXT($Q166,"00"))</f>
        <v/>
      </c>
      <c r="S166" s="24">
        <f>IF($J166="","",INDEX(lista_dias,WEEKDAY($J166,2)))</f>
        <v/>
      </c>
      <c r="T166" s="24">
        <f>IF($J166="","",IFERROR(INDEX('CALENDARIO'!$C$15:$C$214,MATCH(TEXT($J166,"yyyy-mm-dd")&amp;"|"&amp;$Y166&amp;"|"&amp;$Z166,'CALENDARIO'!$G$15:$G$214,0)),IFERROR(INDEX('CALENDARIO'!$C$15:$C$214,MATCH(TEXT($J166,"yyyy-mm-dd")&amp;"|"&amp;$Y166&amp;"|",'CALENDARIO'!$G$15:$G$214,0)),IFERROR(INDEX('CALENDARIO'!$C$15:$C$214,MATCH(TEXT($J166,"yyyy-mm-dd")&amp;"||",'CALENDARIO'!$G$15:$G$214,0)),INDEX(patronHabil,WEEKDAY($J166,2))))))</f>
        <v/>
      </c>
      <c r="U166" s="24">
        <f>IF($I166="","",IFERROR(INDEX('CAT_TIPOS_OT'!$C$4:$C$23,MATCH($I166,'CAT_TIPOS_OT'!$A$4:$A$23,0)),"sin_clasificar"))</f>
        <v/>
      </c>
      <c r="V166" s="24">
        <f>IF($I166="","",IF(IFERROR(INDEX('CAT_TIPOS_OT'!$D$4:$D$23,MATCH($I166,'CAT_TIPOS_OT'!$A$4:$A$23,0)),"SIN CLASIFICAR")="","SIN CLASIFICAR",IFERROR(INDEX('CAT_TIPOS_OT'!$D$4:$D$23,MATCH($I166,'CAT_TIPOS_OT'!$A$4:$A$23,0)),"SIN CLASIFICAR")))</f>
        <v/>
      </c>
      <c r="W166" s="24">
        <f>IF($H166="","",IF(IFERROR(INDEX('CAT_ACTIVIDADES'!$F$4:$F$26,MATCH($H166,'CAT_ACTIVIDADES'!$A$4:$A$26,0)),"")=0,"",IFERROR(INDEX('CAT_ACTIVIDADES'!$F$4:$F$26,MATCH($H166,'CAT_ACTIVIDADES'!$A$4:$A$26,0)),"")))</f>
        <v/>
      </c>
      <c r="X166" s="24">
        <f>IF($F166="","",IFERROR(INDEX('CAT_CENTROS_COSTO'!$F$4:$F$28,MATCH($F166,'CAT_CENTROS_COSTO'!$A$4:$A$28,0)),"(sin catálogo)"))</f>
        <v/>
      </c>
      <c r="Y166" s="24">
        <f>IF($F166="","",IFERROR(INDEX('CAT_CENTROS_COSTO'!$D$4:$D$28,MATCH($F166,'CAT_CENTROS_COSTO'!$A$4:$A$28,0)),"(sin catálogo)"))</f>
        <v/>
      </c>
      <c r="Z166" s="24">
        <f>IF($F166="","",IF((IFERROR(INDEX('CAT_CENTROS_COSTO'!$E$4:$E$28,MATCH($F166,'CAT_CENTROS_COSTO'!$A$4:$A$28,0)),""))&lt;&gt;"",IFERROR(INDEX('CAT_CENTROS_COSTO'!$E$4:$E$28,MATCH($F166,'CAT_CENTROS_COSTO'!$A$4:$A$28,0)),""),$Y166))</f>
        <v/>
      </c>
      <c r="AA166" s="24">
        <f>IF($F166="","",IFERROR(INDEX('CAT_CENTROS_COSTO'!$G$4:$G$28,MATCH($F166,'CAT_CENTROS_COSTO'!$A$4:$A$28,0)),"(sin catálogo)"))</f>
        <v/>
      </c>
      <c r="AB166" s="24">
        <f>IF($G166="","",IFERROR(INDEX('CAT_PUESTOS'!$B$4:$B$23,MATCH($G166,'CAT_PUESTOS'!$A$4:$A$23,0)),"(sin catálogo)"))</f>
        <v/>
      </c>
      <c r="AC166" s="24">
        <f>IF($H166="","",IFERROR(INDEX('CAT_ACTIVIDADES'!$B$4:$B$26,MATCH($H166,'CAT_ACTIVIDADES'!$A$4:$A$26,0)),"(sin catálogo)"))</f>
        <v/>
      </c>
      <c r="AD166" s="26">
        <f>IF($J166="","",TODAY()-$J166)</f>
        <v/>
      </c>
      <c r="AE166" s="26">
        <f>IF($J166="","",IF($J166&lt;=TODAY(),COUNTIFS(cal_fechas,"&gt;="&amp;$J166,cal_fechas,"&lt;"&amp;TODAY(),cal_habil,"sí"),-COUNTIFS(cal_fechas,"&gt;="&amp;TODAY(),cal_fechas,"&lt;"&amp;$J166,cal_habil,"sí")))</f>
        <v/>
      </c>
      <c r="AF166" s="24">
        <f>IF($AE166="","",IF($AE166&lt;0,"FUTURO",IF($AE166&gt;p_dias_backlog_max,"BACKLOG","MES CORRIENTE")))</f>
        <v/>
      </c>
      <c r="AG166" s="24">
        <f>IF($AE166="",FALSE,AND($AE166&gt;p_dias_backlog_min,$AE166&lt;=p_dias_backlog_max))</f>
        <v/>
      </c>
      <c r="AH166" s="4" t="n"/>
      <c r="AI166" s="24">
        <f>IF($AH166="","",IF((IFERROR(INDEX('ASIGNACIONES'!$J$4:$J$451,MATCH($O166&amp;"|"&amp;$S166&amp;"|"&amp;$AH166,'ASIGNACIONES'!$N$4:$N$451,0)),""))=0,"",IFERROR(INDEX('ASIGNACIONES'!$J$4:$J$451,MATCH($O166&amp;"|"&amp;$S166&amp;"|"&amp;$AH166,'ASIGNACIONES'!$N$4:$N$451,0)),"")))</f>
        <v/>
      </c>
      <c r="AJ166" s="42">
        <f>IF($AH166="","",SUMIFS('ORDENES'!$M$4:$M$1203,'ORDENES'!$AH$4:$AH$1203,$AH166,'ORDENES'!$O$4:$O$1203,$O166,'ORDENES'!$S$4:$S$1203,$S166))</f>
        <v/>
      </c>
      <c r="AK166" s="42">
        <f>IF($AJ166="","",p_factor_productividad*IFERROR(INDEX('ASIGNACIONES'!$M$4:$M$451,MATCH($O166&amp;"|"&amp;$S166&amp;"|"&amp;$AH166,'ASIGNACIONES'!$N$4:$N$451,0)),0)-$AJ166)</f>
        <v/>
      </c>
      <c r="AL166" s="32">
        <f>IF($A166="","",IFERROR(INDEX('2_IMPORTAR_EJECUCION'!$F$9:$F$1208,MATCH($AU166,'2_IMPORTAR_EJECUCION'!$J$9:$J$1208,0)),0))</f>
        <v/>
      </c>
      <c r="AM166" s="32">
        <f>IF($A166="","",MAX(0,IFERROR(INDEX('2_IMPORTAR_EJECUCION'!$H$9:$H$1208,MATCH($AU166,'2_IMPORTAR_EJECUCION'!$J$9:$J$1208,0)),0)-$AL166))</f>
        <v/>
      </c>
      <c r="AN166" s="32">
        <f>IF($A166="","",$AL166+$AM166)</f>
        <v/>
      </c>
      <c r="AO166" s="24">
        <f>IF($A166="","",IF(OR((IFERROR(INDEX('CAT_ACTIVIDADES'!$D$4:$D$26,MATCH($H166,'CAT_ACTIVIDADES'!$A$4:$A$26,0)),""))=0,(IFERROR(INDEX('CAT_ACTIVIDADES'!$D$4:$D$26,MATCH($H166,'CAT_ACTIVIDADES'!$A$4:$A$26,0)),""))=""),"SIN CLASIFICAR",IFERROR(INDEX('CAT_ACTIVIDADES'!$D$4:$D$26,MATCH($H166,'CAT_ACTIVIDADES'!$A$4:$A$26,0)),"")))</f>
        <v/>
      </c>
      <c r="AP166" s="4" t="n"/>
      <c r="AQ166" s="4" t="n"/>
      <c r="AR166" s="4" t="n"/>
      <c r="AS166" s="24">
        <f>IF($AR166="","",HYPERLINK(p_ruta_base_checklists&amp;$AR166,"abrir"))</f>
        <v/>
      </c>
      <c r="AT166" s="4" t="n"/>
      <c r="AU166" s="24">
        <f>IF($A166="","",$A166&amp;IF($B166="","0010",$B166))</f>
        <v/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41" t="n"/>
      <c r="K167" s="5" t="n"/>
      <c r="L167" s="18" t="n"/>
      <c r="M167" s="24">
        <f>IF($A167="","",IFERROR(INDEX('AJUSTES'!$B$4:$B$303,MATCH($AU167,'AJUSTES'!$A$4:$A$303,0)),IF($K167="","",$K167)))</f>
        <v/>
      </c>
      <c r="N167" s="24">
        <f>IF($A167="","",IFERROR(INDEX('CAT_ESTADOS_ERP'!$B$4:$B$22,MATCH(IFERROR(INDEX('2_IMPORTAR_EJECUCION'!$C$9:$C$1208,MATCH($AU167,'2_IMPORTAR_EJECUCION'!$J$9:$J$1208,0)),""),'CAT_ESTADOS_ERP'!$A$4:$A$22,0)),"Pendiente"))</f>
        <v/>
      </c>
      <c r="O167" s="24">
        <f>IF($J167="","",YEAR($J167+4-WEEKDAY($J167,2))&amp;"-S"&amp;TEXT(_xlfn.ISOWEEKNUM($J167),"00"))</f>
        <v/>
      </c>
      <c r="P167" s="24">
        <f>IF($J167="","",YEAR($J167))</f>
        <v/>
      </c>
      <c r="Q167" s="24">
        <f>IF($J167="","",MONTH($J167))</f>
        <v/>
      </c>
      <c r="R167" s="24">
        <f>IF($J167="","",$P167&amp;"-"&amp;TEXT($Q167,"00"))</f>
        <v/>
      </c>
      <c r="S167" s="24">
        <f>IF($J167="","",INDEX(lista_dias,WEEKDAY($J167,2)))</f>
        <v/>
      </c>
      <c r="T167" s="24">
        <f>IF($J167="","",IFERROR(INDEX('CALENDARIO'!$C$15:$C$214,MATCH(TEXT($J167,"yyyy-mm-dd")&amp;"|"&amp;$Y167&amp;"|"&amp;$Z167,'CALENDARIO'!$G$15:$G$214,0)),IFERROR(INDEX('CALENDARIO'!$C$15:$C$214,MATCH(TEXT($J167,"yyyy-mm-dd")&amp;"|"&amp;$Y167&amp;"|",'CALENDARIO'!$G$15:$G$214,0)),IFERROR(INDEX('CALENDARIO'!$C$15:$C$214,MATCH(TEXT($J167,"yyyy-mm-dd")&amp;"||",'CALENDARIO'!$G$15:$G$214,0)),INDEX(patronHabil,WEEKDAY($J167,2))))))</f>
        <v/>
      </c>
      <c r="U167" s="24">
        <f>IF($I167="","",IFERROR(INDEX('CAT_TIPOS_OT'!$C$4:$C$23,MATCH($I167,'CAT_TIPOS_OT'!$A$4:$A$23,0)),"sin_clasificar"))</f>
        <v/>
      </c>
      <c r="V167" s="24">
        <f>IF($I167="","",IF(IFERROR(INDEX('CAT_TIPOS_OT'!$D$4:$D$23,MATCH($I167,'CAT_TIPOS_OT'!$A$4:$A$23,0)),"SIN CLASIFICAR")="","SIN CLASIFICAR",IFERROR(INDEX('CAT_TIPOS_OT'!$D$4:$D$23,MATCH($I167,'CAT_TIPOS_OT'!$A$4:$A$23,0)),"SIN CLASIFICAR")))</f>
        <v/>
      </c>
      <c r="W167" s="24">
        <f>IF($H167="","",IF(IFERROR(INDEX('CAT_ACTIVIDADES'!$F$4:$F$26,MATCH($H167,'CAT_ACTIVIDADES'!$A$4:$A$26,0)),"")=0,"",IFERROR(INDEX('CAT_ACTIVIDADES'!$F$4:$F$26,MATCH($H167,'CAT_ACTIVIDADES'!$A$4:$A$26,0)),"")))</f>
        <v/>
      </c>
      <c r="X167" s="24">
        <f>IF($F167="","",IFERROR(INDEX('CAT_CENTROS_COSTO'!$F$4:$F$28,MATCH($F167,'CAT_CENTROS_COSTO'!$A$4:$A$28,0)),"(sin catálogo)"))</f>
        <v/>
      </c>
      <c r="Y167" s="24">
        <f>IF($F167="","",IFERROR(INDEX('CAT_CENTROS_COSTO'!$D$4:$D$28,MATCH($F167,'CAT_CENTROS_COSTO'!$A$4:$A$28,0)),"(sin catálogo)"))</f>
        <v/>
      </c>
      <c r="Z167" s="24">
        <f>IF($F167="","",IF((IFERROR(INDEX('CAT_CENTROS_COSTO'!$E$4:$E$28,MATCH($F167,'CAT_CENTROS_COSTO'!$A$4:$A$28,0)),""))&lt;&gt;"",IFERROR(INDEX('CAT_CENTROS_COSTO'!$E$4:$E$28,MATCH($F167,'CAT_CENTROS_COSTO'!$A$4:$A$28,0)),""),$Y167))</f>
        <v/>
      </c>
      <c r="AA167" s="24">
        <f>IF($F167="","",IFERROR(INDEX('CAT_CENTROS_COSTO'!$G$4:$G$28,MATCH($F167,'CAT_CENTROS_COSTO'!$A$4:$A$28,0)),"(sin catálogo)"))</f>
        <v/>
      </c>
      <c r="AB167" s="24">
        <f>IF($G167="","",IFERROR(INDEX('CAT_PUESTOS'!$B$4:$B$23,MATCH($G167,'CAT_PUESTOS'!$A$4:$A$23,0)),"(sin catálogo)"))</f>
        <v/>
      </c>
      <c r="AC167" s="24">
        <f>IF($H167="","",IFERROR(INDEX('CAT_ACTIVIDADES'!$B$4:$B$26,MATCH($H167,'CAT_ACTIVIDADES'!$A$4:$A$26,0)),"(sin catálogo)"))</f>
        <v/>
      </c>
      <c r="AD167" s="26">
        <f>IF($J167="","",TODAY()-$J167)</f>
        <v/>
      </c>
      <c r="AE167" s="26">
        <f>IF($J167="","",IF($J167&lt;=TODAY(),COUNTIFS(cal_fechas,"&gt;="&amp;$J167,cal_fechas,"&lt;"&amp;TODAY(),cal_habil,"sí"),-COUNTIFS(cal_fechas,"&gt;="&amp;TODAY(),cal_fechas,"&lt;"&amp;$J167,cal_habil,"sí")))</f>
        <v/>
      </c>
      <c r="AF167" s="24">
        <f>IF($AE167="","",IF($AE167&lt;0,"FUTURO",IF($AE167&gt;p_dias_backlog_max,"BACKLOG","MES CORRIENTE")))</f>
        <v/>
      </c>
      <c r="AG167" s="24">
        <f>IF($AE167="",FALSE,AND($AE167&gt;p_dias_backlog_min,$AE167&lt;=p_dias_backlog_max))</f>
        <v/>
      </c>
      <c r="AH167" s="4" t="n"/>
      <c r="AI167" s="24">
        <f>IF($AH167="","",IF((IFERROR(INDEX('ASIGNACIONES'!$J$4:$J$451,MATCH($O167&amp;"|"&amp;$S167&amp;"|"&amp;$AH167,'ASIGNACIONES'!$N$4:$N$451,0)),""))=0,"",IFERROR(INDEX('ASIGNACIONES'!$J$4:$J$451,MATCH($O167&amp;"|"&amp;$S167&amp;"|"&amp;$AH167,'ASIGNACIONES'!$N$4:$N$451,0)),"")))</f>
        <v/>
      </c>
      <c r="AJ167" s="42">
        <f>IF($AH167="","",SUMIFS('ORDENES'!$M$4:$M$1203,'ORDENES'!$AH$4:$AH$1203,$AH167,'ORDENES'!$O$4:$O$1203,$O167,'ORDENES'!$S$4:$S$1203,$S167))</f>
        <v/>
      </c>
      <c r="AK167" s="42">
        <f>IF($AJ167="","",p_factor_productividad*IFERROR(INDEX('ASIGNACIONES'!$M$4:$M$451,MATCH($O167&amp;"|"&amp;$S167&amp;"|"&amp;$AH167,'ASIGNACIONES'!$N$4:$N$451,0)),0)-$AJ167)</f>
        <v/>
      </c>
      <c r="AL167" s="32">
        <f>IF($A167="","",IFERROR(INDEX('2_IMPORTAR_EJECUCION'!$F$9:$F$1208,MATCH($AU167,'2_IMPORTAR_EJECUCION'!$J$9:$J$1208,0)),0))</f>
        <v/>
      </c>
      <c r="AM167" s="32">
        <f>IF($A167="","",MAX(0,IFERROR(INDEX('2_IMPORTAR_EJECUCION'!$H$9:$H$1208,MATCH($AU167,'2_IMPORTAR_EJECUCION'!$J$9:$J$1208,0)),0)-$AL167))</f>
        <v/>
      </c>
      <c r="AN167" s="32">
        <f>IF($A167="","",$AL167+$AM167)</f>
        <v/>
      </c>
      <c r="AO167" s="24">
        <f>IF($A167="","",IF(OR((IFERROR(INDEX('CAT_ACTIVIDADES'!$D$4:$D$26,MATCH($H167,'CAT_ACTIVIDADES'!$A$4:$A$26,0)),""))=0,(IFERROR(INDEX('CAT_ACTIVIDADES'!$D$4:$D$26,MATCH($H167,'CAT_ACTIVIDADES'!$A$4:$A$26,0)),""))=""),"SIN CLASIFICAR",IFERROR(INDEX('CAT_ACTIVIDADES'!$D$4:$D$26,MATCH($H167,'CAT_ACTIVIDADES'!$A$4:$A$26,0)),"")))</f>
        <v/>
      </c>
      <c r="AP167" s="4" t="n"/>
      <c r="AQ167" s="4" t="n"/>
      <c r="AR167" s="4" t="n"/>
      <c r="AS167" s="24">
        <f>IF($AR167="","",HYPERLINK(p_ruta_base_checklists&amp;$AR167,"abrir"))</f>
        <v/>
      </c>
      <c r="AT167" s="4" t="n"/>
      <c r="AU167" s="24">
        <f>IF($A167="","",$A167&amp;IF($B167="","0010",$B167))</f>
        <v/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41" t="n"/>
      <c r="K168" s="5" t="n"/>
      <c r="L168" s="18" t="n"/>
      <c r="M168" s="24">
        <f>IF($A168="","",IFERROR(INDEX('AJUSTES'!$B$4:$B$303,MATCH($AU168,'AJUSTES'!$A$4:$A$303,0)),IF($K168="","",$K168)))</f>
        <v/>
      </c>
      <c r="N168" s="24">
        <f>IF($A168="","",IFERROR(INDEX('CAT_ESTADOS_ERP'!$B$4:$B$22,MATCH(IFERROR(INDEX('2_IMPORTAR_EJECUCION'!$C$9:$C$1208,MATCH($AU168,'2_IMPORTAR_EJECUCION'!$J$9:$J$1208,0)),""),'CAT_ESTADOS_ERP'!$A$4:$A$22,0)),"Pendiente"))</f>
        <v/>
      </c>
      <c r="O168" s="24">
        <f>IF($J168="","",YEAR($J168+4-WEEKDAY($J168,2))&amp;"-S"&amp;TEXT(_xlfn.ISOWEEKNUM($J168),"00"))</f>
        <v/>
      </c>
      <c r="P168" s="24">
        <f>IF($J168="","",YEAR($J168))</f>
        <v/>
      </c>
      <c r="Q168" s="24">
        <f>IF($J168="","",MONTH($J168))</f>
        <v/>
      </c>
      <c r="R168" s="24">
        <f>IF($J168="","",$P168&amp;"-"&amp;TEXT($Q168,"00"))</f>
        <v/>
      </c>
      <c r="S168" s="24">
        <f>IF($J168="","",INDEX(lista_dias,WEEKDAY($J168,2)))</f>
        <v/>
      </c>
      <c r="T168" s="24">
        <f>IF($J168="","",IFERROR(INDEX('CALENDARIO'!$C$15:$C$214,MATCH(TEXT($J168,"yyyy-mm-dd")&amp;"|"&amp;$Y168&amp;"|"&amp;$Z168,'CALENDARIO'!$G$15:$G$214,0)),IFERROR(INDEX('CALENDARIO'!$C$15:$C$214,MATCH(TEXT($J168,"yyyy-mm-dd")&amp;"|"&amp;$Y168&amp;"|",'CALENDARIO'!$G$15:$G$214,0)),IFERROR(INDEX('CALENDARIO'!$C$15:$C$214,MATCH(TEXT($J168,"yyyy-mm-dd")&amp;"||",'CALENDARIO'!$G$15:$G$214,0)),INDEX(patronHabil,WEEKDAY($J168,2))))))</f>
        <v/>
      </c>
      <c r="U168" s="24">
        <f>IF($I168="","",IFERROR(INDEX('CAT_TIPOS_OT'!$C$4:$C$23,MATCH($I168,'CAT_TIPOS_OT'!$A$4:$A$23,0)),"sin_clasificar"))</f>
        <v/>
      </c>
      <c r="V168" s="24">
        <f>IF($I168="","",IF(IFERROR(INDEX('CAT_TIPOS_OT'!$D$4:$D$23,MATCH($I168,'CAT_TIPOS_OT'!$A$4:$A$23,0)),"SIN CLASIFICAR")="","SIN CLASIFICAR",IFERROR(INDEX('CAT_TIPOS_OT'!$D$4:$D$23,MATCH($I168,'CAT_TIPOS_OT'!$A$4:$A$23,0)),"SIN CLASIFICAR")))</f>
        <v/>
      </c>
      <c r="W168" s="24">
        <f>IF($H168="","",IF(IFERROR(INDEX('CAT_ACTIVIDADES'!$F$4:$F$26,MATCH($H168,'CAT_ACTIVIDADES'!$A$4:$A$26,0)),"")=0,"",IFERROR(INDEX('CAT_ACTIVIDADES'!$F$4:$F$26,MATCH($H168,'CAT_ACTIVIDADES'!$A$4:$A$26,0)),"")))</f>
        <v/>
      </c>
      <c r="X168" s="24">
        <f>IF($F168="","",IFERROR(INDEX('CAT_CENTROS_COSTO'!$F$4:$F$28,MATCH($F168,'CAT_CENTROS_COSTO'!$A$4:$A$28,0)),"(sin catálogo)"))</f>
        <v/>
      </c>
      <c r="Y168" s="24">
        <f>IF($F168="","",IFERROR(INDEX('CAT_CENTROS_COSTO'!$D$4:$D$28,MATCH($F168,'CAT_CENTROS_COSTO'!$A$4:$A$28,0)),"(sin catálogo)"))</f>
        <v/>
      </c>
      <c r="Z168" s="24">
        <f>IF($F168="","",IF((IFERROR(INDEX('CAT_CENTROS_COSTO'!$E$4:$E$28,MATCH($F168,'CAT_CENTROS_COSTO'!$A$4:$A$28,0)),""))&lt;&gt;"",IFERROR(INDEX('CAT_CENTROS_COSTO'!$E$4:$E$28,MATCH($F168,'CAT_CENTROS_COSTO'!$A$4:$A$28,0)),""),$Y168))</f>
        <v/>
      </c>
      <c r="AA168" s="24">
        <f>IF($F168="","",IFERROR(INDEX('CAT_CENTROS_COSTO'!$G$4:$G$28,MATCH($F168,'CAT_CENTROS_COSTO'!$A$4:$A$28,0)),"(sin catálogo)"))</f>
        <v/>
      </c>
      <c r="AB168" s="24">
        <f>IF($G168="","",IFERROR(INDEX('CAT_PUESTOS'!$B$4:$B$23,MATCH($G168,'CAT_PUESTOS'!$A$4:$A$23,0)),"(sin catálogo)"))</f>
        <v/>
      </c>
      <c r="AC168" s="24">
        <f>IF($H168="","",IFERROR(INDEX('CAT_ACTIVIDADES'!$B$4:$B$26,MATCH($H168,'CAT_ACTIVIDADES'!$A$4:$A$26,0)),"(sin catálogo)"))</f>
        <v/>
      </c>
      <c r="AD168" s="26">
        <f>IF($J168="","",TODAY()-$J168)</f>
        <v/>
      </c>
      <c r="AE168" s="26">
        <f>IF($J168="","",IF($J168&lt;=TODAY(),COUNTIFS(cal_fechas,"&gt;="&amp;$J168,cal_fechas,"&lt;"&amp;TODAY(),cal_habil,"sí"),-COUNTIFS(cal_fechas,"&gt;="&amp;TODAY(),cal_fechas,"&lt;"&amp;$J168,cal_habil,"sí")))</f>
        <v/>
      </c>
      <c r="AF168" s="24">
        <f>IF($AE168="","",IF($AE168&lt;0,"FUTURO",IF($AE168&gt;p_dias_backlog_max,"BACKLOG","MES CORRIENTE")))</f>
        <v/>
      </c>
      <c r="AG168" s="24">
        <f>IF($AE168="",FALSE,AND($AE168&gt;p_dias_backlog_min,$AE168&lt;=p_dias_backlog_max))</f>
        <v/>
      </c>
      <c r="AH168" s="4" t="n"/>
      <c r="AI168" s="24">
        <f>IF($AH168="","",IF((IFERROR(INDEX('ASIGNACIONES'!$J$4:$J$451,MATCH($O168&amp;"|"&amp;$S168&amp;"|"&amp;$AH168,'ASIGNACIONES'!$N$4:$N$451,0)),""))=0,"",IFERROR(INDEX('ASIGNACIONES'!$J$4:$J$451,MATCH($O168&amp;"|"&amp;$S168&amp;"|"&amp;$AH168,'ASIGNACIONES'!$N$4:$N$451,0)),"")))</f>
        <v/>
      </c>
      <c r="AJ168" s="42">
        <f>IF($AH168="","",SUMIFS('ORDENES'!$M$4:$M$1203,'ORDENES'!$AH$4:$AH$1203,$AH168,'ORDENES'!$O$4:$O$1203,$O168,'ORDENES'!$S$4:$S$1203,$S168))</f>
        <v/>
      </c>
      <c r="AK168" s="42">
        <f>IF($AJ168="","",p_factor_productividad*IFERROR(INDEX('ASIGNACIONES'!$M$4:$M$451,MATCH($O168&amp;"|"&amp;$S168&amp;"|"&amp;$AH168,'ASIGNACIONES'!$N$4:$N$451,0)),0)-$AJ168)</f>
        <v/>
      </c>
      <c r="AL168" s="32">
        <f>IF($A168="","",IFERROR(INDEX('2_IMPORTAR_EJECUCION'!$F$9:$F$1208,MATCH($AU168,'2_IMPORTAR_EJECUCION'!$J$9:$J$1208,0)),0))</f>
        <v/>
      </c>
      <c r="AM168" s="32">
        <f>IF($A168="","",MAX(0,IFERROR(INDEX('2_IMPORTAR_EJECUCION'!$H$9:$H$1208,MATCH($AU168,'2_IMPORTAR_EJECUCION'!$J$9:$J$1208,0)),0)-$AL168))</f>
        <v/>
      </c>
      <c r="AN168" s="32">
        <f>IF($A168="","",$AL168+$AM168)</f>
        <v/>
      </c>
      <c r="AO168" s="24">
        <f>IF($A168="","",IF(OR((IFERROR(INDEX('CAT_ACTIVIDADES'!$D$4:$D$26,MATCH($H168,'CAT_ACTIVIDADES'!$A$4:$A$26,0)),""))=0,(IFERROR(INDEX('CAT_ACTIVIDADES'!$D$4:$D$26,MATCH($H168,'CAT_ACTIVIDADES'!$A$4:$A$26,0)),""))=""),"SIN CLASIFICAR",IFERROR(INDEX('CAT_ACTIVIDADES'!$D$4:$D$26,MATCH($H168,'CAT_ACTIVIDADES'!$A$4:$A$26,0)),"")))</f>
        <v/>
      </c>
      <c r="AP168" s="4" t="n"/>
      <c r="AQ168" s="4" t="n"/>
      <c r="AR168" s="4" t="n"/>
      <c r="AS168" s="24">
        <f>IF($AR168="","",HYPERLINK(p_ruta_base_checklists&amp;$AR168,"abrir"))</f>
        <v/>
      </c>
      <c r="AT168" s="4" t="n"/>
      <c r="AU168" s="24">
        <f>IF($A168="","",$A168&amp;IF($B168="","0010",$B168))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41" t="n"/>
      <c r="K169" s="5" t="n"/>
      <c r="L169" s="18" t="n"/>
      <c r="M169" s="24">
        <f>IF($A169="","",IFERROR(INDEX('AJUSTES'!$B$4:$B$303,MATCH($AU169,'AJUSTES'!$A$4:$A$303,0)),IF($K169="","",$K169)))</f>
        <v/>
      </c>
      <c r="N169" s="24">
        <f>IF($A169="","",IFERROR(INDEX('CAT_ESTADOS_ERP'!$B$4:$B$22,MATCH(IFERROR(INDEX('2_IMPORTAR_EJECUCION'!$C$9:$C$1208,MATCH($AU169,'2_IMPORTAR_EJECUCION'!$J$9:$J$1208,0)),""),'CAT_ESTADOS_ERP'!$A$4:$A$22,0)),"Pendiente"))</f>
        <v/>
      </c>
      <c r="O169" s="24">
        <f>IF($J169="","",YEAR($J169+4-WEEKDAY($J169,2))&amp;"-S"&amp;TEXT(_xlfn.ISOWEEKNUM($J169),"00"))</f>
        <v/>
      </c>
      <c r="P169" s="24">
        <f>IF($J169="","",YEAR($J169))</f>
        <v/>
      </c>
      <c r="Q169" s="24">
        <f>IF($J169="","",MONTH($J169))</f>
        <v/>
      </c>
      <c r="R169" s="24">
        <f>IF($J169="","",$P169&amp;"-"&amp;TEXT($Q169,"00"))</f>
        <v/>
      </c>
      <c r="S169" s="24">
        <f>IF($J169="","",INDEX(lista_dias,WEEKDAY($J169,2)))</f>
        <v/>
      </c>
      <c r="T169" s="24">
        <f>IF($J169="","",IFERROR(INDEX('CALENDARIO'!$C$15:$C$214,MATCH(TEXT($J169,"yyyy-mm-dd")&amp;"|"&amp;$Y169&amp;"|"&amp;$Z169,'CALENDARIO'!$G$15:$G$214,0)),IFERROR(INDEX('CALENDARIO'!$C$15:$C$214,MATCH(TEXT($J169,"yyyy-mm-dd")&amp;"|"&amp;$Y169&amp;"|",'CALENDARIO'!$G$15:$G$214,0)),IFERROR(INDEX('CALENDARIO'!$C$15:$C$214,MATCH(TEXT($J169,"yyyy-mm-dd")&amp;"||",'CALENDARIO'!$G$15:$G$214,0)),INDEX(patronHabil,WEEKDAY($J169,2))))))</f>
        <v/>
      </c>
      <c r="U169" s="24">
        <f>IF($I169="","",IFERROR(INDEX('CAT_TIPOS_OT'!$C$4:$C$23,MATCH($I169,'CAT_TIPOS_OT'!$A$4:$A$23,0)),"sin_clasificar"))</f>
        <v/>
      </c>
      <c r="V169" s="24">
        <f>IF($I169="","",IF(IFERROR(INDEX('CAT_TIPOS_OT'!$D$4:$D$23,MATCH($I169,'CAT_TIPOS_OT'!$A$4:$A$23,0)),"SIN CLASIFICAR")="","SIN CLASIFICAR",IFERROR(INDEX('CAT_TIPOS_OT'!$D$4:$D$23,MATCH($I169,'CAT_TIPOS_OT'!$A$4:$A$23,0)),"SIN CLASIFICAR")))</f>
        <v/>
      </c>
      <c r="W169" s="24">
        <f>IF($H169="","",IF(IFERROR(INDEX('CAT_ACTIVIDADES'!$F$4:$F$26,MATCH($H169,'CAT_ACTIVIDADES'!$A$4:$A$26,0)),"")=0,"",IFERROR(INDEX('CAT_ACTIVIDADES'!$F$4:$F$26,MATCH($H169,'CAT_ACTIVIDADES'!$A$4:$A$26,0)),"")))</f>
        <v/>
      </c>
      <c r="X169" s="24">
        <f>IF($F169="","",IFERROR(INDEX('CAT_CENTROS_COSTO'!$F$4:$F$28,MATCH($F169,'CAT_CENTROS_COSTO'!$A$4:$A$28,0)),"(sin catálogo)"))</f>
        <v/>
      </c>
      <c r="Y169" s="24">
        <f>IF($F169="","",IFERROR(INDEX('CAT_CENTROS_COSTO'!$D$4:$D$28,MATCH($F169,'CAT_CENTROS_COSTO'!$A$4:$A$28,0)),"(sin catálogo)"))</f>
        <v/>
      </c>
      <c r="Z169" s="24">
        <f>IF($F169="","",IF((IFERROR(INDEX('CAT_CENTROS_COSTO'!$E$4:$E$28,MATCH($F169,'CAT_CENTROS_COSTO'!$A$4:$A$28,0)),""))&lt;&gt;"",IFERROR(INDEX('CAT_CENTROS_COSTO'!$E$4:$E$28,MATCH($F169,'CAT_CENTROS_COSTO'!$A$4:$A$28,0)),""),$Y169))</f>
        <v/>
      </c>
      <c r="AA169" s="24">
        <f>IF($F169="","",IFERROR(INDEX('CAT_CENTROS_COSTO'!$G$4:$G$28,MATCH($F169,'CAT_CENTROS_COSTO'!$A$4:$A$28,0)),"(sin catálogo)"))</f>
        <v/>
      </c>
      <c r="AB169" s="24">
        <f>IF($G169="","",IFERROR(INDEX('CAT_PUESTOS'!$B$4:$B$23,MATCH($G169,'CAT_PUESTOS'!$A$4:$A$23,0)),"(sin catálogo)"))</f>
        <v/>
      </c>
      <c r="AC169" s="24">
        <f>IF($H169="","",IFERROR(INDEX('CAT_ACTIVIDADES'!$B$4:$B$26,MATCH($H169,'CAT_ACTIVIDADES'!$A$4:$A$26,0)),"(sin catálogo)"))</f>
        <v/>
      </c>
      <c r="AD169" s="26">
        <f>IF($J169="","",TODAY()-$J169)</f>
        <v/>
      </c>
      <c r="AE169" s="26">
        <f>IF($J169="","",IF($J169&lt;=TODAY(),COUNTIFS(cal_fechas,"&gt;="&amp;$J169,cal_fechas,"&lt;"&amp;TODAY(),cal_habil,"sí"),-COUNTIFS(cal_fechas,"&gt;="&amp;TODAY(),cal_fechas,"&lt;"&amp;$J169,cal_habil,"sí")))</f>
        <v/>
      </c>
      <c r="AF169" s="24">
        <f>IF($AE169="","",IF($AE169&lt;0,"FUTURO",IF($AE169&gt;p_dias_backlog_max,"BACKLOG","MES CORRIENTE")))</f>
        <v/>
      </c>
      <c r="AG169" s="24">
        <f>IF($AE169="",FALSE,AND($AE169&gt;p_dias_backlog_min,$AE169&lt;=p_dias_backlog_max))</f>
        <v/>
      </c>
      <c r="AH169" s="4" t="n"/>
      <c r="AI169" s="24">
        <f>IF($AH169="","",IF((IFERROR(INDEX('ASIGNACIONES'!$J$4:$J$451,MATCH($O169&amp;"|"&amp;$S169&amp;"|"&amp;$AH169,'ASIGNACIONES'!$N$4:$N$451,0)),""))=0,"",IFERROR(INDEX('ASIGNACIONES'!$J$4:$J$451,MATCH($O169&amp;"|"&amp;$S169&amp;"|"&amp;$AH169,'ASIGNACIONES'!$N$4:$N$451,0)),"")))</f>
        <v/>
      </c>
      <c r="AJ169" s="42">
        <f>IF($AH169="","",SUMIFS('ORDENES'!$M$4:$M$1203,'ORDENES'!$AH$4:$AH$1203,$AH169,'ORDENES'!$O$4:$O$1203,$O169,'ORDENES'!$S$4:$S$1203,$S169))</f>
        <v/>
      </c>
      <c r="AK169" s="42">
        <f>IF($AJ169="","",p_factor_productividad*IFERROR(INDEX('ASIGNACIONES'!$M$4:$M$451,MATCH($O169&amp;"|"&amp;$S169&amp;"|"&amp;$AH169,'ASIGNACIONES'!$N$4:$N$451,0)),0)-$AJ169)</f>
        <v/>
      </c>
      <c r="AL169" s="32">
        <f>IF($A169="","",IFERROR(INDEX('2_IMPORTAR_EJECUCION'!$F$9:$F$1208,MATCH($AU169,'2_IMPORTAR_EJECUCION'!$J$9:$J$1208,0)),0))</f>
        <v/>
      </c>
      <c r="AM169" s="32">
        <f>IF($A169="","",MAX(0,IFERROR(INDEX('2_IMPORTAR_EJECUCION'!$H$9:$H$1208,MATCH($AU169,'2_IMPORTAR_EJECUCION'!$J$9:$J$1208,0)),0)-$AL169))</f>
        <v/>
      </c>
      <c r="AN169" s="32">
        <f>IF($A169="","",$AL169+$AM169)</f>
        <v/>
      </c>
      <c r="AO169" s="24">
        <f>IF($A169="","",IF(OR((IFERROR(INDEX('CAT_ACTIVIDADES'!$D$4:$D$26,MATCH($H169,'CAT_ACTIVIDADES'!$A$4:$A$26,0)),""))=0,(IFERROR(INDEX('CAT_ACTIVIDADES'!$D$4:$D$26,MATCH($H169,'CAT_ACTIVIDADES'!$A$4:$A$26,0)),""))=""),"SIN CLASIFICAR",IFERROR(INDEX('CAT_ACTIVIDADES'!$D$4:$D$26,MATCH($H169,'CAT_ACTIVIDADES'!$A$4:$A$26,0)),"")))</f>
        <v/>
      </c>
      <c r="AP169" s="4" t="n"/>
      <c r="AQ169" s="4" t="n"/>
      <c r="AR169" s="4" t="n"/>
      <c r="AS169" s="24">
        <f>IF($AR169="","",HYPERLINK(p_ruta_base_checklists&amp;$AR169,"abrir"))</f>
        <v/>
      </c>
      <c r="AT169" s="4" t="n"/>
      <c r="AU169" s="24">
        <f>IF($A169="","",$A169&amp;IF($B169="","0010",$B169))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41" t="n"/>
      <c r="K170" s="5" t="n"/>
      <c r="L170" s="18" t="n"/>
      <c r="M170" s="24">
        <f>IF($A170="","",IFERROR(INDEX('AJUSTES'!$B$4:$B$303,MATCH($AU170,'AJUSTES'!$A$4:$A$303,0)),IF($K170="","",$K170)))</f>
        <v/>
      </c>
      <c r="N170" s="24">
        <f>IF($A170="","",IFERROR(INDEX('CAT_ESTADOS_ERP'!$B$4:$B$22,MATCH(IFERROR(INDEX('2_IMPORTAR_EJECUCION'!$C$9:$C$1208,MATCH($AU170,'2_IMPORTAR_EJECUCION'!$J$9:$J$1208,0)),""),'CAT_ESTADOS_ERP'!$A$4:$A$22,0)),"Pendiente"))</f>
        <v/>
      </c>
      <c r="O170" s="24">
        <f>IF($J170="","",YEAR($J170+4-WEEKDAY($J170,2))&amp;"-S"&amp;TEXT(_xlfn.ISOWEEKNUM($J170),"00"))</f>
        <v/>
      </c>
      <c r="P170" s="24">
        <f>IF($J170="","",YEAR($J170))</f>
        <v/>
      </c>
      <c r="Q170" s="24">
        <f>IF($J170="","",MONTH($J170))</f>
        <v/>
      </c>
      <c r="R170" s="24">
        <f>IF($J170="","",$P170&amp;"-"&amp;TEXT($Q170,"00"))</f>
        <v/>
      </c>
      <c r="S170" s="24">
        <f>IF($J170="","",INDEX(lista_dias,WEEKDAY($J170,2)))</f>
        <v/>
      </c>
      <c r="T170" s="24">
        <f>IF($J170="","",IFERROR(INDEX('CALENDARIO'!$C$15:$C$214,MATCH(TEXT($J170,"yyyy-mm-dd")&amp;"|"&amp;$Y170&amp;"|"&amp;$Z170,'CALENDARIO'!$G$15:$G$214,0)),IFERROR(INDEX('CALENDARIO'!$C$15:$C$214,MATCH(TEXT($J170,"yyyy-mm-dd")&amp;"|"&amp;$Y170&amp;"|",'CALENDARIO'!$G$15:$G$214,0)),IFERROR(INDEX('CALENDARIO'!$C$15:$C$214,MATCH(TEXT($J170,"yyyy-mm-dd")&amp;"||",'CALENDARIO'!$G$15:$G$214,0)),INDEX(patronHabil,WEEKDAY($J170,2))))))</f>
        <v/>
      </c>
      <c r="U170" s="24">
        <f>IF($I170="","",IFERROR(INDEX('CAT_TIPOS_OT'!$C$4:$C$23,MATCH($I170,'CAT_TIPOS_OT'!$A$4:$A$23,0)),"sin_clasificar"))</f>
        <v/>
      </c>
      <c r="V170" s="24">
        <f>IF($I170="","",IF(IFERROR(INDEX('CAT_TIPOS_OT'!$D$4:$D$23,MATCH($I170,'CAT_TIPOS_OT'!$A$4:$A$23,0)),"SIN CLASIFICAR")="","SIN CLASIFICAR",IFERROR(INDEX('CAT_TIPOS_OT'!$D$4:$D$23,MATCH($I170,'CAT_TIPOS_OT'!$A$4:$A$23,0)),"SIN CLASIFICAR")))</f>
        <v/>
      </c>
      <c r="W170" s="24">
        <f>IF($H170="","",IF(IFERROR(INDEX('CAT_ACTIVIDADES'!$F$4:$F$26,MATCH($H170,'CAT_ACTIVIDADES'!$A$4:$A$26,0)),"")=0,"",IFERROR(INDEX('CAT_ACTIVIDADES'!$F$4:$F$26,MATCH($H170,'CAT_ACTIVIDADES'!$A$4:$A$26,0)),"")))</f>
        <v/>
      </c>
      <c r="X170" s="24">
        <f>IF($F170="","",IFERROR(INDEX('CAT_CENTROS_COSTO'!$F$4:$F$28,MATCH($F170,'CAT_CENTROS_COSTO'!$A$4:$A$28,0)),"(sin catálogo)"))</f>
        <v/>
      </c>
      <c r="Y170" s="24">
        <f>IF($F170="","",IFERROR(INDEX('CAT_CENTROS_COSTO'!$D$4:$D$28,MATCH($F170,'CAT_CENTROS_COSTO'!$A$4:$A$28,0)),"(sin catálogo)"))</f>
        <v/>
      </c>
      <c r="Z170" s="24">
        <f>IF($F170="","",IF((IFERROR(INDEX('CAT_CENTROS_COSTO'!$E$4:$E$28,MATCH($F170,'CAT_CENTROS_COSTO'!$A$4:$A$28,0)),""))&lt;&gt;"",IFERROR(INDEX('CAT_CENTROS_COSTO'!$E$4:$E$28,MATCH($F170,'CAT_CENTROS_COSTO'!$A$4:$A$28,0)),""),$Y170))</f>
        <v/>
      </c>
      <c r="AA170" s="24">
        <f>IF($F170="","",IFERROR(INDEX('CAT_CENTROS_COSTO'!$G$4:$G$28,MATCH($F170,'CAT_CENTROS_COSTO'!$A$4:$A$28,0)),"(sin catálogo)"))</f>
        <v/>
      </c>
      <c r="AB170" s="24">
        <f>IF($G170="","",IFERROR(INDEX('CAT_PUESTOS'!$B$4:$B$23,MATCH($G170,'CAT_PUESTOS'!$A$4:$A$23,0)),"(sin catálogo)"))</f>
        <v/>
      </c>
      <c r="AC170" s="24">
        <f>IF($H170="","",IFERROR(INDEX('CAT_ACTIVIDADES'!$B$4:$B$26,MATCH($H170,'CAT_ACTIVIDADES'!$A$4:$A$26,0)),"(sin catálogo)"))</f>
        <v/>
      </c>
      <c r="AD170" s="26">
        <f>IF($J170="","",TODAY()-$J170)</f>
        <v/>
      </c>
      <c r="AE170" s="26">
        <f>IF($J170="","",IF($J170&lt;=TODAY(),COUNTIFS(cal_fechas,"&gt;="&amp;$J170,cal_fechas,"&lt;"&amp;TODAY(),cal_habil,"sí"),-COUNTIFS(cal_fechas,"&gt;="&amp;TODAY(),cal_fechas,"&lt;"&amp;$J170,cal_habil,"sí")))</f>
        <v/>
      </c>
      <c r="AF170" s="24">
        <f>IF($AE170="","",IF($AE170&lt;0,"FUTURO",IF($AE170&gt;p_dias_backlog_max,"BACKLOG","MES CORRIENTE")))</f>
        <v/>
      </c>
      <c r="AG170" s="24">
        <f>IF($AE170="",FALSE,AND($AE170&gt;p_dias_backlog_min,$AE170&lt;=p_dias_backlog_max))</f>
        <v/>
      </c>
      <c r="AH170" s="4" t="n"/>
      <c r="AI170" s="24">
        <f>IF($AH170="","",IF((IFERROR(INDEX('ASIGNACIONES'!$J$4:$J$451,MATCH($O170&amp;"|"&amp;$S170&amp;"|"&amp;$AH170,'ASIGNACIONES'!$N$4:$N$451,0)),""))=0,"",IFERROR(INDEX('ASIGNACIONES'!$J$4:$J$451,MATCH($O170&amp;"|"&amp;$S170&amp;"|"&amp;$AH170,'ASIGNACIONES'!$N$4:$N$451,0)),"")))</f>
        <v/>
      </c>
      <c r="AJ170" s="42">
        <f>IF($AH170="","",SUMIFS('ORDENES'!$M$4:$M$1203,'ORDENES'!$AH$4:$AH$1203,$AH170,'ORDENES'!$O$4:$O$1203,$O170,'ORDENES'!$S$4:$S$1203,$S170))</f>
        <v/>
      </c>
      <c r="AK170" s="42">
        <f>IF($AJ170="","",p_factor_productividad*IFERROR(INDEX('ASIGNACIONES'!$M$4:$M$451,MATCH($O170&amp;"|"&amp;$S170&amp;"|"&amp;$AH170,'ASIGNACIONES'!$N$4:$N$451,0)),0)-$AJ170)</f>
        <v/>
      </c>
      <c r="AL170" s="32">
        <f>IF($A170="","",IFERROR(INDEX('2_IMPORTAR_EJECUCION'!$F$9:$F$1208,MATCH($AU170,'2_IMPORTAR_EJECUCION'!$J$9:$J$1208,0)),0))</f>
        <v/>
      </c>
      <c r="AM170" s="32">
        <f>IF($A170="","",MAX(0,IFERROR(INDEX('2_IMPORTAR_EJECUCION'!$H$9:$H$1208,MATCH($AU170,'2_IMPORTAR_EJECUCION'!$J$9:$J$1208,0)),0)-$AL170))</f>
        <v/>
      </c>
      <c r="AN170" s="32">
        <f>IF($A170="","",$AL170+$AM170)</f>
        <v/>
      </c>
      <c r="AO170" s="24">
        <f>IF($A170="","",IF(OR((IFERROR(INDEX('CAT_ACTIVIDADES'!$D$4:$D$26,MATCH($H170,'CAT_ACTIVIDADES'!$A$4:$A$26,0)),""))=0,(IFERROR(INDEX('CAT_ACTIVIDADES'!$D$4:$D$26,MATCH($H170,'CAT_ACTIVIDADES'!$A$4:$A$26,0)),""))=""),"SIN CLASIFICAR",IFERROR(INDEX('CAT_ACTIVIDADES'!$D$4:$D$26,MATCH($H170,'CAT_ACTIVIDADES'!$A$4:$A$26,0)),"")))</f>
        <v/>
      </c>
      <c r="AP170" s="4" t="n"/>
      <c r="AQ170" s="4" t="n"/>
      <c r="AR170" s="4" t="n"/>
      <c r="AS170" s="24">
        <f>IF($AR170="","",HYPERLINK(p_ruta_base_checklists&amp;$AR170,"abrir"))</f>
        <v/>
      </c>
      <c r="AT170" s="4" t="n"/>
      <c r="AU170" s="24">
        <f>IF($A170="","",$A170&amp;IF($B170="","0010",$B170))</f>
        <v/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41" t="n"/>
      <c r="K171" s="5" t="n"/>
      <c r="L171" s="18" t="n"/>
      <c r="M171" s="24">
        <f>IF($A171="","",IFERROR(INDEX('AJUSTES'!$B$4:$B$303,MATCH($AU171,'AJUSTES'!$A$4:$A$303,0)),IF($K171="","",$K171)))</f>
        <v/>
      </c>
      <c r="N171" s="24">
        <f>IF($A171="","",IFERROR(INDEX('CAT_ESTADOS_ERP'!$B$4:$B$22,MATCH(IFERROR(INDEX('2_IMPORTAR_EJECUCION'!$C$9:$C$1208,MATCH($AU171,'2_IMPORTAR_EJECUCION'!$J$9:$J$1208,0)),""),'CAT_ESTADOS_ERP'!$A$4:$A$22,0)),"Pendiente"))</f>
        <v/>
      </c>
      <c r="O171" s="24">
        <f>IF($J171="","",YEAR($J171+4-WEEKDAY($J171,2))&amp;"-S"&amp;TEXT(_xlfn.ISOWEEKNUM($J171),"00"))</f>
        <v/>
      </c>
      <c r="P171" s="24">
        <f>IF($J171="","",YEAR($J171))</f>
        <v/>
      </c>
      <c r="Q171" s="24">
        <f>IF($J171="","",MONTH($J171))</f>
        <v/>
      </c>
      <c r="R171" s="24">
        <f>IF($J171="","",$P171&amp;"-"&amp;TEXT($Q171,"00"))</f>
        <v/>
      </c>
      <c r="S171" s="24">
        <f>IF($J171="","",INDEX(lista_dias,WEEKDAY($J171,2)))</f>
        <v/>
      </c>
      <c r="T171" s="24">
        <f>IF($J171="","",IFERROR(INDEX('CALENDARIO'!$C$15:$C$214,MATCH(TEXT($J171,"yyyy-mm-dd")&amp;"|"&amp;$Y171&amp;"|"&amp;$Z171,'CALENDARIO'!$G$15:$G$214,0)),IFERROR(INDEX('CALENDARIO'!$C$15:$C$214,MATCH(TEXT($J171,"yyyy-mm-dd")&amp;"|"&amp;$Y171&amp;"|",'CALENDARIO'!$G$15:$G$214,0)),IFERROR(INDEX('CALENDARIO'!$C$15:$C$214,MATCH(TEXT($J171,"yyyy-mm-dd")&amp;"||",'CALENDARIO'!$G$15:$G$214,0)),INDEX(patronHabil,WEEKDAY($J171,2))))))</f>
        <v/>
      </c>
      <c r="U171" s="24">
        <f>IF($I171="","",IFERROR(INDEX('CAT_TIPOS_OT'!$C$4:$C$23,MATCH($I171,'CAT_TIPOS_OT'!$A$4:$A$23,0)),"sin_clasificar"))</f>
        <v/>
      </c>
      <c r="V171" s="24">
        <f>IF($I171="","",IF(IFERROR(INDEX('CAT_TIPOS_OT'!$D$4:$D$23,MATCH($I171,'CAT_TIPOS_OT'!$A$4:$A$23,0)),"SIN CLASIFICAR")="","SIN CLASIFICAR",IFERROR(INDEX('CAT_TIPOS_OT'!$D$4:$D$23,MATCH($I171,'CAT_TIPOS_OT'!$A$4:$A$23,0)),"SIN CLASIFICAR")))</f>
        <v/>
      </c>
      <c r="W171" s="24">
        <f>IF($H171="","",IF(IFERROR(INDEX('CAT_ACTIVIDADES'!$F$4:$F$26,MATCH($H171,'CAT_ACTIVIDADES'!$A$4:$A$26,0)),"")=0,"",IFERROR(INDEX('CAT_ACTIVIDADES'!$F$4:$F$26,MATCH($H171,'CAT_ACTIVIDADES'!$A$4:$A$26,0)),"")))</f>
        <v/>
      </c>
      <c r="X171" s="24">
        <f>IF($F171="","",IFERROR(INDEX('CAT_CENTROS_COSTO'!$F$4:$F$28,MATCH($F171,'CAT_CENTROS_COSTO'!$A$4:$A$28,0)),"(sin catálogo)"))</f>
        <v/>
      </c>
      <c r="Y171" s="24">
        <f>IF($F171="","",IFERROR(INDEX('CAT_CENTROS_COSTO'!$D$4:$D$28,MATCH($F171,'CAT_CENTROS_COSTO'!$A$4:$A$28,0)),"(sin catálogo)"))</f>
        <v/>
      </c>
      <c r="Z171" s="24">
        <f>IF($F171="","",IF((IFERROR(INDEX('CAT_CENTROS_COSTO'!$E$4:$E$28,MATCH($F171,'CAT_CENTROS_COSTO'!$A$4:$A$28,0)),""))&lt;&gt;"",IFERROR(INDEX('CAT_CENTROS_COSTO'!$E$4:$E$28,MATCH($F171,'CAT_CENTROS_COSTO'!$A$4:$A$28,0)),""),$Y171))</f>
        <v/>
      </c>
      <c r="AA171" s="24">
        <f>IF($F171="","",IFERROR(INDEX('CAT_CENTROS_COSTO'!$G$4:$G$28,MATCH($F171,'CAT_CENTROS_COSTO'!$A$4:$A$28,0)),"(sin catálogo)"))</f>
        <v/>
      </c>
      <c r="AB171" s="24">
        <f>IF($G171="","",IFERROR(INDEX('CAT_PUESTOS'!$B$4:$B$23,MATCH($G171,'CAT_PUESTOS'!$A$4:$A$23,0)),"(sin catálogo)"))</f>
        <v/>
      </c>
      <c r="AC171" s="24">
        <f>IF($H171="","",IFERROR(INDEX('CAT_ACTIVIDADES'!$B$4:$B$26,MATCH($H171,'CAT_ACTIVIDADES'!$A$4:$A$26,0)),"(sin catálogo)"))</f>
        <v/>
      </c>
      <c r="AD171" s="26">
        <f>IF($J171="","",TODAY()-$J171)</f>
        <v/>
      </c>
      <c r="AE171" s="26">
        <f>IF($J171="","",IF($J171&lt;=TODAY(),COUNTIFS(cal_fechas,"&gt;="&amp;$J171,cal_fechas,"&lt;"&amp;TODAY(),cal_habil,"sí"),-COUNTIFS(cal_fechas,"&gt;="&amp;TODAY(),cal_fechas,"&lt;"&amp;$J171,cal_habil,"sí")))</f>
        <v/>
      </c>
      <c r="AF171" s="24">
        <f>IF($AE171="","",IF($AE171&lt;0,"FUTURO",IF($AE171&gt;p_dias_backlog_max,"BACKLOG","MES CORRIENTE")))</f>
        <v/>
      </c>
      <c r="AG171" s="24">
        <f>IF($AE171="",FALSE,AND($AE171&gt;p_dias_backlog_min,$AE171&lt;=p_dias_backlog_max))</f>
        <v/>
      </c>
      <c r="AH171" s="4" t="n"/>
      <c r="AI171" s="24">
        <f>IF($AH171="","",IF((IFERROR(INDEX('ASIGNACIONES'!$J$4:$J$451,MATCH($O171&amp;"|"&amp;$S171&amp;"|"&amp;$AH171,'ASIGNACIONES'!$N$4:$N$451,0)),""))=0,"",IFERROR(INDEX('ASIGNACIONES'!$J$4:$J$451,MATCH($O171&amp;"|"&amp;$S171&amp;"|"&amp;$AH171,'ASIGNACIONES'!$N$4:$N$451,0)),"")))</f>
        <v/>
      </c>
      <c r="AJ171" s="42">
        <f>IF($AH171="","",SUMIFS('ORDENES'!$M$4:$M$1203,'ORDENES'!$AH$4:$AH$1203,$AH171,'ORDENES'!$O$4:$O$1203,$O171,'ORDENES'!$S$4:$S$1203,$S171))</f>
        <v/>
      </c>
      <c r="AK171" s="42">
        <f>IF($AJ171="","",p_factor_productividad*IFERROR(INDEX('ASIGNACIONES'!$M$4:$M$451,MATCH($O171&amp;"|"&amp;$S171&amp;"|"&amp;$AH171,'ASIGNACIONES'!$N$4:$N$451,0)),0)-$AJ171)</f>
        <v/>
      </c>
      <c r="AL171" s="32">
        <f>IF($A171="","",IFERROR(INDEX('2_IMPORTAR_EJECUCION'!$F$9:$F$1208,MATCH($AU171,'2_IMPORTAR_EJECUCION'!$J$9:$J$1208,0)),0))</f>
        <v/>
      </c>
      <c r="AM171" s="32">
        <f>IF($A171="","",MAX(0,IFERROR(INDEX('2_IMPORTAR_EJECUCION'!$H$9:$H$1208,MATCH($AU171,'2_IMPORTAR_EJECUCION'!$J$9:$J$1208,0)),0)-$AL171))</f>
        <v/>
      </c>
      <c r="AN171" s="32">
        <f>IF($A171="","",$AL171+$AM171)</f>
        <v/>
      </c>
      <c r="AO171" s="24">
        <f>IF($A171="","",IF(OR((IFERROR(INDEX('CAT_ACTIVIDADES'!$D$4:$D$26,MATCH($H171,'CAT_ACTIVIDADES'!$A$4:$A$26,0)),""))=0,(IFERROR(INDEX('CAT_ACTIVIDADES'!$D$4:$D$26,MATCH($H171,'CAT_ACTIVIDADES'!$A$4:$A$26,0)),""))=""),"SIN CLASIFICAR",IFERROR(INDEX('CAT_ACTIVIDADES'!$D$4:$D$26,MATCH($H171,'CAT_ACTIVIDADES'!$A$4:$A$26,0)),"")))</f>
        <v/>
      </c>
      <c r="AP171" s="4" t="n"/>
      <c r="AQ171" s="4" t="n"/>
      <c r="AR171" s="4" t="n"/>
      <c r="AS171" s="24">
        <f>IF($AR171="","",HYPERLINK(p_ruta_base_checklists&amp;$AR171,"abrir"))</f>
        <v/>
      </c>
      <c r="AT171" s="4" t="n"/>
      <c r="AU171" s="24">
        <f>IF($A171="","",$A171&amp;IF($B171="","0010",$B171))</f>
        <v/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41" t="n"/>
      <c r="K172" s="5" t="n"/>
      <c r="L172" s="18" t="n"/>
      <c r="M172" s="24">
        <f>IF($A172="","",IFERROR(INDEX('AJUSTES'!$B$4:$B$303,MATCH($AU172,'AJUSTES'!$A$4:$A$303,0)),IF($K172="","",$K172)))</f>
        <v/>
      </c>
      <c r="N172" s="24">
        <f>IF($A172="","",IFERROR(INDEX('CAT_ESTADOS_ERP'!$B$4:$B$22,MATCH(IFERROR(INDEX('2_IMPORTAR_EJECUCION'!$C$9:$C$1208,MATCH($AU172,'2_IMPORTAR_EJECUCION'!$J$9:$J$1208,0)),""),'CAT_ESTADOS_ERP'!$A$4:$A$22,0)),"Pendiente"))</f>
        <v/>
      </c>
      <c r="O172" s="24">
        <f>IF($J172="","",YEAR($J172+4-WEEKDAY($J172,2))&amp;"-S"&amp;TEXT(_xlfn.ISOWEEKNUM($J172),"00"))</f>
        <v/>
      </c>
      <c r="P172" s="24">
        <f>IF($J172="","",YEAR($J172))</f>
        <v/>
      </c>
      <c r="Q172" s="24">
        <f>IF($J172="","",MONTH($J172))</f>
        <v/>
      </c>
      <c r="R172" s="24">
        <f>IF($J172="","",$P172&amp;"-"&amp;TEXT($Q172,"00"))</f>
        <v/>
      </c>
      <c r="S172" s="24">
        <f>IF($J172="","",INDEX(lista_dias,WEEKDAY($J172,2)))</f>
        <v/>
      </c>
      <c r="T172" s="24">
        <f>IF($J172="","",IFERROR(INDEX('CALENDARIO'!$C$15:$C$214,MATCH(TEXT($J172,"yyyy-mm-dd")&amp;"|"&amp;$Y172&amp;"|"&amp;$Z172,'CALENDARIO'!$G$15:$G$214,0)),IFERROR(INDEX('CALENDARIO'!$C$15:$C$214,MATCH(TEXT($J172,"yyyy-mm-dd")&amp;"|"&amp;$Y172&amp;"|",'CALENDARIO'!$G$15:$G$214,0)),IFERROR(INDEX('CALENDARIO'!$C$15:$C$214,MATCH(TEXT($J172,"yyyy-mm-dd")&amp;"||",'CALENDARIO'!$G$15:$G$214,0)),INDEX(patronHabil,WEEKDAY($J172,2))))))</f>
        <v/>
      </c>
      <c r="U172" s="24">
        <f>IF($I172="","",IFERROR(INDEX('CAT_TIPOS_OT'!$C$4:$C$23,MATCH($I172,'CAT_TIPOS_OT'!$A$4:$A$23,0)),"sin_clasificar"))</f>
        <v/>
      </c>
      <c r="V172" s="24">
        <f>IF($I172="","",IF(IFERROR(INDEX('CAT_TIPOS_OT'!$D$4:$D$23,MATCH($I172,'CAT_TIPOS_OT'!$A$4:$A$23,0)),"SIN CLASIFICAR")="","SIN CLASIFICAR",IFERROR(INDEX('CAT_TIPOS_OT'!$D$4:$D$23,MATCH($I172,'CAT_TIPOS_OT'!$A$4:$A$23,0)),"SIN CLASIFICAR")))</f>
        <v/>
      </c>
      <c r="W172" s="24">
        <f>IF($H172="","",IF(IFERROR(INDEX('CAT_ACTIVIDADES'!$F$4:$F$26,MATCH($H172,'CAT_ACTIVIDADES'!$A$4:$A$26,0)),"")=0,"",IFERROR(INDEX('CAT_ACTIVIDADES'!$F$4:$F$26,MATCH($H172,'CAT_ACTIVIDADES'!$A$4:$A$26,0)),"")))</f>
        <v/>
      </c>
      <c r="X172" s="24">
        <f>IF($F172="","",IFERROR(INDEX('CAT_CENTROS_COSTO'!$F$4:$F$28,MATCH($F172,'CAT_CENTROS_COSTO'!$A$4:$A$28,0)),"(sin catálogo)"))</f>
        <v/>
      </c>
      <c r="Y172" s="24">
        <f>IF($F172="","",IFERROR(INDEX('CAT_CENTROS_COSTO'!$D$4:$D$28,MATCH($F172,'CAT_CENTROS_COSTO'!$A$4:$A$28,0)),"(sin catálogo)"))</f>
        <v/>
      </c>
      <c r="Z172" s="24">
        <f>IF($F172="","",IF((IFERROR(INDEX('CAT_CENTROS_COSTO'!$E$4:$E$28,MATCH($F172,'CAT_CENTROS_COSTO'!$A$4:$A$28,0)),""))&lt;&gt;"",IFERROR(INDEX('CAT_CENTROS_COSTO'!$E$4:$E$28,MATCH($F172,'CAT_CENTROS_COSTO'!$A$4:$A$28,0)),""),$Y172))</f>
        <v/>
      </c>
      <c r="AA172" s="24">
        <f>IF($F172="","",IFERROR(INDEX('CAT_CENTROS_COSTO'!$G$4:$G$28,MATCH($F172,'CAT_CENTROS_COSTO'!$A$4:$A$28,0)),"(sin catálogo)"))</f>
        <v/>
      </c>
      <c r="AB172" s="24">
        <f>IF($G172="","",IFERROR(INDEX('CAT_PUESTOS'!$B$4:$B$23,MATCH($G172,'CAT_PUESTOS'!$A$4:$A$23,0)),"(sin catálogo)"))</f>
        <v/>
      </c>
      <c r="AC172" s="24">
        <f>IF($H172="","",IFERROR(INDEX('CAT_ACTIVIDADES'!$B$4:$B$26,MATCH($H172,'CAT_ACTIVIDADES'!$A$4:$A$26,0)),"(sin catálogo)"))</f>
        <v/>
      </c>
      <c r="AD172" s="26">
        <f>IF($J172="","",TODAY()-$J172)</f>
        <v/>
      </c>
      <c r="AE172" s="26">
        <f>IF($J172="","",IF($J172&lt;=TODAY(),COUNTIFS(cal_fechas,"&gt;="&amp;$J172,cal_fechas,"&lt;"&amp;TODAY(),cal_habil,"sí"),-COUNTIFS(cal_fechas,"&gt;="&amp;TODAY(),cal_fechas,"&lt;"&amp;$J172,cal_habil,"sí")))</f>
        <v/>
      </c>
      <c r="AF172" s="24">
        <f>IF($AE172="","",IF($AE172&lt;0,"FUTURO",IF($AE172&gt;p_dias_backlog_max,"BACKLOG","MES CORRIENTE")))</f>
        <v/>
      </c>
      <c r="AG172" s="24">
        <f>IF($AE172="",FALSE,AND($AE172&gt;p_dias_backlog_min,$AE172&lt;=p_dias_backlog_max))</f>
        <v/>
      </c>
      <c r="AH172" s="4" t="n"/>
      <c r="AI172" s="24">
        <f>IF($AH172="","",IF((IFERROR(INDEX('ASIGNACIONES'!$J$4:$J$451,MATCH($O172&amp;"|"&amp;$S172&amp;"|"&amp;$AH172,'ASIGNACIONES'!$N$4:$N$451,0)),""))=0,"",IFERROR(INDEX('ASIGNACIONES'!$J$4:$J$451,MATCH($O172&amp;"|"&amp;$S172&amp;"|"&amp;$AH172,'ASIGNACIONES'!$N$4:$N$451,0)),"")))</f>
        <v/>
      </c>
      <c r="AJ172" s="42">
        <f>IF($AH172="","",SUMIFS('ORDENES'!$M$4:$M$1203,'ORDENES'!$AH$4:$AH$1203,$AH172,'ORDENES'!$O$4:$O$1203,$O172,'ORDENES'!$S$4:$S$1203,$S172))</f>
        <v/>
      </c>
      <c r="AK172" s="42">
        <f>IF($AJ172="","",p_factor_productividad*IFERROR(INDEX('ASIGNACIONES'!$M$4:$M$451,MATCH($O172&amp;"|"&amp;$S172&amp;"|"&amp;$AH172,'ASIGNACIONES'!$N$4:$N$451,0)),0)-$AJ172)</f>
        <v/>
      </c>
      <c r="AL172" s="32">
        <f>IF($A172="","",IFERROR(INDEX('2_IMPORTAR_EJECUCION'!$F$9:$F$1208,MATCH($AU172,'2_IMPORTAR_EJECUCION'!$J$9:$J$1208,0)),0))</f>
        <v/>
      </c>
      <c r="AM172" s="32">
        <f>IF($A172="","",MAX(0,IFERROR(INDEX('2_IMPORTAR_EJECUCION'!$H$9:$H$1208,MATCH($AU172,'2_IMPORTAR_EJECUCION'!$J$9:$J$1208,0)),0)-$AL172))</f>
        <v/>
      </c>
      <c r="AN172" s="32">
        <f>IF($A172="","",$AL172+$AM172)</f>
        <v/>
      </c>
      <c r="AO172" s="24">
        <f>IF($A172="","",IF(OR((IFERROR(INDEX('CAT_ACTIVIDADES'!$D$4:$D$26,MATCH($H172,'CAT_ACTIVIDADES'!$A$4:$A$26,0)),""))=0,(IFERROR(INDEX('CAT_ACTIVIDADES'!$D$4:$D$26,MATCH($H172,'CAT_ACTIVIDADES'!$A$4:$A$26,0)),""))=""),"SIN CLASIFICAR",IFERROR(INDEX('CAT_ACTIVIDADES'!$D$4:$D$26,MATCH($H172,'CAT_ACTIVIDADES'!$A$4:$A$26,0)),"")))</f>
        <v/>
      </c>
      <c r="AP172" s="4" t="n"/>
      <c r="AQ172" s="4" t="n"/>
      <c r="AR172" s="4" t="n"/>
      <c r="AS172" s="24">
        <f>IF($AR172="","",HYPERLINK(p_ruta_base_checklists&amp;$AR172,"abrir"))</f>
        <v/>
      </c>
      <c r="AT172" s="4" t="n"/>
      <c r="AU172" s="24">
        <f>IF($A172="","",$A172&amp;IF($B172="","0010",$B172))</f>
        <v/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41" t="n"/>
      <c r="K173" s="5" t="n"/>
      <c r="L173" s="18" t="n"/>
      <c r="M173" s="24">
        <f>IF($A173="","",IFERROR(INDEX('AJUSTES'!$B$4:$B$303,MATCH($AU173,'AJUSTES'!$A$4:$A$303,0)),IF($K173="","",$K173)))</f>
        <v/>
      </c>
      <c r="N173" s="24">
        <f>IF($A173="","",IFERROR(INDEX('CAT_ESTADOS_ERP'!$B$4:$B$22,MATCH(IFERROR(INDEX('2_IMPORTAR_EJECUCION'!$C$9:$C$1208,MATCH($AU173,'2_IMPORTAR_EJECUCION'!$J$9:$J$1208,0)),""),'CAT_ESTADOS_ERP'!$A$4:$A$22,0)),"Pendiente"))</f>
        <v/>
      </c>
      <c r="O173" s="24">
        <f>IF($J173="","",YEAR($J173+4-WEEKDAY($J173,2))&amp;"-S"&amp;TEXT(_xlfn.ISOWEEKNUM($J173),"00"))</f>
        <v/>
      </c>
      <c r="P173" s="24">
        <f>IF($J173="","",YEAR($J173))</f>
        <v/>
      </c>
      <c r="Q173" s="24">
        <f>IF($J173="","",MONTH($J173))</f>
        <v/>
      </c>
      <c r="R173" s="24">
        <f>IF($J173="","",$P173&amp;"-"&amp;TEXT($Q173,"00"))</f>
        <v/>
      </c>
      <c r="S173" s="24">
        <f>IF($J173="","",INDEX(lista_dias,WEEKDAY($J173,2)))</f>
        <v/>
      </c>
      <c r="T173" s="24">
        <f>IF($J173="","",IFERROR(INDEX('CALENDARIO'!$C$15:$C$214,MATCH(TEXT($J173,"yyyy-mm-dd")&amp;"|"&amp;$Y173&amp;"|"&amp;$Z173,'CALENDARIO'!$G$15:$G$214,0)),IFERROR(INDEX('CALENDARIO'!$C$15:$C$214,MATCH(TEXT($J173,"yyyy-mm-dd")&amp;"|"&amp;$Y173&amp;"|",'CALENDARIO'!$G$15:$G$214,0)),IFERROR(INDEX('CALENDARIO'!$C$15:$C$214,MATCH(TEXT($J173,"yyyy-mm-dd")&amp;"||",'CALENDARIO'!$G$15:$G$214,0)),INDEX(patronHabil,WEEKDAY($J173,2))))))</f>
        <v/>
      </c>
      <c r="U173" s="24">
        <f>IF($I173="","",IFERROR(INDEX('CAT_TIPOS_OT'!$C$4:$C$23,MATCH($I173,'CAT_TIPOS_OT'!$A$4:$A$23,0)),"sin_clasificar"))</f>
        <v/>
      </c>
      <c r="V173" s="24">
        <f>IF($I173="","",IF(IFERROR(INDEX('CAT_TIPOS_OT'!$D$4:$D$23,MATCH($I173,'CAT_TIPOS_OT'!$A$4:$A$23,0)),"SIN CLASIFICAR")="","SIN CLASIFICAR",IFERROR(INDEX('CAT_TIPOS_OT'!$D$4:$D$23,MATCH($I173,'CAT_TIPOS_OT'!$A$4:$A$23,0)),"SIN CLASIFICAR")))</f>
        <v/>
      </c>
      <c r="W173" s="24">
        <f>IF($H173="","",IF(IFERROR(INDEX('CAT_ACTIVIDADES'!$F$4:$F$26,MATCH($H173,'CAT_ACTIVIDADES'!$A$4:$A$26,0)),"")=0,"",IFERROR(INDEX('CAT_ACTIVIDADES'!$F$4:$F$26,MATCH($H173,'CAT_ACTIVIDADES'!$A$4:$A$26,0)),"")))</f>
        <v/>
      </c>
      <c r="X173" s="24">
        <f>IF($F173="","",IFERROR(INDEX('CAT_CENTROS_COSTO'!$F$4:$F$28,MATCH($F173,'CAT_CENTROS_COSTO'!$A$4:$A$28,0)),"(sin catálogo)"))</f>
        <v/>
      </c>
      <c r="Y173" s="24">
        <f>IF($F173="","",IFERROR(INDEX('CAT_CENTROS_COSTO'!$D$4:$D$28,MATCH($F173,'CAT_CENTROS_COSTO'!$A$4:$A$28,0)),"(sin catálogo)"))</f>
        <v/>
      </c>
      <c r="Z173" s="24">
        <f>IF($F173="","",IF((IFERROR(INDEX('CAT_CENTROS_COSTO'!$E$4:$E$28,MATCH($F173,'CAT_CENTROS_COSTO'!$A$4:$A$28,0)),""))&lt;&gt;"",IFERROR(INDEX('CAT_CENTROS_COSTO'!$E$4:$E$28,MATCH($F173,'CAT_CENTROS_COSTO'!$A$4:$A$28,0)),""),$Y173))</f>
        <v/>
      </c>
      <c r="AA173" s="24">
        <f>IF($F173="","",IFERROR(INDEX('CAT_CENTROS_COSTO'!$G$4:$G$28,MATCH($F173,'CAT_CENTROS_COSTO'!$A$4:$A$28,0)),"(sin catálogo)"))</f>
        <v/>
      </c>
      <c r="AB173" s="24">
        <f>IF($G173="","",IFERROR(INDEX('CAT_PUESTOS'!$B$4:$B$23,MATCH($G173,'CAT_PUESTOS'!$A$4:$A$23,0)),"(sin catálogo)"))</f>
        <v/>
      </c>
      <c r="AC173" s="24">
        <f>IF($H173="","",IFERROR(INDEX('CAT_ACTIVIDADES'!$B$4:$B$26,MATCH($H173,'CAT_ACTIVIDADES'!$A$4:$A$26,0)),"(sin catálogo)"))</f>
        <v/>
      </c>
      <c r="AD173" s="26">
        <f>IF($J173="","",TODAY()-$J173)</f>
        <v/>
      </c>
      <c r="AE173" s="26">
        <f>IF($J173="","",IF($J173&lt;=TODAY(),COUNTIFS(cal_fechas,"&gt;="&amp;$J173,cal_fechas,"&lt;"&amp;TODAY(),cal_habil,"sí"),-COUNTIFS(cal_fechas,"&gt;="&amp;TODAY(),cal_fechas,"&lt;"&amp;$J173,cal_habil,"sí")))</f>
        <v/>
      </c>
      <c r="AF173" s="24">
        <f>IF($AE173="","",IF($AE173&lt;0,"FUTURO",IF($AE173&gt;p_dias_backlog_max,"BACKLOG","MES CORRIENTE")))</f>
        <v/>
      </c>
      <c r="AG173" s="24">
        <f>IF($AE173="",FALSE,AND($AE173&gt;p_dias_backlog_min,$AE173&lt;=p_dias_backlog_max))</f>
        <v/>
      </c>
      <c r="AH173" s="4" t="n"/>
      <c r="AI173" s="24">
        <f>IF($AH173="","",IF((IFERROR(INDEX('ASIGNACIONES'!$J$4:$J$451,MATCH($O173&amp;"|"&amp;$S173&amp;"|"&amp;$AH173,'ASIGNACIONES'!$N$4:$N$451,0)),""))=0,"",IFERROR(INDEX('ASIGNACIONES'!$J$4:$J$451,MATCH($O173&amp;"|"&amp;$S173&amp;"|"&amp;$AH173,'ASIGNACIONES'!$N$4:$N$451,0)),"")))</f>
        <v/>
      </c>
      <c r="AJ173" s="42">
        <f>IF($AH173="","",SUMIFS('ORDENES'!$M$4:$M$1203,'ORDENES'!$AH$4:$AH$1203,$AH173,'ORDENES'!$O$4:$O$1203,$O173,'ORDENES'!$S$4:$S$1203,$S173))</f>
        <v/>
      </c>
      <c r="AK173" s="42">
        <f>IF($AJ173="","",p_factor_productividad*IFERROR(INDEX('ASIGNACIONES'!$M$4:$M$451,MATCH($O173&amp;"|"&amp;$S173&amp;"|"&amp;$AH173,'ASIGNACIONES'!$N$4:$N$451,0)),0)-$AJ173)</f>
        <v/>
      </c>
      <c r="AL173" s="32">
        <f>IF($A173="","",IFERROR(INDEX('2_IMPORTAR_EJECUCION'!$F$9:$F$1208,MATCH($AU173,'2_IMPORTAR_EJECUCION'!$J$9:$J$1208,0)),0))</f>
        <v/>
      </c>
      <c r="AM173" s="32">
        <f>IF($A173="","",MAX(0,IFERROR(INDEX('2_IMPORTAR_EJECUCION'!$H$9:$H$1208,MATCH($AU173,'2_IMPORTAR_EJECUCION'!$J$9:$J$1208,0)),0)-$AL173))</f>
        <v/>
      </c>
      <c r="AN173" s="32">
        <f>IF($A173="","",$AL173+$AM173)</f>
        <v/>
      </c>
      <c r="AO173" s="24">
        <f>IF($A173="","",IF(OR((IFERROR(INDEX('CAT_ACTIVIDADES'!$D$4:$D$26,MATCH($H173,'CAT_ACTIVIDADES'!$A$4:$A$26,0)),""))=0,(IFERROR(INDEX('CAT_ACTIVIDADES'!$D$4:$D$26,MATCH($H173,'CAT_ACTIVIDADES'!$A$4:$A$26,0)),""))=""),"SIN CLASIFICAR",IFERROR(INDEX('CAT_ACTIVIDADES'!$D$4:$D$26,MATCH($H173,'CAT_ACTIVIDADES'!$A$4:$A$26,0)),"")))</f>
        <v/>
      </c>
      <c r="AP173" s="4" t="n"/>
      <c r="AQ173" s="4" t="n"/>
      <c r="AR173" s="4" t="n"/>
      <c r="AS173" s="24">
        <f>IF($AR173="","",HYPERLINK(p_ruta_base_checklists&amp;$AR173,"abrir"))</f>
        <v/>
      </c>
      <c r="AT173" s="4" t="n"/>
      <c r="AU173" s="24">
        <f>IF($A173="","",$A173&amp;IF($B173="","0010",$B173))</f>
        <v/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41" t="n"/>
      <c r="K174" s="5" t="n"/>
      <c r="L174" s="18" t="n"/>
      <c r="M174" s="24">
        <f>IF($A174="","",IFERROR(INDEX('AJUSTES'!$B$4:$B$303,MATCH($AU174,'AJUSTES'!$A$4:$A$303,0)),IF($K174="","",$K174)))</f>
        <v/>
      </c>
      <c r="N174" s="24">
        <f>IF($A174="","",IFERROR(INDEX('CAT_ESTADOS_ERP'!$B$4:$B$22,MATCH(IFERROR(INDEX('2_IMPORTAR_EJECUCION'!$C$9:$C$1208,MATCH($AU174,'2_IMPORTAR_EJECUCION'!$J$9:$J$1208,0)),""),'CAT_ESTADOS_ERP'!$A$4:$A$22,0)),"Pendiente"))</f>
        <v/>
      </c>
      <c r="O174" s="24">
        <f>IF($J174="","",YEAR($J174+4-WEEKDAY($J174,2))&amp;"-S"&amp;TEXT(_xlfn.ISOWEEKNUM($J174),"00"))</f>
        <v/>
      </c>
      <c r="P174" s="24">
        <f>IF($J174="","",YEAR($J174))</f>
        <v/>
      </c>
      <c r="Q174" s="24">
        <f>IF($J174="","",MONTH($J174))</f>
        <v/>
      </c>
      <c r="R174" s="24">
        <f>IF($J174="","",$P174&amp;"-"&amp;TEXT($Q174,"00"))</f>
        <v/>
      </c>
      <c r="S174" s="24">
        <f>IF($J174="","",INDEX(lista_dias,WEEKDAY($J174,2)))</f>
        <v/>
      </c>
      <c r="T174" s="24">
        <f>IF($J174="","",IFERROR(INDEX('CALENDARIO'!$C$15:$C$214,MATCH(TEXT($J174,"yyyy-mm-dd")&amp;"|"&amp;$Y174&amp;"|"&amp;$Z174,'CALENDARIO'!$G$15:$G$214,0)),IFERROR(INDEX('CALENDARIO'!$C$15:$C$214,MATCH(TEXT($J174,"yyyy-mm-dd")&amp;"|"&amp;$Y174&amp;"|",'CALENDARIO'!$G$15:$G$214,0)),IFERROR(INDEX('CALENDARIO'!$C$15:$C$214,MATCH(TEXT($J174,"yyyy-mm-dd")&amp;"||",'CALENDARIO'!$G$15:$G$214,0)),INDEX(patronHabil,WEEKDAY($J174,2))))))</f>
        <v/>
      </c>
      <c r="U174" s="24">
        <f>IF($I174="","",IFERROR(INDEX('CAT_TIPOS_OT'!$C$4:$C$23,MATCH($I174,'CAT_TIPOS_OT'!$A$4:$A$23,0)),"sin_clasificar"))</f>
        <v/>
      </c>
      <c r="V174" s="24">
        <f>IF($I174="","",IF(IFERROR(INDEX('CAT_TIPOS_OT'!$D$4:$D$23,MATCH($I174,'CAT_TIPOS_OT'!$A$4:$A$23,0)),"SIN CLASIFICAR")="","SIN CLASIFICAR",IFERROR(INDEX('CAT_TIPOS_OT'!$D$4:$D$23,MATCH($I174,'CAT_TIPOS_OT'!$A$4:$A$23,0)),"SIN CLASIFICAR")))</f>
        <v/>
      </c>
      <c r="W174" s="24">
        <f>IF($H174="","",IF(IFERROR(INDEX('CAT_ACTIVIDADES'!$F$4:$F$26,MATCH($H174,'CAT_ACTIVIDADES'!$A$4:$A$26,0)),"")=0,"",IFERROR(INDEX('CAT_ACTIVIDADES'!$F$4:$F$26,MATCH($H174,'CAT_ACTIVIDADES'!$A$4:$A$26,0)),"")))</f>
        <v/>
      </c>
      <c r="X174" s="24">
        <f>IF($F174="","",IFERROR(INDEX('CAT_CENTROS_COSTO'!$F$4:$F$28,MATCH($F174,'CAT_CENTROS_COSTO'!$A$4:$A$28,0)),"(sin catálogo)"))</f>
        <v/>
      </c>
      <c r="Y174" s="24">
        <f>IF($F174="","",IFERROR(INDEX('CAT_CENTROS_COSTO'!$D$4:$D$28,MATCH($F174,'CAT_CENTROS_COSTO'!$A$4:$A$28,0)),"(sin catálogo)"))</f>
        <v/>
      </c>
      <c r="Z174" s="24">
        <f>IF($F174="","",IF((IFERROR(INDEX('CAT_CENTROS_COSTO'!$E$4:$E$28,MATCH($F174,'CAT_CENTROS_COSTO'!$A$4:$A$28,0)),""))&lt;&gt;"",IFERROR(INDEX('CAT_CENTROS_COSTO'!$E$4:$E$28,MATCH($F174,'CAT_CENTROS_COSTO'!$A$4:$A$28,0)),""),$Y174))</f>
        <v/>
      </c>
      <c r="AA174" s="24">
        <f>IF($F174="","",IFERROR(INDEX('CAT_CENTROS_COSTO'!$G$4:$G$28,MATCH($F174,'CAT_CENTROS_COSTO'!$A$4:$A$28,0)),"(sin catálogo)"))</f>
        <v/>
      </c>
      <c r="AB174" s="24">
        <f>IF($G174="","",IFERROR(INDEX('CAT_PUESTOS'!$B$4:$B$23,MATCH($G174,'CAT_PUESTOS'!$A$4:$A$23,0)),"(sin catálogo)"))</f>
        <v/>
      </c>
      <c r="AC174" s="24">
        <f>IF($H174="","",IFERROR(INDEX('CAT_ACTIVIDADES'!$B$4:$B$26,MATCH($H174,'CAT_ACTIVIDADES'!$A$4:$A$26,0)),"(sin catálogo)"))</f>
        <v/>
      </c>
      <c r="AD174" s="26">
        <f>IF($J174="","",TODAY()-$J174)</f>
        <v/>
      </c>
      <c r="AE174" s="26">
        <f>IF($J174="","",IF($J174&lt;=TODAY(),COUNTIFS(cal_fechas,"&gt;="&amp;$J174,cal_fechas,"&lt;"&amp;TODAY(),cal_habil,"sí"),-COUNTIFS(cal_fechas,"&gt;="&amp;TODAY(),cal_fechas,"&lt;"&amp;$J174,cal_habil,"sí")))</f>
        <v/>
      </c>
      <c r="AF174" s="24">
        <f>IF($AE174="","",IF($AE174&lt;0,"FUTURO",IF($AE174&gt;p_dias_backlog_max,"BACKLOG","MES CORRIENTE")))</f>
        <v/>
      </c>
      <c r="AG174" s="24">
        <f>IF($AE174="",FALSE,AND($AE174&gt;p_dias_backlog_min,$AE174&lt;=p_dias_backlog_max))</f>
        <v/>
      </c>
      <c r="AH174" s="4" t="n"/>
      <c r="AI174" s="24">
        <f>IF($AH174="","",IF((IFERROR(INDEX('ASIGNACIONES'!$J$4:$J$451,MATCH($O174&amp;"|"&amp;$S174&amp;"|"&amp;$AH174,'ASIGNACIONES'!$N$4:$N$451,0)),""))=0,"",IFERROR(INDEX('ASIGNACIONES'!$J$4:$J$451,MATCH($O174&amp;"|"&amp;$S174&amp;"|"&amp;$AH174,'ASIGNACIONES'!$N$4:$N$451,0)),"")))</f>
        <v/>
      </c>
      <c r="AJ174" s="42">
        <f>IF($AH174="","",SUMIFS('ORDENES'!$M$4:$M$1203,'ORDENES'!$AH$4:$AH$1203,$AH174,'ORDENES'!$O$4:$O$1203,$O174,'ORDENES'!$S$4:$S$1203,$S174))</f>
        <v/>
      </c>
      <c r="AK174" s="42">
        <f>IF($AJ174="","",p_factor_productividad*IFERROR(INDEX('ASIGNACIONES'!$M$4:$M$451,MATCH($O174&amp;"|"&amp;$S174&amp;"|"&amp;$AH174,'ASIGNACIONES'!$N$4:$N$451,0)),0)-$AJ174)</f>
        <v/>
      </c>
      <c r="AL174" s="32">
        <f>IF($A174="","",IFERROR(INDEX('2_IMPORTAR_EJECUCION'!$F$9:$F$1208,MATCH($AU174,'2_IMPORTAR_EJECUCION'!$J$9:$J$1208,0)),0))</f>
        <v/>
      </c>
      <c r="AM174" s="32">
        <f>IF($A174="","",MAX(0,IFERROR(INDEX('2_IMPORTAR_EJECUCION'!$H$9:$H$1208,MATCH($AU174,'2_IMPORTAR_EJECUCION'!$J$9:$J$1208,0)),0)-$AL174))</f>
        <v/>
      </c>
      <c r="AN174" s="32">
        <f>IF($A174="","",$AL174+$AM174)</f>
        <v/>
      </c>
      <c r="AO174" s="24">
        <f>IF($A174="","",IF(OR((IFERROR(INDEX('CAT_ACTIVIDADES'!$D$4:$D$26,MATCH($H174,'CAT_ACTIVIDADES'!$A$4:$A$26,0)),""))=0,(IFERROR(INDEX('CAT_ACTIVIDADES'!$D$4:$D$26,MATCH($H174,'CAT_ACTIVIDADES'!$A$4:$A$26,0)),""))=""),"SIN CLASIFICAR",IFERROR(INDEX('CAT_ACTIVIDADES'!$D$4:$D$26,MATCH($H174,'CAT_ACTIVIDADES'!$A$4:$A$26,0)),"")))</f>
        <v/>
      </c>
      <c r="AP174" s="4" t="n"/>
      <c r="AQ174" s="4" t="n"/>
      <c r="AR174" s="4" t="n"/>
      <c r="AS174" s="24">
        <f>IF($AR174="","",HYPERLINK(p_ruta_base_checklists&amp;$AR174,"abrir"))</f>
        <v/>
      </c>
      <c r="AT174" s="4" t="n"/>
      <c r="AU174" s="24">
        <f>IF($A174="","",$A174&amp;IF($B174="","0010",$B174))</f>
        <v/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41" t="n"/>
      <c r="K175" s="5" t="n"/>
      <c r="L175" s="18" t="n"/>
      <c r="M175" s="24">
        <f>IF($A175="","",IFERROR(INDEX('AJUSTES'!$B$4:$B$303,MATCH($AU175,'AJUSTES'!$A$4:$A$303,0)),IF($K175="","",$K175)))</f>
        <v/>
      </c>
      <c r="N175" s="24">
        <f>IF($A175="","",IFERROR(INDEX('CAT_ESTADOS_ERP'!$B$4:$B$22,MATCH(IFERROR(INDEX('2_IMPORTAR_EJECUCION'!$C$9:$C$1208,MATCH($AU175,'2_IMPORTAR_EJECUCION'!$J$9:$J$1208,0)),""),'CAT_ESTADOS_ERP'!$A$4:$A$22,0)),"Pendiente"))</f>
        <v/>
      </c>
      <c r="O175" s="24">
        <f>IF($J175="","",YEAR($J175+4-WEEKDAY($J175,2))&amp;"-S"&amp;TEXT(_xlfn.ISOWEEKNUM($J175),"00"))</f>
        <v/>
      </c>
      <c r="P175" s="24">
        <f>IF($J175="","",YEAR($J175))</f>
        <v/>
      </c>
      <c r="Q175" s="24">
        <f>IF($J175="","",MONTH($J175))</f>
        <v/>
      </c>
      <c r="R175" s="24">
        <f>IF($J175="","",$P175&amp;"-"&amp;TEXT($Q175,"00"))</f>
        <v/>
      </c>
      <c r="S175" s="24">
        <f>IF($J175="","",INDEX(lista_dias,WEEKDAY($J175,2)))</f>
        <v/>
      </c>
      <c r="T175" s="24">
        <f>IF($J175="","",IFERROR(INDEX('CALENDARIO'!$C$15:$C$214,MATCH(TEXT($J175,"yyyy-mm-dd")&amp;"|"&amp;$Y175&amp;"|"&amp;$Z175,'CALENDARIO'!$G$15:$G$214,0)),IFERROR(INDEX('CALENDARIO'!$C$15:$C$214,MATCH(TEXT($J175,"yyyy-mm-dd")&amp;"|"&amp;$Y175&amp;"|",'CALENDARIO'!$G$15:$G$214,0)),IFERROR(INDEX('CALENDARIO'!$C$15:$C$214,MATCH(TEXT($J175,"yyyy-mm-dd")&amp;"||",'CALENDARIO'!$G$15:$G$214,0)),INDEX(patronHabil,WEEKDAY($J175,2))))))</f>
        <v/>
      </c>
      <c r="U175" s="24">
        <f>IF($I175="","",IFERROR(INDEX('CAT_TIPOS_OT'!$C$4:$C$23,MATCH($I175,'CAT_TIPOS_OT'!$A$4:$A$23,0)),"sin_clasificar"))</f>
        <v/>
      </c>
      <c r="V175" s="24">
        <f>IF($I175="","",IF(IFERROR(INDEX('CAT_TIPOS_OT'!$D$4:$D$23,MATCH($I175,'CAT_TIPOS_OT'!$A$4:$A$23,0)),"SIN CLASIFICAR")="","SIN CLASIFICAR",IFERROR(INDEX('CAT_TIPOS_OT'!$D$4:$D$23,MATCH($I175,'CAT_TIPOS_OT'!$A$4:$A$23,0)),"SIN CLASIFICAR")))</f>
        <v/>
      </c>
      <c r="W175" s="24">
        <f>IF($H175="","",IF(IFERROR(INDEX('CAT_ACTIVIDADES'!$F$4:$F$26,MATCH($H175,'CAT_ACTIVIDADES'!$A$4:$A$26,0)),"")=0,"",IFERROR(INDEX('CAT_ACTIVIDADES'!$F$4:$F$26,MATCH($H175,'CAT_ACTIVIDADES'!$A$4:$A$26,0)),"")))</f>
        <v/>
      </c>
      <c r="X175" s="24">
        <f>IF($F175="","",IFERROR(INDEX('CAT_CENTROS_COSTO'!$F$4:$F$28,MATCH($F175,'CAT_CENTROS_COSTO'!$A$4:$A$28,0)),"(sin catálogo)"))</f>
        <v/>
      </c>
      <c r="Y175" s="24">
        <f>IF($F175="","",IFERROR(INDEX('CAT_CENTROS_COSTO'!$D$4:$D$28,MATCH($F175,'CAT_CENTROS_COSTO'!$A$4:$A$28,0)),"(sin catálogo)"))</f>
        <v/>
      </c>
      <c r="Z175" s="24">
        <f>IF($F175="","",IF((IFERROR(INDEX('CAT_CENTROS_COSTO'!$E$4:$E$28,MATCH($F175,'CAT_CENTROS_COSTO'!$A$4:$A$28,0)),""))&lt;&gt;"",IFERROR(INDEX('CAT_CENTROS_COSTO'!$E$4:$E$28,MATCH($F175,'CAT_CENTROS_COSTO'!$A$4:$A$28,0)),""),$Y175))</f>
        <v/>
      </c>
      <c r="AA175" s="24">
        <f>IF($F175="","",IFERROR(INDEX('CAT_CENTROS_COSTO'!$G$4:$G$28,MATCH($F175,'CAT_CENTROS_COSTO'!$A$4:$A$28,0)),"(sin catálogo)"))</f>
        <v/>
      </c>
      <c r="AB175" s="24">
        <f>IF($G175="","",IFERROR(INDEX('CAT_PUESTOS'!$B$4:$B$23,MATCH($G175,'CAT_PUESTOS'!$A$4:$A$23,0)),"(sin catálogo)"))</f>
        <v/>
      </c>
      <c r="AC175" s="24">
        <f>IF($H175="","",IFERROR(INDEX('CAT_ACTIVIDADES'!$B$4:$B$26,MATCH($H175,'CAT_ACTIVIDADES'!$A$4:$A$26,0)),"(sin catálogo)"))</f>
        <v/>
      </c>
      <c r="AD175" s="26">
        <f>IF($J175="","",TODAY()-$J175)</f>
        <v/>
      </c>
      <c r="AE175" s="26">
        <f>IF($J175="","",IF($J175&lt;=TODAY(),COUNTIFS(cal_fechas,"&gt;="&amp;$J175,cal_fechas,"&lt;"&amp;TODAY(),cal_habil,"sí"),-COUNTIFS(cal_fechas,"&gt;="&amp;TODAY(),cal_fechas,"&lt;"&amp;$J175,cal_habil,"sí")))</f>
        <v/>
      </c>
      <c r="AF175" s="24">
        <f>IF($AE175="","",IF($AE175&lt;0,"FUTURO",IF($AE175&gt;p_dias_backlog_max,"BACKLOG","MES CORRIENTE")))</f>
        <v/>
      </c>
      <c r="AG175" s="24">
        <f>IF($AE175="",FALSE,AND($AE175&gt;p_dias_backlog_min,$AE175&lt;=p_dias_backlog_max))</f>
        <v/>
      </c>
      <c r="AH175" s="4" t="n"/>
      <c r="AI175" s="24">
        <f>IF($AH175="","",IF((IFERROR(INDEX('ASIGNACIONES'!$J$4:$J$451,MATCH($O175&amp;"|"&amp;$S175&amp;"|"&amp;$AH175,'ASIGNACIONES'!$N$4:$N$451,0)),""))=0,"",IFERROR(INDEX('ASIGNACIONES'!$J$4:$J$451,MATCH($O175&amp;"|"&amp;$S175&amp;"|"&amp;$AH175,'ASIGNACIONES'!$N$4:$N$451,0)),"")))</f>
        <v/>
      </c>
      <c r="AJ175" s="42">
        <f>IF($AH175="","",SUMIFS('ORDENES'!$M$4:$M$1203,'ORDENES'!$AH$4:$AH$1203,$AH175,'ORDENES'!$O$4:$O$1203,$O175,'ORDENES'!$S$4:$S$1203,$S175))</f>
        <v/>
      </c>
      <c r="AK175" s="42">
        <f>IF($AJ175="","",p_factor_productividad*IFERROR(INDEX('ASIGNACIONES'!$M$4:$M$451,MATCH($O175&amp;"|"&amp;$S175&amp;"|"&amp;$AH175,'ASIGNACIONES'!$N$4:$N$451,0)),0)-$AJ175)</f>
        <v/>
      </c>
      <c r="AL175" s="32">
        <f>IF($A175="","",IFERROR(INDEX('2_IMPORTAR_EJECUCION'!$F$9:$F$1208,MATCH($AU175,'2_IMPORTAR_EJECUCION'!$J$9:$J$1208,0)),0))</f>
        <v/>
      </c>
      <c r="AM175" s="32">
        <f>IF($A175="","",MAX(0,IFERROR(INDEX('2_IMPORTAR_EJECUCION'!$H$9:$H$1208,MATCH($AU175,'2_IMPORTAR_EJECUCION'!$J$9:$J$1208,0)),0)-$AL175))</f>
        <v/>
      </c>
      <c r="AN175" s="32">
        <f>IF($A175="","",$AL175+$AM175)</f>
        <v/>
      </c>
      <c r="AO175" s="24">
        <f>IF($A175="","",IF(OR((IFERROR(INDEX('CAT_ACTIVIDADES'!$D$4:$D$26,MATCH($H175,'CAT_ACTIVIDADES'!$A$4:$A$26,0)),""))=0,(IFERROR(INDEX('CAT_ACTIVIDADES'!$D$4:$D$26,MATCH($H175,'CAT_ACTIVIDADES'!$A$4:$A$26,0)),""))=""),"SIN CLASIFICAR",IFERROR(INDEX('CAT_ACTIVIDADES'!$D$4:$D$26,MATCH($H175,'CAT_ACTIVIDADES'!$A$4:$A$26,0)),"")))</f>
        <v/>
      </c>
      <c r="AP175" s="4" t="n"/>
      <c r="AQ175" s="4" t="n"/>
      <c r="AR175" s="4" t="n"/>
      <c r="AS175" s="24">
        <f>IF($AR175="","",HYPERLINK(p_ruta_base_checklists&amp;$AR175,"abrir"))</f>
        <v/>
      </c>
      <c r="AT175" s="4" t="n"/>
      <c r="AU175" s="24">
        <f>IF($A175="","",$A175&amp;IF($B175="","0010",$B175))</f>
        <v/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41" t="n"/>
      <c r="K176" s="5" t="n"/>
      <c r="L176" s="18" t="n"/>
      <c r="M176" s="24">
        <f>IF($A176="","",IFERROR(INDEX('AJUSTES'!$B$4:$B$303,MATCH($AU176,'AJUSTES'!$A$4:$A$303,0)),IF($K176="","",$K176)))</f>
        <v/>
      </c>
      <c r="N176" s="24">
        <f>IF($A176="","",IFERROR(INDEX('CAT_ESTADOS_ERP'!$B$4:$B$22,MATCH(IFERROR(INDEX('2_IMPORTAR_EJECUCION'!$C$9:$C$1208,MATCH($AU176,'2_IMPORTAR_EJECUCION'!$J$9:$J$1208,0)),""),'CAT_ESTADOS_ERP'!$A$4:$A$22,0)),"Pendiente"))</f>
        <v/>
      </c>
      <c r="O176" s="24">
        <f>IF($J176="","",YEAR($J176+4-WEEKDAY($J176,2))&amp;"-S"&amp;TEXT(_xlfn.ISOWEEKNUM($J176),"00"))</f>
        <v/>
      </c>
      <c r="P176" s="24">
        <f>IF($J176="","",YEAR($J176))</f>
        <v/>
      </c>
      <c r="Q176" s="24">
        <f>IF($J176="","",MONTH($J176))</f>
        <v/>
      </c>
      <c r="R176" s="24">
        <f>IF($J176="","",$P176&amp;"-"&amp;TEXT($Q176,"00"))</f>
        <v/>
      </c>
      <c r="S176" s="24">
        <f>IF($J176="","",INDEX(lista_dias,WEEKDAY($J176,2)))</f>
        <v/>
      </c>
      <c r="T176" s="24">
        <f>IF($J176="","",IFERROR(INDEX('CALENDARIO'!$C$15:$C$214,MATCH(TEXT($J176,"yyyy-mm-dd")&amp;"|"&amp;$Y176&amp;"|"&amp;$Z176,'CALENDARIO'!$G$15:$G$214,0)),IFERROR(INDEX('CALENDARIO'!$C$15:$C$214,MATCH(TEXT($J176,"yyyy-mm-dd")&amp;"|"&amp;$Y176&amp;"|",'CALENDARIO'!$G$15:$G$214,0)),IFERROR(INDEX('CALENDARIO'!$C$15:$C$214,MATCH(TEXT($J176,"yyyy-mm-dd")&amp;"||",'CALENDARIO'!$G$15:$G$214,0)),INDEX(patronHabil,WEEKDAY($J176,2))))))</f>
        <v/>
      </c>
      <c r="U176" s="24">
        <f>IF($I176="","",IFERROR(INDEX('CAT_TIPOS_OT'!$C$4:$C$23,MATCH($I176,'CAT_TIPOS_OT'!$A$4:$A$23,0)),"sin_clasificar"))</f>
        <v/>
      </c>
      <c r="V176" s="24">
        <f>IF($I176="","",IF(IFERROR(INDEX('CAT_TIPOS_OT'!$D$4:$D$23,MATCH($I176,'CAT_TIPOS_OT'!$A$4:$A$23,0)),"SIN CLASIFICAR")="","SIN CLASIFICAR",IFERROR(INDEX('CAT_TIPOS_OT'!$D$4:$D$23,MATCH($I176,'CAT_TIPOS_OT'!$A$4:$A$23,0)),"SIN CLASIFICAR")))</f>
        <v/>
      </c>
      <c r="W176" s="24">
        <f>IF($H176="","",IF(IFERROR(INDEX('CAT_ACTIVIDADES'!$F$4:$F$26,MATCH($H176,'CAT_ACTIVIDADES'!$A$4:$A$26,0)),"")=0,"",IFERROR(INDEX('CAT_ACTIVIDADES'!$F$4:$F$26,MATCH($H176,'CAT_ACTIVIDADES'!$A$4:$A$26,0)),"")))</f>
        <v/>
      </c>
      <c r="X176" s="24">
        <f>IF($F176="","",IFERROR(INDEX('CAT_CENTROS_COSTO'!$F$4:$F$28,MATCH($F176,'CAT_CENTROS_COSTO'!$A$4:$A$28,0)),"(sin catálogo)"))</f>
        <v/>
      </c>
      <c r="Y176" s="24">
        <f>IF($F176="","",IFERROR(INDEX('CAT_CENTROS_COSTO'!$D$4:$D$28,MATCH($F176,'CAT_CENTROS_COSTO'!$A$4:$A$28,0)),"(sin catálogo)"))</f>
        <v/>
      </c>
      <c r="Z176" s="24">
        <f>IF($F176="","",IF((IFERROR(INDEX('CAT_CENTROS_COSTO'!$E$4:$E$28,MATCH($F176,'CAT_CENTROS_COSTO'!$A$4:$A$28,0)),""))&lt;&gt;"",IFERROR(INDEX('CAT_CENTROS_COSTO'!$E$4:$E$28,MATCH($F176,'CAT_CENTROS_COSTO'!$A$4:$A$28,0)),""),$Y176))</f>
        <v/>
      </c>
      <c r="AA176" s="24">
        <f>IF($F176="","",IFERROR(INDEX('CAT_CENTROS_COSTO'!$G$4:$G$28,MATCH($F176,'CAT_CENTROS_COSTO'!$A$4:$A$28,0)),"(sin catálogo)"))</f>
        <v/>
      </c>
      <c r="AB176" s="24">
        <f>IF($G176="","",IFERROR(INDEX('CAT_PUESTOS'!$B$4:$B$23,MATCH($G176,'CAT_PUESTOS'!$A$4:$A$23,0)),"(sin catálogo)"))</f>
        <v/>
      </c>
      <c r="AC176" s="24">
        <f>IF($H176="","",IFERROR(INDEX('CAT_ACTIVIDADES'!$B$4:$B$26,MATCH($H176,'CAT_ACTIVIDADES'!$A$4:$A$26,0)),"(sin catálogo)"))</f>
        <v/>
      </c>
      <c r="AD176" s="26">
        <f>IF($J176="","",TODAY()-$J176)</f>
        <v/>
      </c>
      <c r="AE176" s="26">
        <f>IF($J176="","",IF($J176&lt;=TODAY(),COUNTIFS(cal_fechas,"&gt;="&amp;$J176,cal_fechas,"&lt;"&amp;TODAY(),cal_habil,"sí"),-COUNTIFS(cal_fechas,"&gt;="&amp;TODAY(),cal_fechas,"&lt;"&amp;$J176,cal_habil,"sí")))</f>
        <v/>
      </c>
      <c r="AF176" s="24">
        <f>IF($AE176="","",IF($AE176&lt;0,"FUTURO",IF($AE176&gt;p_dias_backlog_max,"BACKLOG","MES CORRIENTE")))</f>
        <v/>
      </c>
      <c r="AG176" s="24">
        <f>IF($AE176="",FALSE,AND($AE176&gt;p_dias_backlog_min,$AE176&lt;=p_dias_backlog_max))</f>
        <v/>
      </c>
      <c r="AH176" s="4" t="n"/>
      <c r="AI176" s="24">
        <f>IF($AH176="","",IF((IFERROR(INDEX('ASIGNACIONES'!$J$4:$J$451,MATCH($O176&amp;"|"&amp;$S176&amp;"|"&amp;$AH176,'ASIGNACIONES'!$N$4:$N$451,0)),""))=0,"",IFERROR(INDEX('ASIGNACIONES'!$J$4:$J$451,MATCH($O176&amp;"|"&amp;$S176&amp;"|"&amp;$AH176,'ASIGNACIONES'!$N$4:$N$451,0)),"")))</f>
        <v/>
      </c>
      <c r="AJ176" s="42">
        <f>IF($AH176="","",SUMIFS('ORDENES'!$M$4:$M$1203,'ORDENES'!$AH$4:$AH$1203,$AH176,'ORDENES'!$O$4:$O$1203,$O176,'ORDENES'!$S$4:$S$1203,$S176))</f>
        <v/>
      </c>
      <c r="AK176" s="42">
        <f>IF($AJ176="","",p_factor_productividad*IFERROR(INDEX('ASIGNACIONES'!$M$4:$M$451,MATCH($O176&amp;"|"&amp;$S176&amp;"|"&amp;$AH176,'ASIGNACIONES'!$N$4:$N$451,0)),0)-$AJ176)</f>
        <v/>
      </c>
      <c r="AL176" s="32">
        <f>IF($A176="","",IFERROR(INDEX('2_IMPORTAR_EJECUCION'!$F$9:$F$1208,MATCH($AU176,'2_IMPORTAR_EJECUCION'!$J$9:$J$1208,0)),0))</f>
        <v/>
      </c>
      <c r="AM176" s="32">
        <f>IF($A176="","",MAX(0,IFERROR(INDEX('2_IMPORTAR_EJECUCION'!$H$9:$H$1208,MATCH($AU176,'2_IMPORTAR_EJECUCION'!$J$9:$J$1208,0)),0)-$AL176))</f>
        <v/>
      </c>
      <c r="AN176" s="32">
        <f>IF($A176="","",$AL176+$AM176)</f>
        <v/>
      </c>
      <c r="AO176" s="24">
        <f>IF($A176="","",IF(OR((IFERROR(INDEX('CAT_ACTIVIDADES'!$D$4:$D$26,MATCH($H176,'CAT_ACTIVIDADES'!$A$4:$A$26,0)),""))=0,(IFERROR(INDEX('CAT_ACTIVIDADES'!$D$4:$D$26,MATCH($H176,'CAT_ACTIVIDADES'!$A$4:$A$26,0)),""))=""),"SIN CLASIFICAR",IFERROR(INDEX('CAT_ACTIVIDADES'!$D$4:$D$26,MATCH($H176,'CAT_ACTIVIDADES'!$A$4:$A$26,0)),"")))</f>
        <v/>
      </c>
      <c r="AP176" s="4" t="n"/>
      <c r="AQ176" s="4" t="n"/>
      <c r="AR176" s="4" t="n"/>
      <c r="AS176" s="24">
        <f>IF($AR176="","",HYPERLINK(p_ruta_base_checklists&amp;$AR176,"abrir"))</f>
        <v/>
      </c>
      <c r="AT176" s="4" t="n"/>
      <c r="AU176" s="24">
        <f>IF($A176="","",$A176&amp;IF($B176="","0010",$B176))</f>
        <v/>
      </c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41" t="n"/>
      <c r="K177" s="5" t="n"/>
      <c r="L177" s="18" t="n"/>
      <c r="M177" s="24">
        <f>IF($A177="","",IFERROR(INDEX('AJUSTES'!$B$4:$B$303,MATCH($AU177,'AJUSTES'!$A$4:$A$303,0)),IF($K177="","",$K177)))</f>
        <v/>
      </c>
      <c r="N177" s="24">
        <f>IF($A177="","",IFERROR(INDEX('CAT_ESTADOS_ERP'!$B$4:$B$22,MATCH(IFERROR(INDEX('2_IMPORTAR_EJECUCION'!$C$9:$C$1208,MATCH($AU177,'2_IMPORTAR_EJECUCION'!$J$9:$J$1208,0)),""),'CAT_ESTADOS_ERP'!$A$4:$A$22,0)),"Pendiente"))</f>
        <v/>
      </c>
      <c r="O177" s="24">
        <f>IF($J177="","",YEAR($J177+4-WEEKDAY($J177,2))&amp;"-S"&amp;TEXT(_xlfn.ISOWEEKNUM($J177),"00"))</f>
        <v/>
      </c>
      <c r="P177" s="24">
        <f>IF($J177="","",YEAR($J177))</f>
        <v/>
      </c>
      <c r="Q177" s="24">
        <f>IF($J177="","",MONTH($J177))</f>
        <v/>
      </c>
      <c r="R177" s="24">
        <f>IF($J177="","",$P177&amp;"-"&amp;TEXT($Q177,"00"))</f>
        <v/>
      </c>
      <c r="S177" s="24">
        <f>IF($J177="","",INDEX(lista_dias,WEEKDAY($J177,2)))</f>
        <v/>
      </c>
      <c r="T177" s="24">
        <f>IF($J177="","",IFERROR(INDEX('CALENDARIO'!$C$15:$C$214,MATCH(TEXT($J177,"yyyy-mm-dd")&amp;"|"&amp;$Y177&amp;"|"&amp;$Z177,'CALENDARIO'!$G$15:$G$214,0)),IFERROR(INDEX('CALENDARIO'!$C$15:$C$214,MATCH(TEXT($J177,"yyyy-mm-dd")&amp;"|"&amp;$Y177&amp;"|",'CALENDARIO'!$G$15:$G$214,0)),IFERROR(INDEX('CALENDARIO'!$C$15:$C$214,MATCH(TEXT($J177,"yyyy-mm-dd")&amp;"||",'CALENDARIO'!$G$15:$G$214,0)),INDEX(patronHabil,WEEKDAY($J177,2))))))</f>
        <v/>
      </c>
      <c r="U177" s="24">
        <f>IF($I177="","",IFERROR(INDEX('CAT_TIPOS_OT'!$C$4:$C$23,MATCH($I177,'CAT_TIPOS_OT'!$A$4:$A$23,0)),"sin_clasificar"))</f>
        <v/>
      </c>
      <c r="V177" s="24">
        <f>IF($I177="","",IF(IFERROR(INDEX('CAT_TIPOS_OT'!$D$4:$D$23,MATCH($I177,'CAT_TIPOS_OT'!$A$4:$A$23,0)),"SIN CLASIFICAR")="","SIN CLASIFICAR",IFERROR(INDEX('CAT_TIPOS_OT'!$D$4:$D$23,MATCH($I177,'CAT_TIPOS_OT'!$A$4:$A$23,0)),"SIN CLASIFICAR")))</f>
        <v/>
      </c>
      <c r="W177" s="24">
        <f>IF($H177="","",IF(IFERROR(INDEX('CAT_ACTIVIDADES'!$F$4:$F$26,MATCH($H177,'CAT_ACTIVIDADES'!$A$4:$A$26,0)),"")=0,"",IFERROR(INDEX('CAT_ACTIVIDADES'!$F$4:$F$26,MATCH($H177,'CAT_ACTIVIDADES'!$A$4:$A$26,0)),"")))</f>
        <v/>
      </c>
      <c r="X177" s="24">
        <f>IF($F177="","",IFERROR(INDEX('CAT_CENTROS_COSTO'!$F$4:$F$28,MATCH($F177,'CAT_CENTROS_COSTO'!$A$4:$A$28,0)),"(sin catálogo)"))</f>
        <v/>
      </c>
      <c r="Y177" s="24">
        <f>IF($F177="","",IFERROR(INDEX('CAT_CENTROS_COSTO'!$D$4:$D$28,MATCH($F177,'CAT_CENTROS_COSTO'!$A$4:$A$28,0)),"(sin catálogo)"))</f>
        <v/>
      </c>
      <c r="Z177" s="24">
        <f>IF($F177="","",IF((IFERROR(INDEX('CAT_CENTROS_COSTO'!$E$4:$E$28,MATCH($F177,'CAT_CENTROS_COSTO'!$A$4:$A$28,0)),""))&lt;&gt;"",IFERROR(INDEX('CAT_CENTROS_COSTO'!$E$4:$E$28,MATCH($F177,'CAT_CENTROS_COSTO'!$A$4:$A$28,0)),""),$Y177))</f>
        <v/>
      </c>
      <c r="AA177" s="24">
        <f>IF($F177="","",IFERROR(INDEX('CAT_CENTROS_COSTO'!$G$4:$G$28,MATCH($F177,'CAT_CENTROS_COSTO'!$A$4:$A$28,0)),"(sin catálogo)"))</f>
        <v/>
      </c>
      <c r="AB177" s="24">
        <f>IF($G177="","",IFERROR(INDEX('CAT_PUESTOS'!$B$4:$B$23,MATCH($G177,'CAT_PUESTOS'!$A$4:$A$23,0)),"(sin catálogo)"))</f>
        <v/>
      </c>
      <c r="AC177" s="24">
        <f>IF($H177="","",IFERROR(INDEX('CAT_ACTIVIDADES'!$B$4:$B$26,MATCH($H177,'CAT_ACTIVIDADES'!$A$4:$A$26,0)),"(sin catálogo)"))</f>
        <v/>
      </c>
      <c r="AD177" s="26">
        <f>IF($J177="","",TODAY()-$J177)</f>
        <v/>
      </c>
      <c r="AE177" s="26">
        <f>IF($J177="","",IF($J177&lt;=TODAY(),COUNTIFS(cal_fechas,"&gt;="&amp;$J177,cal_fechas,"&lt;"&amp;TODAY(),cal_habil,"sí"),-COUNTIFS(cal_fechas,"&gt;="&amp;TODAY(),cal_fechas,"&lt;"&amp;$J177,cal_habil,"sí")))</f>
        <v/>
      </c>
      <c r="AF177" s="24">
        <f>IF($AE177="","",IF($AE177&lt;0,"FUTURO",IF($AE177&gt;p_dias_backlog_max,"BACKLOG","MES CORRIENTE")))</f>
        <v/>
      </c>
      <c r="AG177" s="24">
        <f>IF($AE177="",FALSE,AND($AE177&gt;p_dias_backlog_min,$AE177&lt;=p_dias_backlog_max))</f>
        <v/>
      </c>
      <c r="AH177" s="4" t="n"/>
      <c r="AI177" s="24">
        <f>IF($AH177="","",IF((IFERROR(INDEX('ASIGNACIONES'!$J$4:$J$451,MATCH($O177&amp;"|"&amp;$S177&amp;"|"&amp;$AH177,'ASIGNACIONES'!$N$4:$N$451,0)),""))=0,"",IFERROR(INDEX('ASIGNACIONES'!$J$4:$J$451,MATCH($O177&amp;"|"&amp;$S177&amp;"|"&amp;$AH177,'ASIGNACIONES'!$N$4:$N$451,0)),"")))</f>
        <v/>
      </c>
      <c r="AJ177" s="42">
        <f>IF($AH177="","",SUMIFS('ORDENES'!$M$4:$M$1203,'ORDENES'!$AH$4:$AH$1203,$AH177,'ORDENES'!$O$4:$O$1203,$O177,'ORDENES'!$S$4:$S$1203,$S177))</f>
        <v/>
      </c>
      <c r="AK177" s="42">
        <f>IF($AJ177="","",p_factor_productividad*IFERROR(INDEX('ASIGNACIONES'!$M$4:$M$451,MATCH($O177&amp;"|"&amp;$S177&amp;"|"&amp;$AH177,'ASIGNACIONES'!$N$4:$N$451,0)),0)-$AJ177)</f>
        <v/>
      </c>
      <c r="AL177" s="32">
        <f>IF($A177="","",IFERROR(INDEX('2_IMPORTAR_EJECUCION'!$F$9:$F$1208,MATCH($AU177,'2_IMPORTAR_EJECUCION'!$J$9:$J$1208,0)),0))</f>
        <v/>
      </c>
      <c r="AM177" s="32">
        <f>IF($A177="","",MAX(0,IFERROR(INDEX('2_IMPORTAR_EJECUCION'!$H$9:$H$1208,MATCH($AU177,'2_IMPORTAR_EJECUCION'!$J$9:$J$1208,0)),0)-$AL177))</f>
        <v/>
      </c>
      <c r="AN177" s="32">
        <f>IF($A177="","",$AL177+$AM177)</f>
        <v/>
      </c>
      <c r="AO177" s="24">
        <f>IF($A177="","",IF(OR((IFERROR(INDEX('CAT_ACTIVIDADES'!$D$4:$D$26,MATCH($H177,'CAT_ACTIVIDADES'!$A$4:$A$26,0)),""))=0,(IFERROR(INDEX('CAT_ACTIVIDADES'!$D$4:$D$26,MATCH($H177,'CAT_ACTIVIDADES'!$A$4:$A$26,0)),""))=""),"SIN CLASIFICAR",IFERROR(INDEX('CAT_ACTIVIDADES'!$D$4:$D$26,MATCH($H177,'CAT_ACTIVIDADES'!$A$4:$A$26,0)),"")))</f>
        <v/>
      </c>
      <c r="AP177" s="4" t="n"/>
      <c r="AQ177" s="4" t="n"/>
      <c r="AR177" s="4" t="n"/>
      <c r="AS177" s="24">
        <f>IF($AR177="","",HYPERLINK(p_ruta_base_checklists&amp;$AR177,"abrir"))</f>
        <v/>
      </c>
      <c r="AT177" s="4" t="n"/>
      <c r="AU177" s="24">
        <f>IF($A177="","",$A177&amp;IF($B177="","0010",$B177))</f>
        <v/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41" t="n"/>
      <c r="K178" s="5" t="n"/>
      <c r="L178" s="18" t="n"/>
      <c r="M178" s="24">
        <f>IF($A178="","",IFERROR(INDEX('AJUSTES'!$B$4:$B$303,MATCH($AU178,'AJUSTES'!$A$4:$A$303,0)),IF($K178="","",$K178)))</f>
        <v/>
      </c>
      <c r="N178" s="24">
        <f>IF($A178="","",IFERROR(INDEX('CAT_ESTADOS_ERP'!$B$4:$B$22,MATCH(IFERROR(INDEX('2_IMPORTAR_EJECUCION'!$C$9:$C$1208,MATCH($AU178,'2_IMPORTAR_EJECUCION'!$J$9:$J$1208,0)),""),'CAT_ESTADOS_ERP'!$A$4:$A$22,0)),"Pendiente"))</f>
        <v/>
      </c>
      <c r="O178" s="24">
        <f>IF($J178="","",YEAR($J178+4-WEEKDAY($J178,2))&amp;"-S"&amp;TEXT(_xlfn.ISOWEEKNUM($J178),"00"))</f>
        <v/>
      </c>
      <c r="P178" s="24">
        <f>IF($J178="","",YEAR($J178))</f>
        <v/>
      </c>
      <c r="Q178" s="24">
        <f>IF($J178="","",MONTH($J178))</f>
        <v/>
      </c>
      <c r="R178" s="24">
        <f>IF($J178="","",$P178&amp;"-"&amp;TEXT($Q178,"00"))</f>
        <v/>
      </c>
      <c r="S178" s="24">
        <f>IF($J178="","",INDEX(lista_dias,WEEKDAY($J178,2)))</f>
        <v/>
      </c>
      <c r="T178" s="24">
        <f>IF($J178="","",IFERROR(INDEX('CALENDARIO'!$C$15:$C$214,MATCH(TEXT($J178,"yyyy-mm-dd")&amp;"|"&amp;$Y178&amp;"|"&amp;$Z178,'CALENDARIO'!$G$15:$G$214,0)),IFERROR(INDEX('CALENDARIO'!$C$15:$C$214,MATCH(TEXT($J178,"yyyy-mm-dd")&amp;"|"&amp;$Y178&amp;"|",'CALENDARIO'!$G$15:$G$214,0)),IFERROR(INDEX('CALENDARIO'!$C$15:$C$214,MATCH(TEXT($J178,"yyyy-mm-dd")&amp;"||",'CALENDARIO'!$G$15:$G$214,0)),INDEX(patronHabil,WEEKDAY($J178,2))))))</f>
        <v/>
      </c>
      <c r="U178" s="24">
        <f>IF($I178="","",IFERROR(INDEX('CAT_TIPOS_OT'!$C$4:$C$23,MATCH($I178,'CAT_TIPOS_OT'!$A$4:$A$23,0)),"sin_clasificar"))</f>
        <v/>
      </c>
      <c r="V178" s="24">
        <f>IF($I178="","",IF(IFERROR(INDEX('CAT_TIPOS_OT'!$D$4:$D$23,MATCH($I178,'CAT_TIPOS_OT'!$A$4:$A$23,0)),"SIN CLASIFICAR")="","SIN CLASIFICAR",IFERROR(INDEX('CAT_TIPOS_OT'!$D$4:$D$23,MATCH($I178,'CAT_TIPOS_OT'!$A$4:$A$23,0)),"SIN CLASIFICAR")))</f>
        <v/>
      </c>
      <c r="W178" s="24">
        <f>IF($H178="","",IF(IFERROR(INDEX('CAT_ACTIVIDADES'!$F$4:$F$26,MATCH($H178,'CAT_ACTIVIDADES'!$A$4:$A$26,0)),"")=0,"",IFERROR(INDEX('CAT_ACTIVIDADES'!$F$4:$F$26,MATCH($H178,'CAT_ACTIVIDADES'!$A$4:$A$26,0)),"")))</f>
        <v/>
      </c>
      <c r="X178" s="24">
        <f>IF($F178="","",IFERROR(INDEX('CAT_CENTROS_COSTO'!$F$4:$F$28,MATCH($F178,'CAT_CENTROS_COSTO'!$A$4:$A$28,0)),"(sin catálogo)"))</f>
        <v/>
      </c>
      <c r="Y178" s="24">
        <f>IF($F178="","",IFERROR(INDEX('CAT_CENTROS_COSTO'!$D$4:$D$28,MATCH($F178,'CAT_CENTROS_COSTO'!$A$4:$A$28,0)),"(sin catálogo)"))</f>
        <v/>
      </c>
      <c r="Z178" s="24">
        <f>IF($F178="","",IF((IFERROR(INDEX('CAT_CENTROS_COSTO'!$E$4:$E$28,MATCH($F178,'CAT_CENTROS_COSTO'!$A$4:$A$28,0)),""))&lt;&gt;"",IFERROR(INDEX('CAT_CENTROS_COSTO'!$E$4:$E$28,MATCH($F178,'CAT_CENTROS_COSTO'!$A$4:$A$28,0)),""),$Y178))</f>
        <v/>
      </c>
      <c r="AA178" s="24">
        <f>IF($F178="","",IFERROR(INDEX('CAT_CENTROS_COSTO'!$G$4:$G$28,MATCH($F178,'CAT_CENTROS_COSTO'!$A$4:$A$28,0)),"(sin catálogo)"))</f>
        <v/>
      </c>
      <c r="AB178" s="24">
        <f>IF($G178="","",IFERROR(INDEX('CAT_PUESTOS'!$B$4:$B$23,MATCH($G178,'CAT_PUESTOS'!$A$4:$A$23,0)),"(sin catálogo)"))</f>
        <v/>
      </c>
      <c r="AC178" s="24">
        <f>IF($H178="","",IFERROR(INDEX('CAT_ACTIVIDADES'!$B$4:$B$26,MATCH($H178,'CAT_ACTIVIDADES'!$A$4:$A$26,0)),"(sin catálogo)"))</f>
        <v/>
      </c>
      <c r="AD178" s="26">
        <f>IF($J178="","",TODAY()-$J178)</f>
        <v/>
      </c>
      <c r="AE178" s="26">
        <f>IF($J178="","",IF($J178&lt;=TODAY(),COUNTIFS(cal_fechas,"&gt;="&amp;$J178,cal_fechas,"&lt;"&amp;TODAY(),cal_habil,"sí"),-COUNTIFS(cal_fechas,"&gt;="&amp;TODAY(),cal_fechas,"&lt;"&amp;$J178,cal_habil,"sí")))</f>
        <v/>
      </c>
      <c r="AF178" s="24">
        <f>IF($AE178="","",IF($AE178&lt;0,"FUTURO",IF($AE178&gt;p_dias_backlog_max,"BACKLOG","MES CORRIENTE")))</f>
        <v/>
      </c>
      <c r="AG178" s="24">
        <f>IF($AE178="",FALSE,AND($AE178&gt;p_dias_backlog_min,$AE178&lt;=p_dias_backlog_max))</f>
        <v/>
      </c>
      <c r="AH178" s="4" t="n"/>
      <c r="AI178" s="24">
        <f>IF($AH178="","",IF((IFERROR(INDEX('ASIGNACIONES'!$J$4:$J$451,MATCH($O178&amp;"|"&amp;$S178&amp;"|"&amp;$AH178,'ASIGNACIONES'!$N$4:$N$451,0)),""))=0,"",IFERROR(INDEX('ASIGNACIONES'!$J$4:$J$451,MATCH($O178&amp;"|"&amp;$S178&amp;"|"&amp;$AH178,'ASIGNACIONES'!$N$4:$N$451,0)),"")))</f>
        <v/>
      </c>
      <c r="AJ178" s="42">
        <f>IF($AH178="","",SUMIFS('ORDENES'!$M$4:$M$1203,'ORDENES'!$AH$4:$AH$1203,$AH178,'ORDENES'!$O$4:$O$1203,$O178,'ORDENES'!$S$4:$S$1203,$S178))</f>
        <v/>
      </c>
      <c r="AK178" s="42">
        <f>IF($AJ178="","",p_factor_productividad*IFERROR(INDEX('ASIGNACIONES'!$M$4:$M$451,MATCH($O178&amp;"|"&amp;$S178&amp;"|"&amp;$AH178,'ASIGNACIONES'!$N$4:$N$451,0)),0)-$AJ178)</f>
        <v/>
      </c>
      <c r="AL178" s="32">
        <f>IF($A178="","",IFERROR(INDEX('2_IMPORTAR_EJECUCION'!$F$9:$F$1208,MATCH($AU178,'2_IMPORTAR_EJECUCION'!$J$9:$J$1208,0)),0))</f>
        <v/>
      </c>
      <c r="AM178" s="32">
        <f>IF($A178="","",MAX(0,IFERROR(INDEX('2_IMPORTAR_EJECUCION'!$H$9:$H$1208,MATCH($AU178,'2_IMPORTAR_EJECUCION'!$J$9:$J$1208,0)),0)-$AL178))</f>
        <v/>
      </c>
      <c r="AN178" s="32">
        <f>IF($A178="","",$AL178+$AM178)</f>
        <v/>
      </c>
      <c r="AO178" s="24">
        <f>IF($A178="","",IF(OR((IFERROR(INDEX('CAT_ACTIVIDADES'!$D$4:$D$26,MATCH($H178,'CAT_ACTIVIDADES'!$A$4:$A$26,0)),""))=0,(IFERROR(INDEX('CAT_ACTIVIDADES'!$D$4:$D$26,MATCH($H178,'CAT_ACTIVIDADES'!$A$4:$A$26,0)),""))=""),"SIN CLASIFICAR",IFERROR(INDEX('CAT_ACTIVIDADES'!$D$4:$D$26,MATCH($H178,'CAT_ACTIVIDADES'!$A$4:$A$26,0)),"")))</f>
        <v/>
      </c>
      <c r="AP178" s="4" t="n"/>
      <c r="AQ178" s="4" t="n"/>
      <c r="AR178" s="4" t="n"/>
      <c r="AS178" s="24">
        <f>IF($AR178="","",HYPERLINK(p_ruta_base_checklists&amp;$AR178,"abrir"))</f>
        <v/>
      </c>
      <c r="AT178" s="4" t="n"/>
      <c r="AU178" s="24">
        <f>IF($A178="","",$A178&amp;IF($B178="","0010",$B178))</f>
        <v/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41" t="n"/>
      <c r="K179" s="5" t="n"/>
      <c r="L179" s="18" t="n"/>
      <c r="M179" s="24">
        <f>IF($A179="","",IFERROR(INDEX('AJUSTES'!$B$4:$B$303,MATCH($AU179,'AJUSTES'!$A$4:$A$303,0)),IF($K179="","",$K179)))</f>
        <v/>
      </c>
      <c r="N179" s="24">
        <f>IF($A179="","",IFERROR(INDEX('CAT_ESTADOS_ERP'!$B$4:$B$22,MATCH(IFERROR(INDEX('2_IMPORTAR_EJECUCION'!$C$9:$C$1208,MATCH($AU179,'2_IMPORTAR_EJECUCION'!$J$9:$J$1208,0)),""),'CAT_ESTADOS_ERP'!$A$4:$A$22,0)),"Pendiente"))</f>
        <v/>
      </c>
      <c r="O179" s="24">
        <f>IF($J179="","",YEAR($J179+4-WEEKDAY($J179,2))&amp;"-S"&amp;TEXT(_xlfn.ISOWEEKNUM($J179),"00"))</f>
        <v/>
      </c>
      <c r="P179" s="24">
        <f>IF($J179="","",YEAR($J179))</f>
        <v/>
      </c>
      <c r="Q179" s="24">
        <f>IF($J179="","",MONTH($J179))</f>
        <v/>
      </c>
      <c r="R179" s="24">
        <f>IF($J179="","",$P179&amp;"-"&amp;TEXT($Q179,"00"))</f>
        <v/>
      </c>
      <c r="S179" s="24">
        <f>IF($J179="","",INDEX(lista_dias,WEEKDAY($J179,2)))</f>
        <v/>
      </c>
      <c r="T179" s="24">
        <f>IF($J179="","",IFERROR(INDEX('CALENDARIO'!$C$15:$C$214,MATCH(TEXT($J179,"yyyy-mm-dd")&amp;"|"&amp;$Y179&amp;"|"&amp;$Z179,'CALENDARIO'!$G$15:$G$214,0)),IFERROR(INDEX('CALENDARIO'!$C$15:$C$214,MATCH(TEXT($J179,"yyyy-mm-dd")&amp;"|"&amp;$Y179&amp;"|",'CALENDARIO'!$G$15:$G$214,0)),IFERROR(INDEX('CALENDARIO'!$C$15:$C$214,MATCH(TEXT($J179,"yyyy-mm-dd")&amp;"||",'CALENDARIO'!$G$15:$G$214,0)),INDEX(patronHabil,WEEKDAY($J179,2))))))</f>
        <v/>
      </c>
      <c r="U179" s="24">
        <f>IF($I179="","",IFERROR(INDEX('CAT_TIPOS_OT'!$C$4:$C$23,MATCH($I179,'CAT_TIPOS_OT'!$A$4:$A$23,0)),"sin_clasificar"))</f>
        <v/>
      </c>
      <c r="V179" s="24">
        <f>IF($I179="","",IF(IFERROR(INDEX('CAT_TIPOS_OT'!$D$4:$D$23,MATCH($I179,'CAT_TIPOS_OT'!$A$4:$A$23,0)),"SIN CLASIFICAR")="","SIN CLASIFICAR",IFERROR(INDEX('CAT_TIPOS_OT'!$D$4:$D$23,MATCH($I179,'CAT_TIPOS_OT'!$A$4:$A$23,0)),"SIN CLASIFICAR")))</f>
        <v/>
      </c>
      <c r="W179" s="24">
        <f>IF($H179="","",IF(IFERROR(INDEX('CAT_ACTIVIDADES'!$F$4:$F$26,MATCH($H179,'CAT_ACTIVIDADES'!$A$4:$A$26,0)),"")=0,"",IFERROR(INDEX('CAT_ACTIVIDADES'!$F$4:$F$26,MATCH($H179,'CAT_ACTIVIDADES'!$A$4:$A$26,0)),"")))</f>
        <v/>
      </c>
      <c r="X179" s="24">
        <f>IF($F179="","",IFERROR(INDEX('CAT_CENTROS_COSTO'!$F$4:$F$28,MATCH($F179,'CAT_CENTROS_COSTO'!$A$4:$A$28,0)),"(sin catálogo)"))</f>
        <v/>
      </c>
      <c r="Y179" s="24">
        <f>IF($F179="","",IFERROR(INDEX('CAT_CENTROS_COSTO'!$D$4:$D$28,MATCH($F179,'CAT_CENTROS_COSTO'!$A$4:$A$28,0)),"(sin catálogo)"))</f>
        <v/>
      </c>
      <c r="Z179" s="24">
        <f>IF($F179="","",IF((IFERROR(INDEX('CAT_CENTROS_COSTO'!$E$4:$E$28,MATCH($F179,'CAT_CENTROS_COSTO'!$A$4:$A$28,0)),""))&lt;&gt;"",IFERROR(INDEX('CAT_CENTROS_COSTO'!$E$4:$E$28,MATCH($F179,'CAT_CENTROS_COSTO'!$A$4:$A$28,0)),""),$Y179))</f>
        <v/>
      </c>
      <c r="AA179" s="24">
        <f>IF($F179="","",IFERROR(INDEX('CAT_CENTROS_COSTO'!$G$4:$G$28,MATCH($F179,'CAT_CENTROS_COSTO'!$A$4:$A$28,0)),"(sin catálogo)"))</f>
        <v/>
      </c>
      <c r="AB179" s="24">
        <f>IF($G179="","",IFERROR(INDEX('CAT_PUESTOS'!$B$4:$B$23,MATCH($G179,'CAT_PUESTOS'!$A$4:$A$23,0)),"(sin catálogo)"))</f>
        <v/>
      </c>
      <c r="AC179" s="24">
        <f>IF($H179="","",IFERROR(INDEX('CAT_ACTIVIDADES'!$B$4:$B$26,MATCH($H179,'CAT_ACTIVIDADES'!$A$4:$A$26,0)),"(sin catálogo)"))</f>
        <v/>
      </c>
      <c r="AD179" s="26">
        <f>IF($J179="","",TODAY()-$J179)</f>
        <v/>
      </c>
      <c r="AE179" s="26">
        <f>IF($J179="","",IF($J179&lt;=TODAY(),COUNTIFS(cal_fechas,"&gt;="&amp;$J179,cal_fechas,"&lt;"&amp;TODAY(),cal_habil,"sí"),-COUNTIFS(cal_fechas,"&gt;="&amp;TODAY(),cal_fechas,"&lt;"&amp;$J179,cal_habil,"sí")))</f>
        <v/>
      </c>
      <c r="AF179" s="24">
        <f>IF($AE179="","",IF($AE179&lt;0,"FUTURO",IF($AE179&gt;p_dias_backlog_max,"BACKLOG","MES CORRIENTE")))</f>
        <v/>
      </c>
      <c r="AG179" s="24">
        <f>IF($AE179="",FALSE,AND($AE179&gt;p_dias_backlog_min,$AE179&lt;=p_dias_backlog_max))</f>
        <v/>
      </c>
      <c r="AH179" s="4" t="n"/>
      <c r="AI179" s="24">
        <f>IF($AH179="","",IF((IFERROR(INDEX('ASIGNACIONES'!$J$4:$J$451,MATCH($O179&amp;"|"&amp;$S179&amp;"|"&amp;$AH179,'ASIGNACIONES'!$N$4:$N$451,0)),""))=0,"",IFERROR(INDEX('ASIGNACIONES'!$J$4:$J$451,MATCH($O179&amp;"|"&amp;$S179&amp;"|"&amp;$AH179,'ASIGNACIONES'!$N$4:$N$451,0)),"")))</f>
        <v/>
      </c>
      <c r="AJ179" s="42">
        <f>IF($AH179="","",SUMIFS('ORDENES'!$M$4:$M$1203,'ORDENES'!$AH$4:$AH$1203,$AH179,'ORDENES'!$O$4:$O$1203,$O179,'ORDENES'!$S$4:$S$1203,$S179))</f>
        <v/>
      </c>
      <c r="AK179" s="42">
        <f>IF($AJ179="","",p_factor_productividad*IFERROR(INDEX('ASIGNACIONES'!$M$4:$M$451,MATCH($O179&amp;"|"&amp;$S179&amp;"|"&amp;$AH179,'ASIGNACIONES'!$N$4:$N$451,0)),0)-$AJ179)</f>
        <v/>
      </c>
      <c r="AL179" s="32">
        <f>IF($A179="","",IFERROR(INDEX('2_IMPORTAR_EJECUCION'!$F$9:$F$1208,MATCH($AU179,'2_IMPORTAR_EJECUCION'!$J$9:$J$1208,0)),0))</f>
        <v/>
      </c>
      <c r="AM179" s="32">
        <f>IF($A179="","",MAX(0,IFERROR(INDEX('2_IMPORTAR_EJECUCION'!$H$9:$H$1208,MATCH($AU179,'2_IMPORTAR_EJECUCION'!$J$9:$J$1208,0)),0)-$AL179))</f>
        <v/>
      </c>
      <c r="AN179" s="32">
        <f>IF($A179="","",$AL179+$AM179)</f>
        <v/>
      </c>
      <c r="AO179" s="24">
        <f>IF($A179="","",IF(OR((IFERROR(INDEX('CAT_ACTIVIDADES'!$D$4:$D$26,MATCH($H179,'CAT_ACTIVIDADES'!$A$4:$A$26,0)),""))=0,(IFERROR(INDEX('CAT_ACTIVIDADES'!$D$4:$D$26,MATCH($H179,'CAT_ACTIVIDADES'!$A$4:$A$26,0)),""))=""),"SIN CLASIFICAR",IFERROR(INDEX('CAT_ACTIVIDADES'!$D$4:$D$26,MATCH($H179,'CAT_ACTIVIDADES'!$A$4:$A$26,0)),"")))</f>
        <v/>
      </c>
      <c r="AP179" s="4" t="n"/>
      <c r="AQ179" s="4" t="n"/>
      <c r="AR179" s="4" t="n"/>
      <c r="AS179" s="24">
        <f>IF($AR179="","",HYPERLINK(p_ruta_base_checklists&amp;$AR179,"abrir"))</f>
        <v/>
      </c>
      <c r="AT179" s="4" t="n"/>
      <c r="AU179" s="24">
        <f>IF($A179="","",$A179&amp;IF($B179="","0010",$B179))</f>
        <v/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41" t="n"/>
      <c r="K180" s="5" t="n"/>
      <c r="L180" s="18" t="n"/>
      <c r="M180" s="24">
        <f>IF($A180="","",IFERROR(INDEX('AJUSTES'!$B$4:$B$303,MATCH($AU180,'AJUSTES'!$A$4:$A$303,0)),IF($K180="","",$K180)))</f>
        <v/>
      </c>
      <c r="N180" s="24">
        <f>IF($A180="","",IFERROR(INDEX('CAT_ESTADOS_ERP'!$B$4:$B$22,MATCH(IFERROR(INDEX('2_IMPORTAR_EJECUCION'!$C$9:$C$1208,MATCH($AU180,'2_IMPORTAR_EJECUCION'!$J$9:$J$1208,0)),""),'CAT_ESTADOS_ERP'!$A$4:$A$22,0)),"Pendiente"))</f>
        <v/>
      </c>
      <c r="O180" s="24">
        <f>IF($J180="","",YEAR($J180+4-WEEKDAY($J180,2))&amp;"-S"&amp;TEXT(_xlfn.ISOWEEKNUM($J180),"00"))</f>
        <v/>
      </c>
      <c r="P180" s="24">
        <f>IF($J180="","",YEAR($J180))</f>
        <v/>
      </c>
      <c r="Q180" s="24">
        <f>IF($J180="","",MONTH($J180))</f>
        <v/>
      </c>
      <c r="R180" s="24">
        <f>IF($J180="","",$P180&amp;"-"&amp;TEXT($Q180,"00"))</f>
        <v/>
      </c>
      <c r="S180" s="24">
        <f>IF($J180="","",INDEX(lista_dias,WEEKDAY($J180,2)))</f>
        <v/>
      </c>
      <c r="T180" s="24">
        <f>IF($J180="","",IFERROR(INDEX('CALENDARIO'!$C$15:$C$214,MATCH(TEXT($J180,"yyyy-mm-dd")&amp;"|"&amp;$Y180&amp;"|"&amp;$Z180,'CALENDARIO'!$G$15:$G$214,0)),IFERROR(INDEX('CALENDARIO'!$C$15:$C$214,MATCH(TEXT($J180,"yyyy-mm-dd")&amp;"|"&amp;$Y180&amp;"|",'CALENDARIO'!$G$15:$G$214,0)),IFERROR(INDEX('CALENDARIO'!$C$15:$C$214,MATCH(TEXT($J180,"yyyy-mm-dd")&amp;"||",'CALENDARIO'!$G$15:$G$214,0)),INDEX(patronHabil,WEEKDAY($J180,2))))))</f>
        <v/>
      </c>
      <c r="U180" s="24">
        <f>IF($I180="","",IFERROR(INDEX('CAT_TIPOS_OT'!$C$4:$C$23,MATCH($I180,'CAT_TIPOS_OT'!$A$4:$A$23,0)),"sin_clasificar"))</f>
        <v/>
      </c>
      <c r="V180" s="24">
        <f>IF($I180="","",IF(IFERROR(INDEX('CAT_TIPOS_OT'!$D$4:$D$23,MATCH($I180,'CAT_TIPOS_OT'!$A$4:$A$23,0)),"SIN CLASIFICAR")="","SIN CLASIFICAR",IFERROR(INDEX('CAT_TIPOS_OT'!$D$4:$D$23,MATCH($I180,'CAT_TIPOS_OT'!$A$4:$A$23,0)),"SIN CLASIFICAR")))</f>
        <v/>
      </c>
      <c r="W180" s="24">
        <f>IF($H180="","",IF(IFERROR(INDEX('CAT_ACTIVIDADES'!$F$4:$F$26,MATCH($H180,'CAT_ACTIVIDADES'!$A$4:$A$26,0)),"")=0,"",IFERROR(INDEX('CAT_ACTIVIDADES'!$F$4:$F$26,MATCH($H180,'CAT_ACTIVIDADES'!$A$4:$A$26,0)),"")))</f>
        <v/>
      </c>
      <c r="X180" s="24">
        <f>IF($F180="","",IFERROR(INDEX('CAT_CENTROS_COSTO'!$F$4:$F$28,MATCH($F180,'CAT_CENTROS_COSTO'!$A$4:$A$28,0)),"(sin catálogo)"))</f>
        <v/>
      </c>
      <c r="Y180" s="24">
        <f>IF($F180="","",IFERROR(INDEX('CAT_CENTROS_COSTO'!$D$4:$D$28,MATCH($F180,'CAT_CENTROS_COSTO'!$A$4:$A$28,0)),"(sin catálogo)"))</f>
        <v/>
      </c>
      <c r="Z180" s="24">
        <f>IF($F180="","",IF((IFERROR(INDEX('CAT_CENTROS_COSTO'!$E$4:$E$28,MATCH($F180,'CAT_CENTROS_COSTO'!$A$4:$A$28,0)),""))&lt;&gt;"",IFERROR(INDEX('CAT_CENTROS_COSTO'!$E$4:$E$28,MATCH($F180,'CAT_CENTROS_COSTO'!$A$4:$A$28,0)),""),$Y180))</f>
        <v/>
      </c>
      <c r="AA180" s="24">
        <f>IF($F180="","",IFERROR(INDEX('CAT_CENTROS_COSTO'!$G$4:$G$28,MATCH($F180,'CAT_CENTROS_COSTO'!$A$4:$A$28,0)),"(sin catálogo)"))</f>
        <v/>
      </c>
      <c r="AB180" s="24">
        <f>IF($G180="","",IFERROR(INDEX('CAT_PUESTOS'!$B$4:$B$23,MATCH($G180,'CAT_PUESTOS'!$A$4:$A$23,0)),"(sin catálogo)"))</f>
        <v/>
      </c>
      <c r="AC180" s="24">
        <f>IF($H180="","",IFERROR(INDEX('CAT_ACTIVIDADES'!$B$4:$B$26,MATCH($H180,'CAT_ACTIVIDADES'!$A$4:$A$26,0)),"(sin catálogo)"))</f>
        <v/>
      </c>
      <c r="AD180" s="26">
        <f>IF($J180="","",TODAY()-$J180)</f>
        <v/>
      </c>
      <c r="AE180" s="26">
        <f>IF($J180="","",IF($J180&lt;=TODAY(),COUNTIFS(cal_fechas,"&gt;="&amp;$J180,cal_fechas,"&lt;"&amp;TODAY(),cal_habil,"sí"),-COUNTIFS(cal_fechas,"&gt;="&amp;TODAY(),cal_fechas,"&lt;"&amp;$J180,cal_habil,"sí")))</f>
        <v/>
      </c>
      <c r="AF180" s="24">
        <f>IF($AE180="","",IF($AE180&lt;0,"FUTURO",IF($AE180&gt;p_dias_backlog_max,"BACKLOG","MES CORRIENTE")))</f>
        <v/>
      </c>
      <c r="AG180" s="24">
        <f>IF($AE180="",FALSE,AND($AE180&gt;p_dias_backlog_min,$AE180&lt;=p_dias_backlog_max))</f>
        <v/>
      </c>
      <c r="AH180" s="4" t="n"/>
      <c r="AI180" s="24">
        <f>IF($AH180="","",IF((IFERROR(INDEX('ASIGNACIONES'!$J$4:$J$451,MATCH($O180&amp;"|"&amp;$S180&amp;"|"&amp;$AH180,'ASIGNACIONES'!$N$4:$N$451,0)),""))=0,"",IFERROR(INDEX('ASIGNACIONES'!$J$4:$J$451,MATCH($O180&amp;"|"&amp;$S180&amp;"|"&amp;$AH180,'ASIGNACIONES'!$N$4:$N$451,0)),"")))</f>
        <v/>
      </c>
      <c r="AJ180" s="42">
        <f>IF($AH180="","",SUMIFS('ORDENES'!$M$4:$M$1203,'ORDENES'!$AH$4:$AH$1203,$AH180,'ORDENES'!$O$4:$O$1203,$O180,'ORDENES'!$S$4:$S$1203,$S180))</f>
        <v/>
      </c>
      <c r="AK180" s="42">
        <f>IF($AJ180="","",p_factor_productividad*IFERROR(INDEX('ASIGNACIONES'!$M$4:$M$451,MATCH($O180&amp;"|"&amp;$S180&amp;"|"&amp;$AH180,'ASIGNACIONES'!$N$4:$N$451,0)),0)-$AJ180)</f>
        <v/>
      </c>
      <c r="AL180" s="32">
        <f>IF($A180="","",IFERROR(INDEX('2_IMPORTAR_EJECUCION'!$F$9:$F$1208,MATCH($AU180,'2_IMPORTAR_EJECUCION'!$J$9:$J$1208,0)),0))</f>
        <v/>
      </c>
      <c r="AM180" s="32">
        <f>IF($A180="","",MAX(0,IFERROR(INDEX('2_IMPORTAR_EJECUCION'!$H$9:$H$1208,MATCH($AU180,'2_IMPORTAR_EJECUCION'!$J$9:$J$1208,0)),0)-$AL180))</f>
        <v/>
      </c>
      <c r="AN180" s="32">
        <f>IF($A180="","",$AL180+$AM180)</f>
        <v/>
      </c>
      <c r="AO180" s="24">
        <f>IF($A180="","",IF(OR((IFERROR(INDEX('CAT_ACTIVIDADES'!$D$4:$D$26,MATCH($H180,'CAT_ACTIVIDADES'!$A$4:$A$26,0)),""))=0,(IFERROR(INDEX('CAT_ACTIVIDADES'!$D$4:$D$26,MATCH($H180,'CAT_ACTIVIDADES'!$A$4:$A$26,0)),""))=""),"SIN CLASIFICAR",IFERROR(INDEX('CAT_ACTIVIDADES'!$D$4:$D$26,MATCH($H180,'CAT_ACTIVIDADES'!$A$4:$A$26,0)),"")))</f>
        <v/>
      </c>
      <c r="AP180" s="4" t="n"/>
      <c r="AQ180" s="4" t="n"/>
      <c r="AR180" s="4" t="n"/>
      <c r="AS180" s="24">
        <f>IF($AR180="","",HYPERLINK(p_ruta_base_checklists&amp;$AR180,"abrir"))</f>
        <v/>
      </c>
      <c r="AT180" s="4" t="n"/>
      <c r="AU180" s="24">
        <f>IF($A180="","",$A180&amp;IF($B180="","0010",$B180))</f>
        <v/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41" t="n"/>
      <c r="K181" s="5" t="n"/>
      <c r="L181" s="18" t="n"/>
      <c r="M181" s="24">
        <f>IF($A181="","",IFERROR(INDEX('AJUSTES'!$B$4:$B$303,MATCH($AU181,'AJUSTES'!$A$4:$A$303,0)),IF($K181="","",$K181)))</f>
        <v/>
      </c>
      <c r="N181" s="24">
        <f>IF($A181="","",IFERROR(INDEX('CAT_ESTADOS_ERP'!$B$4:$B$22,MATCH(IFERROR(INDEX('2_IMPORTAR_EJECUCION'!$C$9:$C$1208,MATCH($AU181,'2_IMPORTAR_EJECUCION'!$J$9:$J$1208,0)),""),'CAT_ESTADOS_ERP'!$A$4:$A$22,0)),"Pendiente"))</f>
        <v/>
      </c>
      <c r="O181" s="24">
        <f>IF($J181="","",YEAR($J181+4-WEEKDAY($J181,2))&amp;"-S"&amp;TEXT(_xlfn.ISOWEEKNUM($J181),"00"))</f>
        <v/>
      </c>
      <c r="P181" s="24">
        <f>IF($J181="","",YEAR($J181))</f>
        <v/>
      </c>
      <c r="Q181" s="24">
        <f>IF($J181="","",MONTH($J181))</f>
        <v/>
      </c>
      <c r="R181" s="24">
        <f>IF($J181="","",$P181&amp;"-"&amp;TEXT($Q181,"00"))</f>
        <v/>
      </c>
      <c r="S181" s="24">
        <f>IF($J181="","",INDEX(lista_dias,WEEKDAY($J181,2)))</f>
        <v/>
      </c>
      <c r="T181" s="24">
        <f>IF($J181="","",IFERROR(INDEX('CALENDARIO'!$C$15:$C$214,MATCH(TEXT($J181,"yyyy-mm-dd")&amp;"|"&amp;$Y181&amp;"|"&amp;$Z181,'CALENDARIO'!$G$15:$G$214,0)),IFERROR(INDEX('CALENDARIO'!$C$15:$C$214,MATCH(TEXT($J181,"yyyy-mm-dd")&amp;"|"&amp;$Y181&amp;"|",'CALENDARIO'!$G$15:$G$214,0)),IFERROR(INDEX('CALENDARIO'!$C$15:$C$214,MATCH(TEXT($J181,"yyyy-mm-dd")&amp;"||",'CALENDARIO'!$G$15:$G$214,0)),INDEX(patronHabil,WEEKDAY($J181,2))))))</f>
        <v/>
      </c>
      <c r="U181" s="24">
        <f>IF($I181="","",IFERROR(INDEX('CAT_TIPOS_OT'!$C$4:$C$23,MATCH($I181,'CAT_TIPOS_OT'!$A$4:$A$23,0)),"sin_clasificar"))</f>
        <v/>
      </c>
      <c r="V181" s="24">
        <f>IF($I181="","",IF(IFERROR(INDEX('CAT_TIPOS_OT'!$D$4:$D$23,MATCH($I181,'CAT_TIPOS_OT'!$A$4:$A$23,0)),"SIN CLASIFICAR")="","SIN CLASIFICAR",IFERROR(INDEX('CAT_TIPOS_OT'!$D$4:$D$23,MATCH($I181,'CAT_TIPOS_OT'!$A$4:$A$23,0)),"SIN CLASIFICAR")))</f>
        <v/>
      </c>
      <c r="W181" s="24">
        <f>IF($H181="","",IF(IFERROR(INDEX('CAT_ACTIVIDADES'!$F$4:$F$26,MATCH($H181,'CAT_ACTIVIDADES'!$A$4:$A$26,0)),"")=0,"",IFERROR(INDEX('CAT_ACTIVIDADES'!$F$4:$F$26,MATCH($H181,'CAT_ACTIVIDADES'!$A$4:$A$26,0)),"")))</f>
        <v/>
      </c>
      <c r="X181" s="24">
        <f>IF($F181="","",IFERROR(INDEX('CAT_CENTROS_COSTO'!$F$4:$F$28,MATCH($F181,'CAT_CENTROS_COSTO'!$A$4:$A$28,0)),"(sin catálogo)"))</f>
        <v/>
      </c>
      <c r="Y181" s="24">
        <f>IF($F181="","",IFERROR(INDEX('CAT_CENTROS_COSTO'!$D$4:$D$28,MATCH($F181,'CAT_CENTROS_COSTO'!$A$4:$A$28,0)),"(sin catálogo)"))</f>
        <v/>
      </c>
      <c r="Z181" s="24">
        <f>IF($F181="","",IF((IFERROR(INDEX('CAT_CENTROS_COSTO'!$E$4:$E$28,MATCH($F181,'CAT_CENTROS_COSTO'!$A$4:$A$28,0)),""))&lt;&gt;"",IFERROR(INDEX('CAT_CENTROS_COSTO'!$E$4:$E$28,MATCH($F181,'CAT_CENTROS_COSTO'!$A$4:$A$28,0)),""),$Y181))</f>
        <v/>
      </c>
      <c r="AA181" s="24">
        <f>IF($F181="","",IFERROR(INDEX('CAT_CENTROS_COSTO'!$G$4:$G$28,MATCH($F181,'CAT_CENTROS_COSTO'!$A$4:$A$28,0)),"(sin catálogo)"))</f>
        <v/>
      </c>
      <c r="AB181" s="24">
        <f>IF($G181="","",IFERROR(INDEX('CAT_PUESTOS'!$B$4:$B$23,MATCH($G181,'CAT_PUESTOS'!$A$4:$A$23,0)),"(sin catálogo)"))</f>
        <v/>
      </c>
      <c r="AC181" s="24">
        <f>IF($H181="","",IFERROR(INDEX('CAT_ACTIVIDADES'!$B$4:$B$26,MATCH($H181,'CAT_ACTIVIDADES'!$A$4:$A$26,0)),"(sin catálogo)"))</f>
        <v/>
      </c>
      <c r="AD181" s="26">
        <f>IF($J181="","",TODAY()-$J181)</f>
        <v/>
      </c>
      <c r="AE181" s="26">
        <f>IF($J181="","",IF($J181&lt;=TODAY(),COUNTIFS(cal_fechas,"&gt;="&amp;$J181,cal_fechas,"&lt;"&amp;TODAY(),cal_habil,"sí"),-COUNTIFS(cal_fechas,"&gt;="&amp;TODAY(),cal_fechas,"&lt;"&amp;$J181,cal_habil,"sí")))</f>
        <v/>
      </c>
      <c r="AF181" s="24">
        <f>IF($AE181="","",IF($AE181&lt;0,"FUTURO",IF($AE181&gt;p_dias_backlog_max,"BACKLOG","MES CORRIENTE")))</f>
        <v/>
      </c>
      <c r="AG181" s="24">
        <f>IF($AE181="",FALSE,AND($AE181&gt;p_dias_backlog_min,$AE181&lt;=p_dias_backlog_max))</f>
        <v/>
      </c>
      <c r="AH181" s="4" t="n"/>
      <c r="AI181" s="24">
        <f>IF($AH181="","",IF((IFERROR(INDEX('ASIGNACIONES'!$J$4:$J$451,MATCH($O181&amp;"|"&amp;$S181&amp;"|"&amp;$AH181,'ASIGNACIONES'!$N$4:$N$451,0)),""))=0,"",IFERROR(INDEX('ASIGNACIONES'!$J$4:$J$451,MATCH($O181&amp;"|"&amp;$S181&amp;"|"&amp;$AH181,'ASIGNACIONES'!$N$4:$N$451,0)),"")))</f>
        <v/>
      </c>
      <c r="AJ181" s="42">
        <f>IF($AH181="","",SUMIFS('ORDENES'!$M$4:$M$1203,'ORDENES'!$AH$4:$AH$1203,$AH181,'ORDENES'!$O$4:$O$1203,$O181,'ORDENES'!$S$4:$S$1203,$S181))</f>
        <v/>
      </c>
      <c r="AK181" s="42">
        <f>IF($AJ181="","",p_factor_productividad*IFERROR(INDEX('ASIGNACIONES'!$M$4:$M$451,MATCH($O181&amp;"|"&amp;$S181&amp;"|"&amp;$AH181,'ASIGNACIONES'!$N$4:$N$451,0)),0)-$AJ181)</f>
        <v/>
      </c>
      <c r="AL181" s="32">
        <f>IF($A181="","",IFERROR(INDEX('2_IMPORTAR_EJECUCION'!$F$9:$F$1208,MATCH($AU181,'2_IMPORTAR_EJECUCION'!$J$9:$J$1208,0)),0))</f>
        <v/>
      </c>
      <c r="AM181" s="32">
        <f>IF($A181="","",MAX(0,IFERROR(INDEX('2_IMPORTAR_EJECUCION'!$H$9:$H$1208,MATCH($AU181,'2_IMPORTAR_EJECUCION'!$J$9:$J$1208,0)),0)-$AL181))</f>
        <v/>
      </c>
      <c r="AN181" s="32">
        <f>IF($A181="","",$AL181+$AM181)</f>
        <v/>
      </c>
      <c r="AO181" s="24">
        <f>IF($A181="","",IF(OR((IFERROR(INDEX('CAT_ACTIVIDADES'!$D$4:$D$26,MATCH($H181,'CAT_ACTIVIDADES'!$A$4:$A$26,0)),""))=0,(IFERROR(INDEX('CAT_ACTIVIDADES'!$D$4:$D$26,MATCH($H181,'CAT_ACTIVIDADES'!$A$4:$A$26,0)),""))=""),"SIN CLASIFICAR",IFERROR(INDEX('CAT_ACTIVIDADES'!$D$4:$D$26,MATCH($H181,'CAT_ACTIVIDADES'!$A$4:$A$26,0)),"")))</f>
        <v/>
      </c>
      <c r="AP181" s="4" t="n"/>
      <c r="AQ181" s="4" t="n"/>
      <c r="AR181" s="4" t="n"/>
      <c r="AS181" s="24">
        <f>IF($AR181="","",HYPERLINK(p_ruta_base_checklists&amp;$AR181,"abrir"))</f>
        <v/>
      </c>
      <c r="AT181" s="4" t="n"/>
      <c r="AU181" s="24">
        <f>IF($A181="","",$A181&amp;IF($B181="","0010",$B181))</f>
        <v/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41" t="n"/>
      <c r="K182" s="5" t="n"/>
      <c r="L182" s="18" t="n"/>
      <c r="M182" s="24">
        <f>IF($A182="","",IFERROR(INDEX('AJUSTES'!$B$4:$B$303,MATCH($AU182,'AJUSTES'!$A$4:$A$303,0)),IF($K182="","",$K182)))</f>
        <v/>
      </c>
      <c r="N182" s="24">
        <f>IF($A182="","",IFERROR(INDEX('CAT_ESTADOS_ERP'!$B$4:$B$22,MATCH(IFERROR(INDEX('2_IMPORTAR_EJECUCION'!$C$9:$C$1208,MATCH($AU182,'2_IMPORTAR_EJECUCION'!$J$9:$J$1208,0)),""),'CAT_ESTADOS_ERP'!$A$4:$A$22,0)),"Pendiente"))</f>
        <v/>
      </c>
      <c r="O182" s="24">
        <f>IF($J182="","",YEAR($J182+4-WEEKDAY($J182,2))&amp;"-S"&amp;TEXT(_xlfn.ISOWEEKNUM($J182),"00"))</f>
        <v/>
      </c>
      <c r="P182" s="24">
        <f>IF($J182="","",YEAR($J182))</f>
        <v/>
      </c>
      <c r="Q182" s="24">
        <f>IF($J182="","",MONTH($J182))</f>
        <v/>
      </c>
      <c r="R182" s="24">
        <f>IF($J182="","",$P182&amp;"-"&amp;TEXT($Q182,"00"))</f>
        <v/>
      </c>
      <c r="S182" s="24">
        <f>IF($J182="","",INDEX(lista_dias,WEEKDAY($J182,2)))</f>
        <v/>
      </c>
      <c r="T182" s="24">
        <f>IF($J182="","",IFERROR(INDEX('CALENDARIO'!$C$15:$C$214,MATCH(TEXT($J182,"yyyy-mm-dd")&amp;"|"&amp;$Y182&amp;"|"&amp;$Z182,'CALENDARIO'!$G$15:$G$214,0)),IFERROR(INDEX('CALENDARIO'!$C$15:$C$214,MATCH(TEXT($J182,"yyyy-mm-dd")&amp;"|"&amp;$Y182&amp;"|",'CALENDARIO'!$G$15:$G$214,0)),IFERROR(INDEX('CALENDARIO'!$C$15:$C$214,MATCH(TEXT($J182,"yyyy-mm-dd")&amp;"||",'CALENDARIO'!$G$15:$G$214,0)),INDEX(patronHabil,WEEKDAY($J182,2))))))</f>
        <v/>
      </c>
      <c r="U182" s="24">
        <f>IF($I182="","",IFERROR(INDEX('CAT_TIPOS_OT'!$C$4:$C$23,MATCH($I182,'CAT_TIPOS_OT'!$A$4:$A$23,0)),"sin_clasificar"))</f>
        <v/>
      </c>
      <c r="V182" s="24">
        <f>IF($I182="","",IF(IFERROR(INDEX('CAT_TIPOS_OT'!$D$4:$D$23,MATCH($I182,'CAT_TIPOS_OT'!$A$4:$A$23,0)),"SIN CLASIFICAR")="","SIN CLASIFICAR",IFERROR(INDEX('CAT_TIPOS_OT'!$D$4:$D$23,MATCH($I182,'CAT_TIPOS_OT'!$A$4:$A$23,0)),"SIN CLASIFICAR")))</f>
        <v/>
      </c>
      <c r="W182" s="24">
        <f>IF($H182="","",IF(IFERROR(INDEX('CAT_ACTIVIDADES'!$F$4:$F$26,MATCH($H182,'CAT_ACTIVIDADES'!$A$4:$A$26,0)),"")=0,"",IFERROR(INDEX('CAT_ACTIVIDADES'!$F$4:$F$26,MATCH($H182,'CAT_ACTIVIDADES'!$A$4:$A$26,0)),"")))</f>
        <v/>
      </c>
      <c r="X182" s="24">
        <f>IF($F182="","",IFERROR(INDEX('CAT_CENTROS_COSTO'!$F$4:$F$28,MATCH($F182,'CAT_CENTROS_COSTO'!$A$4:$A$28,0)),"(sin catálogo)"))</f>
        <v/>
      </c>
      <c r="Y182" s="24">
        <f>IF($F182="","",IFERROR(INDEX('CAT_CENTROS_COSTO'!$D$4:$D$28,MATCH($F182,'CAT_CENTROS_COSTO'!$A$4:$A$28,0)),"(sin catálogo)"))</f>
        <v/>
      </c>
      <c r="Z182" s="24">
        <f>IF($F182="","",IF((IFERROR(INDEX('CAT_CENTROS_COSTO'!$E$4:$E$28,MATCH($F182,'CAT_CENTROS_COSTO'!$A$4:$A$28,0)),""))&lt;&gt;"",IFERROR(INDEX('CAT_CENTROS_COSTO'!$E$4:$E$28,MATCH($F182,'CAT_CENTROS_COSTO'!$A$4:$A$28,0)),""),$Y182))</f>
        <v/>
      </c>
      <c r="AA182" s="24">
        <f>IF($F182="","",IFERROR(INDEX('CAT_CENTROS_COSTO'!$G$4:$G$28,MATCH($F182,'CAT_CENTROS_COSTO'!$A$4:$A$28,0)),"(sin catálogo)"))</f>
        <v/>
      </c>
      <c r="AB182" s="24">
        <f>IF($G182="","",IFERROR(INDEX('CAT_PUESTOS'!$B$4:$B$23,MATCH($G182,'CAT_PUESTOS'!$A$4:$A$23,0)),"(sin catálogo)"))</f>
        <v/>
      </c>
      <c r="AC182" s="24">
        <f>IF($H182="","",IFERROR(INDEX('CAT_ACTIVIDADES'!$B$4:$B$26,MATCH($H182,'CAT_ACTIVIDADES'!$A$4:$A$26,0)),"(sin catálogo)"))</f>
        <v/>
      </c>
      <c r="AD182" s="26">
        <f>IF($J182="","",TODAY()-$J182)</f>
        <v/>
      </c>
      <c r="AE182" s="26">
        <f>IF($J182="","",IF($J182&lt;=TODAY(),COUNTIFS(cal_fechas,"&gt;="&amp;$J182,cal_fechas,"&lt;"&amp;TODAY(),cal_habil,"sí"),-COUNTIFS(cal_fechas,"&gt;="&amp;TODAY(),cal_fechas,"&lt;"&amp;$J182,cal_habil,"sí")))</f>
        <v/>
      </c>
      <c r="AF182" s="24">
        <f>IF($AE182="","",IF($AE182&lt;0,"FUTURO",IF($AE182&gt;p_dias_backlog_max,"BACKLOG","MES CORRIENTE")))</f>
        <v/>
      </c>
      <c r="AG182" s="24">
        <f>IF($AE182="",FALSE,AND($AE182&gt;p_dias_backlog_min,$AE182&lt;=p_dias_backlog_max))</f>
        <v/>
      </c>
      <c r="AH182" s="4" t="n"/>
      <c r="AI182" s="24">
        <f>IF($AH182="","",IF((IFERROR(INDEX('ASIGNACIONES'!$J$4:$J$451,MATCH($O182&amp;"|"&amp;$S182&amp;"|"&amp;$AH182,'ASIGNACIONES'!$N$4:$N$451,0)),""))=0,"",IFERROR(INDEX('ASIGNACIONES'!$J$4:$J$451,MATCH($O182&amp;"|"&amp;$S182&amp;"|"&amp;$AH182,'ASIGNACIONES'!$N$4:$N$451,0)),"")))</f>
        <v/>
      </c>
      <c r="AJ182" s="42">
        <f>IF($AH182="","",SUMIFS('ORDENES'!$M$4:$M$1203,'ORDENES'!$AH$4:$AH$1203,$AH182,'ORDENES'!$O$4:$O$1203,$O182,'ORDENES'!$S$4:$S$1203,$S182))</f>
        <v/>
      </c>
      <c r="AK182" s="42">
        <f>IF($AJ182="","",p_factor_productividad*IFERROR(INDEX('ASIGNACIONES'!$M$4:$M$451,MATCH($O182&amp;"|"&amp;$S182&amp;"|"&amp;$AH182,'ASIGNACIONES'!$N$4:$N$451,0)),0)-$AJ182)</f>
        <v/>
      </c>
      <c r="AL182" s="32">
        <f>IF($A182="","",IFERROR(INDEX('2_IMPORTAR_EJECUCION'!$F$9:$F$1208,MATCH($AU182,'2_IMPORTAR_EJECUCION'!$J$9:$J$1208,0)),0))</f>
        <v/>
      </c>
      <c r="AM182" s="32">
        <f>IF($A182="","",MAX(0,IFERROR(INDEX('2_IMPORTAR_EJECUCION'!$H$9:$H$1208,MATCH($AU182,'2_IMPORTAR_EJECUCION'!$J$9:$J$1208,0)),0)-$AL182))</f>
        <v/>
      </c>
      <c r="AN182" s="32">
        <f>IF($A182="","",$AL182+$AM182)</f>
        <v/>
      </c>
      <c r="AO182" s="24">
        <f>IF($A182="","",IF(OR((IFERROR(INDEX('CAT_ACTIVIDADES'!$D$4:$D$26,MATCH($H182,'CAT_ACTIVIDADES'!$A$4:$A$26,0)),""))=0,(IFERROR(INDEX('CAT_ACTIVIDADES'!$D$4:$D$26,MATCH($H182,'CAT_ACTIVIDADES'!$A$4:$A$26,0)),""))=""),"SIN CLASIFICAR",IFERROR(INDEX('CAT_ACTIVIDADES'!$D$4:$D$26,MATCH($H182,'CAT_ACTIVIDADES'!$A$4:$A$26,0)),"")))</f>
        <v/>
      </c>
      <c r="AP182" s="4" t="n"/>
      <c r="AQ182" s="4" t="n"/>
      <c r="AR182" s="4" t="n"/>
      <c r="AS182" s="24">
        <f>IF($AR182="","",HYPERLINK(p_ruta_base_checklists&amp;$AR182,"abrir"))</f>
        <v/>
      </c>
      <c r="AT182" s="4" t="n"/>
      <c r="AU182" s="24">
        <f>IF($A182="","",$A182&amp;IF($B182="","0010",$B182))</f>
        <v/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41" t="n"/>
      <c r="K183" s="5" t="n"/>
      <c r="L183" s="18" t="n"/>
      <c r="M183" s="24">
        <f>IF($A183="","",IFERROR(INDEX('AJUSTES'!$B$4:$B$303,MATCH($AU183,'AJUSTES'!$A$4:$A$303,0)),IF($K183="","",$K183)))</f>
        <v/>
      </c>
      <c r="N183" s="24">
        <f>IF($A183="","",IFERROR(INDEX('CAT_ESTADOS_ERP'!$B$4:$B$22,MATCH(IFERROR(INDEX('2_IMPORTAR_EJECUCION'!$C$9:$C$1208,MATCH($AU183,'2_IMPORTAR_EJECUCION'!$J$9:$J$1208,0)),""),'CAT_ESTADOS_ERP'!$A$4:$A$22,0)),"Pendiente"))</f>
        <v/>
      </c>
      <c r="O183" s="24">
        <f>IF($J183="","",YEAR($J183+4-WEEKDAY($J183,2))&amp;"-S"&amp;TEXT(_xlfn.ISOWEEKNUM($J183),"00"))</f>
        <v/>
      </c>
      <c r="P183" s="24">
        <f>IF($J183="","",YEAR($J183))</f>
        <v/>
      </c>
      <c r="Q183" s="24">
        <f>IF($J183="","",MONTH($J183))</f>
        <v/>
      </c>
      <c r="R183" s="24">
        <f>IF($J183="","",$P183&amp;"-"&amp;TEXT($Q183,"00"))</f>
        <v/>
      </c>
      <c r="S183" s="24">
        <f>IF($J183="","",INDEX(lista_dias,WEEKDAY($J183,2)))</f>
        <v/>
      </c>
      <c r="T183" s="24">
        <f>IF($J183="","",IFERROR(INDEX('CALENDARIO'!$C$15:$C$214,MATCH(TEXT($J183,"yyyy-mm-dd")&amp;"|"&amp;$Y183&amp;"|"&amp;$Z183,'CALENDARIO'!$G$15:$G$214,0)),IFERROR(INDEX('CALENDARIO'!$C$15:$C$214,MATCH(TEXT($J183,"yyyy-mm-dd")&amp;"|"&amp;$Y183&amp;"|",'CALENDARIO'!$G$15:$G$214,0)),IFERROR(INDEX('CALENDARIO'!$C$15:$C$214,MATCH(TEXT($J183,"yyyy-mm-dd")&amp;"||",'CALENDARIO'!$G$15:$G$214,0)),INDEX(patronHabil,WEEKDAY($J183,2))))))</f>
        <v/>
      </c>
      <c r="U183" s="24">
        <f>IF($I183="","",IFERROR(INDEX('CAT_TIPOS_OT'!$C$4:$C$23,MATCH($I183,'CAT_TIPOS_OT'!$A$4:$A$23,0)),"sin_clasificar"))</f>
        <v/>
      </c>
      <c r="V183" s="24">
        <f>IF($I183="","",IF(IFERROR(INDEX('CAT_TIPOS_OT'!$D$4:$D$23,MATCH($I183,'CAT_TIPOS_OT'!$A$4:$A$23,0)),"SIN CLASIFICAR")="","SIN CLASIFICAR",IFERROR(INDEX('CAT_TIPOS_OT'!$D$4:$D$23,MATCH($I183,'CAT_TIPOS_OT'!$A$4:$A$23,0)),"SIN CLASIFICAR")))</f>
        <v/>
      </c>
      <c r="W183" s="24">
        <f>IF($H183="","",IF(IFERROR(INDEX('CAT_ACTIVIDADES'!$F$4:$F$26,MATCH($H183,'CAT_ACTIVIDADES'!$A$4:$A$26,0)),"")=0,"",IFERROR(INDEX('CAT_ACTIVIDADES'!$F$4:$F$26,MATCH($H183,'CAT_ACTIVIDADES'!$A$4:$A$26,0)),"")))</f>
        <v/>
      </c>
      <c r="X183" s="24">
        <f>IF($F183="","",IFERROR(INDEX('CAT_CENTROS_COSTO'!$F$4:$F$28,MATCH($F183,'CAT_CENTROS_COSTO'!$A$4:$A$28,0)),"(sin catálogo)"))</f>
        <v/>
      </c>
      <c r="Y183" s="24">
        <f>IF($F183="","",IFERROR(INDEX('CAT_CENTROS_COSTO'!$D$4:$D$28,MATCH($F183,'CAT_CENTROS_COSTO'!$A$4:$A$28,0)),"(sin catálogo)"))</f>
        <v/>
      </c>
      <c r="Z183" s="24">
        <f>IF($F183="","",IF((IFERROR(INDEX('CAT_CENTROS_COSTO'!$E$4:$E$28,MATCH($F183,'CAT_CENTROS_COSTO'!$A$4:$A$28,0)),""))&lt;&gt;"",IFERROR(INDEX('CAT_CENTROS_COSTO'!$E$4:$E$28,MATCH($F183,'CAT_CENTROS_COSTO'!$A$4:$A$28,0)),""),$Y183))</f>
        <v/>
      </c>
      <c r="AA183" s="24">
        <f>IF($F183="","",IFERROR(INDEX('CAT_CENTROS_COSTO'!$G$4:$G$28,MATCH($F183,'CAT_CENTROS_COSTO'!$A$4:$A$28,0)),"(sin catálogo)"))</f>
        <v/>
      </c>
      <c r="AB183" s="24">
        <f>IF($G183="","",IFERROR(INDEX('CAT_PUESTOS'!$B$4:$B$23,MATCH($G183,'CAT_PUESTOS'!$A$4:$A$23,0)),"(sin catálogo)"))</f>
        <v/>
      </c>
      <c r="AC183" s="24">
        <f>IF($H183="","",IFERROR(INDEX('CAT_ACTIVIDADES'!$B$4:$B$26,MATCH($H183,'CAT_ACTIVIDADES'!$A$4:$A$26,0)),"(sin catálogo)"))</f>
        <v/>
      </c>
      <c r="AD183" s="26">
        <f>IF($J183="","",TODAY()-$J183)</f>
        <v/>
      </c>
      <c r="AE183" s="26">
        <f>IF($J183="","",IF($J183&lt;=TODAY(),COUNTIFS(cal_fechas,"&gt;="&amp;$J183,cal_fechas,"&lt;"&amp;TODAY(),cal_habil,"sí"),-COUNTIFS(cal_fechas,"&gt;="&amp;TODAY(),cal_fechas,"&lt;"&amp;$J183,cal_habil,"sí")))</f>
        <v/>
      </c>
      <c r="AF183" s="24">
        <f>IF($AE183="","",IF($AE183&lt;0,"FUTURO",IF($AE183&gt;p_dias_backlog_max,"BACKLOG","MES CORRIENTE")))</f>
        <v/>
      </c>
      <c r="AG183" s="24">
        <f>IF($AE183="",FALSE,AND($AE183&gt;p_dias_backlog_min,$AE183&lt;=p_dias_backlog_max))</f>
        <v/>
      </c>
      <c r="AH183" s="4" t="n"/>
      <c r="AI183" s="24">
        <f>IF($AH183="","",IF((IFERROR(INDEX('ASIGNACIONES'!$J$4:$J$451,MATCH($O183&amp;"|"&amp;$S183&amp;"|"&amp;$AH183,'ASIGNACIONES'!$N$4:$N$451,0)),""))=0,"",IFERROR(INDEX('ASIGNACIONES'!$J$4:$J$451,MATCH($O183&amp;"|"&amp;$S183&amp;"|"&amp;$AH183,'ASIGNACIONES'!$N$4:$N$451,0)),"")))</f>
        <v/>
      </c>
      <c r="AJ183" s="42">
        <f>IF($AH183="","",SUMIFS('ORDENES'!$M$4:$M$1203,'ORDENES'!$AH$4:$AH$1203,$AH183,'ORDENES'!$O$4:$O$1203,$O183,'ORDENES'!$S$4:$S$1203,$S183))</f>
        <v/>
      </c>
      <c r="AK183" s="42">
        <f>IF($AJ183="","",p_factor_productividad*IFERROR(INDEX('ASIGNACIONES'!$M$4:$M$451,MATCH($O183&amp;"|"&amp;$S183&amp;"|"&amp;$AH183,'ASIGNACIONES'!$N$4:$N$451,0)),0)-$AJ183)</f>
        <v/>
      </c>
      <c r="AL183" s="32">
        <f>IF($A183="","",IFERROR(INDEX('2_IMPORTAR_EJECUCION'!$F$9:$F$1208,MATCH($AU183,'2_IMPORTAR_EJECUCION'!$J$9:$J$1208,0)),0))</f>
        <v/>
      </c>
      <c r="AM183" s="32">
        <f>IF($A183="","",MAX(0,IFERROR(INDEX('2_IMPORTAR_EJECUCION'!$H$9:$H$1208,MATCH($AU183,'2_IMPORTAR_EJECUCION'!$J$9:$J$1208,0)),0)-$AL183))</f>
        <v/>
      </c>
      <c r="AN183" s="32">
        <f>IF($A183="","",$AL183+$AM183)</f>
        <v/>
      </c>
      <c r="AO183" s="24">
        <f>IF($A183="","",IF(OR((IFERROR(INDEX('CAT_ACTIVIDADES'!$D$4:$D$26,MATCH($H183,'CAT_ACTIVIDADES'!$A$4:$A$26,0)),""))=0,(IFERROR(INDEX('CAT_ACTIVIDADES'!$D$4:$D$26,MATCH($H183,'CAT_ACTIVIDADES'!$A$4:$A$26,0)),""))=""),"SIN CLASIFICAR",IFERROR(INDEX('CAT_ACTIVIDADES'!$D$4:$D$26,MATCH($H183,'CAT_ACTIVIDADES'!$A$4:$A$26,0)),"")))</f>
        <v/>
      </c>
      <c r="AP183" s="4" t="n"/>
      <c r="AQ183" s="4" t="n"/>
      <c r="AR183" s="4" t="n"/>
      <c r="AS183" s="24">
        <f>IF($AR183="","",HYPERLINK(p_ruta_base_checklists&amp;$AR183,"abrir"))</f>
        <v/>
      </c>
      <c r="AT183" s="4" t="n"/>
      <c r="AU183" s="24">
        <f>IF($A183="","",$A183&amp;IF($B183="","0010",$B183))</f>
        <v/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41" t="n"/>
      <c r="K184" s="5" t="n"/>
      <c r="L184" s="18" t="n"/>
      <c r="M184" s="24">
        <f>IF($A184="","",IFERROR(INDEX('AJUSTES'!$B$4:$B$303,MATCH($AU184,'AJUSTES'!$A$4:$A$303,0)),IF($K184="","",$K184)))</f>
        <v/>
      </c>
      <c r="N184" s="24">
        <f>IF($A184="","",IFERROR(INDEX('CAT_ESTADOS_ERP'!$B$4:$B$22,MATCH(IFERROR(INDEX('2_IMPORTAR_EJECUCION'!$C$9:$C$1208,MATCH($AU184,'2_IMPORTAR_EJECUCION'!$J$9:$J$1208,0)),""),'CAT_ESTADOS_ERP'!$A$4:$A$22,0)),"Pendiente"))</f>
        <v/>
      </c>
      <c r="O184" s="24">
        <f>IF($J184="","",YEAR($J184+4-WEEKDAY($J184,2))&amp;"-S"&amp;TEXT(_xlfn.ISOWEEKNUM($J184),"00"))</f>
        <v/>
      </c>
      <c r="P184" s="24">
        <f>IF($J184="","",YEAR($J184))</f>
        <v/>
      </c>
      <c r="Q184" s="24">
        <f>IF($J184="","",MONTH($J184))</f>
        <v/>
      </c>
      <c r="R184" s="24">
        <f>IF($J184="","",$P184&amp;"-"&amp;TEXT($Q184,"00"))</f>
        <v/>
      </c>
      <c r="S184" s="24">
        <f>IF($J184="","",INDEX(lista_dias,WEEKDAY($J184,2)))</f>
        <v/>
      </c>
      <c r="T184" s="24">
        <f>IF($J184="","",IFERROR(INDEX('CALENDARIO'!$C$15:$C$214,MATCH(TEXT($J184,"yyyy-mm-dd")&amp;"|"&amp;$Y184&amp;"|"&amp;$Z184,'CALENDARIO'!$G$15:$G$214,0)),IFERROR(INDEX('CALENDARIO'!$C$15:$C$214,MATCH(TEXT($J184,"yyyy-mm-dd")&amp;"|"&amp;$Y184&amp;"|",'CALENDARIO'!$G$15:$G$214,0)),IFERROR(INDEX('CALENDARIO'!$C$15:$C$214,MATCH(TEXT($J184,"yyyy-mm-dd")&amp;"||",'CALENDARIO'!$G$15:$G$214,0)),INDEX(patronHabil,WEEKDAY($J184,2))))))</f>
        <v/>
      </c>
      <c r="U184" s="24">
        <f>IF($I184="","",IFERROR(INDEX('CAT_TIPOS_OT'!$C$4:$C$23,MATCH($I184,'CAT_TIPOS_OT'!$A$4:$A$23,0)),"sin_clasificar"))</f>
        <v/>
      </c>
      <c r="V184" s="24">
        <f>IF($I184="","",IF(IFERROR(INDEX('CAT_TIPOS_OT'!$D$4:$D$23,MATCH($I184,'CAT_TIPOS_OT'!$A$4:$A$23,0)),"SIN CLASIFICAR")="","SIN CLASIFICAR",IFERROR(INDEX('CAT_TIPOS_OT'!$D$4:$D$23,MATCH($I184,'CAT_TIPOS_OT'!$A$4:$A$23,0)),"SIN CLASIFICAR")))</f>
        <v/>
      </c>
      <c r="W184" s="24">
        <f>IF($H184="","",IF(IFERROR(INDEX('CAT_ACTIVIDADES'!$F$4:$F$26,MATCH($H184,'CAT_ACTIVIDADES'!$A$4:$A$26,0)),"")=0,"",IFERROR(INDEX('CAT_ACTIVIDADES'!$F$4:$F$26,MATCH($H184,'CAT_ACTIVIDADES'!$A$4:$A$26,0)),"")))</f>
        <v/>
      </c>
      <c r="X184" s="24">
        <f>IF($F184="","",IFERROR(INDEX('CAT_CENTROS_COSTO'!$F$4:$F$28,MATCH($F184,'CAT_CENTROS_COSTO'!$A$4:$A$28,0)),"(sin catálogo)"))</f>
        <v/>
      </c>
      <c r="Y184" s="24">
        <f>IF($F184="","",IFERROR(INDEX('CAT_CENTROS_COSTO'!$D$4:$D$28,MATCH($F184,'CAT_CENTROS_COSTO'!$A$4:$A$28,0)),"(sin catálogo)"))</f>
        <v/>
      </c>
      <c r="Z184" s="24">
        <f>IF($F184="","",IF((IFERROR(INDEX('CAT_CENTROS_COSTO'!$E$4:$E$28,MATCH($F184,'CAT_CENTROS_COSTO'!$A$4:$A$28,0)),""))&lt;&gt;"",IFERROR(INDEX('CAT_CENTROS_COSTO'!$E$4:$E$28,MATCH($F184,'CAT_CENTROS_COSTO'!$A$4:$A$28,0)),""),$Y184))</f>
        <v/>
      </c>
      <c r="AA184" s="24">
        <f>IF($F184="","",IFERROR(INDEX('CAT_CENTROS_COSTO'!$G$4:$G$28,MATCH($F184,'CAT_CENTROS_COSTO'!$A$4:$A$28,0)),"(sin catálogo)"))</f>
        <v/>
      </c>
      <c r="AB184" s="24">
        <f>IF($G184="","",IFERROR(INDEX('CAT_PUESTOS'!$B$4:$B$23,MATCH($G184,'CAT_PUESTOS'!$A$4:$A$23,0)),"(sin catálogo)"))</f>
        <v/>
      </c>
      <c r="AC184" s="24">
        <f>IF($H184="","",IFERROR(INDEX('CAT_ACTIVIDADES'!$B$4:$B$26,MATCH($H184,'CAT_ACTIVIDADES'!$A$4:$A$26,0)),"(sin catálogo)"))</f>
        <v/>
      </c>
      <c r="AD184" s="26">
        <f>IF($J184="","",TODAY()-$J184)</f>
        <v/>
      </c>
      <c r="AE184" s="26">
        <f>IF($J184="","",IF($J184&lt;=TODAY(),COUNTIFS(cal_fechas,"&gt;="&amp;$J184,cal_fechas,"&lt;"&amp;TODAY(),cal_habil,"sí"),-COUNTIFS(cal_fechas,"&gt;="&amp;TODAY(),cal_fechas,"&lt;"&amp;$J184,cal_habil,"sí")))</f>
        <v/>
      </c>
      <c r="AF184" s="24">
        <f>IF($AE184="","",IF($AE184&lt;0,"FUTURO",IF($AE184&gt;p_dias_backlog_max,"BACKLOG","MES CORRIENTE")))</f>
        <v/>
      </c>
      <c r="AG184" s="24">
        <f>IF($AE184="",FALSE,AND($AE184&gt;p_dias_backlog_min,$AE184&lt;=p_dias_backlog_max))</f>
        <v/>
      </c>
      <c r="AH184" s="4" t="n"/>
      <c r="AI184" s="24">
        <f>IF($AH184="","",IF((IFERROR(INDEX('ASIGNACIONES'!$J$4:$J$451,MATCH($O184&amp;"|"&amp;$S184&amp;"|"&amp;$AH184,'ASIGNACIONES'!$N$4:$N$451,0)),""))=0,"",IFERROR(INDEX('ASIGNACIONES'!$J$4:$J$451,MATCH($O184&amp;"|"&amp;$S184&amp;"|"&amp;$AH184,'ASIGNACIONES'!$N$4:$N$451,0)),"")))</f>
        <v/>
      </c>
      <c r="AJ184" s="42">
        <f>IF($AH184="","",SUMIFS('ORDENES'!$M$4:$M$1203,'ORDENES'!$AH$4:$AH$1203,$AH184,'ORDENES'!$O$4:$O$1203,$O184,'ORDENES'!$S$4:$S$1203,$S184))</f>
        <v/>
      </c>
      <c r="AK184" s="42">
        <f>IF($AJ184="","",p_factor_productividad*IFERROR(INDEX('ASIGNACIONES'!$M$4:$M$451,MATCH($O184&amp;"|"&amp;$S184&amp;"|"&amp;$AH184,'ASIGNACIONES'!$N$4:$N$451,0)),0)-$AJ184)</f>
        <v/>
      </c>
      <c r="AL184" s="32">
        <f>IF($A184="","",IFERROR(INDEX('2_IMPORTAR_EJECUCION'!$F$9:$F$1208,MATCH($AU184,'2_IMPORTAR_EJECUCION'!$J$9:$J$1208,0)),0))</f>
        <v/>
      </c>
      <c r="AM184" s="32">
        <f>IF($A184="","",MAX(0,IFERROR(INDEX('2_IMPORTAR_EJECUCION'!$H$9:$H$1208,MATCH($AU184,'2_IMPORTAR_EJECUCION'!$J$9:$J$1208,0)),0)-$AL184))</f>
        <v/>
      </c>
      <c r="AN184" s="32">
        <f>IF($A184="","",$AL184+$AM184)</f>
        <v/>
      </c>
      <c r="AO184" s="24">
        <f>IF($A184="","",IF(OR((IFERROR(INDEX('CAT_ACTIVIDADES'!$D$4:$D$26,MATCH($H184,'CAT_ACTIVIDADES'!$A$4:$A$26,0)),""))=0,(IFERROR(INDEX('CAT_ACTIVIDADES'!$D$4:$D$26,MATCH($H184,'CAT_ACTIVIDADES'!$A$4:$A$26,0)),""))=""),"SIN CLASIFICAR",IFERROR(INDEX('CAT_ACTIVIDADES'!$D$4:$D$26,MATCH($H184,'CAT_ACTIVIDADES'!$A$4:$A$26,0)),"")))</f>
        <v/>
      </c>
      <c r="AP184" s="4" t="n"/>
      <c r="AQ184" s="4" t="n"/>
      <c r="AR184" s="4" t="n"/>
      <c r="AS184" s="24">
        <f>IF($AR184="","",HYPERLINK(p_ruta_base_checklists&amp;$AR184,"abrir"))</f>
        <v/>
      </c>
      <c r="AT184" s="4" t="n"/>
      <c r="AU184" s="24">
        <f>IF($A184="","",$A184&amp;IF($B184="","0010",$B184))</f>
        <v/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41" t="n"/>
      <c r="K185" s="5" t="n"/>
      <c r="L185" s="18" t="n"/>
      <c r="M185" s="24">
        <f>IF($A185="","",IFERROR(INDEX('AJUSTES'!$B$4:$B$303,MATCH($AU185,'AJUSTES'!$A$4:$A$303,0)),IF($K185="","",$K185)))</f>
        <v/>
      </c>
      <c r="N185" s="24">
        <f>IF($A185="","",IFERROR(INDEX('CAT_ESTADOS_ERP'!$B$4:$B$22,MATCH(IFERROR(INDEX('2_IMPORTAR_EJECUCION'!$C$9:$C$1208,MATCH($AU185,'2_IMPORTAR_EJECUCION'!$J$9:$J$1208,0)),""),'CAT_ESTADOS_ERP'!$A$4:$A$22,0)),"Pendiente"))</f>
        <v/>
      </c>
      <c r="O185" s="24">
        <f>IF($J185="","",YEAR($J185+4-WEEKDAY($J185,2))&amp;"-S"&amp;TEXT(_xlfn.ISOWEEKNUM($J185),"00"))</f>
        <v/>
      </c>
      <c r="P185" s="24">
        <f>IF($J185="","",YEAR($J185))</f>
        <v/>
      </c>
      <c r="Q185" s="24">
        <f>IF($J185="","",MONTH($J185))</f>
        <v/>
      </c>
      <c r="R185" s="24">
        <f>IF($J185="","",$P185&amp;"-"&amp;TEXT($Q185,"00"))</f>
        <v/>
      </c>
      <c r="S185" s="24">
        <f>IF($J185="","",INDEX(lista_dias,WEEKDAY($J185,2)))</f>
        <v/>
      </c>
      <c r="T185" s="24">
        <f>IF($J185="","",IFERROR(INDEX('CALENDARIO'!$C$15:$C$214,MATCH(TEXT($J185,"yyyy-mm-dd")&amp;"|"&amp;$Y185&amp;"|"&amp;$Z185,'CALENDARIO'!$G$15:$G$214,0)),IFERROR(INDEX('CALENDARIO'!$C$15:$C$214,MATCH(TEXT($J185,"yyyy-mm-dd")&amp;"|"&amp;$Y185&amp;"|",'CALENDARIO'!$G$15:$G$214,0)),IFERROR(INDEX('CALENDARIO'!$C$15:$C$214,MATCH(TEXT($J185,"yyyy-mm-dd")&amp;"||",'CALENDARIO'!$G$15:$G$214,0)),INDEX(patronHabil,WEEKDAY($J185,2))))))</f>
        <v/>
      </c>
      <c r="U185" s="24">
        <f>IF($I185="","",IFERROR(INDEX('CAT_TIPOS_OT'!$C$4:$C$23,MATCH($I185,'CAT_TIPOS_OT'!$A$4:$A$23,0)),"sin_clasificar"))</f>
        <v/>
      </c>
      <c r="V185" s="24">
        <f>IF($I185="","",IF(IFERROR(INDEX('CAT_TIPOS_OT'!$D$4:$D$23,MATCH($I185,'CAT_TIPOS_OT'!$A$4:$A$23,0)),"SIN CLASIFICAR")="","SIN CLASIFICAR",IFERROR(INDEX('CAT_TIPOS_OT'!$D$4:$D$23,MATCH($I185,'CAT_TIPOS_OT'!$A$4:$A$23,0)),"SIN CLASIFICAR")))</f>
        <v/>
      </c>
      <c r="W185" s="24">
        <f>IF($H185="","",IF(IFERROR(INDEX('CAT_ACTIVIDADES'!$F$4:$F$26,MATCH($H185,'CAT_ACTIVIDADES'!$A$4:$A$26,0)),"")=0,"",IFERROR(INDEX('CAT_ACTIVIDADES'!$F$4:$F$26,MATCH($H185,'CAT_ACTIVIDADES'!$A$4:$A$26,0)),"")))</f>
        <v/>
      </c>
      <c r="X185" s="24">
        <f>IF($F185="","",IFERROR(INDEX('CAT_CENTROS_COSTO'!$F$4:$F$28,MATCH($F185,'CAT_CENTROS_COSTO'!$A$4:$A$28,0)),"(sin catálogo)"))</f>
        <v/>
      </c>
      <c r="Y185" s="24">
        <f>IF($F185="","",IFERROR(INDEX('CAT_CENTROS_COSTO'!$D$4:$D$28,MATCH($F185,'CAT_CENTROS_COSTO'!$A$4:$A$28,0)),"(sin catálogo)"))</f>
        <v/>
      </c>
      <c r="Z185" s="24">
        <f>IF($F185="","",IF((IFERROR(INDEX('CAT_CENTROS_COSTO'!$E$4:$E$28,MATCH($F185,'CAT_CENTROS_COSTO'!$A$4:$A$28,0)),""))&lt;&gt;"",IFERROR(INDEX('CAT_CENTROS_COSTO'!$E$4:$E$28,MATCH($F185,'CAT_CENTROS_COSTO'!$A$4:$A$28,0)),""),$Y185))</f>
        <v/>
      </c>
      <c r="AA185" s="24">
        <f>IF($F185="","",IFERROR(INDEX('CAT_CENTROS_COSTO'!$G$4:$G$28,MATCH($F185,'CAT_CENTROS_COSTO'!$A$4:$A$28,0)),"(sin catálogo)"))</f>
        <v/>
      </c>
      <c r="AB185" s="24">
        <f>IF($G185="","",IFERROR(INDEX('CAT_PUESTOS'!$B$4:$B$23,MATCH($G185,'CAT_PUESTOS'!$A$4:$A$23,0)),"(sin catálogo)"))</f>
        <v/>
      </c>
      <c r="AC185" s="24">
        <f>IF($H185="","",IFERROR(INDEX('CAT_ACTIVIDADES'!$B$4:$B$26,MATCH($H185,'CAT_ACTIVIDADES'!$A$4:$A$26,0)),"(sin catálogo)"))</f>
        <v/>
      </c>
      <c r="AD185" s="26">
        <f>IF($J185="","",TODAY()-$J185)</f>
        <v/>
      </c>
      <c r="AE185" s="26">
        <f>IF($J185="","",IF($J185&lt;=TODAY(),COUNTIFS(cal_fechas,"&gt;="&amp;$J185,cal_fechas,"&lt;"&amp;TODAY(),cal_habil,"sí"),-COUNTIFS(cal_fechas,"&gt;="&amp;TODAY(),cal_fechas,"&lt;"&amp;$J185,cal_habil,"sí")))</f>
        <v/>
      </c>
      <c r="AF185" s="24">
        <f>IF($AE185="","",IF($AE185&lt;0,"FUTURO",IF($AE185&gt;p_dias_backlog_max,"BACKLOG","MES CORRIENTE")))</f>
        <v/>
      </c>
      <c r="AG185" s="24">
        <f>IF($AE185="",FALSE,AND($AE185&gt;p_dias_backlog_min,$AE185&lt;=p_dias_backlog_max))</f>
        <v/>
      </c>
      <c r="AH185" s="4" t="n"/>
      <c r="AI185" s="24">
        <f>IF($AH185="","",IF((IFERROR(INDEX('ASIGNACIONES'!$J$4:$J$451,MATCH($O185&amp;"|"&amp;$S185&amp;"|"&amp;$AH185,'ASIGNACIONES'!$N$4:$N$451,0)),""))=0,"",IFERROR(INDEX('ASIGNACIONES'!$J$4:$J$451,MATCH($O185&amp;"|"&amp;$S185&amp;"|"&amp;$AH185,'ASIGNACIONES'!$N$4:$N$451,0)),"")))</f>
        <v/>
      </c>
      <c r="AJ185" s="42">
        <f>IF($AH185="","",SUMIFS('ORDENES'!$M$4:$M$1203,'ORDENES'!$AH$4:$AH$1203,$AH185,'ORDENES'!$O$4:$O$1203,$O185,'ORDENES'!$S$4:$S$1203,$S185))</f>
        <v/>
      </c>
      <c r="AK185" s="42">
        <f>IF($AJ185="","",p_factor_productividad*IFERROR(INDEX('ASIGNACIONES'!$M$4:$M$451,MATCH($O185&amp;"|"&amp;$S185&amp;"|"&amp;$AH185,'ASIGNACIONES'!$N$4:$N$451,0)),0)-$AJ185)</f>
        <v/>
      </c>
      <c r="AL185" s="32">
        <f>IF($A185="","",IFERROR(INDEX('2_IMPORTAR_EJECUCION'!$F$9:$F$1208,MATCH($AU185,'2_IMPORTAR_EJECUCION'!$J$9:$J$1208,0)),0))</f>
        <v/>
      </c>
      <c r="AM185" s="32">
        <f>IF($A185="","",MAX(0,IFERROR(INDEX('2_IMPORTAR_EJECUCION'!$H$9:$H$1208,MATCH($AU185,'2_IMPORTAR_EJECUCION'!$J$9:$J$1208,0)),0)-$AL185))</f>
        <v/>
      </c>
      <c r="AN185" s="32">
        <f>IF($A185="","",$AL185+$AM185)</f>
        <v/>
      </c>
      <c r="AO185" s="24">
        <f>IF($A185="","",IF(OR((IFERROR(INDEX('CAT_ACTIVIDADES'!$D$4:$D$26,MATCH($H185,'CAT_ACTIVIDADES'!$A$4:$A$26,0)),""))=0,(IFERROR(INDEX('CAT_ACTIVIDADES'!$D$4:$D$26,MATCH($H185,'CAT_ACTIVIDADES'!$A$4:$A$26,0)),""))=""),"SIN CLASIFICAR",IFERROR(INDEX('CAT_ACTIVIDADES'!$D$4:$D$26,MATCH($H185,'CAT_ACTIVIDADES'!$A$4:$A$26,0)),"")))</f>
        <v/>
      </c>
      <c r="AP185" s="4" t="n"/>
      <c r="AQ185" s="4" t="n"/>
      <c r="AR185" s="4" t="n"/>
      <c r="AS185" s="24">
        <f>IF($AR185="","",HYPERLINK(p_ruta_base_checklists&amp;$AR185,"abrir"))</f>
        <v/>
      </c>
      <c r="AT185" s="4" t="n"/>
      <c r="AU185" s="24">
        <f>IF($A185="","",$A185&amp;IF($B185="","0010",$B185))</f>
        <v/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41" t="n"/>
      <c r="K186" s="5" t="n"/>
      <c r="L186" s="18" t="n"/>
      <c r="M186" s="24">
        <f>IF($A186="","",IFERROR(INDEX('AJUSTES'!$B$4:$B$303,MATCH($AU186,'AJUSTES'!$A$4:$A$303,0)),IF($K186="","",$K186)))</f>
        <v/>
      </c>
      <c r="N186" s="24">
        <f>IF($A186="","",IFERROR(INDEX('CAT_ESTADOS_ERP'!$B$4:$B$22,MATCH(IFERROR(INDEX('2_IMPORTAR_EJECUCION'!$C$9:$C$1208,MATCH($AU186,'2_IMPORTAR_EJECUCION'!$J$9:$J$1208,0)),""),'CAT_ESTADOS_ERP'!$A$4:$A$22,0)),"Pendiente"))</f>
        <v/>
      </c>
      <c r="O186" s="24">
        <f>IF($J186="","",YEAR($J186+4-WEEKDAY($J186,2))&amp;"-S"&amp;TEXT(_xlfn.ISOWEEKNUM($J186),"00"))</f>
        <v/>
      </c>
      <c r="P186" s="24">
        <f>IF($J186="","",YEAR($J186))</f>
        <v/>
      </c>
      <c r="Q186" s="24">
        <f>IF($J186="","",MONTH($J186))</f>
        <v/>
      </c>
      <c r="R186" s="24">
        <f>IF($J186="","",$P186&amp;"-"&amp;TEXT($Q186,"00"))</f>
        <v/>
      </c>
      <c r="S186" s="24">
        <f>IF($J186="","",INDEX(lista_dias,WEEKDAY($J186,2)))</f>
        <v/>
      </c>
      <c r="T186" s="24">
        <f>IF($J186="","",IFERROR(INDEX('CALENDARIO'!$C$15:$C$214,MATCH(TEXT($J186,"yyyy-mm-dd")&amp;"|"&amp;$Y186&amp;"|"&amp;$Z186,'CALENDARIO'!$G$15:$G$214,0)),IFERROR(INDEX('CALENDARIO'!$C$15:$C$214,MATCH(TEXT($J186,"yyyy-mm-dd")&amp;"|"&amp;$Y186&amp;"|",'CALENDARIO'!$G$15:$G$214,0)),IFERROR(INDEX('CALENDARIO'!$C$15:$C$214,MATCH(TEXT($J186,"yyyy-mm-dd")&amp;"||",'CALENDARIO'!$G$15:$G$214,0)),INDEX(patronHabil,WEEKDAY($J186,2))))))</f>
        <v/>
      </c>
      <c r="U186" s="24">
        <f>IF($I186="","",IFERROR(INDEX('CAT_TIPOS_OT'!$C$4:$C$23,MATCH($I186,'CAT_TIPOS_OT'!$A$4:$A$23,0)),"sin_clasificar"))</f>
        <v/>
      </c>
      <c r="V186" s="24">
        <f>IF($I186="","",IF(IFERROR(INDEX('CAT_TIPOS_OT'!$D$4:$D$23,MATCH($I186,'CAT_TIPOS_OT'!$A$4:$A$23,0)),"SIN CLASIFICAR")="","SIN CLASIFICAR",IFERROR(INDEX('CAT_TIPOS_OT'!$D$4:$D$23,MATCH($I186,'CAT_TIPOS_OT'!$A$4:$A$23,0)),"SIN CLASIFICAR")))</f>
        <v/>
      </c>
      <c r="W186" s="24">
        <f>IF($H186="","",IF(IFERROR(INDEX('CAT_ACTIVIDADES'!$F$4:$F$26,MATCH($H186,'CAT_ACTIVIDADES'!$A$4:$A$26,0)),"")=0,"",IFERROR(INDEX('CAT_ACTIVIDADES'!$F$4:$F$26,MATCH($H186,'CAT_ACTIVIDADES'!$A$4:$A$26,0)),"")))</f>
        <v/>
      </c>
      <c r="X186" s="24">
        <f>IF($F186="","",IFERROR(INDEX('CAT_CENTROS_COSTO'!$F$4:$F$28,MATCH($F186,'CAT_CENTROS_COSTO'!$A$4:$A$28,0)),"(sin catálogo)"))</f>
        <v/>
      </c>
      <c r="Y186" s="24">
        <f>IF($F186="","",IFERROR(INDEX('CAT_CENTROS_COSTO'!$D$4:$D$28,MATCH($F186,'CAT_CENTROS_COSTO'!$A$4:$A$28,0)),"(sin catálogo)"))</f>
        <v/>
      </c>
      <c r="Z186" s="24">
        <f>IF($F186="","",IF((IFERROR(INDEX('CAT_CENTROS_COSTO'!$E$4:$E$28,MATCH($F186,'CAT_CENTROS_COSTO'!$A$4:$A$28,0)),""))&lt;&gt;"",IFERROR(INDEX('CAT_CENTROS_COSTO'!$E$4:$E$28,MATCH($F186,'CAT_CENTROS_COSTO'!$A$4:$A$28,0)),""),$Y186))</f>
        <v/>
      </c>
      <c r="AA186" s="24">
        <f>IF($F186="","",IFERROR(INDEX('CAT_CENTROS_COSTO'!$G$4:$G$28,MATCH($F186,'CAT_CENTROS_COSTO'!$A$4:$A$28,0)),"(sin catálogo)"))</f>
        <v/>
      </c>
      <c r="AB186" s="24">
        <f>IF($G186="","",IFERROR(INDEX('CAT_PUESTOS'!$B$4:$B$23,MATCH($G186,'CAT_PUESTOS'!$A$4:$A$23,0)),"(sin catálogo)"))</f>
        <v/>
      </c>
      <c r="AC186" s="24">
        <f>IF($H186="","",IFERROR(INDEX('CAT_ACTIVIDADES'!$B$4:$B$26,MATCH($H186,'CAT_ACTIVIDADES'!$A$4:$A$26,0)),"(sin catálogo)"))</f>
        <v/>
      </c>
      <c r="AD186" s="26">
        <f>IF($J186="","",TODAY()-$J186)</f>
        <v/>
      </c>
      <c r="AE186" s="26">
        <f>IF($J186="","",IF($J186&lt;=TODAY(),COUNTIFS(cal_fechas,"&gt;="&amp;$J186,cal_fechas,"&lt;"&amp;TODAY(),cal_habil,"sí"),-COUNTIFS(cal_fechas,"&gt;="&amp;TODAY(),cal_fechas,"&lt;"&amp;$J186,cal_habil,"sí")))</f>
        <v/>
      </c>
      <c r="AF186" s="24">
        <f>IF($AE186="","",IF($AE186&lt;0,"FUTURO",IF($AE186&gt;p_dias_backlog_max,"BACKLOG","MES CORRIENTE")))</f>
        <v/>
      </c>
      <c r="AG186" s="24">
        <f>IF($AE186="",FALSE,AND($AE186&gt;p_dias_backlog_min,$AE186&lt;=p_dias_backlog_max))</f>
        <v/>
      </c>
      <c r="AH186" s="4" t="n"/>
      <c r="AI186" s="24">
        <f>IF($AH186="","",IF((IFERROR(INDEX('ASIGNACIONES'!$J$4:$J$451,MATCH($O186&amp;"|"&amp;$S186&amp;"|"&amp;$AH186,'ASIGNACIONES'!$N$4:$N$451,0)),""))=0,"",IFERROR(INDEX('ASIGNACIONES'!$J$4:$J$451,MATCH($O186&amp;"|"&amp;$S186&amp;"|"&amp;$AH186,'ASIGNACIONES'!$N$4:$N$451,0)),"")))</f>
        <v/>
      </c>
      <c r="AJ186" s="42">
        <f>IF($AH186="","",SUMIFS('ORDENES'!$M$4:$M$1203,'ORDENES'!$AH$4:$AH$1203,$AH186,'ORDENES'!$O$4:$O$1203,$O186,'ORDENES'!$S$4:$S$1203,$S186))</f>
        <v/>
      </c>
      <c r="AK186" s="42">
        <f>IF($AJ186="","",p_factor_productividad*IFERROR(INDEX('ASIGNACIONES'!$M$4:$M$451,MATCH($O186&amp;"|"&amp;$S186&amp;"|"&amp;$AH186,'ASIGNACIONES'!$N$4:$N$451,0)),0)-$AJ186)</f>
        <v/>
      </c>
      <c r="AL186" s="32">
        <f>IF($A186="","",IFERROR(INDEX('2_IMPORTAR_EJECUCION'!$F$9:$F$1208,MATCH($AU186,'2_IMPORTAR_EJECUCION'!$J$9:$J$1208,0)),0))</f>
        <v/>
      </c>
      <c r="AM186" s="32">
        <f>IF($A186="","",MAX(0,IFERROR(INDEX('2_IMPORTAR_EJECUCION'!$H$9:$H$1208,MATCH($AU186,'2_IMPORTAR_EJECUCION'!$J$9:$J$1208,0)),0)-$AL186))</f>
        <v/>
      </c>
      <c r="AN186" s="32">
        <f>IF($A186="","",$AL186+$AM186)</f>
        <v/>
      </c>
      <c r="AO186" s="24">
        <f>IF($A186="","",IF(OR((IFERROR(INDEX('CAT_ACTIVIDADES'!$D$4:$D$26,MATCH($H186,'CAT_ACTIVIDADES'!$A$4:$A$26,0)),""))=0,(IFERROR(INDEX('CAT_ACTIVIDADES'!$D$4:$D$26,MATCH($H186,'CAT_ACTIVIDADES'!$A$4:$A$26,0)),""))=""),"SIN CLASIFICAR",IFERROR(INDEX('CAT_ACTIVIDADES'!$D$4:$D$26,MATCH($H186,'CAT_ACTIVIDADES'!$A$4:$A$26,0)),"")))</f>
        <v/>
      </c>
      <c r="AP186" s="4" t="n"/>
      <c r="AQ186" s="4" t="n"/>
      <c r="AR186" s="4" t="n"/>
      <c r="AS186" s="24">
        <f>IF($AR186="","",HYPERLINK(p_ruta_base_checklists&amp;$AR186,"abrir"))</f>
        <v/>
      </c>
      <c r="AT186" s="4" t="n"/>
      <c r="AU186" s="24">
        <f>IF($A186="","",$A186&amp;IF($B186="","0010",$B186))</f>
        <v/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41" t="n"/>
      <c r="K187" s="5" t="n"/>
      <c r="L187" s="18" t="n"/>
      <c r="M187" s="24">
        <f>IF($A187="","",IFERROR(INDEX('AJUSTES'!$B$4:$B$303,MATCH($AU187,'AJUSTES'!$A$4:$A$303,0)),IF($K187="","",$K187)))</f>
        <v/>
      </c>
      <c r="N187" s="24">
        <f>IF($A187="","",IFERROR(INDEX('CAT_ESTADOS_ERP'!$B$4:$B$22,MATCH(IFERROR(INDEX('2_IMPORTAR_EJECUCION'!$C$9:$C$1208,MATCH($AU187,'2_IMPORTAR_EJECUCION'!$J$9:$J$1208,0)),""),'CAT_ESTADOS_ERP'!$A$4:$A$22,0)),"Pendiente"))</f>
        <v/>
      </c>
      <c r="O187" s="24">
        <f>IF($J187="","",YEAR($J187+4-WEEKDAY($J187,2))&amp;"-S"&amp;TEXT(_xlfn.ISOWEEKNUM($J187),"00"))</f>
        <v/>
      </c>
      <c r="P187" s="24">
        <f>IF($J187="","",YEAR($J187))</f>
        <v/>
      </c>
      <c r="Q187" s="24">
        <f>IF($J187="","",MONTH($J187))</f>
        <v/>
      </c>
      <c r="R187" s="24">
        <f>IF($J187="","",$P187&amp;"-"&amp;TEXT($Q187,"00"))</f>
        <v/>
      </c>
      <c r="S187" s="24">
        <f>IF($J187="","",INDEX(lista_dias,WEEKDAY($J187,2)))</f>
        <v/>
      </c>
      <c r="T187" s="24">
        <f>IF($J187="","",IFERROR(INDEX('CALENDARIO'!$C$15:$C$214,MATCH(TEXT($J187,"yyyy-mm-dd")&amp;"|"&amp;$Y187&amp;"|"&amp;$Z187,'CALENDARIO'!$G$15:$G$214,0)),IFERROR(INDEX('CALENDARIO'!$C$15:$C$214,MATCH(TEXT($J187,"yyyy-mm-dd")&amp;"|"&amp;$Y187&amp;"|",'CALENDARIO'!$G$15:$G$214,0)),IFERROR(INDEX('CALENDARIO'!$C$15:$C$214,MATCH(TEXT($J187,"yyyy-mm-dd")&amp;"||",'CALENDARIO'!$G$15:$G$214,0)),INDEX(patronHabil,WEEKDAY($J187,2))))))</f>
        <v/>
      </c>
      <c r="U187" s="24">
        <f>IF($I187="","",IFERROR(INDEX('CAT_TIPOS_OT'!$C$4:$C$23,MATCH($I187,'CAT_TIPOS_OT'!$A$4:$A$23,0)),"sin_clasificar"))</f>
        <v/>
      </c>
      <c r="V187" s="24">
        <f>IF($I187="","",IF(IFERROR(INDEX('CAT_TIPOS_OT'!$D$4:$D$23,MATCH($I187,'CAT_TIPOS_OT'!$A$4:$A$23,0)),"SIN CLASIFICAR")="","SIN CLASIFICAR",IFERROR(INDEX('CAT_TIPOS_OT'!$D$4:$D$23,MATCH($I187,'CAT_TIPOS_OT'!$A$4:$A$23,0)),"SIN CLASIFICAR")))</f>
        <v/>
      </c>
      <c r="W187" s="24">
        <f>IF($H187="","",IF(IFERROR(INDEX('CAT_ACTIVIDADES'!$F$4:$F$26,MATCH($H187,'CAT_ACTIVIDADES'!$A$4:$A$26,0)),"")=0,"",IFERROR(INDEX('CAT_ACTIVIDADES'!$F$4:$F$26,MATCH($H187,'CAT_ACTIVIDADES'!$A$4:$A$26,0)),"")))</f>
        <v/>
      </c>
      <c r="X187" s="24">
        <f>IF($F187="","",IFERROR(INDEX('CAT_CENTROS_COSTO'!$F$4:$F$28,MATCH($F187,'CAT_CENTROS_COSTO'!$A$4:$A$28,0)),"(sin catálogo)"))</f>
        <v/>
      </c>
      <c r="Y187" s="24">
        <f>IF($F187="","",IFERROR(INDEX('CAT_CENTROS_COSTO'!$D$4:$D$28,MATCH($F187,'CAT_CENTROS_COSTO'!$A$4:$A$28,0)),"(sin catálogo)"))</f>
        <v/>
      </c>
      <c r="Z187" s="24">
        <f>IF($F187="","",IF((IFERROR(INDEX('CAT_CENTROS_COSTO'!$E$4:$E$28,MATCH($F187,'CAT_CENTROS_COSTO'!$A$4:$A$28,0)),""))&lt;&gt;"",IFERROR(INDEX('CAT_CENTROS_COSTO'!$E$4:$E$28,MATCH($F187,'CAT_CENTROS_COSTO'!$A$4:$A$28,0)),""),$Y187))</f>
        <v/>
      </c>
      <c r="AA187" s="24">
        <f>IF($F187="","",IFERROR(INDEX('CAT_CENTROS_COSTO'!$G$4:$G$28,MATCH($F187,'CAT_CENTROS_COSTO'!$A$4:$A$28,0)),"(sin catálogo)"))</f>
        <v/>
      </c>
      <c r="AB187" s="24">
        <f>IF($G187="","",IFERROR(INDEX('CAT_PUESTOS'!$B$4:$B$23,MATCH($G187,'CAT_PUESTOS'!$A$4:$A$23,0)),"(sin catálogo)"))</f>
        <v/>
      </c>
      <c r="AC187" s="24">
        <f>IF($H187="","",IFERROR(INDEX('CAT_ACTIVIDADES'!$B$4:$B$26,MATCH($H187,'CAT_ACTIVIDADES'!$A$4:$A$26,0)),"(sin catálogo)"))</f>
        <v/>
      </c>
      <c r="AD187" s="26">
        <f>IF($J187="","",TODAY()-$J187)</f>
        <v/>
      </c>
      <c r="AE187" s="26">
        <f>IF($J187="","",IF($J187&lt;=TODAY(),COUNTIFS(cal_fechas,"&gt;="&amp;$J187,cal_fechas,"&lt;"&amp;TODAY(),cal_habil,"sí"),-COUNTIFS(cal_fechas,"&gt;="&amp;TODAY(),cal_fechas,"&lt;"&amp;$J187,cal_habil,"sí")))</f>
        <v/>
      </c>
      <c r="AF187" s="24">
        <f>IF($AE187="","",IF($AE187&lt;0,"FUTURO",IF($AE187&gt;p_dias_backlog_max,"BACKLOG","MES CORRIENTE")))</f>
        <v/>
      </c>
      <c r="AG187" s="24">
        <f>IF($AE187="",FALSE,AND($AE187&gt;p_dias_backlog_min,$AE187&lt;=p_dias_backlog_max))</f>
        <v/>
      </c>
      <c r="AH187" s="4" t="n"/>
      <c r="AI187" s="24">
        <f>IF($AH187="","",IF((IFERROR(INDEX('ASIGNACIONES'!$J$4:$J$451,MATCH($O187&amp;"|"&amp;$S187&amp;"|"&amp;$AH187,'ASIGNACIONES'!$N$4:$N$451,0)),""))=0,"",IFERROR(INDEX('ASIGNACIONES'!$J$4:$J$451,MATCH($O187&amp;"|"&amp;$S187&amp;"|"&amp;$AH187,'ASIGNACIONES'!$N$4:$N$451,0)),"")))</f>
        <v/>
      </c>
      <c r="AJ187" s="42">
        <f>IF($AH187="","",SUMIFS('ORDENES'!$M$4:$M$1203,'ORDENES'!$AH$4:$AH$1203,$AH187,'ORDENES'!$O$4:$O$1203,$O187,'ORDENES'!$S$4:$S$1203,$S187))</f>
        <v/>
      </c>
      <c r="AK187" s="42">
        <f>IF($AJ187="","",p_factor_productividad*IFERROR(INDEX('ASIGNACIONES'!$M$4:$M$451,MATCH($O187&amp;"|"&amp;$S187&amp;"|"&amp;$AH187,'ASIGNACIONES'!$N$4:$N$451,0)),0)-$AJ187)</f>
        <v/>
      </c>
      <c r="AL187" s="32">
        <f>IF($A187="","",IFERROR(INDEX('2_IMPORTAR_EJECUCION'!$F$9:$F$1208,MATCH($AU187,'2_IMPORTAR_EJECUCION'!$J$9:$J$1208,0)),0))</f>
        <v/>
      </c>
      <c r="AM187" s="32">
        <f>IF($A187="","",MAX(0,IFERROR(INDEX('2_IMPORTAR_EJECUCION'!$H$9:$H$1208,MATCH($AU187,'2_IMPORTAR_EJECUCION'!$J$9:$J$1208,0)),0)-$AL187))</f>
        <v/>
      </c>
      <c r="AN187" s="32">
        <f>IF($A187="","",$AL187+$AM187)</f>
        <v/>
      </c>
      <c r="AO187" s="24">
        <f>IF($A187="","",IF(OR((IFERROR(INDEX('CAT_ACTIVIDADES'!$D$4:$D$26,MATCH($H187,'CAT_ACTIVIDADES'!$A$4:$A$26,0)),""))=0,(IFERROR(INDEX('CAT_ACTIVIDADES'!$D$4:$D$26,MATCH($H187,'CAT_ACTIVIDADES'!$A$4:$A$26,0)),""))=""),"SIN CLASIFICAR",IFERROR(INDEX('CAT_ACTIVIDADES'!$D$4:$D$26,MATCH($H187,'CAT_ACTIVIDADES'!$A$4:$A$26,0)),"")))</f>
        <v/>
      </c>
      <c r="AP187" s="4" t="n"/>
      <c r="AQ187" s="4" t="n"/>
      <c r="AR187" s="4" t="n"/>
      <c r="AS187" s="24">
        <f>IF($AR187="","",HYPERLINK(p_ruta_base_checklists&amp;$AR187,"abrir"))</f>
        <v/>
      </c>
      <c r="AT187" s="4" t="n"/>
      <c r="AU187" s="24">
        <f>IF($A187="","",$A187&amp;IF($B187="","0010",$B187))</f>
        <v/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41" t="n"/>
      <c r="K188" s="5" t="n"/>
      <c r="L188" s="18" t="n"/>
      <c r="M188" s="24">
        <f>IF($A188="","",IFERROR(INDEX('AJUSTES'!$B$4:$B$303,MATCH($AU188,'AJUSTES'!$A$4:$A$303,0)),IF($K188="","",$K188)))</f>
        <v/>
      </c>
      <c r="N188" s="24">
        <f>IF($A188="","",IFERROR(INDEX('CAT_ESTADOS_ERP'!$B$4:$B$22,MATCH(IFERROR(INDEX('2_IMPORTAR_EJECUCION'!$C$9:$C$1208,MATCH($AU188,'2_IMPORTAR_EJECUCION'!$J$9:$J$1208,0)),""),'CAT_ESTADOS_ERP'!$A$4:$A$22,0)),"Pendiente"))</f>
        <v/>
      </c>
      <c r="O188" s="24">
        <f>IF($J188="","",YEAR($J188+4-WEEKDAY($J188,2))&amp;"-S"&amp;TEXT(_xlfn.ISOWEEKNUM($J188),"00"))</f>
        <v/>
      </c>
      <c r="P188" s="24">
        <f>IF($J188="","",YEAR($J188))</f>
        <v/>
      </c>
      <c r="Q188" s="24">
        <f>IF($J188="","",MONTH($J188))</f>
        <v/>
      </c>
      <c r="R188" s="24">
        <f>IF($J188="","",$P188&amp;"-"&amp;TEXT($Q188,"00"))</f>
        <v/>
      </c>
      <c r="S188" s="24">
        <f>IF($J188="","",INDEX(lista_dias,WEEKDAY($J188,2)))</f>
        <v/>
      </c>
      <c r="T188" s="24">
        <f>IF($J188="","",IFERROR(INDEX('CALENDARIO'!$C$15:$C$214,MATCH(TEXT($J188,"yyyy-mm-dd")&amp;"|"&amp;$Y188&amp;"|"&amp;$Z188,'CALENDARIO'!$G$15:$G$214,0)),IFERROR(INDEX('CALENDARIO'!$C$15:$C$214,MATCH(TEXT($J188,"yyyy-mm-dd")&amp;"|"&amp;$Y188&amp;"|",'CALENDARIO'!$G$15:$G$214,0)),IFERROR(INDEX('CALENDARIO'!$C$15:$C$214,MATCH(TEXT($J188,"yyyy-mm-dd")&amp;"||",'CALENDARIO'!$G$15:$G$214,0)),INDEX(patronHabil,WEEKDAY($J188,2))))))</f>
        <v/>
      </c>
      <c r="U188" s="24">
        <f>IF($I188="","",IFERROR(INDEX('CAT_TIPOS_OT'!$C$4:$C$23,MATCH($I188,'CAT_TIPOS_OT'!$A$4:$A$23,0)),"sin_clasificar"))</f>
        <v/>
      </c>
      <c r="V188" s="24">
        <f>IF($I188="","",IF(IFERROR(INDEX('CAT_TIPOS_OT'!$D$4:$D$23,MATCH($I188,'CAT_TIPOS_OT'!$A$4:$A$23,0)),"SIN CLASIFICAR")="","SIN CLASIFICAR",IFERROR(INDEX('CAT_TIPOS_OT'!$D$4:$D$23,MATCH($I188,'CAT_TIPOS_OT'!$A$4:$A$23,0)),"SIN CLASIFICAR")))</f>
        <v/>
      </c>
      <c r="W188" s="24">
        <f>IF($H188="","",IF(IFERROR(INDEX('CAT_ACTIVIDADES'!$F$4:$F$26,MATCH($H188,'CAT_ACTIVIDADES'!$A$4:$A$26,0)),"")=0,"",IFERROR(INDEX('CAT_ACTIVIDADES'!$F$4:$F$26,MATCH($H188,'CAT_ACTIVIDADES'!$A$4:$A$26,0)),"")))</f>
        <v/>
      </c>
      <c r="X188" s="24">
        <f>IF($F188="","",IFERROR(INDEX('CAT_CENTROS_COSTO'!$F$4:$F$28,MATCH($F188,'CAT_CENTROS_COSTO'!$A$4:$A$28,0)),"(sin catálogo)"))</f>
        <v/>
      </c>
      <c r="Y188" s="24">
        <f>IF($F188="","",IFERROR(INDEX('CAT_CENTROS_COSTO'!$D$4:$D$28,MATCH($F188,'CAT_CENTROS_COSTO'!$A$4:$A$28,0)),"(sin catálogo)"))</f>
        <v/>
      </c>
      <c r="Z188" s="24">
        <f>IF($F188="","",IF((IFERROR(INDEX('CAT_CENTROS_COSTO'!$E$4:$E$28,MATCH($F188,'CAT_CENTROS_COSTO'!$A$4:$A$28,0)),""))&lt;&gt;"",IFERROR(INDEX('CAT_CENTROS_COSTO'!$E$4:$E$28,MATCH($F188,'CAT_CENTROS_COSTO'!$A$4:$A$28,0)),""),$Y188))</f>
        <v/>
      </c>
      <c r="AA188" s="24">
        <f>IF($F188="","",IFERROR(INDEX('CAT_CENTROS_COSTO'!$G$4:$G$28,MATCH($F188,'CAT_CENTROS_COSTO'!$A$4:$A$28,0)),"(sin catálogo)"))</f>
        <v/>
      </c>
      <c r="AB188" s="24">
        <f>IF($G188="","",IFERROR(INDEX('CAT_PUESTOS'!$B$4:$B$23,MATCH($G188,'CAT_PUESTOS'!$A$4:$A$23,0)),"(sin catálogo)"))</f>
        <v/>
      </c>
      <c r="AC188" s="24">
        <f>IF($H188="","",IFERROR(INDEX('CAT_ACTIVIDADES'!$B$4:$B$26,MATCH($H188,'CAT_ACTIVIDADES'!$A$4:$A$26,0)),"(sin catálogo)"))</f>
        <v/>
      </c>
      <c r="AD188" s="26">
        <f>IF($J188="","",TODAY()-$J188)</f>
        <v/>
      </c>
      <c r="AE188" s="26">
        <f>IF($J188="","",IF($J188&lt;=TODAY(),COUNTIFS(cal_fechas,"&gt;="&amp;$J188,cal_fechas,"&lt;"&amp;TODAY(),cal_habil,"sí"),-COUNTIFS(cal_fechas,"&gt;="&amp;TODAY(),cal_fechas,"&lt;"&amp;$J188,cal_habil,"sí")))</f>
        <v/>
      </c>
      <c r="AF188" s="24">
        <f>IF($AE188="","",IF($AE188&lt;0,"FUTURO",IF($AE188&gt;p_dias_backlog_max,"BACKLOG","MES CORRIENTE")))</f>
        <v/>
      </c>
      <c r="AG188" s="24">
        <f>IF($AE188="",FALSE,AND($AE188&gt;p_dias_backlog_min,$AE188&lt;=p_dias_backlog_max))</f>
        <v/>
      </c>
      <c r="AH188" s="4" t="n"/>
      <c r="AI188" s="24">
        <f>IF($AH188="","",IF((IFERROR(INDEX('ASIGNACIONES'!$J$4:$J$451,MATCH($O188&amp;"|"&amp;$S188&amp;"|"&amp;$AH188,'ASIGNACIONES'!$N$4:$N$451,0)),""))=0,"",IFERROR(INDEX('ASIGNACIONES'!$J$4:$J$451,MATCH($O188&amp;"|"&amp;$S188&amp;"|"&amp;$AH188,'ASIGNACIONES'!$N$4:$N$451,0)),"")))</f>
        <v/>
      </c>
      <c r="AJ188" s="42">
        <f>IF($AH188="","",SUMIFS('ORDENES'!$M$4:$M$1203,'ORDENES'!$AH$4:$AH$1203,$AH188,'ORDENES'!$O$4:$O$1203,$O188,'ORDENES'!$S$4:$S$1203,$S188))</f>
        <v/>
      </c>
      <c r="AK188" s="42">
        <f>IF($AJ188="","",p_factor_productividad*IFERROR(INDEX('ASIGNACIONES'!$M$4:$M$451,MATCH($O188&amp;"|"&amp;$S188&amp;"|"&amp;$AH188,'ASIGNACIONES'!$N$4:$N$451,0)),0)-$AJ188)</f>
        <v/>
      </c>
      <c r="AL188" s="32">
        <f>IF($A188="","",IFERROR(INDEX('2_IMPORTAR_EJECUCION'!$F$9:$F$1208,MATCH($AU188,'2_IMPORTAR_EJECUCION'!$J$9:$J$1208,0)),0))</f>
        <v/>
      </c>
      <c r="AM188" s="32">
        <f>IF($A188="","",MAX(0,IFERROR(INDEX('2_IMPORTAR_EJECUCION'!$H$9:$H$1208,MATCH($AU188,'2_IMPORTAR_EJECUCION'!$J$9:$J$1208,0)),0)-$AL188))</f>
        <v/>
      </c>
      <c r="AN188" s="32">
        <f>IF($A188="","",$AL188+$AM188)</f>
        <v/>
      </c>
      <c r="AO188" s="24">
        <f>IF($A188="","",IF(OR((IFERROR(INDEX('CAT_ACTIVIDADES'!$D$4:$D$26,MATCH($H188,'CAT_ACTIVIDADES'!$A$4:$A$26,0)),""))=0,(IFERROR(INDEX('CAT_ACTIVIDADES'!$D$4:$D$26,MATCH($H188,'CAT_ACTIVIDADES'!$A$4:$A$26,0)),""))=""),"SIN CLASIFICAR",IFERROR(INDEX('CAT_ACTIVIDADES'!$D$4:$D$26,MATCH($H188,'CAT_ACTIVIDADES'!$A$4:$A$26,0)),"")))</f>
        <v/>
      </c>
      <c r="AP188" s="4" t="n"/>
      <c r="AQ188" s="4" t="n"/>
      <c r="AR188" s="4" t="n"/>
      <c r="AS188" s="24">
        <f>IF($AR188="","",HYPERLINK(p_ruta_base_checklists&amp;$AR188,"abrir"))</f>
        <v/>
      </c>
      <c r="AT188" s="4" t="n"/>
      <c r="AU188" s="24">
        <f>IF($A188="","",$A188&amp;IF($B188="","0010",$B188))</f>
        <v/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41" t="n"/>
      <c r="K189" s="5" t="n"/>
      <c r="L189" s="18" t="n"/>
      <c r="M189" s="24">
        <f>IF($A189="","",IFERROR(INDEX('AJUSTES'!$B$4:$B$303,MATCH($AU189,'AJUSTES'!$A$4:$A$303,0)),IF($K189="","",$K189)))</f>
        <v/>
      </c>
      <c r="N189" s="24">
        <f>IF($A189="","",IFERROR(INDEX('CAT_ESTADOS_ERP'!$B$4:$B$22,MATCH(IFERROR(INDEX('2_IMPORTAR_EJECUCION'!$C$9:$C$1208,MATCH($AU189,'2_IMPORTAR_EJECUCION'!$J$9:$J$1208,0)),""),'CAT_ESTADOS_ERP'!$A$4:$A$22,0)),"Pendiente"))</f>
        <v/>
      </c>
      <c r="O189" s="24">
        <f>IF($J189="","",YEAR($J189+4-WEEKDAY($J189,2))&amp;"-S"&amp;TEXT(_xlfn.ISOWEEKNUM($J189),"00"))</f>
        <v/>
      </c>
      <c r="P189" s="24">
        <f>IF($J189="","",YEAR($J189))</f>
        <v/>
      </c>
      <c r="Q189" s="24">
        <f>IF($J189="","",MONTH($J189))</f>
        <v/>
      </c>
      <c r="R189" s="24">
        <f>IF($J189="","",$P189&amp;"-"&amp;TEXT($Q189,"00"))</f>
        <v/>
      </c>
      <c r="S189" s="24">
        <f>IF($J189="","",INDEX(lista_dias,WEEKDAY($J189,2)))</f>
        <v/>
      </c>
      <c r="T189" s="24">
        <f>IF($J189="","",IFERROR(INDEX('CALENDARIO'!$C$15:$C$214,MATCH(TEXT($J189,"yyyy-mm-dd")&amp;"|"&amp;$Y189&amp;"|"&amp;$Z189,'CALENDARIO'!$G$15:$G$214,0)),IFERROR(INDEX('CALENDARIO'!$C$15:$C$214,MATCH(TEXT($J189,"yyyy-mm-dd")&amp;"|"&amp;$Y189&amp;"|",'CALENDARIO'!$G$15:$G$214,0)),IFERROR(INDEX('CALENDARIO'!$C$15:$C$214,MATCH(TEXT($J189,"yyyy-mm-dd")&amp;"||",'CALENDARIO'!$G$15:$G$214,0)),INDEX(patronHabil,WEEKDAY($J189,2))))))</f>
        <v/>
      </c>
      <c r="U189" s="24">
        <f>IF($I189="","",IFERROR(INDEX('CAT_TIPOS_OT'!$C$4:$C$23,MATCH($I189,'CAT_TIPOS_OT'!$A$4:$A$23,0)),"sin_clasificar"))</f>
        <v/>
      </c>
      <c r="V189" s="24">
        <f>IF($I189="","",IF(IFERROR(INDEX('CAT_TIPOS_OT'!$D$4:$D$23,MATCH($I189,'CAT_TIPOS_OT'!$A$4:$A$23,0)),"SIN CLASIFICAR")="","SIN CLASIFICAR",IFERROR(INDEX('CAT_TIPOS_OT'!$D$4:$D$23,MATCH($I189,'CAT_TIPOS_OT'!$A$4:$A$23,0)),"SIN CLASIFICAR")))</f>
        <v/>
      </c>
      <c r="W189" s="24">
        <f>IF($H189="","",IF(IFERROR(INDEX('CAT_ACTIVIDADES'!$F$4:$F$26,MATCH($H189,'CAT_ACTIVIDADES'!$A$4:$A$26,0)),"")=0,"",IFERROR(INDEX('CAT_ACTIVIDADES'!$F$4:$F$26,MATCH($H189,'CAT_ACTIVIDADES'!$A$4:$A$26,0)),"")))</f>
        <v/>
      </c>
      <c r="X189" s="24">
        <f>IF($F189="","",IFERROR(INDEX('CAT_CENTROS_COSTO'!$F$4:$F$28,MATCH($F189,'CAT_CENTROS_COSTO'!$A$4:$A$28,0)),"(sin catálogo)"))</f>
        <v/>
      </c>
      <c r="Y189" s="24">
        <f>IF($F189="","",IFERROR(INDEX('CAT_CENTROS_COSTO'!$D$4:$D$28,MATCH($F189,'CAT_CENTROS_COSTO'!$A$4:$A$28,0)),"(sin catálogo)"))</f>
        <v/>
      </c>
      <c r="Z189" s="24">
        <f>IF($F189="","",IF((IFERROR(INDEX('CAT_CENTROS_COSTO'!$E$4:$E$28,MATCH($F189,'CAT_CENTROS_COSTO'!$A$4:$A$28,0)),""))&lt;&gt;"",IFERROR(INDEX('CAT_CENTROS_COSTO'!$E$4:$E$28,MATCH($F189,'CAT_CENTROS_COSTO'!$A$4:$A$28,0)),""),$Y189))</f>
        <v/>
      </c>
      <c r="AA189" s="24">
        <f>IF($F189="","",IFERROR(INDEX('CAT_CENTROS_COSTO'!$G$4:$G$28,MATCH($F189,'CAT_CENTROS_COSTO'!$A$4:$A$28,0)),"(sin catálogo)"))</f>
        <v/>
      </c>
      <c r="AB189" s="24">
        <f>IF($G189="","",IFERROR(INDEX('CAT_PUESTOS'!$B$4:$B$23,MATCH($G189,'CAT_PUESTOS'!$A$4:$A$23,0)),"(sin catálogo)"))</f>
        <v/>
      </c>
      <c r="AC189" s="24">
        <f>IF($H189="","",IFERROR(INDEX('CAT_ACTIVIDADES'!$B$4:$B$26,MATCH($H189,'CAT_ACTIVIDADES'!$A$4:$A$26,0)),"(sin catálogo)"))</f>
        <v/>
      </c>
      <c r="AD189" s="26">
        <f>IF($J189="","",TODAY()-$J189)</f>
        <v/>
      </c>
      <c r="AE189" s="26">
        <f>IF($J189="","",IF($J189&lt;=TODAY(),COUNTIFS(cal_fechas,"&gt;="&amp;$J189,cal_fechas,"&lt;"&amp;TODAY(),cal_habil,"sí"),-COUNTIFS(cal_fechas,"&gt;="&amp;TODAY(),cal_fechas,"&lt;"&amp;$J189,cal_habil,"sí")))</f>
        <v/>
      </c>
      <c r="AF189" s="24">
        <f>IF($AE189="","",IF($AE189&lt;0,"FUTURO",IF($AE189&gt;p_dias_backlog_max,"BACKLOG","MES CORRIENTE")))</f>
        <v/>
      </c>
      <c r="AG189" s="24">
        <f>IF($AE189="",FALSE,AND($AE189&gt;p_dias_backlog_min,$AE189&lt;=p_dias_backlog_max))</f>
        <v/>
      </c>
      <c r="AH189" s="4" t="n"/>
      <c r="AI189" s="24">
        <f>IF($AH189="","",IF((IFERROR(INDEX('ASIGNACIONES'!$J$4:$J$451,MATCH($O189&amp;"|"&amp;$S189&amp;"|"&amp;$AH189,'ASIGNACIONES'!$N$4:$N$451,0)),""))=0,"",IFERROR(INDEX('ASIGNACIONES'!$J$4:$J$451,MATCH($O189&amp;"|"&amp;$S189&amp;"|"&amp;$AH189,'ASIGNACIONES'!$N$4:$N$451,0)),"")))</f>
        <v/>
      </c>
      <c r="AJ189" s="42">
        <f>IF($AH189="","",SUMIFS('ORDENES'!$M$4:$M$1203,'ORDENES'!$AH$4:$AH$1203,$AH189,'ORDENES'!$O$4:$O$1203,$O189,'ORDENES'!$S$4:$S$1203,$S189))</f>
        <v/>
      </c>
      <c r="AK189" s="42">
        <f>IF($AJ189="","",p_factor_productividad*IFERROR(INDEX('ASIGNACIONES'!$M$4:$M$451,MATCH($O189&amp;"|"&amp;$S189&amp;"|"&amp;$AH189,'ASIGNACIONES'!$N$4:$N$451,0)),0)-$AJ189)</f>
        <v/>
      </c>
      <c r="AL189" s="32">
        <f>IF($A189="","",IFERROR(INDEX('2_IMPORTAR_EJECUCION'!$F$9:$F$1208,MATCH($AU189,'2_IMPORTAR_EJECUCION'!$J$9:$J$1208,0)),0))</f>
        <v/>
      </c>
      <c r="AM189" s="32">
        <f>IF($A189="","",MAX(0,IFERROR(INDEX('2_IMPORTAR_EJECUCION'!$H$9:$H$1208,MATCH($AU189,'2_IMPORTAR_EJECUCION'!$J$9:$J$1208,0)),0)-$AL189))</f>
        <v/>
      </c>
      <c r="AN189" s="32">
        <f>IF($A189="","",$AL189+$AM189)</f>
        <v/>
      </c>
      <c r="AO189" s="24">
        <f>IF($A189="","",IF(OR((IFERROR(INDEX('CAT_ACTIVIDADES'!$D$4:$D$26,MATCH($H189,'CAT_ACTIVIDADES'!$A$4:$A$26,0)),""))=0,(IFERROR(INDEX('CAT_ACTIVIDADES'!$D$4:$D$26,MATCH($H189,'CAT_ACTIVIDADES'!$A$4:$A$26,0)),""))=""),"SIN CLASIFICAR",IFERROR(INDEX('CAT_ACTIVIDADES'!$D$4:$D$26,MATCH($H189,'CAT_ACTIVIDADES'!$A$4:$A$26,0)),"")))</f>
        <v/>
      </c>
      <c r="AP189" s="4" t="n"/>
      <c r="AQ189" s="4" t="n"/>
      <c r="AR189" s="4" t="n"/>
      <c r="AS189" s="24">
        <f>IF($AR189="","",HYPERLINK(p_ruta_base_checklists&amp;$AR189,"abrir"))</f>
        <v/>
      </c>
      <c r="AT189" s="4" t="n"/>
      <c r="AU189" s="24">
        <f>IF($A189="","",$A189&amp;IF($B189="","0010",$B189))</f>
        <v/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41" t="n"/>
      <c r="K190" s="5" t="n"/>
      <c r="L190" s="18" t="n"/>
      <c r="M190" s="24">
        <f>IF($A190="","",IFERROR(INDEX('AJUSTES'!$B$4:$B$303,MATCH($AU190,'AJUSTES'!$A$4:$A$303,0)),IF($K190="","",$K190)))</f>
        <v/>
      </c>
      <c r="N190" s="24">
        <f>IF($A190="","",IFERROR(INDEX('CAT_ESTADOS_ERP'!$B$4:$B$22,MATCH(IFERROR(INDEX('2_IMPORTAR_EJECUCION'!$C$9:$C$1208,MATCH($AU190,'2_IMPORTAR_EJECUCION'!$J$9:$J$1208,0)),""),'CAT_ESTADOS_ERP'!$A$4:$A$22,0)),"Pendiente"))</f>
        <v/>
      </c>
      <c r="O190" s="24">
        <f>IF($J190="","",YEAR($J190+4-WEEKDAY($J190,2))&amp;"-S"&amp;TEXT(_xlfn.ISOWEEKNUM($J190),"00"))</f>
        <v/>
      </c>
      <c r="P190" s="24">
        <f>IF($J190="","",YEAR($J190))</f>
        <v/>
      </c>
      <c r="Q190" s="24">
        <f>IF($J190="","",MONTH($J190))</f>
        <v/>
      </c>
      <c r="R190" s="24">
        <f>IF($J190="","",$P190&amp;"-"&amp;TEXT($Q190,"00"))</f>
        <v/>
      </c>
      <c r="S190" s="24">
        <f>IF($J190="","",INDEX(lista_dias,WEEKDAY($J190,2)))</f>
        <v/>
      </c>
      <c r="T190" s="24">
        <f>IF($J190="","",IFERROR(INDEX('CALENDARIO'!$C$15:$C$214,MATCH(TEXT($J190,"yyyy-mm-dd")&amp;"|"&amp;$Y190&amp;"|"&amp;$Z190,'CALENDARIO'!$G$15:$G$214,0)),IFERROR(INDEX('CALENDARIO'!$C$15:$C$214,MATCH(TEXT($J190,"yyyy-mm-dd")&amp;"|"&amp;$Y190&amp;"|",'CALENDARIO'!$G$15:$G$214,0)),IFERROR(INDEX('CALENDARIO'!$C$15:$C$214,MATCH(TEXT($J190,"yyyy-mm-dd")&amp;"||",'CALENDARIO'!$G$15:$G$214,0)),INDEX(patronHabil,WEEKDAY($J190,2))))))</f>
        <v/>
      </c>
      <c r="U190" s="24">
        <f>IF($I190="","",IFERROR(INDEX('CAT_TIPOS_OT'!$C$4:$C$23,MATCH($I190,'CAT_TIPOS_OT'!$A$4:$A$23,0)),"sin_clasificar"))</f>
        <v/>
      </c>
      <c r="V190" s="24">
        <f>IF($I190="","",IF(IFERROR(INDEX('CAT_TIPOS_OT'!$D$4:$D$23,MATCH($I190,'CAT_TIPOS_OT'!$A$4:$A$23,0)),"SIN CLASIFICAR")="","SIN CLASIFICAR",IFERROR(INDEX('CAT_TIPOS_OT'!$D$4:$D$23,MATCH($I190,'CAT_TIPOS_OT'!$A$4:$A$23,0)),"SIN CLASIFICAR")))</f>
        <v/>
      </c>
      <c r="W190" s="24">
        <f>IF($H190="","",IF(IFERROR(INDEX('CAT_ACTIVIDADES'!$F$4:$F$26,MATCH($H190,'CAT_ACTIVIDADES'!$A$4:$A$26,0)),"")=0,"",IFERROR(INDEX('CAT_ACTIVIDADES'!$F$4:$F$26,MATCH($H190,'CAT_ACTIVIDADES'!$A$4:$A$26,0)),"")))</f>
        <v/>
      </c>
      <c r="X190" s="24">
        <f>IF($F190="","",IFERROR(INDEX('CAT_CENTROS_COSTO'!$F$4:$F$28,MATCH($F190,'CAT_CENTROS_COSTO'!$A$4:$A$28,0)),"(sin catálogo)"))</f>
        <v/>
      </c>
      <c r="Y190" s="24">
        <f>IF($F190="","",IFERROR(INDEX('CAT_CENTROS_COSTO'!$D$4:$D$28,MATCH($F190,'CAT_CENTROS_COSTO'!$A$4:$A$28,0)),"(sin catálogo)"))</f>
        <v/>
      </c>
      <c r="Z190" s="24">
        <f>IF($F190="","",IF((IFERROR(INDEX('CAT_CENTROS_COSTO'!$E$4:$E$28,MATCH($F190,'CAT_CENTROS_COSTO'!$A$4:$A$28,0)),""))&lt;&gt;"",IFERROR(INDEX('CAT_CENTROS_COSTO'!$E$4:$E$28,MATCH($F190,'CAT_CENTROS_COSTO'!$A$4:$A$28,0)),""),$Y190))</f>
        <v/>
      </c>
      <c r="AA190" s="24">
        <f>IF($F190="","",IFERROR(INDEX('CAT_CENTROS_COSTO'!$G$4:$G$28,MATCH($F190,'CAT_CENTROS_COSTO'!$A$4:$A$28,0)),"(sin catálogo)"))</f>
        <v/>
      </c>
      <c r="AB190" s="24">
        <f>IF($G190="","",IFERROR(INDEX('CAT_PUESTOS'!$B$4:$B$23,MATCH($G190,'CAT_PUESTOS'!$A$4:$A$23,0)),"(sin catálogo)"))</f>
        <v/>
      </c>
      <c r="AC190" s="24">
        <f>IF($H190="","",IFERROR(INDEX('CAT_ACTIVIDADES'!$B$4:$B$26,MATCH($H190,'CAT_ACTIVIDADES'!$A$4:$A$26,0)),"(sin catálogo)"))</f>
        <v/>
      </c>
      <c r="AD190" s="26">
        <f>IF($J190="","",TODAY()-$J190)</f>
        <v/>
      </c>
      <c r="AE190" s="26">
        <f>IF($J190="","",IF($J190&lt;=TODAY(),COUNTIFS(cal_fechas,"&gt;="&amp;$J190,cal_fechas,"&lt;"&amp;TODAY(),cal_habil,"sí"),-COUNTIFS(cal_fechas,"&gt;="&amp;TODAY(),cal_fechas,"&lt;"&amp;$J190,cal_habil,"sí")))</f>
        <v/>
      </c>
      <c r="AF190" s="24">
        <f>IF($AE190="","",IF($AE190&lt;0,"FUTURO",IF($AE190&gt;p_dias_backlog_max,"BACKLOG","MES CORRIENTE")))</f>
        <v/>
      </c>
      <c r="AG190" s="24">
        <f>IF($AE190="",FALSE,AND($AE190&gt;p_dias_backlog_min,$AE190&lt;=p_dias_backlog_max))</f>
        <v/>
      </c>
      <c r="AH190" s="4" t="n"/>
      <c r="AI190" s="24">
        <f>IF($AH190="","",IF((IFERROR(INDEX('ASIGNACIONES'!$J$4:$J$451,MATCH($O190&amp;"|"&amp;$S190&amp;"|"&amp;$AH190,'ASIGNACIONES'!$N$4:$N$451,0)),""))=0,"",IFERROR(INDEX('ASIGNACIONES'!$J$4:$J$451,MATCH($O190&amp;"|"&amp;$S190&amp;"|"&amp;$AH190,'ASIGNACIONES'!$N$4:$N$451,0)),"")))</f>
        <v/>
      </c>
      <c r="AJ190" s="42">
        <f>IF($AH190="","",SUMIFS('ORDENES'!$M$4:$M$1203,'ORDENES'!$AH$4:$AH$1203,$AH190,'ORDENES'!$O$4:$O$1203,$O190,'ORDENES'!$S$4:$S$1203,$S190))</f>
        <v/>
      </c>
      <c r="AK190" s="42">
        <f>IF($AJ190="","",p_factor_productividad*IFERROR(INDEX('ASIGNACIONES'!$M$4:$M$451,MATCH($O190&amp;"|"&amp;$S190&amp;"|"&amp;$AH190,'ASIGNACIONES'!$N$4:$N$451,0)),0)-$AJ190)</f>
        <v/>
      </c>
      <c r="AL190" s="32">
        <f>IF($A190="","",IFERROR(INDEX('2_IMPORTAR_EJECUCION'!$F$9:$F$1208,MATCH($AU190,'2_IMPORTAR_EJECUCION'!$J$9:$J$1208,0)),0))</f>
        <v/>
      </c>
      <c r="AM190" s="32">
        <f>IF($A190="","",MAX(0,IFERROR(INDEX('2_IMPORTAR_EJECUCION'!$H$9:$H$1208,MATCH($AU190,'2_IMPORTAR_EJECUCION'!$J$9:$J$1208,0)),0)-$AL190))</f>
        <v/>
      </c>
      <c r="AN190" s="32">
        <f>IF($A190="","",$AL190+$AM190)</f>
        <v/>
      </c>
      <c r="AO190" s="24">
        <f>IF($A190="","",IF(OR((IFERROR(INDEX('CAT_ACTIVIDADES'!$D$4:$D$26,MATCH($H190,'CAT_ACTIVIDADES'!$A$4:$A$26,0)),""))=0,(IFERROR(INDEX('CAT_ACTIVIDADES'!$D$4:$D$26,MATCH($H190,'CAT_ACTIVIDADES'!$A$4:$A$26,0)),""))=""),"SIN CLASIFICAR",IFERROR(INDEX('CAT_ACTIVIDADES'!$D$4:$D$26,MATCH($H190,'CAT_ACTIVIDADES'!$A$4:$A$26,0)),"")))</f>
        <v/>
      </c>
      <c r="AP190" s="4" t="n"/>
      <c r="AQ190" s="4" t="n"/>
      <c r="AR190" s="4" t="n"/>
      <c r="AS190" s="24">
        <f>IF($AR190="","",HYPERLINK(p_ruta_base_checklists&amp;$AR190,"abrir"))</f>
        <v/>
      </c>
      <c r="AT190" s="4" t="n"/>
      <c r="AU190" s="24">
        <f>IF($A190="","",$A190&amp;IF($B190="","0010",$B190))</f>
        <v/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41" t="n"/>
      <c r="K191" s="5" t="n"/>
      <c r="L191" s="18" t="n"/>
      <c r="M191" s="24">
        <f>IF($A191="","",IFERROR(INDEX('AJUSTES'!$B$4:$B$303,MATCH($AU191,'AJUSTES'!$A$4:$A$303,0)),IF($K191="","",$K191)))</f>
        <v/>
      </c>
      <c r="N191" s="24">
        <f>IF($A191="","",IFERROR(INDEX('CAT_ESTADOS_ERP'!$B$4:$B$22,MATCH(IFERROR(INDEX('2_IMPORTAR_EJECUCION'!$C$9:$C$1208,MATCH($AU191,'2_IMPORTAR_EJECUCION'!$J$9:$J$1208,0)),""),'CAT_ESTADOS_ERP'!$A$4:$A$22,0)),"Pendiente"))</f>
        <v/>
      </c>
      <c r="O191" s="24">
        <f>IF($J191="","",YEAR($J191+4-WEEKDAY($J191,2))&amp;"-S"&amp;TEXT(_xlfn.ISOWEEKNUM($J191),"00"))</f>
        <v/>
      </c>
      <c r="P191" s="24">
        <f>IF($J191="","",YEAR($J191))</f>
        <v/>
      </c>
      <c r="Q191" s="24">
        <f>IF($J191="","",MONTH($J191))</f>
        <v/>
      </c>
      <c r="R191" s="24">
        <f>IF($J191="","",$P191&amp;"-"&amp;TEXT($Q191,"00"))</f>
        <v/>
      </c>
      <c r="S191" s="24">
        <f>IF($J191="","",INDEX(lista_dias,WEEKDAY($J191,2)))</f>
        <v/>
      </c>
      <c r="T191" s="24">
        <f>IF($J191="","",IFERROR(INDEX('CALENDARIO'!$C$15:$C$214,MATCH(TEXT($J191,"yyyy-mm-dd")&amp;"|"&amp;$Y191&amp;"|"&amp;$Z191,'CALENDARIO'!$G$15:$G$214,0)),IFERROR(INDEX('CALENDARIO'!$C$15:$C$214,MATCH(TEXT($J191,"yyyy-mm-dd")&amp;"|"&amp;$Y191&amp;"|",'CALENDARIO'!$G$15:$G$214,0)),IFERROR(INDEX('CALENDARIO'!$C$15:$C$214,MATCH(TEXT($J191,"yyyy-mm-dd")&amp;"||",'CALENDARIO'!$G$15:$G$214,0)),INDEX(patronHabil,WEEKDAY($J191,2))))))</f>
        <v/>
      </c>
      <c r="U191" s="24">
        <f>IF($I191="","",IFERROR(INDEX('CAT_TIPOS_OT'!$C$4:$C$23,MATCH($I191,'CAT_TIPOS_OT'!$A$4:$A$23,0)),"sin_clasificar"))</f>
        <v/>
      </c>
      <c r="V191" s="24">
        <f>IF($I191="","",IF(IFERROR(INDEX('CAT_TIPOS_OT'!$D$4:$D$23,MATCH($I191,'CAT_TIPOS_OT'!$A$4:$A$23,0)),"SIN CLASIFICAR")="","SIN CLASIFICAR",IFERROR(INDEX('CAT_TIPOS_OT'!$D$4:$D$23,MATCH($I191,'CAT_TIPOS_OT'!$A$4:$A$23,0)),"SIN CLASIFICAR")))</f>
        <v/>
      </c>
      <c r="W191" s="24">
        <f>IF($H191="","",IF(IFERROR(INDEX('CAT_ACTIVIDADES'!$F$4:$F$26,MATCH($H191,'CAT_ACTIVIDADES'!$A$4:$A$26,0)),"")=0,"",IFERROR(INDEX('CAT_ACTIVIDADES'!$F$4:$F$26,MATCH($H191,'CAT_ACTIVIDADES'!$A$4:$A$26,0)),"")))</f>
        <v/>
      </c>
      <c r="X191" s="24">
        <f>IF($F191="","",IFERROR(INDEX('CAT_CENTROS_COSTO'!$F$4:$F$28,MATCH($F191,'CAT_CENTROS_COSTO'!$A$4:$A$28,0)),"(sin catálogo)"))</f>
        <v/>
      </c>
      <c r="Y191" s="24">
        <f>IF($F191="","",IFERROR(INDEX('CAT_CENTROS_COSTO'!$D$4:$D$28,MATCH($F191,'CAT_CENTROS_COSTO'!$A$4:$A$28,0)),"(sin catálogo)"))</f>
        <v/>
      </c>
      <c r="Z191" s="24">
        <f>IF($F191="","",IF((IFERROR(INDEX('CAT_CENTROS_COSTO'!$E$4:$E$28,MATCH($F191,'CAT_CENTROS_COSTO'!$A$4:$A$28,0)),""))&lt;&gt;"",IFERROR(INDEX('CAT_CENTROS_COSTO'!$E$4:$E$28,MATCH($F191,'CAT_CENTROS_COSTO'!$A$4:$A$28,0)),""),$Y191))</f>
        <v/>
      </c>
      <c r="AA191" s="24">
        <f>IF($F191="","",IFERROR(INDEX('CAT_CENTROS_COSTO'!$G$4:$G$28,MATCH($F191,'CAT_CENTROS_COSTO'!$A$4:$A$28,0)),"(sin catálogo)"))</f>
        <v/>
      </c>
      <c r="AB191" s="24">
        <f>IF($G191="","",IFERROR(INDEX('CAT_PUESTOS'!$B$4:$B$23,MATCH($G191,'CAT_PUESTOS'!$A$4:$A$23,0)),"(sin catálogo)"))</f>
        <v/>
      </c>
      <c r="AC191" s="24">
        <f>IF($H191="","",IFERROR(INDEX('CAT_ACTIVIDADES'!$B$4:$B$26,MATCH($H191,'CAT_ACTIVIDADES'!$A$4:$A$26,0)),"(sin catálogo)"))</f>
        <v/>
      </c>
      <c r="AD191" s="26">
        <f>IF($J191="","",TODAY()-$J191)</f>
        <v/>
      </c>
      <c r="AE191" s="26">
        <f>IF($J191="","",IF($J191&lt;=TODAY(),COUNTIFS(cal_fechas,"&gt;="&amp;$J191,cal_fechas,"&lt;"&amp;TODAY(),cal_habil,"sí"),-COUNTIFS(cal_fechas,"&gt;="&amp;TODAY(),cal_fechas,"&lt;"&amp;$J191,cal_habil,"sí")))</f>
        <v/>
      </c>
      <c r="AF191" s="24">
        <f>IF($AE191="","",IF($AE191&lt;0,"FUTURO",IF($AE191&gt;p_dias_backlog_max,"BACKLOG","MES CORRIENTE")))</f>
        <v/>
      </c>
      <c r="AG191" s="24">
        <f>IF($AE191="",FALSE,AND($AE191&gt;p_dias_backlog_min,$AE191&lt;=p_dias_backlog_max))</f>
        <v/>
      </c>
      <c r="AH191" s="4" t="n"/>
      <c r="AI191" s="24">
        <f>IF($AH191="","",IF((IFERROR(INDEX('ASIGNACIONES'!$J$4:$J$451,MATCH($O191&amp;"|"&amp;$S191&amp;"|"&amp;$AH191,'ASIGNACIONES'!$N$4:$N$451,0)),""))=0,"",IFERROR(INDEX('ASIGNACIONES'!$J$4:$J$451,MATCH($O191&amp;"|"&amp;$S191&amp;"|"&amp;$AH191,'ASIGNACIONES'!$N$4:$N$451,0)),"")))</f>
        <v/>
      </c>
      <c r="AJ191" s="42">
        <f>IF($AH191="","",SUMIFS('ORDENES'!$M$4:$M$1203,'ORDENES'!$AH$4:$AH$1203,$AH191,'ORDENES'!$O$4:$O$1203,$O191,'ORDENES'!$S$4:$S$1203,$S191))</f>
        <v/>
      </c>
      <c r="AK191" s="42">
        <f>IF($AJ191="","",p_factor_productividad*IFERROR(INDEX('ASIGNACIONES'!$M$4:$M$451,MATCH($O191&amp;"|"&amp;$S191&amp;"|"&amp;$AH191,'ASIGNACIONES'!$N$4:$N$451,0)),0)-$AJ191)</f>
        <v/>
      </c>
      <c r="AL191" s="32">
        <f>IF($A191="","",IFERROR(INDEX('2_IMPORTAR_EJECUCION'!$F$9:$F$1208,MATCH($AU191,'2_IMPORTAR_EJECUCION'!$J$9:$J$1208,0)),0))</f>
        <v/>
      </c>
      <c r="AM191" s="32">
        <f>IF($A191="","",MAX(0,IFERROR(INDEX('2_IMPORTAR_EJECUCION'!$H$9:$H$1208,MATCH($AU191,'2_IMPORTAR_EJECUCION'!$J$9:$J$1208,0)),0)-$AL191))</f>
        <v/>
      </c>
      <c r="AN191" s="32">
        <f>IF($A191="","",$AL191+$AM191)</f>
        <v/>
      </c>
      <c r="AO191" s="24">
        <f>IF($A191="","",IF(OR((IFERROR(INDEX('CAT_ACTIVIDADES'!$D$4:$D$26,MATCH($H191,'CAT_ACTIVIDADES'!$A$4:$A$26,0)),""))=0,(IFERROR(INDEX('CAT_ACTIVIDADES'!$D$4:$D$26,MATCH($H191,'CAT_ACTIVIDADES'!$A$4:$A$26,0)),""))=""),"SIN CLASIFICAR",IFERROR(INDEX('CAT_ACTIVIDADES'!$D$4:$D$26,MATCH($H191,'CAT_ACTIVIDADES'!$A$4:$A$26,0)),"")))</f>
        <v/>
      </c>
      <c r="AP191" s="4" t="n"/>
      <c r="AQ191" s="4" t="n"/>
      <c r="AR191" s="4" t="n"/>
      <c r="AS191" s="24">
        <f>IF($AR191="","",HYPERLINK(p_ruta_base_checklists&amp;$AR191,"abrir"))</f>
        <v/>
      </c>
      <c r="AT191" s="4" t="n"/>
      <c r="AU191" s="24">
        <f>IF($A191="","",$A191&amp;IF($B191="","0010",$B191))</f>
        <v/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41" t="n"/>
      <c r="K192" s="5" t="n"/>
      <c r="L192" s="18" t="n"/>
      <c r="M192" s="24">
        <f>IF($A192="","",IFERROR(INDEX('AJUSTES'!$B$4:$B$303,MATCH($AU192,'AJUSTES'!$A$4:$A$303,0)),IF($K192="","",$K192)))</f>
        <v/>
      </c>
      <c r="N192" s="24">
        <f>IF($A192="","",IFERROR(INDEX('CAT_ESTADOS_ERP'!$B$4:$B$22,MATCH(IFERROR(INDEX('2_IMPORTAR_EJECUCION'!$C$9:$C$1208,MATCH($AU192,'2_IMPORTAR_EJECUCION'!$J$9:$J$1208,0)),""),'CAT_ESTADOS_ERP'!$A$4:$A$22,0)),"Pendiente"))</f>
        <v/>
      </c>
      <c r="O192" s="24">
        <f>IF($J192="","",YEAR($J192+4-WEEKDAY($J192,2))&amp;"-S"&amp;TEXT(_xlfn.ISOWEEKNUM($J192),"00"))</f>
        <v/>
      </c>
      <c r="P192" s="24">
        <f>IF($J192="","",YEAR($J192))</f>
        <v/>
      </c>
      <c r="Q192" s="24">
        <f>IF($J192="","",MONTH($J192))</f>
        <v/>
      </c>
      <c r="R192" s="24">
        <f>IF($J192="","",$P192&amp;"-"&amp;TEXT($Q192,"00"))</f>
        <v/>
      </c>
      <c r="S192" s="24">
        <f>IF($J192="","",INDEX(lista_dias,WEEKDAY($J192,2)))</f>
        <v/>
      </c>
      <c r="T192" s="24">
        <f>IF($J192="","",IFERROR(INDEX('CALENDARIO'!$C$15:$C$214,MATCH(TEXT($J192,"yyyy-mm-dd")&amp;"|"&amp;$Y192&amp;"|"&amp;$Z192,'CALENDARIO'!$G$15:$G$214,0)),IFERROR(INDEX('CALENDARIO'!$C$15:$C$214,MATCH(TEXT($J192,"yyyy-mm-dd")&amp;"|"&amp;$Y192&amp;"|",'CALENDARIO'!$G$15:$G$214,0)),IFERROR(INDEX('CALENDARIO'!$C$15:$C$214,MATCH(TEXT($J192,"yyyy-mm-dd")&amp;"||",'CALENDARIO'!$G$15:$G$214,0)),INDEX(patronHabil,WEEKDAY($J192,2))))))</f>
        <v/>
      </c>
      <c r="U192" s="24">
        <f>IF($I192="","",IFERROR(INDEX('CAT_TIPOS_OT'!$C$4:$C$23,MATCH($I192,'CAT_TIPOS_OT'!$A$4:$A$23,0)),"sin_clasificar"))</f>
        <v/>
      </c>
      <c r="V192" s="24">
        <f>IF($I192="","",IF(IFERROR(INDEX('CAT_TIPOS_OT'!$D$4:$D$23,MATCH($I192,'CAT_TIPOS_OT'!$A$4:$A$23,0)),"SIN CLASIFICAR")="","SIN CLASIFICAR",IFERROR(INDEX('CAT_TIPOS_OT'!$D$4:$D$23,MATCH($I192,'CAT_TIPOS_OT'!$A$4:$A$23,0)),"SIN CLASIFICAR")))</f>
        <v/>
      </c>
      <c r="W192" s="24">
        <f>IF($H192="","",IF(IFERROR(INDEX('CAT_ACTIVIDADES'!$F$4:$F$26,MATCH($H192,'CAT_ACTIVIDADES'!$A$4:$A$26,0)),"")=0,"",IFERROR(INDEX('CAT_ACTIVIDADES'!$F$4:$F$26,MATCH($H192,'CAT_ACTIVIDADES'!$A$4:$A$26,0)),"")))</f>
        <v/>
      </c>
      <c r="X192" s="24">
        <f>IF($F192="","",IFERROR(INDEX('CAT_CENTROS_COSTO'!$F$4:$F$28,MATCH($F192,'CAT_CENTROS_COSTO'!$A$4:$A$28,0)),"(sin catálogo)"))</f>
        <v/>
      </c>
      <c r="Y192" s="24">
        <f>IF($F192="","",IFERROR(INDEX('CAT_CENTROS_COSTO'!$D$4:$D$28,MATCH($F192,'CAT_CENTROS_COSTO'!$A$4:$A$28,0)),"(sin catálogo)"))</f>
        <v/>
      </c>
      <c r="Z192" s="24">
        <f>IF($F192="","",IF((IFERROR(INDEX('CAT_CENTROS_COSTO'!$E$4:$E$28,MATCH($F192,'CAT_CENTROS_COSTO'!$A$4:$A$28,0)),""))&lt;&gt;"",IFERROR(INDEX('CAT_CENTROS_COSTO'!$E$4:$E$28,MATCH($F192,'CAT_CENTROS_COSTO'!$A$4:$A$28,0)),""),$Y192))</f>
        <v/>
      </c>
      <c r="AA192" s="24">
        <f>IF($F192="","",IFERROR(INDEX('CAT_CENTROS_COSTO'!$G$4:$G$28,MATCH($F192,'CAT_CENTROS_COSTO'!$A$4:$A$28,0)),"(sin catálogo)"))</f>
        <v/>
      </c>
      <c r="AB192" s="24">
        <f>IF($G192="","",IFERROR(INDEX('CAT_PUESTOS'!$B$4:$B$23,MATCH($G192,'CAT_PUESTOS'!$A$4:$A$23,0)),"(sin catálogo)"))</f>
        <v/>
      </c>
      <c r="AC192" s="24">
        <f>IF($H192="","",IFERROR(INDEX('CAT_ACTIVIDADES'!$B$4:$B$26,MATCH($H192,'CAT_ACTIVIDADES'!$A$4:$A$26,0)),"(sin catálogo)"))</f>
        <v/>
      </c>
      <c r="AD192" s="26">
        <f>IF($J192="","",TODAY()-$J192)</f>
        <v/>
      </c>
      <c r="AE192" s="26">
        <f>IF($J192="","",IF($J192&lt;=TODAY(),COUNTIFS(cal_fechas,"&gt;="&amp;$J192,cal_fechas,"&lt;"&amp;TODAY(),cal_habil,"sí"),-COUNTIFS(cal_fechas,"&gt;="&amp;TODAY(),cal_fechas,"&lt;"&amp;$J192,cal_habil,"sí")))</f>
        <v/>
      </c>
      <c r="AF192" s="24">
        <f>IF($AE192="","",IF($AE192&lt;0,"FUTURO",IF($AE192&gt;p_dias_backlog_max,"BACKLOG","MES CORRIENTE")))</f>
        <v/>
      </c>
      <c r="AG192" s="24">
        <f>IF($AE192="",FALSE,AND($AE192&gt;p_dias_backlog_min,$AE192&lt;=p_dias_backlog_max))</f>
        <v/>
      </c>
      <c r="AH192" s="4" t="n"/>
      <c r="AI192" s="24">
        <f>IF($AH192="","",IF((IFERROR(INDEX('ASIGNACIONES'!$J$4:$J$451,MATCH($O192&amp;"|"&amp;$S192&amp;"|"&amp;$AH192,'ASIGNACIONES'!$N$4:$N$451,0)),""))=0,"",IFERROR(INDEX('ASIGNACIONES'!$J$4:$J$451,MATCH($O192&amp;"|"&amp;$S192&amp;"|"&amp;$AH192,'ASIGNACIONES'!$N$4:$N$451,0)),"")))</f>
        <v/>
      </c>
      <c r="AJ192" s="42">
        <f>IF($AH192="","",SUMIFS('ORDENES'!$M$4:$M$1203,'ORDENES'!$AH$4:$AH$1203,$AH192,'ORDENES'!$O$4:$O$1203,$O192,'ORDENES'!$S$4:$S$1203,$S192))</f>
        <v/>
      </c>
      <c r="AK192" s="42">
        <f>IF($AJ192="","",p_factor_productividad*IFERROR(INDEX('ASIGNACIONES'!$M$4:$M$451,MATCH($O192&amp;"|"&amp;$S192&amp;"|"&amp;$AH192,'ASIGNACIONES'!$N$4:$N$451,0)),0)-$AJ192)</f>
        <v/>
      </c>
      <c r="AL192" s="32">
        <f>IF($A192="","",IFERROR(INDEX('2_IMPORTAR_EJECUCION'!$F$9:$F$1208,MATCH($AU192,'2_IMPORTAR_EJECUCION'!$J$9:$J$1208,0)),0))</f>
        <v/>
      </c>
      <c r="AM192" s="32">
        <f>IF($A192="","",MAX(0,IFERROR(INDEX('2_IMPORTAR_EJECUCION'!$H$9:$H$1208,MATCH($AU192,'2_IMPORTAR_EJECUCION'!$J$9:$J$1208,0)),0)-$AL192))</f>
        <v/>
      </c>
      <c r="AN192" s="32">
        <f>IF($A192="","",$AL192+$AM192)</f>
        <v/>
      </c>
      <c r="AO192" s="24">
        <f>IF($A192="","",IF(OR((IFERROR(INDEX('CAT_ACTIVIDADES'!$D$4:$D$26,MATCH($H192,'CAT_ACTIVIDADES'!$A$4:$A$26,0)),""))=0,(IFERROR(INDEX('CAT_ACTIVIDADES'!$D$4:$D$26,MATCH($H192,'CAT_ACTIVIDADES'!$A$4:$A$26,0)),""))=""),"SIN CLASIFICAR",IFERROR(INDEX('CAT_ACTIVIDADES'!$D$4:$D$26,MATCH($H192,'CAT_ACTIVIDADES'!$A$4:$A$26,0)),"")))</f>
        <v/>
      </c>
      <c r="AP192" s="4" t="n"/>
      <c r="AQ192" s="4" t="n"/>
      <c r="AR192" s="4" t="n"/>
      <c r="AS192" s="24">
        <f>IF($AR192="","",HYPERLINK(p_ruta_base_checklists&amp;$AR192,"abrir"))</f>
        <v/>
      </c>
      <c r="AT192" s="4" t="n"/>
      <c r="AU192" s="24">
        <f>IF($A192="","",$A192&amp;IF($B192="","0010",$B192))</f>
        <v/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41" t="n"/>
      <c r="K193" s="5" t="n"/>
      <c r="L193" s="18" t="n"/>
      <c r="M193" s="24">
        <f>IF($A193="","",IFERROR(INDEX('AJUSTES'!$B$4:$B$303,MATCH($AU193,'AJUSTES'!$A$4:$A$303,0)),IF($K193="","",$K193)))</f>
        <v/>
      </c>
      <c r="N193" s="24">
        <f>IF($A193="","",IFERROR(INDEX('CAT_ESTADOS_ERP'!$B$4:$B$22,MATCH(IFERROR(INDEX('2_IMPORTAR_EJECUCION'!$C$9:$C$1208,MATCH($AU193,'2_IMPORTAR_EJECUCION'!$J$9:$J$1208,0)),""),'CAT_ESTADOS_ERP'!$A$4:$A$22,0)),"Pendiente"))</f>
        <v/>
      </c>
      <c r="O193" s="24">
        <f>IF($J193="","",YEAR($J193+4-WEEKDAY($J193,2))&amp;"-S"&amp;TEXT(_xlfn.ISOWEEKNUM($J193),"00"))</f>
        <v/>
      </c>
      <c r="P193" s="24">
        <f>IF($J193="","",YEAR($J193))</f>
        <v/>
      </c>
      <c r="Q193" s="24">
        <f>IF($J193="","",MONTH($J193))</f>
        <v/>
      </c>
      <c r="R193" s="24">
        <f>IF($J193="","",$P193&amp;"-"&amp;TEXT($Q193,"00"))</f>
        <v/>
      </c>
      <c r="S193" s="24">
        <f>IF($J193="","",INDEX(lista_dias,WEEKDAY($J193,2)))</f>
        <v/>
      </c>
      <c r="T193" s="24">
        <f>IF($J193="","",IFERROR(INDEX('CALENDARIO'!$C$15:$C$214,MATCH(TEXT($J193,"yyyy-mm-dd")&amp;"|"&amp;$Y193&amp;"|"&amp;$Z193,'CALENDARIO'!$G$15:$G$214,0)),IFERROR(INDEX('CALENDARIO'!$C$15:$C$214,MATCH(TEXT($J193,"yyyy-mm-dd")&amp;"|"&amp;$Y193&amp;"|",'CALENDARIO'!$G$15:$G$214,0)),IFERROR(INDEX('CALENDARIO'!$C$15:$C$214,MATCH(TEXT($J193,"yyyy-mm-dd")&amp;"||",'CALENDARIO'!$G$15:$G$214,0)),INDEX(patronHabil,WEEKDAY($J193,2))))))</f>
        <v/>
      </c>
      <c r="U193" s="24">
        <f>IF($I193="","",IFERROR(INDEX('CAT_TIPOS_OT'!$C$4:$C$23,MATCH($I193,'CAT_TIPOS_OT'!$A$4:$A$23,0)),"sin_clasificar"))</f>
        <v/>
      </c>
      <c r="V193" s="24">
        <f>IF($I193="","",IF(IFERROR(INDEX('CAT_TIPOS_OT'!$D$4:$D$23,MATCH($I193,'CAT_TIPOS_OT'!$A$4:$A$23,0)),"SIN CLASIFICAR")="","SIN CLASIFICAR",IFERROR(INDEX('CAT_TIPOS_OT'!$D$4:$D$23,MATCH($I193,'CAT_TIPOS_OT'!$A$4:$A$23,0)),"SIN CLASIFICAR")))</f>
        <v/>
      </c>
      <c r="W193" s="24">
        <f>IF($H193="","",IF(IFERROR(INDEX('CAT_ACTIVIDADES'!$F$4:$F$26,MATCH($H193,'CAT_ACTIVIDADES'!$A$4:$A$26,0)),"")=0,"",IFERROR(INDEX('CAT_ACTIVIDADES'!$F$4:$F$26,MATCH($H193,'CAT_ACTIVIDADES'!$A$4:$A$26,0)),"")))</f>
        <v/>
      </c>
      <c r="X193" s="24">
        <f>IF($F193="","",IFERROR(INDEX('CAT_CENTROS_COSTO'!$F$4:$F$28,MATCH($F193,'CAT_CENTROS_COSTO'!$A$4:$A$28,0)),"(sin catálogo)"))</f>
        <v/>
      </c>
      <c r="Y193" s="24">
        <f>IF($F193="","",IFERROR(INDEX('CAT_CENTROS_COSTO'!$D$4:$D$28,MATCH($F193,'CAT_CENTROS_COSTO'!$A$4:$A$28,0)),"(sin catálogo)"))</f>
        <v/>
      </c>
      <c r="Z193" s="24">
        <f>IF($F193="","",IF((IFERROR(INDEX('CAT_CENTROS_COSTO'!$E$4:$E$28,MATCH($F193,'CAT_CENTROS_COSTO'!$A$4:$A$28,0)),""))&lt;&gt;"",IFERROR(INDEX('CAT_CENTROS_COSTO'!$E$4:$E$28,MATCH($F193,'CAT_CENTROS_COSTO'!$A$4:$A$28,0)),""),$Y193))</f>
        <v/>
      </c>
      <c r="AA193" s="24">
        <f>IF($F193="","",IFERROR(INDEX('CAT_CENTROS_COSTO'!$G$4:$G$28,MATCH($F193,'CAT_CENTROS_COSTO'!$A$4:$A$28,0)),"(sin catálogo)"))</f>
        <v/>
      </c>
      <c r="AB193" s="24">
        <f>IF($G193="","",IFERROR(INDEX('CAT_PUESTOS'!$B$4:$B$23,MATCH($G193,'CAT_PUESTOS'!$A$4:$A$23,0)),"(sin catálogo)"))</f>
        <v/>
      </c>
      <c r="AC193" s="24">
        <f>IF($H193="","",IFERROR(INDEX('CAT_ACTIVIDADES'!$B$4:$B$26,MATCH($H193,'CAT_ACTIVIDADES'!$A$4:$A$26,0)),"(sin catálogo)"))</f>
        <v/>
      </c>
      <c r="AD193" s="26">
        <f>IF($J193="","",TODAY()-$J193)</f>
        <v/>
      </c>
      <c r="AE193" s="26">
        <f>IF($J193="","",IF($J193&lt;=TODAY(),COUNTIFS(cal_fechas,"&gt;="&amp;$J193,cal_fechas,"&lt;"&amp;TODAY(),cal_habil,"sí"),-COUNTIFS(cal_fechas,"&gt;="&amp;TODAY(),cal_fechas,"&lt;"&amp;$J193,cal_habil,"sí")))</f>
        <v/>
      </c>
      <c r="AF193" s="24">
        <f>IF($AE193="","",IF($AE193&lt;0,"FUTURO",IF($AE193&gt;p_dias_backlog_max,"BACKLOG","MES CORRIENTE")))</f>
        <v/>
      </c>
      <c r="AG193" s="24">
        <f>IF($AE193="",FALSE,AND($AE193&gt;p_dias_backlog_min,$AE193&lt;=p_dias_backlog_max))</f>
        <v/>
      </c>
      <c r="AH193" s="4" t="n"/>
      <c r="AI193" s="24">
        <f>IF($AH193="","",IF((IFERROR(INDEX('ASIGNACIONES'!$J$4:$J$451,MATCH($O193&amp;"|"&amp;$S193&amp;"|"&amp;$AH193,'ASIGNACIONES'!$N$4:$N$451,0)),""))=0,"",IFERROR(INDEX('ASIGNACIONES'!$J$4:$J$451,MATCH($O193&amp;"|"&amp;$S193&amp;"|"&amp;$AH193,'ASIGNACIONES'!$N$4:$N$451,0)),"")))</f>
        <v/>
      </c>
      <c r="AJ193" s="42">
        <f>IF($AH193="","",SUMIFS('ORDENES'!$M$4:$M$1203,'ORDENES'!$AH$4:$AH$1203,$AH193,'ORDENES'!$O$4:$O$1203,$O193,'ORDENES'!$S$4:$S$1203,$S193))</f>
        <v/>
      </c>
      <c r="AK193" s="42">
        <f>IF($AJ193="","",p_factor_productividad*IFERROR(INDEX('ASIGNACIONES'!$M$4:$M$451,MATCH($O193&amp;"|"&amp;$S193&amp;"|"&amp;$AH193,'ASIGNACIONES'!$N$4:$N$451,0)),0)-$AJ193)</f>
        <v/>
      </c>
      <c r="AL193" s="32">
        <f>IF($A193="","",IFERROR(INDEX('2_IMPORTAR_EJECUCION'!$F$9:$F$1208,MATCH($AU193,'2_IMPORTAR_EJECUCION'!$J$9:$J$1208,0)),0))</f>
        <v/>
      </c>
      <c r="AM193" s="32">
        <f>IF($A193="","",MAX(0,IFERROR(INDEX('2_IMPORTAR_EJECUCION'!$H$9:$H$1208,MATCH($AU193,'2_IMPORTAR_EJECUCION'!$J$9:$J$1208,0)),0)-$AL193))</f>
        <v/>
      </c>
      <c r="AN193" s="32">
        <f>IF($A193="","",$AL193+$AM193)</f>
        <v/>
      </c>
      <c r="AO193" s="24">
        <f>IF($A193="","",IF(OR((IFERROR(INDEX('CAT_ACTIVIDADES'!$D$4:$D$26,MATCH($H193,'CAT_ACTIVIDADES'!$A$4:$A$26,0)),""))=0,(IFERROR(INDEX('CAT_ACTIVIDADES'!$D$4:$D$26,MATCH($H193,'CAT_ACTIVIDADES'!$A$4:$A$26,0)),""))=""),"SIN CLASIFICAR",IFERROR(INDEX('CAT_ACTIVIDADES'!$D$4:$D$26,MATCH($H193,'CAT_ACTIVIDADES'!$A$4:$A$26,0)),"")))</f>
        <v/>
      </c>
      <c r="AP193" s="4" t="n"/>
      <c r="AQ193" s="4" t="n"/>
      <c r="AR193" s="4" t="n"/>
      <c r="AS193" s="24">
        <f>IF($AR193="","",HYPERLINK(p_ruta_base_checklists&amp;$AR193,"abrir"))</f>
        <v/>
      </c>
      <c r="AT193" s="4" t="n"/>
      <c r="AU193" s="24">
        <f>IF($A193="","",$A193&amp;IF($B193="","0010",$B193))</f>
        <v/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41" t="n"/>
      <c r="K194" s="5" t="n"/>
      <c r="L194" s="18" t="n"/>
      <c r="M194" s="24">
        <f>IF($A194="","",IFERROR(INDEX('AJUSTES'!$B$4:$B$303,MATCH($AU194,'AJUSTES'!$A$4:$A$303,0)),IF($K194="","",$K194)))</f>
        <v/>
      </c>
      <c r="N194" s="24">
        <f>IF($A194="","",IFERROR(INDEX('CAT_ESTADOS_ERP'!$B$4:$B$22,MATCH(IFERROR(INDEX('2_IMPORTAR_EJECUCION'!$C$9:$C$1208,MATCH($AU194,'2_IMPORTAR_EJECUCION'!$J$9:$J$1208,0)),""),'CAT_ESTADOS_ERP'!$A$4:$A$22,0)),"Pendiente"))</f>
        <v/>
      </c>
      <c r="O194" s="24">
        <f>IF($J194="","",YEAR($J194+4-WEEKDAY($J194,2))&amp;"-S"&amp;TEXT(_xlfn.ISOWEEKNUM($J194),"00"))</f>
        <v/>
      </c>
      <c r="P194" s="24">
        <f>IF($J194="","",YEAR($J194))</f>
        <v/>
      </c>
      <c r="Q194" s="24">
        <f>IF($J194="","",MONTH($J194))</f>
        <v/>
      </c>
      <c r="R194" s="24">
        <f>IF($J194="","",$P194&amp;"-"&amp;TEXT($Q194,"00"))</f>
        <v/>
      </c>
      <c r="S194" s="24">
        <f>IF($J194="","",INDEX(lista_dias,WEEKDAY($J194,2)))</f>
        <v/>
      </c>
      <c r="T194" s="24">
        <f>IF($J194="","",IFERROR(INDEX('CALENDARIO'!$C$15:$C$214,MATCH(TEXT($J194,"yyyy-mm-dd")&amp;"|"&amp;$Y194&amp;"|"&amp;$Z194,'CALENDARIO'!$G$15:$G$214,0)),IFERROR(INDEX('CALENDARIO'!$C$15:$C$214,MATCH(TEXT($J194,"yyyy-mm-dd")&amp;"|"&amp;$Y194&amp;"|",'CALENDARIO'!$G$15:$G$214,0)),IFERROR(INDEX('CALENDARIO'!$C$15:$C$214,MATCH(TEXT($J194,"yyyy-mm-dd")&amp;"||",'CALENDARIO'!$G$15:$G$214,0)),INDEX(patronHabil,WEEKDAY($J194,2))))))</f>
        <v/>
      </c>
      <c r="U194" s="24">
        <f>IF($I194="","",IFERROR(INDEX('CAT_TIPOS_OT'!$C$4:$C$23,MATCH($I194,'CAT_TIPOS_OT'!$A$4:$A$23,0)),"sin_clasificar"))</f>
        <v/>
      </c>
      <c r="V194" s="24">
        <f>IF($I194="","",IF(IFERROR(INDEX('CAT_TIPOS_OT'!$D$4:$D$23,MATCH($I194,'CAT_TIPOS_OT'!$A$4:$A$23,0)),"SIN CLASIFICAR")="","SIN CLASIFICAR",IFERROR(INDEX('CAT_TIPOS_OT'!$D$4:$D$23,MATCH($I194,'CAT_TIPOS_OT'!$A$4:$A$23,0)),"SIN CLASIFICAR")))</f>
        <v/>
      </c>
      <c r="W194" s="24">
        <f>IF($H194="","",IF(IFERROR(INDEX('CAT_ACTIVIDADES'!$F$4:$F$26,MATCH($H194,'CAT_ACTIVIDADES'!$A$4:$A$26,0)),"")=0,"",IFERROR(INDEX('CAT_ACTIVIDADES'!$F$4:$F$26,MATCH($H194,'CAT_ACTIVIDADES'!$A$4:$A$26,0)),"")))</f>
        <v/>
      </c>
      <c r="X194" s="24">
        <f>IF($F194="","",IFERROR(INDEX('CAT_CENTROS_COSTO'!$F$4:$F$28,MATCH($F194,'CAT_CENTROS_COSTO'!$A$4:$A$28,0)),"(sin catálogo)"))</f>
        <v/>
      </c>
      <c r="Y194" s="24">
        <f>IF($F194="","",IFERROR(INDEX('CAT_CENTROS_COSTO'!$D$4:$D$28,MATCH($F194,'CAT_CENTROS_COSTO'!$A$4:$A$28,0)),"(sin catálogo)"))</f>
        <v/>
      </c>
      <c r="Z194" s="24">
        <f>IF($F194="","",IF((IFERROR(INDEX('CAT_CENTROS_COSTO'!$E$4:$E$28,MATCH($F194,'CAT_CENTROS_COSTO'!$A$4:$A$28,0)),""))&lt;&gt;"",IFERROR(INDEX('CAT_CENTROS_COSTO'!$E$4:$E$28,MATCH($F194,'CAT_CENTROS_COSTO'!$A$4:$A$28,0)),""),$Y194))</f>
        <v/>
      </c>
      <c r="AA194" s="24">
        <f>IF($F194="","",IFERROR(INDEX('CAT_CENTROS_COSTO'!$G$4:$G$28,MATCH($F194,'CAT_CENTROS_COSTO'!$A$4:$A$28,0)),"(sin catálogo)"))</f>
        <v/>
      </c>
      <c r="AB194" s="24">
        <f>IF($G194="","",IFERROR(INDEX('CAT_PUESTOS'!$B$4:$B$23,MATCH($G194,'CAT_PUESTOS'!$A$4:$A$23,0)),"(sin catálogo)"))</f>
        <v/>
      </c>
      <c r="AC194" s="24">
        <f>IF($H194="","",IFERROR(INDEX('CAT_ACTIVIDADES'!$B$4:$B$26,MATCH($H194,'CAT_ACTIVIDADES'!$A$4:$A$26,0)),"(sin catálogo)"))</f>
        <v/>
      </c>
      <c r="AD194" s="26">
        <f>IF($J194="","",TODAY()-$J194)</f>
        <v/>
      </c>
      <c r="AE194" s="26">
        <f>IF($J194="","",IF($J194&lt;=TODAY(),COUNTIFS(cal_fechas,"&gt;="&amp;$J194,cal_fechas,"&lt;"&amp;TODAY(),cal_habil,"sí"),-COUNTIFS(cal_fechas,"&gt;="&amp;TODAY(),cal_fechas,"&lt;"&amp;$J194,cal_habil,"sí")))</f>
        <v/>
      </c>
      <c r="AF194" s="24">
        <f>IF($AE194="","",IF($AE194&lt;0,"FUTURO",IF($AE194&gt;p_dias_backlog_max,"BACKLOG","MES CORRIENTE")))</f>
        <v/>
      </c>
      <c r="AG194" s="24">
        <f>IF($AE194="",FALSE,AND($AE194&gt;p_dias_backlog_min,$AE194&lt;=p_dias_backlog_max))</f>
        <v/>
      </c>
      <c r="AH194" s="4" t="n"/>
      <c r="AI194" s="24">
        <f>IF($AH194="","",IF((IFERROR(INDEX('ASIGNACIONES'!$J$4:$J$451,MATCH($O194&amp;"|"&amp;$S194&amp;"|"&amp;$AH194,'ASIGNACIONES'!$N$4:$N$451,0)),""))=0,"",IFERROR(INDEX('ASIGNACIONES'!$J$4:$J$451,MATCH($O194&amp;"|"&amp;$S194&amp;"|"&amp;$AH194,'ASIGNACIONES'!$N$4:$N$451,0)),"")))</f>
        <v/>
      </c>
      <c r="AJ194" s="42">
        <f>IF($AH194="","",SUMIFS('ORDENES'!$M$4:$M$1203,'ORDENES'!$AH$4:$AH$1203,$AH194,'ORDENES'!$O$4:$O$1203,$O194,'ORDENES'!$S$4:$S$1203,$S194))</f>
        <v/>
      </c>
      <c r="AK194" s="42">
        <f>IF($AJ194="","",p_factor_productividad*IFERROR(INDEX('ASIGNACIONES'!$M$4:$M$451,MATCH($O194&amp;"|"&amp;$S194&amp;"|"&amp;$AH194,'ASIGNACIONES'!$N$4:$N$451,0)),0)-$AJ194)</f>
        <v/>
      </c>
      <c r="AL194" s="32">
        <f>IF($A194="","",IFERROR(INDEX('2_IMPORTAR_EJECUCION'!$F$9:$F$1208,MATCH($AU194,'2_IMPORTAR_EJECUCION'!$J$9:$J$1208,0)),0))</f>
        <v/>
      </c>
      <c r="AM194" s="32">
        <f>IF($A194="","",MAX(0,IFERROR(INDEX('2_IMPORTAR_EJECUCION'!$H$9:$H$1208,MATCH($AU194,'2_IMPORTAR_EJECUCION'!$J$9:$J$1208,0)),0)-$AL194))</f>
        <v/>
      </c>
      <c r="AN194" s="32">
        <f>IF($A194="","",$AL194+$AM194)</f>
        <v/>
      </c>
      <c r="AO194" s="24">
        <f>IF($A194="","",IF(OR((IFERROR(INDEX('CAT_ACTIVIDADES'!$D$4:$D$26,MATCH($H194,'CAT_ACTIVIDADES'!$A$4:$A$26,0)),""))=0,(IFERROR(INDEX('CAT_ACTIVIDADES'!$D$4:$D$26,MATCH($H194,'CAT_ACTIVIDADES'!$A$4:$A$26,0)),""))=""),"SIN CLASIFICAR",IFERROR(INDEX('CAT_ACTIVIDADES'!$D$4:$D$26,MATCH($H194,'CAT_ACTIVIDADES'!$A$4:$A$26,0)),"")))</f>
        <v/>
      </c>
      <c r="AP194" s="4" t="n"/>
      <c r="AQ194" s="4" t="n"/>
      <c r="AR194" s="4" t="n"/>
      <c r="AS194" s="24">
        <f>IF($AR194="","",HYPERLINK(p_ruta_base_checklists&amp;$AR194,"abrir"))</f>
        <v/>
      </c>
      <c r="AT194" s="4" t="n"/>
      <c r="AU194" s="24">
        <f>IF($A194="","",$A194&amp;IF($B194="","0010",$B194))</f>
        <v/>
      </c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41" t="n"/>
      <c r="K195" s="5" t="n"/>
      <c r="L195" s="18" t="n"/>
      <c r="M195" s="24">
        <f>IF($A195="","",IFERROR(INDEX('AJUSTES'!$B$4:$B$303,MATCH($AU195,'AJUSTES'!$A$4:$A$303,0)),IF($K195="","",$K195)))</f>
        <v/>
      </c>
      <c r="N195" s="24">
        <f>IF($A195="","",IFERROR(INDEX('CAT_ESTADOS_ERP'!$B$4:$B$22,MATCH(IFERROR(INDEX('2_IMPORTAR_EJECUCION'!$C$9:$C$1208,MATCH($AU195,'2_IMPORTAR_EJECUCION'!$J$9:$J$1208,0)),""),'CAT_ESTADOS_ERP'!$A$4:$A$22,0)),"Pendiente"))</f>
        <v/>
      </c>
      <c r="O195" s="24">
        <f>IF($J195="","",YEAR($J195+4-WEEKDAY($J195,2))&amp;"-S"&amp;TEXT(_xlfn.ISOWEEKNUM($J195),"00"))</f>
        <v/>
      </c>
      <c r="P195" s="24">
        <f>IF($J195="","",YEAR($J195))</f>
        <v/>
      </c>
      <c r="Q195" s="24">
        <f>IF($J195="","",MONTH($J195))</f>
        <v/>
      </c>
      <c r="R195" s="24">
        <f>IF($J195="","",$P195&amp;"-"&amp;TEXT($Q195,"00"))</f>
        <v/>
      </c>
      <c r="S195" s="24">
        <f>IF($J195="","",INDEX(lista_dias,WEEKDAY($J195,2)))</f>
        <v/>
      </c>
      <c r="T195" s="24">
        <f>IF($J195="","",IFERROR(INDEX('CALENDARIO'!$C$15:$C$214,MATCH(TEXT($J195,"yyyy-mm-dd")&amp;"|"&amp;$Y195&amp;"|"&amp;$Z195,'CALENDARIO'!$G$15:$G$214,0)),IFERROR(INDEX('CALENDARIO'!$C$15:$C$214,MATCH(TEXT($J195,"yyyy-mm-dd")&amp;"|"&amp;$Y195&amp;"|",'CALENDARIO'!$G$15:$G$214,0)),IFERROR(INDEX('CALENDARIO'!$C$15:$C$214,MATCH(TEXT($J195,"yyyy-mm-dd")&amp;"||",'CALENDARIO'!$G$15:$G$214,0)),INDEX(patronHabil,WEEKDAY($J195,2))))))</f>
        <v/>
      </c>
      <c r="U195" s="24">
        <f>IF($I195="","",IFERROR(INDEX('CAT_TIPOS_OT'!$C$4:$C$23,MATCH($I195,'CAT_TIPOS_OT'!$A$4:$A$23,0)),"sin_clasificar"))</f>
        <v/>
      </c>
      <c r="V195" s="24">
        <f>IF($I195="","",IF(IFERROR(INDEX('CAT_TIPOS_OT'!$D$4:$D$23,MATCH($I195,'CAT_TIPOS_OT'!$A$4:$A$23,0)),"SIN CLASIFICAR")="","SIN CLASIFICAR",IFERROR(INDEX('CAT_TIPOS_OT'!$D$4:$D$23,MATCH($I195,'CAT_TIPOS_OT'!$A$4:$A$23,0)),"SIN CLASIFICAR")))</f>
        <v/>
      </c>
      <c r="W195" s="24">
        <f>IF($H195="","",IF(IFERROR(INDEX('CAT_ACTIVIDADES'!$F$4:$F$26,MATCH($H195,'CAT_ACTIVIDADES'!$A$4:$A$26,0)),"")=0,"",IFERROR(INDEX('CAT_ACTIVIDADES'!$F$4:$F$26,MATCH($H195,'CAT_ACTIVIDADES'!$A$4:$A$26,0)),"")))</f>
        <v/>
      </c>
      <c r="X195" s="24">
        <f>IF($F195="","",IFERROR(INDEX('CAT_CENTROS_COSTO'!$F$4:$F$28,MATCH($F195,'CAT_CENTROS_COSTO'!$A$4:$A$28,0)),"(sin catálogo)"))</f>
        <v/>
      </c>
      <c r="Y195" s="24">
        <f>IF($F195="","",IFERROR(INDEX('CAT_CENTROS_COSTO'!$D$4:$D$28,MATCH($F195,'CAT_CENTROS_COSTO'!$A$4:$A$28,0)),"(sin catálogo)"))</f>
        <v/>
      </c>
      <c r="Z195" s="24">
        <f>IF($F195="","",IF((IFERROR(INDEX('CAT_CENTROS_COSTO'!$E$4:$E$28,MATCH($F195,'CAT_CENTROS_COSTO'!$A$4:$A$28,0)),""))&lt;&gt;"",IFERROR(INDEX('CAT_CENTROS_COSTO'!$E$4:$E$28,MATCH($F195,'CAT_CENTROS_COSTO'!$A$4:$A$28,0)),""),$Y195))</f>
        <v/>
      </c>
      <c r="AA195" s="24">
        <f>IF($F195="","",IFERROR(INDEX('CAT_CENTROS_COSTO'!$G$4:$G$28,MATCH($F195,'CAT_CENTROS_COSTO'!$A$4:$A$28,0)),"(sin catálogo)"))</f>
        <v/>
      </c>
      <c r="AB195" s="24">
        <f>IF($G195="","",IFERROR(INDEX('CAT_PUESTOS'!$B$4:$B$23,MATCH($G195,'CAT_PUESTOS'!$A$4:$A$23,0)),"(sin catálogo)"))</f>
        <v/>
      </c>
      <c r="AC195" s="24">
        <f>IF($H195="","",IFERROR(INDEX('CAT_ACTIVIDADES'!$B$4:$B$26,MATCH($H195,'CAT_ACTIVIDADES'!$A$4:$A$26,0)),"(sin catálogo)"))</f>
        <v/>
      </c>
      <c r="AD195" s="26">
        <f>IF($J195="","",TODAY()-$J195)</f>
        <v/>
      </c>
      <c r="AE195" s="26">
        <f>IF($J195="","",IF($J195&lt;=TODAY(),COUNTIFS(cal_fechas,"&gt;="&amp;$J195,cal_fechas,"&lt;"&amp;TODAY(),cal_habil,"sí"),-COUNTIFS(cal_fechas,"&gt;="&amp;TODAY(),cal_fechas,"&lt;"&amp;$J195,cal_habil,"sí")))</f>
        <v/>
      </c>
      <c r="AF195" s="24">
        <f>IF($AE195="","",IF($AE195&lt;0,"FUTURO",IF($AE195&gt;p_dias_backlog_max,"BACKLOG","MES CORRIENTE")))</f>
        <v/>
      </c>
      <c r="AG195" s="24">
        <f>IF($AE195="",FALSE,AND($AE195&gt;p_dias_backlog_min,$AE195&lt;=p_dias_backlog_max))</f>
        <v/>
      </c>
      <c r="AH195" s="4" t="n"/>
      <c r="AI195" s="24">
        <f>IF($AH195="","",IF((IFERROR(INDEX('ASIGNACIONES'!$J$4:$J$451,MATCH($O195&amp;"|"&amp;$S195&amp;"|"&amp;$AH195,'ASIGNACIONES'!$N$4:$N$451,0)),""))=0,"",IFERROR(INDEX('ASIGNACIONES'!$J$4:$J$451,MATCH($O195&amp;"|"&amp;$S195&amp;"|"&amp;$AH195,'ASIGNACIONES'!$N$4:$N$451,0)),"")))</f>
        <v/>
      </c>
      <c r="AJ195" s="42">
        <f>IF($AH195="","",SUMIFS('ORDENES'!$M$4:$M$1203,'ORDENES'!$AH$4:$AH$1203,$AH195,'ORDENES'!$O$4:$O$1203,$O195,'ORDENES'!$S$4:$S$1203,$S195))</f>
        <v/>
      </c>
      <c r="AK195" s="42">
        <f>IF($AJ195="","",p_factor_productividad*IFERROR(INDEX('ASIGNACIONES'!$M$4:$M$451,MATCH($O195&amp;"|"&amp;$S195&amp;"|"&amp;$AH195,'ASIGNACIONES'!$N$4:$N$451,0)),0)-$AJ195)</f>
        <v/>
      </c>
      <c r="AL195" s="32">
        <f>IF($A195="","",IFERROR(INDEX('2_IMPORTAR_EJECUCION'!$F$9:$F$1208,MATCH($AU195,'2_IMPORTAR_EJECUCION'!$J$9:$J$1208,0)),0))</f>
        <v/>
      </c>
      <c r="AM195" s="32">
        <f>IF($A195="","",MAX(0,IFERROR(INDEX('2_IMPORTAR_EJECUCION'!$H$9:$H$1208,MATCH($AU195,'2_IMPORTAR_EJECUCION'!$J$9:$J$1208,0)),0)-$AL195))</f>
        <v/>
      </c>
      <c r="AN195" s="32">
        <f>IF($A195="","",$AL195+$AM195)</f>
        <v/>
      </c>
      <c r="AO195" s="24">
        <f>IF($A195="","",IF(OR((IFERROR(INDEX('CAT_ACTIVIDADES'!$D$4:$D$26,MATCH($H195,'CAT_ACTIVIDADES'!$A$4:$A$26,0)),""))=0,(IFERROR(INDEX('CAT_ACTIVIDADES'!$D$4:$D$26,MATCH($H195,'CAT_ACTIVIDADES'!$A$4:$A$26,0)),""))=""),"SIN CLASIFICAR",IFERROR(INDEX('CAT_ACTIVIDADES'!$D$4:$D$26,MATCH($H195,'CAT_ACTIVIDADES'!$A$4:$A$26,0)),"")))</f>
        <v/>
      </c>
      <c r="AP195" s="4" t="n"/>
      <c r="AQ195" s="4" t="n"/>
      <c r="AR195" s="4" t="n"/>
      <c r="AS195" s="24">
        <f>IF($AR195="","",HYPERLINK(p_ruta_base_checklists&amp;$AR195,"abrir"))</f>
        <v/>
      </c>
      <c r="AT195" s="4" t="n"/>
      <c r="AU195" s="24">
        <f>IF($A195="","",$A195&amp;IF($B195="","0010",$B195))</f>
        <v/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41" t="n"/>
      <c r="K196" s="5" t="n"/>
      <c r="L196" s="18" t="n"/>
      <c r="M196" s="24">
        <f>IF($A196="","",IFERROR(INDEX('AJUSTES'!$B$4:$B$303,MATCH($AU196,'AJUSTES'!$A$4:$A$303,0)),IF($K196="","",$K196)))</f>
        <v/>
      </c>
      <c r="N196" s="24">
        <f>IF($A196="","",IFERROR(INDEX('CAT_ESTADOS_ERP'!$B$4:$B$22,MATCH(IFERROR(INDEX('2_IMPORTAR_EJECUCION'!$C$9:$C$1208,MATCH($AU196,'2_IMPORTAR_EJECUCION'!$J$9:$J$1208,0)),""),'CAT_ESTADOS_ERP'!$A$4:$A$22,0)),"Pendiente"))</f>
        <v/>
      </c>
      <c r="O196" s="24">
        <f>IF($J196="","",YEAR($J196+4-WEEKDAY($J196,2))&amp;"-S"&amp;TEXT(_xlfn.ISOWEEKNUM($J196),"00"))</f>
        <v/>
      </c>
      <c r="P196" s="24">
        <f>IF($J196="","",YEAR($J196))</f>
        <v/>
      </c>
      <c r="Q196" s="24">
        <f>IF($J196="","",MONTH($J196))</f>
        <v/>
      </c>
      <c r="R196" s="24">
        <f>IF($J196="","",$P196&amp;"-"&amp;TEXT($Q196,"00"))</f>
        <v/>
      </c>
      <c r="S196" s="24">
        <f>IF($J196="","",INDEX(lista_dias,WEEKDAY($J196,2)))</f>
        <v/>
      </c>
      <c r="T196" s="24">
        <f>IF($J196="","",IFERROR(INDEX('CALENDARIO'!$C$15:$C$214,MATCH(TEXT($J196,"yyyy-mm-dd")&amp;"|"&amp;$Y196&amp;"|"&amp;$Z196,'CALENDARIO'!$G$15:$G$214,0)),IFERROR(INDEX('CALENDARIO'!$C$15:$C$214,MATCH(TEXT($J196,"yyyy-mm-dd")&amp;"|"&amp;$Y196&amp;"|",'CALENDARIO'!$G$15:$G$214,0)),IFERROR(INDEX('CALENDARIO'!$C$15:$C$214,MATCH(TEXT($J196,"yyyy-mm-dd")&amp;"||",'CALENDARIO'!$G$15:$G$214,0)),INDEX(patronHabil,WEEKDAY($J196,2))))))</f>
        <v/>
      </c>
      <c r="U196" s="24">
        <f>IF($I196="","",IFERROR(INDEX('CAT_TIPOS_OT'!$C$4:$C$23,MATCH($I196,'CAT_TIPOS_OT'!$A$4:$A$23,0)),"sin_clasificar"))</f>
        <v/>
      </c>
      <c r="V196" s="24">
        <f>IF($I196="","",IF(IFERROR(INDEX('CAT_TIPOS_OT'!$D$4:$D$23,MATCH($I196,'CAT_TIPOS_OT'!$A$4:$A$23,0)),"SIN CLASIFICAR")="","SIN CLASIFICAR",IFERROR(INDEX('CAT_TIPOS_OT'!$D$4:$D$23,MATCH($I196,'CAT_TIPOS_OT'!$A$4:$A$23,0)),"SIN CLASIFICAR")))</f>
        <v/>
      </c>
      <c r="W196" s="24">
        <f>IF($H196="","",IF(IFERROR(INDEX('CAT_ACTIVIDADES'!$F$4:$F$26,MATCH($H196,'CAT_ACTIVIDADES'!$A$4:$A$26,0)),"")=0,"",IFERROR(INDEX('CAT_ACTIVIDADES'!$F$4:$F$26,MATCH($H196,'CAT_ACTIVIDADES'!$A$4:$A$26,0)),"")))</f>
        <v/>
      </c>
      <c r="X196" s="24">
        <f>IF($F196="","",IFERROR(INDEX('CAT_CENTROS_COSTO'!$F$4:$F$28,MATCH($F196,'CAT_CENTROS_COSTO'!$A$4:$A$28,0)),"(sin catálogo)"))</f>
        <v/>
      </c>
      <c r="Y196" s="24">
        <f>IF($F196="","",IFERROR(INDEX('CAT_CENTROS_COSTO'!$D$4:$D$28,MATCH($F196,'CAT_CENTROS_COSTO'!$A$4:$A$28,0)),"(sin catálogo)"))</f>
        <v/>
      </c>
      <c r="Z196" s="24">
        <f>IF($F196="","",IF((IFERROR(INDEX('CAT_CENTROS_COSTO'!$E$4:$E$28,MATCH($F196,'CAT_CENTROS_COSTO'!$A$4:$A$28,0)),""))&lt;&gt;"",IFERROR(INDEX('CAT_CENTROS_COSTO'!$E$4:$E$28,MATCH($F196,'CAT_CENTROS_COSTO'!$A$4:$A$28,0)),""),$Y196))</f>
        <v/>
      </c>
      <c r="AA196" s="24">
        <f>IF($F196="","",IFERROR(INDEX('CAT_CENTROS_COSTO'!$G$4:$G$28,MATCH($F196,'CAT_CENTROS_COSTO'!$A$4:$A$28,0)),"(sin catálogo)"))</f>
        <v/>
      </c>
      <c r="AB196" s="24">
        <f>IF($G196="","",IFERROR(INDEX('CAT_PUESTOS'!$B$4:$B$23,MATCH($G196,'CAT_PUESTOS'!$A$4:$A$23,0)),"(sin catálogo)"))</f>
        <v/>
      </c>
      <c r="AC196" s="24">
        <f>IF($H196="","",IFERROR(INDEX('CAT_ACTIVIDADES'!$B$4:$B$26,MATCH($H196,'CAT_ACTIVIDADES'!$A$4:$A$26,0)),"(sin catálogo)"))</f>
        <v/>
      </c>
      <c r="AD196" s="26">
        <f>IF($J196="","",TODAY()-$J196)</f>
        <v/>
      </c>
      <c r="AE196" s="26">
        <f>IF($J196="","",IF($J196&lt;=TODAY(),COUNTIFS(cal_fechas,"&gt;="&amp;$J196,cal_fechas,"&lt;"&amp;TODAY(),cal_habil,"sí"),-COUNTIFS(cal_fechas,"&gt;="&amp;TODAY(),cal_fechas,"&lt;"&amp;$J196,cal_habil,"sí")))</f>
        <v/>
      </c>
      <c r="AF196" s="24">
        <f>IF($AE196="","",IF($AE196&lt;0,"FUTURO",IF($AE196&gt;p_dias_backlog_max,"BACKLOG","MES CORRIENTE")))</f>
        <v/>
      </c>
      <c r="AG196" s="24">
        <f>IF($AE196="",FALSE,AND($AE196&gt;p_dias_backlog_min,$AE196&lt;=p_dias_backlog_max))</f>
        <v/>
      </c>
      <c r="AH196" s="4" t="n"/>
      <c r="AI196" s="24">
        <f>IF($AH196="","",IF((IFERROR(INDEX('ASIGNACIONES'!$J$4:$J$451,MATCH($O196&amp;"|"&amp;$S196&amp;"|"&amp;$AH196,'ASIGNACIONES'!$N$4:$N$451,0)),""))=0,"",IFERROR(INDEX('ASIGNACIONES'!$J$4:$J$451,MATCH($O196&amp;"|"&amp;$S196&amp;"|"&amp;$AH196,'ASIGNACIONES'!$N$4:$N$451,0)),"")))</f>
        <v/>
      </c>
      <c r="AJ196" s="42">
        <f>IF($AH196="","",SUMIFS('ORDENES'!$M$4:$M$1203,'ORDENES'!$AH$4:$AH$1203,$AH196,'ORDENES'!$O$4:$O$1203,$O196,'ORDENES'!$S$4:$S$1203,$S196))</f>
        <v/>
      </c>
      <c r="AK196" s="42">
        <f>IF($AJ196="","",p_factor_productividad*IFERROR(INDEX('ASIGNACIONES'!$M$4:$M$451,MATCH($O196&amp;"|"&amp;$S196&amp;"|"&amp;$AH196,'ASIGNACIONES'!$N$4:$N$451,0)),0)-$AJ196)</f>
        <v/>
      </c>
      <c r="AL196" s="32">
        <f>IF($A196="","",IFERROR(INDEX('2_IMPORTAR_EJECUCION'!$F$9:$F$1208,MATCH($AU196,'2_IMPORTAR_EJECUCION'!$J$9:$J$1208,0)),0))</f>
        <v/>
      </c>
      <c r="AM196" s="32">
        <f>IF($A196="","",MAX(0,IFERROR(INDEX('2_IMPORTAR_EJECUCION'!$H$9:$H$1208,MATCH($AU196,'2_IMPORTAR_EJECUCION'!$J$9:$J$1208,0)),0)-$AL196))</f>
        <v/>
      </c>
      <c r="AN196" s="32">
        <f>IF($A196="","",$AL196+$AM196)</f>
        <v/>
      </c>
      <c r="AO196" s="24">
        <f>IF($A196="","",IF(OR((IFERROR(INDEX('CAT_ACTIVIDADES'!$D$4:$D$26,MATCH($H196,'CAT_ACTIVIDADES'!$A$4:$A$26,0)),""))=0,(IFERROR(INDEX('CAT_ACTIVIDADES'!$D$4:$D$26,MATCH($H196,'CAT_ACTIVIDADES'!$A$4:$A$26,0)),""))=""),"SIN CLASIFICAR",IFERROR(INDEX('CAT_ACTIVIDADES'!$D$4:$D$26,MATCH($H196,'CAT_ACTIVIDADES'!$A$4:$A$26,0)),"")))</f>
        <v/>
      </c>
      <c r="AP196" s="4" t="n"/>
      <c r="AQ196" s="4" t="n"/>
      <c r="AR196" s="4" t="n"/>
      <c r="AS196" s="24">
        <f>IF($AR196="","",HYPERLINK(p_ruta_base_checklists&amp;$AR196,"abrir"))</f>
        <v/>
      </c>
      <c r="AT196" s="4" t="n"/>
      <c r="AU196" s="24">
        <f>IF($A196="","",$A196&amp;IF($B196="","0010",$B196))</f>
        <v/>
      </c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41" t="n"/>
      <c r="K197" s="5" t="n"/>
      <c r="L197" s="18" t="n"/>
      <c r="M197" s="24">
        <f>IF($A197="","",IFERROR(INDEX('AJUSTES'!$B$4:$B$303,MATCH($AU197,'AJUSTES'!$A$4:$A$303,0)),IF($K197="","",$K197)))</f>
        <v/>
      </c>
      <c r="N197" s="24">
        <f>IF($A197="","",IFERROR(INDEX('CAT_ESTADOS_ERP'!$B$4:$B$22,MATCH(IFERROR(INDEX('2_IMPORTAR_EJECUCION'!$C$9:$C$1208,MATCH($AU197,'2_IMPORTAR_EJECUCION'!$J$9:$J$1208,0)),""),'CAT_ESTADOS_ERP'!$A$4:$A$22,0)),"Pendiente"))</f>
        <v/>
      </c>
      <c r="O197" s="24">
        <f>IF($J197="","",YEAR($J197+4-WEEKDAY($J197,2))&amp;"-S"&amp;TEXT(_xlfn.ISOWEEKNUM($J197),"00"))</f>
        <v/>
      </c>
      <c r="P197" s="24">
        <f>IF($J197="","",YEAR($J197))</f>
        <v/>
      </c>
      <c r="Q197" s="24">
        <f>IF($J197="","",MONTH($J197))</f>
        <v/>
      </c>
      <c r="R197" s="24">
        <f>IF($J197="","",$P197&amp;"-"&amp;TEXT($Q197,"00"))</f>
        <v/>
      </c>
      <c r="S197" s="24">
        <f>IF($J197="","",INDEX(lista_dias,WEEKDAY($J197,2)))</f>
        <v/>
      </c>
      <c r="T197" s="24">
        <f>IF($J197="","",IFERROR(INDEX('CALENDARIO'!$C$15:$C$214,MATCH(TEXT($J197,"yyyy-mm-dd")&amp;"|"&amp;$Y197&amp;"|"&amp;$Z197,'CALENDARIO'!$G$15:$G$214,0)),IFERROR(INDEX('CALENDARIO'!$C$15:$C$214,MATCH(TEXT($J197,"yyyy-mm-dd")&amp;"|"&amp;$Y197&amp;"|",'CALENDARIO'!$G$15:$G$214,0)),IFERROR(INDEX('CALENDARIO'!$C$15:$C$214,MATCH(TEXT($J197,"yyyy-mm-dd")&amp;"||",'CALENDARIO'!$G$15:$G$214,0)),INDEX(patronHabil,WEEKDAY($J197,2))))))</f>
        <v/>
      </c>
      <c r="U197" s="24">
        <f>IF($I197="","",IFERROR(INDEX('CAT_TIPOS_OT'!$C$4:$C$23,MATCH($I197,'CAT_TIPOS_OT'!$A$4:$A$23,0)),"sin_clasificar"))</f>
        <v/>
      </c>
      <c r="V197" s="24">
        <f>IF($I197="","",IF(IFERROR(INDEX('CAT_TIPOS_OT'!$D$4:$D$23,MATCH($I197,'CAT_TIPOS_OT'!$A$4:$A$23,0)),"SIN CLASIFICAR")="","SIN CLASIFICAR",IFERROR(INDEX('CAT_TIPOS_OT'!$D$4:$D$23,MATCH($I197,'CAT_TIPOS_OT'!$A$4:$A$23,0)),"SIN CLASIFICAR")))</f>
        <v/>
      </c>
      <c r="W197" s="24">
        <f>IF($H197="","",IF(IFERROR(INDEX('CAT_ACTIVIDADES'!$F$4:$F$26,MATCH($H197,'CAT_ACTIVIDADES'!$A$4:$A$26,0)),"")=0,"",IFERROR(INDEX('CAT_ACTIVIDADES'!$F$4:$F$26,MATCH($H197,'CAT_ACTIVIDADES'!$A$4:$A$26,0)),"")))</f>
        <v/>
      </c>
      <c r="X197" s="24">
        <f>IF($F197="","",IFERROR(INDEX('CAT_CENTROS_COSTO'!$F$4:$F$28,MATCH($F197,'CAT_CENTROS_COSTO'!$A$4:$A$28,0)),"(sin catálogo)"))</f>
        <v/>
      </c>
      <c r="Y197" s="24">
        <f>IF($F197="","",IFERROR(INDEX('CAT_CENTROS_COSTO'!$D$4:$D$28,MATCH($F197,'CAT_CENTROS_COSTO'!$A$4:$A$28,0)),"(sin catálogo)"))</f>
        <v/>
      </c>
      <c r="Z197" s="24">
        <f>IF($F197="","",IF((IFERROR(INDEX('CAT_CENTROS_COSTO'!$E$4:$E$28,MATCH($F197,'CAT_CENTROS_COSTO'!$A$4:$A$28,0)),""))&lt;&gt;"",IFERROR(INDEX('CAT_CENTROS_COSTO'!$E$4:$E$28,MATCH($F197,'CAT_CENTROS_COSTO'!$A$4:$A$28,0)),""),$Y197))</f>
        <v/>
      </c>
      <c r="AA197" s="24">
        <f>IF($F197="","",IFERROR(INDEX('CAT_CENTROS_COSTO'!$G$4:$G$28,MATCH($F197,'CAT_CENTROS_COSTO'!$A$4:$A$28,0)),"(sin catálogo)"))</f>
        <v/>
      </c>
      <c r="AB197" s="24">
        <f>IF($G197="","",IFERROR(INDEX('CAT_PUESTOS'!$B$4:$B$23,MATCH($G197,'CAT_PUESTOS'!$A$4:$A$23,0)),"(sin catálogo)"))</f>
        <v/>
      </c>
      <c r="AC197" s="24">
        <f>IF($H197="","",IFERROR(INDEX('CAT_ACTIVIDADES'!$B$4:$B$26,MATCH($H197,'CAT_ACTIVIDADES'!$A$4:$A$26,0)),"(sin catálogo)"))</f>
        <v/>
      </c>
      <c r="AD197" s="26">
        <f>IF($J197="","",TODAY()-$J197)</f>
        <v/>
      </c>
      <c r="AE197" s="26">
        <f>IF($J197="","",IF($J197&lt;=TODAY(),COUNTIFS(cal_fechas,"&gt;="&amp;$J197,cal_fechas,"&lt;"&amp;TODAY(),cal_habil,"sí"),-COUNTIFS(cal_fechas,"&gt;="&amp;TODAY(),cal_fechas,"&lt;"&amp;$J197,cal_habil,"sí")))</f>
        <v/>
      </c>
      <c r="AF197" s="24">
        <f>IF($AE197="","",IF($AE197&lt;0,"FUTURO",IF($AE197&gt;p_dias_backlog_max,"BACKLOG","MES CORRIENTE")))</f>
        <v/>
      </c>
      <c r="AG197" s="24">
        <f>IF($AE197="",FALSE,AND($AE197&gt;p_dias_backlog_min,$AE197&lt;=p_dias_backlog_max))</f>
        <v/>
      </c>
      <c r="AH197" s="4" t="n"/>
      <c r="AI197" s="24">
        <f>IF($AH197="","",IF((IFERROR(INDEX('ASIGNACIONES'!$J$4:$J$451,MATCH($O197&amp;"|"&amp;$S197&amp;"|"&amp;$AH197,'ASIGNACIONES'!$N$4:$N$451,0)),""))=0,"",IFERROR(INDEX('ASIGNACIONES'!$J$4:$J$451,MATCH($O197&amp;"|"&amp;$S197&amp;"|"&amp;$AH197,'ASIGNACIONES'!$N$4:$N$451,0)),"")))</f>
        <v/>
      </c>
      <c r="AJ197" s="42">
        <f>IF($AH197="","",SUMIFS('ORDENES'!$M$4:$M$1203,'ORDENES'!$AH$4:$AH$1203,$AH197,'ORDENES'!$O$4:$O$1203,$O197,'ORDENES'!$S$4:$S$1203,$S197))</f>
        <v/>
      </c>
      <c r="AK197" s="42">
        <f>IF($AJ197="","",p_factor_productividad*IFERROR(INDEX('ASIGNACIONES'!$M$4:$M$451,MATCH($O197&amp;"|"&amp;$S197&amp;"|"&amp;$AH197,'ASIGNACIONES'!$N$4:$N$451,0)),0)-$AJ197)</f>
        <v/>
      </c>
      <c r="AL197" s="32">
        <f>IF($A197="","",IFERROR(INDEX('2_IMPORTAR_EJECUCION'!$F$9:$F$1208,MATCH($AU197,'2_IMPORTAR_EJECUCION'!$J$9:$J$1208,0)),0))</f>
        <v/>
      </c>
      <c r="AM197" s="32">
        <f>IF($A197="","",MAX(0,IFERROR(INDEX('2_IMPORTAR_EJECUCION'!$H$9:$H$1208,MATCH($AU197,'2_IMPORTAR_EJECUCION'!$J$9:$J$1208,0)),0)-$AL197))</f>
        <v/>
      </c>
      <c r="AN197" s="32">
        <f>IF($A197="","",$AL197+$AM197)</f>
        <v/>
      </c>
      <c r="AO197" s="24">
        <f>IF($A197="","",IF(OR((IFERROR(INDEX('CAT_ACTIVIDADES'!$D$4:$D$26,MATCH($H197,'CAT_ACTIVIDADES'!$A$4:$A$26,0)),""))=0,(IFERROR(INDEX('CAT_ACTIVIDADES'!$D$4:$D$26,MATCH($H197,'CAT_ACTIVIDADES'!$A$4:$A$26,0)),""))=""),"SIN CLASIFICAR",IFERROR(INDEX('CAT_ACTIVIDADES'!$D$4:$D$26,MATCH($H197,'CAT_ACTIVIDADES'!$A$4:$A$26,0)),"")))</f>
        <v/>
      </c>
      <c r="AP197" s="4" t="n"/>
      <c r="AQ197" s="4" t="n"/>
      <c r="AR197" s="4" t="n"/>
      <c r="AS197" s="24">
        <f>IF($AR197="","",HYPERLINK(p_ruta_base_checklists&amp;$AR197,"abrir"))</f>
        <v/>
      </c>
      <c r="AT197" s="4" t="n"/>
      <c r="AU197" s="24">
        <f>IF($A197="","",$A197&amp;IF($B197="","0010",$B197))</f>
        <v/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41" t="n"/>
      <c r="K198" s="5" t="n"/>
      <c r="L198" s="18" t="n"/>
      <c r="M198" s="24">
        <f>IF($A198="","",IFERROR(INDEX('AJUSTES'!$B$4:$B$303,MATCH($AU198,'AJUSTES'!$A$4:$A$303,0)),IF($K198="","",$K198)))</f>
        <v/>
      </c>
      <c r="N198" s="24">
        <f>IF($A198="","",IFERROR(INDEX('CAT_ESTADOS_ERP'!$B$4:$B$22,MATCH(IFERROR(INDEX('2_IMPORTAR_EJECUCION'!$C$9:$C$1208,MATCH($AU198,'2_IMPORTAR_EJECUCION'!$J$9:$J$1208,0)),""),'CAT_ESTADOS_ERP'!$A$4:$A$22,0)),"Pendiente"))</f>
        <v/>
      </c>
      <c r="O198" s="24">
        <f>IF($J198="","",YEAR($J198+4-WEEKDAY($J198,2))&amp;"-S"&amp;TEXT(_xlfn.ISOWEEKNUM($J198),"00"))</f>
        <v/>
      </c>
      <c r="P198" s="24">
        <f>IF($J198="","",YEAR($J198))</f>
        <v/>
      </c>
      <c r="Q198" s="24">
        <f>IF($J198="","",MONTH($J198))</f>
        <v/>
      </c>
      <c r="R198" s="24">
        <f>IF($J198="","",$P198&amp;"-"&amp;TEXT($Q198,"00"))</f>
        <v/>
      </c>
      <c r="S198" s="24">
        <f>IF($J198="","",INDEX(lista_dias,WEEKDAY($J198,2)))</f>
        <v/>
      </c>
      <c r="T198" s="24">
        <f>IF($J198="","",IFERROR(INDEX('CALENDARIO'!$C$15:$C$214,MATCH(TEXT($J198,"yyyy-mm-dd")&amp;"|"&amp;$Y198&amp;"|"&amp;$Z198,'CALENDARIO'!$G$15:$G$214,0)),IFERROR(INDEX('CALENDARIO'!$C$15:$C$214,MATCH(TEXT($J198,"yyyy-mm-dd")&amp;"|"&amp;$Y198&amp;"|",'CALENDARIO'!$G$15:$G$214,0)),IFERROR(INDEX('CALENDARIO'!$C$15:$C$214,MATCH(TEXT($J198,"yyyy-mm-dd")&amp;"||",'CALENDARIO'!$G$15:$G$214,0)),INDEX(patronHabil,WEEKDAY($J198,2))))))</f>
        <v/>
      </c>
      <c r="U198" s="24">
        <f>IF($I198="","",IFERROR(INDEX('CAT_TIPOS_OT'!$C$4:$C$23,MATCH($I198,'CAT_TIPOS_OT'!$A$4:$A$23,0)),"sin_clasificar"))</f>
        <v/>
      </c>
      <c r="V198" s="24">
        <f>IF($I198="","",IF(IFERROR(INDEX('CAT_TIPOS_OT'!$D$4:$D$23,MATCH($I198,'CAT_TIPOS_OT'!$A$4:$A$23,0)),"SIN CLASIFICAR")="","SIN CLASIFICAR",IFERROR(INDEX('CAT_TIPOS_OT'!$D$4:$D$23,MATCH($I198,'CAT_TIPOS_OT'!$A$4:$A$23,0)),"SIN CLASIFICAR")))</f>
        <v/>
      </c>
      <c r="W198" s="24">
        <f>IF($H198="","",IF(IFERROR(INDEX('CAT_ACTIVIDADES'!$F$4:$F$26,MATCH($H198,'CAT_ACTIVIDADES'!$A$4:$A$26,0)),"")=0,"",IFERROR(INDEX('CAT_ACTIVIDADES'!$F$4:$F$26,MATCH($H198,'CAT_ACTIVIDADES'!$A$4:$A$26,0)),"")))</f>
        <v/>
      </c>
      <c r="X198" s="24">
        <f>IF($F198="","",IFERROR(INDEX('CAT_CENTROS_COSTO'!$F$4:$F$28,MATCH($F198,'CAT_CENTROS_COSTO'!$A$4:$A$28,0)),"(sin catálogo)"))</f>
        <v/>
      </c>
      <c r="Y198" s="24">
        <f>IF($F198="","",IFERROR(INDEX('CAT_CENTROS_COSTO'!$D$4:$D$28,MATCH($F198,'CAT_CENTROS_COSTO'!$A$4:$A$28,0)),"(sin catálogo)"))</f>
        <v/>
      </c>
      <c r="Z198" s="24">
        <f>IF($F198="","",IF((IFERROR(INDEX('CAT_CENTROS_COSTO'!$E$4:$E$28,MATCH($F198,'CAT_CENTROS_COSTO'!$A$4:$A$28,0)),""))&lt;&gt;"",IFERROR(INDEX('CAT_CENTROS_COSTO'!$E$4:$E$28,MATCH($F198,'CAT_CENTROS_COSTO'!$A$4:$A$28,0)),""),$Y198))</f>
        <v/>
      </c>
      <c r="AA198" s="24">
        <f>IF($F198="","",IFERROR(INDEX('CAT_CENTROS_COSTO'!$G$4:$G$28,MATCH($F198,'CAT_CENTROS_COSTO'!$A$4:$A$28,0)),"(sin catálogo)"))</f>
        <v/>
      </c>
      <c r="AB198" s="24">
        <f>IF($G198="","",IFERROR(INDEX('CAT_PUESTOS'!$B$4:$B$23,MATCH($G198,'CAT_PUESTOS'!$A$4:$A$23,0)),"(sin catálogo)"))</f>
        <v/>
      </c>
      <c r="AC198" s="24">
        <f>IF($H198="","",IFERROR(INDEX('CAT_ACTIVIDADES'!$B$4:$B$26,MATCH($H198,'CAT_ACTIVIDADES'!$A$4:$A$26,0)),"(sin catálogo)"))</f>
        <v/>
      </c>
      <c r="AD198" s="26">
        <f>IF($J198="","",TODAY()-$J198)</f>
        <v/>
      </c>
      <c r="AE198" s="26">
        <f>IF($J198="","",IF($J198&lt;=TODAY(),COUNTIFS(cal_fechas,"&gt;="&amp;$J198,cal_fechas,"&lt;"&amp;TODAY(),cal_habil,"sí"),-COUNTIFS(cal_fechas,"&gt;="&amp;TODAY(),cal_fechas,"&lt;"&amp;$J198,cal_habil,"sí")))</f>
        <v/>
      </c>
      <c r="AF198" s="24">
        <f>IF($AE198="","",IF($AE198&lt;0,"FUTURO",IF($AE198&gt;p_dias_backlog_max,"BACKLOG","MES CORRIENTE")))</f>
        <v/>
      </c>
      <c r="AG198" s="24">
        <f>IF($AE198="",FALSE,AND($AE198&gt;p_dias_backlog_min,$AE198&lt;=p_dias_backlog_max))</f>
        <v/>
      </c>
      <c r="AH198" s="4" t="n"/>
      <c r="AI198" s="24">
        <f>IF($AH198="","",IF((IFERROR(INDEX('ASIGNACIONES'!$J$4:$J$451,MATCH($O198&amp;"|"&amp;$S198&amp;"|"&amp;$AH198,'ASIGNACIONES'!$N$4:$N$451,0)),""))=0,"",IFERROR(INDEX('ASIGNACIONES'!$J$4:$J$451,MATCH($O198&amp;"|"&amp;$S198&amp;"|"&amp;$AH198,'ASIGNACIONES'!$N$4:$N$451,0)),"")))</f>
        <v/>
      </c>
      <c r="AJ198" s="42">
        <f>IF($AH198="","",SUMIFS('ORDENES'!$M$4:$M$1203,'ORDENES'!$AH$4:$AH$1203,$AH198,'ORDENES'!$O$4:$O$1203,$O198,'ORDENES'!$S$4:$S$1203,$S198))</f>
        <v/>
      </c>
      <c r="AK198" s="42">
        <f>IF($AJ198="","",p_factor_productividad*IFERROR(INDEX('ASIGNACIONES'!$M$4:$M$451,MATCH($O198&amp;"|"&amp;$S198&amp;"|"&amp;$AH198,'ASIGNACIONES'!$N$4:$N$451,0)),0)-$AJ198)</f>
        <v/>
      </c>
      <c r="AL198" s="32">
        <f>IF($A198="","",IFERROR(INDEX('2_IMPORTAR_EJECUCION'!$F$9:$F$1208,MATCH($AU198,'2_IMPORTAR_EJECUCION'!$J$9:$J$1208,0)),0))</f>
        <v/>
      </c>
      <c r="AM198" s="32">
        <f>IF($A198="","",MAX(0,IFERROR(INDEX('2_IMPORTAR_EJECUCION'!$H$9:$H$1208,MATCH($AU198,'2_IMPORTAR_EJECUCION'!$J$9:$J$1208,0)),0)-$AL198))</f>
        <v/>
      </c>
      <c r="AN198" s="32">
        <f>IF($A198="","",$AL198+$AM198)</f>
        <v/>
      </c>
      <c r="AO198" s="24">
        <f>IF($A198="","",IF(OR((IFERROR(INDEX('CAT_ACTIVIDADES'!$D$4:$D$26,MATCH($H198,'CAT_ACTIVIDADES'!$A$4:$A$26,0)),""))=0,(IFERROR(INDEX('CAT_ACTIVIDADES'!$D$4:$D$26,MATCH($H198,'CAT_ACTIVIDADES'!$A$4:$A$26,0)),""))=""),"SIN CLASIFICAR",IFERROR(INDEX('CAT_ACTIVIDADES'!$D$4:$D$26,MATCH($H198,'CAT_ACTIVIDADES'!$A$4:$A$26,0)),"")))</f>
        <v/>
      </c>
      <c r="AP198" s="4" t="n"/>
      <c r="AQ198" s="4" t="n"/>
      <c r="AR198" s="4" t="n"/>
      <c r="AS198" s="24">
        <f>IF($AR198="","",HYPERLINK(p_ruta_base_checklists&amp;$AR198,"abrir"))</f>
        <v/>
      </c>
      <c r="AT198" s="4" t="n"/>
      <c r="AU198" s="24">
        <f>IF($A198="","",$A198&amp;IF($B198="","0010",$B198))</f>
        <v/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41" t="n"/>
      <c r="K199" s="5" t="n"/>
      <c r="L199" s="18" t="n"/>
      <c r="M199" s="24">
        <f>IF($A199="","",IFERROR(INDEX('AJUSTES'!$B$4:$B$303,MATCH($AU199,'AJUSTES'!$A$4:$A$303,0)),IF($K199="","",$K199)))</f>
        <v/>
      </c>
      <c r="N199" s="24">
        <f>IF($A199="","",IFERROR(INDEX('CAT_ESTADOS_ERP'!$B$4:$B$22,MATCH(IFERROR(INDEX('2_IMPORTAR_EJECUCION'!$C$9:$C$1208,MATCH($AU199,'2_IMPORTAR_EJECUCION'!$J$9:$J$1208,0)),""),'CAT_ESTADOS_ERP'!$A$4:$A$22,0)),"Pendiente"))</f>
        <v/>
      </c>
      <c r="O199" s="24">
        <f>IF($J199="","",YEAR($J199+4-WEEKDAY($J199,2))&amp;"-S"&amp;TEXT(_xlfn.ISOWEEKNUM($J199),"00"))</f>
        <v/>
      </c>
      <c r="P199" s="24">
        <f>IF($J199="","",YEAR($J199))</f>
        <v/>
      </c>
      <c r="Q199" s="24">
        <f>IF($J199="","",MONTH($J199))</f>
        <v/>
      </c>
      <c r="R199" s="24">
        <f>IF($J199="","",$P199&amp;"-"&amp;TEXT($Q199,"00"))</f>
        <v/>
      </c>
      <c r="S199" s="24">
        <f>IF($J199="","",INDEX(lista_dias,WEEKDAY($J199,2)))</f>
        <v/>
      </c>
      <c r="T199" s="24">
        <f>IF($J199="","",IFERROR(INDEX('CALENDARIO'!$C$15:$C$214,MATCH(TEXT($J199,"yyyy-mm-dd")&amp;"|"&amp;$Y199&amp;"|"&amp;$Z199,'CALENDARIO'!$G$15:$G$214,0)),IFERROR(INDEX('CALENDARIO'!$C$15:$C$214,MATCH(TEXT($J199,"yyyy-mm-dd")&amp;"|"&amp;$Y199&amp;"|",'CALENDARIO'!$G$15:$G$214,0)),IFERROR(INDEX('CALENDARIO'!$C$15:$C$214,MATCH(TEXT($J199,"yyyy-mm-dd")&amp;"||",'CALENDARIO'!$G$15:$G$214,0)),INDEX(patronHabil,WEEKDAY($J199,2))))))</f>
        <v/>
      </c>
      <c r="U199" s="24">
        <f>IF($I199="","",IFERROR(INDEX('CAT_TIPOS_OT'!$C$4:$C$23,MATCH($I199,'CAT_TIPOS_OT'!$A$4:$A$23,0)),"sin_clasificar"))</f>
        <v/>
      </c>
      <c r="V199" s="24">
        <f>IF($I199="","",IF(IFERROR(INDEX('CAT_TIPOS_OT'!$D$4:$D$23,MATCH($I199,'CAT_TIPOS_OT'!$A$4:$A$23,0)),"SIN CLASIFICAR")="","SIN CLASIFICAR",IFERROR(INDEX('CAT_TIPOS_OT'!$D$4:$D$23,MATCH($I199,'CAT_TIPOS_OT'!$A$4:$A$23,0)),"SIN CLASIFICAR")))</f>
        <v/>
      </c>
      <c r="W199" s="24">
        <f>IF($H199="","",IF(IFERROR(INDEX('CAT_ACTIVIDADES'!$F$4:$F$26,MATCH($H199,'CAT_ACTIVIDADES'!$A$4:$A$26,0)),"")=0,"",IFERROR(INDEX('CAT_ACTIVIDADES'!$F$4:$F$26,MATCH($H199,'CAT_ACTIVIDADES'!$A$4:$A$26,0)),"")))</f>
        <v/>
      </c>
      <c r="X199" s="24">
        <f>IF($F199="","",IFERROR(INDEX('CAT_CENTROS_COSTO'!$F$4:$F$28,MATCH($F199,'CAT_CENTROS_COSTO'!$A$4:$A$28,0)),"(sin catálogo)"))</f>
        <v/>
      </c>
      <c r="Y199" s="24">
        <f>IF($F199="","",IFERROR(INDEX('CAT_CENTROS_COSTO'!$D$4:$D$28,MATCH($F199,'CAT_CENTROS_COSTO'!$A$4:$A$28,0)),"(sin catálogo)"))</f>
        <v/>
      </c>
      <c r="Z199" s="24">
        <f>IF($F199="","",IF((IFERROR(INDEX('CAT_CENTROS_COSTO'!$E$4:$E$28,MATCH($F199,'CAT_CENTROS_COSTO'!$A$4:$A$28,0)),""))&lt;&gt;"",IFERROR(INDEX('CAT_CENTROS_COSTO'!$E$4:$E$28,MATCH($F199,'CAT_CENTROS_COSTO'!$A$4:$A$28,0)),""),$Y199))</f>
        <v/>
      </c>
      <c r="AA199" s="24">
        <f>IF($F199="","",IFERROR(INDEX('CAT_CENTROS_COSTO'!$G$4:$G$28,MATCH($F199,'CAT_CENTROS_COSTO'!$A$4:$A$28,0)),"(sin catálogo)"))</f>
        <v/>
      </c>
      <c r="AB199" s="24">
        <f>IF($G199="","",IFERROR(INDEX('CAT_PUESTOS'!$B$4:$B$23,MATCH($G199,'CAT_PUESTOS'!$A$4:$A$23,0)),"(sin catálogo)"))</f>
        <v/>
      </c>
      <c r="AC199" s="24">
        <f>IF($H199="","",IFERROR(INDEX('CAT_ACTIVIDADES'!$B$4:$B$26,MATCH($H199,'CAT_ACTIVIDADES'!$A$4:$A$26,0)),"(sin catálogo)"))</f>
        <v/>
      </c>
      <c r="AD199" s="26">
        <f>IF($J199="","",TODAY()-$J199)</f>
        <v/>
      </c>
      <c r="AE199" s="26">
        <f>IF($J199="","",IF($J199&lt;=TODAY(),COUNTIFS(cal_fechas,"&gt;="&amp;$J199,cal_fechas,"&lt;"&amp;TODAY(),cal_habil,"sí"),-COUNTIFS(cal_fechas,"&gt;="&amp;TODAY(),cal_fechas,"&lt;"&amp;$J199,cal_habil,"sí")))</f>
        <v/>
      </c>
      <c r="AF199" s="24">
        <f>IF($AE199="","",IF($AE199&lt;0,"FUTURO",IF($AE199&gt;p_dias_backlog_max,"BACKLOG","MES CORRIENTE")))</f>
        <v/>
      </c>
      <c r="AG199" s="24">
        <f>IF($AE199="",FALSE,AND($AE199&gt;p_dias_backlog_min,$AE199&lt;=p_dias_backlog_max))</f>
        <v/>
      </c>
      <c r="AH199" s="4" t="n"/>
      <c r="AI199" s="24">
        <f>IF($AH199="","",IF((IFERROR(INDEX('ASIGNACIONES'!$J$4:$J$451,MATCH($O199&amp;"|"&amp;$S199&amp;"|"&amp;$AH199,'ASIGNACIONES'!$N$4:$N$451,0)),""))=0,"",IFERROR(INDEX('ASIGNACIONES'!$J$4:$J$451,MATCH($O199&amp;"|"&amp;$S199&amp;"|"&amp;$AH199,'ASIGNACIONES'!$N$4:$N$451,0)),"")))</f>
        <v/>
      </c>
      <c r="AJ199" s="42">
        <f>IF($AH199="","",SUMIFS('ORDENES'!$M$4:$M$1203,'ORDENES'!$AH$4:$AH$1203,$AH199,'ORDENES'!$O$4:$O$1203,$O199,'ORDENES'!$S$4:$S$1203,$S199))</f>
        <v/>
      </c>
      <c r="AK199" s="42">
        <f>IF($AJ199="","",p_factor_productividad*IFERROR(INDEX('ASIGNACIONES'!$M$4:$M$451,MATCH($O199&amp;"|"&amp;$S199&amp;"|"&amp;$AH199,'ASIGNACIONES'!$N$4:$N$451,0)),0)-$AJ199)</f>
        <v/>
      </c>
      <c r="AL199" s="32">
        <f>IF($A199="","",IFERROR(INDEX('2_IMPORTAR_EJECUCION'!$F$9:$F$1208,MATCH($AU199,'2_IMPORTAR_EJECUCION'!$J$9:$J$1208,0)),0))</f>
        <v/>
      </c>
      <c r="AM199" s="32">
        <f>IF($A199="","",MAX(0,IFERROR(INDEX('2_IMPORTAR_EJECUCION'!$H$9:$H$1208,MATCH($AU199,'2_IMPORTAR_EJECUCION'!$J$9:$J$1208,0)),0)-$AL199))</f>
        <v/>
      </c>
      <c r="AN199" s="32">
        <f>IF($A199="","",$AL199+$AM199)</f>
        <v/>
      </c>
      <c r="AO199" s="24">
        <f>IF($A199="","",IF(OR((IFERROR(INDEX('CAT_ACTIVIDADES'!$D$4:$D$26,MATCH($H199,'CAT_ACTIVIDADES'!$A$4:$A$26,0)),""))=0,(IFERROR(INDEX('CAT_ACTIVIDADES'!$D$4:$D$26,MATCH($H199,'CAT_ACTIVIDADES'!$A$4:$A$26,0)),""))=""),"SIN CLASIFICAR",IFERROR(INDEX('CAT_ACTIVIDADES'!$D$4:$D$26,MATCH($H199,'CAT_ACTIVIDADES'!$A$4:$A$26,0)),"")))</f>
        <v/>
      </c>
      <c r="AP199" s="4" t="n"/>
      <c r="AQ199" s="4" t="n"/>
      <c r="AR199" s="4" t="n"/>
      <c r="AS199" s="24">
        <f>IF($AR199="","",HYPERLINK(p_ruta_base_checklists&amp;$AR199,"abrir"))</f>
        <v/>
      </c>
      <c r="AT199" s="4" t="n"/>
      <c r="AU199" s="24">
        <f>IF($A199="","",$A199&amp;IF($B199="","0010",$B199))</f>
        <v/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41" t="n"/>
      <c r="K200" s="5" t="n"/>
      <c r="L200" s="18" t="n"/>
      <c r="M200" s="24">
        <f>IF($A200="","",IFERROR(INDEX('AJUSTES'!$B$4:$B$303,MATCH($AU200,'AJUSTES'!$A$4:$A$303,0)),IF($K200="","",$K200)))</f>
        <v/>
      </c>
      <c r="N200" s="24">
        <f>IF($A200="","",IFERROR(INDEX('CAT_ESTADOS_ERP'!$B$4:$B$22,MATCH(IFERROR(INDEX('2_IMPORTAR_EJECUCION'!$C$9:$C$1208,MATCH($AU200,'2_IMPORTAR_EJECUCION'!$J$9:$J$1208,0)),""),'CAT_ESTADOS_ERP'!$A$4:$A$22,0)),"Pendiente"))</f>
        <v/>
      </c>
      <c r="O200" s="24">
        <f>IF($J200="","",YEAR($J200+4-WEEKDAY($J200,2))&amp;"-S"&amp;TEXT(_xlfn.ISOWEEKNUM($J200),"00"))</f>
        <v/>
      </c>
      <c r="P200" s="24">
        <f>IF($J200="","",YEAR($J200))</f>
        <v/>
      </c>
      <c r="Q200" s="24">
        <f>IF($J200="","",MONTH($J200))</f>
        <v/>
      </c>
      <c r="R200" s="24">
        <f>IF($J200="","",$P200&amp;"-"&amp;TEXT($Q200,"00"))</f>
        <v/>
      </c>
      <c r="S200" s="24">
        <f>IF($J200="","",INDEX(lista_dias,WEEKDAY($J200,2)))</f>
        <v/>
      </c>
      <c r="T200" s="24">
        <f>IF($J200="","",IFERROR(INDEX('CALENDARIO'!$C$15:$C$214,MATCH(TEXT($J200,"yyyy-mm-dd")&amp;"|"&amp;$Y200&amp;"|"&amp;$Z200,'CALENDARIO'!$G$15:$G$214,0)),IFERROR(INDEX('CALENDARIO'!$C$15:$C$214,MATCH(TEXT($J200,"yyyy-mm-dd")&amp;"|"&amp;$Y200&amp;"|",'CALENDARIO'!$G$15:$G$214,0)),IFERROR(INDEX('CALENDARIO'!$C$15:$C$214,MATCH(TEXT($J200,"yyyy-mm-dd")&amp;"||",'CALENDARIO'!$G$15:$G$214,0)),INDEX(patronHabil,WEEKDAY($J200,2))))))</f>
        <v/>
      </c>
      <c r="U200" s="24">
        <f>IF($I200="","",IFERROR(INDEX('CAT_TIPOS_OT'!$C$4:$C$23,MATCH($I200,'CAT_TIPOS_OT'!$A$4:$A$23,0)),"sin_clasificar"))</f>
        <v/>
      </c>
      <c r="V200" s="24">
        <f>IF($I200="","",IF(IFERROR(INDEX('CAT_TIPOS_OT'!$D$4:$D$23,MATCH($I200,'CAT_TIPOS_OT'!$A$4:$A$23,0)),"SIN CLASIFICAR")="","SIN CLASIFICAR",IFERROR(INDEX('CAT_TIPOS_OT'!$D$4:$D$23,MATCH($I200,'CAT_TIPOS_OT'!$A$4:$A$23,0)),"SIN CLASIFICAR")))</f>
        <v/>
      </c>
      <c r="W200" s="24">
        <f>IF($H200="","",IF(IFERROR(INDEX('CAT_ACTIVIDADES'!$F$4:$F$26,MATCH($H200,'CAT_ACTIVIDADES'!$A$4:$A$26,0)),"")=0,"",IFERROR(INDEX('CAT_ACTIVIDADES'!$F$4:$F$26,MATCH($H200,'CAT_ACTIVIDADES'!$A$4:$A$26,0)),"")))</f>
        <v/>
      </c>
      <c r="X200" s="24">
        <f>IF($F200="","",IFERROR(INDEX('CAT_CENTROS_COSTO'!$F$4:$F$28,MATCH($F200,'CAT_CENTROS_COSTO'!$A$4:$A$28,0)),"(sin catálogo)"))</f>
        <v/>
      </c>
      <c r="Y200" s="24">
        <f>IF($F200="","",IFERROR(INDEX('CAT_CENTROS_COSTO'!$D$4:$D$28,MATCH($F200,'CAT_CENTROS_COSTO'!$A$4:$A$28,0)),"(sin catálogo)"))</f>
        <v/>
      </c>
      <c r="Z200" s="24">
        <f>IF($F200="","",IF((IFERROR(INDEX('CAT_CENTROS_COSTO'!$E$4:$E$28,MATCH($F200,'CAT_CENTROS_COSTO'!$A$4:$A$28,0)),""))&lt;&gt;"",IFERROR(INDEX('CAT_CENTROS_COSTO'!$E$4:$E$28,MATCH($F200,'CAT_CENTROS_COSTO'!$A$4:$A$28,0)),""),$Y200))</f>
        <v/>
      </c>
      <c r="AA200" s="24">
        <f>IF($F200="","",IFERROR(INDEX('CAT_CENTROS_COSTO'!$G$4:$G$28,MATCH($F200,'CAT_CENTROS_COSTO'!$A$4:$A$28,0)),"(sin catálogo)"))</f>
        <v/>
      </c>
      <c r="AB200" s="24">
        <f>IF($G200="","",IFERROR(INDEX('CAT_PUESTOS'!$B$4:$B$23,MATCH($G200,'CAT_PUESTOS'!$A$4:$A$23,0)),"(sin catálogo)"))</f>
        <v/>
      </c>
      <c r="AC200" s="24">
        <f>IF($H200="","",IFERROR(INDEX('CAT_ACTIVIDADES'!$B$4:$B$26,MATCH($H200,'CAT_ACTIVIDADES'!$A$4:$A$26,0)),"(sin catálogo)"))</f>
        <v/>
      </c>
      <c r="AD200" s="26">
        <f>IF($J200="","",TODAY()-$J200)</f>
        <v/>
      </c>
      <c r="AE200" s="26">
        <f>IF($J200="","",IF($J200&lt;=TODAY(),COUNTIFS(cal_fechas,"&gt;="&amp;$J200,cal_fechas,"&lt;"&amp;TODAY(),cal_habil,"sí"),-COUNTIFS(cal_fechas,"&gt;="&amp;TODAY(),cal_fechas,"&lt;"&amp;$J200,cal_habil,"sí")))</f>
        <v/>
      </c>
      <c r="AF200" s="24">
        <f>IF($AE200="","",IF($AE200&lt;0,"FUTURO",IF($AE200&gt;p_dias_backlog_max,"BACKLOG","MES CORRIENTE")))</f>
        <v/>
      </c>
      <c r="AG200" s="24">
        <f>IF($AE200="",FALSE,AND($AE200&gt;p_dias_backlog_min,$AE200&lt;=p_dias_backlog_max))</f>
        <v/>
      </c>
      <c r="AH200" s="4" t="n"/>
      <c r="AI200" s="24">
        <f>IF($AH200="","",IF((IFERROR(INDEX('ASIGNACIONES'!$J$4:$J$451,MATCH($O200&amp;"|"&amp;$S200&amp;"|"&amp;$AH200,'ASIGNACIONES'!$N$4:$N$451,0)),""))=0,"",IFERROR(INDEX('ASIGNACIONES'!$J$4:$J$451,MATCH($O200&amp;"|"&amp;$S200&amp;"|"&amp;$AH200,'ASIGNACIONES'!$N$4:$N$451,0)),"")))</f>
        <v/>
      </c>
      <c r="AJ200" s="42">
        <f>IF($AH200="","",SUMIFS('ORDENES'!$M$4:$M$1203,'ORDENES'!$AH$4:$AH$1203,$AH200,'ORDENES'!$O$4:$O$1203,$O200,'ORDENES'!$S$4:$S$1203,$S200))</f>
        <v/>
      </c>
      <c r="AK200" s="42">
        <f>IF($AJ200="","",p_factor_productividad*IFERROR(INDEX('ASIGNACIONES'!$M$4:$M$451,MATCH($O200&amp;"|"&amp;$S200&amp;"|"&amp;$AH200,'ASIGNACIONES'!$N$4:$N$451,0)),0)-$AJ200)</f>
        <v/>
      </c>
      <c r="AL200" s="32">
        <f>IF($A200="","",IFERROR(INDEX('2_IMPORTAR_EJECUCION'!$F$9:$F$1208,MATCH($AU200,'2_IMPORTAR_EJECUCION'!$J$9:$J$1208,0)),0))</f>
        <v/>
      </c>
      <c r="AM200" s="32">
        <f>IF($A200="","",MAX(0,IFERROR(INDEX('2_IMPORTAR_EJECUCION'!$H$9:$H$1208,MATCH($AU200,'2_IMPORTAR_EJECUCION'!$J$9:$J$1208,0)),0)-$AL200))</f>
        <v/>
      </c>
      <c r="AN200" s="32">
        <f>IF($A200="","",$AL200+$AM200)</f>
        <v/>
      </c>
      <c r="AO200" s="24">
        <f>IF($A200="","",IF(OR((IFERROR(INDEX('CAT_ACTIVIDADES'!$D$4:$D$26,MATCH($H200,'CAT_ACTIVIDADES'!$A$4:$A$26,0)),""))=0,(IFERROR(INDEX('CAT_ACTIVIDADES'!$D$4:$D$26,MATCH($H200,'CAT_ACTIVIDADES'!$A$4:$A$26,0)),""))=""),"SIN CLASIFICAR",IFERROR(INDEX('CAT_ACTIVIDADES'!$D$4:$D$26,MATCH($H200,'CAT_ACTIVIDADES'!$A$4:$A$26,0)),"")))</f>
        <v/>
      </c>
      <c r="AP200" s="4" t="n"/>
      <c r="AQ200" s="4" t="n"/>
      <c r="AR200" s="4" t="n"/>
      <c r="AS200" s="24">
        <f>IF($AR200="","",HYPERLINK(p_ruta_base_checklists&amp;$AR200,"abrir"))</f>
        <v/>
      </c>
      <c r="AT200" s="4" t="n"/>
      <c r="AU200" s="24">
        <f>IF($A200="","",$A200&amp;IF($B200="","0010",$B200))</f>
        <v/>
      </c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41" t="n"/>
      <c r="K201" s="5" t="n"/>
      <c r="L201" s="18" t="n"/>
      <c r="M201" s="24">
        <f>IF($A201="","",IFERROR(INDEX('AJUSTES'!$B$4:$B$303,MATCH($AU201,'AJUSTES'!$A$4:$A$303,0)),IF($K201="","",$K201)))</f>
        <v/>
      </c>
      <c r="N201" s="24">
        <f>IF($A201="","",IFERROR(INDEX('CAT_ESTADOS_ERP'!$B$4:$B$22,MATCH(IFERROR(INDEX('2_IMPORTAR_EJECUCION'!$C$9:$C$1208,MATCH($AU201,'2_IMPORTAR_EJECUCION'!$J$9:$J$1208,0)),""),'CAT_ESTADOS_ERP'!$A$4:$A$22,0)),"Pendiente"))</f>
        <v/>
      </c>
      <c r="O201" s="24">
        <f>IF($J201="","",YEAR($J201+4-WEEKDAY($J201,2))&amp;"-S"&amp;TEXT(_xlfn.ISOWEEKNUM($J201),"00"))</f>
        <v/>
      </c>
      <c r="P201" s="24">
        <f>IF($J201="","",YEAR($J201))</f>
        <v/>
      </c>
      <c r="Q201" s="24">
        <f>IF($J201="","",MONTH($J201))</f>
        <v/>
      </c>
      <c r="R201" s="24">
        <f>IF($J201="","",$P201&amp;"-"&amp;TEXT($Q201,"00"))</f>
        <v/>
      </c>
      <c r="S201" s="24">
        <f>IF($J201="","",INDEX(lista_dias,WEEKDAY($J201,2)))</f>
        <v/>
      </c>
      <c r="T201" s="24">
        <f>IF($J201="","",IFERROR(INDEX('CALENDARIO'!$C$15:$C$214,MATCH(TEXT($J201,"yyyy-mm-dd")&amp;"|"&amp;$Y201&amp;"|"&amp;$Z201,'CALENDARIO'!$G$15:$G$214,0)),IFERROR(INDEX('CALENDARIO'!$C$15:$C$214,MATCH(TEXT($J201,"yyyy-mm-dd")&amp;"|"&amp;$Y201&amp;"|",'CALENDARIO'!$G$15:$G$214,0)),IFERROR(INDEX('CALENDARIO'!$C$15:$C$214,MATCH(TEXT($J201,"yyyy-mm-dd")&amp;"||",'CALENDARIO'!$G$15:$G$214,0)),INDEX(patronHabil,WEEKDAY($J201,2))))))</f>
        <v/>
      </c>
      <c r="U201" s="24">
        <f>IF($I201="","",IFERROR(INDEX('CAT_TIPOS_OT'!$C$4:$C$23,MATCH($I201,'CAT_TIPOS_OT'!$A$4:$A$23,0)),"sin_clasificar"))</f>
        <v/>
      </c>
      <c r="V201" s="24">
        <f>IF($I201="","",IF(IFERROR(INDEX('CAT_TIPOS_OT'!$D$4:$D$23,MATCH($I201,'CAT_TIPOS_OT'!$A$4:$A$23,0)),"SIN CLASIFICAR")="","SIN CLASIFICAR",IFERROR(INDEX('CAT_TIPOS_OT'!$D$4:$D$23,MATCH($I201,'CAT_TIPOS_OT'!$A$4:$A$23,0)),"SIN CLASIFICAR")))</f>
        <v/>
      </c>
      <c r="W201" s="24">
        <f>IF($H201="","",IF(IFERROR(INDEX('CAT_ACTIVIDADES'!$F$4:$F$26,MATCH($H201,'CAT_ACTIVIDADES'!$A$4:$A$26,0)),"")=0,"",IFERROR(INDEX('CAT_ACTIVIDADES'!$F$4:$F$26,MATCH($H201,'CAT_ACTIVIDADES'!$A$4:$A$26,0)),"")))</f>
        <v/>
      </c>
      <c r="X201" s="24">
        <f>IF($F201="","",IFERROR(INDEX('CAT_CENTROS_COSTO'!$F$4:$F$28,MATCH($F201,'CAT_CENTROS_COSTO'!$A$4:$A$28,0)),"(sin catálogo)"))</f>
        <v/>
      </c>
      <c r="Y201" s="24">
        <f>IF($F201="","",IFERROR(INDEX('CAT_CENTROS_COSTO'!$D$4:$D$28,MATCH($F201,'CAT_CENTROS_COSTO'!$A$4:$A$28,0)),"(sin catálogo)"))</f>
        <v/>
      </c>
      <c r="Z201" s="24">
        <f>IF($F201="","",IF((IFERROR(INDEX('CAT_CENTROS_COSTO'!$E$4:$E$28,MATCH($F201,'CAT_CENTROS_COSTO'!$A$4:$A$28,0)),""))&lt;&gt;"",IFERROR(INDEX('CAT_CENTROS_COSTO'!$E$4:$E$28,MATCH($F201,'CAT_CENTROS_COSTO'!$A$4:$A$28,0)),""),$Y201))</f>
        <v/>
      </c>
      <c r="AA201" s="24">
        <f>IF($F201="","",IFERROR(INDEX('CAT_CENTROS_COSTO'!$G$4:$G$28,MATCH($F201,'CAT_CENTROS_COSTO'!$A$4:$A$28,0)),"(sin catálogo)"))</f>
        <v/>
      </c>
      <c r="AB201" s="24">
        <f>IF($G201="","",IFERROR(INDEX('CAT_PUESTOS'!$B$4:$B$23,MATCH($G201,'CAT_PUESTOS'!$A$4:$A$23,0)),"(sin catálogo)"))</f>
        <v/>
      </c>
      <c r="AC201" s="24">
        <f>IF($H201="","",IFERROR(INDEX('CAT_ACTIVIDADES'!$B$4:$B$26,MATCH($H201,'CAT_ACTIVIDADES'!$A$4:$A$26,0)),"(sin catálogo)"))</f>
        <v/>
      </c>
      <c r="AD201" s="26">
        <f>IF($J201="","",TODAY()-$J201)</f>
        <v/>
      </c>
      <c r="AE201" s="26">
        <f>IF($J201="","",IF($J201&lt;=TODAY(),COUNTIFS(cal_fechas,"&gt;="&amp;$J201,cal_fechas,"&lt;"&amp;TODAY(),cal_habil,"sí"),-COUNTIFS(cal_fechas,"&gt;="&amp;TODAY(),cal_fechas,"&lt;"&amp;$J201,cal_habil,"sí")))</f>
        <v/>
      </c>
      <c r="AF201" s="24">
        <f>IF($AE201="","",IF($AE201&lt;0,"FUTURO",IF($AE201&gt;p_dias_backlog_max,"BACKLOG","MES CORRIENTE")))</f>
        <v/>
      </c>
      <c r="AG201" s="24">
        <f>IF($AE201="",FALSE,AND($AE201&gt;p_dias_backlog_min,$AE201&lt;=p_dias_backlog_max))</f>
        <v/>
      </c>
      <c r="AH201" s="4" t="n"/>
      <c r="AI201" s="24">
        <f>IF($AH201="","",IF((IFERROR(INDEX('ASIGNACIONES'!$J$4:$J$451,MATCH($O201&amp;"|"&amp;$S201&amp;"|"&amp;$AH201,'ASIGNACIONES'!$N$4:$N$451,0)),""))=0,"",IFERROR(INDEX('ASIGNACIONES'!$J$4:$J$451,MATCH($O201&amp;"|"&amp;$S201&amp;"|"&amp;$AH201,'ASIGNACIONES'!$N$4:$N$451,0)),"")))</f>
        <v/>
      </c>
      <c r="AJ201" s="42">
        <f>IF($AH201="","",SUMIFS('ORDENES'!$M$4:$M$1203,'ORDENES'!$AH$4:$AH$1203,$AH201,'ORDENES'!$O$4:$O$1203,$O201,'ORDENES'!$S$4:$S$1203,$S201))</f>
        <v/>
      </c>
      <c r="AK201" s="42">
        <f>IF($AJ201="","",p_factor_productividad*IFERROR(INDEX('ASIGNACIONES'!$M$4:$M$451,MATCH($O201&amp;"|"&amp;$S201&amp;"|"&amp;$AH201,'ASIGNACIONES'!$N$4:$N$451,0)),0)-$AJ201)</f>
        <v/>
      </c>
      <c r="AL201" s="32">
        <f>IF($A201="","",IFERROR(INDEX('2_IMPORTAR_EJECUCION'!$F$9:$F$1208,MATCH($AU201,'2_IMPORTAR_EJECUCION'!$J$9:$J$1208,0)),0))</f>
        <v/>
      </c>
      <c r="AM201" s="32">
        <f>IF($A201="","",MAX(0,IFERROR(INDEX('2_IMPORTAR_EJECUCION'!$H$9:$H$1208,MATCH($AU201,'2_IMPORTAR_EJECUCION'!$J$9:$J$1208,0)),0)-$AL201))</f>
        <v/>
      </c>
      <c r="AN201" s="32">
        <f>IF($A201="","",$AL201+$AM201)</f>
        <v/>
      </c>
      <c r="AO201" s="24">
        <f>IF($A201="","",IF(OR((IFERROR(INDEX('CAT_ACTIVIDADES'!$D$4:$D$26,MATCH($H201,'CAT_ACTIVIDADES'!$A$4:$A$26,0)),""))=0,(IFERROR(INDEX('CAT_ACTIVIDADES'!$D$4:$D$26,MATCH($H201,'CAT_ACTIVIDADES'!$A$4:$A$26,0)),""))=""),"SIN CLASIFICAR",IFERROR(INDEX('CAT_ACTIVIDADES'!$D$4:$D$26,MATCH($H201,'CAT_ACTIVIDADES'!$A$4:$A$26,0)),"")))</f>
        <v/>
      </c>
      <c r="AP201" s="4" t="n"/>
      <c r="AQ201" s="4" t="n"/>
      <c r="AR201" s="4" t="n"/>
      <c r="AS201" s="24">
        <f>IF($AR201="","",HYPERLINK(p_ruta_base_checklists&amp;$AR201,"abrir"))</f>
        <v/>
      </c>
      <c r="AT201" s="4" t="n"/>
      <c r="AU201" s="24">
        <f>IF($A201="","",$A201&amp;IF($B201="","0010",$B201))</f>
        <v/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41" t="n"/>
      <c r="K202" s="5" t="n"/>
      <c r="L202" s="18" t="n"/>
      <c r="M202" s="24">
        <f>IF($A202="","",IFERROR(INDEX('AJUSTES'!$B$4:$B$303,MATCH($AU202,'AJUSTES'!$A$4:$A$303,0)),IF($K202="","",$K202)))</f>
        <v/>
      </c>
      <c r="N202" s="24">
        <f>IF($A202="","",IFERROR(INDEX('CAT_ESTADOS_ERP'!$B$4:$B$22,MATCH(IFERROR(INDEX('2_IMPORTAR_EJECUCION'!$C$9:$C$1208,MATCH($AU202,'2_IMPORTAR_EJECUCION'!$J$9:$J$1208,0)),""),'CAT_ESTADOS_ERP'!$A$4:$A$22,0)),"Pendiente"))</f>
        <v/>
      </c>
      <c r="O202" s="24">
        <f>IF($J202="","",YEAR($J202+4-WEEKDAY($J202,2))&amp;"-S"&amp;TEXT(_xlfn.ISOWEEKNUM($J202),"00"))</f>
        <v/>
      </c>
      <c r="P202" s="24">
        <f>IF($J202="","",YEAR($J202))</f>
        <v/>
      </c>
      <c r="Q202" s="24">
        <f>IF($J202="","",MONTH($J202))</f>
        <v/>
      </c>
      <c r="R202" s="24">
        <f>IF($J202="","",$P202&amp;"-"&amp;TEXT($Q202,"00"))</f>
        <v/>
      </c>
      <c r="S202" s="24">
        <f>IF($J202="","",INDEX(lista_dias,WEEKDAY($J202,2)))</f>
        <v/>
      </c>
      <c r="T202" s="24">
        <f>IF($J202="","",IFERROR(INDEX('CALENDARIO'!$C$15:$C$214,MATCH(TEXT($J202,"yyyy-mm-dd")&amp;"|"&amp;$Y202&amp;"|"&amp;$Z202,'CALENDARIO'!$G$15:$G$214,0)),IFERROR(INDEX('CALENDARIO'!$C$15:$C$214,MATCH(TEXT($J202,"yyyy-mm-dd")&amp;"|"&amp;$Y202&amp;"|",'CALENDARIO'!$G$15:$G$214,0)),IFERROR(INDEX('CALENDARIO'!$C$15:$C$214,MATCH(TEXT($J202,"yyyy-mm-dd")&amp;"||",'CALENDARIO'!$G$15:$G$214,0)),INDEX(patronHabil,WEEKDAY($J202,2))))))</f>
        <v/>
      </c>
      <c r="U202" s="24">
        <f>IF($I202="","",IFERROR(INDEX('CAT_TIPOS_OT'!$C$4:$C$23,MATCH($I202,'CAT_TIPOS_OT'!$A$4:$A$23,0)),"sin_clasificar"))</f>
        <v/>
      </c>
      <c r="V202" s="24">
        <f>IF($I202="","",IF(IFERROR(INDEX('CAT_TIPOS_OT'!$D$4:$D$23,MATCH($I202,'CAT_TIPOS_OT'!$A$4:$A$23,0)),"SIN CLASIFICAR")="","SIN CLASIFICAR",IFERROR(INDEX('CAT_TIPOS_OT'!$D$4:$D$23,MATCH($I202,'CAT_TIPOS_OT'!$A$4:$A$23,0)),"SIN CLASIFICAR")))</f>
        <v/>
      </c>
      <c r="W202" s="24">
        <f>IF($H202="","",IF(IFERROR(INDEX('CAT_ACTIVIDADES'!$F$4:$F$26,MATCH($H202,'CAT_ACTIVIDADES'!$A$4:$A$26,0)),"")=0,"",IFERROR(INDEX('CAT_ACTIVIDADES'!$F$4:$F$26,MATCH($H202,'CAT_ACTIVIDADES'!$A$4:$A$26,0)),"")))</f>
        <v/>
      </c>
      <c r="X202" s="24">
        <f>IF($F202="","",IFERROR(INDEX('CAT_CENTROS_COSTO'!$F$4:$F$28,MATCH($F202,'CAT_CENTROS_COSTO'!$A$4:$A$28,0)),"(sin catálogo)"))</f>
        <v/>
      </c>
      <c r="Y202" s="24">
        <f>IF($F202="","",IFERROR(INDEX('CAT_CENTROS_COSTO'!$D$4:$D$28,MATCH($F202,'CAT_CENTROS_COSTO'!$A$4:$A$28,0)),"(sin catálogo)"))</f>
        <v/>
      </c>
      <c r="Z202" s="24">
        <f>IF($F202="","",IF((IFERROR(INDEX('CAT_CENTROS_COSTO'!$E$4:$E$28,MATCH($F202,'CAT_CENTROS_COSTO'!$A$4:$A$28,0)),""))&lt;&gt;"",IFERROR(INDEX('CAT_CENTROS_COSTO'!$E$4:$E$28,MATCH($F202,'CAT_CENTROS_COSTO'!$A$4:$A$28,0)),""),$Y202))</f>
        <v/>
      </c>
      <c r="AA202" s="24">
        <f>IF($F202="","",IFERROR(INDEX('CAT_CENTROS_COSTO'!$G$4:$G$28,MATCH($F202,'CAT_CENTROS_COSTO'!$A$4:$A$28,0)),"(sin catálogo)"))</f>
        <v/>
      </c>
      <c r="AB202" s="24">
        <f>IF($G202="","",IFERROR(INDEX('CAT_PUESTOS'!$B$4:$B$23,MATCH($G202,'CAT_PUESTOS'!$A$4:$A$23,0)),"(sin catálogo)"))</f>
        <v/>
      </c>
      <c r="AC202" s="24">
        <f>IF($H202="","",IFERROR(INDEX('CAT_ACTIVIDADES'!$B$4:$B$26,MATCH($H202,'CAT_ACTIVIDADES'!$A$4:$A$26,0)),"(sin catálogo)"))</f>
        <v/>
      </c>
      <c r="AD202" s="26">
        <f>IF($J202="","",TODAY()-$J202)</f>
        <v/>
      </c>
      <c r="AE202" s="26">
        <f>IF($J202="","",IF($J202&lt;=TODAY(),COUNTIFS(cal_fechas,"&gt;="&amp;$J202,cal_fechas,"&lt;"&amp;TODAY(),cal_habil,"sí"),-COUNTIFS(cal_fechas,"&gt;="&amp;TODAY(),cal_fechas,"&lt;"&amp;$J202,cal_habil,"sí")))</f>
        <v/>
      </c>
      <c r="AF202" s="24">
        <f>IF($AE202="","",IF($AE202&lt;0,"FUTURO",IF($AE202&gt;p_dias_backlog_max,"BACKLOG","MES CORRIENTE")))</f>
        <v/>
      </c>
      <c r="AG202" s="24">
        <f>IF($AE202="",FALSE,AND($AE202&gt;p_dias_backlog_min,$AE202&lt;=p_dias_backlog_max))</f>
        <v/>
      </c>
      <c r="AH202" s="4" t="n"/>
      <c r="AI202" s="24">
        <f>IF($AH202="","",IF((IFERROR(INDEX('ASIGNACIONES'!$J$4:$J$451,MATCH($O202&amp;"|"&amp;$S202&amp;"|"&amp;$AH202,'ASIGNACIONES'!$N$4:$N$451,0)),""))=0,"",IFERROR(INDEX('ASIGNACIONES'!$J$4:$J$451,MATCH($O202&amp;"|"&amp;$S202&amp;"|"&amp;$AH202,'ASIGNACIONES'!$N$4:$N$451,0)),"")))</f>
        <v/>
      </c>
      <c r="AJ202" s="42">
        <f>IF($AH202="","",SUMIFS('ORDENES'!$M$4:$M$1203,'ORDENES'!$AH$4:$AH$1203,$AH202,'ORDENES'!$O$4:$O$1203,$O202,'ORDENES'!$S$4:$S$1203,$S202))</f>
        <v/>
      </c>
      <c r="AK202" s="42">
        <f>IF($AJ202="","",p_factor_productividad*IFERROR(INDEX('ASIGNACIONES'!$M$4:$M$451,MATCH($O202&amp;"|"&amp;$S202&amp;"|"&amp;$AH202,'ASIGNACIONES'!$N$4:$N$451,0)),0)-$AJ202)</f>
        <v/>
      </c>
      <c r="AL202" s="32">
        <f>IF($A202="","",IFERROR(INDEX('2_IMPORTAR_EJECUCION'!$F$9:$F$1208,MATCH($AU202,'2_IMPORTAR_EJECUCION'!$J$9:$J$1208,0)),0))</f>
        <v/>
      </c>
      <c r="AM202" s="32">
        <f>IF($A202="","",MAX(0,IFERROR(INDEX('2_IMPORTAR_EJECUCION'!$H$9:$H$1208,MATCH($AU202,'2_IMPORTAR_EJECUCION'!$J$9:$J$1208,0)),0)-$AL202))</f>
        <v/>
      </c>
      <c r="AN202" s="32">
        <f>IF($A202="","",$AL202+$AM202)</f>
        <v/>
      </c>
      <c r="AO202" s="24">
        <f>IF($A202="","",IF(OR((IFERROR(INDEX('CAT_ACTIVIDADES'!$D$4:$D$26,MATCH($H202,'CAT_ACTIVIDADES'!$A$4:$A$26,0)),""))=0,(IFERROR(INDEX('CAT_ACTIVIDADES'!$D$4:$D$26,MATCH($H202,'CAT_ACTIVIDADES'!$A$4:$A$26,0)),""))=""),"SIN CLASIFICAR",IFERROR(INDEX('CAT_ACTIVIDADES'!$D$4:$D$26,MATCH($H202,'CAT_ACTIVIDADES'!$A$4:$A$26,0)),"")))</f>
        <v/>
      </c>
      <c r="AP202" s="4" t="n"/>
      <c r="AQ202" s="4" t="n"/>
      <c r="AR202" s="4" t="n"/>
      <c r="AS202" s="24">
        <f>IF($AR202="","",HYPERLINK(p_ruta_base_checklists&amp;$AR202,"abrir"))</f>
        <v/>
      </c>
      <c r="AT202" s="4" t="n"/>
      <c r="AU202" s="24">
        <f>IF($A202="","",$A202&amp;IF($B202="","0010",$B202))</f>
        <v/>
      </c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41" t="n"/>
      <c r="K203" s="5" t="n"/>
      <c r="L203" s="18" t="n"/>
      <c r="M203" s="24">
        <f>IF($A203="","",IFERROR(INDEX('AJUSTES'!$B$4:$B$303,MATCH($AU203,'AJUSTES'!$A$4:$A$303,0)),IF($K203="","",$K203)))</f>
        <v/>
      </c>
      <c r="N203" s="24">
        <f>IF($A203="","",IFERROR(INDEX('CAT_ESTADOS_ERP'!$B$4:$B$22,MATCH(IFERROR(INDEX('2_IMPORTAR_EJECUCION'!$C$9:$C$1208,MATCH($AU203,'2_IMPORTAR_EJECUCION'!$J$9:$J$1208,0)),""),'CAT_ESTADOS_ERP'!$A$4:$A$22,0)),"Pendiente"))</f>
        <v/>
      </c>
      <c r="O203" s="24">
        <f>IF($J203="","",YEAR($J203+4-WEEKDAY($J203,2))&amp;"-S"&amp;TEXT(_xlfn.ISOWEEKNUM($J203),"00"))</f>
        <v/>
      </c>
      <c r="P203" s="24">
        <f>IF($J203="","",YEAR($J203))</f>
        <v/>
      </c>
      <c r="Q203" s="24">
        <f>IF($J203="","",MONTH($J203))</f>
        <v/>
      </c>
      <c r="R203" s="24">
        <f>IF($J203="","",$P203&amp;"-"&amp;TEXT($Q203,"00"))</f>
        <v/>
      </c>
      <c r="S203" s="24">
        <f>IF($J203="","",INDEX(lista_dias,WEEKDAY($J203,2)))</f>
        <v/>
      </c>
      <c r="T203" s="24">
        <f>IF($J203="","",IFERROR(INDEX('CALENDARIO'!$C$15:$C$214,MATCH(TEXT($J203,"yyyy-mm-dd")&amp;"|"&amp;$Y203&amp;"|"&amp;$Z203,'CALENDARIO'!$G$15:$G$214,0)),IFERROR(INDEX('CALENDARIO'!$C$15:$C$214,MATCH(TEXT($J203,"yyyy-mm-dd")&amp;"|"&amp;$Y203&amp;"|",'CALENDARIO'!$G$15:$G$214,0)),IFERROR(INDEX('CALENDARIO'!$C$15:$C$214,MATCH(TEXT($J203,"yyyy-mm-dd")&amp;"||",'CALENDARIO'!$G$15:$G$214,0)),INDEX(patronHabil,WEEKDAY($J203,2))))))</f>
        <v/>
      </c>
      <c r="U203" s="24">
        <f>IF($I203="","",IFERROR(INDEX('CAT_TIPOS_OT'!$C$4:$C$23,MATCH($I203,'CAT_TIPOS_OT'!$A$4:$A$23,0)),"sin_clasificar"))</f>
        <v/>
      </c>
      <c r="V203" s="24">
        <f>IF($I203="","",IF(IFERROR(INDEX('CAT_TIPOS_OT'!$D$4:$D$23,MATCH($I203,'CAT_TIPOS_OT'!$A$4:$A$23,0)),"SIN CLASIFICAR")="","SIN CLASIFICAR",IFERROR(INDEX('CAT_TIPOS_OT'!$D$4:$D$23,MATCH($I203,'CAT_TIPOS_OT'!$A$4:$A$23,0)),"SIN CLASIFICAR")))</f>
        <v/>
      </c>
      <c r="W203" s="24">
        <f>IF($H203="","",IF(IFERROR(INDEX('CAT_ACTIVIDADES'!$F$4:$F$26,MATCH($H203,'CAT_ACTIVIDADES'!$A$4:$A$26,0)),"")=0,"",IFERROR(INDEX('CAT_ACTIVIDADES'!$F$4:$F$26,MATCH($H203,'CAT_ACTIVIDADES'!$A$4:$A$26,0)),"")))</f>
        <v/>
      </c>
      <c r="X203" s="24">
        <f>IF($F203="","",IFERROR(INDEX('CAT_CENTROS_COSTO'!$F$4:$F$28,MATCH($F203,'CAT_CENTROS_COSTO'!$A$4:$A$28,0)),"(sin catálogo)"))</f>
        <v/>
      </c>
      <c r="Y203" s="24">
        <f>IF($F203="","",IFERROR(INDEX('CAT_CENTROS_COSTO'!$D$4:$D$28,MATCH($F203,'CAT_CENTROS_COSTO'!$A$4:$A$28,0)),"(sin catálogo)"))</f>
        <v/>
      </c>
      <c r="Z203" s="24">
        <f>IF($F203="","",IF((IFERROR(INDEX('CAT_CENTROS_COSTO'!$E$4:$E$28,MATCH($F203,'CAT_CENTROS_COSTO'!$A$4:$A$28,0)),""))&lt;&gt;"",IFERROR(INDEX('CAT_CENTROS_COSTO'!$E$4:$E$28,MATCH($F203,'CAT_CENTROS_COSTO'!$A$4:$A$28,0)),""),$Y203))</f>
        <v/>
      </c>
      <c r="AA203" s="24">
        <f>IF($F203="","",IFERROR(INDEX('CAT_CENTROS_COSTO'!$G$4:$G$28,MATCH($F203,'CAT_CENTROS_COSTO'!$A$4:$A$28,0)),"(sin catálogo)"))</f>
        <v/>
      </c>
      <c r="AB203" s="24">
        <f>IF($G203="","",IFERROR(INDEX('CAT_PUESTOS'!$B$4:$B$23,MATCH($G203,'CAT_PUESTOS'!$A$4:$A$23,0)),"(sin catálogo)"))</f>
        <v/>
      </c>
      <c r="AC203" s="24">
        <f>IF($H203="","",IFERROR(INDEX('CAT_ACTIVIDADES'!$B$4:$B$26,MATCH($H203,'CAT_ACTIVIDADES'!$A$4:$A$26,0)),"(sin catálogo)"))</f>
        <v/>
      </c>
      <c r="AD203" s="26">
        <f>IF($J203="","",TODAY()-$J203)</f>
        <v/>
      </c>
      <c r="AE203" s="26">
        <f>IF($J203="","",IF($J203&lt;=TODAY(),COUNTIFS(cal_fechas,"&gt;="&amp;$J203,cal_fechas,"&lt;"&amp;TODAY(),cal_habil,"sí"),-COUNTIFS(cal_fechas,"&gt;="&amp;TODAY(),cal_fechas,"&lt;"&amp;$J203,cal_habil,"sí")))</f>
        <v/>
      </c>
      <c r="AF203" s="24">
        <f>IF($AE203="","",IF($AE203&lt;0,"FUTURO",IF($AE203&gt;p_dias_backlog_max,"BACKLOG","MES CORRIENTE")))</f>
        <v/>
      </c>
      <c r="AG203" s="24">
        <f>IF($AE203="",FALSE,AND($AE203&gt;p_dias_backlog_min,$AE203&lt;=p_dias_backlog_max))</f>
        <v/>
      </c>
      <c r="AH203" s="4" t="n"/>
      <c r="AI203" s="24">
        <f>IF($AH203="","",IF((IFERROR(INDEX('ASIGNACIONES'!$J$4:$J$451,MATCH($O203&amp;"|"&amp;$S203&amp;"|"&amp;$AH203,'ASIGNACIONES'!$N$4:$N$451,0)),""))=0,"",IFERROR(INDEX('ASIGNACIONES'!$J$4:$J$451,MATCH($O203&amp;"|"&amp;$S203&amp;"|"&amp;$AH203,'ASIGNACIONES'!$N$4:$N$451,0)),"")))</f>
        <v/>
      </c>
      <c r="AJ203" s="42">
        <f>IF($AH203="","",SUMIFS('ORDENES'!$M$4:$M$1203,'ORDENES'!$AH$4:$AH$1203,$AH203,'ORDENES'!$O$4:$O$1203,$O203,'ORDENES'!$S$4:$S$1203,$S203))</f>
        <v/>
      </c>
      <c r="AK203" s="42">
        <f>IF($AJ203="","",p_factor_productividad*IFERROR(INDEX('ASIGNACIONES'!$M$4:$M$451,MATCH($O203&amp;"|"&amp;$S203&amp;"|"&amp;$AH203,'ASIGNACIONES'!$N$4:$N$451,0)),0)-$AJ203)</f>
        <v/>
      </c>
      <c r="AL203" s="32">
        <f>IF($A203="","",IFERROR(INDEX('2_IMPORTAR_EJECUCION'!$F$9:$F$1208,MATCH($AU203,'2_IMPORTAR_EJECUCION'!$J$9:$J$1208,0)),0))</f>
        <v/>
      </c>
      <c r="AM203" s="32">
        <f>IF($A203="","",MAX(0,IFERROR(INDEX('2_IMPORTAR_EJECUCION'!$H$9:$H$1208,MATCH($AU203,'2_IMPORTAR_EJECUCION'!$J$9:$J$1208,0)),0)-$AL203))</f>
        <v/>
      </c>
      <c r="AN203" s="32">
        <f>IF($A203="","",$AL203+$AM203)</f>
        <v/>
      </c>
      <c r="AO203" s="24">
        <f>IF($A203="","",IF(OR((IFERROR(INDEX('CAT_ACTIVIDADES'!$D$4:$D$26,MATCH($H203,'CAT_ACTIVIDADES'!$A$4:$A$26,0)),""))=0,(IFERROR(INDEX('CAT_ACTIVIDADES'!$D$4:$D$26,MATCH($H203,'CAT_ACTIVIDADES'!$A$4:$A$26,0)),""))=""),"SIN CLASIFICAR",IFERROR(INDEX('CAT_ACTIVIDADES'!$D$4:$D$26,MATCH($H203,'CAT_ACTIVIDADES'!$A$4:$A$26,0)),"")))</f>
        <v/>
      </c>
      <c r="AP203" s="4" t="n"/>
      <c r="AQ203" s="4" t="n"/>
      <c r="AR203" s="4" t="n"/>
      <c r="AS203" s="24">
        <f>IF($AR203="","",HYPERLINK(p_ruta_base_checklists&amp;$AR203,"abrir"))</f>
        <v/>
      </c>
      <c r="AT203" s="4" t="n"/>
      <c r="AU203" s="24">
        <f>IF($A203="","",$A203&amp;IF($B203="","0010",$B203))</f>
        <v/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41" t="n"/>
      <c r="K204" s="5" t="n"/>
      <c r="L204" s="18" t="n"/>
      <c r="M204" s="24">
        <f>IF($A204="","",IFERROR(INDEX('AJUSTES'!$B$4:$B$303,MATCH($AU204,'AJUSTES'!$A$4:$A$303,0)),IF($K204="","",$K204)))</f>
        <v/>
      </c>
      <c r="N204" s="24">
        <f>IF($A204="","",IFERROR(INDEX('CAT_ESTADOS_ERP'!$B$4:$B$22,MATCH(IFERROR(INDEX('2_IMPORTAR_EJECUCION'!$C$9:$C$1208,MATCH($AU204,'2_IMPORTAR_EJECUCION'!$J$9:$J$1208,0)),""),'CAT_ESTADOS_ERP'!$A$4:$A$22,0)),"Pendiente"))</f>
        <v/>
      </c>
      <c r="O204" s="24">
        <f>IF($J204="","",YEAR($J204+4-WEEKDAY($J204,2))&amp;"-S"&amp;TEXT(_xlfn.ISOWEEKNUM($J204),"00"))</f>
        <v/>
      </c>
      <c r="P204" s="24">
        <f>IF($J204="","",YEAR($J204))</f>
        <v/>
      </c>
      <c r="Q204" s="24">
        <f>IF($J204="","",MONTH($J204))</f>
        <v/>
      </c>
      <c r="R204" s="24">
        <f>IF($J204="","",$P204&amp;"-"&amp;TEXT($Q204,"00"))</f>
        <v/>
      </c>
      <c r="S204" s="24">
        <f>IF($J204="","",INDEX(lista_dias,WEEKDAY($J204,2)))</f>
        <v/>
      </c>
      <c r="T204" s="24">
        <f>IF($J204="","",IFERROR(INDEX('CALENDARIO'!$C$15:$C$214,MATCH(TEXT($J204,"yyyy-mm-dd")&amp;"|"&amp;$Y204&amp;"|"&amp;$Z204,'CALENDARIO'!$G$15:$G$214,0)),IFERROR(INDEX('CALENDARIO'!$C$15:$C$214,MATCH(TEXT($J204,"yyyy-mm-dd")&amp;"|"&amp;$Y204&amp;"|",'CALENDARIO'!$G$15:$G$214,0)),IFERROR(INDEX('CALENDARIO'!$C$15:$C$214,MATCH(TEXT($J204,"yyyy-mm-dd")&amp;"||",'CALENDARIO'!$G$15:$G$214,0)),INDEX(patronHabil,WEEKDAY($J204,2))))))</f>
        <v/>
      </c>
      <c r="U204" s="24">
        <f>IF($I204="","",IFERROR(INDEX('CAT_TIPOS_OT'!$C$4:$C$23,MATCH($I204,'CAT_TIPOS_OT'!$A$4:$A$23,0)),"sin_clasificar"))</f>
        <v/>
      </c>
      <c r="V204" s="24">
        <f>IF($I204="","",IF(IFERROR(INDEX('CAT_TIPOS_OT'!$D$4:$D$23,MATCH($I204,'CAT_TIPOS_OT'!$A$4:$A$23,0)),"SIN CLASIFICAR")="","SIN CLASIFICAR",IFERROR(INDEX('CAT_TIPOS_OT'!$D$4:$D$23,MATCH($I204,'CAT_TIPOS_OT'!$A$4:$A$23,0)),"SIN CLASIFICAR")))</f>
        <v/>
      </c>
      <c r="W204" s="24">
        <f>IF($H204="","",IF(IFERROR(INDEX('CAT_ACTIVIDADES'!$F$4:$F$26,MATCH($H204,'CAT_ACTIVIDADES'!$A$4:$A$26,0)),"")=0,"",IFERROR(INDEX('CAT_ACTIVIDADES'!$F$4:$F$26,MATCH($H204,'CAT_ACTIVIDADES'!$A$4:$A$26,0)),"")))</f>
        <v/>
      </c>
      <c r="X204" s="24">
        <f>IF($F204="","",IFERROR(INDEX('CAT_CENTROS_COSTO'!$F$4:$F$28,MATCH($F204,'CAT_CENTROS_COSTO'!$A$4:$A$28,0)),"(sin catálogo)"))</f>
        <v/>
      </c>
      <c r="Y204" s="24">
        <f>IF($F204="","",IFERROR(INDEX('CAT_CENTROS_COSTO'!$D$4:$D$28,MATCH($F204,'CAT_CENTROS_COSTO'!$A$4:$A$28,0)),"(sin catálogo)"))</f>
        <v/>
      </c>
      <c r="Z204" s="24">
        <f>IF($F204="","",IF((IFERROR(INDEX('CAT_CENTROS_COSTO'!$E$4:$E$28,MATCH($F204,'CAT_CENTROS_COSTO'!$A$4:$A$28,0)),""))&lt;&gt;"",IFERROR(INDEX('CAT_CENTROS_COSTO'!$E$4:$E$28,MATCH($F204,'CAT_CENTROS_COSTO'!$A$4:$A$28,0)),""),$Y204))</f>
        <v/>
      </c>
      <c r="AA204" s="24">
        <f>IF($F204="","",IFERROR(INDEX('CAT_CENTROS_COSTO'!$G$4:$G$28,MATCH($F204,'CAT_CENTROS_COSTO'!$A$4:$A$28,0)),"(sin catálogo)"))</f>
        <v/>
      </c>
      <c r="AB204" s="24">
        <f>IF($G204="","",IFERROR(INDEX('CAT_PUESTOS'!$B$4:$B$23,MATCH($G204,'CAT_PUESTOS'!$A$4:$A$23,0)),"(sin catálogo)"))</f>
        <v/>
      </c>
      <c r="AC204" s="24">
        <f>IF($H204="","",IFERROR(INDEX('CAT_ACTIVIDADES'!$B$4:$B$26,MATCH($H204,'CAT_ACTIVIDADES'!$A$4:$A$26,0)),"(sin catálogo)"))</f>
        <v/>
      </c>
      <c r="AD204" s="26">
        <f>IF($J204="","",TODAY()-$J204)</f>
        <v/>
      </c>
      <c r="AE204" s="26">
        <f>IF($J204="","",IF($J204&lt;=TODAY(),COUNTIFS(cal_fechas,"&gt;="&amp;$J204,cal_fechas,"&lt;"&amp;TODAY(),cal_habil,"sí"),-COUNTIFS(cal_fechas,"&gt;="&amp;TODAY(),cal_fechas,"&lt;"&amp;$J204,cal_habil,"sí")))</f>
        <v/>
      </c>
      <c r="AF204" s="24">
        <f>IF($AE204="","",IF($AE204&lt;0,"FUTURO",IF($AE204&gt;p_dias_backlog_max,"BACKLOG","MES CORRIENTE")))</f>
        <v/>
      </c>
      <c r="AG204" s="24">
        <f>IF($AE204="",FALSE,AND($AE204&gt;p_dias_backlog_min,$AE204&lt;=p_dias_backlog_max))</f>
        <v/>
      </c>
      <c r="AH204" s="4" t="n"/>
      <c r="AI204" s="24">
        <f>IF($AH204="","",IF((IFERROR(INDEX('ASIGNACIONES'!$J$4:$J$451,MATCH($O204&amp;"|"&amp;$S204&amp;"|"&amp;$AH204,'ASIGNACIONES'!$N$4:$N$451,0)),""))=0,"",IFERROR(INDEX('ASIGNACIONES'!$J$4:$J$451,MATCH($O204&amp;"|"&amp;$S204&amp;"|"&amp;$AH204,'ASIGNACIONES'!$N$4:$N$451,0)),"")))</f>
        <v/>
      </c>
      <c r="AJ204" s="42">
        <f>IF($AH204="","",SUMIFS('ORDENES'!$M$4:$M$1203,'ORDENES'!$AH$4:$AH$1203,$AH204,'ORDENES'!$O$4:$O$1203,$O204,'ORDENES'!$S$4:$S$1203,$S204))</f>
        <v/>
      </c>
      <c r="AK204" s="42">
        <f>IF($AJ204="","",p_factor_productividad*IFERROR(INDEX('ASIGNACIONES'!$M$4:$M$451,MATCH($O204&amp;"|"&amp;$S204&amp;"|"&amp;$AH204,'ASIGNACIONES'!$N$4:$N$451,0)),0)-$AJ204)</f>
        <v/>
      </c>
      <c r="AL204" s="32">
        <f>IF($A204="","",IFERROR(INDEX('2_IMPORTAR_EJECUCION'!$F$9:$F$1208,MATCH($AU204,'2_IMPORTAR_EJECUCION'!$J$9:$J$1208,0)),0))</f>
        <v/>
      </c>
      <c r="AM204" s="32">
        <f>IF($A204="","",MAX(0,IFERROR(INDEX('2_IMPORTAR_EJECUCION'!$H$9:$H$1208,MATCH($AU204,'2_IMPORTAR_EJECUCION'!$J$9:$J$1208,0)),0)-$AL204))</f>
        <v/>
      </c>
      <c r="AN204" s="32">
        <f>IF($A204="","",$AL204+$AM204)</f>
        <v/>
      </c>
      <c r="AO204" s="24">
        <f>IF($A204="","",IF(OR((IFERROR(INDEX('CAT_ACTIVIDADES'!$D$4:$D$26,MATCH($H204,'CAT_ACTIVIDADES'!$A$4:$A$26,0)),""))=0,(IFERROR(INDEX('CAT_ACTIVIDADES'!$D$4:$D$26,MATCH($H204,'CAT_ACTIVIDADES'!$A$4:$A$26,0)),""))=""),"SIN CLASIFICAR",IFERROR(INDEX('CAT_ACTIVIDADES'!$D$4:$D$26,MATCH($H204,'CAT_ACTIVIDADES'!$A$4:$A$26,0)),"")))</f>
        <v/>
      </c>
      <c r="AP204" s="4" t="n"/>
      <c r="AQ204" s="4" t="n"/>
      <c r="AR204" s="4" t="n"/>
      <c r="AS204" s="24">
        <f>IF($AR204="","",HYPERLINK(p_ruta_base_checklists&amp;$AR204,"abrir"))</f>
        <v/>
      </c>
      <c r="AT204" s="4" t="n"/>
      <c r="AU204" s="24">
        <f>IF($A204="","",$A204&amp;IF($B204="","0010",$B204))</f>
        <v/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41" t="n"/>
      <c r="K205" s="5" t="n"/>
      <c r="L205" s="18" t="n"/>
      <c r="M205" s="24">
        <f>IF($A205="","",IFERROR(INDEX('AJUSTES'!$B$4:$B$303,MATCH($AU205,'AJUSTES'!$A$4:$A$303,0)),IF($K205="","",$K205)))</f>
        <v/>
      </c>
      <c r="N205" s="24">
        <f>IF($A205="","",IFERROR(INDEX('CAT_ESTADOS_ERP'!$B$4:$B$22,MATCH(IFERROR(INDEX('2_IMPORTAR_EJECUCION'!$C$9:$C$1208,MATCH($AU205,'2_IMPORTAR_EJECUCION'!$J$9:$J$1208,0)),""),'CAT_ESTADOS_ERP'!$A$4:$A$22,0)),"Pendiente"))</f>
        <v/>
      </c>
      <c r="O205" s="24">
        <f>IF($J205="","",YEAR($J205+4-WEEKDAY($J205,2))&amp;"-S"&amp;TEXT(_xlfn.ISOWEEKNUM($J205),"00"))</f>
        <v/>
      </c>
      <c r="P205" s="24">
        <f>IF($J205="","",YEAR($J205))</f>
        <v/>
      </c>
      <c r="Q205" s="24">
        <f>IF($J205="","",MONTH($J205))</f>
        <v/>
      </c>
      <c r="R205" s="24">
        <f>IF($J205="","",$P205&amp;"-"&amp;TEXT($Q205,"00"))</f>
        <v/>
      </c>
      <c r="S205" s="24">
        <f>IF($J205="","",INDEX(lista_dias,WEEKDAY($J205,2)))</f>
        <v/>
      </c>
      <c r="T205" s="24">
        <f>IF($J205="","",IFERROR(INDEX('CALENDARIO'!$C$15:$C$214,MATCH(TEXT($J205,"yyyy-mm-dd")&amp;"|"&amp;$Y205&amp;"|"&amp;$Z205,'CALENDARIO'!$G$15:$G$214,0)),IFERROR(INDEX('CALENDARIO'!$C$15:$C$214,MATCH(TEXT($J205,"yyyy-mm-dd")&amp;"|"&amp;$Y205&amp;"|",'CALENDARIO'!$G$15:$G$214,0)),IFERROR(INDEX('CALENDARIO'!$C$15:$C$214,MATCH(TEXT($J205,"yyyy-mm-dd")&amp;"||",'CALENDARIO'!$G$15:$G$214,0)),INDEX(patronHabil,WEEKDAY($J205,2))))))</f>
        <v/>
      </c>
      <c r="U205" s="24">
        <f>IF($I205="","",IFERROR(INDEX('CAT_TIPOS_OT'!$C$4:$C$23,MATCH($I205,'CAT_TIPOS_OT'!$A$4:$A$23,0)),"sin_clasificar"))</f>
        <v/>
      </c>
      <c r="V205" s="24">
        <f>IF($I205="","",IF(IFERROR(INDEX('CAT_TIPOS_OT'!$D$4:$D$23,MATCH($I205,'CAT_TIPOS_OT'!$A$4:$A$23,0)),"SIN CLASIFICAR")="","SIN CLASIFICAR",IFERROR(INDEX('CAT_TIPOS_OT'!$D$4:$D$23,MATCH($I205,'CAT_TIPOS_OT'!$A$4:$A$23,0)),"SIN CLASIFICAR")))</f>
        <v/>
      </c>
      <c r="W205" s="24">
        <f>IF($H205="","",IF(IFERROR(INDEX('CAT_ACTIVIDADES'!$F$4:$F$26,MATCH($H205,'CAT_ACTIVIDADES'!$A$4:$A$26,0)),"")=0,"",IFERROR(INDEX('CAT_ACTIVIDADES'!$F$4:$F$26,MATCH($H205,'CAT_ACTIVIDADES'!$A$4:$A$26,0)),"")))</f>
        <v/>
      </c>
      <c r="X205" s="24">
        <f>IF($F205="","",IFERROR(INDEX('CAT_CENTROS_COSTO'!$F$4:$F$28,MATCH($F205,'CAT_CENTROS_COSTO'!$A$4:$A$28,0)),"(sin catálogo)"))</f>
        <v/>
      </c>
      <c r="Y205" s="24">
        <f>IF($F205="","",IFERROR(INDEX('CAT_CENTROS_COSTO'!$D$4:$D$28,MATCH($F205,'CAT_CENTROS_COSTO'!$A$4:$A$28,0)),"(sin catálogo)"))</f>
        <v/>
      </c>
      <c r="Z205" s="24">
        <f>IF($F205="","",IF((IFERROR(INDEX('CAT_CENTROS_COSTO'!$E$4:$E$28,MATCH($F205,'CAT_CENTROS_COSTO'!$A$4:$A$28,0)),""))&lt;&gt;"",IFERROR(INDEX('CAT_CENTROS_COSTO'!$E$4:$E$28,MATCH($F205,'CAT_CENTROS_COSTO'!$A$4:$A$28,0)),""),$Y205))</f>
        <v/>
      </c>
      <c r="AA205" s="24">
        <f>IF($F205="","",IFERROR(INDEX('CAT_CENTROS_COSTO'!$G$4:$G$28,MATCH($F205,'CAT_CENTROS_COSTO'!$A$4:$A$28,0)),"(sin catálogo)"))</f>
        <v/>
      </c>
      <c r="AB205" s="24">
        <f>IF($G205="","",IFERROR(INDEX('CAT_PUESTOS'!$B$4:$B$23,MATCH($G205,'CAT_PUESTOS'!$A$4:$A$23,0)),"(sin catálogo)"))</f>
        <v/>
      </c>
      <c r="AC205" s="24">
        <f>IF($H205="","",IFERROR(INDEX('CAT_ACTIVIDADES'!$B$4:$B$26,MATCH($H205,'CAT_ACTIVIDADES'!$A$4:$A$26,0)),"(sin catálogo)"))</f>
        <v/>
      </c>
      <c r="AD205" s="26">
        <f>IF($J205="","",TODAY()-$J205)</f>
        <v/>
      </c>
      <c r="AE205" s="26">
        <f>IF($J205="","",IF($J205&lt;=TODAY(),COUNTIFS(cal_fechas,"&gt;="&amp;$J205,cal_fechas,"&lt;"&amp;TODAY(),cal_habil,"sí"),-COUNTIFS(cal_fechas,"&gt;="&amp;TODAY(),cal_fechas,"&lt;"&amp;$J205,cal_habil,"sí")))</f>
        <v/>
      </c>
      <c r="AF205" s="24">
        <f>IF($AE205="","",IF($AE205&lt;0,"FUTURO",IF($AE205&gt;p_dias_backlog_max,"BACKLOG","MES CORRIENTE")))</f>
        <v/>
      </c>
      <c r="AG205" s="24">
        <f>IF($AE205="",FALSE,AND($AE205&gt;p_dias_backlog_min,$AE205&lt;=p_dias_backlog_max))</f>
        <v/>
      </c>
      <c r="AH205" s="4" t="n"/>
      <c r="AI205" s="24">
        <f>IF($AH205="","",IF((IFERROR(INDEX('ASIGNACIONES'!$J$4:$J$451,MATCH($O205&amp;"|"&amp;$S205&amp;"|"&amp;$AH205,'ASIGNACIONES'!$N$4:$N$451,0)),""))=0,"",IFERROR(INDEX('ASIGNACIONES'!$J$4:$J$451,MATCH($O205&amp;"|"&amp;$S205&amp;"|"&amp;$AH205,'ASIGNACIONES'!$N$4:$N$451,0)),"")))</f>
        <v/>
      </c>
      <c r="AJ205" s="42">
        <f>IF($AH205="","",SUMIFS('ORDENES'!$M$4:$M$1203,'ORDENES'!$AH$4:$AH$1203,$AH205,'ORDENES'!$O$4:$O$1203,$O205,'ORDENES'!$S$4:$S$1203,$S205))</f>
        <v/>
      </c>
      <c r="AK205" s="42">
        <f>IF($AJ205="","",p_factor_productividad*IFERROR(INDEX('ASIGNACIONES'!$M$4:$M$451,MATCH($O205&amp;"|"&amp;$S205&amp;"|"&amp;$AH205,'ASIGNACIONES'!$N$4:$N$451,0)),0)-$AJ205)</f>
        <v/>
      </c>
      <c r="AL205" s="32">
        <f>IF($A205="","",IFERROR(INDEX('2_IMPORTAR_EJECUCION'!$F$9:$F$1208,MATCH($AU205,'2_IMPORTAR_EJECUCION'!$J$9:$J$1208,0)),0))</f>
        <v/>
      </c>
      <c r="AM205" s="32">
        <f>IF($A205="","",MAX(0,IFERROR(INDEX('2_IMPORTAR_EJECUCION'!$H$9:$H$1208,MATCH($AU205,'2_IMPORTAR_EJECUCION'!$J$9:$J$1208,0)),0)-$AL205))</f>
        <v/>
      </c>
      <c r="AN205" s="32">
        <f>IF($A205="","",$AL205+$AM205)</f>
        <v/>
      </c>
      <c r="AO205" s="24">
        <f>IF($A205="","",IF(OR((IFERROR(INDEX('CAT_ACTIVIDADES'!$D$4:$D$26,MATCH($H205,'CAT_ACTIVIDADES'!$A$4:$A$26,0)),""))=0,(IFERROR(INDEX('CAT_ACTIVIDADES'!$D$4:$D$26,MATCH($H205,'CAT_ACTIVIDADES'!$A$4:$A$26,0)),""))=""),"SIN CLASIFICAR",IFERROR(INDEX('CAT_ACTIVIDADES'!$D$4:$D$26,MATCH($H205,'CAT_ACTIVIDADES'!$A$4:$A$26,0)),"")))</f>
        <v/>
      </c>
      <c r="AP205" s="4" t="n"/>
      <c r="AQ205" s="4" t="n"/>
      <c r="AR205" s="4" t="n"/>
      <c r="AS205" s="24">
        <f>IF($AR205="","",HYPERLINK(p_ruta_base_checklists&amp;$AR205,"abrir"))</f>
        <v/>
      </c>
      <c r="AT205" s="4" t="n"/>
      <c r="AU205" s="24">
        <f>IF($A205="","",$A205&amp;IF($B205="","0010",$B205))</f>
        <v/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41" t="n"/>
      <c r="K206" s="5" t="n"/>
      <c r="L206" s="18" t="n"/>
      <c r="M206" s="24">
        <f>IF($A206="","",IFERROR(INDEX('AJUSTES'!$B$4:$B$303,MATCH($AU206,'AJUSTES'!$A$4:$A$303,0)),IF($K206="","",$K206)))</f>
        <v/>
      </c>
      <c r="N206" s="24">
        <f>IF($A206="","",IFERROR(INDEX('CAT_ESTADOS_ERP'!$B$4:$B$22,MATCH(IFERROR(INDEX('2_IMPORTAR_EJECUCION'!$C$9:$C$1208,MATCH($AU206,'2_IMPORTAR_EJECUCION'!$J$9:$J$1208,0)),""),'CAT_ESTADOS_ERP'!$A$4:$A$22,0)),"Pendiente"))</f>
        <v/>
      </c>
      <c r="O206" s="24">
        <f>IF($J206="","",YEAR($J206+4-WEEKDAY($J206,2))&amp;"-S"&amp;TEXT(_xlfn.ISOWEEKNUM($J206),"00"))</f>
        <v/>
      </c>
      <c r="P206" s="24">
        <f>IF($J206="","",YEAR($J206))</f>
        <v/>
      </c>
      <c r="Q206" s="24">
        <f>IF($J206="","",MONTH($J206))</f>
        <v/>
      </c>
      <c r="R206" s="24">
        <f>IF($J206="","",$P206&amp;"-"&amp;TEXT($Q206,"00"))</f>
        <v/>
      </c>
      <c r="S206" s="24">
        <f>IF($J206="","",INDEX(lista_dias,WEEKDAY($J206,2)))</f>
        <v/>
      </c>
      <c r="T206" s="24">
        <f>IF($J206="","",IFERROR(INDEX('CALENDARIO'!$C$15:$C$214,MATCH(TEXT($J206,"yyyy-mm-dd")&amp;"|"&amp;$Y206&amp;"|"&amp;$Z206,'CALENDARIO'!$G$15:$G$214,0)),IFERROR(INDEX('CALENDARIO'!$C$15:$C$214,MATCH(TEXT($J206,"yyyy-mm-dd")&amp;"|"&amp;$Y206&amp;"|",'CALENDARIO'!$G$15:$G$214,0)),IFERROR(INDEX('CALENDARIO'!$C$15:$C$214,MATCH(TEXT($J206,"yyyy-mm-dd")&amp;"||",'CALENDARIO'!$G$15:$G$214,0)),INDEX(patronHabil,WEEKDAY($J206,2))))))</f>
        <v/>
      </c>
      <c r="U206" s="24">
        <f>IF($I206="","",IFERROR(INDEX('CAT_TIPOS_OT'!$C$4:$C$23,MATCH($I206,'CAT_TIPOS_OT'!$A$4:$A$23,0)),"sin_clasificar"))</f>
        <v/>
      </c>
      <c r="V206" s="24">
        <f>IF($I206="","",IF(IFERROR(INDEX('CAT_TIPOS_OT'!$D$4:$D$23,MATCH($I206,'CAT_TIPOS_OT'!$A$4:$A$23,0)),"SIN CLASIFICAR")="","SIN CLASIFICAR",IFERROR(INDEX('CAT_TIPOS_OT'!$D$4:$D$23,MATCH($I206,'CAT_TIPOS_OT'!$A$4:$A$23,0)),"SIN CLASIFICAR")))</f>
        <v/>
      </c>
      <c r="W206" s="24">
        <f>IF($H206="","",IF(IFERROR(INDEX('CAT_ACTIVIDADES'!$F$4:$F$26,MATCH($H206,'CAT_ACTIVIDADES'!$A$4:$A$26,0)),"")=0,"",IFERROR(INDEX('CAT_ACTIVIDADES'!$F$4:$F$26,MATCH($H206,'CAT_ACTIVIDADES'!$A$4:$A$26,0)),"")))</f>
        <v/>
      </c>
      <c r="X206" s="24">
        <f>IF($F206="","",IFERROR(INDEX('CAT_CENTROS_COSTO'!$F$4:$F$28,MATCH($F206,'CAT_CENTROS_COSTO'!$A$4:$A$28,0)),"(sin catálogo)"))</f>
        <v/>
      </c>
      <c r="Y206" s="24">
        <f>IF($F206="","",IFERROR(INDEX('CAT_CENTROS_COSTO'!$D$4:$D$28,MATCH($F206,'CAT_CENTROS_COSTO'!$A$4:$A$28,0)),"(sin catálogo)"))</f>
        <v/>
      </c>
      <c r="Z206" s="24">
        <f>IF($F206="","",IF((IFERROR(INDEX('CAT_CENTROS_COSTO'!$E$4:$E$28,MATCH($F206,'CAT_CENTROS_COSTO'!$A$4:$A$28,0)),""))&lt;&gt;"",IFERROR(INDEX('CAT_CENTROS_COSTO'!$E$4:$E$28,MATCH($F206,'CAT_CENTROS_COSTO'!$A$4:$A$28,0)),""),$Y206))</f>
        <v/>
      </c>
      <c r="AA206" s="24">
        <f>IF($F206="","",IFERROR(INDEX('CAT_CENTROS_COSTO'!$G$4:$G$28,MATCH($F206,'CAT_CENTROS_COSTO'!$A$4:$A$28,0)),"(sin catálogo)"))</f>
        <v/>
      </c>
      <c r="AB206" s="24">
        <f>IF($G206="","",IFERROR(INDEX('CAT_PUESTOS'!$B$4:$B$23,MATCH($G206,'CAT_PUESTOS'!$A$4:$A$23,0)),"(sin catálogo)"))</f>
        <v/>
      </c>
      <c r="AC206" s="24">
        <f>IF($H206="","",IFERROR(INDEX('CAT_ACTIVIDADES'!$B$4:$B$26,MATCH($H206,'CAT_ACTIVIDADES'!$A$4:$A$26,0)),"(sin catálogo)"))</f>
        <v/>
      </c>
      <c r="AD206" s="26">
        <f>IF($J206="","",TODAY()-$J206)</f>
        <v/>
      </c>
      <c r="AE206" s="26">
        <f>IF($J206="","",IF($J206&lt;=TODAY(),COUNTIFS(cal_fechas,"&gt;="&amp;$J206,cal_fechas,"&lt;"&amp;TODAY(),cal_habil,"sí"),-COUNTIFS(cal_fechas,"&gt;="&amp;TODAY(),cal_fechas,"&lt;"&amp;$J206,cal_habil,"sí")))</f>
        <v/>
      </c>
      <c r="AF206" s="24">
        <f>IF($AE206="","",IF($AE206&lt;0,"FUTURO",IF($AE206&gt;p_dias_backlog_max,"BACKLOG","MES CORRIENTE")))</f>
        <v/>
      </c>
      <c r="AG206" s="24">
        <f>IF($AE206="",FALSE,AND($AE206&gt;p_dias_backlog_min,$AE206&lt;=p_dias_backlog_max))</f>
        <v/>
      </c>
      <c r="AH206" s="4" t="n"/>
      <c r="AI206" s="24">
        <f>IF($AH206="","",IF((IFERROR(INDEX('ASIGNACIONES'!$J$4:$J$451,MATCH($O206&amp;"|"&amp;$S206&amp;"|"&amp;$AH206,'ASIGNACIONES'!$N$4:$N$451,0)),""))=0,"",IFERROR(INDEX('ASIGNACIONES'!$J$4:$J$451,MATCH($O206&amp;"|"&amp;$S206&amp;"|"&amp;$AH206,'ASIGNACIONES'!$N$4:$N$451,0)),"")))</f>
        <v/>
      </c>
      <c r="AJ206" s="42">
        <f>IF($AH206="","",SUMIFS('ORDENES'!$M$4:$M$1203,'ORDENES'!$AH$4:$AH$1203,$AH206,'ORDENES'!$O$4:$O$1203,$O206,'ORDENES'!$S$4:$S$1203,$S206))</f>
        <v/>
      </c>
      <c r="AK206" s="42">
        <f>IF($AJ206="","",p_factor_productividad*IFERROR(INDEX('ASIGNACIONES'!$M$4:$M$451,MATCH($O206&amp;"|"&amp;$S206&amp;"|"&amp;$AH206,'ASIGNACIONES'!$N$4:$N$451,0)),0)-$AJ206)</f>
        <v/>
      </c>
      <c r="AL206" s="32">
        <f>IF($A206="","",IFERROR(INDEX('2_IMPORTAR_EJECUCION'!$F$9:$F$1208,MATCH($AU206,'2_IMPORTAR_EJECUCION'!$J$9:$J$1208,0)),0))</f>
        <v/>
      </c>
      <c r="AM206" s="32">
        <f>IF($A206="","",MAX(0,IFERROR(INDEX('2_IMPORTAR_EJECUCION'!$H$9:$H$1208,MATCH($AU206,'2_IMPORTAR_EJECUCION'!$J$9:$J$1208,0)),0)-$AL206))</f>
        <v/>
      </c>
      <c r="AN206" s="32">
        <f>IF($A206="","",$AL206+$AM206)</f>
        <v/>
      </c>
      <c r="AO206" s="24">
        <f>IF($A206="","",IF(OR((IFERROR(INDEX('CAT_ACTIVIDADES'!$D$4:$D$26,MATCH($H206,'CAT_ACTIVIDADES'!$A$4:$A$26,0)),""))=0,(IFERROR(INDEX('CAT_ACTIVIDADES'!$D$4:$D$26,MATCH($H206,'CAT_ACTIVIDADES'!$A$4:$A$26,0)),""))=""),"SIN CLASIFICAR",IFERROR(INDEX('CAT_ACTIVIDADES'!$D$4:$D$26,MATCH($H206,'CAT_ACTIVIDADES'!$A$4:$A$26,0)),"")))</f>
        <v/>
      </c>
      <c r="AP206" s="4" t="n"/>
      <c r="AQ206" s="4" t="n"/>
      <c r="AR206" s="4" t="n"/>
      <c r="AS206" s="24">
        <f>IF($AR206="","",HYPERLINK(p_ruta_base_checklists&amp;$AR206,"abrir"))</f>
        <v/>
      </c>
      <c r="AT206" s="4" t="n"/>
      <c r="AU206" s="24">
        <f>IF($A206="","",$A206&amp;IF($B206="","0010",$B206))</f>
        <v/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41" t="n"/>
      <c r="K207" s="5" t="n"/>
      <c r="L207" s="18" t="n"/>
      <c r="M207" s="24">
        <f>IF($A207="","",IFERROR(INDEX('AJUSTES'!$B$4:$B$303,MATCH($AU207,'AJUSTES'!$A$4:$A$303,0)),IF($K207="","",$K207)))</f>
        <v/>
      </c>
      <c r="N207" s="24">
        <f>IF($A207="","",IFERROR(INDEX('CAT_ESTADOS_ERP'!$B$4:$B$22,MATCH(IFERROR(INDEX('2_IMPORTAR_EJECUCION'!$C$9:$C$1208,MATCH($AU207,'2_IMPORTAR_EJECUCION'!$J$9:$J$1208,0)),""),'CAT_ESTADOS_ERP'!$A$4:$A$22,0)),"Pendiente"))</f>
        <v/>
      </c>
      <c r="O207" s="24">
        <f>IF($J207="","",YEAR($J207+4-WEEKDAY($J207,2))&amp;"-S"&amp;TEXT(_xlfn.ISOWEEKNUM($J207),"00"))</f>
        <v/>
      </c>
      <c r="P207" s="24">
        <f>IF($J207="","",YEAR($J207))</f>
        <v/>
      </c>
      <c r="Q207" s="24">
        <f>IF($J207="","",MONTH($J207))</f>
        <v/>
      </c>
      <c r="R207" s="24">
        <f>IF($J207="","",$P207&amp;"-"&amp;TEXT($Q207,"00"))</f>
        <v/>
      </c>
      <c r="S207" s="24">
        <f>IF($J207="","",INDEX(lista_dias,WEEKDAY($J207,2)))</f>
        <v/>
      </c>
      <c r="T207" s="24">
        <f>IF($J207="","",IFERROR(INDEX('CALENDARIO'!$C$15:$C$214,MATCH(TEXT($J207,"yyyy-mm-dd")&amp;"|"&amp;$Y207&amp;"|"&amp;$Z207,'CALENDARIO'!$G$15:$G$214,0)),IFERROR(INDEX('CALENDARIO'!$C$15:$C$214,MATCH(TEXT($J207,"yyyy-mm-dd")&amp;"|"&amp;$Y207&amp;"|",'CALENDARIO'!$G$15:$G$214,0)),IFERROR(INDEX('CALENDARIO'!$C$15:$C$214,MATCH(TEXT($J207,"yyyy-mm-dd")&amp;"||",'CALENDARIO'!$G$15:$G$214,0)),INDEX(patronHabil,WEEKDAY($J207,2))))))</f>
        <v/>
      </c>
      <c r="U207" s="24">
        <f>IF($I207="","",IFERROR(INDEX('CAT_TIPOS_OT'!$C$4:$C$23,MATCH($I207,'CAT_TIPOS_OT'!$A$4:$A$23,0)),"sin_clasificar"))</f>
        <v/>
      </c>
      <c r="V207" s="24">
        <f>IF($I207="","",IF(IFERROR(INDEX('CAT_TIPOS_OT'!$D$4:$D$23,MATCH($I207,'CAT_TIPOS_OT'!$A$4:$A$23,0)),"SIN CLASIFICAR")="","SIN CLASIFICAR",IFERROR(INDEX('CAT_TIPOS_OT'!$D$4:$D$23,MATCH($I207,'CAT_TIPOS_OT'!$A$4:$A$23,0)),"SIN CLASIFICAR")))</f>
        <v/>
      </c>
      <c r="W207" s="24">
        <f>IF($H207="","",IF(IFERROR(INDEX('CAT_ACTIVIDADES'!$F$4:$F$26,MATCH($H207,'CAT_ACTIVIDADES'!$A$4:$A$26,0)),"")=0,"",IFERROR(INDEX('CAT_ACTIVIDADES'!$F$4:$F$26,MATCH($H207,'CAT_ACTIVIDADES'!$A$4:$A$26,0)),"")))</f>
        <v/>
      </c>
      <c r="X207" s="24">
        <f>IF($F207="","",IFERROR(INDEX('CAT_CENTROS_COSTO'!$F$4:$F$28,MATCH($F207,'CAT_CENTROS_COSTO'!$A$4:$A$28,0)),"(sin catálogo)"))</f>
        <v/>
      </c>
      <c r="Y207" s="24">
        <f>IF($F207="","",IFERROR(INDEX('CAT_CENTROS_COSTO'!$D$4:$D$28,MATCH($F207,'CAT_CENTROS_COSTO'!$A$4:$A$28,0)),"(sin catálogo)"))</f>
        <v/>
      </c>
      <c r="Z207" s="24">
        <f>IF($F207="","",IF((IFERROR(INDEX('CAT_CENTROS_COSTO'!$E$4:$E$28,MATCH($F207,'CAT_CENTROS_COSTO'!$A$4:$A$28,0)),""))&lt;&gt;"",IFERROR(INDEX('CAT_CENTROS_COSTO'!$E$4:$E$28,MATCH($F207,'CAT_CENTROS_COSTO'!$A$4:$A$28,0)),""),$Y207))</f>
        <v/>
      </c>
      <c r="AA207" s="24">
        <f>IF($F207="","",IFERROR(INDEX('CAT_CENTROS_COSTO'!$G$4:$G$28,MATCH($F207,'CAT_CENTROS_COSTO'!$A$4:$A$28,0)),"(sin catálogo)"))</f>
        <v/>
      </c>
      <c r="AB207" s="24">
        <f>IF($G207="","",IFERROR(INDEX('CAT_PUESTOS'!$B$4:$B$23,MATCH($G207,'CAT_PUESTOS'!$A$4:$A$23,0)),"(sin catálogo)"))</f>
        <v/>
      </c>
      <c r="AC207" s="24">
        <f>IF($H207="","",IFERROR(INDEX('CAT_ACTIVIDADES'!$B$4:$B$26,MATCH($H207,'CAT_ACTIVIDADES'!$A$4:$A$26,0)),"(sin catálogo)"))</f>
        <v/>
      </c>
      <c r="AD207" s="26">
        <f>IF($J207="","",TODAY()-$J207)</f>
        <v/>
      </c>
      <c r="AE207" s="26">
        <f>IF($J207="","",IF($J207&lt;=TODAY(),COUNTIFS(cal_fechas,"&gt;="&amp;$J207,cal_fechas,"&lt;"&amp;TODAY(),cal_habil,"sí"),-COUNTIFS(cal_fechas,"&gt;="&amp;TODAY(),cal_fechas,"&lt;"&amp;$J207,cal_habil,"sí")))</f>
        <v/>
      </c>
      <c r="AF207" s="24">
        <f>IF($AE207="","",IF($AE207&lt;0,"FUTURO",IF($AE207&gt;p_dias_backlog_max,"BACKLOG","MES CORRIENTE")))</f>
        <v/>
      </c>
      <c r="AG207" s="24">
        <f>IF($AE207="",FALSE,AND($AE207&gt;p_dias_backlog_min,$AE207&lt;=p_dias_backlog_max))</f>
        <v/>
      </c>
      <c r="AH207" s="4" t="n"/>
      <c r="AI207" s="24">
        <f>IF($AH207="","",IF((IFERROR(INDEX('ASIGNACIONES'!$J$4:$J$451,MATCH($O207&amp;"|"&amp;$S207&amp;"|"&amp;$AH207,'ASIGNACIONES'!$N$4:$N$451,0)),""))=0,"",IFERROR(INDEX('ASIGNACIONES'!$J$4:$J$451,MATCH($O207&amp;"|"&amp;$S207&amp;"|"&amp;$AH207,'ASIGNACIONES'!$N$4:$N$451,0)),"")))</f>
        <v/>
      </c>
      <c r="AJ207" s="42">
        <f>IF($AH207="","",SUMIFS('ORDENES'!$M$4:$M$1203,'ORDENES'!$AH$4:$AH$1203,$AH207,'ORDENES'!$O$4:$O$1203,$O207,'ORDENES'!$S$4:$S$1203,$S207))</f>
        <v/>
      </c>
      <c r="AK207" s="42">
        <f>IF($AJ207="","",p_factor_productividad*IFERROR(INDEX('ASIGNACIONES'!$M$4:$M$451,MATCH($O207&amp;"|"&amp;$S207&amp;"|"&amp;$AH207,'ASIGNACIONES'!$N$4:$N$451,0)),0)-$AJ207)</f>
        <v/>
      </c>
      <c r="AL207" s="32">
        <f>IF($A207="","",IFERROR(INDEX('2_IMPORTAR_EJECUCION'!$F$9:$F$1208,MATCH($AU207,'2_IMPORTAR_EJECUCION'!$J$9:$J$1208,0)),0))</f>
        <v/>
      </c>
      <c r="AM207" s="32">
        <f>IF($A207="","",MAX(0,IFERROR(INDEX('2_IMPORTAR_EJECUCION'!$H$9:$H$1208,MATCH($AU207,'2_IMPORTAR_EJECUCION'!$J$9:$J$1208,0)),0)-$AL207))</f>
        <v/>
      </c>
      <c r="AN207" s="32">
        <f>IF($A207="","",$AL207+$AM207)</f>
        <v/>
      </c>
      <c r="AO207" s="24">
        <f>IF($A207="","",IF(OR((IFERROR(INDEX('CAT_ACTIVIDADES'!$D$4:$D$26,MATCH($H207,'CAT_ACTIVIDADES'!$A$4:$A$26,0)),""))=0,(IFERROR(INDEX('CAT_ACTIVIDADES'!$D$4:$D$26,MATCH($H207,'CAT_ACTIVIDADES'!$A$4:$A$26,0)),""))=""),"SIN CLASIFICAR",IFERROR(INDEX('CAT_ACTIVIDADES'!$D$4:$D$26,MATCH($H207,'CAT_ACTIVIDADES'!$A$4:$A$26,0)),"")))</f>
        <v/>
      </c>
      <c r="AP207" s="4" t="n"/>
      <c r="AQ207" s="4" t="n"/>
      <c r="AR207" s="4" t="n"/>
      <c r="AS207" s="24">
        <f>IF($AR207="","",HYPERLINK(p_ruta_base_checklists&amp;$AR207,"abrir"))</f>
        <v/>
      </c>
      <c r="AT207" s="4" t="n"/>
      <c r="AU207" s="24">
        <f>IF($A207="","",$A207&amp;IF($B207="","0010",$B207))</f>
        <v/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41" t="n"/>
      <c r="K208" s="5" t="n"/>
      <c r="L208" s="18" t="n"/>
      <c r="M208" s="24">
        <f>IF($A208="","",IFERROR(INDEX('AJUSTES'!$B$4:$B$303,MATCH($AU208,'AJUSTES'!$A$4:$A$303,0)),IF($K208="","",$K208)))</f>
        <v/>
      </c>
      <c r="N208" s="24">
        <f>IF($A208="","",IFERROR(INDEX('CAT_ESTADOS_ERP'!$B$4:$B$22,MATCH(IFERROR(INDEX('2_IMPORTAR_EJECUCION'!$C$9:$C$1208,MATCH($AU208,'2_IMPORTAR_EJECUCION'!$J$9:$J$1208,0)),""),'CAT_ESTADOS_ERP'!$A$4:$A$22,0)),"Pendiente"))</f>
        <v/>
      </c>
      <c r="O208" s="24">
        <f>IF($J208="","",YEAR($J208+4-WEEKDAY($J208,2))&amp;"-S"&amp;TEXT(_xlfn.ISOWEEKNUM($J208),"00"))</f>
        <v/>
      </c>
      <c r="P208" s="24">
        <f>IF($J208="","",YEAR($J208))</f>
        <v/>
      </c>
      <c r="Q208" s="24">
        <f>IF($J208="","",MONTH($J208))</f>
        <v/>
      </c>
      <c r="R208" s="24">
        <f>IF($J208="","",$P208&amp;"-"&amp;TEXT($Q208,"00"))</f>
        <v/>
      </c>
      <c r="S208" s="24">
        <f>IF($J208="","",INDEX(lista_dias,WEEKDAY($J208,2)))</f>
        <v/>
      </c>
      <c r="T208" s="24">
        <f>IF($J208="","",IFERROR(INDEX('CALENDARIO'!$C$15:$C$214,MATCH(TEXT($J208,"yyyy-mm-dd")&amp;"|"&amp;$Y208&amp;"|"&amp;$Z208,'CALENDARIO'!$G$15:$G$214,0)),IFERROR(INDEX('CALENDARIO'!$C$15:$C$214,MATCH(TEXT($J208,"yyyy-mm-dd")&amp;"|"&amp;$Y208&amp;"|",'CALENDARIO'!$G$15:$G$214,0)),IFERROR(INDEX('CALENDARIO'!$C$15:$C$214,MATCH(TEXT($J208,"yyyy-mm-dd")&amp;"||",'CALENDARIO'!$G$15:$G$214,0)),INDEX(patronHabil,WEEKDAY($J208,2))))))</f>
        <v/>
      </c>
      <c r="U208" s="24">
        <f>IF($I208="","",IFERROR(INDEX('CAT_TIPOS_OT'!$C$4:$C$23,MATCH($I208,'CAT_TIPOS_OT'!$A$4:$A$23,0)),"sin_clasificar"))</f>
        <v/>
      </c>
      <c r="V208" s="24">
        <f>IF($I208="","",IF(IFERROR(INDEX('CAT_TIPOS_OT'!$D$4:$D$23,MATCH($I208,'CAT_TIPOS_OT'!$A$4:$A$23,0)),"SIN CLASIFICAR")="","SIN CLASIFICAR",IFERROR(INDEX('CAT_TIPOS_OT'!$D$4:$D$23,MATCH($I208,'CAT_TIPOS_OT'!$A$4:$A$23,0)),"SIN CLASIFICAR")))</f>
        <v/>
      </c>
      <c r="W208" s="24">
        <f>IF($H208="","",IF(IFERROR(INDEX('CAT_ACTIVIDADES'!$F$4:$F$26,MATCH($H208,'CAT_ACTIVIDADES'!$A$4:$A$26,0)),"")=0,"",IFERROR(INDEX('CAT_ACTIVIDADES'!$F$4:$F$26,MATCH($H208,'CAT_ACTIVIDADES'!$A$4:$A$26,0)),"")))</f>
        <v/>
      </c>
      <c r="X208" s="24">
        <f>IF($F208="","",IFERROR(INDEX('CAT_CENTROS_COSTO'!$F$4:$F$28,MATCH($F208,'CAT_CENTROS_COSTO'!$A$4:$A$28,0)),"(sin catálogo)"))</f>
        <v/>
      </c>
      <c r="Y208" s="24">
        <f>IF($F208="","",IFERROR(INDEX('CAT_CENTROS_COSTO'!$D$4:$D$28,MATCH($F208,'CAT_CENTROS_COSTO'!$A$4:$A$28,0)),"(sin catálogo)"))</f>
        <v/>
      </c>
      <c r="Z208" s="24">
        <f>IF($F208="","",IF((IFERROR(INDEX('CAT_CENTROS_COSTO'!$E$4:$E$28,MATCH($F208,'CAT_CENTROS_COSTO'!$A$4:$A$28,0)),""))&lt;&gt;"",IFERROR(INDEX('CAT_CENTROS_COSTO'!$E$4:$E$28,MATCH($F208,'CAT_CENTROS_COSTO'!$A$4:$A$28,0)),""),$Y208))</f>
        <v/>
      </c>
      <c r="AA208" s="24">
        <f>IF($F208="","",IFERROR(INDEX('CAT_CENTROS_COSTO'!$G$4:$G$28,MATCH($F208,'CAT_CENTROS_COSTO'!$A$4:$A$28,0)),"(sin catálogo)"))</f>
        <v/>
      </c>
      <c r="AB208" s="24">
        <f>IF($G208="","",IFERROR(INDEX('CAT_PUESTOS'!$B$4:$B$23,MATCH($G208,'CAT_PUESTOS'!$A$4:$A$23,0)),"(sin catálogo)"))</f>
        <v/>
      </c>
      <c r="AC208" s="24">
        <f>IF($H208="","",IFERROR(INDEX('CAT_ACTIVIDADES'!$B$4:$B$26,MATCH($H208,'CAT_ACTIVIDADES'!$A$4:$A$26,0)),"(sin catálogo)"))</f>
        <v/>
      </c>
      <c r="AD208" s="26">
        <f>IF($J208="","",TODAY()-$J208)</f>
        <v/>
      </c>
      <c r="AE208" s="26">
        <f>IF($J208="","",IF($J208&lt;=TODAY(),COUNTIFS(cal_fechas,"&gt;="&amp;$J208,cal_fechas,"&lt;"&amp;TODAY(),cal_habil,"sí"),-COUNTIFS(cal_fechas,"&gt;="&amp;TODAY(),cal_fechas,"&lt;"&amp;$J208,cal_habil,"sí")))</f>
        <v/>
      </c>
      <c r="AF208" s="24">
        <f>IF($AE208="","",IF($AE208&lt;0,"FUTURO",IF($AE208&gt;p_dias_backlog_max,"BACKLOG","MES CORRIENTE")))</f>
        <v/>
      </c>
      <c r="AG208" s="24">
        <f>IF($AE208="",FALSE,AND($AE208&gt;p_dias_backlog_min,$AE208&lt;=p_dias_backlog_max))</f>
        <v/>
      </c>
      <c r="AH208" s="4" t="n"/>
      <c r="AI208" s="24">
        <f>IF($AH208="","",IF((IFERROR(INDEX('ASIGNACIONES'!$J$4:$J$451,MATCH($O208&amp;"|"&amp;$S208&amp;"|"&amp;$AH208,'ASIGNACIONES'!$N$4:$N$451,0)),""))=0,"",IFERROR(INDEX('ASIGNACIONES'!$J$4:$J$451,MATCH($O208&amp;"|"&amp;$S208&amp;"|"&amp;$AH208,'ASIGNACIONES'!$N$4:$N$451,0)),"")))</f>
        <v/>
      </c>
      <c r="AJ208" s="42">
        <f>IF($AH208="","",SUMIFS('ORDENES'!$M$4:$M$1203,'ORDENES'!$AH$4:$AH$1203,$AH208,'ORDENES'!$O$4:$O$1203,$O208,'ORDENES'!$S$4:$S$1203,$S208))</f>
        <v/>
      </c>
      <c r="AK208" s="42">
        <f>IF($AJ208="","",p_factor_productividad*IFERROR(INDEX('ASIGNACIONES'!$M$4:$M$451,MATCH($O208&amp;"|"&amp;$S208&amp;"|"&amp;$AH208,'ASIGNACIONES'!$N$4:$N$451,0)),0)-$AJ208)</f>
        <v/>
      </c>
      <c r="AL208" s="32">
        <f>IF($A208="","",IFERROR(INDEX('2_IMPORTAR_EJECUCION'!$F$9:$F$1208,MATCH($AU208,'2_IMPORTAR_EJECUCION'!$J$9:$J$1208,0)),0))</f>
        <v/>
      </c>
      <c r="AM208" s="32">
        <f>IF($A208="","",MAX(0,IFERROR(INDEX('2_IMPORTAR_EJECUCION'!$H$9:$H$1208,MATCH($AU208,'2_IMPORTAR_EJECUCION'!$J$9:$J$1208,0)),0)-$AL208))</f>
        <v/>
      </c>
      <c r="AN208" s="32">
        <f>IF($A208="","",$AL208+$AM208)</f>
        <v/>
      </c>
      <c r="AO208" s="24">
        <f>IF($A208="","",IF(OR((IFERROR(INDEX('CAT_ACTIVIDADES'!$D$4:$D$26,MATCH($H208,'CAT_ACTIVIDADES'!$A$4:$A$26,0)),""))=0,(IFERROR(INDEX('CAT_ACTIVIDADES'!$D$4:$D$26,MATCH($H208,'CAT_ACTIVIDADES'!$A$4:$A$26,0)),""))=""),"SIN CLASIFICAR",IFERROR(INDEX('CAT_ACTIVIDADES'!$D$4:$D$26,MATCH($H208,'CAT_ACTIVIDADES'!$A$4:$A$26,0)),"")))</f>
        <v/>
      </c>
      <c r="AP208" s="4" t="n"/>
      <c r="AQ208" s="4" t="n"/>
      <c r="AR208" s="4" t="n"/>
      <c r="AS208" s="24">
        <f>IF($AR208="","",HYPERLINK(p_ruta_base_checklists&amp;$AR208,"abrir"))</f>
        <v/>
      </c>
      <c r="AT208" s="4" t="n"/>
      <c r="AU208" s="24">
        <f>IF($A208="","",$A208&amp;IF($B208="","0010",$B208))</f>
        <v/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41" t="n"/>
      <c r="K209" s="5" t="n"/>
      <c r="L209" s="18" t="n"/>
      <c r="M209" s="24">
        <f>IF($A209="","",IFERROR(INDEX('AJUSTES'!$B$4:$B$303,MATCH($AU209,'AJUSTES'!$A$4:$A$303,0)),IF($K209="","",$K209)))</f>
        <v/>
      </c>
      <c r="N209" s="24">
        <f>IF($A209="","",IFERROR(INDEX('CAT_ESTADOS_ERP'!$B$4:$B$22,MATCH(IFERROR(INDEX('2_IMPORTAR_EJECUCION'!$C$9:$C$1208,MATCH($AU209,'2_IMPORTAR_EJECUCION'!$J$9:$J$1208,0)),""),'CAT_ESTADOS_ERP'!$A$4:$A$22,0)),"Pendiente"))</f>
        <v/>
      </c>
      <c r="O209" s="24">
        <f>IF($J209="","",YEAR($J209+4-WEEKDAY($J209,2))&amp;"-S"&amp;TEXT(_xlfn.ISOWEEKNUM($J209),"00"))</f>
        <v/>
      </c>
      <c r="P209" s="24">
        <f>IF($J209="","",YEAR($J209))</f>
        <v/>
      </c>
      <c r="Q209" s="24">
        <f>IF($J209="","",MONTH($J209))</f>
        <v/>
      </c>
      <c r="R209" s="24">
        <f>IF($J209="","",$P209&amp;"-"&amp;TEXT($Q209,"00"))</f>
        <v/>
      </c>
      <c r="S209" s="24">
        <f>IF($J209="","",INDEX(lista_dias,WEEKDAY($J209,2)))</f>
        <v/>
      </c>
      <c r="T209" s="24">
        <f>IF($J209="","",IFERROR(INDEX('CALENDARIO'!$C$15:$C$214,MATCH(TEXT($J209,"yyyy-mm-dd")&amp;"|"&amp;$Y209&amp;"|"&amp;$Z209,'CALENDARIO'!$G$15:$G$214,0)),IFERROR(INDEX('CALENDARIO'!$C$15:$C$214,MATCH(TEXT($J209,"yyyy-mm-dd")&amp;"|"&amp;$Y209&amp;"|",'CALENDARIO'!$G$15:$G$214,0)),IFERROR(INDEX('CALENDARIO'!$C$15:$C$214,MATCH(TEXT($J209,"yyyy-mm-dd")&amp;"||",'CALENDARIO'!$G$15:$G$214,0)),INDEX(patronHabil,WEEKDAY($J209,2))))))</f>
        <v/>
      </c>
      <c r="U209" s="24">
        <f>IF($I209="","",IFERROR(INDEX('CAT_TIPOS_OT'!$C$4:$C$23,MATCH($I209,'CAT_TIPOS_OT'!$A$4:$A$23,0)),"sin_clasificar"))</f>
        <v/>
      </c>
      <c r="V209" s="24">
        <f>IF($I209="","",IF(IFERROR(INDEX('CAT_TIPOS_OT'!$D$4:$D$23,MATCH($I209,'CAT_TIPOS_OT'!$A$4:$A$23,0)),"SIN CLASIFICAR")="","SIN CLASIFICAR",IFERROR(INDEX('CAT_TIPOS_OT'!$D$4:$D$23,MATCH($I209,'CAT_TIPOS_OT'!$A$4:$A$23,0)),"SIN CLASIFICAR")))</f>
        <v/>
      </c>
      <c r="W209" s="24">
        <f>IF($H209="","",IF(IFERROR(INDEX('CAT_ACTIVIDADES'!$F$4:$F$26,MATCH($H209,'CAT_ACTIVIDADES'!$A$4:$A$26,0)),"")=0,"",IFERROR(INDEX('CAT_ACTIVIDADES'!$F$4:$F$26,MATCH($H209,'CAT_ACTIVIDADES'!$A$4:$A$26,0)),"")))</f>
        <v/>
      </c>
      <c r="X209" s="24">
        <f>IF($F209="","",IFERROR(INDEX('CAT_CENTROS_COSTO'!$F$4:$F$28,MATCH($F209,'CAT_CENTROS_COSTO'!$A$4:$A$28,0)),"(sin catálogo)"))</f>
        <v/>
      </c>
      <c r="Y209" s="24">
        <f>IF($F209="","",IFERROR(INDEX('CAT_CENTROS_COSTO'!$D$4:$D$28,MATCH($F209,'CAT_CENTROS_COSTO'!$A$4:$A$28,0)),"(sin catálogo)"))</f>
        <v/>
      </c>
      <c r="Z209" s="24">
        <f>IF($F209="","",IF((IFERROR(INDEX('CAT_CENTROS_COSTO'!$E$4:$E$28,MATCH($F209,'CAT_CENTROS_COSTO'!$A$4:$A$28,0)),""))&lt;&gt;"",IFERROR(INDEX('CAT_CENTROS_COSTO'!$E$4:$E$28,MATCH($F209,'CAT_CENTROS_COSTO'!$A$4:$A$28,0)),""),$Y209))</f>
        <v/>
      </c>
      <c r="AA209" s="24">
        <f>IF($F209="","",IFERROR(INDEX('CAT_CENTROS_COSTO'!$G$4:$G$28,MATCH($F209,'CAT_CENTROS_COSTO'!$A$4:$A$28,0)),"(sin catálogo)"))</f>
        <v/>
      </c>
      <c r="AB209" s="24">
        <f>IF($G209="","",IFERROR(INDEX('CAT_PUESTOS'!$B$4:$B$23,MATCH($G209,'CAT_PUESTOS'!$A$4:$A$23,0)),"(sin catálogo)"))</f>
        <v/>
      </c>
      <c r="AC209" s="24">
        <f>IF($H209="","",IFERROR(INDEX('CAT_ACTIVIDADES'!$B$4:$B$26,MATCH($H209,'CAT_ACTIVIDADES'!$A$4:$A$26,0)),"(sin catálogo)"))</f>
        <v/>
      </c>
      <c r="AD209" s="26">
        <f>IF($J209="","",TODAY()-$J209)</f>
        <v/>
      </c>
      <c r="AE209" s="26">
        <f>IF($J209="","",IF($J209&lt;=TODAY(),COUNTIFS(cal_fechas,"&gt;="&amp;$J209,cal_fechas,"&lt;"&amp;TODAY(),cal_habil,"sí"),-COUNTIFS(cal_fechas,"&gt;="&amp;TODAY(),cal_fechas,"&lt;"&amp;$J209,cal_habil,"sí")))</f>
        <v/>
      </c>
      <c r="AF209" s="24">
        <f>IF($AE209="","",IF($AE209&lt;0,"FUTURO",IF($AE209&gt;p_dias_backlog_max,"BACKLOG","MES CORRIENTE")))</f>
        <v/>
      </c>
      <c r="AG209" s="24">
        <f>IF($AE209="",FALSE,AND($AE209&gt;p_dias_backlog_min,$AE209&lt;=p_dias_backlog_max))</f>
        <v/>
      </c>
      <c r="AH209" s="4" t="n"/>
      <c r="AI209" s="24">
        <f>IF($AH209="","",IF((IFERROR(INDEX('ASIGNACIONES'!$J$4:$J$451,MATCH($O209&amp;"|"&amp;$S209&amp;"|"&amp;$AH209,'ASIGNACIONES'!$N$4:$N$451,0)),""))=0,"",IFERROR(INDEX('ASIGNACIONES'!$J$4:$J$451,MATCH($O209&amp;"|"&amp;$S209&amp;"|"&amp;$AH209,'ASIGNACIONES'!$N$4:$N$451,0)),"")))</f>
        <v/>
      </c>
      <c r="AJ209" s="42">
        <f>IF($AH209="","",SUMIFS('ORDENES'!$M$4:$M$1203,'ORDENES'!$AH$4:$AH$1203,$AH209,'ORDENES'!$O$4:$O$1203,$O209,'ORDENES'!$S$4:$S$1203,$S209))</f>
        <v/>
      </c>
      <c r="AK209" s="42">
        <f>IF($AJ209="","",p_factor_productividad*IFERROR(INDEX('ASIGNACIONES'!$M$4:$M$451,MATCH($O209&amp;"|"&amp;$S209&amp;"|"&amp;$AH209,'ASIGNACIONES'!$N$4:$N$451,0)),0)-$AJ209)</f>
        <v/>
      </c>
      <c r="AL209" s="32">
        <f>IF($A209="","",IFERROR(INDEX('2_IMPORTAR_EJECUCION'!$F$9:$F$1208,MATCH($AU209,'2_IMPORTAR_EJECUCION'!$J$9:$J$1208,0)),0))</f>
        <v/>
      </c>
      <c r="AM209" s="32">
        <f>IF($A209="","",MAX(0,IFERROR(INDEX('2_IMPORTAR_EJECUCION'!$H$9:$H$1208,MATCH($AU209,'2_IMPORTAR_EJECUCION'!$J$9:$J$1208,0)),0)-$AL209))</f>
        <v/>
      </c>
      <c r="AN209" s="32">
        <f>IF($A209="","",$AL209+$AM209)</f>
        <v/>
      </c>
      <c r="AO209" s="24">
        <f>IF($A209="","",IF(OR((IFERROR(INDEX('CAT_ACTIVIDADES'!$D$4:$D$26,MATCH($H209,'CAT_ACTIVIDADES'!$A$4:$A$26,0)),""))=0,(IFERROR(INDEX('CAT_ACTIVIDADES'!$D$4:$D$26,MATCH($H209,'CAT_ACTIVIDADES'!$A$4:$A$26,0)),""))=""),"SIN CLASIFICAR",IFERROR(INDEX('CAT_ACTIVIDADES'!$D$4:$D$26,MATCH($H209,'CAT_ACTIVIDADES'!$A$4:$A$26,0)),"")))</f>
        <v/>
      </c>
      <c r="AP209" s="4" t="n"/>
      <c r="AQ209" s="4" t="n"/>
      <c r="AR209" s="4" t="n"/>
      <c r="AS209" s="24">
        <f>IF($AR209="","",HYPERLINK(p_ruta_base_checklists&amp;$AR209,"abrir"))</f>
        <v/>
      </c>
      <c r="AT209" s="4" t="n"/>
      <c r="AU209" s="24">
        <f>IF($A209="","",$A209&amp;IF($B209="","0010",$B209))</f>
        <v/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41" t="n"/>
      <c r="K210" s="5" t="n"/>
      <c r="L210" s="18" t="n"/>
      <c r="M210" s="24">
        <f>IF($A210="","",IFERROR(INDEX('AJUSTES'!$B$4:$B$303,MATCH($AU210,'AJUSTES'!$A$4:$A$303,0)),IF($K210="","",$K210)))</f>
        <v/>
      </c>
      <c r="N210" s="24">
        <f>IF($A210="","",IFERROR(INDEX('CAT_ESTADOS_ERP'!$B$4:$B$22,MATCH(IFERROR(INDEX('2_IMPORTAR_EJECUCION'!$C$9:$C$1208,MATCH($AU210,'2_IMPORTAR_EJECUCION'!$J$9:$J$1208,0)),""),'CAT_ESTADOS_ERP'!$A$4:$A$22,0)),"Pendiente"))</f>
        <v/>
      </c>
      <c r="O210" s="24">
        <f>IF($J210="","",YEAR($J210+4-WEEKDAY($J210,2))&amp;"-S"&amp;TEXT(_xlfn.ISOWEEKNUM($J210),"00"))</f>
        <v/>
      </c>
      <c r="P210" s="24">
        <f>IF($J210="","",YEAR($J210))</f>
        <v/>
      </c>
      <c r="Q210" s="24">
        <f>IF($J210="","",MONTH($J210))</f>
        <v/>
      </c>
      <c r="R210" s="24">
        <f>IF($J210="","",$P210&amp;"-"&amp;TEXT($Q210,"00"))</f>
        <v/>
      </c>
      <c r="S210" s="24">
        <f>IF($J210="","",INDEX(lista_dias,WEEKDAY($J210,2)))</f>
        <v/>
      </c>
      <c r="T210" s="24">
        <f>IF($J210="","",IFERROR(INDEX('CALENDARIO'!$C$15:$C$214,MATCH(TEXT($J210,"yyyy-mm-dd")&amp;"|"&amp;$Y210&amp;"|"&amp;$Z210,'CALENDARIO'!$G$15:$G$214,0)),IFERROR(INDEX('CALENDARIO'!$C$15:$C$214,MATCH(TEXT($J210,"yyyy-mm-dd")&amp;"|"&amp;$Y210&amp;"|",'CALENDARIO'!$G$15:$G$214,0)),IFERROR(INDEX('CALENDARIO'!$C$15:$C$214,MATCH(TEXT($J210,"yyyy-mm-dd")&amp;"||",'CALENDARIO'!$G$15:$G$214,0)),INDEX(patronHabil,WEEKDAY($J210,2))))))</f>
        <v/>
      </c>
      <c r="U210" s="24">
        <f>IF($I210="","",IFERROR(INDEX('CAT_TIPOS_OT'!$C$4:$C$23,MATCH($I210,'CAT_TIPOS_OT'!$A$4:$A$23,0)),"sin_clasificar"))</f>
        <v/>
      </c>
      <c r="V210" s="24">
        <f>IF($I210="","",IF(IFERROR(INDEX('CAT_TIPOS_OT'!$D$4:$D$23,MATCH($I210,'CAT_TIPOS_OT'!$A$4:$A$23,0)),"SIN CLASIFICAR")="","SIN CLASIFICAR",IFERROR(INDEX('CAT_TIPOS_OT'!$D$4:$D$23,MATCH($I210,'CAT_TIPOS_OT'!$A$4:$A$23,0)),"SIN CLASIFICAR")))</f>
        <v/>
      </c>
      <c r="W210" s="24">
        <f>IF($H210="","",IF(IFERROR(INDEX('CAT_ACTIVIDADES'!$F$4:$F$26,MATCH($H210,'CAT_ACTIVIDADES'!$A$4:$A$26,0)),"")=0,"",IFERROR(INDEX('CAT_ACTIVIDADES'!$F$4:$F$26,MATCH($H210,'CAT_ACTIVIDADES'!$A$4:$A$26,0)),"")))</f>
        <v/>
      </c>
      <c r="X210" s="24">
        <f>IF($F210="","",IFERROR(INDEX('CAT_CENTROS_COSTO'!$F$4:$F$28,MATCH($F210,'CAT_CENTROS_COSTO'!$A$4:$A$28,0)),"(sin catálogo)"))</f>
        <v/>
      </c>
      <c r="Y210" s="24">
        <f>IF($F210="","",IFERROR(INDEX('CAT_CENTROS_COSTO'!$D$4:$D$28,MATCH($F210,'CAT_CENTROS_COSTO'!$A$4:$A$28,0)),"(sin catálogo)"))</f>
        <v/>
      </c>
      <c r="Z210" s="24">
        <f>IF($F210="","",IF((IFERROR(INDEX('CAT_CENTROS_COSTO'!$E$4:$E$28,MATCH($F210,'CAT_CENTROS_COSTO'!$A$4:$A$28,0)),""))&lt;&gt;"",IFERROR(INDEX('CAT_CENTROS_COSTO'!$E$4:$E$28,MATCH($F210,'CAT_CENTROS_COSTO'!$A$4:$A$28,0)),""),$Y210))</f>
        <v/>
      </c>
      <c r="AA210" s="24">
        <f>IF($F210="","",IFERROR(INDEX('CAT_CENTROS_COSTO'!$G$4:$G$28,MATCH($F210,'CAT_CENTROS_COSTO'!$A$4:$A$28,0)),"(sin catálogo)"))</f>
        <v/>
      </c>
      <c r="AB210" s="24">
        <f>IF($G210="","",IFERROR(INDEX('CAT_PUESTOS'!$B$4:$B$23,MATCH($G210,'CAT_PUESTOS'!$A$4:$A$23,0)),"(sin catálogo)"))</f>
        <v/>
      </c>
      <c r="AC210" s="24">
        <f>IF($H210="","",IFERROR(INDEX('CAT_ACTIVIDADES'!$B$4:$B$26,MATCH($H210,'CAT_ACTIVIDADES'!$A$4:$A$26,0)),"(sin catálogo)"))</f>
        <v/>
      </c>
      <c r="AD210" s="26">
        <f>IF($J210="","",TODAY()-$J210)</f>
        <v/>
      </c>
      <c r="AE210" s="26">
        <f>IF($J210="","",IF($J210&lt;=TODAY(),COUNTIFS(cal_fechas,"&gt;="&amp;$J210,cal_fechas,"&lt;"&amp;TODAY(),cal_habil,"sí"),-COUNTIFS(cal_fechas,"&gt;="&amp;TODAY(),cal_fechas,"&lt;"&amp;$J210,cal_habil,"sí")))</f>
        <v/>
      </c>
      <c r="AF210" s="24">
        <f>IF($AE210="","",IF($AE210&lt;0,"FUTURO",IF($AE210&gt;p_dias_backlog_max,"BACKLOG","MES CORRIENTE")))</f>
        <v/>
      </c>
      <c r="AG210" s="24">
        <f>IF($AE210="",FALSE,AND($AE210&gt;p_dias_backlog_min,$AE210&lt;=p_dias_backlog_max))</f>
        <v/>
      </c>
      <c r="AH210" s="4" t="n"/>
      <c r="AI210" s="24">
        <f>IF($AH210="","",IF((IFERROR(INDEX('ASIGNACIONES'!$J$4:$J$451,MATCH($O210&amp;"|"&amp;$S210&amp;"|"&amp;$AH210,'ASIGNACIONES'!$N$4:$N$451,0)),""))=0,"",IFERROR(INDEX('ASIGNACIONES'!$J$4:$J$451,MATCH($O210&amp;"|"&amp;$S210&amp;"|"&amp;$AH210,'ASIGNACIONES'!$N$4:$N$451,0)),"")))</f>
        <v/>
      </c>
      <c r="AJ210" s="42">
        <f>IF($AH210="","",SUMIFS('ORDENES'!$M$4:$M$1203,'ORDENES'!$AH$4:$AH$1203,$AH210,'ORDENES'!$O$4:$O$1203,$O210,'ORDENES'!$S$4:$S$1203,$S210))</f>
        <v/>
      </c>
      <c r="AK210" s="42">
        <f>IF($AJ210="","",p_factor_productividad*IFERROR(INDEX('ASIGNACIONES'!$M$4:$M$451,MATCH($O210&amp;"|"&amp;$S210&amp;"|"&amp;$AH210,'ASIGNACIONES'!$N$4:$N$451,0)),0)-$AJ210)</f>
        <v/>
      </c>
      <c r="AL210" s="32">
        <f>IF($A210="","",IFERROR(INDEX('2_IMPORTAR_EJECUCION'!$F$9:$F$1208,MATCH($AU210,'2_IMPORTAR_EJECUCION'!$J$9:$J$1208,0)),0))</f>
        <v/>
      </c>
      <c r="AM210" s="32">
        <f>IF($A210="","",MAX(0,IFERROR(INDEX('2_IMPORTAR_EJECUCION'!$H$9:$H$1208,MATCH($AU210,'2_IMPORTAR_EJECUCION'!$J$9:$J$1208,0)),0)-$AL210))</f>
        <v/>
      </c>
      <c r="AN210" s="32">
        <f>IF($A210="","",$AL210+$AM210)</f>
        <v/>
      </c>
      <c r="AO210" s="24">
        <f>IF($A210="","",IF(OR((IFERROR(INDEX('CAT_ACTIVIDADES'!$D$4:$D$26,MATCH($H210,'CAT_ACTIVIDADES'!$A$4:$A$26,0)),""))=0,(IFERROR(INDEX('CAT_ACTIVIDADES'!$D$4:$D$26,MATCH($H210,'CAT_ACTIVIDADES'!$A$4:$A$26,0)),""))=""),"SIN CLASIFICAR",IFERROR(INDEX('CAT_ACTIVIDADES'!$D$4:$D$26,MATCH($H210,'CAT_ACTIVIDADES'!$A$4:$A$26,0)),"")))</f>
        <v/>
      </c>
      <c r="AP210" s="4" t="n"/>
      <c r="AQ210" s="4" t="n"/>
      <c r="AR210" s="4" t="n"/>
      <c r="AS210" s="24">
        <f>IF($AR210="","",HYPERLINK(p_ruta_base_checklists&amp;$AR210,"abrir"))</f>
        <v/>
      </c>
      <c r="AT210" s="4" t="n"/>
      <c r="AU210" s="24">
        <f>IF($A210="","",$A210&amp;IF($B210="","0010",$B210))</f>
        <v/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41" t="n"/>
      <c r="K211" s="5" t="n"/>
      <c r="L211" s="18" t="n"/>
      <c r="M211" s="24">
        <f>IF($A211="","",IFERROR(INDEX('AJUSTES'!$B$4:$B$303,MATCH($AU211,'AJUSTES'!$A$4:$A$303,0)),IF($K211="","",$K211)))</f>
        <v/>
      </c>
      <c r="N211" s="24">
        <f>IF($A211="","",IFERROR(INDEX('CAT_ESTADOS_ERP'!$B$4:$B$22,MATCH(IFERROR(INDEX('2_IMPORTAR_EJECUCION'!$C$9:$C$1208,MATCH($AU211,'2_IMPORTAR_EJECUCION'!$J$9:$J$1208,0)),""),'CAT_ESTADOS_ERP'!$A$4:$A$22,0)),"Pendiente"))</f>
        <v/>
      </c>
      <c r="O211" s="24">
        <f>IF($J211="","",YEAR($J211+4-WEEKDAY($J211,2))&amp;"-S"&amp;TEXT(_xlfn.ISOWEEKNUM($J211),"00"))</f>
        <v/>
      </c>
      <c r="P211" s="24">
        <f>IF($J211="","",YEAR($J211))</f>
        <v/>
      </c>
      <c r="Q211" s="24">
        <f>IF($J211="","",MONTH($J211))</f>
        <v/>
      </c>
      <c r="R211" s="24">
        <f>IF($J211="","",$P211&amp;"-"&amp;TEXT($Q211,"00"))</f>
        <v/>
      </c>
      <c r="S211" s="24">
        <f>IF($J211="","",INDEX(lista_dias,WEEKDAY($J211,2)))</f>
        <v/>
      </c>
      <c r="T211" s="24">
        <f>IF($J211="","",IFERROR(INDEX('CALENDARIO'!$C$15:$C$214,MATCH(TEXT($J211,"yyyy-mm-dd")&amp;"|"&amp;$Y211&amp;"|"&amp;$Z211,'CALENDARIO'!$G$15:$G$214,0)),IFERROR(INDEX('CALENDARIO'!$C$15:$C$214,MATCH(TEXT($J211,"yyyy-mm-dd")&amp;"|"&amp;$Y211&amp;"|",'CALENDARIO'!$G$15:$G$214,0)),IFERROR(INDEX('CALENDARIO'!$C$15:$C$214,MATCH(TEXT($J211,"yyyy-mm-dd")&amp;"||",'CALENDARIO'!$G$15:$G$214,0)),INDEX(patronHabil,WEEKDAY($J211,2))))))</f>
        <v/>
      </c>
      <c r="U211" s="24">
        <f>IF($I211="","",IFERROR(INDEX('CAT_TIPOS_OT'!$C$4:$C$23,MATCH($I211,'CAT_TIPOS_OT'!$A$4:$A$23,0)),"sin_clasificar"))</f>
        <v/>
      </c>
      <c r="V211" s="24">
        <f>IF($I211="","",IF(IFERROR(INDEX('CAT_TIPOS_OT'!$D$4:$D$23,MATCH($I211,'CAT_TIPOS_OT'!$A$4:$A$23,0)),"SIN CLASIFICAR")="","SIN CLASIFICAR",IFERROR(INDEX('CAT_TIPOS_OT'!$D$4:$D$23,MATCH($I211,'CAT_TIPOS_OT'!$A$4:$A$23,0)),"SIN CLASIFICAR")))</f>
        <v/>
      </c>
      <c r="W211" s="24">
        <f>IF($H211="","",IF(IFERROR(INDEX('CAT_ACTIVIDADES'!$F$4:$F$26,MATCH($H211,'CAT_ACTIVIDADES'!$A$4:$A$26,0)),"")=0,"",IFERROR(INDEX('CAT_ACTIVIDADES'!$F$4:$F$26,MATCH($H211,'CAT_ACTIVIDADES'!$A$4:$A$26,0)),"")))</f>
        <v/>
      </c>
      <c r="X211" s="24">
        <f>IF($F211="","",IFERROR(INDEX('CAT_CENTROS_COSTO'!$F$4:$F$28,MATCH($F211,'CAT_CENTROS_COSTO'!$A$4:$A$28,0)),"(sin catálogo)"))</f>
        <v/>
      </c>
      <c r="Y211" s="24">
        <f>IF($F211="","",IFERROR(INDEX('CAT_CENTROS_COSTO'!$D$4:$D$28,MATCH($F211,'CAT_CENTROS_COSTO'!$A$4:$A$28,0)),"(sin catálogo)"))</f>
        <v/>
      </c>
      <c r="Z211" s="24">
        <f>IF($F211="","",IF((IFERROR(INDEX('CAT_CENTROS_COSTO'!$E$4:$E$28,MATCH($F211,'CAT_CENTROS_COSTO'!$A$4:$A$28,0)),""))&lt;&gt;"",IFERROR(INDEX('CAT_CENTROS_COSTO'!$E$4:$E$28,MATCH($F211,'CAT_CENTROS_COSTO'!$A$4:$A$28,0)),""),$Y211))</f>
        <v/>
      </c>
      <c r="AA211" s="24">
        <f>IF($F211="","",IFERROR(INDEX('CAT_CENTROS_COSTO'!$G$4:$G$28,MATCH($F211,'CAT_CENTROS_COSTO'!$A$4:$A$28,0)),"(sin catálogo)"))</f>
        <v/>
      </c>
      <c r="AB211" s="24">
        <f>IF($G211="","",IFERROR(INDEX('CAT_PUESTOS'!$B$4:$B$23,MATCH($G211,'CAT_PUESTOS'!$A$4:$A$23,0)),"(sin catálogo)"))</f>
        <v/>
      </c>
      <c r="AC211" s="24">
        <f>IF($H211="","",IFERROR(INDEX('CAT_ACTIVIDADES'!$B$4:$B$26,MATCH($H211,'CAT_ACTIVIDADES'!$A$4:$A$26,0)),"(sin catálogo)"))</f>
        <v/>
      </c>
      <c r="AD211" s="26">
        <f>IF($J211="","",TODAY()-$J211)</f>
        <v/>
      </c>
      <c r="AE211" s="26">
        <f>IF($J211="","",IF($J211&lt;=TODAY(),COUNTIFS(cal_fechas,"&gt;="&amp;$J211,cal_fechas,"&lt;"&amp;TODAY(),cal_habil,"sí"),-COUNTIFS(cal_fechas,"&gt;="&amp;TODAY(),cal_fechas,"&lt;"&amp;$J211,cal_habil,"sí")))</f>
        <v/>
      </c>
      <c r="AF211" s="24">
        <f>IF($AE211="","",IF($AE211&lt;0,"FUTURO",IF($AE211&gt;p_dias_backlog_max,"BACKLOG","MES CORRIENTE")))</f>
        <v/>
      </c>
      <c r="AG211" s="24">
        <f>IF($AE211="",FALSE,AND($AE211&gt;p_dias_backlog_min,$AE211&lt;=p_dias_backlog_max))</f>
        <v/>
      </c>
      <c r="AH211" s="4" t="n"/>
      <c r="AI211" s="24">
        <f>IF($AH211="","",IF((IFERROR(INDEX('ASIGNACIONES'!$J$4:$J$451,MATCH($O211&amp;"|"&amp;$S211&amp;"|"&amp;$AH211,'ASIGNACIONES'!$N$4:$N$451,0)),""))=0,"",IFERROR(INDEX('ASIGNACIONES'!$J$4:$J$451,MATCH($O211&amp;"|"&amp;$S211&amp;"|"&amp;$AH211,'ASIGNACIONES'!$N$4:$N$451,0)),"")))</f>
        <v/>
      </c>
      <c r="AJ211" s="42">
        <f>IF($AH211="","",SUMIFS('ORDENES'!$M$4:$M$1203,'ORDENES'!$AH$4:$AH$1203,$AH211,'ORDENES'!$O$4:$O$1203,$O211,'ORDENES'!$S$4:$S$1203,$S211))</f>
        <v/>
      </c>
      <c r="AK211" s="42">
        <f>IF($AJ211="","",p_factor_productividad*IFERROR(INDEX('ASIGNACIONES'!$M$4:$M$451,MATCH($O211&amp;"|"&amp;$S211&amp;"|"&amp;$AH211,'ASIGNACIONES'!$N$4:$N$451,0)),0)-$AJ211)</f>
        <v/>
      </c>
      <c r="AL211" s="32">
        <f>IF($A211="","",IFERROR(INDEX('2_IMPORTAR_EJECUCION'!$F$9:$F$1208,MATCH($AU211,'2_IMPORTAR_EJECUCION'!$J$9:$J$1208,0)),0))</f>
        <v/>
      </c>
      <c r="AM211" s="32">
        <f>IF($A211="","",MAX(0,IFERROR(INDEX('2_IMPORTAR_EJECUCION'!$H$9:$H$1208,MATCH($AU211,'2_IMPORTAR_EJECUCION'!$J$9:$J$1208,0)),0)-$AL211))</f>
        <v/>
      </c>
      <c r="AN211" s="32">
        <f>IF($A211="","",$AL211+$AM211)</f>
        <v/>
      </c>
      <c r="AO211" s="24">
        <f>IF($A211="","",IF(OR((IFERROR(INDEX('CAT_ACTIVIDADES'!$D$4:$D$26,MATCH($H211,'CAT_ACTIVIDADES'!$A$4:$A$26,0)),""))=0,(IFERROR(INDEX('CAT_ACTIVIDADES'!$D$4:$D$26,MATCH($H211,'CAT_ACTIVIDADES'!$A$4:$A$26,0)),""))=""),"SIN CLASIFICAR",IFERROR(INDEX('CAT_ACTIVIDADES'!$D$4:$D$26,MATCH($H211,'CAT_ACTIVIDADES'!$A$4:$A$26,0)),"")))</f>
        <v/>
      </c>
      <c r="AP211" s="4" t="n"/>
      <c r="AQ211" s="4" t="n"/>
      <c r="AR211" s="4" t="n"/>
      <c r="AS211" s="24">
        <f>IF($AR211="","",HYPERLINK(p_ruta_base_checklists&amp;$AR211,"abrir"))</f>
        <v/>
      </c>
      <c r="AT211" s="4" t="n"/>
      <c r="AU211" s="24">
        <f>IF($A211="","",$A211&amp;IF($B211="","0010",$B211))</f>
        <v/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41" t="n"/>
      <c r="K212" s="5" t="n"/>
      <c r="L212" s="18" t="n"/>
      <c r="M212" s="24">
        <f>IF($A212="","",IFERROR(INDEX('AJUSTES'!$B$4:$B$303,MATCH($AU212,'AJUSTES'!$A$4:$A$303,0)),IF($K212="","",$K212)))</f>
        <v/>
      </c>
      <c r="N212" s="24">
        <f>IF($A212="","",IFERROR(INDEX('CAT_ESTADOS_ERP'!$B$4:$B$22,MATCH(IFERROR(INDEX('2_IMPORTAR_EJECUCION'!$C$9:$C$1208,MATCH($AU212,'2_IMPORTAR_EJECUCION'!$J$9:$J$1208,0)),""),'CAT_ESTADOS_ERP'!$A$4:$A$22,0)),"Pendiente"))</f>
        <v/>
      </c>
      <c r="O212" s="24">
        <f>IF($J212="","",YEAR($J212+4-WEEKDAY($J212,2))&amp;"-S"&amp;TEXT(_xlfn.ISOWEEKNUM($J212),"00"))</f>
        <v/>
      </c>
      <c r="P212" s="24">
        <f>IF($J212="","",YEAR($J212))</f>
        <v/>
      </c>
      <c r="Q212" s="24">
        <f>IF($J212="","",MONTH($J212))</f>
        <v/>
      </c>
      <c r="R212" s="24">
        <f>IF($J212="","",$P212&amp;"-"&amp;TEXT($Q212,"00"))</f>
        <v/>
      </c>
      <c r="S212" s="24">
        <f>IF($J212="","",INDEX(lista_dias,WEEKDAY($J212,2)))</f>
        <v/>
      </c>
      <c r="T212" s="24">
        <f>IF($J212="","",IFERROR(INDEX('CALENDARIO'!$C$15:$C$214,MATCH(TEXT($J212,"yyyy-mm-dd")&amp;"|"&amp;$Y212&amp;"|"&amp;$Z212,'CALENDARIO'!$G$15:$G$214,0)),IFERROR(INDEX('CALENDARIO'!$C$15:$C$214,MATCH(TEXT($J212,"yyyy-mm-dd")&amp;"|"&amp;$Y212&amp;"|",'CALENDARIO'!$G$15:$G$214,0)),IFERROR(INDEX('CALENDARIO'!$C$15:$C$214,MATCH(TEXT($J212,"yyyy-mm-dd")&amp;"||",'CALENDARIO'!$G$15:$G$214,0)),INDEX(patronHabil,WEEKDAY($J212,2))))))</f>
        <v/>
      </c>
      <c r="U212" s="24">
        <f>IF($I212="","",IFERROR(INDEX('CAT_TIPOS_OT'!$C$4:$C$23,MATCH($I212,'CAT_TIPOS_OT'!$A$4:$A$23,0)),"sin_clasificar"))</f>
        <v/>
      </c>
      <c r="V212" s="24">
        <f>IF($I212="","",IF(IFERROR(INDEX('CAT_TIPOS_OT'!$D$4:$D$23,MATCH($I212,'CAT_TIPOS_OT'!$A$4:$A$23,0)),"SIN CLASIFICAR")="","SIN CLASIFICAR",IFERROR(INDEX('CAT_TIPOS_OT'!$D$4:$D$23,MATCH($I212,'CAT_TIPOS_OT'!$A$4:$A$23,0)),"SIN CLASIFICAR")))</f>
        <v/>
      </c>
      <c r="W212" s="24">
        <f>IF($H212="","",IF(IFERROR(INDEX('CAT_ACTIVIDADES'!$F$4:$F$26,MATCH($H212,'CAT_ACTIVIDADES'!$A$4:$A$26,0)),"")=0,"",IFERROR(INDEX('CAT_ACTIVIDADES'!$F$4:$F$26,MATCH($H212,'CAT_ACTIVIDADES'!$A$4:$A$26,0)),"")))</f>
        <v/>
      </c>
      <c r="X212" s="24">
        <f>IF($F212="","",IFERROR(INDEX('CAT_CENTROS_COSTO'!$F$4:$F$28,MATCH($F212,'CAT_CENTROS_COSTO'!$A$4:$A$28,0)),"(sin catálogo)"))</f>
        <v/>
      </c>
      <c r="Y212" s="24">
        <f>IF($F212="","",IFERROR(INDEX('CAT_CENTROS_COSTO'!$D$4:$D$28,MATCH($F212,'CAT_CENTROS_COSTO'!$A$4:$A$28,0)),"(sin catálogo)"))</f>
        <v/>
      </c>
      <c r="Z212" s="24">
        <f>IF($F212="","",IF((IFERROR(INDEX('CAT_CENTROS_COSTO'!$E$4:$E$28,MATCH($F212,'CAT_CENTROS_COSTO'!$A$4:$A$28,0)),""))&lt;&gt;"",IFERROR(INDEX('CAT_CENTROS_COSTO'!$E$4:$E$28,MATCH($F212,'CAT_CENTROS_COSTO'!$A$4:$A$28,0)),""),$Y212))</f>
        <v/>
      </c>
      <c r="AA212" s="24">
        <f>IF($F212="","",IFERROR(INDEX('CAT_CENTROS_COSTO'!$G$4:$G$28,MATCH($F212,'CAT_CENTROS_COSTO'!$A$4:$A$28,0)),"(sin catálogo)"))</f>
        <v/>
      </c>
      <c r="AB212" s="24">
        <f>IF($G212="","",IFERROR(INDEX('CAT_PUESTOS'!$B$4:$B$23,MATCH($G212,'CAT_PUESTOS'!$A$4:$A$23,0)),"(sin catálogo)"))</f>
        <v/>
      </c>
      <c r="AC212" s="24">
        <f>IF($H212="","",IFERROR(INDEX('CAT_ACTIVIDADES'!$B$4:$B$26,MATCH($H212,'CAT_ACTIVIDADES'!$A$4:$A$26,0)),"(sin catálogo)"))</f>
        <v/>
      </c>
      <c r="AD212" s="26">
        <f>IF($J212="","",TODAY()-$J212)</f>
        <v/>
      </c>
      <c r="AE212" s="26">
        <f>IF($J212="","",IF($J212&lt;=TODAY(),COUNTIFS(cal_fechas,"&gt;="&amp;$J212,cal_fechas,"&lt;"&amp;TODAY(),cal_habil,"sí"),-COUNTIFS(cal_fechas,"&gt;="&amp;TODAY(),cal_fechas,"&lt;"&amp;$J212,cal_habil,"sí")))</f>
        <v/>
      </c>
      <c r="AF212" s="24">
        <f>IF($AE212="","",IF($AE212&lt;0,"FUTURO",IF($AE212&gt;p_dias_backlog_max,"BACKLOG","MES CORRIENTE")))</f>
        <v/>
      </c>
      <c r="AG212" s="24">
        <f>IF($AE212="",FALSE,AND($AE212&gt;p_dias_backlog_min,$AE212&lt;=p_dias_backlog_max))</f>
        <v/>
      </c>
      <c r="AH212" s="4" t="n"/>
      <c r="AI212" s="24">
        <f>IF($AH212="","",IF((IFERROR(INDEX('ASIGNACIONES'!$J$4:$J$451,MATCH($O212&amp;"|"&amp;$S212&amp;"|"&amp;$AH212,'ASIGNACIONES'!$N$4:$N$451,0)),""))=0,"",IFERROR(INDEX('ASIGNACIONES'!$J$4:$J$451,MATCH($O212&amp;"|"&amp;$S212&amp;"|"&amp;$AH212,'ASIGNACIONES'!$N$4:$N$451,0)),"")))</f>
        <v/>
      </c>
      <c r="AJ212" s="42">
        <f>IF($AH212="","",SUMIFS('ORDENES'!$M$4:$M$1203,'ORDENES'!$AH$4:$AH$1203,$AH212,'ORDENES'!$O$4:$O$1203,$O212,'ORDENES'!$S$4:$S$1203,$S212))</f>
        <v/>
      </c>
      <c r="AK212" s="42">
        <f>IF($AJ212="","",p_factor_productividad*IFERROR(INDEX('ASIGNACIONES'!$M$4:$M$451,MATCH($O212&amp;"|"&amp;$S212&amp;"|"&amp;$AH212,'ASIGNACIONES'!$N$4:$N$451,0)),0)-$AJ212)</f>
        <v/>
      </c>
      <c r="AL212" s="32">
        <f>IF($A212="","",IFERROR(INDEX('2_IMPORTAR_EJECUCION'!$F$9:$F$1208,MATCH($AU212,'2_IMPORTAR_EJECUCION'!$J$9:$J$1208,0)),0))</f>
        <v/>
      </c>
      <c r="AM212" s="32">
        <f>IF($A212="","",MAX(0,IFERROR(INDEX('2_IMPORTAR_EJECUCION'!$H$9:$H$1208,MATCH($AU212,'2_IMPORTAR_EJECUCION'!$J$9:$J$1208,0)),0)-$AL212))</f>
        <v/>
      </c>
      <c r="AN212" s="32">
        <f>IF($A212="","",$AL212+$AM212)</f>
        <v/>
      </c>
      <c r="AO212" s="24">
        <f>IF($A212="","",IF(OR((IFERROR(INDEX('CAT_ACTIVIDADES'!$D$4:$D$26,MATCH($H212,'CAT_ACTIVIDADES'!$A$4:$A$26,0)),""))=0,(IFERROR(INDEX('CAT_ACTIVIDADES'!$D$4:$D$26,MATCH($H212,'CAT_ACTIVIDADES'!$A$4:$A$26,0)),""))=""),"SIN CLASIFICAR",IFERROR(INDEX('CAT_ACTIVIDADES'!$D$4:$D$26,MATCH($H212,'CAT_ACTIVIDADES'!$A$4:$A$26,0)),"")))</f>
        <v/>
      </c>
      <c r="AP212" s="4" t="n"/>
      <c r="AQ212" s="4" t="n"/>
      <c r="AR212" s="4" t="n"/>
      <c r="AS212" s="24">
        <f>IF($AR212="","",HYPERLINK(p_ruta_base_checklists&amp;$AR212,"abrir"))</f>
        <v/>
      </c>
      <c r="AT212" s="4" t="n"/>
      <c r="AU212" s="24">
        <f>IF($A212="","",$A212&amp;IF($B212="","0010",$B212))</f>
        <v/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41" t="n"/>
      <c r="K213" s="5" t="n"/>
      <c r="L213" s="18" t="n"/>
      <c r="M213" s="24">
        <f>IF($A213="","",IFERROR(INDEX('AJUSTES'!$B$4:$B$303,MATCH($AU213,'AJUSTES'!$A$4:$A$303,0)),IF($K213="","",$K213)))</f>
        <v/>
      </c>
      <c r="N213" s="24">
        <f>IF($A213="","",IFERROR(INDEX('CAT_ESTADOS_ERP'!$B$4:$B$22,MATCH(IFERROR(INDEX('2_IMPORTAR_EJECUCION'!$C$9:$C$1208,MATCH($AU213,'2_IMPORTAR_EJECUCION'!$J$9:$J$1208,0)),""),'CAT_ESTADOS_ERP'!$A$4:$A$22,0)),"Pendiente"))</f>
        <v/>
      </c>
      <c r="O213" s="24">
        <f>IF($J213="","",YEAR($J213+4-WEEKDAY($J213,2))&amp;"-S"&amp;TEXT(_xlfn.ISOWEEKNUM($J213),"00"))</f>
        <v/>
      </c>
      <c r="P213" s="24">
        <f>IF($J213="","",YEAR($J213))</f>
        <v/>
      </c>
      <c r="Q213" s="24">
        <f>IF($J213="","",MONTH($J213))</f>
        <v/>
      </c>
      <c r="R213" s="24">
        <f>IF($J213="","",$P213&amp;"-"&amp;TEXT($Q213,"00"))</f>
        <v/>
      </c>
      <c r="S213" s="24">
        <f>IF($J213="","",INDEX(lista_dias,WEEKDAY($J213,2)))</f>
        <v/>
      </c>
      <c r="T213" s="24">
        <f>IF($J213="","",IFERROR(INDEX('CALENDARIO'!$C$15:$C$214,MATCH(TEXT($J213,"yyyy-mm-dd")&amp;"|"&amp;$Y213&amp;"|"&amp;$Z213,'CALENDARIO'!$G$15:$G$214,0)),IFERROR(INDEX('CALENDARIO'!$C$15:$C$214,MATCH(TEXT($J213,"yyyy-mm-dd")&amp;"|"&amp;$Y213&amp;"|",'CALENDARIO'!$G$15:$G$214,0)),IFERROR(INDEX('CALENDARIO'!$C$15:$C$214,MATCH(TEXT($J213,"yyyy-mm-dd")&amp;"||",'CALENDARIO'!$G$15:$G$214,0)),INDEX(patronHabil,WEEKDAY($J213,2))))))</f>
        <v/>
      </c>
      <c r="U213" s="24">
        <f>IF($I213="","",IFERROR(INDEX('CAT_TIPOS_OT'!$C$4:$C$23,MATCH($I213,'CAT_TIPOS_OT'!$A$4:$A$23,0)),"sin_clasificar"))</f>
        <v/>
      </c>
      <c r="V213" s="24">
        <f>IF($I213="","",IF(IFERROR(INDEX('CAT_TIPOS_OT'!$D$4:$D$23,MATCH($I213,'CAT_TIPOS_OT'!$A$4:$A$23,0)),"SIN CLASIFICAR")="","SIN CLASIFICAR",IFERROR(INDEX('CAT_TIPOS_OT'!$D$4:$D$23,MATCH($I213,'CAT_TIPOS_OT'!$A$4:$A$23,0)),"SIN CLASIFICAR")))</f>
        <v/>
      </c>
      <c r="W213" s="24">
        <f>IF($H213="","",IF(IFERROR(INDEX('CAT_ACTIVIDADES'!$F$4:$F$26,MATCH($H213,'CAT_ACTIVIDADES'!$A$4:$A$26,0)),"")=0,"",IFERROR(INDEX('CAT_ACTIVIDADES'!$F$4:$F$26,MATCH($H213,'CAT_ACTIVIDADES'!$A$4:$A$26,0)),"")))</f>
        <v/>
      </c>
      <c r="X213" s="24">
        <f>IF($F213="","",IFERROR(INDEX('CAT_CENTROS_COSTO'!$F$4:$F$28,MATCH($F213,'CAT_CENTROS_COSTO'!$A$4:$A$28,0)),"(sin catálogo)"))</f>
        <v/>
      </c>
      <c r="Y213" s="24">
        <f>IF($F213="","",IFERROR(INDEX('CAT_CENTROS_COSTO'!$D$4:$D$28,MATCH($F213,'CAT_CENTROS_COSTO'!$A$4:$A$28,0)),"(sin catálogo)"))</f>
        <v/>
      </c>
      <c r="Z213" s="24">
        <f>IF($F213="","",IF((IFERROR(INDEX('CAT_CENTROS_COSTO'!$E$4:$E$28,MATCH($F213,'CAT_CENTROS_COSTO'!$A$4:$A$28,0)),""))&lt;&gt;"",IFERROR(INDEX('CAT_CENTROS_COSTO'!$E$4:$E$28,MATCH($F213,'CAT_CENTROS_COSTO'!$A$4:$A$28,0)),""),$Y213))</f>
        <v/>
      </c>
      <c r="AA213" s="24">
        <f>IF($F213="","",IFERROR(INDEX('CAT_CENTROS_COSTO'!$G$4:$G$28,MATCH($F213,'CAT_CENTROS_COSTO'!$A$4:$A$28,0)),"(sin catálogo)"))</f>
        <v/>
      </c>
      <c r="AB213" s="24">
        <f>IF($G213="","",IFERROR(INDEX('CAT_PUESTOS'!$B$4:$B$23,MATCH($G213,'CAT_PUESTOS'!$A$4:$A$23,0)),"(sin catálogo)"))</f>
        <v/>
      </c>
      <c r="AC213" s="24">
        <f>IF($H213="","",IFERROR(INDEX('CAT_ACTIVIDADES'!$B$4:$B$26,MATCH($H213,'CAT_ACTIVIDADES'!$A$4:$A$26,0)),"(sin catálogo)"))</f>
        <v/>
      </c>
      <c r="AD213" s="26">
        <f>IF($J213="","",TODAY()-$J213)</f>
        <v/>
      </c>
      <c r="AE213" s="26">
        <f>IF($J213="","",IF($J213&lt;=TODAY(),COUNTIFS(cal_fechas,"&gt;="&amp;$J213,cal_fechas,"&lt;"&amp;TODAY(),cal_habil,"sí"),-COUNTIFS(cal_fechas,"&gt;="&amp;TODAY(),cal_fechas,"&lt;"&amp;$J213,cal_habil,"sí")))</f>
        <v/>
      </c>
      <c r="AF213" s="24">
        <f>IF($AE213="","",IF($AE213&lt;0,"FUTURO",IF($AE213&gt;p_dias_backlog_max,"BACKLOG","MES CORRIENTE")))</f>
        <v/>
      </c>
      <c r="AG213" s="24">
        <f>IF($AE213="",FALSE,AND($AE213&gt;p_dias_backlog_min,$AE213&lt;=p_dias_backlog_max))</f>
        <v/>
      </c>
      <c r="AH213" s="4" t="n"/>
      <c r="AI213" s="24">
        <f>IF($AH213="","",IF((IFERROR(INDEX('ASIGNACIONES'!$J$4:$J$451,MATCH($O213&amp;"|"&amp;$S213&amp;"|"&amp;$AH213,'ASIGNACIONES'!$N$4:$N$451,0)),""))=0,"",IFERROR(INDEX('ASIGNACIONES'!$J$4:$J$451,MATCH($O213&amp;"|"&amp;$S213&amp;"|"&amp;$AH213,'ASIGNACIONES'!$N$4:$N$451,0)),"")))</f>
        <v/>
      </c>
      <c r="AJ213" s="42">
        <f>IF($AH213="","",SUMIFS('ORDENES'!$M$4:$M$1203,'ORDENES'!$AH$4:$AH$1203,$AH213,'ORDENES'!$O$4:$O$1203,$O213,'ORDENES'!$S$4:$S$1203,$S213))</f>
        <v/>
      </c>
      <c r="AK213" s="42">
        <f>IF($AJ213="","",p_factor_productividad*IFERROR(INDEX('ASIGNACIONES'!$M$4:$M$451,MATCH($O213&amp;"|"&amp;$S213&amp;"|"&amp;$AH213,'ASIGNACIONES'!$N$4:$N$451,0)),0)-$AJ213)</f>
        <v/>
      </c>
      <c r="AL213" s="32">
        <f>IF($A213="","",IFERROR(INDEX('2_IMPORTAR_EJECUCION'!$F$9:$F$1208,MATCH($AU213,'2_IMPORTAR_EJECUCION'!$J$9:$J$1208,0)),0))</f>
        <v/>
      </c>
      <c r="AM213" s="32">
        <f>IF($A213="","",MAX(0,IFERROR(INDEX('2_IMPORTAR_EJECUCION'!$H$9:$H$1208,MATCH($AU213,'2_IMPORTAR_EJECUCION'!$J$9:$J$1208,0)),0)-$AL213))</f>
        <v/>
      </c>
      <c r="AN213" s="32">
        <f>IF($A213="","",$AL213+$AM213)</f>
        <v/>
      </c>
      <c r="AO213" s="24">
        <f>IF($A213="","",IF(OR((IFERROR(INDEX('CAT_ACTIVIDADES'!$D$4:$D$26,MATCH($H213,'CAT_ACTIVIDADES'!$A$4:$A$26,0)),""))=0,(IFERROR(INDEX('CAT_ACTIVIDADES'!$D$4:$D$26,MATCH($H213,'CAT_ACTIVIDADES'!$A$4:$A$26,0)),""))=""),"SIN CLASIFICAR",IFERROR(INDEX('CAT_ACTIVIDADES'!$D$4:$D$26,MATCH($H213,'CAT_ACTIVIDADES'!$A$4:$A$26,0)),"")))</f>
        <v/>
      </c>
      <c r="AP213" s="4" t="n"/>
      <c r="AQ213" s="4" t="n"/>
      <c r="AR213" s="4" t="n"/>
      <c r="AS213" s="24">
        <f>IF($AR213="","",HYPERLINK(p_ruta_base_checklists&amp;$AR213,"abrir"))</f>
        <v/>
      </c>
      <c r="AT213" s="4" t="n"/>
      <c r="AU213" s="24">
        <f>IF($A213="","",$A213&amp;IF($B213="","0010",$B213))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41" t="n"/>
      <c r="K214" s="5" t="n"/>
      <c r="L214" s="18" t="n"/>
      <c r="M214" s="24">
        <f>IF($A214="","",IFERROR(INDEX('AJUSTES'!$B$4:$B$303,MATCH($AU214,'AJUSTES'!$A$4:$A$303,0)),IF($K214="","",$K214)))</f>
        <v/>
      </c>
      <c r="N214" s="24">
        <f>IF($A214="","",IFERROR(INDEX('CAT_ESTADOS_ERP'!$B$4:$B$22,MATCH(IFERROR(INDEX('2_IMPORTAR_EJECUCION'!$C$9:$C$1208,MATCH($AU214,'2_IMPORTAR_EJECUCION'!$J$9:$J$1208,0)),""),'CAT_ESTADOS_ERP'!$A$4:$A$22,0)),"Pendiente"))</f>
        <v/>
      </c>
      <c r="O214" s="24">
        <f>IF($J214="","",YEAR($J214+4-WEEKDAY($J214,2))&amp;"-S"&amp;TEXT(_xlfn.ISOWEEKNUM($J214),"00"))</f>
        <v/>
      </c>
      <c r="P214" s="24">
        <f>IF($J214="","",YEAR($J214))</f>
        <v/>
      </c>
      <c r="Q214" s="24">
        <f>IF($J214="","",MONTH($J214))</f>
        <v/>
      </c>
      <c r="R214" s="24">
        <f>IF($J214="","",$P214&amp;"-"&amp;TEXT($Q214,"00"))</f>
        <v/>
      </c>
      <c r="S214" s="24">
        <f>IF($J214="","",INDEX(lista_dias,WEEKDAY($J214,2)))</f>
        <v/>
      </c>
      <c r="T214" s="24">
        <f>IF($J214="","",IFERROR(INDEX('CALENDARIO'!$C$15:$C$214,MATCH(TEXT($J214,"yyyy-mm-dd")&amp;"|"&amp;$Y214&amp;"|"&amp;$Z214,'CALENDARIO'!$G$15:$G$214,0)),IFERROR(INDEX('CALENDARIO'!$C$15:$C$214,MATCH(TEXT($J214,"yyyy-mm-dd")&amp;"|"&amp;$Y214&amp;"|",'CALENDARIO'!$G$15:$G$214,0)),IFERROR(INDEX('CALENDARIO'!$C$15:$C$214,MATCH(TEXT($J214,"yyyy-mm-dd")&amp;"||",'CALENDARIO'!$G$15:$G$214,0)),INDEX(patronHabil,WEEKDAY($J214,2))))))</f>
        <v/>
      </c>
      <c r="U214" s="24">
        <f>IF($I214="","",IFERROR(INDEX('CAT_TIPOS_OT'!$C$4:$C$23,MATCH($I214,'CAT_TIPOS_OT'!$A$4:$A$23,0)),"sin_clasificar"))</f>
        <v/>
      </c>
      <c r="V214" s="24">
        <f>IF($I214="","",IF(IFERROR(INDEX('CAT_TIPOS_OT'!$D$4:$D$23,MATCH($I214,'CAT_TIPOS_OT'!$A$4:$A$23,0)),"SIN CLASIFICAR")="","SIN CLASIFICAR",IFERROR(INDEX('CAT_TIPOS_OT'!$D$4:$D$23,MATCH($I214,'CAT_TIPOS_OT'!$A$4:$A$23,0)),"SIN CLASIFICAR")))</f>
        <v/>
      </c>
      <c r="W214" s="24">
        <f>IF($H214="","",IF(IFERROR(INDEX('CAT_ACTIVIDADES'!$F$4:$F$26,MATCH($H214,'CAT_ACTIVIDADES'!$A$4:$A$26,0)),"")=0,"",IFERROR(INDEX('CAT_ACTIVIDADES'!$F$4:$F$26,MATCH($H214,'CAT_ACTIVIDADES'!$A$4:$A$26,0)),"")))</f>
        <v/>
      </c>
      <c r="X214" s="24">
        <f>IF($F214="","",IFERROR(INDEX('CAT_CENTROS_COSTO'!$F$4:$F$28,MATCH($F214,'CAT_CENTROS_COSTO'!$A$4:$A$28,0)),"(sin catálogo)"))</f>
        <v/>
      </c>
      <c r="Y214" s="24">
        <f>IF($F214="","",IFERROR(INDEX('CAT_CENTROS_COSTO'!$D$4:$D$28,MATCH($F214,'CAT_CENTROS_COSTO'!$A$4:$A$28,0)),"(sin catálogo)"))</f>
        <v/>
      </c>
      <c r="Z214" s="24">
        <f>IF($F214="","",IF((IFERROR(INDEX('CAT_CENTROS_COSTO'!$E$4:$E$28,MATCH($F214,'CAT_CENTROS_COSTO'!$A$4:$A$28,0)),""))&lt;&gt;"",IFERROR(INDEX('CAT_CENTROS_COSTO'!$E$4:$E$28,MATCH($F214,'CAT_CENTROS_COSTO'!$A$4:$A$28,0)),""),$Y214))</f>
        <v/>
      </c>
      <c r="AA214" s="24">
        <f>IF($F214="","",IFERROR(INDEX('CAT_CENTROS_COSTO'!$G$4:$G$28,MATCH($F214,'CAT_CENTROS_COSTO'!$A$4:$A$28,0)),"(sin catálogo)"))</f>
        <v/>
      </c>
      <c r="AB214" s="24">
        <f>IF($G214="","",IFERROR(INDEX('CAT_PUESTOS'!$B$4:$B$23,MATCH($G214,'CAT_PUESTOS'!$A$4:$A$23,0)),"(sin catálogo)"))</f>
        <v/>
      </c>
      <c r="AC214" s="24">
        <f>IF($H214="","",IFERROR(INDEX('CAT_ACTIVIDADES'!$B$4:$B$26,MATCH($H214,'CAT_ACTIVIDADES'!$A$4:$A$26,0)),"(sin catálogo)"))</f>
        <v/>
      </c>
      <c r="AD214" s="26">
        <f>IF($J214="","",TODAY()-$J214)</f>
        <v/>
      </c>
      <c r="AE214" s="26">
        <f>IF($J214="","",IF($J214&lt;=TODAY(),COUNTIFS(cal_fechas,"&gt;="&amp;$J214,cal_fechas,"&lt;"&amp;TODAY(),cal_habil,"sí"),-COUNTIFS(cal_fechas,"&gt;="&amp;TODAY(),cal_fechas,"&lt;"&amp;$J214,cal_habil,"sí")))</f>
        <v/>
      </c>
      <c r="AF214" s="24">
        <f>IF($AE214="","",IF($AE214&lt;0,"FUTURO",IF($AE214&gt;p_dias_backlog_max,"BACKLOG","MES CORRIENTE")))</f>
        <v/>
      </c>
      <c r="AG214" s="24">
        <f>IF($AE214="",FALSE,AND($AE214&gt;p_dias_backlog_min,$AE214&lt;=p_dias_backlog_max))</f>
        <v/>
      </c>
      <c r="AH214" s="4" t="n"/>
      <c r="AI214" s="24">
        <f>IF($AH214="","",IF((IFERROR(INDEX('ASIGNACIONES'!$J$4:$J$451,MATCH($O214&amp;"|"&amp;$S214&amp;"|"&amp;$AH214,'ASIGNACIONES'!$N$4:$N$451,0)),""))=0,"",IFERROR(INDEX('ASIGNACIONES'!$J$4:$J$451,MATCH($O214&amp;"|"&amp;$S214&amp;"|"&amp;$AH214,'ASIGNACIONES'!$N$4:$N$451,0)),"")))</f>
        <v/>
      </c>
      <c r="AJ214" s="42">
        <f>IF($AH214="","",SUMIFS('ORDENES'!$M$4:$M$1203,'ORDENES'!$AH$4:$AH$1203,$AH214,'ORDENES'!$O$4:$O$1203,$O214,'ORDENES'!$S$4:$S$1203,$S214))</f>
        <v/>
      </c>
      <c r="AK214" s="42">
        <f>IF($AJ214="","",p_factor_productividad*IFERROR(INDEX('ASIGNACIONES'!$M$4:$M$451,MATCH($O214&amp;"|"&amp;$S214&amp;"|"&amp;$AH214,'ASIGNACIONES'!$N$4:$N$451,0)),0)-$AJ214)</f>
        <v/>
      </c>
      <c r="AL214" s="32">
        <f>IF($A214="","",IFERROR(INDEX('2_IMPORTAR_EJECUCION'!$F$9:$F$1208,MATCH($AU214,'2_IMPORTAR_EJECUCION'!$J$9:$J$1208,0)),0))</f>
        <v/>
      </c>
      <c r="AM214" s="32">
        <f>IF($A214="","",MAX(0,IFERROR(INDEX('2_IMPORTAR_EJECUCION'!$H$9:$H$1208,MATCH($AU214,'2_IMPORTAR_EJECUCION'!$J$9:$J$1208,0)),0)-$AL214))</f>
        <v/>
      </c>
      <c r="AN214" s="32">
        <f>IF($A214="","",$AL214+$AM214)</f>
        <v/>
      </c>
      <c r="AO214" s="24">
        <f>IF($A214="","",IF(OR((IFERROR(INDEX('CAT_ACTIVIDADES'!$D$4:$D$26,MATCH($H214,'CAT_ACTIVIDADES'!$A$4:$A$26,0)),""))=0,(IFERROR(INDEX('CAT_ACTIVIDADES'!$D$4:$D$26,MATCH($H214,'CAT_ACTIVIDADES'!$A$4:$A$26,0)),""))=""),"SIN CLASIFICAR",IFERROR(INDEX('CAT_ACTIVIDADES'!$D$4:$D$26,MATCH($H214,'CAT_ACTIVIDADES'!$A$4:$A$26,0)),"")))</f>
        <v/>
      </c>
      <c r="AP214" s="4" t="n"/>
      <c r="AQ214" s="4" t="n"/>
      <c r="AR214" s="4" t="n"/>
      <c r="AS214" s="24">
        <f>IF($AR214="","",HYPERLINK(p_ruta_base_checklists&amp;$AR214,"abrir"))</f>
        <v/>
      </c>
      <c r="AT214" s="4" t="n"/>
      <c r="AU214" s="24">
        <f>IF($A214="","",$A214&amp;IF($B214="","0010",$B214))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41" t="n"/>
      <c r="K215" s="5" t="n"/>
      <c r="L215" s="18" t="n"/>
      <c r="M215" s="24">
        <f>IF($A215="","",IFERROR(INDEX('AJUSTES'!$B$4:$B$303,MATCH($AU215,'AJUSTES'!$A$4:$A$303,0)),IF($K215="","",$K215)))</f>
        <v/>
      </c>
      <c r="N215" s="24">
        <f>IF($A215="","",IFERROR(INDEX('CAT_ESTADOS_ERP'!$B$4:$B$22,MATCH(IFERROR(INDEX('2_IMPORTAR_EJECUCION'!$C$9:$C$1208,MATCH($AU215,'2_IMPORTAR_EJECUCION'!$J$9:$J$1208,0)),""),'CAT_ESTADOS_ERP'!$A$4:$A$22,0)),"Pendiente"))</f>
        <v/>
      </c>
      <c r="O215" s="24">
        <f>IF($J215="","",YEAR($J215+4-WEEKDAY($J215,2))&amp;"-S"&amp;TEXT(_xlfn.ISOWEEKNUM($J215),"00"))</f>
        <v/>
      </c>
      <c r="P215" s="24">
        <f>IF($J215="","",YEAR($J215))</f>
        <v/>
      </c>
      <c r="Q215" s="24">
        <f>IF($J215="","",MONTH($J215))</f>
        <v/>
      </c>
      <c r="R215" s="24">
        <f>IF($J215="","",$P215&amp;"-"&amp;TEXT($Q215,"00"))</f>
        <v/>
      </c>
      <c r="S215" s="24">
        <f>IF($J215="","",INDEX(lista_dias,WEEKDAY($J215,2)))</f>
        <v/>
      </c>
      <c r="T215" s="24">
        <f>IF($J215="","",IFERROR(INDEX('CALENDARIO'!$C$15:$C$214,MATCH(TEXT($J215,"yyyy-mm-dd")&amp;"|"&amp;$Y215&amp;"|"&amp;$Z215,'CALENDARIO'!$G$15:$G$214,0)),IFERROR(INDEX('CALENDARIO'!$C$15:$C$214,MATCH(TEXT($J215,"yyyy-mm-dd")&amp;"|"&amp;$Y215&amp;"|",'CALENDARIO'!$G$15:$G$214,0)),IFERROR(INDEX('CALENDARIO'!$C$15:$C$214,MATCH(TEXT($J215,"yyyy-mm-dd")&amp;"||",'CALENDARIO'!$G$15:$G$214,0)),INDEX(patronHabil,WEEKDAY($J215,2))))))</f>
        <v/>
      </c>
      <c r="U215" s="24">
        <f>IF($I215="","",IFERROR(INDEX('CAT_TIPOS_OT'!$C$4:$C$23,MATCH($I215,'CAT_TIPOS_OT'!$A$4:$A$23,0)),"sin_clasificar"))</f>
        <v/>
      </c>
      <c r="V215" s="24">
        <f>IF($I215="","",IF(IFERROR(INDEX('CAT_TIPOS_OT'!$D$4:$D$23,MATCH($I215,'CAT_TIPOS_OT'!$A$4:$A$23,0)),"SIN CLASIFICAR")="","SIN CLASIFICAR",IFERROR(INDEX('CAT_TIPOS_OT'!$D$4:$D$23,MATCH($I215,'CAT_TIPOS_OT'!$A$4:$A$23,0)),"SIN CLASIFICAR")))</f>
        <v/>
      </c>
      <c r="W215" s="24">
        <f>IF($H215="","",IF(IFERROR(INDEX('CAT_ACTIVIDADES'!$F$4:$F$26,MATCH($H215,'CAT_ACTIVIDADES'!$A$4:$A$26,0)),"")=0,"",IFERROR(INDEX('CAT_ACTIVIDADES'!$F$4:$F$26,MATCH($H215,'CAT_ACTIVIDADES'!$A$4:$A$26,0)),"")))</f>
        <v/>
      </c>
      <c r="X215" s="24">
        <f>IF($F215="","",IFERROR(INDEX('CAT_CENTROS_COSTO'!$F$4:$F$28,MATCH($F215,'CAT_CENTROS_COSTO'!$A$4:$A$28,0)),"(sin catálogo)"))</f>
        <v/>
      </c>
      <c r="Y215" s="24">
        <f>IF($F215="","",IFERROR(INDEX('CAT_CENTROS_COSTO'!$D$4:$D$28,MATCH($F215,'CAT_CENTROS_COSTO'!$A$4:$A$28,0)),"(sin catálogo)"))</f>
        <v/>
      </c>
      <c r="Z215" s="24">
        <f>IF($F215="","",IF((IFERROR(INDEX('CAT_CENTROS_COSTO'!$E$4:$E$28,MATCH($F215,'CAT_CENTROS_COSTO'!$A$4:$A$28,0)),""))&lt;&gt;"",IFERROR(INDEX('CAT_CENTROS_COSTO'!$E$4:$E$28,MATCH($F215,'CAT_CENTROS_COSTO'!$A$4:$A$28,0)),""),$Y215))</f>
        <v/>
      </c>
      <c r="AA215" s="24">
        <f>IF($F215="","",IFERROR(INDEX('CAT_CENTROS_COSTO'!$G$4:$G$28,MATCH($F215,'CAT_CENTROS_COSTO'!$A$4:$A$28,0)),"(sin catálogo)"))</f>
        <v/>
      </c>
      <c r="AB215" s="24">
        <f>IF($G215="","",IFERROR(INDEX('CAT_PUESTOS'!$B$4:$B$23,MATCH($G215,'CAT_PUESTOS'!$A$4:$A$23,0)),"(sin catálogo)"))</f>
        <v/>
      </c>
      <c r="AC215" s="24">
        <f>IF($H215="","",IFERROR(INDEX('CAT_ACTIVIDADES'!$B$4:$B$26,MATCH($H215,'CAT_ACTIVIDADES'!$A$4:$A$26,0)),"(sin catálogo)"))</f>
        <v/>
      </c>
      <c r="AD215" s="26">
        <f>IF($J215="","",TODAY()-$J215)</f>
        <v/>
      </c>
      <c r="AE215" s="26">
        <f>IF($J215="","",IF($J215&lt;=TODAY(),COUNTIFS(cal_fechas,"&gt;="&amp;$J215,cal_fechas,"&lt;"&amp;TODAY(),cal_habil,"sí"),-COUNTIFS(cal_fechas,"&gt;="&amp;TODAY(),cal_fechas,"&lt;"&amp;$J215,cal_habil,"sí")))</f>
        <v/>
      </c>
      <c r="AF215" s="24">
        <f>IF($AE215="","",IF($AE215&lt;0,"FUTURO",IF($AE215&gt;p_dias_backlog_max,"BACKLOG","MES CORRIENTE")))</f>
        <v/>
      </c>
      <c r="AG215" s="24">
        <f>IF($AE215="",FALSE,AND($AE215&gt;p_dias_backlog_min,$AE215&lt;=p_dias_backlog_max))</f>
        <v/>
      </c>
      <c r="AH215" s="4" t="n"/>
      <c r="AI215" s="24">
        <f>IF($AH215="","",IF((IFERROR(INDEX('ASIGNACIONES'!$J$4:$J$451,MATCH($O215&amp;"|"&amp;$S215&amp;"|"&amp;$AH215,'ASIGNACIONES'!$N$4:$N$451,0)),""))=0,"",IFERROR(INDEX('ASIGNACIONES'!$J$4:$J$451,MATCH($O215&amp;"|"&amp;$S215&amp;"|"&amp;$AH215,'ASIGNACIONES'!$N$4:$N$451,0)),"")))</f>
        <v/>
      </c>
      <c r="AJ215" s="42">
        <f>IF($AH215="","",SUMIFS('ORDENES'!$M$4:$M$1203,'ORDENES'!$AH$4:$AH$1203,$AH215,'ORDENES'!$O$4:$O$1203,$O215,'ORDENES'!$S$4:$S$1203,$S215))</f>
        <v/>
      </c>
      <c r="AK215" s="42">
        <f>IF($AJ215="","",p_factor_productividad*IFERROR(INDEX('ASIGNACIONES'!$M$4:$M$451,MATCH($O215&amp;"|"&amp;$S215&amp;"|"&amp;$AH215,'ASIGNACIONES'!$N$4:$N$451,0)),0)-$AJ215)</f>
        <v/>
      </c>
      <c r="AL215" s="32">
        <f>IF($A215="","",IFERROR(INDEX('2_IMPORTAR_EJECUCION'!$F$9:$F$1208,MATCH($AU215,'2_IMPORTAR_EJECUCION'!$J$9:$J$1208,0)),0))</f>
        <v/>
      </c>
      <c r="AM215" s="32">
        <f>IF($A215="","",MAX(0,IFERROR(INDEX('2_IMPORTAR_EJECUCION'!$H$9:$H$1208,MATCH($AU215,'2_IMPORTAR_EJECUCION'!$J$9:$J$1208,0)),0)-$AL215))</f>
        <v/>
      </c>
      <c r="AN215" s="32">
        <f>IF($A215="","",$AL215+$AM215)</f>
        <v/>
      </c>
      <c r="AO215" s="24">
        <f>IF($A215="","",IF(OR((IFERROR(INDEX('CAT_ACTIVIDADES'!$D$4:$D$26,MATCH($H215,'CAT_ACTIVIDADES'!$A$4:$A$26,0)),""))=0,(IFERROR(INDEX('CAT_ACTIVIDADES'!$D$4:$D$26,MATCH($H215,'CAT_ACTIVIDADES'!$A$4:$A$26,0)),""))=""),"SIN CLASIFICAR",IFERROR(INDEX('CAT_ACTIVIDADES'!$D$4:$D$26,MATCH($H215,'CAT_ACTIVIDADES'!$A$4:$A$26,0)),"")))</f>
        <v/>
      </c>
      <c r="AP215" s="4" t="n"/>
      <c r="AQ215" s="4" t="n"/>
      <c r="AR215" s="4" t="n"/>
      <c r="AS215" s="24">
        <f>IF($AR215="","",HYPERLINK(p_ruta_base_checklists&amp;$AR215,"abrir"))</f>
        <v/>
      </c>
      <c r="AT215" s="4" t="n"/>
      <c r="AU215" s="24">
        <f>IF($A215="","",$A215&amp;IF($B215="","0010",$B215))</f>
        <v/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41" t="n"/>
      <c r="K216" s="5" t="n"/>
      <c r="L216" s="18" t="n"/>
      <c r="M216" s="24">
        <f>IF($A216="","",IFERROR(INDEX('AJUSTES'!$B$4:$B$303,MATCH($AU216,'AJUSTES'!$A$4:$A$303,0)),IF($K216="","",$K216)))</f>
        <v/>
      </c>
      <c r="N216" s="24">
        <f>IF($A216="","",IFERROR(INDEX('CAT_ESTADOS_ERP'!$B$4:$B$22,MATCH(IFERROR(INDEX('2_IMPORTAR_EJECUCION'!$C$9:$C$1208,MATCH($AU216,'2_IMPORTAR_EJECUCION'!$J$9:$J$1208,0)),""),'CAT_ESTADOS_ERP'!$A$4:$A$22,0)),"Pendiente"))</f>
        <v/>
      </c>
      <c r="O216" s="24">
        <f>IF($J216="","",YEAR($J216+4-WEEKDAY($J216,2))&amp;"-S"&amp;TEXT(_xlfn.ISOWEEKNUM($J216),"00"))</f>
        <v/>
      </c>
      <c r="P216" s="24">
        <f>IF($J216="","",YEAR($J216))</f>
        <v/>
      </c>
      <c r="Q216" s="24">
        <f>IF($J216="","",MONTH($J216))</f>
        <v/>
      </c>
      <c r="R216" s="24">
        <f>IF($J216="","",$P216&amp;"-"&amp;TEXT($Q216,"00"))</f>
        <v/>
      </c>
      <c r="S216" s="24">
        <f>IF($J216="","",INDEX(lista_dias,WEEKDAY($J216,2)))</f>
        <v/>
      </c>
      <c r="T216" s="24">
        <f>IF($J216="","",IFERROR(INDEX('CALENDARIO'!$C$15:$C$214,MATCH(TEXT($J216,"yyyy-mm-dd")&amp;"|"&amp;$Y216&amp;"|"&amp;$Z216,'CALENDARIO'!$G$15:$G$214,0)),IFERROR(INDEX('CALENDARIO'!$C$15:$C$214,MATCH(TEXT($J216,"yyyy-mm-dd")&amp;"|"&amp;$Y216&amp;"|",'CALENDARIO'!$G$15:$G$214,0)),IFERROR(INDEX('CALENDARIO'!$C$15:$C$214,MATCH(TEXT($J216,"yyyy-mm-dd")&amp;"||",'CALENDARIO'!$G$15:$G$214,0)),INDEX(patronHabil,WEEKDAY($J216,2))))))</f>
        <v/>
      </c>
      <c r="U216" s="24">
        <f>IF($I216="","",IFERROR(INDEX('CAT_TIPOS_OT'!$C$4:$C$23,MATCH($I216,'CAT_TIPOS_OT'!$A$4:$A$23,0)),"sin_clasificar"))</f>
        <v/>
      </c>
      <c r="V216" s="24">
        <f>IF($I216="","",IF(IFERROR(INDEX('CAT_TIPOS_OT'!$D$4:$D$23,MATCH($I216,'CAT_TIPOS_OT'!$A$4:$A$23,0)),"SIN CLASIFICAR")="","SIN CLASIFICAR",IFERROR(INDEX('CAT_TIPOS_OT'!$D$4:$D$23,MATCH($I216,'CAT_TIPOS_OT'!$A$4:$A$23,0)),"SIN CLASIFICAR")))</f>
        <v/>
      </c>
      <c r="W216" s="24">
        <f>IF($H216="","",IF(IFERROR(INDEX('CAT_ACTIVIDADES'!$F$4:$F$26,MATCH($H216,'CAT_ACTIVIDADES'!$A$4:$A$26,0)),"")=0,"",IFERROR(INDEX('CAT_ACTIVIDADES'!$F$4:$F$26,MATCH($H216,'CAT_ACTIVIDADES'!$A$4:$A$26,0)),"")))</f>
        <v/>
      </c>
      <c r="X216" s="24">
        <f>IF($F216="","",IFERROR(INDEX('CAT_CENTROS_COSTO'!$F$4:$F$28,MATCH($F216,'CAT_CENTROS_COSTO'!$A$4:$A$28,0)),"(sin catálogo)"))</f>
        <v/>
      </c>
      <c r="Y216" s="24">
        <f>IF($F216="","",IFERROR(INDEX('CAT_CENTROS_COSTO'!$D$4:$D$28,MATCH($F216,'CAT_CENTROS_COSTO'!$A$4:$A$28,0)),"(sin catálogo)"))</f>
        <v/>
      </c>
      <c r="Z216" s="24">
        <f>IF($F216="","",IF((IFERROR(INDEX('CAT_CENTROS_COSTO'!$E$4:$E$28,MATCH($F216,'CAT_CENTROS_COSTO'!$A$4:$A$28,0)),""))&lt;&gt;"",IFERROR(INDEX('CAT_CENTROS_COSTO'!$E$4:$E$28,MATCH($F216,'CAT_CENTROS_COSTO'!$A$4:$A$28,0)),""),$Y216))</f>
        <v/>
      </c>
      <c r="AA216" s="24">
        <f>IF($F216="","",IFERROR(INDEX('CAT_CENTROS_COSTO'!$G$4:$G$28,MATCH($F216,'CAT_CENTROS_COSTO'!$A$4:$A$28,0)),"(sin catálogo)"))</f>
        <v/>
      </c>
      <c r="AB216" s="24">
        <f>IF($G216="","",IFERROR(INDEX('CAT_PUESTOS'!$B$4:$B$23,MATCH($G216,'CAT_PUESTOS'!$A$4:$A$23,0)),"(sin catálogo)"))</f>
        <v/>
      </c>
      <c r="AC216" s="24">
        <f>IF($H216="","",IFERROR(INDEX('CAT_ACTIVIDADES'!$B$4:$B$26,MATCH($H216,'CAT_ACTIVIDADES'!$A$4:$A$26,0)),"(sin catálogo)"))</f>
        <v/>
      </c>
      <c r="AD216" s="26">
        <f>IF($J216="","",TODAY()-$J216)</f>
        <v/>
      </c>
      <c r="AE216" s="26">
        <f>IF($J216="","",IF($J216&lt;=TODAY(),COUNTIFS(cal_fechas,"&gt;="&amp;$J216,cal_fechas,"&lt;"&amp;TODAY(),cal_habil,"sí"),-COUNTIFS(cal_fechas,"&gt;="&amp;TODAY(),cal_fechas,"&lt;"&amp;$J216,cal_habil,"sí")))</f>
        <v/>
      </c>
      <c r="AF216" s="24">
        <f>IF($AE216="","",IF($AE216&lt;0,"FUTURO",IF($AE216&gt;p_dias_backlog_max,"BACKLOG","MES CORRIENTE")))</f>
        <v/>
      </c>
      <c r="AG216" s="24">
        <f>IF($AE216="",FALSE,AND($AE216&gt;p_dias_backlog_min,$AE216&lt;=p_dias_backlog_max))</f>
        <v/>
      </c>
      <c r="AH216" s="4" t="n"/>
      <c r="AI216" s="24">
        <f>IF($AH216="","",IF((IFERROR(INDEX('ASIGNACIONES'!$J$4:$J$451,MATCH($O216&amp;"|"&amp;$S216&amp;"|"&amp;$AH216,'ASIGNACIONES'!$N$4:$N$451,0)),""))=0,"",IFERROR(INDEX('ASIGNACIONES'!$J$4:$J$451,MATCH($O216&amp;"|"&amp;$S216&amp;"|"&amp;$AH216,'ASIGNACIONES'!$N$4:$N$451,0)),"")))</f>
        <v/>
      </c>
      <c r="AJ216" s="42">
        <f>IF($AH216="","",SUMIFS('ORDENES'!$M$4:$M$1203,'ORDENES'!$AH$4:$AH$1203,$AH216,'ORDENES'!$O$4:$O$1203,$O216,'ORDENES'!$S$4:$S$1203,$S216))</f>
        <v/>
      </c>
      <c r="AK216" s="42">
        <f>IF($AJ216="","",p_factor_productividad*IFERROR(INDEX('ASIGNACIONES'!$M$4:$M$451,MATCH($O216&amp;"|"&amp;$S216&amp;"|"&amp;$AH216,'ASIGNACIONES'!$N$4:$N$451,0)),0)-$AJ216)</f>
        <v/>
      </c>
      <c r="AL216" s="32">
        <f>IF($A216="","",IFERROR(INDEX('2_IMPORTAR_EJECUCION'!$F$9:$F$1208,MATCH($AU216,'2_IMPORTAR_EJECUCION'!$J$9:$J$1208,0)),0))</f>
        <v/>
      </c>
      <c r="AM216" s="32">
        <f>IF($A216="","",MAX(0,IFERROR(INDEX('2_IMPORTAR_EJECUCION'!$H$9:$H$1208,MATCH($AU216,'2_IMPORTAR_EJECUCION'!$J$9:$J$1208,0)),0)-$AL216))</f>
        <v/>
      </c>
      <c r="AN216" s="32">
        <f>IF($A216="","",$AL216+$AM216)</f>
        <v/>
      </c>
      <c r="AO216" s="24">
        <f>IF($A216="","",IF(OR((IFERROR(INDEX('CAT_ACTIVIDADES'!$D$4:$D$26,MATCH($H216,'CAT_ACTIVIDADES'!$A$4:$A$26,0)),""))=0,(IFERROR(INDEX('CAT_ACTIVIDADES'!$D$4:$D$26,MATCH($H216,'CAT_ACTIVIDADES'!$A$4:$A$26,0)),""))=""),"SIN CLASIFICAR",IFERROR(INDEX('CAT_ACTIVIDADES'!$D$4:$D$26,MATCH($H216,'CAT_ACTIVIDADES'!$A$4:$A$26,0)),"")))</f>
        <v/>
      </c>
      <c r="AP216" s="4" t="n"/>
      <c r="AQ216" s="4" t="n"/>
      <c r="AR216" s="4" t="n"/>
      <c r="AS216" s="24">
        <f>IF($AR216="","",HYPERLINK(p_ruta_base_checklists&amp;$AR216,"abrir"))</f>
        <v/>
      </c>
      <c r="AT216" s="4" t="n"/>
      <c r="AU216" s="24">
        <f>IF($A216="","",$A216&amp;IF($B216="","0010",$B216))</f>
        <v/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41" t="n"/>
      <c r="K217" s="5" t="n"/>
      <c r="L217" s="18" t="n"/>
      <c r="M217" s="24">
        <f>IF($A217="","",IFERROR(INDEX('AJUSTES'!$B$4:$B$303,MATCH($AU217,'AJUSTES'!$A$4:$A$303,0)),IF($K217="","",$K217)))</f>
        <v/>
      </c>
      <c r="N217" s="24">
        <f>IF($A217="","",IFERROR(INDEX('CAT_ESTADOS_ERP'!$B$4:$B$22,MATCH(IFERROR(INDEX('2_IMPORTAR_EJECUCION'!$C$9:$C$1208,MATCH($AU217,'2_IMPORTAR_EJECUCION'!$J$9:$J$1208,0)),""),'CAT_ESTADOS_ERP'!$A$4:$A$22,0)),"Pendiente"))</f>
        <v/>
      </c>
      <c r="O217" s="24">
        <f>IF($J217="","",YEAR($J217+4-WEEKDAY($J217,2))&amp;"-S"&amp;TEXT(_xlfn.ISOWEEKNUM($J217),"00"))</f>
        <v/>
      </c>
      <c r="P217" s="24">
        <f>IF($J217="","",YEAR($J217))</f>
        <v/>
      </c>
      <c r="Q217" s="24">
        <f>IF($J217="","",MONTH($J217))</f>
        <v/>
      </c>
      <c r="R217" s="24">
        <f>IF($J217="","",$P217&amp;"-"&amp;TEXT($Q217,"00"))</f>
        <v/>
      </c>
      <c r="S217" s="24">
        <f>IF($J217="","",INDEX(lista_dias,WEEKDAY($J217,2)))</f>
        <v/>
      </c>
      <c r="T217" s="24">
        <f>IF($J217="","",IFERROR(INDEX('CALENDARIO'!$C$15:$C$214,MATCH(TEXT($J217,"yyyy-mm-dd")&amp;"|"&amp;$Y217&amp;"|"&amp;$Z217,'CALENDARIO'!$G$15:$G$214,0)),IFERROR(INDEX('CALENDARIO'!$C$15:$C$214,MATCH(TEXT($J217,"yyyy-mm-dd")&amp;"|"&amp;$Y217&amp;"|",'CALENDARIO'!$G$15:$G$214,0)),IFERROR(INDEX('CALENDARIO'!$C$15:$C$214,MATCH(TEXT($J217,"yyyy-mm-dd")&amp;"||",'CALENDARIO'!$G$15:$G$214,0)),INDEX(patronHabil,WEEKDAY($J217,2))))))</f>
        <v/>
      </c>
      <c r="U217" s="24">
        <f>IF($I217="","",IFERROR(INDEX('CAT_TIPOS_OT'!$C$4:$C$23,MATCH($I217,'CAT_TIPOS_OT'!$A$4:$A$23,0)),"sin_clasificar"))</f>
        <v/>
      </c>
      <c r="V217" s="24">
        <f>IF($I217="","",IF(IFERROR(INDEX('CAT_TIPOS_OT'!$D$4:$D$23,MATCH($I217,'CAT_TIPOS_OT'!$A$4:$A$23,0)),"SIN CLASIFICAR")="","SIN CLASIFICAR",IFERROR(INDEX('CAT_TIPOS_OT'!$D$4:$D$23,MATCH($I217,'CAT_TIPOS_OT'!$A$4:$A$23,0)),"SIN CLASIFICAR")))</f>
        <v/>
      </c>
      <c r="W217" s="24">
        <f>IF($H217="","",IF(IFERROR(INDEX('CAT_ACTIVIDADES'!$F$4:$F$26,MATCH($H217,'CAT_ACTIVIDADES'!$A$4:$A$26,0)),"")=0,"",IFERROR(INDEX('CAT_ACTIVIDADES'!$F$4:$F$26,MATCH($H217,'CAT_ACTIVIDADES'!$A$4:$A$26,0)),"")))</f>
        <v/>
      </c>
      <c r="X217" s="24">
        <f>IF($F217="","",IFERROR(INDEX('CAT_CENTROS_COSTO'!$F$4:$F$28,MATCH($F217,'CAT_CENTROS_COSTO'!$A$4:$A$28,0)),"(sin catálogo)"))</f>
        <v/>
      </c>
      <c r="Y217" s="24">
        <f>IF($F217="","",IFERROR(INDEX('CAT_CENTROS_COSTO'!$D$4:$D$28,MATCH($F217,'CAT_CENTROS_COSTO'!$A$4:$A$28,0)),"(sin catálogo)"))</f>
        <v/>
      </c>
      <c r="Z217" s="24">
        <f>IF($F217="","",IF((IFERROR(INDEX('CAT_CENTROS_COSTO'!$E$4:$E$28,MATCH($F217,'CAT_CENTROS_COSTO'!$A$4:$A$28,0)),""))&lt;&gt;"",IFERROR(INDEX('CAT_CENTROS_COSTO'!$E$4:$E$28,MATCH($F217,'CAT_CENTROS_COSTO'!$A$4:$A$28,0)),""),$Y217))</f>
        <v/>
      </c>
      <c r="AA217" s="24">
        <f>IF($F217="","",IFERROR(INDEX('CAT_CENTROS_COSTO'!$G$4:$G$28,MATCH($F217,'CAT_CENTROS_COSTO'!$A$4:$A$28,0)),"(sin catálogo)"))</f>
        <v/>
      </c>
      <c r="AB217" s="24">
        <f>IF($G217="","",IFERROR(INDEX('CAT_PUESTOS'!$B$4:$B$23,MATCH($G217,'CAT_PUESTOS'!$A$4:$A$23,0)),"(sin catálogo)"))</f>
        <v/>
      </c>
      <c r="AC217" s="24">
        <f>IF($H217="","",IFERROR(INDEX('CAT_ACTIVIDADES'!$B$4:$B$26,MATCH($H217,'CAT_ACTIVIDADES'!$A$4:$A$26,0)),"(sin catálogo)"))</f>
        <v/>
      </c>
      <c r="AD217" s="26">
        <f>IF($J217="","",TODAY()-$J217)</f>
        <v/>
      </c>
      <c r="AE217" s="26">
        <f>IF($J217="","",IF($J217&lt;=TODAY(),COUNTIFS(cal_fechas,"&gt;="&amp;$J217,cal_fechas,"&lt;"&amp;TODAY(),cal_habil,"sí"),-COUNTIFS(cal_fechas,"&gt;="&amp;TODAY(),cal_fechas,"&lt;"&amp;$J217,cal_habil,"sí")))</f>
        <v/>
      </c>
      <c r="AF217" s="24">
        <f>IF($AE217="","",IF($AE217&lt;0,"FUTURO",IF($AE217&gt;p_dias_backlog_max,"BACKLOG","MES CORRIENTE")))</f>
        <v/>
      </c>
      <c r="AG217" s="24">
        <f>IF($AE217="",FALSE,AND($AE217&gt;p_dias_backlog_min,$AE217&lt;=p_dias_backlog_max))</f>
        <v/>
      </c>
      <c r="AH217" s="4" t="n"/>
      <c r="AI217" s="24">
        <f>IF($AH217="","",IF((IFERROR(INDEX('ASIGNACIONES'!$J$4:$J$451,MATCH($O217&amp;"|"&amp;$S217&amp;"|"&amp;$AH217,'ASIGNACIONES'!$N$4:$N$451,0)),""))=0,"",IFERROR(INDEX('ASIGNACIONES'!$J$4:$J$451,MATCH($O217&amp;"|"&amp;$S217&amp;"|"&amp;$AH217,'ASIGNACIONES'!$N$4:$N$451,0)),"")))</f>
        <v/>
      </c>
      <c r="AJ217" s="42">
        <f>IF($AH217="","",SUMIFS('ORDENES'!$M$4:$M$1203,'ORDENES'!$AH$4:$AH$1203,$AH217,'ORDENES'!$O$4:$O$1203,$O217,'ORDENES'!$S$4:$S$1203,$S217))</f>
        <v/>
      </c>
      <c r="AK217" s="42">
        <f>IF($AJ217="","",p_factor_productividad*IFERROR(INDEX('ASIGNACIONES'!$M$4:$M$451,MATCH($O217&amp;"|"&amp;$S217&amp;"|"&amp;$AH217,'ASIGNACIONES'!$N$4:$N$451,0)),0)-$AJ217)</f>
        <v/>
      </c>
      <c r="AL217" s="32">
        <f>IF($A217="","",IFERROR(INDEX('2_IMPORTAR_EJECUCION'!$F$9:$F$1208,MATCH($AU217,'2_IMPORTAR_EJECUCION'!$J$9:$J$1208,0)),0))</f>
        <v/>
      </c>
      <c r="AM217" s="32">
        <f>IF($A217="","",MAX(0,IFERROR(INDEX('2_IMPORTAR_EJECUCION'!$H$9:$H$1208,MATCH($AU217,'2_IMPORTAR_EJECUCION'!$J$9:$J$1208,0)),0)-$AL217))</f>
        <v/>
      </c>
      <c r="AN217" s="32">
        <f>IF($A217="","",$AL217+$AM217)</f>
        <v/>
      </c>
      <c r="AO217" s="24">
        <f>IF($A217="","",IF(OR((IFERROR(INDEX('CAT_ACTIVIDADES'!$D$4:$D$26,MATCH($H217,'CAT_ACTIVIDADES'!$A$4:$A$26,0)),""))=0,(IFERROR(INDEX('CAT_ACTIVIDADES'!$D$4:$D$26,MATCH($H217,'CAT_ACTIVIDADES'!$A$4:$A$26,0)),""))=""),"SIN CLASIFICAR",IFERROR(INDEX('CAT_ACTIVIDADES'!$D$4:$D$26,MATCH($H217,'CAT_ACTIVIDADES'!$A$4:$A$26,0)),"")))</f>
        <v/>
      </c>
      <c r="AP217" s="4" t="n"/>
      <c r="AQ217" s="4" t="n"/>
      <c r="AR217" s="4" t="n"/>
      <c r="AS217" s="24">
        <f>IF($AR217="","",HYPERLINK(p_ruta_base_checklists&amp;$AR217,"abrir"))</f>
        <v/>
      </c>
      <c r="AT217" s="4" t="n"/>
      <c r="AU217" s="24">
        <f>IF($A217="","",$A217&amp;IF($B217="","0010",$B217))</f>
        <v/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41" t="n"/>
      <c r="K218" s="5" t="n"/>
      <c r="L218" s="18" t="n"/>
      <c r="M218" s="24">
        <f>IF($A218="","",IFERROR(INDEX('AJUSTES'!$B$4:$B$303,MATCH($AU218,'AJUSTES'!$A$4:$A$303,0)),IF($K218="","",$K218)))</f>
        <v/>
      </c>
      <c r="N218" s="24">
        <f>IF($A218="","",IFERROR(INDEX('CAT_ESTADOS_ERP'!$B$4:$B$22,MATCH(IFERROR(INDEX('2_IMPORTAR_EJECUCION'!$C$9:$C$1208,MATCH($AU218,'2_IMPORTAR_EJECUCION'!$J$9:$J$1208,0)),""),'CAT_ESTADOS_ERP'!$A$4:$A$22,0)),"Pendiente"))</f>
        <v/>
      </c>
      <c r="O218" s="24">
        <f>IF($J218="","",YEAR($J218+4-WEEKDAY($J218,2))&amp;"-S"&amp;TEXT(_xlfn.ISOWEEKNUM($J218),"00"))</f>
        <v/>
      </c>
      <c r="P218" s="24">
        <f>IF($J218="","",YEAR($J218))</f>
        <v/>
      </c>
      <c r="Q218" s="24">
        <f>IF($J218="","",MONTH($J218))</f>
        <v/>
      </c>
      <c r="R218" s="24">
        <f>IF($J218="","",$P218&amp;"-"&amp;TEXT($Q218,"00"))</f>
        <v/>
      </c>
      <c r="S218" s="24">
        <f>IF($J218="","",INDEX(lista_dias,WEEKDAY($J218,2)))</f>
        <v/>
      </c>
      <c r="T218" s="24">
        <f>IF($J218="","",IFERROR(INDEX('CALENDARIO'!$C$15:$C$214,MATCH(TEXT($J218,"yyyy-mm-dd")&amp;"|"&amp;$Y218&amp;"|"&amp;$Z218,'CALENDARIO'!$G$15:$G$214,0)),IFERROR(INDEX('CALENDARIO'!$C$15:$C$214,MATCH(TEXT($J218,"yyyy-mm-dd")&amp;"|"&amp;$Y218&amp;"|",'CALENDARIO'!$G$15:$G$214,0)),IFERROR(INDEX('CALENDARIO'!$C$15:$C$214,MATCH(TEXT($J218,"yyyy-mm-dd")&amp;"||",'CALENDARIO'!$G$15:$G$214,0)),INDEX(patronHabil,WEEKDAY($J218,2))))))</f>
        <v/>
      </c>
      <c r="U218" s="24">
        <f>IF($I218="","",IFERROR(INDEX('CAT_TIPOS_OT'!$C$4:$C$23,MATCH($I218,'CAT_TIPOS_OT'!$A$4:$A$23,0)),"sin_clasificar"))</f>
        <v/>
      </c>
      <c r="V218" s="24">
        <f>IF($I218="","",IF(IFERROR(INDEX('CAT_TIPOS_OT'!$D$4:$D$23,MATCH($I218,'CAT_TIPOS_OT'!$A$4:$A$23,0)),"SIN CLASIFICAR")="","SIN CLASIFICAR",IFERROR(INDEX('CAT_TIPOS_OT'!$D$4:$D$23,MATCH($I218,'CAT_TIPOS_OT'!$A$4:$A$23,0)),"SIN CLASIFICAR")))</f>
        <v/>
      </c>
      <c r="W218" s="24">
        <f>IF($H218="","",IF(IFERROR(INDEX('CAT_ACTIVIDADES'!$F$4:$F$26,MATCH($H218,'CAT_ACTIVIDADES'!$A$4:$A$26,0)),"")=0,"",IFERROR(INDEX('CAT_ACTIVIDADES'!$F$4:$F$26,MATCH($H218,'CAT_ACTIVIDADES'!$A$4:$A$26,0)),"")))</f>
        <v/>
      </c>
      <c r="X218" s="24">
        <f>IF($F218="","",IFERROR(INDEX('CAT_CENTROS_COSTO'!$F$4:$F$28,MATCH($F218,'CAT_CENTROS_COSTO'!$A$4:$A$28,0)),"(sin catálogo)"))</f>
        <v/>
      </c>
      <c r="Y218" s="24">
        <f>IF($F218="","",IFERROR(INDEX('CAT_CENTROS_COSTO'!$D$4:$D$28,MATCH($F218,'CAT_CENTROS_COSTO'!$A$4:$A$28,0)),"(sin catálogo)"))</f>
        <v/>
      </c>
      <c r="Z218" s="24">
        <f>IF($F218="","",IF((IFERROR(INDEX('CAT_CENTROS_COSTO'!$E$4:$E$28,MATCH($F218,'CAT_CENTROS_COSTO'!$A$4:$A$28,0)),""))&lt;&gt;"",IFERROR(INDEX('CAT_CENTROS_COSTO'!$E$4:$E$28,MATCH($F218,'CAT_CENTROS_COSTO'!$A$4:$A$28,0)),""),$Y218))</f>
        <v/>
      </c>
      <c r="AA218" s="24">
        <f>IF($F218="","",IFERROR(INDEX('CAT_CENTROS_COSTO'!$G$4:$G$28,MATCH($F218,'CAT_CENTROS_COSTO'!$A$4:$A$28,0)),"(sin catálogo)"))</f>
        <v/>
      </c>
      <c r="AB218" s="24">
        <f>IF($G218="","",IFERROR(INDEX('CAT_PUESTOS'!$B$4:$B$23,MATCH($G218,'CAT_PUESTOS'!$A$4:$A$23,0)),"(sin catálogo)"))</f>
        <v/>
      </c>
      <c r="AC218" s="24">
        <f>IF($H218="","",IFERROR(INDEX('CAT_ACTIVIDADES'!$B$4:$B$26,MATCH($H218,'CAT_ACTIVIDADES'!$A$4:$A$26,0)),"(sin catálogo)"))</f>
        <v/>
      </c>
      <c r="AD218" s="26">
        <f>IF($J218="","",TODAY()-$J218)</f>
        <v/>
      </c>
      <c r="AE218" s="26">
        <f>IF($J218="","",IF($J218&lt;=TODAY(),COUNTIFS(cal_fechas,"&gt;="&amp;$J218,cal_fechas,"&lt;"&amp;TODAY(),cal_habil,"sí"),-COUNTIFS(cal_fechas,"&gt;="&amp;TODAY(),cal_fechas,"&lt;"&amp;$J218,cal_habil,"sí")))</f>
        <v/>
      </c>
      <c r="AF218" s="24">
        <f>IF($AE218="","",IF($AE218&lt;0,"FUTURO",IF($AE218&gt;p_dias_backlog_max,"BACKLOG","MES CORRIENTE")))</f>
        <v/>
      </c>
      <c r="AG218" s="24">
        <f>IF($AE218="",FALSE,AND($AE218&gt;p_dias_backlog_min,$AE218&lt;=p_dias_backlog_max))</f>
        <v/>
      </c>
      <c r="AH218" s="4" t="n"/>
      <c r="AI218" s="24">
        <f>IF($AH218="","",IF((IFERROR(INDEX('ASIGNACIONES'!$J$4:$J$451,MATCH($O218&amp;"|"&amp;$S218&amp;"|"&amp;$AH218,'ASIGNACIONES'!$N$4:$N$451,0)),""))=0,"",IFERROR(INDEX('ASIGNACIONES'!$J$4:$J$451,MATCH($O218&amp;"|"&amp;$S218&amp;"|"&amp;$AH218,'ASIGNACIONES'!$N$4:$N$451,0)),"")))</f>
        <v/>
      </c>
      <c r="AJ218" s="42">
        <f>IF($AH218="","",SUMIFS('ORDENES'!$M$4:$M$1203,'ORDENES'!$AH$4:$AH$1203,$AH218,'ORDENES'!$O$4:$O$1203,$O218,'ORDENES'!$S$4:$S$1203,$S218))</f>
        <v/>
      </c>
      <c r="AK218" s="42">
        <f>IF($AJ218="","",p_factor_productividad*IFERROR(INDEX('ASIGNACIONES'!$M$4:$M$451,MATCH($O218&amp;"|"&amp;$S218&amp;"|"&amp;$AH218,'ASIGNACIONES'!$N$4:$N$451,0)),0)-$AJ218)</f>
        <v/>
      </c>
      <c r="AL218" s="32">
        <f>IF($A218="","",IFERROR(INDEX('2_IMPORTAR_EJECUCION'!$F$9:$F$1208,MATCH($AU218,'2_IMPORTAR_EJECUCION'!$J$9:$J$1208,0)),0))</f>
        <v/>
      </c>
      <c r="AM218" s="32">
        <f>IF($A218="","",MAX(0,IFERROR(INDEX('2_IMPORTAR_EJECUCION'!$H$9:$H$1208,MATCH($AU218,'2_IMPORTAR_EJECUCION'!$J$9:$J$1208,0)),0)-$AL218))</f>
        <v/>
      </c>
      <c r="AN218" s="32">
        <f>IF($A218="","",$AL218+$AM218)</f>
        <v/>
      </c>
      <c r="AO218" s="24">
        <f>IF($A218="","",IF(OR((IFERROR(INDEX('CAT_ACTIVIDADES'!$D$4:$D$26,MATCH($H218,'CAT_ACTIVIDADES'!$A$4:$A$26,0)),""))=0,(IFERROR(INDEX('CAT_ACTIVIDADES'!$D$4:$D$26,MATCH($H218,'CAT_ACTIVIDADES'!$A$4:$A$26,0)),""))=""),"SIN CLASIFICAR",IFERROR(INDEX('CAT_ACTIVIDADES'!$D$4:$D$26,MATCH($H218,'CAT_ACTIVIDADES'!$A$4:$A$26,0)),"")))</f>
        <v/>
      </c>
      <c r="AP218" s="4" t="n"/>
      <c r="AQ218" s="4" t="n"/>
      <c r="AR218" s="4" t="n"/>
      <c r="AS218" s="24">
        <f>IF($AR218="","",HYPERLINK(p_ruta_base_checklists&amp;$AR218,"abrir"))</f>
        <v/>
      </c>
      <c r="AT218" s="4" t="n"/>
      <c r="AU218" s="24">
        <f>IF($A218="","",$A218&amp;IF($B218="","0010",$B218))</f>
        <v/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41" t="n"/>
      <c r="K219" s="5" t="n"/>
      <c r="L219" s="18" t="n"/>
      <c r="M219" s="24">
        <f>IF($A219="","",IFERROR(INDEX('AJUSTES'!$B$4:$B$303,MATCH($AU219,'AJUSTES'!$A$4:$A$303,0)),IF($K219="","",$K219)))</f>
        <v/>
      </c>
      <c r="N219" s="24">
        <f>IF($A219="","",IFERROR(INDEX('CAT_ESTADOS_ERP'!$B$4:$B$22,MATCH(IFERROR(INDEX('2_IMPORTAR_EJECUCION'!$C$9:$C$1208,MATCH($AU219,'2_IMPORTAR_EJECUCION'!$J$9:$J$1208,0)),""),'CAT_ESTADOS_ERP'!$A$4:$A$22,0)),"Pendiente"))</f>
        <v/>
      </c>
      <c r="O219" s="24">
        <f>IF($J219="","",YEAR($J219+4-WEEKDAY($J219,2))&amp;"-S"&amp;TEXT(_xlfn.ISOWEEKNUM($J219),"00"))</f>
        <v/>
      </c>
      <c r="P219" s="24">
        <f>IF($J219="","",YEAR($J219))</f>
        <v/>
      </c>
      <c r="Q219" s="24">
        <f>IF($J219="","",MONTH($J219))</f>
        <v/>
      </c>
      <c r="R219" s="24">
        <f>IF($J219="","",$P219&amp;"-"&amp;TEXT($Q219,"00"))</f>
        <v/>
      </c>
      <c r="S219" s="24">
        <f>IF($J219="","",INDEX(lista_dias,WEEKDAY($J219,2)))</f>
        <v/>
      </c>
      <c r="T219" s="24">
        <f>IF($J219="","",IFERROR(INDEX('CALENDARIO'!$C$15:$C$214,MATCH(TEXT($J219,"yyyy-mm-dd")&amp;"|"&amp;$Y219&amp;"|"&amp;$Z219,'CALENDARIO'!$G$15:$G$214,0)),IFERROR(INDEX('CALENDARIO'!$C$15:$C$214,MATCH(TEXT($J219,"yyyy-mm-dd")&amp;"|"&amp;$Y219&amp;"|",'CALENDARIO'!$G$15:$G$214,0)),IFERROR(INDEX('CALENDARIO'!$C$15:$C$214,MATCH(TEXT($J219,"yyyy-mm-dd")&amp;"||",'CALENDARIO'!$G$15:$G$214,0)),INDEX(patronHabil,WEEKDAY($J219,2))))))</f>
        <v/>
      </c>
      <c r="U219" s="24">
        <f>IF($I219="","",IFERROR(INDEX('CAT_TIPOS_OT'!$C$4:$C$23,MATCH($I219,'CAT_TIPOS_OT'!$A$4:$A$23,0)),"sin_clasificar"))</f>
        <v/>
      </c>
      <c r="V219" s="24">
        <f>IF($I219="","",IF(IFERROR(INDEX('CAT_TIPOS_OT'!$D$4:$D$23,MATCH($I219,'CAT_TIPOS_OT'!$A$4:$A$23,0)),"SIN CLASIFICAR")="","SIN CLASIFICAR",IFERROR(INDEX('CAT_TIPOS_OT'!$D$4:$D$23,MATCH($I219,'CAT_TIPOS_OT'!$A$4:$A$23,0)),"SIN CLASIFICAR")))</f>
        <v/>
      </c>
      <c r="W219" s="24">
        <f>IF($H219="","",IF(IFERROR(INDEX('CAT_ACTIVIDADES'!$F$4:$F$26,MATCH($H219,'CAT_ACTIVIDADES'!$A$4:$A$26,0)),"")=0,"",IFERROR(INDEX('CAT_ACTIVIDADES'!$F$4:$F$26,MATCH($H219,'CAT_ACTIVIDADES'!$A$4:$A$26,0)),"")))</f>
        <v/>
      </c>
      <c r="X219" s="24">
        <f>IF($F219="","",IFERROR(INDEX('CAT_CENTROS_COSTO'!$F$4:$F$28,MATCH($F219,'CAT_CENTROS_COSTO'!$A$4:$A$28,0)),"(sin catálogo)"))</f>
        <v/>
      </c>
      <c r="Y219" s="24">
        <f>IF($F219="","",IFERROR(INDEX('CAT_CENTROS_COSTO'!$D$4:$D$28,MATCH($F219,'CAT_CENTROS_COSTO'!$A$4:$A$28,0)),"(sin catálogo)"))</f>
        <v/>
      </c>
      <c r="Z219" s="24">
        <f>IF($F219="","",IF((IFERROR(INDEX('CAT_CENTROS_COSTO'!$E$4:$E$28,MATCH($F219,'CAT_CENTROS_COSTO'!$A$4:$A$28,0)),""))&lt;&gt;"",IFERROR(INDEX('CAT_CENTROS_COSTO'!$E$4:$E$28,MATCH($F219,'CAT_CENTROS_COSTO'!$A$4:$A$28,0)),""),$Y219))</f>
        <v/>
      </c>
      <c r="AA219" s="24">
        <f>IF($F219="","",IFERROR(INDEX('CAT_CENTROS_COSTO'!$G$4:$G$28,MATCH($F219,'CAT_CENTROS_COSTO'!$A$4:$A$28,0)),"(sin catálogo)"))</f>
        <v/>
      </c>
      <c r="AB219" s="24">
        <f>IF($G219="","",IFERROR(INDEX('CAT_PUESTOS'!$B$4:$B$23,MATCH($G219,'CAT_PUESTOS'!$A$4:$A$23,0)),"(sin catálogo)"))</f>
        <v/>
      </c>
      <c r="AC219" s="24">
        <f>IF($H219="","",IFERROR(INDEX('CAT_ACTIVIDADES'!$B$4:$B$26,MATCH($H219,'CAT_ACTIVIDADES'!$A$4:$A$26,0)),"(sin catálogo)"))</f>
        <v/>
      </c>
      <c r="AD219" s="26">
        <f>IF($J219="","",TODAY()-$J219)</f>
        <v/>
      </c>
      <c r="AE219" s="26">
        <f>IF($J219="","",IF($J219&lt;=TODAY(),COUNTIFS(cal_fechas,"&gt;="&amp;$J219,cal_fechas,"&lt;"&amp;TODAY(),cal_habil,"sí"),-COUNTIFS(cal_fechas,"&gt;="&amp;TODAY(),cal_fechas,"&lt;"&amp;$J219,cal_habil,"sí")))</f>
        <v/>
      </c>
      <c r="AF219" s="24">
        <f>IF($AE219="","",IF($AE219&lt;0,"FUTURO",IF($AE219&gt;p_dias_backlog_max,"BACKLOG","MES CORRIENTE")))</f>
        <v/>
      </c>
      <c r="AG219" s="24">
        <f>IF($AE219="",FALSE,AND($AE219&gt;p_dias_backlog_min,$AE219&lt;=p_dias_backlog_max))</f>
        <v/>
      </c>
      <c r="AH219" s="4" t="n"/>
      <c r="AI219" s="24">
        <f>IF($AH219="","",IF((IFERROR(INDEX('ASIGNACIONES'!$J$4:$J$451,MATCH($O219&amp;"|"&amp;$S219&amp;"|"&amp;$AH219,'ASIGNACIONES'!$N$4:$N$451,0)),""))=0,"",IFERROR(INDEX('ASIGNACIONES'!$J$4:$J$451,MATCH($O219&amp;"|"&amp;$S219&amp;"|"&amp;$AH219,'ASIGNACIONES'!$N$4:$N$451,0)),"")))</f>
        <v/>
      </c>
      <c r="AJ219" s="42">
        <f>IF($AH219="","",SUMIFS('ORDENES'!$M$4:$M$1203,'ORDENES'!$AH$4:$AH$1203,$AH219,'ORDENES'!$O$4:$O$1203,$O219,'ORDENES'!$S$4:$S$1203,$S219))</f>
        <v/>
      </c>
      <c r="AK219" s="42">
        <f>IF($AJ219="","",p_factor_productividad*IFERROR(INDEX('ASIGNACIONES'!$M$4:$M$451,MATCH($O219&amp;"|"&amp;$S219&amp;"|"&amp;$AH219,'ASIGNACIONES'!$N$4:$N$451,0)),0)-$AJ219)</f>
        <v/>
      </c>
      <c r="AL219" s="32">
        <f>IF($A219="","",IFERROR(INDEX('2_IMPORTAR_EJECUCION'!$F$9:$F$1208,MATCH($AU219,'2_IMPORTAR_EJECUCION'!$J$9:$J$1208,0)),0))</f>
        <v/>
      </c>
      <c r="AM219" s="32">
        <f>IF($A219="","",MAX(0,IFERROR(INDEX('2_IMPORTAR_EJECUCION'!$H$9:$H$1208,MATCH($AU219,'2_IMPORTAR_EJECUCION'!$J$9:$J$1208,0)),0)-$AL219))</f>
        <v/>
      </c>
      <c r="AN219" s="32">
        <f>IF($A219="","",$AL219+$AM219)</f>
        <v/>
      </c>
      <c r="AO219" s="24">
        <f>IF($A219="","",IF(OR((IFERROR(INDEX('CAT_ACTIVIDADES'!$D$4:$D$26,MATCH($H219,'CAT_ACTIVIDADES'!$A$4:$A$26,0)),""))=0,(IFERROR(INDEX('CAT_ACTIVIDADES'!$D$4:$D$26,MATCH($H219,'CAT_ACTIVIDADES'!$A$4:$A$26,0)),""))=""),"SIN CLASIFICAR",IFERROR(INDEX('CAT_ACTIVIDADES'!$D$4:$D$26,MATCH($H219,'CAT_ACTIVIDADES'!$A$4:$A$26,0)),"")))</f>
        <v/>
      </c>
      <c r="AP219" s="4" t="n"/>
      <c r="AQ219" s="4" t="n"/>
      <c r="AR219" s="4" t="n"/>
      <c r="AS219" s="24">
        <f>IF($AR219="","",HYPERLINK(p_ruta_base_checklists&amp;$AR219,"abrir"))</f>
        <v/>
      </c>
      <c r="AT219" s="4" t="n"/>
      <c r="AU219" s="24">
        <f>IF($A219="","",$A219&amp;IF($B219="","0010",$B219))</f>
        <v/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41" t="n"/>
      <c r="K220" s="5" t="n"/>
      <c r="L220" s="18" t="n"/>
      <c r="M220" s="24">
        <f>IF($A220="","",IFERROR(INDEX('AJUSTES'!$B$4:$B$303,MATCH($AU220,'AJUSTES'!$A$4:$A$303,0)),IF($K220="","",$K220)))</f>
        <v/>
      </c>
      <c r="N220" s="24">
        <f>IF($A220="","",IFERROR(INDEX('CAT_ESTADOS_ERP'!$B$4:$B$22,MATCH(IFERROR(INDEX('2_IMPORTAR_EJECUCION'!$C$9:$C$1208,MATCH($AU220,'2_IMPORTAR_EJECUCION'!$J$9:$J$1208,0)),""),'CAT_ESTADOS_ERP'!$A$4:$A$22,0)),"Pendiente"))</f>
        <v/>
      </c>
      <c r="O220" s="24">
        <f>IF($J220="","",YEAR($J220+4-WEEKDAY($J220,2))&amp;"-S"&amp;TEXT(_xlfn.ISOWEEKNUM($J220),"00"))</f>
        <v/>
      </c>
      <c r="P220" s="24">
        <f>IF($J220="","",YEAR($J220))</f>
        <v/>
      </c>
      <c r="Q220" s="24">
        <f>IF($J220="","",MONTH($J220))</f>
        <v/>
      </c>
      <c r="R220" s="24">
        <f>IF($J220="","",$P220&amp;"-"&amp;TEXT($Q220,"00"))</f>
        <v/>
      </c>
      <c r="S220" s="24">
        <f>IF($J220="","",INDEX(lista_dias,WEEKDAY($J220,2)))</f>
        <v/>
      </c>
      <c r="T220" s="24">
        <f>IF($J220="","",IFERROR(INDEX('CALENDARIO'!$C$15:$C$214,MATCH(TEXT($J220,"yyyy-mm-dd")&amp;"|"&amp;$Y220&amp;"|"&amp;$Z220,'CALENDARIO'!$G$15:$G$214,0)),IFERROR(INDEX('CALENDARIO'!$C$15:$C$214,MATCH(TEXT($J220,"yyyy-mm-dd")&amp;"|"&amp;$Y220&amp;"|",'CALENDARIO'!$G$15:$G$214,0)),IFERROR(INDEX('CALENDARIO'!$C$15:$C$214,MATCH(TEXT($J220,"yyyy-mm-dd")&amp;"||",'CALENDARIO'!$G$15:$G$214,0)),INDEX(patronHabil,WEEKDAY($J220,2))))))</f>
        <v/>
      </c>
      <c r="U220" s="24">
        <f>IF($I220="","",IFERROR(INDEX('CAT_TIPOS_OT'!$C$4:$C$23,MATCH($I220,'CAT_TIPOS_OT'!$A$4:$A$23,0)),"sin_clasificar"))</f>
        <v/>
      </c>
      <c r="V220" s="24">
        <f>IF($I220="","",IF(IFERROR(INDEX('CAT_TIPOS_OT'!$D$4:$D$23,MATCH($I220,'CAT_TIPOS_OT'!$A$4:$A$23,0)),"SIN CLASIFICAR")="","SIN CLASIFICAR",IFERROR(INDEX('CAT_TIPOS_OT'!$D$4:$D$23,MATCH($I220,'CAT_TIPOS_OT'!$A$4:$A$23,0)),"SIN CLASIFICAR")))</f>
        <v/>
      </c>
      <c r="W220" s="24">
        <f>IF($H220="","",IF(IFERROR(INDEX('CAT_ACTIVIDADES'!$F$4:$F$26,MATCH($H220,'CAT_ACTIVIDADES'!$A$4:$A$26,0)),"")=0,"",IFERROR(INDEX('CAT_ACTIVIDADES'!$F$4:$F$26,MATCH($H220,'CAT_ACTIVIDADES'!$A$4:$A$26,0)),"")))</f>
        <v/>
      </c>
      <c r="X220" s="24">
        <f>IF($F220="","",IFERROR(INDEX('CAT_CENTROS_COSTO'!$F$4:$F$28,MATCH($F220,'CAT_CENTROS_COSTO'!$A$4:$A$28,0)),"(sin catálogo)"))</f>
        <v/>
      </c>
      <c r="Y220" s="24">
        <f>IF($F220="","",IFERROR(INDEX('CAT_CENTROS_COSTO'!$D$4:$D$28,MATCH($F220,'CAT_CENTROS_COSTO'!$A$4:$A$28,0)),"(sin catálogo)"))</f>
        <v/>
      </c>
      <c r="Z220" s="24">
        <f>IF($F220="","",IF((IFERROR(INDEX('CAT_CENTROS_COSTO'!$E$4:$E$28,MATCH($F220,'CAT_CENTROS_COSTO'!$A$4:$A$28,0)),""))&lt;&gt;"",IFERROR(INDEX('CAT_CENTROS_COSTO'!$E$4:$E$28,MATCH($F220,'CAT_CENTROS_COSTO'!$A$4:$A$28,0)),""),$Y220))</f>
        <v/>
      </c>
      <c r="AA220" s="24">
        <f>IF($F220="","",IFERROR(INDEX('CAT_CENTROS_COSTO'!$G$4:$G$28,MATCH($F220,'CAT_CENTROS_COSTO'!$A$4:$A$28,0)),"(sin catálogo)"))</f>
        <v/>
      </c>
      <c r="AB220" s="24">
        <f>IF($G220="","",IFERROR(INDEX('CAT_PUESTOS'!$B$4:$B$23,MATCH($G220,'CAT_PUESTOS'!$A$4:$A$23,0)),"(sin catálogo)"))</f>
        <v/>
      </c>
      <c r="AC220" s="24">
        <f>IF($H220="","",IFERROR(INDEX('CAT_ACTIVIDADES'!$B$4:$B$26,MATCH($H220,'CAT_ACTIVIDADES'!$A$4:$A$26,0)),"(sin catálogo)"))</f>
        <v/>
      </c>
      <c r="AD220" s="26">
        <f>IF($J220="","",TODAY()-$J220)</f>
        <v/>
      </c>
      <c r="AE220" s="26">
        <f>IF($J220="","",IF($J220&lt;=TODAY(),COUNTIFS(cal_fechas,"&gt;="&amp;$J220,cal_fechas,"&lt;"&amp;TODAY(),cal_habil,"sí"),-COUNTIFS(cal_fechas,"&gt;="&amp;TODAY(),cal_fechas,"&lt;"&amp;$J220,cal_habil,"sí")))</f>
        <v/>
      </c>
      <c r="AF220" s="24">
        <f>IF($AE220="","",IF($AE220&lt;0,"FUTURO",IF($AE220&gt;p_dias_backlog_max,"BACKLOG","MES CORRIENTE")))</f>
        <v/>
      </c>
      <c r="AG220" s="24">
        <f>IF($AE220="",FALSE,AND($AE220&gt;p_dias_backlog_min,$AE220&lt;=p_dias_backlog_max))</f>
        <v/>
      </c>
      <c r="AH220" s="4" t="n"/>
      <c r="AI220" s="24">
        <f>IF($AH220="","",IF((IFERROR(INDEX('ASIGNACIONES'!$J$4:$J$451,MATCH($O220&amp;"|"&amp;$S220&amp;"|"&amp;$AH220,'ASIGNACIONES'!$N$4:$N$451,0)),""))=0,"",IFERROR(INDEX('ASIGNACIONES'!$J$4:$J$451,MATCH($O220&amp;"|"&amp;$S220&amp;"|"&amp;$AH220,'ASIGNACIONES'!$N$4:$N$451,0)),"")))</f>
        <v/>
      </c>
      <c r="AJ220" s="42">
        <f>IF($AH220="","",SUMIFS('ORDENES'!$M$4:$M$1203,'ORDENES'!$AH$4:$AH$1203,$AH220,'ORDENES'!$O$4:$O$1203,$O220,'ORDENES'!$S$4:$S$1203,$S220))</f>
        <v/>
      </c>
      <c r="AK220" s="42">
        <f>IF($AJ220="","",p_factor_productividad*IFERROR(INDEX('ASIGNACIONES'!$M$4:$M$451,MATCH($O220&amp;"|"&amp;$S220&amp;"|"&amp;$AH220,'ASIGNACIONES'!$N$4:$N$451,0)),0)-$AJ220)</f>
        <v/>
      </c>
      <c r="AL220" s="32">
        <f>IF($A220="","",IFERROR(INDEX('2_IMPORTAR_EJECUCION'!$F$9:$F$1208,MATCH($AU220,'2_IMPORTAR_EJECUCION'!$J$9:$J$1208,0)),0))</f>
        <v/>
      </c>
      <c r="AM220" s="32">
        <f>IF($A220="","",MAX(0,IFERROR(INDEX('2_IMPORTAR_EJECUCION'!$H$9:$H$1208,MATCH($AU220,'2_IMPORTAR_EJECUCION'!$J$9:$J$1208,0)),0)-$AL220))</f>
        <v/>
      </c>
      <c r="AN220" s="32">
        <f>IF($A220="","",$AL220+$AM220)</f>
        <v/>
      </c>
      <c r="AO220" s="24">
        <f>IF($A220="","",IF(OR((IFERROR(INDEX('CAT_ACTIVIDADES'!$D$4:$D$26,MATCH($H220,'CAT_ACTIVIDADES'!$A$4:$A$26,0)),""))=0,(IFERROR(INDEX('CAT_ACTIVIDADES'!$D$4:$D$26,MATCH($H220,'CAT_ACTIVIDADES'!$A$4:$A$26,0)),""))=""),"SIN CLASIFICAR",IFERROR(INDEX('CAT_ACTIVIDADES'!$D$4:$D$26,MATCH($H220,'CAT_ACTIVIDADES'!$A$4:$A$26,0)),"")))</f>
        <v/>
      </c>
      <c r="AP220" s="4" t="n"/>
      <c r="AQ220" s="4" t="n"/>
      <c r="AR220" s="4" t="n"/>
      <c r="AS220" s="24">
        <f>IF($AR220="","",HYPERLINK(p_ruta_base_checklists&amp;$AR220,"abrir"))</f>
        <v/>
      </c>
      <c r="AT220" s="4" t="n"/>
      <c r="AU220" s="24">
        <f>IF($A220="","",$A220&amp;IF($B220="","0010",$B220))</f>
        <v/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41" t="n"/>
      <c r="K221" s="5" t="n"/>
      <c r="L221" s="18" t="n"/>
      <c r="M221" s="24">
        <f>IF($A221="","",IFERROR(INDEX('AJUSTES'!$B$4:$B$303,MATCH($AU221,'AJUSTES'!$A$4:$A$303,0)),IF($K221="","",$K221)))</f>
        <v/>
      </c>
      <c r="N221" s="24">
        <f>IF($A221="","",IFERROR(INDEX('CAT_ESTADOS_ERP'!$B$4:$B$22,MATCH(IFERROR(INDEX('2_IMPORTAR_EJECUCION'!$C$9:$C$1208,MATCH($AU221,'2_IMPORTAR_EJECUCION'!$J$9:$J$1208,0)),""),'CAT_ESTADOS_ERP'!$A$4:$A$22,0)),"Pendiente"))</f>
        <v/>
      </c>
      <c r="O221" s="24">
        <f>IF($J221="","",YEAR($J221+4-WEEKDAY($J221,2))&amp;"-S"&amp;TEXT(_xlfn.ISOWEEKNUM($J221),"00"))</f>
        <v/>
      </c>
      <c r="P221" s="24">
        <f>IF($J221="","",YEAR($J221))</f>
        <v/>
      </c>
      <c r="Q221" s="24">
        <f>IF($J221="","",MONTH($J221))</f>
        <v/>
      </c>
      <c r="R221" s="24">
        <f>IF($J221="","",$P221&amp;"-"&amp;TEXT($Q221,"00"))</f>
        <v/>
      </c>
      <c r="S221" s="24">
        <f>IF($J221="","",INDEX(lista_dias,WEEKDAY($J221,2)))</f>
        <v/>
      </c>
      <c r="T221" s="24">
        <f>IF($J221="","",IFERROR(INDEX('CALENDARIO'!$C$15:$C$214,MATCH(TEXT($J221,"yyyy-mm-dd")&amp;"|"&amp;$Y221&amp;"|"&amp;$Z221,'CALENDARIO'!$G$15:$G$214,0)),IFERROR(INDEX('CALENDARIO'!$C$15:$C$214,MATCH(TEXT($J221,"yyyy-mm-dd")&amp;"|"&amp;$Y221&amp;"|",'CALENDARIO'!$G$15:$G$214,0)),IFERROR(INDEX('CALENDARIO'!$C$15:$C$214,MATCH(TEXT($J221,"yyyy-mm-dd")&amp;"||",'CALENDARIO'!$G$15:$G$214,0)),INDEX(patronHabil,WEEKDAY($J221,2))))))</f>
        <v/>
      </c>
      <c r="U221" s="24">
        <f>IF($I221="","",IFERROR(INDEX('CAT_TIPOS_OT'!$C$4:$C$23,MATCH($I221,'CAT_TIPOS_OT'!$A$4:$A$23,0)),"sin_clasificar"))</f>
        <v/>
      </c>
      <c r="V221" s="24">
        <f>IF($I221="","",IF(IFERROR(INDEX('CAT_TIPOS_OT'!$D$4:$D$23,MATCH($I221,'CAT_TIPOS_OT'!$A$4:$A$23,0)),"SIN CLASIFICAR")="","SIN CLASIFICAR",IFERROR(INDEX('CAT_TIPOS_OT'!$D$4:$D$23,MATCH($I221,'CAT_TIPOS_OT'!$A$4:$A$23,0)),"SIN CLASIFICAR")))</f>
        <v/>
      </c>
      <c r="W221" s="24">
        <f>IF($H221="","",IF(IFERROR(INDEX('CAT_ACTIVIDADES'!$F$4:$F$26,MATCH($H221,'CAT_ACTIVIDADES'!$A$4:$A$26,0)),"")=0,"",IFERROR(INDEX('CAT_ACTIVIDADES'!$F$4:$F$26,MATCH($H221,'CAT_ACTIVIDADES'!$A$4:$A$26,0)),"")))</f>
        <v/>
      </c>
      <c r="X221" s="24">
        <f>IF($F221="","",IFERROR(INDEX('CAT_CENTROS_COSTO'!$F$4:$F$28,MATCH($F221,'CAT_CENTROS_COSTO'!$A$4:$A$28,0)),"(sin catálogo)"))</f>
        <v/>
      </c>
      <c r="Y221" s="24">
        <f>IF($F221="","",IFERROR(INDEX('CAT_CENTROS_COSTO'!$D$4:$D$28,MATCH($F221,'CAT_CENTROS_COSTO'!$A$4:$A$28,0)),"(sin catálogo)"))</f>
        <v/>
      </c>
      <c r="Z221" s="24">
        <f>IF($F221="","",IF((IFERROR(INDEX('CAT_CENTROS_COSTO'!$E$4:$E$28,MATCH($F221,'CAT_CENTROS_COSTO'!$A$4:$A$28,0)),""))&lt;&gt;"",IFERROR(INDEX('CAT_CENTROS_COSTO'!$E$4:$E$28,MATCH($F221,'CAT_CENTROS_COSTO'!$A$4:$A$28,0)),""),$Y221))</f>
        <v/>
      </c>
      <c r="AA221" s="24">
        <f>IF($F221="","",IFERROR(INDEX('CAT_CENTROS_COSTO'!$G$4:$G$28,MATCH($F221,'CAT_CENTROS_COSTO'!$A$4:$A$28,0)),"(sin catálogo)"))</f>
        <v/>
      </c>
      <c r="AB221" s="24">
        <f>IF($G221="","",IFERROR(INDEX('CAT_PUESTOS'!$B$4:$B$23,MATCH($G221,'CAT_PUESTOS'!$A$4:$A$23,0)),"(sin catálogo)"))</f>
        <v/>
      </c>
      <c r="AC221" s="24">
        <f>IF($H221="","",IFERROR(INDEX('CAT_ACTIVIDADES'!$B$4:$B$26,MATCH($H221,'CAT_ACTIVIDADES'!$A$4:$A$26,0)),"(sin catálogo)"))</f>
        <v/>
      </c>
      <c r="AD221" s="26">
        <f>IF($J221="","",TODAY()-$J221)</f>
        <v/>
      </c>
      <c r="AE221" s="26">
        <f>IF($J221="","",IF($J221&lt;=TODAY(),COUNTIFS(cal_fechas,"&gt;="&amp;$J221,cal_fechas,"&lt;"&amp;TODAY(),cal_habil,"sí"),-COUNTIFS(cal_fechas,"&gt;="&amp;TODAY(),cal_fechas,"&lt;"&amp;$J221,cal_habil,"sí")))</f>
        <v/>
      </c>
      <c r="AF221" s="24">
        <f>IF($AE221="","",IF($AE221&lt;0,"FUTURO",IF($AE221&gt;p_dias_backlog_max,"BACKLOG","MES CORRIENTE")))</f>
        <v/>
      </c>
      <c r="AG221" s="24">
        <f>IF($AE221="",FALSE,AND($AE221&gt;p_dias_backlog_min,$AE221&lt;=p_dias_backlog_max))</f>
        <v/>
      </c>
      <c r="AH221" s="4" t="n"/>
      <c r="AI221" s="24">
        <f>IF($AH221="","",IF((IFERROR(INDEX('ASIGNACIONES'!$J$4:$J$451,MATCH($O221&amp;"|"&amp;$S221&amp;"|"&amp;$AH221,'ASIGNACIONES'!$N$4:$N$451,0)),""))=0,"",IFERROR(INDEX('ASIGNACIONES'!$J$4:$J$451,MATCH($O221&amp;"|"&amp;$S221&amp;"|"&amp;$AH221,'ASIGNACIONES'!$N$4:$N$451,0)),"")))</f>
        <v/>
      </c>
      <c r="AJ221" s="42">
        <f>IF($AH221="","",SUMIFS('ORDENES'!$M$4:$M$1203,'ORDENES'!$AH$4:$AH$1203,$AH221,'ORDENES'!$O$4:$O$1203,$O221,'ORDENES'!$S$4:$S$1203,$S221))</f>
        <v/>
      </c>
      <c r="AK221" s="42">
        <f>IF($AJ221="","",p_factor_productividad*IFERROR(INDEX('ASIGNACIONES'!$M$4:$M$451,MATCH($O221&amp;"|"&amp;$S221&amp;"|"&amp;$AH221,'ASIGNACIONES'!$N$4:$N$451,0)),0)-$AJ221)</f>
        <v/>
      </c>
      <c r="AL221" s="32">
        <f>IF($A221="","",IFERROR(INDEX('2_IMPORTAR_EJECUCION'!$F$9:$F$1208,MATCH($AU221,'2_IMPORTAR_EJECUCION'!$J$9:$J$1208,0)),0))</f>
        <v/>
      </c>
      <c r="AM221" s="32">
        <f>IF($A221="","",MAX(0,IFERROR(INDEX('2_IMPORTAR_EJECUCION'!$H$9:$H$1208,MATCH($AU221,'2_IMPORTAR_EJECUCION'!$J$9:$J$1208,0)),0)-$AL221))</f>
        <v/>
      </c>
      <c r="AN221" s="32">
        <f>IF($A221="","",$AL221+$AM221)</f>
        <v/>
      </c>
      <c r="AO221" s="24">
        <f>IF($A221="","",IF(OR((IFERROR(INDEX('CAT_ACTIVIDADES'!$D$4:$D$26,MATCH($H221,'CAT_ACTIVIDADES'!$A$4:$A$26,0)),""))=0,(IFERROR(INDEX('CAT_ACTIVIDADES'!$D$4:$D$26,MATCH($H221,'CAT_ACTIVIDADES'!$A$4:$A$26,0)),""))=""),"SIN CLASIFICAR",IFERROR(INDEX('CAT_ACTIVIDADES'!$D$4:$D$26,MATCH($H221,'CAT_ACTIVIDADES'!$A$4:$A$26,0)),"")))</f>
        <v/>
      </c>
      <c r="AP221" s="4" t="n"/>
      <c r="AQ221" s="4" t="n"/>
      <c r="AR221" s="4" t="n"/>
      <c r="AS221" s="24">
        <f>IF($AR221="","",HYPERLINK(p_ruta_base_checklists&amp;$AR221,"abrir"))</f>
        <v/>
      </c>
      <c r="AT221" s="4" t="n"/>
      <c r="AU221" s="24">
        <f>IF($A221="","",$A221&amp;IF($B221="","0010",$B221))</f>
        <v/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41" t="n"/>
      <c r="K222" s="5" t="n"/>
      <c r="L222" s="18" t="n"/>
      <c r="M222" s="24">
        <f>IF($A222="","",IFERROR(INDEX('AJUSTES'!$B$4:$B$303,MATCH($AU222,'AJUSTES'!$A$4:$A$303,0)),IF($K222="","",$K222)))</f>
        <v/>
      </c>
      <c r="N222" s="24">
        <f>IF($A222="","",IFERROR(INDEX('CAT_ESTADOS_ERP'!$B$4:$B$22,MATCH(IFERROR(INDEX('2_IMPORTAR_EJECUCION'!$C$9:$C$1208,MATCH($AU222,'2_IMPORTAR_EJECUCION'!$J$9:$J$1208,0)),""),'CAT_ESTADOS_ERP'!$A$4:$A$22,0)),"Pendiente"))</f>
        <v/>
      </c>
      <c r="O222" s="24">
        <f>IF($J222="","",YEAR($J222+4-WEEKDAY($J222,2))&amp;"-S"&amp;TEXT(_xlfn.ISOWEEKNUM($J222),"00"))</f>
        <v/>
      </c>
      <c r="P222" s="24">
        <f>IF($J222="","",YEAR($J222))</f>
        <v/>
      </c>
      <c r="Q222" s="24">
        <f>IF($J222="","",MONTH($J222))</f>
        <v/>
      </c>
      <c r="R222" s="24">
        <f>IF($J222="","",$P222&amp;"-"&amp;TEXT($Q222,"00"))</f>
        <v/>
      </c>
      <c r="S222" s="24">
        <f>IF($J222="","",INDEX(lista_dias,WEEKDAY($J222,2)))</f>
        <v/>
      </c>
      <c r="T222" s="24">
        <f>IF($J222="","",IFERROR(INDEX('CALENDARIO'!$C$15:$C$214,MATCH(TEXT($J222,"yyyy-mm-dd")&amp;"|"&amp;$Y222&amp;"|"&amp;$Z222,'CALENDARIO'!$G$15:$G$214,0)),IFERROR(INDEX('CALENDARIO'!$C$15:$C$214,MATCH(TEXT($J222,"yyyy-mm-dd")&amp;"|"&amp;$Y222&amp;"|",'CALENDARIO'!$G$15:$G$214,0)),IFERROR(INDEX('CALENDARIO'!$C$15:$C$214,MATCH(TEXT($J222,"yyyy-mm-dd")&amp;"||",'CALENDARIO'!$G$15:$G$214,0)),INDEX(patronHabil,WEEKDAY($J222,2))))))</f>
        <v/>
      </c>
      <c r="U222" s="24">
        <f>IF($I222="","",IFERROR(INDEX('CAT_TIPOS_OT'!$C$4:$C$23,MATCH($I222,'CAT_TIPOS_OT'!$A$4:$A$23,0)),"sin_clasificar"))</f>
        <v/>
      </c>
      <c r="V222" s="24">
        <f>IF($I222="","",IF(IFERROR(INDEX('CAT_TIPOS_OT'!$D$4:$D$23,MATCH($I222,'CAT_TIPOS_OT'!$A$4:$A$23,0)),"SIN CLASIFICAR")="","SIN CLASIFICAR",IFERROR(INDEX('CAT_TIPOS_OT'!$D$4:$D$23,MATCH($I222,'CAT_TIPOS_OT'!$A$4:$A$23,0)),"SIN CLASIFICAR")))</f>
        <v/>
      </c>
      <c r="W222" s="24">
        <f>IF($H222="","",IF(IFERROR(INDEX('CAT_ACTIVIDADES'!$F$4:$F$26,MATCH($H222,'CAT_ACTIVIDADES'!$A$4:$A$26,0)),"")=0,"",IFERROR(INDEX('CAT_ACTIVIDADES'!$F$4:$F$26,MATCH($H222,'CAT_ACTIVIDADES'!$A$4:$A$26,0)),"")))</f>
        <v/>
      </c>
      <c r="X222" s="24">
        <f>IF($F222="","",IFERROR(INDEX('CAT_CENTROS_COSTO'!$F$4:$F$28,MATCH($F222,'CAT_CENTROS_COSTO'!$A$4:$A$28,0)),"(sin catálogo)"))</f>
        <v/>
      </c>
      <c r="Y222" s="24">
        <f>IF($F222="","",IFERROR(INDEX('CAT_CENTROS_COSTO'!$D$4:$D$28,MATCH($F222,'CAT_CENTROS_COSTO'!$A$4:$A$28,0)),"(sin catálogo)"))</f>
        <v/>
      </c>
      <c r="Z222" s="24">
        <f>IF($F222="","",IF((IFERROR(INDEX('CAT_CENTROS_COSTO'!$E$4:$E$28,MATCH($F222,'CAT_CENTROS_COSTO'!$A$4:$A$28,0)),""))&lt;&gt;"",IFERROR(INDEX('CAT_CENTROS_COSTO'!$E$4:$E$28,MATCH($F222,'CAT_CENTROS_COSTO'!$A$4:$A$28,0)),""),$Y222))</f>
        <v/>
      </c>
      <c r="AA222" s="24">
        <f>IF($F222="","",IFERROR(INDEX('CAT_CENTROS_COSTO'!$G$4:$G$28,MATCH($F222,'CAT_CENTROS_COSTO'!$A$4:$A$28,0)),"(sin catálogo)"))</f>
        <v/>
      </c>
      <c r="AB222" s="24">
        <f>IF($G222="","",IFERROR(INDEX('CAT_PUESTOS'!$B$4:$B$23,MATCH($G222,'CAT_PUESTOS'!$A$4:$A$23,0)),"(sin catálogo)"))</f>
        <v/>
      </c>
      <c r="AC222" s="24">
        <f>IF($H222="","",IFERROR(INDEX('CAT_ACTIVIDADES'!$B$4:$B$26,MATCH($H222,'CAT_ACTIVIDADES'!$A$4:$A$26,0)),"(sin catálogo)"))</f>
        <v/>
      </c>
      <c r="AD222" s="26">
        <f>IF($J222="","",TODAY()-$J222)</f>
        <v/>
      </c>
      <c r="AE222" s="26">
        <f>IF($J222="","",IF($J222&lt;=TODAY(),COUNTIFS(cal_fechas,"&gt;="&amp;$J222,cal_fechas,"&lt;"&amp;TODAY(),cal_habil,"sí"),-COUNTIFS(cal_fechas,"&gt;="&amp;TODAY(),cal_fechas,"&lt;"&amp;$J222,cal_habil,"sí")))</f>
        <v/>
      </c>
      <c r="AF222" s="24">
        <f>IF($AE222="","",IF($AE222&lt;0,"FUTURO",IF($AE222&gt;p_dias_backlog_max,"BACKLOG","MES CORRIENTE")))</f>
        <v/>
      </c>
      <c r="AG222" s="24">
        <f>IF($AE222="",FALSE,AND($AE222&gt;p_dias_backlog_min,$AE222&lt;=p_dias_backlog_max))</f>
        <v/>
      </c>
      <c r="AH222" s="4" t="n"/>
      <c r="AI222" s="24">
        <f>IF($AH222="","",IF((IFERROR(INDEX('ASIGNACIONES'!$J$4:$J$451,MATCH($O222&amp;"|"&amp;$S222&amp;"|"&amp;$AH222,'ASIGNACIONES'!$N$4:$N$451,0)),""))=0,"",IFERROR(INDEX('ASIGNACIONES'!$J$4:$J$451,MATCH($O222&amp;"|"&amp;$S222&amp;"|"&amp;$AH222,'ASIGNACIONES'!$N$4:$N$451,0)),"")))</f>
        <v/>
      </c>
      <c r="AJ222" s="42">
        <f>IF($AH222="","",SUMIFS('ORDENES'!$M$4:$M$1203,'ORDENES'!$AH$4:$AH$1203,$AH222,'ORDENES'!$O$4:$O$1203,$O222,'ORDENES'!$S$4:$S$1203,$S222))</f>
        <v/>
      </c>
      <c r="AK222" s="42">
        <f>IF($AJ222="","",p_factor_productividad*IFERROR(INDEX('ASIGNACIONES'!$M$4:$M$451,MATCH($O222&amp;"|"&amp;$S222&amp;"|"&amp;$AH222,'ASIGNACIONES'!$N$4:$N$451,0)),0)-$AJ222)</f>
        <v/>
      </c>
      <c r="AL222" s="32">
        <f>IF($A222="","",IFERROR(INDEX('2_IMPORTAR_EJECUCION'!$F$9:$F$1208,MATCH($AU222,'2_IMPORTAR_EJECUCION'!$J$9:$J$1208,0)),0))</f>
        <v/>
      </c>
      <c r="AM222" s="32">
        <f>IF($A222="","",MAX(0,IFERROR(INDEX('2_IMPORTAR_EJECUCION'!$H$9:$H$1208,MATCH($AU222,'2_IMPORTAR_EJECUCION'!$J$9:$J$1208,0)),0)-$AL222))</f>
        <v/>
      </c>
      <c r="AN222" s="32">
        <f>IF($A222="","",$AL222+$AM222)</f>
        <v/>
      </c>
      <c r="AO222" s="24">
        <f>IF($A222="","",IF(OR((IFERROR(INDEX('CAT_ACTIVIDADES'!$D$4:$D$26,MATCH($H222,'CAT_ACTIVIDADES'!$A$4:$A$26,0)),""))=0,(IFERROR(INDEX('CAT_ACTIVIDADES'!$D$4:$D$26,MATCH($H222,'CAT_ACTIVIDADES'!$A$4:$A$26,0)),""))=""),"SIN CLASIFICAR",IFERROR(INDEX('CAT_ACTIVIDADES'!$D$4:$D$26,MATCH($H222,'CAT_ACTIVIDADES'!$A$4:$A$26,0)),"")))</f>
        <v/>
      </c>
      <c r="AP222" s="4" t="n"/>
      <c r="AQ222" s="4" t="n"/>
      <c r="AR222" s="4" t="n"/>
      <c r="AS222" s="24">
        <f>IF($AR222="","",HYPERLINK(p_ruta_base_checklists&amp;$AR222,"abrir"))</f>
        <v/>
      </c>
      <c r="AT222" s="4" t="n"/>
      <c r="AU222" s="24">
        <f>IF($A222="","",$A222&amp;IF($B222="","0010",$B222))</f>
        <v/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41" t="n"/>
      <c r="K223" s="5" t="n"/>
      <c r="L223" s="18" t="n"/>
      <c r="M223" s="24">
        <f>IF($A223="","",IFERROR(INDEX('AJUSTES'!$B$4:$B$303,MATCH($AU223,'AJUSTES'!$A$4:$A$303,0)),IF($K223="","",$K223)))</f>
        <v/>
      </c>
      <c r="N223" s="24">
        <f>IF($A223="","",IFERROR(INDEX('CAT_ESTADOS_ERP'!$B$4:$B$22,MATCH(IFERROR(INDEX('2_IMPORTAR_EJECUCION'!$C$9:$C$1208,MATCH($AU223,'2_IMPORTAR_EJECUCION'!$J$9:$J$1208,0)),""),'CAT_ESTADOS_ERP'!$A$4:$A$22,0)),"Pendiente"))</f>
        <v/>
      </c>
      <c r="O223" s="24">
        <f>IF($J223="","",YEAR($J223+4-WEEKDAY($J223,2))&amp;"-S"&amp;TEXT(_xlfn.ISOWEEKNUM($J223),"00"))</f>
        <v/>
      </c>
      <c r="P223" s="24">
        <f>IF($J223="","",YEAR($J223))</f>
        <v/>
      </c>
      <c r="Q223" s="24">
        <f>IF($J223="","",MONTH($J223))</f>
        <v/>
      </c>
      <c r="R223" s="24">
        <f>IF($J223="","",$P223&amp;"-"&amp;TEXT($Q223,"00"))</f>
        <v/>
      </c>
      <c r="S223" s="24">
        <f>IF($J223="","",INDEX(lista_dias,WEEKDAY($J223,2)))</f>
        <v/>
      </c>
      <c r="T223" s="24">
        <f>IF($J223="","",IFERROR(INDEX('CALENDARIO'!$C$15:$C$214,MATCH(TEXT($J223,"yyyy-mm-dd")&amp;"|"&amp;$Y223&amp;"|"&amp;$Z223,'CALENDARIO'!$G$15:$G$214,0)),IFERROR(INDEX('CALENDARIO'!$C$15:$C$214,MATCH(TEXT($J223,"yyyy-mm-dd")&amp;"|"&amp;$Y223&amp;"|",'CALENDARIO'!$G$15:$G$214,0)),IFERROR(INDEX('CALENDARIO'!$C$15:$C$214,MATCH(TEXT($J223,"yyyy-mm-dd")&amp;"||",'CALENDARIO'!$G$15:$G$214,0)),INDEX(patronHabil,WEEKDAY($J223,2))))))</f>
        <v/>
      </c>
      <c r="U223" s="24">
        <f>IF($I223="","",IFERROR(INDEX('CAT_TIPOS_OT'!$C$4:$C$23,MATCH($I223,'CAT_TIPOS_OT'!$A$4:$A$23,0)),"sin_clasificar"))</f>
        <v/>
      </c>
      <c r="V223" s="24">
        <f>IF($I223="","",IF(IFERROR(INDEX('CAT_TIPOS_OT'!$D$4:$D$23,MATCH($I223,'CAT_TIPOS_OT'!$A$4:$A$23,0)),"SIN CLASIFICAR")="","SIN CLASIFICAR",IFERROR(INDEX('CAT_TIPOS_OT'!$D$4:$D$23,MATCH($I223,'CAT_TIPOS_OT'!$A$4:$A$23,0)),"SIN CLASIFICAR")))</f>
        <v/>
      </c>
      <c r="W223" s="24">
        <f>IF($H223="","",IF(IFERROR(INDEX('CAT_ACTIVIDADES'!$F$4:$F$26,MATCH($H223,'CAT_ACTIVIDADES'!$A$4:$A$26,0)),"")=0,"",IFERROR(INDEX('CAT_ACTIVIDADES'!$F$4:$F$26,MATCH($H223,'CAT_ACTIVIDADES'!$A$4:$A$26,0)),"")))</f>
        <v/>
      </c>
      <c r="X223" s="24">
        <f>IF($F223="","",IFERROR(INDEX('CAT_CENTROS_COSTO'!$F$4:$F$28,MATCH($F223,'CAT_CENTROS_COSTO'!$A$4:$A$28,0)),"(sin catálogo)"))</f>
        <v/>
      </c>
      <c r="Y223" s="24">
        <f>IF($F223="","",IFERROR(INDEX('CAT_CENTROS_COSTO'!$D$4:$D$28,MATCH($F223,'CAT_CENTROS_COSTO'!$A$4:$A$28,0)),"(sin catálogo)"))</f>
        <v/>
      </c>
      <c r="Z223" s="24">
        <f>IF($F223="","",IF((IFERROR(INDEX('CAT_CENTROS_COSTO'!$E$4:$E$28,MATCH($F223,'CAT_CENTROS_COSTO'!$A$4:$A$28,0)),""))&lt;&gt;"",IFERROR(INDEX('CAT_CENTROS_COSTO'!$E$4:$E$28,MATCH($F223,'CAT_CENTROS_COSTO'!$A$4:$A$28,0)),""),$Y223))</f>
        <v/>
      </c>
      <c r="AA223" s="24">
        <f>IF($F223="","",IFERROR(INDEX('CAT_CENTROS_COSTO'!$G$4:$G$28,MATCH($F223,'CAT_CENTROS_COSTO'!$A$4:$A$28,0)),"(sin catálogo)"))</f>
        <v/>
      </c>
      <c r="AB223" s="24">
        <f>IF($G223="","",IFERROR(INDEX('CAT_PUESTOS'!$B$4:$B$23,MATCH($G223,'CAT_PUESTOS'!$A$4:$A$23,0)),"(sin catálogo)"))</f>
        <v/>
      </c>
      <c r="AC223" s="24">
        <f>IF($H223="","",IFERROR(INDEX('CAT_ACTIVIDADES'!$B$4:$B$26,MATCH($H223,'CAT_ACTIVIDADES'!$A$4:$A$26,0)),"(sin catálogo)"))</f>
        <v/>
      </c>
      <c r="AD223" s="26">
        <f>IF($J223="","",TODAY()-$J223)</f>
        <v/>
      </c>
      <c r="AE223" s="26">
        <f>IF($J223="","",IF($J223&lt;=TODAY(),COUNTIFS(cal_fechas,"&gt;="&amp;$J223,cal_fechas,"&lt;"&amp;TODAY(),cal_habil,"sí"),-COUNTIFS(cal_fechas,"&gt;="&amp;TODAY(),cal_fechas,"&lt;"&amp;$J223,cal_habil,"sí")))</f>
        <v/>
      </c>
      <c r="AF223" s="24">
        <f>IF($AE223="","",IF($AE223&lt;0,"FUTURO",IF($AE223&gt;p_dias_backlog_max,"BACKLOG","MES CORRIENTE")))</f>
        <v/>
      </c>
      <c r="AG223" s="24">
        <f>IF($AE223="",FALSE,AND($AE223&gt;p_dias_backlog_min,$AE223&lt;=p_dias_backlog_max))</f>
        <v/>
      </c>
      <c r="AH223" s="4" t="n"/>
      <c r="AI223" s="24">
        <f>IF($AH223="","",IF((IFERROR(INDEX('ASIGNACIONES'!$J$4:$J$451,MATCH($O223&amp;"|"&amp;$S223&amp;"|"&amp;$AH223,'ASIGNACIONES'!$N$4:$N$451,0)),""))=0,"",IFERROR(INDEX('ASIGNACIONES'!$J$4:$J$451,MATCH($O223&amp;"|"&amp;$S223&amp;"|"&amp;$AH223,'ASIGNACIONES'!$N$4:$N$451,0)),"")))</f>
        <v/>
      </c>
      <c r="AJ223" s="42">
        <f>IF($AH223="","",SUMIFS('ORDENES'!$M$4:$M$1203,'ORDENES'!$AH$4:$AH$1203,$AH223,'ORDENES'!$O$4:$O$1203,$O223,'ORDENES'!$S$4:$S$1203,$S223))</f>
        <v/>
      </c>
      <c r="AK223" s="42">
        <f>IF($AJ223="","",p_factor_productividad*IFERROR(INDEX('ASIGNACIONES'!$M$4:$M$451,MATCH($O223&amp;"|"&amp;$S223&amp;"|"&amp;$AH223,'ASIGNACIONES'!$N$4:$N$451,0)),0)-$AJ223)</f>
        <v/>
      </c>
      <c r="AL223" s="32">
        <f>IF($A223="","",IFERROR(INDEX('2_IMPORTAR_EJECUCION'!$F$9:$F$1208,MATCH($AU223,'2_IMPORTAR_EJECUCION'!$J$9:$J$1208,0)),0))</f>
        <v/>
      </c>
      <c r="AM223" s="32">
        <f>IF($A223="","",MAX(0,IFERROR(INDEX('2_IMPORTAR_EJECUCION'!$H$9:$H$1208,MATCH($AU223,'2_IMPORTAR_EJECUCION'!$J$9:$J$1208,0)),0)-$AL223))</f>
        <v/>
      </c>
      <c r="AN223" s="32">
        <f>IF($A223="","",$AL223+$AM223)</f>
        <v/>
      </c>
      <c r="AO223" s="24">
        <f>IF($A223="","",IF(OR((IFERROR(INDEX('CAT_ACTIVIDADES'!$D$4:$D$26,MATCH($H223,'CAT_ACTIVIDADES'!$A$4:$A$26,0)),""))=0,(IFERROR(INDEX('CAT_ACTIVIDADES'!$D$4:$D$26,MATCH($H223,'CAT_ACTIVIDADES'!$A$4:$A$26,0)),""))=""),"SIN CLASIFICAR",IFERROR(INDEX('CAT_ACTIVIDADES'!$D$4:$D$26,MATCH($H223,'CAT_ACTIVIDADES'!$A$4:$A$26,0)),"")))</f>
        <v/>
      </c>
      <c r="AP223" s="4" t="n"/>
      <c r="AQ223" s="4" t="n"/>
      <c r="AR223" s="4" t="n"/>
      <c r="AS223" s="24">
        <f>IF($AR223="","",HYPERLINK(p_ruta_base_checklists&amp;$AR223,"abrir"))</f>
        <v/>
      </c>
      <c r="AT223" s="4" t="n"/>
      <c r="AU223" s="24">
        <f>IF($A223="","",$A223&amp;IF($B223="","0010",$B223))</f>
        <v/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41" t="n"/>
      <c r="K224" s="5" t="n"/>
      <c r="L224" s="18" t="n"/>
      <c r="M224" s="24">
        <f>IF($A224="","",IFERROR(INDEX('AJUSTES'!$B$4:$B$303,MATCH($AU224,'AJUSTES'!$A$4:$A$303,0)),IF($K224="","",$K224)))</f>
        <v/>
      </c>
      <c r="N224" s="24">
        <f>IF($A224="","",IFERROR(INDEX('CAT_ESTADOS_ERP'!$B$4:$B$22,MATCH(IFERROR(INDEX('2_IMPORTAR_EJECUCION'!$C$9:$C$1208,MATCH($AU224,'2_IMPORTAR_EJECUCION'!$J$9:$J$1208,0)),""),'CAT_ESTADOS_ERP'!$A$4:$A$22,0)),"Pendiente"))</f>
        <v/>
      </c>
      <c r="O224" s="24">
        <f>IF($J224="","",YEAR($J224+4-WEEKDAY($J224,2))&amp;"-S"&amp;TEXT(_xlfn.ISOWEEKNUM($J224),"00"))</f>
        <v/>
      </c>
      <c r="P224" s="24">
        <f>IF($J224="","",YEAR($J224))</f>
        <v/>
      </c>
      <c r="Q224" s="24">
        <f>IF($J224="","",MONTH($J224))</f>
        <v/>
      </c>
      <c r="R224" s="24">
        <f>IF($J224="","",$P224&amp;"-"&amp;TEXT($Q224,"00"))</f>
        <v/>
      </c>
      <c r="S224" s="24">
        <f>IF($J224="","",INDEX(lista_dias,WEEKDAY($J224,2)))</f>
        <v/>
      </c>
      <c r="T224" s="24">
        <f>IF($J224="","",IFERROR(INDEX('CALENDARIO'!$C$15:$C$214,MATCH(TEXT($J224,"yyyy-mm-dd")&amp;"|"&amp;$Y224&amp;"|"&amp;$Z224,'CALENDARIO'!$G$15:$G$214,0)),IFERROR(INDEX('CALENDARIO'!$C$15:$C$214,MATCH(TEXT($J224,"yyyy-mm-dd")&amp;"|"&amp;$Y224&amp;"|",'CALENDARIO'!$G$15:$G$214,0)),IFERROR(INDEX('CALENDARIO'!$C$15:$C$214,MATCH(TEXT($J224,"yyyy-mm-dd")&amp;"||",'CALENDARIO'!$G$15:$G$214,0)),INDEX(patronHabil,WEEKDAY($J224,2))))))</f>
        <v/>
      </c>
      <c r="U224" s="24">
        <f>IF($I224="","",IFERROR(INDEX('CAT_TIPOS_OT'!$C$4:$C$23,MATCH($I224,'CAT_TIPOS_OT'!$A$4:$A$23,0)),"sin_clasificar"))</f>
        <v/>
      </c>
      <c r="V224" s="24">
        <f>IF($I224="","",IF(IFERROR(INDEX('CAT_TIPOS_OT'!$D$4:$D$23,MATCH($I224,'CAT_TIPOS_OT'!$A$4:$A$23,0)),"SIN CLASIFICAR")="","SIN CLASIFICAR",IFERROR(INDEX('CAT_TIPOS_OT'!$D$4:$D$23,MATCH($I224,'CAT_TIPOS_OT'!$A$4:$A$23,0)),"SIN CLASIFICAR")))</f>
        <v/>
      </c>
      <c r="W224" s="24">
        <f>IF($H224="","",IF(IFERROR(INDEX('CAT_ACTIVIDADES'!$F$4:$F$26,MATCH($H224,'CAT_ACTIVIDADES'!$A$4:$A$26,0)),"")=0,"",IFERROR(INDEX('CAT_ACTIVIDADES'!$F$4:$F$26,MATCH($H224,'CAT_ACTIVIDADES'!$A$4:$A$26,0)),"")))</f>
        <v/>
      </c>
      <c r="X224" s="24">
        <f>IF($F224="","",IFERROR(INDEX('CAT_CENTROS_COSTO'!$F$4:$F$28,MATCH($F224,'CAT_CENTROS_COSTO'!$A$4:$A$28,0)),"(sin catálogo)"))</f>
        <v/>
      </c>
      <c r="Y224" s="24">
        <f>IF($F224="","",IFERROR(INDEX('CAT_CENTROS_COSTO'!$D$4:$D$28,MATCH($F224,'CAT_CENTROS_COSTO'!$A$4:$A$28,0)),"(sin catálogo)"))</f>
        <v/>
      </c>
      <c r="Z224" s="24">
        <f>IF($F224="","",IF((IFERROR(INDEX('CAT_CENTROS_COSTO'!$E$4:$E$28,MATCH($F224,'CAT_CENTROS_COSTO'!$A$4:$A$28,0)),""))&lt;&gt;"",IFERROR(INDEX('CAT_CENTROS_COSTO'!$E$4:$E$28,MATCH($F224,'CAT_CENTROS_COSTO'!$A$4:$A$28,0)),""),$Y224))</f>
        <v/>
      </c>
      <c r="AA224" s="24">
        <f>IF($F224="","",IFERROR(INDEX('CAT_CENTROS_COSTO'!$G$4:$G$28,MATCH($F224,'CAT_CENTROS_COSTO'!$A$4:$A$28,0)),"(sin catálogo)"))</f>
        <v/>
      </c>
      <c r="AB224" s="24">
        <f>IF($G224="","",IFERROR(INDEX('CAT_PUESTOS'!$B$4:$B$23,MATCH($G224,'CAT_PUESTOS'!$A$4:$A$23,0)),"(sin catálogo)"))</f>
        <v/>
      </c>
      <c r="AC224" s="24">
        <f>IF($H224="","",IFERROR(INDEX('CAT_ACTIVIDADES'!$B$4:$B$26,MATCH($H224,'CAT_ACTIVIDADES'!$A$4:$A$26,0)),"(sin catálogo)"))</f>
        <v/>
      </c>
      <c r="AD224" s="26">
        <f>IF($J224="","",TODAY()-$J224)</f>
        <v/>
      </c>
      <c r="AE224" s="26">
        <f>IF($J224="","",IF($J224&lt;=TODAY(),COUNTIFS(cal_fechas,"&gt;="&amp;$J224,cal_fechas,"&lt;"&amp;TODAY(),cal_habil,"sí"),-COUNTIFS(cal_fechas,"&gt;="&amp;TODAY(),cal_fechas,"&lt;"&amp;$J224,cal_habil,"sí")))</f>
        <v/>
      </c>
      <c r="AF224" s="24">
        <f>IF($AE224="","",IF($AE224&lt;0,"FUTURO",IF($AE224&gt;p_dias_backlog_max,"BACKLOG","MES CORRIENTE")))</f>
        <v/>
      </c>
      <c r="AG224" s="24">
        <f>IF($AE224="",FALSE,AND($AE224&gt;p_dias_backlog_min,$AE224&lt;=p_dias_backlog_max))</f>
        <v/>
      </c>
      <c r="AH224" s="4" t="n"/>
      <c r="AI224" s="24">
        <f>IF($AH224="","",IF((IFERROR(INDEX('ASIGNACIONES'!$J$4:$J$451,MATCH($O224&amp;"|"&amp;$S224&amp;"|"&amp;$AH224,'ASIGNACIONES'!$N$4:$N$451,0)),""))=0,"",IFERROR(INDEX('ASIGNACIONES'!$J$4:$J$451,MATCH($O224&amp;"|"&amp;$S224&amp;"|"&amp;$AH224,'ASIGNACIONES'!$N$4:$N$451,0)),"")))</f>
        <v/>
      </c>
      <c r="AJ224" s="42">
        <f>IF($AH224="","",SUMIFS('ORDENES'!$M$4:$M$1203,'ORDENES'!$AH$4:$AH$1203,$AH224,'ORDENES'!$O$4:$O$1203,$O224,'ORDENES'!$S$4:$S$1203,$S224))</f>
        <v/>
      </c>
      <c r="AK224" s="42">
        <f>IF($AJ224="","",p_factor_productividad*IFERROR(INDEX('ASIGNACIONES'!$M$4:$M$451,MATCH($O224&amp;"|"&amp;$S224&amp;"|"&amp;$AH224,'ASIGNACIONES'!$N$4:$N$451,0)),0)-$AJ224)</f>
        <v/>
      </c>
      <c r="AL224" s="32">
        <f>IF($A224="","",IFERROR(INDEX('2_IMPORTAR_EJECUCION'!$F$9:$F$1208,MATCH($AU224,'2_IMPORTAR_EJECUCION'!$J$9:$J$1208,0)),0))</f>
        <v/>
      </c>
      <c r="AM224" s="32">
        <f>IF($A224="","",MAX(0,IFERROR(INDEX('2_IMPORTAR_EJECUCION'!$H$9:$H$1208,MATCH($AU224,'2_IMPORTAR_EJECUCION'!$J$9:$J$1208,0)),0)-$AL224))</f>
        <v/>
      </c>
      <c r="AN224" s="32">
        <f>IF($A224="","",$AL224+$AM224)</f>
        <v/>
      </c>
      <c r="AO224" s="24">
        <f>IF($A224="","",IF(OR((IFERROR(INDEX('CAT_ACTIVIDADES'!$D$4:$D$26,MATCH($H224,'CAT_ACTIVIDADES'!$A$4:$A$26,0)),""))=0,(IFERROR(INDEX('CAT_ACTIVIDADES'!$D$4:$D$26,MATCH($H224,'CAT_ACTIVIDADES'!$A$4:$A$26,0)),""))=""),"SIN CLASIFICAR",IFERROR(INDEX('CAT_ACTIVIDADES'!$D$4:$D$26,MATCH($H224,'CAT_ACTIVIDADES'!$A$4:$A$26,0)),"")))</f>
        <v/>
      </c>
      <c r="AP224" s="4" t="n"/>
      <c r="AQ224" s="4" t="n"/>
      <c r="AR224" s="4" t="n"/>
      <c r="AS224" s="24">
        <f>IF($AR224="","",HYPERLINK(p_ruta_base_checklists&amp;$AR224,"abrir"))</f>
        <v/>
      </c>
      <c r="AT224" s="4" t="n"/>
      <c r="AU224" s="24">
        <f>IF($A224="","",$A224&amp;IF($B224="","0010",$B224))</f>
        <v/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41" t="n"/>
      <c r="K225" s="5" t="n"/>
      <c r="L225" s="18" t="n"/>
      <c r="M225" s="24">
        <f>IF($A225="","",IFERROR(INDEX('AJUSTES'!$B$4:$B$303,MATCH($AU225,'AJUSTES'!$A$4:$A$303,0)),IF($K225="","",$K225)))</f>
        <v/>
      </c>
      <c r="N225" s="24">
        <f>IF($A225="","",IFERROR(INDEX('CAT_ESTADOS_ERP'!$B$4:$B$22,MATCH(IFERROR(INDEX('2_IMPORTAR_EJECUCION'!$C$9:$C$1208,MATCH($AU225,'2_IMPORTAR_EJECUCION'!$J$9:$J$1208,0)),""),'CAT_ESTADOS_ERP'!$A$4:$A$22,0)),"Pendiente"))</f>
        <v/>
      </c>
      <c r="O225" s="24">
        <f>IF($J225="","",YEAR($J225+4-WEEKDAY($J225,2))&amp;"-S"&amp;TEXT(_xlfn.ISOWEEKNUM($J225),"00"))</f>
        <v/>
      </c>
      <c r="P225" s="24">
        <f>IF($J225="","",YEAR($J225))</f>
        <v/>
      </c>
      <c r="Q225" s="24">
        <f>IF($J225="","",MONTH($J225))</f>
        <v/>
      </c>
      <c r="R225" s="24">
        <f>IF($J225="","",$P225&amp;"-"&amp;TEXT($Q225,"00"))</f>
        <v/>
      </c>
      <c r="S225" s="24">
        <f>IF($J225="","",INDEX(lista_dias,WEEKDAY($J225,2)))</f>
        <v/>
      </c>
      <c r="T225" s="24">
        <f>IF($J225="","",IFERROR(INDEX('CALENDARIO'!$C$15:$C$214,MATCH(TEXT($J225,"yyyy-mm-dd")&amp;"|"&amp;$Y225&amp;"|"&amp;$Z225,'CALENDARIO'!$G$15:$G$214,0)),IFERROR(INDEX('CALENDARIO'!$C$15:$C$214,MATCH(TEXT($J225,"yyyy-mm-dd")&amp;"|"&amp;$Y225&amp;"|",'CALENDARIO'!$G$15:$G$214,0)),IFERROR(INDEX('CALENDARIO'!$C$15:$C$214,MATCH(TEXT($J225,"yyyy-mm-dd")&amp;"||",'CALENDARIO'!$G$15:$G$214,0)),INDEX(patronHabil,WEEKDAY($J225,2))))))</f>
        <v/>
      </c>
      <c r="U225" s="24">
        <f>IF($I225="","",IFERROR(INDEX('CAT_TIPOS_OT'!$C$4:$C$23,MATCH($I225,'CAT_TIPOS_OT'!$A$4:$A$23,0)),"sin_clasificar"))</f>
        <v/>
      </c>
      <c r="V225" s="24">
        <f>IF($I225="","",IF(IFERROR(INDEX('CAT_TIPOS_OT'!$D$4:$D$23,MATCH($I225,'CAT_TIPOS_OT'!$A$4:$A$23,0)),"SIN CLASIFICAR")="","SIN CLASIFICAR",IFERROR(INDEX('CAT_TIPOS_OT'!$D$4:$D$23,MATCH($I225,'CAT_TIPOS_OT'!$A$4:$A$23,0)),"SIN CLASIFICAR")))</f>
        <v/>
      </c>
      <c r="W225" s="24">
        <f>IF($H225="","",IF(IFERROR(INDEX('CAT_ACTIVIDADES'!$F$4:$F$26,MATCH($H225,'CAT_ACTIVIDADES'!$A$4:$A$26,0)),"")=0,"",IFERROR(INDEX('CAT_ACTIVIDADES'!$F$4:$F$26,MATCH($H225,'CAT_ACTIVIDADES'!$A$4:$A$26,0)),"")))</f>
        <v/>
      </c>
      <c r="X225" s="24">
        <f>IF($F225="","",IFERROR(INDEX('CAT_CENTROS_COSTO'!$F$4:$F$28,MATCH($F225,'CAT_CENTROS_COSTO'!$A$4:$A$28,0)),"(sin catálogo)"))</f>
        <v/>
      </c>
      <c r="Y225" s="24">
        <f>IF($F225="","",IFERROR(INDEX('CAT_CENTROS_COSTO'!$D$4:$D$28,MATCH($F225,'CAT_CENTROS_COSTO'!$A$4:$A$28,0)),"(sin catálogo)"))</f>
        <v/>
      </c>
      <c r="Z225" s="24">
        <f>IF($F225="","",IF((IFERROR(INDEX('CAT_CENTROS_COSTO'!$E$4:$E$28,MATCH($F225,'CAT_CENTROS_COSTO'!$A$4:$A$28,0)),""))&lt;&gt;"",IFERROR(INDEX('CAT_CENTROS_COSTO'!$E$4:$E$28,MATCH($F225,'CAT_CENTROS_COSTO'!$A$4:$A$28,0)),""),$Y225))</f>
        <v/>
      </c>
      <c r="AA225" s="24">
        <f>IF($F225="","",IFERROR(INDEX('CAT_CENTROS_COSTO'!$G$4:$G$28,MATCH($F225,'CAT_CENTROS_COSTO'!$A$4:$A$28,0)),"(sin catálogo)"))</f>
        <v/>
      </c>
      <c r="AB225" s="24">
        <f>IF($G225="","",IFERROR(INDEX('CAT_PUESTOS'!$B$4:$B$23,MATCH($G225,'CAT_PUESTOS'!$A$4:$A$23,0)),"(sin catálogo)"))</f>
        <v/>
      </c>
      <c r="AC225" s="24">
        <f>IF($H225="","",IFERROR(INDEX('CAT_ACTIVIDADES'!$B$4:$B$26,MATCH($H225,'CAT_ACTIVIDADES'!$A$4:$A$26,0)),"(sin catálogo)"))</f>
        <v/>
      </c>
      <c r="AD225" s="26">
        <f>IF($J225="","",TODAY()-$J225)</f>
        <v/>
      </c>
      <c r="AE225" s="26">
        <f>IF($J225="","",IF($J225&lt;=TODAY(),COUNTIFS(cal_fechas,"&gt;="&amp;$J225,cal_fechas,"&lt;"&amp;TODAY(),cal_habil,"sí"),-COUNTIFS(cal_fechas,"&gt;="&amp;TODAY(),cal_fechas,"&lt;"&amp;$J225,cal_habil,"sí")))</f>
        <v/>
      </c>
      <c r="AF225" s="24">
        <f>IF($AE225="","",IF($AE225&lt;0,"FUTURO",IF($AE225&gt;p_dias_backlog_max,"BACKLOG","MES CORRIENTE")))</f>
        <v/>
      </c>
      <c r="AG225" s="24">
        <f>IF($AE225="",FALSE,AND($AE225&gt;p_dias_backlog_min,$AE225&lt;=p_dias_backlog_max))</f>
        <v/>
      </c>
      <c r="AH225" s="4" t="n"/>
      <c r="AI225" s="24">
        <f>IF($AH225="","",IF((IFERROR(INDEX('ASIGNACIONES'!$J$4:$J$451,MATCH($O225&amp;"|"&amp;$S225&amp;"|"&amp;$AH225,'ASIGNACIONES'!$N$4:$N$451,0)),""))=0,"",IFERROR(INDEX('ASIGNACIONES'!$J$4:$J$451,MATCH($O225&amp;"|"&amp;$S225&amp;"|"&amp;$AH225,'ASIGNACIONES'!$N$4:$N$451,0)),"")))</f>
        <v/>
      </c>
      <c r="AJ225" s="42">
        <f>IF($AH225="","",SUMIFS('ORDENES'!$M$4:$M$1203,'ORDENES'!$AH$4:$AH$1203,$AH225,'ORDENES'!$O$4:$O$1203,$O225,'ORDENES'!$S$4:$S$1203,$S225))</f>
        <v/>
      </c>
      <c r="AK225" s="42">
        <f>IF($AJ225="","",p_factor_productividad*IFERROR(INDEX('ASIGNACIONES'!$M$4:$M$451,MATCH($O225&amp;"|"&amp;$S225&amp;"|"&amp;$AH225,'ASIGNACIONES'!$N$4:$N$451,0)),0)-$AJ225)</f>
        <v/>
      </c>
      <c r="AL225" s="32">
        <f>IF($A225="","",IFERROR(INDEX('2_IMPORTAR_EJECUCION'!$F$9:$F$1208,MATCH($AU225,'2_IMPORTAR_EJECUCION'!$J$9:$J$1208,0)),0))</f>
        <v/>
      </c>
      <c r="AM225" s="32">
        <f>IF($A225="","",MAX(0,IFERROR(INDEX('2_IMPORTAR_EJECUCION'!$H$9:$H$1208,MATCH($AU225,'2_IMPORTAR_EJECUCION'!$J$9:$J$1208,0)),0)-$AL225))</f>
        <v/>
      </c>
      <c r="AN225" s="32">
        <f>IF($A225="","",$AL225+$AM225)</f>
        <v/>
      </c>
      <c r="AO225" s="24">
        <f>IF($A225="","",IF(OR((IFERROR(INDEX('CAT_ACTIVIDADES'!$D$4:$D$26,MATCH($H225,'CAT_ACTIVIDADES'!$A$4:$A$26,0)),""))=0,(IFERROR(INDEX('CAT_ACTIVIDADES'!$D$4:$D$26,MATCH($H225,'CAT_ACTIVIDADES'!$A$4:$A$26,0)),""))=""),"SIN CLASIFICAR",IFERROR(INDEX('CAT_ACTIVIDADES'!$D$4:$D$26,MATCH($H225,'CAT_ACTIVIDADES'!$A$4:$A$26,0)),"")))</f>
        <v/>
      </c>
      <c r="AP225" s="4" t="n"/>
      <c r="AQ225" s="4" t="n"/>
      <c r="AR225" s="4" t="n"/>
      <c r="AS225" s="24">
        <f>IF($AR225="","",HYPERLINK(p_ruta_base_checklists&amp;$AR225,"abrir"))</f>
        <v/>
      </c>
      <c r="AT225" s="4" t="n"/>
      <c r="AU225" s="24">
        <f>IF($A225="","",$A225&amp;IF($B225="","0010",$B225))</f>
        <v/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41" t="n"/>
      <c r="K226" s="5" t="n"/>
      <c r="L226" s="18" t="n"/>
      <c r="M226" s="24">
        <f>IF($A226="","",IFERROR(INDEX('AJUSTES'!$B$4:$B$303,MATCH($AU226,'AJUSTES'!$A$4:$A$303,0)),IF($K226="","",$K226)))</f>
        <v/>
      </c>
      <c r="N226" s="24">
        <f>IF($A226="","",IFERROR(INDEX('CAT_ESTADOS_ERP'!$B$4:$B$22,MATCH(IFERROR(INDEX('2_IMPORTAR_EJECUCION'!$C$9:$C$1208,MATCH($AU226,'2_IMPORTAR_EJECUCION'!$J$9:$J$1208,0)),""),'CAT_ESTADOS_ERP'!$A$4:$A$22,0)),"Pendiente"))</f>
        <v/>
      </c>
      <c r="O226" s="24">
        <f>IF($J226="","",YEAR($J226+4-WEEKDAY($J226,2))&amp;"-S"&amp;TEXT(_xlfn.ISOWEEKNUM($J226),"00"))</f>
        <v/>
      </c>
      <c r="P226" s="24">
        <f>IF($J226="","",YEAR($J226))</f>
        <v/>
      </c>
      <c r="Q226" s="24">
        <f>IF($J226="","",MONTH($J226))</f>
        <v/>
      </c>
      <c r="R226" s="24">
        <f>IF($J226="","",$P226&amp;"-"&amp;TEXT($Q226,"00"))</f>
        <v/>
      </c>
      <c r="S226" s="24">
        <f>IF($J226="","",INDEX(lista_dias,WEEKDAY($J226,2)))</f>
        <v/>
      </c>
      <c r="T226" s="24">
        <f>IF($J226="","",IFERROR(INDEX('CALENDARIO'!$C$15:$C$214,MATCH(TEXT($J226,"yyyy-mm-dd")&amp;"|"&amp;$Y226&amp;"|"&amp;$Z226,'CALENDARIO'!$G$15:$G$214,0)),IFERROR(INDEX('CALENDARIO'!$C$15:$C$214,MATCH(TEXT($J226,"yyyy-mm-dd")&amp;"|"&amp;$Y226&amp;"|",'CALENDARIO'!$G$15:$G$214,0)),IFERROR(INDEX('CALENDARIO'!$C$15:$C$214,MATCH(TEXT($J226,"yyyy-mm-dd")&amp;"||",'CALENDARIO'!$G$15:$G$214,0)),INDEX(patronHabil,WEEKDAY($J226,2))))))</f>
        <v/>
      </c>
      <c r="U226" s="24">
        <f>IF($I226="","",IFERROR(INDEX('CAT_TIPOS_OT'!$C$4:$C$23,MATCH($I226,'CAT_TIPOS_OT'!$A$4:$A$23,0)),"sin_clasificar"))</f>
        <v/>
      </c>
      <c r="V226" s="24">
        <f>IF($I226="","",IF(IFERROR(INDEX('CAT_TIPOS_OT'!$D$4:$D$23,MATCH($I226,'CAT_TIPOS_OT'!$A$4:$A$23,0)),"SIN CLASIFICAR")="","SIN CLASIFICAR",IFERROR(INDEX('CAT_TIPOS_OT'!$D$4:$D$23,MATCH($I226,'CAT_TIPOS_OT'!$A$4:$A$23,0)),"SIN CLASIFICAR")))</f>
        <v/>
      </c>
      <c r="W226" s="24">
        <f>IF($H226="","",IF(IFERROR(INDEX('CAT_ACTIVIDADES'!$F$4:$F$26,MATCH($H226,'CAT_ACTIVIDADES'!$A$4:$A$26,0)),"")=0,"",IFERROR(INDEX('CAT_ACTIVIDADES'!$F$4:$F$26,MATCH($H226,'CAT_ACTIVIDADES'!$A$4:$A$26,0)),"")))</f>
        <v/>
      </c>
      <c r="X226" s="24">
        <f>IF($F226="","",IFERROR(INDEX('CAT_CENTROS_COSTO'!$F$4:$F$28,MATCH($F226,'CAT_CENTROS_COSTO'!$A$4:$A$28,0)),"(sin catálogo)"))</f>
        <v/>
      </c>
      <c r="Y226" s="24">
        <f>IF($F226="","",IFERROR(INDEX('CAT_CENTROS_COSTO'!$D$4:$D$28,MATCH($F226,'CAT_CENTROS_COSTO'!$A$4:$A$28,0)),"(sin catálogo)"))</f>
        <v/>
      </c>
      <c r="Z226" s="24">
        <f>IF($F226="","",IF((IFERROR(INDEX('CAT_CENTROS_COSTO'!$E$4:$E$28,MATCH($F226,'CAT_CENTROS_COSTO'!$A$4:$A$28,0)),""))&lt;&gt;"",IFERROR(INDEX('CAT_CENTROS_COSTO'!$E$4:$E$28,MATCH($F226,'CAT_CENTROS_COSTO'!$A$4:$A$28,0)),""),$Y226))</f>
        <v/>
      </c>
      <c r="AA226" s="24">
        <f>IF($F226="","",IFERROR(INDEX('CAT_CENTROS_COSTO'!$G$4:$G$28,MATCH($F226,'CAT_CENTROS_COSTO'!$A$4:$A$28,0)),"(sin catálogo)"))</f>
        <v/>
      </c>
      <c r="AB226" s="24">
        <f>IF($G226="","",IFERROR(INDEX('CAT_PUESTOS'!$B$4:$B$23,MATCH($G226,'CAT_PUESTOS'!$A$4:$A$23,0)),"(sin catálogo)"))</f>
        <v/>
      </c>
      <c r="AC226" s="24">
        <f>IF($H226="","",IFERROR(INDEX('CAT_ACTIVIDADES'!$B$4:$B$26,MATCH($H226,'CAT_ACTIVIDADES'!$A$4:$A$26,0)),"(sin catálogo)"))</f>
        <v/>
      </c>
      <c r="AD226" s="26">
        <f>IF($J226="","",TODAY()-$J226)</f>
        <v/>
      </c>
      <c r="AE226" s="26">
        <f>IF($J226="","",IF($J226&lt;=TODAY(),COUNTIFS(cal_fechas,"&gt;="&amp;$J226,cal_fechas,"&lt;"&amp;TODAY(),cal_habil,"sí"),-COUNTIFS(cal_fechas,"&gt;="&amp;TODAY(),cal_fechas,"&lt;"&amp;$J226,cal_habil,"sí")))</f>
        <v/>
      </c>
      <c r="AF226" s="24">
        <f>IF($AE226="","",IF($AE226&lt;0,"FUTURO",IF($AE226&gt;p_dias_backlog_max,"BACKLOG","MES CORRIENTE")))</f>
        <v/>
      </c>
      <c r="AG226" s="24">
        <f>IF($AE226="",FALSE,AND($AE226&gt;p_dias_backlog_min,$AE226&lt;=p_dias_backlog_max))</f>
        <v/>
      </c>
      <c r="AH226" s="4" t="n"/>
      <c r="AI226" s="24">
        <f>IF($AH226="","",IF((IFERROR(INDEX('ASIGNACIONES'!$J$4:$J$451,MATCH($O226&amp;"|"&amp;$S226&amp;"|"&amp;$AH226,'ASIGNACIONES'!$N$4:$N$451,0)),""))=0,"",IFERROR(INDEX('ASIGNACIONES'!$J$4:$J$451,MATCH($O226&amp;"|"&amp;$S226&amp;"|"&amp;$AH226,'ASIGNACIONES'!$N$4:$N$451,0)),"")))</f>
        <v/>
      </c>
      <c r="AJ226" s="42">
        <f>IF($AH226="","",SUMIFS('ORDENES'!$M$4:$M$1203,'ORDENES'!$AH$4:$AH$1203,$AH226,'ORDENES'!$O$4:$O$1203,$O226,'ORDENES'!$S$4:$S$1203,$S226))</f>
        <v/>
      </c>
      <c r="AK226" s="42">
        <f>IF($AJ226="","",p_factor_productividad*IFERROR(INDEX('ASIGNACIONES'!$M$4:$M$451,MATCH($O226&amp;"|"&amp;$S226&amp;"|"&amp;$AH226,'ASIGNACIONES'!$N$4:$N$451,0)),0)-$AJ226)</f>
        <v/>
      </c>
      <c r="AL226" s="32">
        <f>IF($A226="","",IFERROR(INDEX('2_IMPORTAR_EJECUCION'!$F$9:$F$1208,MATCH($AU226,'2_IMPORTAR_EJECUCION'!$J$9:$J$1208,0)),0))</f>
        <v/>
      </c>
      <c r="AM226" s="32">
        <f>IF($A226="","",MAX(0,IFERROR(INDEX('2_IMPORTAR_EJECUCION'!$H$9:$H$1208,MATCH($AU226,'2_IMPORTAR_EJECUCION'!$J$9:$J$1208,0)),0)-$AL226))</f>
        <v/>
      </c>
      <c r="AN226" s="32">
        <f>IF($A226="","",$AL226+$AM226)</f>
        <v/>
      </c>
      <c r="AO226" s="24">
        <f>IF($A226="","",IF(OR((IFERROR(INDEX('CAT_ACTIVIDADES'!$D$4:$D$26,MATCH($H226,'CAT_ACTIVIDADES'!$A$4:$A$26,0)),""))=0,(IFERROR(INDEX('CAT_ACTIVIDADES'!$D$4:$D$26,MATCH($H226,'CAT_ACTIVIDADES'!$A$4:$A$26,0)),""))=""),"SIN CLASIFICAR",IFERROR(INDEX('CAT_ACTIVIDADES'!$D$4:$D$26,MATCH($H226,'CAT_ACTIVIDADES'!$A$4:$A$26,0)),"")))</f>
        <v/>
      </c>
      <c r="AP226" s="4" t="n"/>
      <c r="AQ226" s="4" t="n"/>
      <c r="AR226" s="4" t="n"/>
      <c r="AS226" s="24">
        <f>IF($AR226="","",HYPERLINK(p_ruta_base_checklists&amp;$AR226,"abrir"))</f>
        <v/>
      </c>
      <c r="AT226" s="4" t="n"/>
      <c r="AU226" s="24">
        <f>IF($A226="","",$A226&amp;IF($B226="","0010",$B226))</f>
        <v/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41" t="n"/>
      <c r="K227" s="5" t="n"/>
      <c r="L227" s="18" t="n"/>
      <c r="M227" s="24">
        <f>IF($A227="","",IFERROR(INDEX('AJUSTES'!$B$4:$B$303,MATCH($AU227,'AJUSTES'!$A$4:$A$303,0)),IF($K227="","",$K227)))</f>
        <v/>
      </c>
      <c r="N227" s="24">
        <f>IF($A227="","",IFERROR(INDEX('CAT_ESTADOS_ERP'!$B$4:$B$22,MATCH(IFERROR(INDEX('2_IMPORTAR_EJECUCION'!$C$9:$C$1208,MATCH($AU227,'2_IMPORTAR_EJECUCION'!$J$9:$J$1208,0)),""),'CAT_ESTADOS_ERP'!$A$4:$A$22,0)),"Pendiente"))</f>
        <v/>
      </c>
      <c r="O227" s="24">
        <f>IF($J227="","",YEAR($J227+4-WEEKDAY($J227,2))&amp;"-S"&amp;TEXT(_xlfn.ISOWEEKNUM($J227),"00"))</f>
        <v/>
      </c>
      <c r="P227" s="24">
        <f>IF($J227="","",YEAR($J227))</f>
        <v/>
      </c>
      <c r="Q227" s="24">
        <f>IF($J227="","",MONTH($J227))</f>
        <v/>
      </c>
      <c r="R227" s="24">
        <f>IF($J227="","",$P227&amp;"-"&amp;TEXT($Q227,"00"))</f>
        <v/>
      </c>
      <c r="S227" s="24">
        <f>IF($J227="","",INDEX(lista_dias,WEEKDAY($J227,2)))</f>
        <v/>
      </c>
      <c r="T227" s="24">
        <f>IF($J227="","",IFERROR(INDEX('CALENDARIO'!$C$15:$C$214,MATCH(TEXT($J227,"yyyy-mm-dd")&amp;"|"&amp;$Y227&amp;"|"&amp;$Z227,'CALENDARIO'!$G$15:$G$214,0)),IFERROR(INDEX('CALENDARIO'!$C$15:$C$214,MATCH(TEXT($J227,"yyyy-mm-dd")&amp;"|"&amp;$Y227&amp;"|",'CALENDARIO'!$G$15:$G$214,0)),IFERROR(INDEX('CALENDARIO'!$C$15:$C$214,MATCH(TEXT($J227,"yyyy-mm-dd")&amp;"||",'CALENDARIO'!$G$15:$G$214,0)),INDEX(patronHabil,WEEKDAY($J227,2))))))</f>
        <v/>
      </c>
      <c r="U227" s="24">
        <f>IF($I227="","",IFERROR(INDEX('CAT_TIPOS_OT'!$C$4:$C$23,MATCH($I227,'CAT_TIPOS_OT'!$A$4:$A$23,0)),"sin_clasificar"))</f>
        <v/>
      </c>
      <c r="V227" s="24">
        <f>IF($I227="","",IF(IFERROR(INDEX('CAT_TIPOS_OT'!$D$4:$D$23,MATCH($I227,'CAT_TIPOS_OT'!$A$4:$A$23,0)),"SIN CLASIFICAR")="","SIN CLASIFICAR",IFERROR(INDEX('CAT_TIPOS_OT'!$D$4:$D$23,MATCH($I227,'CAT_TIPOS_OT'!$A$4:$A$23,0)),"SIN CLASIFICAR")))</f>
        <v/>
      </c>
      <c r="W227" s="24">
        <f>IF($H227="","",IF(IFERROR(INDEX('CAT_ACTIVIDADES'!$F$4:$F$26,MATCH($H227,'CAT_ACTIVIDADES'!$A$4:$A$26,0)),"")=0,"",IFERROR(INDEX('CAT_ACTIVIDADES'!$F$4:$F$26,MATCH($H227,'CAT_ACTIVIDADES'!$A$4:$A$26,0)),"")))</f>
        <v/>
      </c>
      <c r="X227" s="24">
        <f>IF($F227="","",IFERROR(INDEX('CAT_CENTROS_COSTO'!$F$4:$F$28,MATCH($F227,'CAT_CENTROS_COSTO'!$A$4:$A$28,0)),"(sin catálogo)"))</f>
        <v/>
      </c>
      <c r="Y227" s="24">
        <f>IF($F227="","",IFERROR(INDEX('CAT_CENTROS_COSTO'!$D$4:$D$28,MATCH($F227,'CAT_CENTROS_COSTO'!$A$4:$A$28,0)),"(sin catálogo)"))</f>
        <v/>
      </c>
      <c r="Z227" s="24">
        <f>IF($F227="","",IF((IFERROR(INDEX('CAT_CENTROS_COSTO'!$E$4:$E$28,MATCH($F227,'CAT_CENTROS_COSTO'!$A$4:$A$28,0)),""))&lt;&gt;"",IFERROR(INDEX('CAT_CENTROS_COSTO'!$E$4:$E$28,MATCH($F227,'CAT_CENTROS_COSTO'!$A$4:$A$28,0)),""),$Y227))</f>
        <v/>
      </c>
      <c r="AA227" s="24">
        <f>IF($F227="","",IFERROR(INDEX('CAT_CENTROS_COSTO'!$G$4:$G$28,MATCH($F227,'CAT_CENTROS_COSTO'!$A$4:$A$28,0)),"(sin catálogo)"))</f>
        <v/>
      </c>
      <c r="AB227" s="24">
        <f>IF($G227="","",IFERROR(INDEX('CAT_PUESTOS'!$B$4:$B$23,MATCH($G227,'CAT_PUESTOS'!$A$4:$A$23,0)),"(sin catálogo)"))</f>
        <v/>
      </c>
      <c r="AC227" s="24">
        <f>IF($H227="","",IFERROR(INDEX('CAT_ACTIVIDADES'!$B$4:$B$26,MATCH($H227,'CAT_ACTIVIDADES'!$A$4:$A$26,0)),"(sin catálogo)"))</f>
        <v/>
      </c>
      <c r="AD227" s="26">
        <f>IF($J227="","",TODAY()-$J227)</f>
        <v/>
      </c>
      <c r="AE227" s="26">
        <f>IF($J227="","",IF($J227&lt;=TODAY(),COUNTIFS(cal_fechas,"&gt;="&amp;$J227,cal_fechas,"&lt;"&amp;TODAY(),cal_habil,"sí"),-COUNTIFS(cal_fechas,"&gt;="&amp;TODAY(),cal_fechas,"&lt;"&amp;$J227,cal_habil,"sí")))</f>
        <v/>
      </c>
      <c r="AF227" s="24">
        <f>IF($AE227="","",IF($AE227&lt;0,"FUTURO",IF($AE227&gt;p_dias_backlog_max,"BACKLOG","MES CORRIENTE")))</f>
        <v/>
      </c>
      <c r="AG227" s="24">
        <f>IF($AE227="",FALSE,AND($AE227&gt;p_dias_backlog_min,$AE227&lt;=p_dias_backlog_max))</f>
        <v/>
      </c>
      <c r="AH227" s="4" t="n"/>
      <c r="AI227" s="24">
        <f>IF($AH227="","",IF((IFERROR(INDEX('ASIGNACIONES'!$J$4:$J$451,MATCH($O227&amp;"|"&amp;$S227&amp;"|"&amp;$AH227,'ASIGNACIONES'!$N$4:$N$451,0)),""))=0,"",IFERROR(INDEX('ASIGNACIONES'!$J$4:$J$451,MATCH($O227&amp;"|"&amp;$S227&amp;"|"&amp;$AH227,'ASIGNACIONES'!$N$4:$N$451,0)),"")))</f>
        <v/>
      </c>
      <c r="AJ227" s="42">
        <f>IF($AH227="","",SUMIFS('ORDENES'!$M$4:$M$1203,'ORDENES'!$AH$4:$AH$1203,$AH227,'ORDENES'!$O$4:$O$1203,$O227,'ORDENES'!$S$4:$S$1203,$S227))</f>
        <v/>
      </c>
      <c r="AK227" s="42">
        <f>IF($AJ227="","",p_factor_productividad*IFERROR(INDEX('ASIGNACIONES'!$M$4:$M$451,MATCH($O227&amp;"|"&amp;$S227&amp;"|"&amp;$AH227,'ASIGNACIONES'!$N$4:$N$451,0)),0)-$AJ227)</f>
        <v/>
      </c>
      <c r="AL227" s="32">
        <f>IF($A227="","",IFERROR(INDEX('2_IMPORTAR_EJECUCION'!$F$9:$F$1208,MATCH($AU227,'2_IMPORTAR_EJECUCION'!$J$9:$J$1208,0)),0))</f>
        <v/>
      </c>
      <c r="AM227" s="32">
        <f>IF($A227="","",MAX(0,IFERROR(INDEX('2_IMPORTAR_EJECUCION'!$H$9:$H$1208,MATCH($AU227,'2_IMPORTAR_EJECUCION'!$J$9:$J$1208,0)),0)-$AL227))</f>
        <v/>
      </c>
      <c r="AN227" s="32">
        <f>IF($A227="","",$AL227+$AM227)</f>
        <v/>
      </c>
      <c r="AO227" s="24">
        <f>IF($A227="","",IF(OR((IFERROR(INDEX('CAT_ACTIVIDADES'!$D$4:$D$26,MATCH($H227,'CAT_ACTIVIDADES'!$A$4:$A$26,0)),""))=0,(IFERROR(INDEX('CAT_ACTIVIDADES'!$D$4:$D$26,MATCH($H227,'CAT_ACTIVIDADES'!$A$4:$A$26,0)),""))=""),"SIN CLASIFICAR",IFERROR(INDEX('CAT_ACTIVIDADES'!$D$4:$D$26,MATCH($H227,'CAT_ACTIVIDADES'!$A$4:$A$26,0)),"")))</f>
        <v/>
      </c>
      <c r="AP227" s="4" t="n"/>
      <c r="AQ227" s="4" t="n"/>
      <c r="AR227" s="4" t="n"/>
      <c r="AS227" s="24">
        <f>IF($AR227="","",HYPERLINK(p_ruta_base_checklists&amp;$AR227,"abrir"))</f>
        <v/>
      </c>
      <c r="AT227" s="4" t="n"/>
      <c r="AU227" s="24">
        <f>IF($A227="","",$A227&amp;IF($B227="","0010",$B227))</f>
        <v/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41" t="n"/>
      <c r="K228" s="5" t="n"/>
      <c r="L228" s="18" t="n"/>
      <c r="M228" s="24">
        <f>IF($A228="","",IFERROR(INDEX('AJUSTES'!$B$4:$B$303,MATCH($AU228,'AJUSTES'!$A$4:$A$303,0)),IF($K228="","",$K228)))</f>
        <v/>
      </c>
      <c r="N228" s="24">
        <f>IF($A228="","",IFERROR(INDEX('CAT_ESTADOS_ERP'!$B$4:$B$22,MATCH(IFERROR(INDEX('2_IMPORTAR_EJECUCION'!$C$9:$C$1208,MATCH($AU228,'2_IMPORTAR_EJECUCION'!$J$9:$J$1208,0)),""),'CAT_ESTADOS_ERP'!$A$4:$A$22,0)),"Pendiente"))</f>
        <v/>
      </c>
      <c r="O228" s="24">
        <f>IF($J228="","",YEAR($J228+4-WEEKDAY($J228,2))&amp;"-S"&amp;TEXT(_xlfn.ISOWEEKNUM($J228),"00"))</f>
        <v/>
      </c>
      <c r="P228" s="24">
        <f>IF($J228="","",YEAR($J228))</f>
        <v/>
      </c>
      <c r="Q228" s="24">
        <f>IF($J228="","",MONTH($J228))</f>
        <v/>
      </c>
      <c r="R228" s="24">
        <f>IF($J228="","",$P228&amp;"-"&amp;TEXT($Q228,"00"))</f>
        <v/>
      </c>
      <c r="S228" s="24">
        <f>IF($J228="","",INDEX(lista_dias,WEEKDAY($J228,2)))</f>
        <v/>
      </c>
      <c r="T228" s="24">
        <f>IF($J228="","",IFERROR(INDEX('CALENDARIO'!$C$15:$C$214,MATCH(TEXT($J228,"yyyy-mm-dd")&amp;"|"&amp;$Y228&amp;"|"&amp;$Z228,'CALENDARIO'!$G$15:$G$214,0)),IFERROR(INDEX('CALENDARIO'!$C$15:$C$214,MATCH(TEXT($J228,"yyyy-mm-dd")&amp;"|"&amp;$Y228&amp;"|",'CALENDARIO'!$G$15:$G$214,0)),IFERROR(INDEX('CALENDARIO'!$C$15:$C$214,MATCH(TEXT($J228,"yyyy-mm-dd")&amp;"||",'CALENDARIO'!$G$15:$G$214,0)),INDEX(patronHabil,WEEKDAY($J228,2))))))</f>
        <v/>
      </c>
      <c r="U228" s="24">
        <f>IF($I228="","",IFERROR(INDEX('CAT_TIPOS_OT'!$C$4:$C$23,MATCH($I228,'CAT_TIPOS_OT'!$A$4:$A$23,0)),"sin_clasificar"))</f>
        <v/>
      </c>
      <c r="V228" s="24">
        <f>IF($I228="","",IF(IFERROR(INDEX('CAT_TIPOS_OT'!$D$4:$D$23,MATCH($I228,'CAT_TIPOS_OT'!$A$4:$A$23,0)),"SIN CLASIFICAR")="","SIN CLASIFICAR",IFERROR(INDEX('CAT_TIPOS_OT'!$D$4:$D$23,MATCH($I228,'CAT_TIPOS_OT'!$A$4:$A$23,0)),"SIN CLASIFICAR")))</f>
        <v/>
      </c>
      <c r="W228" s="24">
        <f>IF($H228="","",IF(IFERROR(INDEX('CAT_ACTIVIDADES'!$F$4:$F$26,MATCH($H228,'CAT_ACTIVIDADES'!$A$4:$A$26,0)),"")=0,"",IFERROR(INDEX('CAT_ACTIVIDADES'!$F$4:$F$26,MATCH($H228,'CAT_ACTIVIDADES'!$A$4:$A$26,0)),"")))</f>
        <v/>
      </c>
      <c r="X228" s="24">
        <f>IF($F228="","",IFERROR(INDEX('CAT_CENTROS_COSTO'!$F$4:$F$28,MATCH($F228,'CAT_CENTROS_COSTO'!$A$4:$A$28,0)),"(sin catálogo)"))</f>
        <v/>
      </c>
      <c r="Y228" s="24">
        <f>IF($F228="","",IFERROR(INDEX('CAT_CENTROS_COSTO'!$D$4:$D$28,MATCH($F228,'CAT_CENTROS_COSTO'!$A$4:$A$28,0)),"(sin catálogo)"))</f>
        <v/>
      </c>
      <c r="Z228" s="24">
        <f>IF($F228="","",IF((IFERROR(INDEX('CAT_CENTROS_COSTO'!$E$4:$E$28,MATCH($F228,'CAT_CENTROS_COSTO'!$A$4:$A$28,0)),""))&lt;&gt;"",IFERROR(INDEX('CAT_CENTROS_COSTO'!$E$4:$E$28,MATCH($F228,'CAT_CENTROS_COSTO'!$A$4:$A$28,0)),""),$Y228))</f>
        <v/>
      </c>
      <c r="AA228" s="24">
        <f>IF($F228="","",IFERROR(INDEX('CAT_CENTROS_COSTO'!$G$4:$G$28,MATCH($F228,'CAT_CENTROS_COSTO'!$A$4:$A$28,0)),"(sin catálogo)"))</f>
        <v/>
      </c>
      <c r="AB228" s="24">
        <f>IF($G228="","",IFERROR(INDEX('CAT_PUESTOS'!$B$4:$B$23,MATCH($G228,'CAT_PUESTOS'!$A$4:$A$23,0)),"(sin catálogo)"))</f>
        <v/>
      </c>
      <c r="AC228" s="24">
        <f>IF($H228="","",IFERROR(INDEX('CAT_ACTIVIDADES'!$B$4:$B$26,MATCH($H228,'CAT_ACTIVIDADES'!$A$4:$A$26,0)),"(sin catálogo)"))</f>
        <v/>
      </c>
      <c r="AD228" s="26">
        <f>IF($J228="","",TODAY()-$J228)</f>
        <v/>
      </c>
      <c r="AE228" s="26">
        <f>IF($J228="","",IF($J228&lt;=TODAY(),COUNTIFS(cal_fechas,"&gt;="&amp;$J228,cal_fechas,"&lt;"&amp;TODAY(),cal_habil,"sí"),-COUNTIFS(cal_fechas,"&gt;="&amp;TODAY(),cal_fechas,"&lt;"&amp;$J228,cal_habil,"sí")))</f>
        <v/>
      </c>
      <c r="AF228" s="24">
        <f>IF($AE228="","",IF($AE228&lt;0,"FUTURO",IF($AE228&gt;p_dias_backlog_max,"BACKLOG","MES CORRIENTE")))</f>
        <v/>
      </c>
      <c r="AG228" s="24">
        <f>IF($AE228="",FALSE,AND($AE228&gt;p_dias_backlog_min,$AE228&lt;=p_dias_backlog_max))</f>
        <v/>
      </c>
      <c r="AH228" s="4" t="n"/>
      <c r="AI228" s="24">
        <f>IF($AH228="","",IF((IFERROR(INDEX('ASIGNACIONES'!$J$4:$J$451,MATCH($O228&amp;"|"&amp;$S228&amp;"|"&amp;$AH228,'ASIGNACIONES'!$N$4:$N$451,0)),""))=0,"",IFERROR(INDEX('ASIGNACIONES'!$J$4:$J$451,MATCH($O228&amp;"|"&amp;$S228&amp;"|"&amp;$AH228,'ASIGNACIONES'!$N$4:$N$451,0)),"")))</f>
        <v/>
      </c>
      <c r="AJ228" s="42">
        <f>IF($AH228="","",SUMIFS('ORDENES'!$M$4:$M$1203,'ORDENES'!$AH$4:$AH$1203,$AH228,'ORDENES'!$O$4:$O$1203,$O228,'ORDENES'!$S$4:$S$1203,$S228))</f>
        <v/>
      </c>
      <c r="AK228" s="42">
        <f>IF($AJ228="","",p_factor_productividad*IFERROR(INDEX('ASIGNACIONES'!$M$4:$M$451,MATCH($O228&amp;"|"&amp;$S228&amp;"|"&amp;$AH228,'ASIGNACIONES'!$N$4:$N$451,0)),0)-$AJ228)</f>
        <v/>
      </c>
      <c r="AL228" s="32">
        <f>IF($A228="","",IFERROR(INDEX('2_IMPORTAR_EJECUCION'!$F$9:$F$1208,MATCH($AU228,'2_IMPORTAR_EJECUCION'!$J$9:$J$1208,0)),0))</f>
        <v/>
      </c>
      <c r="AM228" s="32">
        <f>IF($A228="","",MAX(0,IFERROR(INDEX('2_IMPORTAR_EJECUCION'!$H$9:$H$1208,MATCH($AU228,'2_IMPORTAR_EJECUCION'!$J$9:$J$1208,0)),0)-$AL228))</f>
        <v/>
      </c>
      <c r="AN228" s="32">
        <f>IF($A228="","",$AL228+$AM228)</f>
        <v/>
      </c>
      <c r="AO228" s="24">
        <f>IF($A228="","",IF(OR((IFERROR(INDEX('CAT_ACTIVIDADES'!$D$4:$D$26,MATCH($H228,'CAT_ACTIVIDADES'!$A$4:$A$26,0)),""))=0,(IFERROR(INDEX('CAT_ACTIVIDADES'!$D$4:$D$26,MATCH($H228,'CAT_ACTIVIDADES'!$A$4:$A$26,0)),""))=""),"SIN CLASIFICAR",IFERROR(INDEX('CAT_ACTIVIDADES'!$D$4:$D$26,MATCH($H228,'CAT_ACTIVIDADES'!$A$4:$A$26,0)),"")))</f>
        <v/>
      </c>
      <c r="AP228" s="4" t="n"/>
      <c r="AQ228" s="4" t="n"/>
      <c r="AR228" s="4" t="n"/>
      <c r="AS228" s="24">
        <f>IF($AR228="","",HYPERLINK(p_ruta_base_checklists&amp;$AR228,"abrir"))</f>
        <v/>
      </c>
      <c r="AT228" s="4" t="n"/>
      <c r="AU228" s="24">
        <f>IF($A228="","",$A228&amp;IF($B228="","0010",$B228))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41" t="n"/>
      <c r="K229" s="5" t="n"/>
      <c r="L229" s="18" t="n"/>
      <c r="M229" s="24">
        <f>IF($A229="","",IFERROR(INDEX('AJUSTES'!$B$4:$B$303,MATCH($AU229,'AJUSTES'!$A$4:$A$303,0)),IF($K229="","",$K229)))</f>
        <v/>
      </c>
      <c r="N229" s="24">
        <f>IF($A229="","",IFERROR(INDEX('CAT_ESTADOS_ERP'!$B$4:$B$22,MATCH(IFERROR(INDEX('2_IMPORTAR_EJECUCION'!$C$9:$C$1208,MATCH($AU229,'2_IMPORTAR_EJECUCION'!$J$9:$J$1208,0)),""),'CAT_ESTADOS_ERP'!$A$4:$A$22,0)),"Pendiente"))</f>
        <v/>
      </c>
      <c r="O229" s="24">
        <f>IF($J229="","",YEAR($J229+4-WEEKDAY($J229,2))&amp;"-S"&amp;TEXT(_xlfn.ISOWEEKNUM($J229),"00"))</f>
        <v/>
      </c>
      <c r="P229" s="24">
        <f>IF($J229="","",YEAR($J229))</f>
        <v/>
      </c>
      <c r="Q229" s="24">
        <f>IF($J229="","",MONTH($J229))</f>
        <v/>
      </c>
      <c r="R229" s="24">
        <f>IF($J229="","",$P229&amp;"-"&amp;TEXT($Q229,"00"))</f>
        <v/>
      </c>
      <c r="S229" s="24">
        <f>IF($J229="","",INDEX(lista_dias,WEEKDAY($J229,2)))</f>
        <v/>
      </c>
      <c r="T229" s="24">
        <f>IF($J229="","",IFERROR(INDEX('CALENDARIO'!$C$15:$C$214,MATCH(TEXT($J229,"yyyy-mm-dd")&amp;"|"&amp;$Y229&amp;"|"&amp;$Z229,'CALENDARIO'!$G$15:$G$214,0)),IFERROR(INDEX('CALENDARIO'!$C$15:$C$214,MATCH(TEXT($J229,"yyyy-mm-dd")&amp;"|"&amp;$Y229&amp;"|",'CALENDARIO'!$G$15:$G$214,0)),IFERROR(INDEX('CALENDARIO'!$C$15:$C$214,MATCH(TEXT($J229,"yyyy-mm-dd")&amp;"||",'CALENDARIO'!$G$15:$G$214,0)),INDEX(patronHabil,WEEKDAY($J229,2))))))</f>
        <v/>
      </c>
      <c r="U229" s="24">
        <f>IF($I229="","",IFERROR(INDEX('CAT_TIPOS_OT'!$C$4:$C$23,MATCH($I229,'CAT_TIPOS_OT'!$A$4:$A$23,0)),"sin_clasificar"))</f>
        <v/>
      </c>
      <c r="V229" s="24">
        <f>IF($I229="","",IF(IFERROR(INDEX('CAT_TIPOS_OT'!$D$4:$D$23,MATCH($I229,'CAT_TIPOS_OT'!$A$4:$A$23,0)),"SIN CLASIFICAR")="","SIN CLASIFICAR",IFERROR(INDEX('CAT_TIPOS_OT'!$D$4:$D$23,MATCH($I229,'CAT_TIPOS_OT'!$A$4:$A$23,0)),"SIN CLASIFICAR")))</f>
        <v/>
      </c>
      <c r="W229" s="24">
        <f>IF($H229="","",IF(IFERROR(INDEX('CAT_ACTIVIDADES'!$F$4:$F$26,MATCH($H229,'CAT_ACTIVIDADES'!$A$4:$A$26,0)),"")=0,"",IFERROR(INDEX('CAT_ACTIVIDADES'!$F$4:$F$26,MATCH($H229,'CAT_ACTIVIDADES'!$A$4:$A$26,0)),"")))</f>
        <v/>
      </c>
      <c r="X229" s="24">
        <f>IF($F229="","",IFERROR(INDEX('CAT_CENTROS_COSTO'!$F$4:$F$28,MATCH($F229,'CAT_CENTROS_COSTO'!$A$4:$A$28,0)),"(sin catálogo)"))</f>
        <v/>
      </c>
      <c r="Y229" s="24">
        <f>IF($F229="","",IFERROR(INDEX('CAT_CENTROS_COSTO'!$D$4:$D$28,MATCH($F229,'CAT_CENTROS_COSTO'!$A$4:$A$28,0)),"(sin catálogo)"))</f>
        <v/>
      </c>
      <c r="Z229" s="24">
        <f>IF($F229="","",IF((IFERROR(INDEX('CAT_CENTROS_COSTO'!$E$4:$E$28,MATCH($F229,'CAT_CENTROS_COSTO'!$A$4:$A$28,0)),""))&lt;&gt;"",IFERROR(INDEX('CAT_CENTROS_COSTO'!$E$4:$E$28,MATCH($F229,'CAT_CENTROS_COSTO'!$A$4:$A$28,0)),""),$Y229))</f>
        <v/>
      </c>
      <c r="AA229" s="24">
        <f>IF($F229="","",IFERROR(INDEX('CAT_CENTROS_COSTO'!$G$4:$G$28,MATCH($F229,'CAT_CENTROS_COSTO'!$A$4:$A$28,0)),"(sin catálogo)"))</f>
        <v/>
      </c>
      <c r="AB229" s="24">
        <f>IF($G229="","",IFERROR(INDEX('CAT_PUESTOS'!$B$4:$B$23,MATCH($G229,'CAT_PUESTOS'!$A$4:$A$23,0)),"(sin catálogo)"))</f>
        <v/>
      </c>
      <c r="AC229" s="24">
        <f>IF($H229="","",IFERROR(INDEX('CAT_ACTIVIDADES'!$B$4:$B$26,MATCH($H229,'CAT_ACTIVIDADES'!$A$4:$A$26,0)),"(sin catálogo)"))</f>
        <v/>
      </c>
      <c r="AD229" s="26">
        <f>IF($J229="","",TODAY()-$J229)</f>
        <v/>
      </c>
      <c r="AE229" s="26">
        <f>IF($J229="","",IF($J229&lt;=TODAY(),COUNTIFS(cal_fechas,"&gt;="&amp;$J229,cal_fechas,"&lt;"&amp;TODAY(),cal_habil,"sí"),-COUNTIFS(cal_fechas,"&gt;="&amp;TODAY(),cal_fechas,"&lt;"&amp;$J229,cal_habil,"sí")))</f>
        <v/>
      </c>
      <c r="AF229" s="24">
        <f>IF($AE229="","",IF($AE229&lt;0,"FUTURO",IF($AE229&gt;p_dias_backlog_max,"BACKLOG","MES CORRIENTE")))</f>
        <v/>
      </c>
      <c r="AG229" s="24">
        <f>IF($AE229="",FALSE,AND($AE229&gt;p_dias_backlog_min,$AE229&lt;=p_dias_backlog_max))</f>
        <v/>
      </c>
      <c r="AH229" s="4" t="n"/>
      <c r="AI229" s="24">
        <f>IF($AH229="","",IF((IFERROR(INDEX('ASIGNACIONES'!$J$4:$J$451,MATCH($O229&amp;"|"&amp;$S229&amp;"|"&amp;$AH229,'ASIGNACIONES'!$N$4:$N$451,0)),""))=0,"",IFERROR(INDEX('ASIGNACIONES'!$J$4:$J$451,MATCH($O229&amp;"|"&amp;$S229&amp;"|"&amp;$AH229,'ASIGNACIONES'!$N$4:$N$451,0)),"")))</f>
        <v/>
      </c>
      <c r="AJ229" s="42">
        <f>IF($AH229="","",SUMIFS('ORDENES'!$M$4:$M$1203,'ORDENES'!$AH$4:$AH$1203,$AH229,'ORDENES'!$O$4:$O$1203,$O229,'ORDENES'!$S$4:$S$1203,$S229))</f>
        <v/>
      </c>
      <c r="AK229" s="42">
        <f>IF($AJ229="","",p_factor_productividad*IFERROR(INDEX('ASIGNACIONES'!$M$4:$M$451,MATCH($O229&amp;"|"&amp;$S229&amp;"|"&amp;$AH229,'ASIGNACIONES'!$N$4:$N$451,0)),0)-$AJ229)</f>
        <v/>
      </c>
      <c r="AL229" s="32">
        <f>IF($A229="","",IFERROR(INDEX('2_IMPORTAR_EJECUCION'!$F$9:$F$1208,MATCH($AU229,'2_IMPORTAR_EJECUCION'!$J$9:$J$1208,0)),0))</f>
        <v/>
      </c>
      <c r="AM229" s="32">
        <f>IF($A229="","",MAX(0,IFERROR(INDEX('2_IMPORTAR_EJECUCION'!$H$9:$H$1208,MATCH($AU229,'2_IMPORTAR_EJECUCION'!$J$9:$J$1208,0)),0)-$AL229))</f>
        <v/>
      </c>
      <c r="AN229" s="32">
        <f>IF($A229="","",$AL229+$AM229)</f>
        <v/>
      </c>
      <c r="AO229" s="24">
        <f>IF($A229="","",IF(OR((IFERROR(INDEX('CAT_ACTIVIDADES'!$D$4:$D$26,MATCH($H229,'CAT_ACTIVIDADES'!$A$4:$A$26,0)),""))=0,(IFERROR(INDEX('CAT_ACTIVIDADES'!$D$4:$D$26,MATCH($H229,'CAT_ACTIVIDADES'!$A$4:$A$26,0)),""))=""),"SIN CLASIFICAR",IFERROR(INDEX('CAT_ACTIVIDADES'!$D$4:$D$26,MATCH($H229,'CAT_ACTIVIDADES'!$A$4:$A$26,0)),"")))</f>
        <v/>
      </c>
      <c r="AP229" s="4" t="n"/>
      <c r="AQ229" s="4" t="n"/>
      <c r="AR229" s="4" t="n"/>
      <c r="AS229" s="24">
        <f>IF($AR229="","",HYPERLINK(p_ruta_base_checklists&amp;$AR229,"abrir"))</f>
        <v/>
      </c>
      <c r="AT229" s="4" t="n"/>
      <c r="AU229" s="24">
        <f>IF($A229="","",$A229&amp;IF($B229="","0010",$B229))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41" t="n"/>
      <c r="K230" s="5" t="n"/>
      <c r="L230" s="18" t="n"/>
      <c r="M230" s="24">
        <f>IF($A230="","",IFERROR(INDEX('AJUSTES'!$B$4:$B$303,MATCH($AU230,'AJUSTES'!$A$4:$A$303,0)),IF($K230="","",$K230)))</f>
        <v/>
      </c>
      <c r="N230" s="24">
        <f>IF($A230="","",IFERROR(INDEX('CAT_ESTADOS_ERP'!$B$4:$B$22,MATCH(IFERROR(INDEX('2_IMPORTAR_EJECUCION'!$C$9:$C$1208,MATCH($AU230,'2_IMPORTAR_EJECUCION'!$J$9:$J$1208,0)),""),'CAT_ESTADOS_ERP'!$A$4:$A$22,0)),"Pendiente"))</f>
        <v/>
      </c>
      <c r="O230" s="24">
        <f>IF($J230="","",YEAR($J230+4-WEEKDAY($J230,2))&amp;"-S"&amp;TEXT(_xlfn.ISOWEEKNUM($J230),"00"))</f>
        <v/>
      </c>
      <c r="P230" s="24">
        <f>IF($J230="","",YEAR($J230))</f>
        <v/>
      </c>
      <c r="Q230" s="24">
        <f>IF($J230="","",MONTH($J230))</f>
        <v/>
      </c>
      <c r="R230" s="24">
        <f>IF($J230="","",$P230&amp;"-"&amp;TEXT($Q230,"00"))</f>
        <v/>
      </c>
      <c r="S230" s="24">
        <f>IF($J230="","",INDEX(lista_dias,WEEKDAY($J230,2)))</f>
        <v/>
      </c>
      <c r="T230" s="24">
        <f>IF($J230="","",IFERROR(INDEX('CALENDARIO'!$C$15:$C$214,MATCH(TEXT($J230,"yyyy-mm-dd")&amp;"|"&amp;$Y230&amp;"|"&amp;$Z230,'CALENDARIO'!$G$15:$G$214,0)),IFERROR(INDEX('CALENDARIO'!$C$15:$C$214,MATCH(TEXT($J230,"yyyy-mm-dd")&amp;"|"&amp;$Y230&amp;"|",'CALENDARIO'!$G$15:$G$214,0)),IFERROR(INDEX('CALENDARIO'!$C$15:$C$214,MATCH(TEXT($J230,"yyyy-mm-dd")&amp;"||",'CALENDARIO'!$G$15:$G$214,0)),INDEX(patronHabil,WEEKDAY($J230,2))))))</f>
        <v/>
      </c>
      <c r="U230" s="24">
        <f>IF($I230="","",IFERROR(INDEX('CAT_TIPOS_OT'!$C$4:$C$23,MATCH($I230,'CAT_TIPOS_OT'!$A$4:$A$23,0)),"sin_clasificar"))</f>
        <v/>
      </c>
      <c r="V230" s="24">
        <f>IF($I230="","",IF(IFERROR(INDEX('CAT_TIPOS_OT'!$D$4:$D$23,MATCH($I230,'CAT_TIPOS_OT'!$A$4:$A$23,0)),"SIN CLASIFICAR")="","SIN CLASIFICAR",IFERROR(INDEX('CAT_TIPOS_OT'!$D$4:$D$23,MATCH($I230,'CAT_TIPOS_OT'!$A$4:$A$23,0)),"SIN CLASIFICAR")))</f>
        <v/>
      </c>
      <c r="W230" s="24">
        <f>IF($H230="","",IF(IFERROR(INDEX('CAT_ACTIVIDADES'!$F$4:$F$26,MATCH($H230,'CAT_ACTIVIDADES'!$A$4:$A$26,0)),"")=0,"",IFERROR(INDEX('CAT_ACTIVIDADES'!$F$4:$F$26,MATCH($H230,'CAT_ACTIVIDADES'!$A$4:$A$26,0)),"")))</f>
        <v/>
      </c>
      <c r="X230" s="24">
        <f>IF($F230="","",IFERROR(INDEX('CAT_CENTROS_COSTO'!$F$4:$F$28,MATCH($F230,'CAT_CENTROS_COSTO'!$A$4:$A$28,0)),"(sin catálogo)"))</f>
        <v/>
      </c>
      <c r="Y230" s="24">
        <f>IF($F230="","",IFERROR(INDEX('CAT_CENTROS_COSTO'!$D$4:$D$28,MATCH($F230,'CAT_CENTROS_COSTO'!$A$4:$A$28,0)),"(sin catálogo)"))</f>
        <v/>
      </c>
      <c r="Z230" s="24">
        <f>IF($F230="","",IF((IFERROR(INDEX('CAT_CENTROS_COSTO'!$E$4:$E$28,MATCH($F230,'CAT_CENTROS_COSTO'!$A$4:$A$28,0)),""))&lt;&gt;"",IFERROR(INDEX('CAT_CENTROS_COSTO'!$E$4:$E$28,MATCH($F230,'CAT_CENTROS_COSTO'!$A$4:$A$28,0)),""),$Y230))</f>
        <v/>
      </c>
      <c r="AA230" s="24">
        <f>IF($F230="","",IFERROR(INDEX('CAT_CENTROS_COSTO'!$G$4:$G$28,MATCH($F230,'CAT_CENTROS_COSTO'!$A$4:$A$28,0)),"(sin catálogo)"))</f>
        <v/>
      </c>
      <c r="AB230" s="24">
        <f>IF($G230="","",IFERROR(INDEX('CAT_PUESTOS'!$B$4:$B$23,MATCH($G230,'CAT_PUESTOS'!$A$4:$A$23,0)),"(sin catálogo)"))</f>
        <v/>
      </c>
      <c r="AC230" s="24">
        <f>IF($H230="","",IFERROR(INDEX('CAT_ACTIVIDADES'!$B$4:$B$26,MATCH($H230,'CAT_ACTIVIDADES'!$A$4:$A$26,0)),"(sin catálogo)"))</f>
        <v/>
      </c>
      <c r="AD230" s="26">
        <f>IF($J230="","",TODAY()-$J230)</f>
        <v/>
      </c>
      <c r="AE230" s="26">
        <f>IF($J230="","",IF($J230&lt;=TODAY(),COUNTIFS(cal_fechas,"&gt;="&amp;$J230,cal_fechas,"&lt;"&amp;TODAY(),cal_habil,"sí"),-COUNTIFS(cal_fechas,"&gt;="&amp;TODAY(),cal_fechas,"&lt;"&amp;$J230,cal_habil,"sí")))</f>
        <v/>
      </c>
      <c r="AF230" s="24">
        <f>IF($AE230="","",IF($AE230&lt;0,"FUTURO",IF($AE230&gt;p_dias_backlog_max,"BACKLOG","MES CORRIENTE")))</f>
        <v/>
      </c>
      <c r="AG230" s="24">
        <f>IF($AE230="",FALSE,AND($AE230&gt;p_dias_backlog_min,$AE230&lt;=p_dias_backlog_max))</f>
        <v/>
      </c>
      <c r="AH230" s="4" t="n"/>
      <c r="AI230" s="24">
        <f>IF($AH230="","",IF((IFERROR(INDEX('ASIGNACIONES'!$J$4:$J$451,MATCH($O230&amp;"|"&amp;$S230&amp;"|"&amp;$AH230,'ASIGNACIONES'!$N$4:$N$451,0)),""))=0,"",IFERROR(INDEX('ASIGNACIONES'!$J$4:$J$451,MATCH($O230&amp;"|"&amp;$S230&amp;"|"&amp;$AH230,'ASIGNACIONES'!$N$4:$N$451,0)),"")))</f>
        <v/>
      </c>
      <c r="AJ230" s="42">
        <f>IF($AH230="","",SUMIFS('ORDENES'!$M$4:$M$1203,'ORDENES'!$AH$4:$AH$1203,$AH230,'ORDENES'!$O$4:$O$1203,$O230,'ORDENES'!$S$4:$S$1203,$S230))</f>
        <v/>
      </c>
      <c r="AK230" s="42">
        <f>IF($AJ230="","",p_factor_productividad*IFERROR(INDEX('ASIGNACIONES'!$M$4:$M$451,MATCH($O230&amp;"|"&amp;$S230&amp;"|"&amp;$AH230,'ASIGNACIONES'!$N$4:$N$451,0)),0)-$AJ230)</f>
        <v/>
      </c>
      <c r="AL230" s="32">
        <f>IF($A230="","",IFERROR(INDEX('2_IMPORTAR_EJECUCION'!$F$9:$F$1208,MATCH($AU230,'2_IMPORTAR_EJECUCION'!$J$9:$J$1208,0)),0))</f>
        <v/>
      </c>
      <c r="AM230" s="32">
        <f>IF($A230="","",MAX(0,IFERROR(INDEX('2_IMPORTAR_EJECUCION'!$H$9:$H$1208,MATCH($AU230,'2_IMPORTAR_EJECUCION'!$J$9:$J$1208,0)),0)-$AL230))</f>
        <v/>
      </c>
      <c r="AN230" s="32">
        <f>IF($A230="","",$AL230+$AM230)</f>
        <v/>
      </c>
      <c r="AO230" s="24">
        <f>IF($A230="","",IF(OR((IFERROR(INDEX('CAT_ACTIVIDADES'!$D$4:$D$26,MATCH($H230,'CAT_ACTIVIDADES'!$A$4:$A$26,0)),""))=0,(IFERROR(INDEX('CAT_ACTIVIDADES'!$D$4:$D$26,MATCH($H230,'CAT_ACTIVIDADES'!$A$4:$A$26,0)),""))=""),"SIN CLASIFICAR",IFERROR(INDEX('CAT_ACTIVIDADES'!$D$4:$D$26,MATCH($H230,'CAT_ACTIVIDADES'!$A$4:$A$26,0)),"")))</f>
        <v/>
      </c>
      <c r="AP230" s="4" t="n"/>
      <c r="AQ230" s="4" t="n"/>
      <c r="AR230" s="4" t="n"/>
      <c r="AS230" s="24">
        <f>IF($AR230="","",HYPERLINK(p_ruta_base_checklists&amp;$AR230,"abrir"))</f>
        <v/>
      </c>
      <c r="AT230" s="4" t="n"/>
      <c r="AU230" s="24">
        <f>IF($A230="","",$A230&amp;IF($B230="","0010",$B230))</f>
        <v/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41" t="n"/>
      <c r="K231" s="5" t="n"/>
      <c r="L231" s="18" t="n"/>
      <c r="M231" s="24">
        <f>IF($A231="","",IFERROR(INDEX('AJUSTES'!$B$4:$B$303,MATCH($AU231,'AJUSTES'!$A$4:$A$303,0)),IF($K231="","",$K231)))</f>
        <v/>
      </c>
      <c r="N231" s="24">
        <f>IF($A231="","",IFERROR(INDEX('CAT_ESTADOS_ERP'!$B$4:$B$22,MATCH(IFERROR(INDEX('2_IMPORTAR_EJECUCION'!$C$9:$C$1208,MATCH($AU231,'2_IMPORTAR_EJECUCION'!$J$9:$J$1208,0)),""),'CAT_ESTADOS_ERP'!$A$4:$A$22,0)),"Pendiente"))</f>
        <v/>
      </c>
      <c r="O231" s="24">
        <f>IF($J231="","",YEAR($J231+4-WEEKDAY($J231,2))&amp;"-S"&amp;TEXT(_xlfn.ISOWEEKNUM($J231),"00"))</f>
        <v/>
      </c>
      <c r="P231" s="24">
        <f>IF($J231="","",YEAR($J231))</f>
        <v/>
      </c>
      <c r="Q231" s="24">
        <f>IF($J231="","",MONTH($J231))</f>
        <v/>
      </c>
      <c r="R231" s="24">
        <f>IF($J231="","",$P231&amp;"-"&amp;TEXT($Q231,"00"))</f>
        <v/>
      </c>
      <c r="S231" s="24">
        <f>IF($J231="","",INDEX(lista_dias,WEEKDAY($J231,2)))</f>
        <v/>
      </c>
      <c r="T231" s="24">
        <f>IF($J231="","",IFERROR(INDEX('CALENDARIO'!$C$15:$C$214,MATCH(TEXT($J231,"yyyy-mm-dd")&amp;"|"&amp;$Y231&amp;"|"&amp;$Z231,'CALENDARIO'!$G$15:$G$214,0)),IFERROR(INDEX('CALENDARIO'!$C$15:$C$214,MATCH(TEXT($J231,"yyyy-mm-dd")&amp;"|"&amp;$Y231&amp;"|",'CALENDARIO'!$G$15:$G$214,0)),IFERROR(INDEX('CALENDARIO'!$C$15:$C$214,MATCH(TEXT($J231,"yyyy-mm-dd")&amp;"||",'CALENDARIO'!$G$15:$G$214,0)),INDEX(patronHabil,WEEKDAY($J231,2))))))</f>
        <v/>
      </c>
      <c r="U231" s="24">
        <f>IF($I231="","",IFERROR(INDEX('CAT_TIPOS_OT'!$C$4:$C$23,MATCH($I231,'CAT_TIPOS_OT'!$A$4:$A$23,0)),"sin_clasificar"))</f>
        <v/>
      </c>
      <c r="V231" s="24">
        <f>IF($I231="","",IF(IFERROR(INDEX('CAT_TIPOS_OT'!$D$4:$D$23,MATCH($I231,'CAT_TIPOS_OT'!$A$4:$A$23,0)),"SIN CLASIFICAR")="","SIN CLASIFICAR",IFERROR(INDEX('CAT_TIPOS_OT'!$D$4:$D$23,MATCH($I231,'CAT_TIPOS_OT'!$A$4:$A$23,0)),"SIN CLASIFICAR")))</f>
        <v/>
      </c>
      <c r="W231" s="24">
        <f>IF($H231="","",IF(IFERROR(INDEX('CAT_ACTIVIDADES'!$F$4:$F$26,MATCH($H231,'CAT_ACTIVIDADES'!$A$4:$A$26,0)),"")=0,"",IFERROR(INDEX('CAT_ACTIVIDADES'!$F$4:$F$26,MATCH($H231,'CAT_ACTIVIDADES'!$A$4:$A$26,0)),"")))</f>
        <v/>
      </c>
      <c r="X231" s="24">
        <f>IF($F231="","",IFERROR(INDEX('CAT_CENTROS_COSTO'!$F$4:$F$28,MATCH($F231,'CAT_CENTROS_COSTO'!$A$4:$A$28,0)),"(sin catálogo)"))</f>
        <v/>
      </c>
      <c r="Y231" s="24">
        <f>IF($F231="","",IFERROR(INDEX('CAT_CENTROS_COSTO'!$D$4:$D$28,MATCH($F231,'CAT_CENTROS_COSTO'!$A$4:$A$28,0)),"(sin catálogo)"))</f>
        <v/>
      </c>
      <c r="Z231" s="24">
        <f>IF($F231="","",IF((IFERROR(INDEX('CAT_CENTROS_COSTO'!$E$4:$E$28,MATCH($F231,'CAT_CENTROS_COSTO'!$A$4:$A$28,0)),""))&lt;&gt;"",IFERROR(INDEX('CAT_CENTROS_COSTO'!$E$4:$E$28,MATCH($F231,'CAT_CENTROS_COSTO'!$A$4:$A$28,0)),""),$Y231))</f>
        <v/>
      </c>
      <c r="AA231" s="24">
        <f>IF($F231="","",IFERROR(INDEX('CAT_CENTROS_COSTO'!$G$4:$G$28,MATCH($F231,'CAT_CENTROS_COSTO'!$A$4:$A$28,0)),"(sin catálogo)"))</f>
        <v/>
      </c>
      <c r="AB231" s="24">
        <f>IF($G231="","",IFERROR(INDEX('CAT_PUESTOS'!$B$4:$B$23,MATCH($G231,'CAT_PUESTOS'!$A$4:$A$23,0)),"(sin catálogo)"))</f>
        <v/>
      </c>
      <c r="AC231" s="24">
        <f>IF($H231="","",IFERROR(INDEX('CAT_ACTIVIDADES'!$B$4:$B$26,MATCH($H231,'CAT_ACTIVIDADES'!$A$4:$A$26,0)),"(sin catálogo)"))</f>
        <v/>
      </c>
      <c r="AD231" s="26">
        <f>IF($J231="","",TODAY()-$J231)</f>
        <v/>
      </c>
      <c r="AE231" s="26">
        <f>IF($J231="","",IF($J231&lt;=TODAY(),COUNTIFS(cal_fechas,"&gt;="&amp;$J231,cal_fechas,"&lt;"&amp;TODAY(),cal_habil,"sí"),-COUNTIFS(cal_fechas,"&gt;="&amp;TODAY(),cal_fechas,"&lt;"&amp;$J231,cal_habil,"sí")))</f>
        <v/>
      </c>
      <c r="AF231" s="24">
        <f>IF($AE231="","",IF($AE231&lt;0,"FUTURO",IF($AE231&gt;p_dias_backlog_max,"BACKLOG","MES CORRIENTE")))</f>
        <v/>
      </c>
      <c r="AG231" s="24">
        <f>IF($AE231="",FALSE,AND($AE231&gt;p_dias_backlog_min,$AE231&lt;=p_dias_backlog_max))</f>
        <v/>
      </c>
      <c r="AH231" s="4" t="n"/>
      <c r="AI231" s="24">
        <f>IF($AH231="","",IF((IFERROR(INDEX('ASIGNACIONES'!$J$4:$J$451,MATCH($O231&amp;"|"&amp;$S231&amp;"|"&amp;$AH231,'ASIGNACIONES'!$N$4:$N$451,0)),""))=0,"",IFERROR(INDEX('ASIGNACIONES'!$J$4:$J$451,MATCH($O231&amp;"|"&amp;$S231&amp;"|"&amp;$AH231,'ASIGNACIONES'!$N$4:$N$451,0)),"")))</f>
        <v/>
      </c>
      <c r="AJ231" s="42">
        <f>IF($AH231="","",SUMIFS('ORDENES'!$M$4:$M$1203,'ORDENES'!$AH$4:$AH$1203,$AH231,'ORDENES'!$O$4:$O$1203,$O231,'ORDENES'!$S$4:$S$1203,$S231))</f>
        <v/>
      </c>
      <c r="AK231" s="42">
        <f>IF($AJ231="","",p_factor_productividad*IFERROR(INDEX('ASIGNACIONES'!$M$4:$M$451,MATCH($O231&amp;"|"&amp;$S231&amp;"|"&amp;$AH231,'ASIGNACIONES'!$N$4:$N$451,0)),0)-$AJ231)</f>
        <v/>
      </c>
      <c r="AL231" s="32">
        <f>IF($A231="","",IFERROR(INDEX('2_IMPORTAR_EJECUCION'!$F$9:$F$1208,MATCH($AU231,'2_IMPORTAR_EJECUCION'!$J$9:$J$1208,0)),0))</f>
        <v/>
      </c>
      <c r="AM231" s="32">
        <f>IF($A231="","",MAX(0,IFERROR(INDEX('2_IMPORTAR_EJECUCION'!$H$9:$H$1208,MATCH($AU231,'2_IMPORTAR_EJECUCION'!$J$9:$J$1208,0)),0)-$AL231))</f>
        <v/>
      </c>
      <c r="AN231" s="32">
        <f>IF($A231="","",$AL231+$AM231)</f>
        <v/>
      </c>
      <c r="AO231" s="24">
        <f>IF($A231="","",IF(OR((IFERROR(INDEX('CAT_ACTIVIDADES'!$D$4:$D$26,MATCH($H231,'CAT_ACTIVIDADES'!$A$4:$A$26,0)),""))=0,(IFERROR(INDEX('CAT_ACTIVIDADES'!$D$4:$D$26,MATCH($H231,'CAT_ACTIVIDADES'!$A$4:$A$26,0)),""))=""),"SIN CLASIFICAR",IFERROR(INDEX('CAT_ACTIVIDADES'!$D$4:$D$26,MATCH($H231,'CAT_ACTIVIDADES'!$A$4:$A$26,0)),"")))</f>
        <v/>
      </c>
      <c r="AP231" s="4" t="n"/>
      <c r="AQ231" s="4" t="n"/>
      <c r="AR231" s="4" t="n"/>
      <c r="AS231" s="24">
        <f>IF($AR231="","",HYPERLINK(p_ruta_base_checklists&amp;$AR231,"abrir"))</f>
        <v/>
      </c>
      <c r="AT231" s="4" t="n"/>
      <c r="AU231" s="24">
        <f>IF($A231="","",$A231&amp;IF($B231="","0010",$B231))</f>
        <v/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41" t="n"/>
      <c r="K232" s="5" t="n"/>
      <c r="L232" s="18" t="n"/>
      <c r="M232" s="24">
        <f>IF($A232="","",IFERROR(INDEX('AJUSTES'!$B$4:$B$303,MATCH($AU232,'AJUSTES'!$A$4:$A$303,0)),IF($K232="","",$K232)))</f>
        <v/>
      </c>
      <c r="N232" s="24">
        <f>IF($A232="","",IFERROR(INDEX('CAT_ESTADOS_ERP'!$B$4:$B$22,MATCH(IFERROR(INDEX('2_IMPORTAR_EJECUCION'!$C$9:$C$1208,MATCH($AU232,'2_IMPORTAR_EJECUCION'!$J$9:$J$1208,0)),""),'CAT_ESTADOS_ERP'!$A$4:$A$22,0)),"Pendiente"))</f>
        <v/>
      </c>
      <c r="O232" s="24">
        <f>IF($J232="","",YEAR($J232+4-WEEKDAY($J232,2))&amp;"-S"&amp;TEXT(_xlfn.ISOWEEKNUM($J232),"00"))</f>
        <v/>
      </c>
      <c r="P232" s="24">
        <f>IF($J232="","",YEAR($J232))</f>
        <v/>
      </c>
      <c r="Q232" s="24">
        <f>IF($J232="","",MONTH($J232))</f>
        <v/>
      </c>
      <c r="R232" s="24">
        <f>IF($J232="","",$P232&amp;"-"&amp;TEXT($Q232,"00"))</f>
        <v/>
      </c>
      <c r="S232" s="24">
        <f>IF($J232="","",INDEX(lista_dias,WEEKDAY($J232,2)))</f>
        <v/>
      </c>
      <c r="T232" s="24">
        <f>IF($J232="","",IFERROR(INDEX('CALENDARIO'!$C$15:$C$214,MATCH(TEXT($J232,"yyyy-mm-dd")&amp;"|"&amp;$Y232&amp;"|"&amp;$Z232,'CALENDARIO'!$G$15:$G$214,0)),IFERROR(INDEX('CALENDARIO'!$C$15:$C$214,MATCH(TEXT($J232,"yyyy-mm-dd")&amp;"|"&amp;$Y232&amp;"|",'CALENDARIO'!$G$15:$G$214,0)),IFERROR(INDEX('CALENDARIO'!$C$15:$C$214,MATCH(TEXT($J232,"yyyy-mm-dd")&amp;"||",'CALENDARIO'!$G$15:$G$214,0)),INDEX(patronHabil,WEEKDAY($J232,2))))))</f>
        <v/>
      </c>
      <c r="U232" s="24">
        <f>IF($I232="","",IFERROR(INDEX('CAT_TIPOS_OT'!$C$4:$C$23,MATCH($I232,'CAT_TIPOS_OT'!$A$4:$A$23,0)),"sin_clasificar"))</f>
        <v/>
      </c>
      <c r="V232" s="24">
        <f>IF($I232="","",IF(IFERROR(INDEX('CAT_TIPOS_OT'!$D$4:$D$23,MATCH($I232,'CAT_TIPOS_OT'!$A$4:$A$23,0)),"SIN CLASIFICAR")="","SIN CLASIFICAR",IFERROR(INDEX('CAT_TIPOS_OT'!$D$4:$D$23,MATCH($I232,'CAT_TIPOS_OT'!$A$4:$A$23,0)),"SIN CLASIFICAR")))</f>
        <v/>
      </c>
      <c r="W232" s="24">
        <f>IF($H232="","",IF(IFERROR(INDEX('CAT_ACTIVIDADES'!$F$4:$F$26,MATCH($H232,'CAT_ACTIVIDADES'!$A$4:$A$26,0)),"")=0,"",IFERROR(INDEX('CAT_ACTIVIDADES'!$F$4:$F$26,MATCH($H232,'CAT_ACTIVIDADES'!$A$4:$A$26,0)),"")))</f>
        <v/>
      </c>
      <c r="X232" s="24">
        <f>IF($F232="","",IFERROR(INDEX('CAT_CENTROS_COSTO'!$F$4:$F$28,MATCH($F232,'CAT_CENTROS_COSTO'!$A$4:$A$28,0)),"(sin catálogo)"))</f>
        <v/>
      </c>
      <c r="Y232" s="24">
        <f>IF($F232="","",IFERROR(INDEX('CAT_CENTROS_COSTO'!$D$4:$D$28,MATCH($F232,'CAT_CENTROS_COSTO'!$A$4:$A$28,0)),"(sin catálogo)"))</f>
        <v/>
      </c>
      <c r="Z232" s="24">
        <f>IF($F232="","",IF((IFERROR(INDEX('CAT_CENTROS_COSTO'!$E$4:$E$28,MATCH($F232,'CAT_CENTROS_COSTO'!$A$4:$A$28,0)),""))&lt;&gt;"",IFERROR(INDEX('CAT_CENTROS_COSTO'!$E$4:$E$28,MATCH($F232,'CAT_CENTROS_COSTO'!$A$4:$A$28,0)),""),$Y232))</f>
        <v/>
      </c>
      <c r="AA232" s="24">
        <f>IF($F232="","",IFERROR(INDEX('CAT_CENTROS_COSTO'!$G$4:$G$28,MATCH($F232,'CAT_CENTROS_COSTO'!$A$4:$A$28,0)),"(sin catálogo)"))</f>
        <v/>
      </c>
      <c r="AB232" s="24">
        <f>IF($G232="","",IFERROR(INDEX('CAT_PUESTOS'!$B$4:$B$23,MATCH($G232,'CAT_PUESTOS'!$A$4:$A$23,0)),"(sin catálogo)"))</f>
        <v/>
      </c>
      <c r="AC232" s="24">
        <f>IF($H232="","",IFERROR(INDEX('CAT_ACTIVIDADES'!$B$4:$B$26,MATCH($H232,'CAT_ACTIVIDADES'!$A$4:$A$26,0)),"(sin catálogo)"))</f>
        <v/>
      </c>
      <c r="AD232" s="26">
        <f>IF($J232="","",TODAY()-$J232)</f>
        <v/>
      </c>
      <c r="AE232" s="26">
        <f>IF($J232="","",IF($J232&lt;=TODAY(),COUNTIFS(cal_fechas,"&gt;="&amp;$J232,cal_fechas,"&lt;"&amp;TODAY(),cal_habil,"sí"),-COUNTIFS(cal_fechas,"&gt;="&amp;TODAY(),cal_fechas,"&lt;"&amp;$J232,cal_habil,"sí")))</f>
        <v/>
      </c>
      <c r="AF232" s="24">
        <f>IF($AE232="","",IF($AE232&lt;0,"FUTURO",IF($AE232&gt;p_dias_backlog_max,"BACKLOG","MES CORRIENTE")))</f>
        <v/>
      </c>
      <c r="AG232" s="24">
        <f>IF($AE232="",FALSE,AND($AE232&gt;p_dias_backlog_min,$AE232&lt;=p_dias_backlog_max))</f>
        <v/>
      </c>
      <c r="AH232" s="4" t="n"/>
      <c r="AI232" s="24">
        <f>IF($AH232="","",IF((IFERROR(INDEX('ASIGNACIONES'!$J$4:$J$451,MATCH($O232&amp;"|"&amp;$S232&amp;"|"&amp;$AH232,'ASIGNACIONES'!$N$4:$N$451,0)),""))=0,"",IFERROR(INDEX('ASIGNACIONES'!$J$4:$J$451,MATCH($O232&amp;"|"&amp;$S232&amp;"|"&amp;$AH232,'ASIGNACIONES'!$N$4:$N$451,0)),"")))</f>
        <v/>
      </c>
      <c r="AJ232" s="42">
        <f>IF($AH232="","",SUMIFS('ORDENES'!$M$4:$M$1203,'ORDENES'!$AH$4:$AH$1203,$AH232,'ORDENES'!$O$4:$O$1203,$O232,'ORDENES'!$S$4:$S$1203,$S232))</f>
        <v/>
      </c>
      <c r="AK232" s="42">
        <f>IF($AJ232="","",p_factor_productividad*IFERROR(INDEX('ASIGNACIONES'!$M$4:$M$451,MATCH($O232&amp;"|"&amp;$S232&amp;"|"&amp;$AH232,'ASIGNACIONES'!$N$4:$N$451,0)),0)-$AJ232)</f>
        <v/>
      </c>
      <c r="AL232" s="32">
        <f>IF($A232="","",IFERROR(INDEX('2_IMPORTAR_EJECUCION'!$F$9:$F$1208,MATCH($AU232,'2_IMPORTAR_EJECUCION'!$J$9:$J$1208,0)),0))</f>
        <v/>
      </c>
      <c r="AM232" s="32">
        <f>IF($A232="","",MAX(0,IFERROR(INDEX('2_IMPORTAR_EJECUCION'!$H$9:$H$1208,MATCH($AU232,'2_IMPORTAR_EJECUCION'!$J$9:$J$1208,0)),0)-$AL232))</f>
        <v/>
      </c>
      <c r="AN232" s="32">
        <f>IF($A232="","",$AL232+$AM232)</f>
        <v/>
      </c>
      <c r="AO232" s="24">
        <f>IF($A232="","",IF(OR((IFERROR(INDEX('CAT_ACTIVIDADES'!$D$4:$D$26,MATCH($H232,'CAT_ACTIVIDADES'!$A$4:$A$26,0)),""))=0,(IFERROR(INDEX('CAT_ACTIVIDADES'!$D$4:$D$26,MATCH($H232,'CAT_ACTIVIDADES'!$A$4:$A$26,0)),""))=""),"SIN CLASIFICAR",IFERROR(INDEX('CAT_ACTIVIDADES'!$D$4:$D$26,MATCH($H232,'CAT_ACTIVIDADES'!$A$4:$A$26,0)),"")))</f>
        <v/>
      </c>
      <c r="AP232" s="4" t="n"/>
      <c r="AQ232" s="4" t="n"/>
      <c r="AR232" s="4" t="n"/>
      <c r="AS232" s="24">
        <f>IF($AR232="","",HYPERLINK(p_ruta_base_checklists&amp;$AR232,"abrir"))</f>
        <v/>
      </c>
      <c r="AT232" s="4" t="n"/>
      <c r="AU232" s="24">
        <f>IF($A232="","",$A232&amp;IF($B232="","0010",$B232))</f>
        <v/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41" t="n"/>
      <c r="K233" s="5" t="n"/>
      <c r="L233" s="18" t="n"/>
      <c r="M233" s="24">
        <f>IF($A233="","",IFERROR(INDEX('AJUSTES'!$B$4:$B$303,MATCH($AU233,'AJUSTES'!$A$4:$A$303,0)),IF($K233="","",$K233)))</f>
        <v/>
      </c>
      <c r="N233" s="24">
        <f>IF($A233="","",IFERROR(INDEX('CAT_ESTADOS_ERP'!$B$4:$B$22,MATCH(IFERROR(INDEX('2_IMPORTAR_EJECUCION'!$C$9:$C$1208,MATCH($AU233,'2_IMPORTAR_EJECUCION'!$J$9:$J$1208,0)),""),'CAT_ESTADOS_ERP'!$A$4:$A$22,0)),"Pendiente"))</f>
        <v/>
      </c>
      <c r="O233" s="24">
        <f>IF($J233="","",YEAR($J233+4-WEEKDAY($J233,2))&amp;"-S"&amp;TEXT(_xlfn.ISOWEEKNUM($J233),"00"))</f>
        <v/>
      </c>
      <c r="P233" s="24">
        <f>IF($J233="","",YEAR($J233))</f>
        <v/>
      </c>
      <c r="Q233" s="24">
        <f>IF($J233="","",MONTH($J233))</f>
        <v/>
      </c>
      <c r="R233" s="24">
        <f>IF($J233="","",$P233&amp;"-"&amp;TEXT($Q233,"00"))</f>
        <v/>
      </c>
      <c r="S233" s="24">
        <f>IF($J233="","",INDEX(lista_dias,WEEKDAY($J233,2)))</f>
        <v/>
      </c>
      <c r="T233" s="24">
        <f>IF($J233="","",IFERROR(INDEX('CALENDARIO'!$C$15:$C$214,MATCH(TEXT($J233,"yyyy-mm-dd")&amp;"|"&amp;$Y233&amp;"|"&amp;$Z233,'CALENDARIO'!$G$15:$G$214,0)),IFERROR(INDEX('CALENDARIO'!$C$15:$C$214,MATCH(TEXT($J233,"yyyy-mm-dd")&amp;"|"&amp;$Y233&amp;"|",'CALENDARIO'!$G$15:$G$214,0)),IFERROR(INDEX('CALENDARIO'!$C$15:$C$214,MATCH(TEXT($J233,"yyyy-mm-dd")&amp;"||",'CALENDARIO'!$G$15:$G$214,0)),INDEX(patronHabil,WEEKDAY($J233,2))))))</f>
        <v/>
      </c>
      <c r="U233" s="24">
        <f>IF($I233="","",IFERROR(INDEX('CAT_TIPOS_OT'!$C$4:$C$23,MATCH($I233,'CAT_TIPOS_OT'!$A$4:$A$23,0)),"sin_clasificar"))</f>
        <v/>
      </c>
      <c r="V233" s="24">
        <f>IF($I233="","",IF(IFERROR(INDEX('CAT_TIPOS_OT'!$D$4:$D$23,MATCH($I233,'CAT_TIPOS_OT'!$A$4:$A$23,0)),"SIN CLASIFICAR")="","SIN CLASIFICAR",IFERROR(INDEX('CAT_TIPOS_OT'!$D$4:$D$23,MATCH($I233,'CAT_TIPOS_OT'!$A$4:$A$23,0)),"SIN CLASIFICAR")))</f>
        <v/>
      </c>
      <c r="W233" s="24">
        <f>IF($H233="","",IF(IFERROR(INDEX('CAT_ACTIVIDADES'!$F$4:$F$26,MATCH($H233,'CAT_ACTIVIDADES'!$A$4:$A$26,0)),"")=0,"",IFERROR(INDEX('CAT_ACTIVIDADES'!$F$4:$F$26,MATCH($H233,'CAT_ACTIVIDADES'!$A$4:$A$26,0)),"")))</f>
        <v/>
      </c>
      <c r="X233" s="24">
        <f>IF($F233="","",IFERROR(INDEX('CAT_CENTROS_COSTO'!$F$4:$F$28,MATCH($F233,'CAT_CENTROS_COSTO'!$A$4:$A$28,0)),"(sin catálogo)"))</f>
        <v/>
      </c>
      <c r="Y233" s="24">
        <f>IF($F233="","",IFERROR(INDEX('CAT_CENTROS_COSTO'!$D$4:$D$28,MATCH($F233,'CAT_CENTROS_COSTO'!$A$4:$A$28,0)),"(sin catálogo)"))</f>
        <v/>
      </c>
      <c r="Z233" s="24">
        <f>IF($F233="","",IF((IFERROR(INDEX('CAT_CENTROS_COSTO'!$E$4:$E$28,MATCH($F233,'CAT_CENTROS_COSTO'!$A$4:$A$28,0)),""))&lt;&gt;"",IFERROR(INDEX('CAT_CENTROS_COSTO'!$E$4:$E$28,MATCH($F233,'CAT_CENTROS_COSTO'!$A$4:$A$28,0)),""),$Y233))</f>
        <v/>
      </c>
      <c r="AA233" s="24">
        <f>IF($F233="","",IFERROR(INDEX('CAT_CENTROS_COSTO'!$G$4:$G$28,MATCH($F233,'CAT_CENTROS_COSTO'!$A$4:$A$28,0)),"(sin catálogo)"))</f>
        <v/>
      </c>
      <c r="AB233" s="24">
        <f>IF($G233="","",IFERROR(INDEX('CAT_PUESTOS'!$B$4:$B$23,MATCH($G233,'CAT_PUESTOS'!$A$4:$A$23,0)),"(sin catálogo)"))</f>
        <v/>
      </c>
      <c r="AC233" s="24">
        <f>IF($H233="","",IFERROR(INDEX('CAT_ACTIVIDADES'!$B$4:$B$26,MATCH($H233,'CAT_ACTIVIDADES'!$A$4:$A$26,0)),"(sin catálogo)"))</f>
        <v/>
      </c>
      <c r="AD233" s="26">
        <f>IF($J233="","",TODAY()-$J233)</f>
        <v/>
      </c>
      <c r="AE233" s="26">
        <f>IF($J233="","",IF($J233&lt;=TODAY(),COUNTIFS(cal_fechas,"&gt;="&amp;$J233,cal_fechas,"&lt;"&amp;TODAY(),cal_habil,"sí"),-COUNTIFS(cal_fechas,"&gt;="&amp;TODAY(),cal_fechas,"&lt;"&amp;$J233,cal_habil,"sí")))</f>
        <v/>
      </c>
      <c r="AF233" s="24">
        <f>IF($AE233="","",IF($AE233&lt;0,"FUTURO",IF($AE233&gt;p_dias_backlog_max,"BACKLOG","MES CORRIENTE")))</f>
        <v/>
      </c>
      <c r="AG233" s="24">
        <f>IF($AE233="",FALSE,AND($AE233&gt;p_dias_backlog_min,$AE233&lt;=p_dias_backlog_max))</f>
        <v/>
      </c>
      <c r="AH233" s="4" t="n"/>
      <c r="AI233" s="24">
        <f>IF($AH233="","",IF((IFERROR(INDEX('ASIGNACIONES'!$J$4:$J$451,MATCH($O233&amp;"|"&amp;$S233&amp;"|"&amp;$AH233,'ASIGNACIONES'!$N$4:$N$451,0)),""))=0,"",IFERROR(INDEX('ASIGNACIONES'!$J$4:$J$451,MATCH($O233&amp;"|"&amp;$S233&amp;"|"&amp;$AH233,'ASIGNACIONES'!$N$4:$N$451,0)),"")))</f>
        <v/>
      </c>
      <c r="AJ233" s="42">
        <f>IF($AH233="","",SUMIFS('ORDENES'!$M$4:$M$1203,'ORDENES'!$AH$4:$AH$1203,$AH233,'ORDENES'!$O$4:$O$1203,$O233,'ORDENES'!$S$4:$S$1203,$S233))</f>
        <v/>
      </c>
      <c r="AK233" s="42">
        <f>IF($AJ233="","",p_factor_productividad*IFERROR(INDEX('ASIGNACIONES'!$M$4:$M$451,MATCH($O233&amp;"|"&amp;$S233&amp;"|"&amp;$AH233,'ASIGNACIONES'!$N$4:$N$451,0)),0)-$AJ233)</f>
        <v/>
      </c>
      <c r="AL233" s="32">
        <f>IF($A233="","",IFERROR(INDEX('2_IMPORTAR_EJECUCION'!$F$9:$F$1208,MATCH($AU233,'2_IMPORTAR_EJECUCION'!$J$9:$J$1208,0)),0))</f>
        <v/>
      </c>
      <c r="AM233" s="32">
        <f>IF($A233="","",MAX(0,IFERROR(INDEX('2_IMPORTAR_EJECUCION'!$H$9:$H$1208,MATCH($AU233,'2_IMPORTAR_EJECUCION'!$J$9:$J$1208,0)),0)-$AL233))</f>
        <v/>
      </c>
      <c r="AN233" s="32">
        <f>IF($A233="","",$AL233+$AM233)</f>
        <v/>
      </c>
      <c r="AO233" s="24">
        <f>IF($A233="","",IF(OR((IFERROR(INDEX('CAT_ACTIVIDADES'!$D$4:$D$26,MATCH($H233,'CAT_ACTIVIDADES'!$A$4:$A$26,0)),""))=0,(IFERROR(INDEX('CAT_ACTIVIDADES'!$D$4:$D$26,MATCH($H233,'CAT_ACTIVIDADES'!$A$4:$A$26,0)),""))=""),"SIN CLASIFICAR",IFERROR(INDEX('CAT_ACTIVIDADES'!$D$4:$D$26,MATCH($H233,'CAT_ACTIVIDADES'!$A$4:$A$26,0)),"")))</f>
        <v/>
      </c>
      <c r="AP233" s="4" t="n"/>
      <c r="AQ233" s="4" t="n"/>
      <c r="AR233" s="4" t="n"/>
      <c r="AS233" s="24">
        <f>IF($AR233="","",HYPERLINK(p_ruta_base_checklists&amp;$AR233,"abrir"))</f>
        <v/>
      </c>
      <c r="AT233" s="4" t="n"/>
      <c r="AU233" s="24">
        <f>IF($A233="","",$A233&amp;IF($B233="","0010",$B233))</f>
        <v/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41" t="n"/>
      <c r="K234" s="5" t="n"/>
      <c r="L234" s="18" t="n"/>
      <c r="M234" s="24">
        <f>IF($A234="","",IFERROR(INDEX('AJUSTES'!$B$4:$B$303,MATCH($AU234,'AJUSTES'!$A$4:$A$303,0)),IF($K234="","",$K234)))</f>
        <v/>
      </c>
      <c r="N234" s="24">
        <f>IF($A234="","",IFERROR(INDEX('CAT_ESTADOS_ERP'!$B$4:$B$22,MATCH(IFERROR(INDEX('2_IMPORTAR_EJECUCION'!$C$9:$C$1208,MATCH($AU234,'2_IMPORTAR_EJECUCION'!$J$9:$J$1208,0)),""),'CAT_ESTADOS_ERP'!$A$4:$A$22,0)),"Pendiente"))</f>
        <v/>
      </c>
      <c r="O234" s="24">
        <f>IF($J234="","",YEAR($J234+4-WEEKDAY($J234,2))&amp;"-S"&amp;TEXT(_xlfn.ISOWEEKNUM($J234),"00"))</f>
        <v/>
      </c>
      <c r="P234" s="24">
        <f>IF($J234="","",YEAR($J234))</f>
        <v/>
      </c>
      <c r="Q234" s="24">
        <f>IF($J234="","",MONTH($J234))</f>
        <v/>
      </c>
      <c r="R234" s="24">
        <f>IF($J234="","",$P234&amp;"-"&amp;TEXT($Q234,"00"))</f>
        <v/>
      </c>
      <c r="S234" s="24">
        <f>IF($J234="","",INDEX(lista_dias,WEEKDAY($J234,2)))</f>
        <v/>
      </c>
      <c r="T234" s="24">
        <f>IF($J234="","",IFERROR(INDEX('CALENDARIO'!$C$15:$C$214,MATCH(TEXT($J234,"yyyy-mm-dd")&amp;"|"&amp;$Y234&amp;"|"&amp;$Z234,'CALENDARIO'!$G$15:$G$214,0)),IFERROR(INDEX('CALENDARIO'!$C$15:$C$214,MATCH(TEXT($J234,"yyyy-mm-dd")&amp;"|"&amp;$Y234&amp;"|",'CALENDARIO'!$G$15:$G$214,0)),IFERROR(INDEX('CALENDARIO'!$C$15:$C$214,MATCH(TEXT($J234,"yyyy-mm-dd")&amp;"||",'CALENDARIO'!$G$15:$G$214,0)),INDEX(patronHabil,WEEKDAY($J234,2))))))</f>
        <v/>
      </c>
      <c r="U234" s="24">
        <f>IF($I234="","",IFERROR(INDEX('CAT_TIPOS_OT'!$C$4:$C$23,MATCH($I234,'CAT_TIPOS_OT'!$A$4:$A$23,0)),"sin_clasificar"))</f>
        <v/>
      </c>
      <c r="V234" s="24">
        <f>IF($I234="","",IF(IFERROR(INDEX('CAT_TIPOS_OT'!$D$4:$D$23,MATCH($I234,'CAT_TIPOS_OT'!$A$4:$A$23,0)),"SIN CLASIFICAR")="","SIN CLASIFICAR",IFERROR(INDEX('CAT_TIPOS_OT'!$D$4:$D$23,MATCH($I234,'CAT_TIPOS_OT'!$A$4:$A$23,0)),"SIN CLASIFICAR")))</f>
        <v/>
      </c>
      <c r="W234" s="24">
        <f>IF($H234="","",IF(IFERROR(INDEX('CAT_ACTIVIDADES'!$F$4:$F$26,MATCH($H234,'CAT_ACTIVIDADES'!$A$4:$A$26,0)),"")=0,"",IFERROR(INDEX('CAT_ACTIVIDADES'!$F$4:$F$26,MATCH($H234,'CAT_ACTIVIDADES'!$A$4:$A$26,0)),"")))</f>
        <v/>
      </c>
      <c r="X234" s="24">
        <f>IF($F234="","",IFERROR(INDEX('CAT_CENTROS_COSTO'!$F$4:$F$28,MATCH($F234,'CAT_CENTROS_COSTO'!$A$4:$A$28,0)),"(sin catálogo)"))</f>
        <v/>
      </c>
      <c r="Y234" s="24">
        <f>IF($F234="","",IFERROR(INDEX('CAT_CENTROS_COSTO'!$D$4:$D$28,MATCH($F234,'CAT_CENTROS_COSTO'!$A$4:$A$28,0)),"(sin catálogo)"))</f>
        <v/>
      </c>
      <c r="Z234" s="24">
        <f>IF($F234="","",IF((IFERROR(INDEX('CAT_CENTROS_COSTO'!$E$4:$E$28,MATCH($F234,'CAT_CENTROS_COSTO'!$A$4:$A$28,0)),""))&lt;&gt;"",IFERROR(INDEX('CAT_CENTROS_COSTO'!$E$4:$E$28,MATCH($F234,'CAT_CENTROS_COSTO'!$A$4:$A$28,0)),""),$Y234))</f>
        <v/>
      </c>
      <c r="AA234" s="24">
        <f>IF($F234="","",IFERROR(INDEX('CAT_CENTROS_COSTO'!$G$4:$G$28,MATCH($F234,'CAT_CENTROS_COSTO'!$A$4:$A$28,0)),"(sin catálogo)"))</f>
        <v/>
      </c>
      <c r="AB234" s="24">
        <f>IF($G234="","",IFERROR(INDEX('CAT_PUESTOS'!$B$4:$B$23,MATCH($G234,'CAT_PUESTOS'!$A$4:$A$23,0)),"(sin catálogo)"))</f>
        <v/>
      </c>
      <c r="AC234" s="24">
        <f>IF($H234="","",IFERROR(INDEX('CAT_ACTIVIDADES'!$B$4:$B$26,MATCH($H234,'CAT_ACTIVIDADES'!$A$4:$A$26,0)),"(sin catálogo)"))</f>
        <v/>
      </c>
      <c r="AD234" s="26">
        <f>IF($J234="","",TODAY()-$J234)</f>
        <v/>
      </c>
      <c r="AE234" s="26">
        <f>IF($J234="","",IF($J234&lt;=TODAY(),COUNTIFS(cal_fechas,"&gt;="&amp;$J234,cal_fechas,"&lt;"&amp;TODAY(),cal_habil,"sí"),-COUNTIFS(cal_fechas,"&gt;="&amp;TODAY(),cal_fechas,"&lt;"&amp;$J234,cal_habil,"sí")))</f>
        <v/>
      </c>
      <c r="AF234" s="24">
        <f>IF($AE234="","",IF($AE234&lt;0,"FUTURO",IF($AE234&gt;p_dias_backlog_max,"BACKLOG","MES CORRIENTE")))</f>
        <v/>
      </c>
      <c r="AG234" s="24">
        <f>IF($AE234="",FALSE,AND($AE234&gt;p_dias_backlog_min,$AE234&lt;=p_dias_backlog_max))</f>
        <v/>
      </c>
      <c r="AH234" s="4" t="n"/>
      <c r="AI234" s="24">
        <f>IF($AH234="","",IF((IFERROR(INDEX('ASIGNACIONES'!$J$4:$J$451,MATCH($O234&amp;"|"&amp;$S234&amp;"|"&amp;$AH234,'ASIGNACIONES'!$N$4:$N$451,0)),""))=0,"",IFERROR(INDEX('ASIGNACIONES'!$J$4:$J$451,MATCH($O234&amp;"|"&amp;$S234&amp;"|"&amp;$AH234,'ASIGNACIONES'!$N$4:$N$451,0)),"")))</f>
        <v/>
      </c>
      <c r="AJ234" s="42">
        <f>IF($AH234="","",SUMIFS('ORDENES'!$M$4:$M$1203,'ORDENES'!$AH$4:$AH$1203,$AH234,'ORDENES'!$O$4:$O$1203,$O234,'ORDENES'!$S$4:$S$1203,$S234))</f>
        <v/>
      </c>
      <c r="AK234" s="42">
        <f>IF($AJ234="","",p_factor_productividad*IFERROR(INDEX('ASIGNACIONES'!$M$4:$M$451,MATCH($O234&amp;"|"&amp;$S234&amp;"|"&amp;$AH234,'ASIGNACIONES'!$N$4:$N$451,0)),0)-$AJ234)</f>
        <v/>
      </c>
      <c r="AL234" s="32">
        <f>IF($A234="","",IFERROR(INDEX('2_IMPORTAR_EJECUCION'!$F$9:$F$1208,MATCH($AU234,'2_IMPORTAR_EJECUCION'!$J$9:$J$1208,0)),0))</f>
        <v/>
      </c>
      <c r="AM234" s="32">
        <f>IF($A234="","",MAX(0,IFERROR(INDEX('2_IMPORTAR_EJECUCION'!$H$9:$H$1208,MATCH($AU234,'2_IMPORTAR_EJECUCION'!$J$9:$J$1208,0)),0)-$AL234))</f>
        <v/>
      </c>
      <c r="AN234" s="32">
        <f>IF($A234="","",$AL234+$AM234)</f>
        <v/>
      </c>
      <c r="AO234" s="24">
        <f>IF($A234="","",IF(OR((IFERROR(INDEX('CAT_ACTIVIDADES'!$D$4:$D$26,MATCH($H234,'CAT_ACTIVIDADES'!$A$4:$A$26,0)),""))=0,(IFERROR(INDEX('CAT_ACTIVIDADES'!$D$4:$D$26,MATCH($H234,'CAT_ACTIVIDADES'!$A$4:$A$26,0)),""))=""),"SIN CLASIFICAR",IFERROR(INDEX('CAT_ACTIVIDADES'!$D$4:$D$26,MATCH($H234,'CAT_ACTIVIDADES'!$A$4:$A$26,0)),"")))</f>
        <v/>
      </c>
      <c r="AP234" s="4" t="n"/>
      <c r="AQ234" s="4" t="n"/>
      <c r="AR234" s="4" t="n"/>
      <c r="AS234" s="24">
        <f>IF($AR234="","",HYPERLINK(p_ruta_base_checklists&amp;$AR234,"abrir"))</f>
        <v/>
      </c>
      <c r="AT234" s="4" t="n"/>
      <c r="AU234" s="24">
        <f>IF($A234="","",$A234&amp;IF($B234="","0010",$B234))</f>
        <v/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41" t="n"/>
      <c r="K235" s="5" t="n"/>
      <c r="L235" s="18" t="n"/>
      <c r="M235" s="24">
        <f>IF($A235="","",IFERROR(INDEX('AJUSTES'!$B$4:$B$303,MATCH($AU235,'AJUSTES'!$A$4:$A$303,0)),IF($K235="","",$K235)))</f>
        <v/>
      </c>
      <c r="N235" s="24">
        <f>IF($A235="","",IFERROR(INDEX('CAT_ESTADOS_ERP'!$B$4:$B$22,MATCH(IFERROR(INDEX('2_IMPORTAR_EJECUCION'!$C$9:$C$1208,MATCH($AU235,'2_IMPORTAR_EJECUCION'!$J$9:$J$1208,0)),""),'CAT_ESTADOS_ERP'!$A$4:$A$22,0)),"Pendiente"))</f>
        <v/>
      </c>
      <c r="O235" s="24">
        <f>IF($J235="","",YEAR($J235+4-WEEKDAY($J235,2))&amp;"-S"&amp;TEXT(_xlfn.ISOWEEKNUM($J235),"00"))</f>
        <v/>
      </c>
      <c r="P235" s="24">
        <f>IF($J235="","",YEAR($J235))</f>
        <v/>
      </c>
      <c r="Q235" s="24">
        <f>IF($J235="","",MONTH($J235))</f>
        <v/>
      </c>
      <c r="R235" s="24">
        <f>IF($J235="","",$P235&amp;"-"&amp;TEXT($Q235,"00"))</f>
        <v/>
      </c>
      <c r="S235" s="24">
        <f>IF($J235="","",INDEX(lista_dias,WEEKDAY($J235,2)))</f>
        <v/>
      </c>
      <c r="T235" s="24">
        <f>IF($J235="","",IFERROR(INDEX('CALENDARIO'!$C$15:$C$214,MATCH(TEXT($J235,"yyyy-mm-dd")&amp;"|"&amp;$Y235&amp;"|"&amp;$Z235,'CALENDARIO'!$G$15:$G$214,0)),IFERROR(INDEX('CALENDARIO'!$C$15:$C$214,MATCH(TEXT($J235,"yyyy-mm-dd")&amp;"|"&amp;$Y235&amp;"|",'CALENDARIO'!$G$15:$G$214,0)),IFERROR(INDEX('CALENDARIO'!$C$15:$C$214,MATCH(TEXT($J235,"yyyy-mm-dd")&amp;"||",'CALENDARIO'!$G$15:$G$214,0)),INDEX(patronHabil,WEEKDAY($J235,2))))))</f>
        <v/>
      </c>
      <c r="U235" s="24">
        <f>IF($I235="","",IFERROR(INDEX('CAT_TIPOS_OT'!$C$4:$C$23,MATCH($I235,'CAT_TIPOS_OT'!$A$4:$A$23,0)),"sin_clasificar"))</f>
        <v/>
      </c>
      <c r="V235" s="24">
        <f>IF($I235="","",IF(IFERROR(INDEX('CAT_TIPOS_OT'!$D$4:$D$23,MATCH($I235,'CAT_TIPOS_OT'!$A$4:$A$23,0)),"SIN CLASIFICAR")="","SIN CLASIFICAR",IFERROR(INDEX('CAT_TIPOS_OT'!$D$4:$D$23,MATCH($I235,'CAT_TIPOS_OT'!$A$4:$A$23,0)),"SIN CLASIFICAR")))</f>
        <v/>
      </c>
      <c r="W235" s="24">
        <f>IF($H235="","",IF(IFERROR(INDEX('CAT_ACTIVIDADES'!$F$4:$F$26,MATCH($H235,'CAT_ACTIVIDADES'!$A$4:$A$26,0)),"")=0,"",IFERROR(INDEX('CAT_ACTIVIDADES'!$F$4:$F$26,MATCH($H235,'CAT_ACTIVIDADES'!$A$4:$A$26,0)),"")))</f>
        <v/>
      </c>
      <c r="X235" s="24">
        <f>IF($F235="","",IFERROR(INDEX('CAT_CENTROS_COSTO'!$F$4:$F$28,MATCH($F235,'CAT_CENTROS_COSTO'!$A$4:$A$28,0)),"(sin catálogo)"))</f>
        <v/>
      </c>
      <c r="Y235" s="24">
        <f>IF($F235="","",IFERROR(INDEX('CAT_CENTROS_COSTO'!$D$4:$D$28,MATCH($F235,'CAT_CENTROS_COSTO'!$A$4:$A$28,0)),"(sin catálogo)"))</f>
        <v/>
      </c>
      <c r="Z235" s="24">
        <f>IF($F235="","",IF((IFERROR(INDEX('CAT_CENTROS_COSTO'!$E$4:$E$28,MATCH($F235,'CAT_CENTROS_COSTO'!$A$4:$A$28,0)),""))&lt;&gt;"",IFERROR(INDEX('CAT_CENTROS_COSTO'!$E$4:$E$28,MATCH($F235,'CAT_CENTROS_COSTO'!$A$4:$A$28,0)),""),$Y235))</f>
        <v/>
      </c>
      <c r="AA235" s="24">
        <f>IF($F235="","",IFERROR(INDEX('CAT_CENTROS_COSTO'!$G$4:$G$28,MATCH($F235,'CAT_CENTROS_COSTO'!$A$4:$A$28,0)),"(sin catálogo)"))</f>
        <v/>
      </c>
      <c r="AB235" s="24">
        <f>IF($G235="","",IFERROR(INDEX('CAT_PUESTOS'!$B$4:$B$23,MATCH($G235,'CAT_PUESTOS'!$A$4:$A$23,0)),"(sin catálogo)"))</f>
        <v/>
      </c>
      <c r="AC235" s="24">
        <f>IF($H235="","",IFERROR(INDEX('CAT_ACTIVIDADES'!$B$4:$B$26,MATCH($H235,'CAT_ACTIVIDADES'!$A$4:$A$26,0)),"(sin catálogo)"))</f>
        <v/>
      </c>
      <c r="AD235" s="26">
        <f>IF($J235="","",TODAY()-$J235)</f>
        <v/>
      </c>
      <c r="AE235" s="26">
        <f>IF($J235="","",IF($J235&lt;=TODAY(),COUNTIFS(cal_fechas,"&gt;="&amp;$J235,cal_fechas,"&lt;"&amp;TODAY(),cal_habil,"sí"),-COUNTIFS(cal_fechas,"&gt;="&amp;TODAY(),cal_fechas,"&lt;"&amp;$J235,cal_habil,"sí")))</f>
        <v/>
      </c>
      <c r="AF235" s="24">
        <f>IF($AE235="","",IF($AE235&lt;0,"FUTURO",IF($AE235&gt;p_dias_backlog_max,"BACKLOG","MES CORRIENTE")))</f>
        <v/>
      </c>
      <c r="AG235" s="24">
        <f>IF($AE235="",FALSE,AND($AE235&gt;p_dias_backlog_min,$AE235&lt;=p_dias_backlog_max))</f>
        <v/>
      </c>
      <c r="AH235" s="4" t="n"/>
      <c r="AI235" s="24">
        <f>IF($AH235="","",IF((IFERROR(INDEX('ASIGNACIONES'!$J$4:$J$451,MATCH($O235&amp;"|"&amp;$S235&amp;"|"&amp;$AH235,'ASIGNACIONES'!$N$4:$N$451,0)),""))=0,"",IFERROR(INDEX('ASIGNACIONES'!$J$4:$J$451,MATCH($O235&amp;"|"&amp;$S235&amp;"|"&amp;$AH235,'ASIGNACIONES'!$N$4:$N$451,0)),"")))</f>
        <v/>
      </c>
      <c r="AJ235" s="42">
        <f>IF($AH235="","",SUMIFS('ORDENES'!$M$4:$M$1203,'ORDENES'!$AH$4:$AH$1203,$AH235,'ORDENES'!$O$4:$O$1203,$O235,'ORDENES'!$S$4:$S$1203,$S235))</f>
        <v/>
      </c>
      <c r="AK235" s="42">
        <f>IF($AJ235="","",p_factor_productividad*IFERROR(INDEX('ASIGNACIONES'!$M$4:$M$451,MATCH($O235&amp;"|"&amp;$S235&amp;"|"&amp;$AH235,'ASIGNACIONES'!$N$4:$N$451,0)),0)-$AJ235)</f>
        <v/>
      </c>
      <c r="AL235" s="32">
        <f>IF($A235="","",IFERROR(INDEX('2_IMPORTAR_EJECUCION'!$F$9:$F$1208,MATCH($AU235,'2_IMPORTAR_EJECUCION'!$J$9:$J$1208,0)),0))</f>
        <v/>
      </c>
      <c r="AM235" s="32">
        <f>IF($A235="","",MAX(0,IFERROR(INDEX('2_IMPORTAR_EJECUCION'!$H$9:$H$1208,MATCH($AU235,'2_IMPORTAR_EJECUCION'!$J$9:$J$1208,0)),0)-$AL235))</f>
        <v/>
      </c>
      <c r="AN235" s="32">
        <f>IF($A235="","",$AL235+$AM235)</f>
        <v/>
      </c>
      <c r="AO235" s="24">
        <f>IF($A235="","",IF(OR((IFERROR(INDEX('CAT_ACTIVIDADES'!$D$4:$D$26,MATCH($H235,'CAT_ACTIVIDADES'!$A$4:$A$26,0)),""))=0,(IFERROR(INDEX('CAT_ACTIVIDADES'!$D$4:$D$26,MATCH($H235,'CAT_ACTIVIDADES'!$A$4:$A$26,0)),""))=""),"SIN CLASIFICAR",IFERROR(INDEX('CAT_ACTIVIDADES'!$D$4:$D$26,MATCH($H235,'CAT_ACTIVIDADES'!$A$4:$A$26,0)),"")))</f>
        <v/>
      </c>
      <c r="AP235" s="4" t="n"/>
      <c r="AQ235" s="4" t="n"/>
      <c r="AR235" s="4" t="n"/>
      <c r="AS235" s="24">
        <f>IF($AR235="","",HYPERLINK(p_ruta_base_checklists&amp;$AR235,"abrir"))</f>
        <v/>
      </c>
      <c r="AT235" s="4" t="n"/>
      <c r="AU235" s="24">
        <f>IF($A235="","",$A235&amp;IF($B235="","0010",$B235))</f>
        <v/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41" t="n"/>
      <c r="K236" s="5" t="n"/>
      <c r="L236" s="18" t="n"/>
      <c r="M236" s="24">
        <f>IF($A236="","",IFERROR(INDEX('AJUSTES'!$B$4:$B$303,MATCH($AU236,'AJUSTES'!$A$4:$A$303,0)),IF($K236="","",$K236)))</f>
        <v/>
      </c>
      <c r="N236" s="24">
        <f>IF($A236="","",IFERROR(INDEX('CAT_ESTADOS_ERP'!$B$4:$B$22,MATCH(IFERROR(INDEX('2_IMPORTAR_EJECUCION'!$C$9:$C$1208,MATCH($AU236,'2_IMPORTAR_EJECUCION'!$J$9:$J$1208,0)),""),'CAT_ESTADOS_ERP'!$A$4:$A$22,0)),"Pendiente"))</f>
        <v/>
      </c>
      <c r="O236" s="24">
        <f>IF($J236="","",YEAR($J236+4-WEEKDAY($J236,2))&amp;"-S"&amp;TEXT(_xlfn.ISOWEEKNUM($J236),"00"))</f>
        <v/>
      </c>
      <c r="P236" s="24">
        <f>IF($J236="","",YEAR($J236))</f>
        <v/>
      </c>
      <c r="Q236" s="24">
        <f>IF($J236="","",MONTH($J236))</f>
        <v/>
      </c>
      <c r="R236" s="24">
        <f>IF($J236="","",$P236&amp;"-"&amp;TEXT($Q236,"00"))</f>
        <v/>
      </c>
      <c r="S236" s="24">
        <f>IF($J236="","",INDEX(lista_dias,WEEKDAY($J236,2)))</f>
        <v/>
      </c>
      <c r="T236" s="24">
        <f>IF($J236="","",IFERROR(INDEX('CALENDARIO'!$C$15:$C$214,MATCH(TEXT($J236,"yyyy-mm-dd")&amp;"|"&amp;$Y236&amp;"|"&amp;$Z236,'CALENDARIO'!$G$15:$G$214,0)),IFERROR(INDEX('CALENDARIO'!$C$15:$C$214,MATCH(TEXT($J236,"yyyy-mm-dd")&amp;"|"&amp;$Y236&amp;"|",'CALENDARIO'!$G$15:$G$214,0)),IFERROR(INDEX('CALENDARIO'!$C$15:$C$214,MATCH(TEXT($J236,"yyyy-mm-dd")&amp;"||",'CALENDARIO'!$G$15:$G$214,0)),INDEX(patronHabil,WEEKDAY($J236,2))))))</f>
        <v/>
      </c>
      <c r="U236" s="24">
        <f>IF($I236="","",IFERROR(INDEX('CAT_TIPOS_OT'!$C$4:$C$23,MATCH($I236,'CAT_TIPOS_OT'!$A$4:$A$23,0)),"sin_clasificar"))</f>
        <v/>
      </c>
      <c r="V236" s="24">
        <f>IF($I236="","",IF(IFERROR(INDEX('CAT_TIPOS_OT'!$D$4:$D$23,MATCH($I236,'CAT_TIPOS_OT'!$A$4:$A$23,0)),"SIN CLASIFICAR")="","SIN CLASIFICAR",IFERROR(INDEX('CAT_TIPOS_OT'!$D$4:$D$23,MATCH($I236,'CAT_TIPOS_OT'!$A$4:$A$23,0)),"SIN CLASIFICAR")))</f>
        <v/>
      </c>
      <c r="W236" s="24">
        <f>IF($H236="","",IF(IFERROR(INDEX('CAT_ACTIVIDADES'!$F$4:$F$26,MATCH($H236,'CAT_ACTIVIDADES'!$A$4:$A$26,0)),"")=0,"",IFERROR(INDEX('CAT_ACTIVIDADES'!$F$4:$F$26,MATCH($H236,'CAT_ACTIVIDADES'!$A$4:$A$26,0)),"")))</f>
        <v/>
      </c>
      <c r="X236" s="24">
        <f>IF($F236="","",IFERROR(INDEX('CAT_CENTROS_COSTO'!$F$4:$F$28,MATCH($F236,'CAT_CENTROS_COSTO'!$A$4:$A$28,0)),"(sin catálogo)"))</f>
        <v/>
      </c>
      <c r="Y236" s="24">
        <f>IF($F236="","",IFERROR(INDEX('CAT_CENTROS_COSTO'!$D$4:$D$28,MATCH($F236,'CAT_CENTROS_COSTO'!$A$4:$A$28,0)),"(sin catálogo)"))</f>
        <v/>
      </c>
      <c r="Z236" s="24">
        <f>IF($F236="","",IF((IFERROR(INDEX('CAT_CENTROS_COSTO'!$E$4:$E$28,MATCH($F236,'CAT_CENTROS_COSTO'!$A$4:$A$28,0)),""))&lt;&gt;"",IFERROR(INDEX('CAT_CENTROS_COSTO'!$E$4:$E$28,MATCH($F236,'CAT_CENTROS_COSTO'!$A$4:$A$28,0)),""),$Y236))</f>
        <v/>
      </c>
      <c r="AA236" s="24">
        <f>IF($F236="","",IFERROR(INDEX('CAT_CENTROS_COSTO'!$G$4:$G$28,MATCH($F236,'CAT_CENTROS_COSTO'!$A$4:$A$28,0)),"(sin catálogo)"))</f>
        <v/>
      </c>
      <c r="AB236" s="24">
        <f>IF($G236="","",IFERROR(INDEX('CAT_PUESTOS'!$B$4:$B$23,MATCH($G236,'CAT_PUESTOS'!$A$4:$A$23,0)),"(sin catálogo)"))</f>
        <v/>
      </c>
      <c r="AC236" s="24">
        <f>IF($H236="","",IFERROR(INDEX('CAT_ACTIVIDADES'!$B$4:$B$26,MATCH($H236,'CAT_ACTIVIDADES'!$A$4:$A$26,0)),"(sin catálogo)"))</f>
        <v/>
      </c>
      <c r="AD236" s="26">
        <f>IF($J236="","",TODAY()-$J236)</f>
        <v/>
      </c>
      <c r="AE236" s="26">
        <f>IF($J236="","",IF($J236&lt;=TODAY(),COUNTIFS(cal_fechas,"&gt;="&amp;$J236,cal_fechas,"&lt;"&amp;TODAY(),cal_habil,"sí"),-COUNTIFS(cal_fechas,"&gt;="&amp;TODAY(),cal_fechas,"&lt;"&amp;$J236,cal_habil,"sí")))</f>
        <v/>
      </c>
      <c r="AF236" s="24">
        <f>IF($AE236="","",IF($AE236&lt;0,"FUTURO",IF($AE236&gt;p_dias_backlog_max,"BACKLOG","MES CORRIENTE")))</f>
        <v/>
      </c>
      <c r="AG236" s="24">
        <f>IF($AE236="",FALSE,AND($AE236&gt;p_dias_backlog_min,$AE236&lt;=p_dias_backlog_max))</f>
        <v/>
      </c>
      <c r="AH236" s="4" t="n"/>
      <c r="AI236" s="24">
        <f>IF($AH236="","",IF((IFERROR(INDEX('ASIGNACIONES'!$J$4:$J$451,MATCH($O236&amp;"|"&amp;$S236&amp;"|"&amp;$AH236,'ASIGNACIONES'!$N$4:$N$451,0)),""))=0,"",IFERROR(INDEX('ASIGNACIONES'!$J$4:$J$451,MATCH($O236&amp;"|"&amp;$S236&amp;"|"&amp;$AH236,'ASIGNACIONES'!$N$4:$N$451,0)),"")))</f>
        <v/>
      </c>
      <c r="AJ236" s="42">
        <f>IF($AH236="","",SUMIFS('ORDENES'!$M$4:$M$1203,'ORDENES'!$AH$4:$AH$1203,$AH236,'ORDENES'!$O$4:$O$1203,$O236,'ORDENES'!$S$4:$S$1203,$S236))</f>
        <v/>
      </c>
      <c r="AK236" s="42">
        <f>IF($AJ236="","",p_factor_productividad*IFERROR(INDEX('ASIGNACIONES'!$M$4:$M$451,MATCH($O236&amp;"|"&amp;$S236&amp;"|"&amp;$AH236,'ASIGNACIONES'!$N$4:$N$451,0)),0)-$AJ236)</f>
        <v/>
      </c>
      <c r="AL236" s="32">
        <f>IF($A236="","",IFERROR(INDEX('2_IMPORTAR_EJECUCION'!$F$9:$F$1208,MATCH($AU236,'2_IMPORTAR_EJECUCION'!$J$9:$J$1208,0)),0))</f>
        <v/>
      </c>
      <c r="AM236" s="32">
        <f>IF($A236="","",MAX(0,IFERROR(INDEX('2_IMPORTAR_EJECUCION'!$H$9:$H$1208,MATCH($AU236,'2_IMPORTAR_EJECUCION'!$J$9:$J$1208,0)),0)-$AL236))</f>
        <v/>
      </c>
      <c r="AN236" s="32">
        <f>IF($A236="","",$AL236+$AM236)</f>
        <v/>
      </c>
      <c r="AO236" s="24">
        <f>IF($A236="","",IF(OR((IFERROR(INDEX('CAT_ACTIVIDADES'!$D$4:$D$26,MATCH($H236,'CAT_ACTIVIDADES'!$A$4:$A$26,0)),""))=0,(IFERROR(INDEX('CAT_ACTIVIDADES'!$D$4:$D$26,MATCH($H236,'CAT_ACTIVIDADES'!$A$4:$A$26,0)),""))=""),"SIN CLASIFICAR",IFERROR(INDEX('CAT_ACTIVIDADES'!$D$4:$D$26,MATCH($H236,'CAT_ACTIVIDADES'!$A$4:$A$26,0)),"")))</f>
        <v/>
      </c>
      <c r="AP236" s="4" t="n"/>
      <c r="AQ236" s="4" t="n"/>
      <c r="AR236" s="4" t="n"/>
      <c r="AS236" s="24">
        <f>IF($AR236="","",HYPERLINK(p_ruta_base_checklists&amp;$AR236,"abrir"))</f>
        <v/>
      </c>
      <c r="AT236" s="4" t="n"/>
      <c r="AU236" s="24">
        <f>IF($A236="","",$A236&amp;IF($B236="","0010",$B236))</f>
        <v/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41" t="n"/>
      <c r="K237" s="5" t="n"/>
      <c r="L237" s="18" t="n"/>
      <c r="M237" s="24">
        <f>IF($A237="","",IFERROR(INDEX('AJUSTES'!$B$4:$B$303,MATCH($AU237,'AJUSTES'!$A$4:$A$303,0)),IF($K237="","",$K237)))</f>
        <v/>
      </c>
      <c r="N237" s="24">
        <f>IF($A237="","",IFERROR(INDEX('CAT_ESTADOS_ERP'!$B$4:$B$22,MATCH(IFERROR(INDEX('2_IMPORTAR_EJECUCION'!$C$9:$C$1208,MATCH($AU237,'2_IMPORTAR_EJECUCION'!$J$9:$J$1208,0)),""),'CAT_ESTADOS_ERP'!$A$4:$A$22,0)),"Pendiente"))</f>
        <v/>
      </c>
      <c r="O237" s="24">
        <f>IF($J237="","",YEAR($J237+4-WEEKDAY($J237,2))&amp;"-S"&amp;TEXT(_xlfn.ISOWEEKNUM($J237),"00"))</f>
        <v/>
      </c>
      <c r="P237" s="24">
        <f>IF($J237="","",YEAR($J237))</f>
        <v/>
      </c>
      <c r="Q237" s="24">
        <f>IF($J237="","",MONTH($J237))</f>
        <v/>
      </c>
      <c r="R237" s="24">
        <f>IF($J237="","",$P237&amp;"-"&amp;TEXT($Q237,"00"))</f>
        <v/>
      </c>
      <c r="S237" s="24">
        <f>IF($J237="","",INDEX(lista_dias,WEEKDAY($J237,2)))</f>
        <v/>
      </c>
      <c r="T237" s="24">
        <f>IF($J237="","",IFERROR(INDEX('CALENDARIO'!$C$15:$C$214,MATCH(TEXT($J237,"yyyy-mm-dd")&amp;"|"&amp;$Y237&amp;"|"&amp;$Z237,'CALENDARIO'!$G$15:$G$214,0)),IFERROR(INDEX('CALENDARIO'!$C$15:$C$214,MATCH(TEXT($J237,"yyyy-mm-dd")&amp;"|"&amp;$Y237&amp;"|",'CALENDARIO'!$G$15:$G$214,0)),IFERROR(INDEX('CALENDARIO'!$C$15:$C$214,MATCH(TEXT($J237,"yyyy-mm-dd")&amp;"||",'CALENDARIO'!$G$15:$G$214,0)),INDEX(patronHabil,WEEKDAY($J237,2))))))</f>
        <v/>
      </c>
      <c r="U237" s="24">
        <f>IF($I237="","",IFERROR(INDEX('CAT_TIPOS_OT'!$C$4:$C$23,MATCH($I237,'CAT_TIPOS_OT'!$A$4:$A$23,0)),"sin_clasificar"))</f>
        <v/>
      </c>
      <c r="V237" s="24">
        <f>IF($I237="","",IF(IFERROR(INDEX('CAT_TIPOS_OT'!$D$4:$D$23,MATCH($I237,'CAT_TIPOS_OT'!$A$4:$A$23,0)),"SIN CLASIFICAR")="","SIN CLASIFICAR",IFERROR(INDEX('CAT_TIPOS_OT'!$D$4:$D$23,MATCH($I237,'CAT_TIPOS_OT'!$A$4:$A$23,0)),"SIN CLASIFICAR")))</f>
        <v/>
      </c>
      <c r="W237" s="24">
        <f>IF($H237="","",IF(IFERROR(INDEX('CAT_ACTIVIDADES'!$F$4:$F$26,MATCH($H237,'CAT_ACTIVIDADES'!$A$4:$A$26,0)),"")=0,"",IFERROR(INDEX('CAT_ACTIVIDADES'!$F$4:$F$26,MATCH($H237,'CAT_ACTIVIDADES'!$A$4:$A$26,0)),"")))</f>
        <v/>
      </c>
      <c r="X237" s="24">
        <f>IF($F237="","",IFERROR(INDEX('CAT_CENTROS_COSTO'!$F$4:$F$28,MATCH($F237,'CAT_CENTROS_COSTO'!$A$4:$A$28,0)),"(sin catálogo)"))</f>
        <v/>
      </c>
      <c r="Y237" s="24">
        <f>IF($F237="","",IFERROR(INDEX('CAT_CENTROS_COSTO'!$D$4:$D$28,MATCH($F237,'CAT_CENTROS_COSTO'!$A$4:$A$28,0)),"(sin catálogo)"))</f>
        <v/>
      </c>
      <c r="Z237" s="24">
        <f>IF($F237="","",IF((IFERROR(INDEX('CAT_CENTROS_COSTO'!$E$4:$E$28,MATCH($F237,'CAT_CENTROS_COSTO'!$A$4:$A$28,0)),""))&lt;&gt;"",IFERROR(INDEX('CAT_CENTROS_COSTO'!$E$4:$E$28,MATCH($F237,'CAT_CENTROS_COSTO'!$A$4:$A$28,0)),""),$Y237))</f>
        <v/>
      </c>
      <c r="AA237" s="24">
        <f>IF($F237="","",IFERROR(INDEX('CAT_CENTROS_COSTO'!$G$4:$G$28,MATCH($F237,'CAT_CENTROS_COSTO'!$A$4:$A$28,0)),"(sin catálogo)"))</f>
        <v/>
      </c>
      <c r="AB237" s="24">
        <f>IF($G237="","",IFERROR(INDEX('CAT_PUESTOS'!$B$4:$B$23,MATCH($G237,'CAT_PUESTOS'!$A$4:$A$23,0)),"(sin catálogo)"))</f>
        <v/>
      </c>
      <c r="AC237" s="24">
        <f>IF($H237="","",IFERROR(INDEX('CAT_ACTIVIDADES'!$B$4:$B$26,MATCH($H237,'CAT_ACTIVIDADES'!$A$4:$A$26,0)),"(sin catálogo)"))</f>
        <v/>
      </c>
      <c r="AD237" s="26">
        <f>IF($J237="","",TODAY()-$J237)</f>
        <v/>
      </c>
      <c r="AE237" s="26">
        <f>IF($J237="","",IF($J237&lt;=TODAY(),COUNTIFS(cal_fechas,"&gt;="&amp;$J237,cal_fechas,"&lt;"&amp;TODAY(),cal_habil,"sí"),-COUNTIFS(cal_fechas,"&gt;="&amp;TODAY(),cal_fechas,"&lt;"&amp;$J237,cal_habil,"sí")))</f>
        <v/>
      </c>
      <c r="AF237" s="24">
        <f>IF($AE237="","",IF($AE237&lt;0,"FUTURO",IF($AE237&gt;p_dias_backlog_max,"BACKLOG","MES CORRIENTE")))</f>
        <v/>
      </c>
      <c r="AG237" s="24">
        <f>IF($AE237="",FALSE,AND($AE237&gt;p_dias_backlog_min,$AE237&lt;=p_dias_backlog_max))</f>
        <v/>
      </c>
      <c r="AH237" s="4" t="n"/>
      <c r="AI237" s="24">
        <f>IF($AH237="","",IF((IFERROR(INDEX('ASIGNACIONES'!$J$4:$J$451,MATCH($O237&amp;"|"&amp;$S237&amp;"|"&amp;$AH237,'ASIGNACIONES'!$N$4:$N$451,0)),""))=0,"",IFERROR(INDEX('ASIGNACIONES'!$J$4:$J$451,MATCH($O237&amp;"|"&amp;$S237&amp;"|"&amp;$AH237,'ASIGNACIONES'!$N$4:$N$451,0)),"")))</f>
        <v/>
      </c>
      <c r="AJ237" s="42">
        <f>IF($AH237="","",SUMIFS('ORDENES'!$M$4:$M$1203,'ORDENES'!$AH$4:$AH$1203,$AH237,'ORDENES'!$O$4:$O$1203,$O237,'ORDENES'!$S$4:$S$1203,$S237))</f>
        <v/>
      </c>
      <c r="AK237" s="42">
        <f>IF($AJ237="","",p_factor_productividad*IFERROR(INDEX('ASIGNACIONES'!$M$4:$M$451,MATCH($O237&amp;"|"&amp;$S237&amp;"|"&amp;$AH237,'ASIGNACIONES'!$N$4:$N$451,0)),0)-$AJ237)</f>
        <v/>
      </c>
      <c r="AL237" s="32">
        <f>IF($A237="","",IFERROR(INDEX('2_IMPORTAR_EJECUCION'!$F$9:$F$1208,MATCH($AU237,'2_IMPORTAR_EJECUCION'!$J$9:$J$1208,0)),0))</f>
        <v/>
      </c>
      <c r="AM237" s="32">
        <f>IF($A237="","",MAX(0,IFERROR(INDEX('2_IMPORTAR_EJECUCION'!$H$9:$H$1208,MATCH($AU237,'2_IMPORTAR_EJECUCION'!$J$9:$J$1208,0)),0)-$AL237))</f>
        <v/>
      </c>
      <c r="AN237" s="32">
        <f>IF($A237="","",$AL237+$AM237)</f>
        <v/>
      </c>
      <c r="AO237" s="24">
        <f>IF($A237="","",IF(OR((IFERROR(INDEX('CAT_ACTIVIDADES'!$D$4:$D$26,MATCH($H237,'CAT_ACTIVIDADES'!$A$4:$A$26,0)),""))=0,(IFERROR(INDEX('CAT_ACTIVIDADES'!$D$4:$D$26,MATCH($H237,'CAT_ACTIVIDADES'!$A$4:$A$26,0)),""))=""),"SIN CLASIFICAR",IFERROR(INDEX('CAT_ACTIVIDADES'!$D$4:$D$26,MATCH($H237,'CAT_ACTIVIDADES'!$A$4:$A$26,0)),"")))</f>
        <v/>
      </c>
      <c r="AP237" s="4" t="n"/>
      <c r="AQ237" s="4" t="n"/>
      <c r="AR237" s="4" t="n"/>
      <c r="AS237" s="24">
        <f>IF($AR237="","",HYPERLINK(p_ruta_base_checklists&amp;$AR237,"abrir"))</f>
        <v/>
      </c>
      <c r="AT237" s="4" t="n"/>
      <c r="AU237" s="24">
        <f>IF($A237="","",$A237&amp;IF($B237="","0010",$B237))</f>
        <v/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41" t="n"/>
      <c r="K238" s="5" t="n"/>
      <c r="L238" s="18" t="n"/>
      <c r="M238" s="24">
        <f>IF($A238="","",IFERROR(INDEX('AJUSTES'!$B$4:$B$303,MATCH($AU238,'AJUSTES'!$A$4:$A$303,0)),IF($K238="","",$K238)))</f>
        <v/>
      </c>
      <c r="N238" s="24">
        <f>IF($A238="","",IFERROR(INDEX('CAT_ESTADOS_ERP'!$B$4:$B$22,MATCH(IFERROR(INDEX('2_IMPORTAR_EJECUCION'!$C$9:$C$1208,MATCH($AU238,'2_IMPORTAR_EJECUCION'!$J$9:$J$1208,0)),""),'CAT_ESTADOS_ERP'!$A$4:$A$22,0)),"Pendiente"))</f>
        <v/>
      </c>
      <c r="O238" s="24">
        <f>IF($J238="","",YEAR($J238+4-WEEKDAY($J238,2))&amp;"-S"&amp;TEXT(_xlfn.ISOWEEKNUM($J238),"00"))</f>
        <v/>
      </c>
      <c r="P238" s="24">
        <f>IF($J238="","",YEAR($J238))</f>
        <v/>
      </c>
      <c r="Q238" s="24">
        <f>IF($J238="","",MONTH($J238))</f>
        <v/>
      </c>
      <c r="R238" s="24">
        <f>IF($J238="","",$P238&amp;"-"&amp;TEXT($Q238,"00"))</f>
        <v/>
      </c>
      <c r="S238" s="24">
        <f>IF($J238="","",INDEX(lista_dias,WEEKDAY($J238,2)))</f>
        <v/>
      </c>
      <c r="T238" s="24">
        <f>IF($J238="","",IFERROR(INDEX('CALENDARIO'!$C$15:$C$214,MATCH(TEXT($J238,"yyyy-mm-dd")&amp;"|"&amp;$Y238&amp;"|"&amp;$Z238,'CALENDARIO'!$G$15:$G$214,0)),IFERROR(INDEX('CALENDARIO'!$C$15:$C$214,MATCH(TEXT($J238,"yyyy-mm-dd")&amp;"|"&amp;$Y238&amp;"|",'CALENDARIO'!$G$15:$G$214,0)),IFERROR(INDEX('CALENDARIO'!$C$15:$C$214,MATCH(TEXT($J238,"yyyy-mm-dd")&amp;"||",'CALENDARIO'!$G$15:$G$214,0)),INDEX(patronHabil,WEEKDAY($J238,2))))))</f>
        <v/>
      </c>
      <c r="U238" s="24">
        <f>IF($I238="","",IFERROR(INDEX('CAT_TIPOS_OT'!$C$4:$C$23,MATCH($I238,'CAT_TIPOS_OT'!$A$4:$A$23,0)),"sin_clasificar"))</f>
        <v/>
      </c>
      <c r="V238" s="24">
        <f>IF($I238="","",IF(IFERROR(INDEX('CAT_TIPOS_OT'!$D$4:$D$23,MATCH($I238,'CAT_TIPOS_OT'!$A$4:$A$23,0)),"SIN CLASIFICAR")="","SIN CLASIFICAR",IFERROR(INDEX('CAT_TIPOS_OT'!$D$4:$D$23,MATCH($I238,'CAT_TIPOS_OT'!$A$4:$A$23,0)),"SIN CLASIFICAR")))</f>
        <v/>
      </c>
      <c r="W238" s="24">
        <f>IF($H238="","",IF(IFERROR(INDEX('CAT_ACTIVIDADES'!$F$4:$F$26,MATCH($H238,'CAT_ACTIVIDADES'!$A$4:$A$26,0)),"")=0,"",IFERROR(INDEX('CAT_ACTIVIDADES'!$F$4:$F$26,MATCH($H238,'CAT_ACTIVIDADES'!$A$4:$A$26,0)),"")))</f>
        <v/>
      </c>
      <c r="X238" s="24">
        <f>IF($F238="","",IFERROR(INDEX('CAT_CENTROS_COSTO'!$F$4:$F$28,MATCH($F238,'CAT_CENTROS_COSTO'!$A$4:$A$28,0)),"(sin catálogo)"))</f>
        <v/>
      </c>
      <c r="Y238" s="24">
        <f>IF($F238="","",IFERROR(INDEX('CAT_CENTROS_COSTO'!$D$4:$D$28,MATCH($F238,'CAT_CENTROS_COSTO'!$A$4:$A$28,0)),"(sin catálogo)"))</f>
        <v/>
      </c>
      <c r="Z238" s="24">
        <f>IF($F238="","",IF((IFERROR(INDEX('CAT_CENTROS_COSTO'!$E$4:$E$28,MATCH($F238,'CAT_CENTROS_COSTO'!$A$4:$A$28,0)),""))&lt;&gt;"",IFERROR(INDEX('CAT_CENTROS_COSTO'!$E$4:$E$28,MATCH($F238,'CAT_CENTROS_COSTO'!$A$4:$A$28,0)),""),$Y238))</f>
        <v/>
      </c>
      <c r="AA238" s="24">
        <f>IF($F238="","",IFERROR(INDEX('CAT_CENTROS_COSTO'!$G$4:$G$28,MATCH($F238,'CAT_CENTROS_COSTO'!$A$4:$A$28,0)),"(sin catálogo)"))</f>
        <v/>
      </c>
      <c r="AB238" s="24">
        <f>IF($G238="","",IFERROR(INDEX('CAT_PUESTOS'!$B$4:$B$23,MATCH($G238,'CAT_PUESTOS'!$A$4:$A$23,0)),"(sin catálogo)"))</f>
        <v/>
      </c>
      <c r="AC238" s="24">
        <f>IF($H238="","",IFERROR(INDEX('CAT_ACTIVIDADES'!$B$4:$B$26,MATCH($H238,'CAT_ACTIVIDADES'!$A$4:$A$26,0)),"(sin catálogo)"))</f>
        <v/>
      </c>
      <c r="AD238" s="26">
        <f>IF($J238="","",TODAY()-$J238)</f>
        <v/>
      </c>
      <c r="AE238" s="26">
        <f>IF($J238="","",IF($J238&lt;=TODAY(),COUNTIFS(cal_fechas,"&gt;="&amp;$J238,cal_fechas,"&lt;"&amp;TODAY(),cal_habil,"sí"),-COUNTIFS(cal_fechas,"&gt;="&amp;TODAY(),cal_fechas,"&lt;"&amp;$J238,cal_habil,"sí")))</f>
        <v/>
      </c>
      <c r="AF238" s="24">
        <f>IF($AE238="","",IF($AE238&lt;0,"FUTURO",IF($AE238&gt;p_dias_backlog_max,"BACKLOG","MES CORRIENTE")))</f>
        <v/>
      </c>
      <c r="AG238" s="24">
        <f>IF($AE238="",FALSE,AND($AE238&gt;p_dias_backlog_min,$AE238&lt;=p_dias_backlog_max))</f>
        <v/>
      </c>
      <c r="AH238" s="4" t="n"/>
      <c r="AI238" s="24">
        <f>IF($AH238="","",IF((IFERROR(INDEX('ASIGNACIONES'!$J$4:$J$451,MATCH($O238&amp;"|"&amp;$S238&amp;"|"&amp;$AH238,'ASIGNACIONES'!$N$4:$N$451,0)),""))=0,"",IFERROR(INDEX('ASIGNACIONES'!$J$4:$J$451,MATCH($O238&amp;"|"&amp;$S238&amp;"|"&amp;$AH238,'ASIGNACIONES'!$N$4:$N$451,0)),"")))</f>
        <v/>
      </c>
      <c r="AJ238" s="42">
        <f>IF($AH238="","",SUMIFS('ORDENES'!$M$4:$M$1203,'ORDENES'!$AH$4:$AH$1203,$AH238,'ORDENES'!$O$4:$O$1203,$O238,'ORDENES'!$S$4:$S$1203,$S238))</f>
        <v/>
      </c>
      <c r="AK238" s="42">
        <f>IF($AJ238="","",p_factor_productividad*IFERROR(INDEX('ASIGNACIONES'!$M$4:$M$451,MATCH($O238&amp;"|"&amp;$S238&amp;"|"&amp;$AH238,'ASIGNACIONES'!$N$4:$N$451,0)),0)-$AJ238)</f>
        <v/>
      </c>
      <c r="AL238" s="32">
        <f>IF($A238="","",IFERROR(INDEX('2_IMPORTAR_EJECUCION'!$F$9:$F$1208,MATCH($AU238,'2_IMPORTAR_EJECUCION'!$J$9:$J$1208,0)),0))</f>
        <v/>
      </c>
      <c r="AM238" s="32">
        <f>IF($A238="","",MAX(0,IFERROR(INDEX('2_IMPORTAR_EJECUCION'!$H$9:$H$1208,MATCH($AU238,'2_IMPORTAR_EJECUCION'!$J$9:$J$1208,0)),0)-$AL238))</f>
        <v/>
      </c>
      <c r="AN238" s="32">
        <f>IF($A238="","",$AL238+$AM238)</f>
        <v/>
      </c>
      <c r="AO238" s="24">
        <f>IF($A238="","",IF(OR((IFERROR(INDEX('CAT_ACTIVIDADES'!$D$4:$D$26,MATCH($H238,'CAT_ACTIVIDADES'!$A$4:$A$26,0)),""))=0,(IFERROR(INDEX('CAT_ACTIVIDADES'!$D$4:$D$26,MATCH($H238,'CAT_ACTIVIDADES'!$A$4:$A$26,0)),""))=""),"SIN CLASIFICAR",IFERROR(INDEX('CAT_ACTIVIDADES'!$D$4:$D$26,MATCH($H238,'CAT_ACTIVIDADES'!$A$4:$A$26,0)),"")))</f>
        <v/>
      </c>
      <c r="AP238" s="4" t="n"/>
      <c r="AQ238" s="4" t="n"/>
      <c r="AR238" s="4" t="n"/>
      <c r="AS238" s="24">
        <f>IF($AR238="","",HYPERLINK(p_ruta_base_checklists&amp;$AR238,"abrir"))</f>
        <v/>
      </c>
      <c r="AT238" s="4" t="n"/>
      <c r="AU238" s="24">
        <f>IF($A238="","",$A238&amp;IF($B238="","0010",$B238))</f>
        <v/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41" t="n"/>
      <c r="K239" s="5" t="n"/>
      <c r="L239" s="18" t="n"/>
      <c r="M239" s="24">
        <f>IF($A239="","",IFERROR(INDEX('AJUSTES'!$B$4:$B$303,MATCH($AU239,'AJUSTES'!$A$4:$A$303,0)),IF($K239="","",$K239)))</f>
        <v/>
      </c>
      <c r="N239" s="24">
        <f>IF($A239="","",IFERROR(INDEX('CAT_ESTADOS_ERP'!$B$4:$B$22,MATCH(IFERROR(INDEX('2_IMPORTAR_EJECUCION'!$C$9:$C$1208,MATCH($AU239,'2_IMPORTAR_EJECUCION'!$J$9:$J$1208,0)),""),'CAT_ESTADOS_ERP'!$A$4:$A$22,0)),"Pendiente"))</f>
        <v/>
      </c>
      <c r="O239" s="24">
        <f>IF($J239="","",YEAR($J239+4-WEEKDAY($J239,2))&amp;"-S"&amp;TEXT(_xlfn.ISOWEEKNUM($J239),"00"))</f>
        <v/>
      </c>
      <c r="P239" s="24">
        <f>IF($J239="","",YEAR($J239))</f>
        <v/>
      </c>
      <c r="Q239" s="24">
        <f>IF($J239="","",MONTH($J239))</f>
        <v/>
      </c>
      <c r="R239" s="24">
        <f>IF($J239="","",$P239&amp;"-"&amp;TEXT($Q239,"00"))</f>
        <v/>
      </c>
      <c r="S239" s="24">
        <f>IF($J239="","",INDEX(lista_dias,WEEKDAY($J239,2)))</f>
        <v/>
      </c>
      <c r="T239" s="24">
        <f>IF($J239="","",IFERROR(INDEX('CALENDARIO'!$C$15:$C$214,MATCH(TEXT($J239,"yyyy-mm-dd")&amp;"|"&amp;$Y239&amp;"|"&amp;$Z239,'CALENDARIO'!$G$15:$G$214,0)),IFERROR(INDEX('CALENDARIO'!$C$15:$C$214,MATCH(TEXT($J239,"yyyy-mm-dd")&amp;"|"&amp;$Y239&amp;"|",'CALENDARIO'!$G$15:$G$214,0)),IFERROR(INDEX('CALENDARIO'!$C$15:$C$214,MATCH(TEXT($J239,"yyyy-mm-dd")&amp;"||",'CALENDARIO'!$G$15:$G$214,0)),INDEX(patronHabil,WEEKDAY($J239,2))))))</f>
        <v/>
      </c>
      <c r="U239" s="24">
        <f>IF($I239="","",IFERROR(INDEX('CAT_TIPOS_OT'!$C$4:$C$23,MATCH($I239,'CAT_TIPOS_OT'!$A$4:$A$23,0)),"sin_clasificar"))</f>
        <v/>
      </c>
      <c r="V239" s="24">
        <f>IF($I239="","",IF(IFERROR(INDEX('CAT_TIPOS_OT'!$D$4:$D$23,MATCH($I239,'CAT_TIPOS_OT'!$A$4:$A$23,0)),"SIN CLASIFICAR")="","SIN CLASIFICAR",IFERROR(INDEX('CAT_TIPOS_OT'!$D$4:$D$23,MATCH($I239,'CAT_TIPOS_OT'!$A$4:$A$23,0)),"SIN CLASIFICAR")))</f>
        <v/>
      </c>
      <c r="W239" s="24">
        <f>IF($H239="","",IF(IFERROR(INDEX('CAT_ACTIVIDADES'!$F$4:$F$26,MATCH($H239,'CAT_ACTIVIDADES'!$A$4:$A$26,0)),"")=0,"",IFERROR(INDEX('CAT_ACTIVIDADES'!$F$4:$F$26,MATCH($H239,'CAT_ACTIVIDADES'!$A$4:$A$26,0)),"")))</f>
        <v/>
      </c>
      <c r="X239" s="24">
        <f>IF($F239="","",IFERROR(INDEX('CAT_CENTROS_COSTO'!$F$4:$F$28,MATCH($F239,'CAT_CENTROS_COSTO'!$A$4:$A$28,0)),"(sin catálogo)"))</f>
        <v/>
      </c>
      <c r="Y239" s="24">
        <f>IF($F239="","",IFERROR(INDEX('CAT_CENTROS_COSTO'!$D$4:$D$28,MATCH($F239,'CAT_CENTROS_COSTO'!$A$4:$A$28,0)),"(sin catálogo)"))</f>
        <v/>
      </c>
      <c r="Z239" s="24">
        <f>IF($F239="","",IF((IFERROR(INDEX('CAT_CENTROS_COSTO'!$E$4:$E$28,MATCH($F239,'CAT_CENTROS_COSTO'!$A$4:$A$28,0)),""))&lt;&gt;"",IFERROR(INDEX('CAT_CENTROS_COSTO'!$E$4:$E$28,MATCH($F239,'CAT_CENTROS_COSTO'!$A$4:$A$28,0)),""),$Y239))</f>
        <v/>
      </c>
      <c r="AA239" s="24">
        <f>IF($F239="","",IFERROR(INDEX('CAT_CENTROS_COSTO'!$G$4:$G$28,MATCH($F239,'CAT_CENTROS_COSTO'!$A$4:$A$28,0)),"(sin catálogo)"))</f>
        <v/>
      </c>
      <c r="AB239" s="24">
        <f>IF($G239="","",IFERROR(INDEX('CAT_PUESTOS'!$B$4:$B$23,MATCH($G239,'CAT_PUESTOS'!$A$4:$A$23,0)),"(sin catálogo)"))</f>
        <v/>
      </c>
      <c r="AC239" s="24">
        <f>IF($H239="","",IFERROR(INDEX('CAT_ACTIVIDADES'!$B$4:$B$26,MATCH($H239,'CAT_ACTIVIDADES'!$A$4:$A$26,0)),"(sin catálogo)"))</f>
        <v/>
      </c>
      <c r="AD239" s="26">
        <f>IF($J239="","",TODAY()-$J239)</f>
        <v/>
      </c>
      <c r="AE239" s="26">
        <f>IF($J239="","",IF($J239&lt;=TODAY(),COUNTIFS(cal_fechas,"&gt;="&amp;$J239,cal_fechas,"&lt;"&amp;TODAY(),cal_habil,"sí"),-COUNTIFS(cal_fechas,"&gt;="&amp;TODAY(),cal_fechas,"&lt;"&amp;$J239,cal_habil,"sí")))</f>
        <v/>
      </c>
      <c r="AF239" s="24">
        <f>IF($AE239="","",IF($AE239&lt;0,"FUTURO",IF($AE239&gt;p_dias_backlog_max,"BACKLOG","MES CORRIENTE")))</f>
        <v/>
      </c>
      <c r="AG239" s="24">
        <f>IF($AE239="",FALSE,AND($AE239&gt;p_dias_backlog_min,$AE239&lt;=p_dias_backlog_max))</f>
        <v/>
      </c>
      <c r="AH239" s="4" t="n"/>
      <c r="AI239" s="24">
        <f>IF($AH239="","",IF((IFERROR(INDEX('ASIGNACIONES'!$J$4:$J$451,MATCH($O239&amp;"|"&amp;$S239&amp;"|"&amp;$AH239,'ASIGNACIONES'!$N$4:$N$451,0)),""))=0,"",IFERROR(INDEX('ASIGNACIONES'!$J$4:$J$451,MATCH($O239&amp;"|"&amp;$S239&amp;"|"&amp;$AH239,'ASIGNACIONES'!$N$4:$N$451,0)),"")))</f>
        <v/>
      </c>
      <c r="AJ239" s="42">
        <f>IF($AH239="","",SUMIFS('ORDENES'!$M$4:$M$1203,'ORDENES'!$AH$4:$AH$1203,$AH239,'ORDENES'!$O$4:$O$1203,$O239,'ORDENES'!$S$4:$S$1203,$S239))</f>
        <v/>
      </c>
      <c r="AK239" s="42">
        <f>IF($AJ239="","",p_factor_productividad*IFERROR(INDEX('ASIGNACIONES'!$M$4:$M$451,MATCH($O239&amp;"|"&amp;$S239&amp;"|"&amp;$AH239,'ASIGNACIONES'!$N$4:$N$451,0)),0)-$AJ239)</f>
        <v/>
      </c>
      <c r="AL239" s="32">
        <f>IF($A239="","",IFERROR(INDEX('2_IMPORTAR_EJECUCION'!$F$9:$F$1208,MATCH($AU239,'2_IMPORTAR_EJECUCION'!$J$9:$J$1208,0)),0))</f>
        <v/>
      </c>
      <c r="AM239" s="32">
        <f>IF($A239="","",MAX(0,IFERROR(INDEX('2_IMPORTAR_EJECUCION'!$H$9:$H$1208,MATCH($AU239,'2_IMPORTAR_EJECUCION'!$J$9:$J$1208,0)),0)-$AL239))</f>
        <v/>
      </c>
      <c r="AN239" s="32">
        <f>IF($A239="","",$AL239+$AM239)</f>
        <v/>
      </c>
      <c r="AO239" s="24">
        <f>IF($A239="","",IF(OR((IFERROR(INDEX('CAT_ACTIVIDADES'!$D$4:$D$26,MATCH($H239,'CAT_ACTIVIDADES'!$A$4:$A$26,0)),""))=0,(IFERROR(INDEX('CAT_ACTIVIDADES'!$D$4:$D$26,MATCH($H239,'CAT_ACTIVIDADES'!$A$4:$A$26,0)),""))=""),"SIN CLASIFICAR",IFERROR(INDEX('CAT_ACTIVIDADES'!$D$4:$D$26,MATCH($H239,'CAT_ACTIVIDADES'!$A$4:$A$26,0)),"")))</f>
        <v/>
      </c>
      <c r="AP239" s="4" t="n"/>
      <c r="AQ239" s="4" t="n"/>
      <c r="AR239" s="4" t="n"/>
      <c r="AS239" s="24">
        <f>IF($AR239="","",HYPERLINK(p_ruta_base_checklists&amp;$AR239,"abrir"))</f>
        <v/>
      </c>
      <c r="AT239" s="4" t="n"/>
      <c r="AU239" s="24">
        <f>IF($A239="","",$A239&amp;IF($B239="","0010",$B239))</f>
        <v/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41" t="n"/>
      <c r="K240" s="5" t="n"/>
      <c r="L240" s="18" t="n"/>
      <c r="M240" s="24">
        <f>IF($A240="","",IFERROR(INDEX('AJUSTES'!$B$4:$B$303,MATCH($AU240,'AJUSTES'!$A$4:$A$303,0)),IF($K240="","",$K240)))</f>
        <v/>
      </c>
      <c r="N240" s="24">
        <f>IF($A240="","",IFERROR(INDEX('CAT_ESTADOS_ERP'!$B$4:$B$22,MATCH(IFERROR(INDEX('2_IMPORTAR_EJECUCION'!$C$9:$C$1208,MATCH($AU240,'2_IMPORTAR_EJECUCION'!$J$9:$J$1208,0)),""),'CAT_ESTADOS_ERP'!$A$4:$A$22,0)),"Pendiente"))</f>
        <v/>
      </c>
      <c r="O240" s="24">
        <f>IF($J240="","",YEAR($J240+4-WEEKDAY($J240,2))&amp;"-S"&amp;TEXT(_xlfn.ISOWEEKNUM($J240),"00"))</f>
        <v/>
      </c>
      <c r="P240" s="24">
        <f>IF($J240="","",YEAR($J240))</f>
        <v/>
      </c>
      <c r="Q240" s="24">
        <f>IF($J240="","",MONTH($J240))</f>
        <v/>
      </c>
      <c r="R240" s="24">
        <f>IF($J240="","",$P240&amp;"-"&amp;TEXT($Q240,"00"))</f>
        <v/>
      </c>
      <c r="S240" s="24">
        <f>IF($J240="","",INDEX(lista_dias,WEEKDAY($J240,2)))</f>
        <v/>
      </c>
      <c r="T240" s="24">
        <f>IF($J240="","",IFERROR(INDEX('CALENDARIO'!$C$15:$C$214,MATCH(TEXT($J240,"yyyy-mm-dd")&amp;"|"&amp;$Y240&amp;"|"&amp;$Z240,'CALENDARIO'!$G$15:$G$214,0)),IFERROR(INDEX('CALENDARIO'!$C$15:$C$214,MATCH(TEXT($J240,"yyyy-mm-dd")&amp;"|"&amp;$Y240&amp;"|",'CALENDARIO'!$G$15:$G$214,0)),IFERROR(INDEX('CALENDARIO'!$C$15:$C$214,MATCH(TEXT($J240,"yyyy-mm-dd")&amp;"||",'CALENDARIO'!$G$15:$G$214,0)),INDEX(patronHabil,WEEKDAY($J240,2))))))</f>
        <v/>
      </c>
      <c r="U240" s="24">
        <f>IF($I240="","",IFERROR(INDEX('CAT_TIPOS_OT'!$C$4:$C$23,MATCH($I240,'CAT_TIPOS_OT'!$A$4:$A$23,0)),"sin_clasificar"))</f>
        <v/>
      </c>
      <c r="V240" s="24">
        <f>IF($I240="","",IF(IFERROR(INDEX('CAT_TIPOS_OT'!$D$4:$D$23,MATCH($I240,'CAT_TIPOS_OT'!$A$4:$A$23,0)),"SIN CLASIFICAR")="","SIN CLASIFICAR",IFERROR(INDEX('CAT_TIPOS_OT'!$D$4:$D$23,MATCH($I240,'CAT_TIPOS_OT'!$A$4:$A$23,0)),"SIN CLASIFICAR")))</f>
        <v/>
      </c>
      <c r="W240" s="24">
        <f>IF($H240="","",IF(IFERROR(INDEX('CAT_ACTIVIDADES'!$F$4:$F$26,MATCH($H240,'CAT_ACTIVIDADES'!$A$4:$A$26,0)),"")=0,"",IFERROR(INDEX('CAT_ACTIVIDADES'!$F$4:$F$26,MATCH($H240,'CAT_ACTIVIDADES'!$A$4:$A$26,0)),"")))</f>
        <v/>
      </c>
      <c r="X240" s="24">
        <f>IF($F240="","",IFERROR(INDEX('CAT_CENTROS_COSTO'!$F$4:$F$28,MATCH($F240,'CAT_CENTROS_COSTO'!$A$4:$A$28,0)),"(sin catálogo)"))</f>
        <v/>
      </c>
      <c r="Y240" s="24">
        <f>IF($F240="","",IFERROR(INDEX('CAT_CENTROS_COSTO'!$D$4:$D$28,MATCH($F240,'CAT_CENTROS_COSTO'!$A$4:$A$28,0)),"(sin catálogo)"))</f>
        <v/>
      </c>
      <c r="Z240" s="24">
        <f>IF($F240="","",IF((IFERROR(INDEX('CAT_CENTROS_COSTO'!$E$4:$E$28,MATCH($F240,'CAT_CENTROS_COSTO'!$A$4:$A$28,0)),""))&lt;&gt;"",IFERROR(INDEX('CAT_CENTROS_COSTO'!$E$4:$E$28,MATCH($F240,'CAT_CENTROS_COSTO'!$A$4:$A$28,0)),""),$Y240))</f>
        <v/>
      </c>
      <c r="AA240" s="24">
        <f>IF($F240="","",IFERROR(INDEX('CAT_CENTROS_COSTO'!$G$4:$G$28,MATCH($F240,'CAT_CENTROS_COSTO'!$A$4:$A$28,0)),"(sin catálogo)"))</f>
        <v/>
      </c>
      <c r="AB240" s="24">
        <f>IF($G240="","",IFERROR(INDEX('CAT_PUESTOS'!$B$4:$B$23,MATCH($G240,'CAT_PUESTOS'!$A$4:$A$23,0)),"(sin catálogo)"))</f>
        <v/>
      </c>
      <c r="AC240" s="24">
        <f>IF($H240="","",IFERROR(INDEX('CAT_ACTIVIDADES'!$B$4:$B$26,MATCH($H240,'CAT_ACTIVIDADES'!$A$4:$A$26,0)),"(sin catálogo)"))</f>
        <v/>
      </c>
      <c r="AD240" s="26">
        <f>IF($J240="","",TODAY()-$J240)</f>
        <v/>
      </c>
      <c r="AE240" s="26">
        <f>IF($J240="","",IF($J240&lt;=TODAY(),COUNTIFS(cal_fechas,"&gt;="&amp;$J240,cal_fechas,"&lt;"&amp;TODAY(),cal_habil,"sí"),-COUNTIFS(cal_fechas,"&gt;="&amp;TODAY(),cal_fechas,"&lt;"&amp;$J240,cal_habil,"sí")))</f>
        <v/>
      </c>
      <c r="AF240" s="24">
        <f>IF($AE240="","",IF($AE240&lt;0,"FUTURO",IF($AE240&gt;p_dias_backlog_max,"BACKLOG","MES CORRIENTE")))</f>
        <v/>
      </c>
      <c r="AG240" s="24">
        <f>IF($AE240="",FALSE,AND($AE240&gt;p_dias_backlog_min,$AE240&lt;=p_dias_backlog_max))</f>
        <v/>
      </c>
      <c r="AH240" s="4" t="n"/>
      <c r="AI240" s="24">
        <f>IF($AH240="","",IF((IFERROR(INDEX('ASIGNACIONES'!$J$4:$J$451,MATCH($O240&amp;"|"&amp;$S240&amp;"|"&amp;$AH240,'ASIGNACIONES'!$N$4:$N$451,0)),""))=0,"",IFERROR(INDEX('ASIGNACIONES'!$J$4:$J$451,MATCH($O240&amp;"|"&amp;$S240&amp;"|"&amp;$AH240,'ASIGNACIONES'!$N$4:$N$451,0)),"")))</f>
        <v/>
      </c>
      <c r="AJ240" s="42">
        <f>IF($AH240="","",SUMIFS('ORDENES'!$M$4:$M$1203,'ORDENES'!$AH$4:$AH$1203,$AH240,'ORDENES'!$O$4:$O$1203,$O240,'ORDENES'!$S$4:$S$1203,$S240))</f>
        <v/>
      </c>
      <c r="AK240" s="42">
        <f>IF($AJ240="","",p_factor_productividad*IFERROR(INDEX('ASIGNACIONES'!$M$4:$M$451,MATCH($O240&amp;"|"&amp;$S240&amp;"|"&amp;$AH240,'ASIGNACIONES'!$N$4:$N$451,0)),0)-$AJ240)</f>
        <v/>
      </c>
      <c r="AL240" s="32">
        <f>IF($A240="","",IFERROR(INDEX('2_IMPORTAR_EJECUCION'!$F$9:$F$1208,MATCH($AU240,'2_IMPORTAR_EJECUCION'!$J$9:$J$1208,0)),0))</f>
        <v/>
      </c>
      <c r="AM240" s="32">
        <f>IF($A240="","",MAX(0,IFERROR(INDEX('2_IMPORTAR_EJECUCION'!$H$9:$H$1208,MATCH($AU240,'2_IMPORTAR_EJECUCION'!$J$9:$J$1208,0)),0)-$AL240))</f>
        <v/>
      </c>
      <c r="AN240" s="32">
        <f>IF($A240="","",$AL240+$AM240)</f>
        <v/>
      </c>
      <c r="AO240" s="24">
        <f>IF($A240="","",IF(OR((IFERROR(INDEX('CAT_ACTIVIDADES'!$D$4:$D$26,MATCH($H240,'CAT_ACTIVIDADES'!$A$4:$A$26,0)),""))=0,(IFERROR(INDEX('CAT_ACTIVIDADES'!$D$4:$D$26,MATCH($H240,'CAT_ACTIVIDADES'!$A$4:$A$26,0)),""))=""),"SIN CLASIFICAR",IFERROR(INDEX('CAT_ACTIVIDADES'!$D$4:$D$26,MATCH($H240,'CAT_ACTIVIDADES'!$A$4:$A$26,0)),"")))</f>
        <v/>
      </c>
      <c r="AP240" s="4" t="n"/>
      <c r="AQ240" s="4" t="n"/>
      <c r="AR240" s="4" t="n"/>
      <c r="AS240" s="24">
        <f>IF($AR240="","",HYPERLINK(p_ruta_base_checklists&amp;$AR240,"abrir"))</f>
        <v/>
      </c>
      <c r="AT240" s="4" t="n"/>
      <c r="AU240" s="24">
        <f>IF($A240="","",$A240&amp;IF($B240="","0010",$B240))</f>
        <v/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41" t="n"/>
      <c r="K241" s="5" t="n"/>
      <c r="L241" s="18" t="n"/>
      <c r="M241" s="24">
        <f>IF($A241="","",IFERROR(INDEX('AJUSTES'!$B$4:$B$303,MATCH($AU241,'AJUSTES'!$A$4:$A$303,0)),IF($K241="","",$K241)))</f>
        <v/>
      </c>
      <c r="N241" s="24">
        <f>IF($A241="","",IFERROR(INDEX('CAT_ESTADOS_ERP'!$B$4:$B$22,MATCH(IFERROR(INDEX('2_IMPORTAR_EJECUCION'!$C$9:$C$1208,MATCH($AU241,'2_IMPORTAR_EJECUCION'!$J$9:$J$1208,0)),""),'CAT_ESTADOS_ERP'!$A$4:$A$22,0)),"Pendiente"))</f>
        <v/>
      </c>
      <c r="O241" s="24">
        <f>IF($J241="","",YEAR($J241+4-WEEKDAY($J241,2))&amp;"-S"&amp;TEXT(_xlfn.ISOWEEKNUM($J241),"00"))</f>
        <v/>
      </c>
      <c r="P241" s="24">
        <f>IF($J241="","",YEAR($J241))</f>
        <v/>
      </c>
      <c r="Q241" s="24">
        <f>IF($J241="","",MONTH($J241))</f>
        <v/>
      </c>
      <c r="R241" s="24">
        <f>IF($J241="","",$P241&amp;"-"&amp;TEXT($Q241,"00"))</f>
        <v/>
      </c>
      <c r="S241" s="24">
        <f>IF($J241="","",INDEX(lista_dias,WEEKDAY($J241,2)))</f>
        <v/>
      </c>
      <c r="T241" s="24">
        <f>IF($J241="","",IFERROR(INDEX('CALENDARIO'!$C$15:$C$214,MATCH(TEXT($J241,"yyyy-mm-dd")&amp;"|"&amp;$Y241&amp;"|"&amp;$Z241,'CALENDARIO'!$G$15:$G$214,0)),IFERROR(INDEX('CALENDARIO'!$C$15:$C$214,MATCH(TEXT($J241,"yyyy-mm-dd")&amp;"|"&amp;$Y241&amp;"|",'CALENDARIO'!$G$15:$G$214,0)),IFERROR(INDEX('CALENDARIO'!$C$15:$C$214,MATCH(TEXT($J241,"yyyy-mm-dd")&amp;"||",'CALENDARIO'!$G$15:$G$214,0)),INDEX(patronHabil,WEEKDAY($J241,2))))))</f>
        <v/>
      </c>
      <c r="U241" s="24">
        <f>IF($I241="","",IFERROR(INDEX('CAT_TIPOS_OT'!$C$4:$C$23,MATCH($I241,'CAT_TIPOS_OT'!$A$4:$A$23,0)),"sin_clasificar"))</f>
        <v/>
      </c>
      <c r="V241" s="24">
        <f>IF($I241="","",IF(IFERROR(INDEX('CAT_TIPOS_OT'!$D$4:$D$23,MATCH($I241,'CAT_TIPOS_OT'!$A$4:$A$23,0)),"SIN CLASIFICAR")="","SIN CLASIFICAR",IFERROR(INDEX('CAT_TIPOS_OT'!$D$4:$D$23,MATCH($I241,'CAT_TIPOS_OT'!$A$4:$A$23,0)),"SIN CLASIFICAR")))</f>
        <v/>
      </c>
      <c r="W241" s="24">
        <f>IF($H241="","",IF(IFERROR(INDEX('CAT_ACTIVIDADES'!$F$4:$F$26,MATCH($H241,'CAT_ACTIVIDADES'!$A$4:$A$26,0)),"")=0,"",IFERROR(INDEX('CAT_ACTIVIDADES'!$F$4:$F$26,MATCH($H241,'CAT_ACTIVIDADES'!$A$4:$A$26,0)),"")))</f>
        <v/>
      </c>
      <c r="X241" s="24">
        <f>IF($F241="","",IFERROR(INDEX('CAT_CENTROS_COSTO'!$F$4:$F$28,MATCH($F241,'CAT_CENTROS_COSTO'!$A$4:$A$28,0)),"(sin catálogo)"))</f>
        <v/>
      </c>
      <c r="Y241" s="24">
        <f>IF($F241="","",IFERROR(INDEX('CAT_CENTROS_COSTO'!$D$4:$D$28,MATCH($F241,'CAT_CENTROS_COSTO'!$A$4:$A$28,0)),"(sin catálogo)"))</f>
        <v/>
      </c>
      <c r="Z241" s="24">
        <f>IF($F241="","",IF((IFERROR(INDEX('CAT_CENTROS_COSTO'!$E$4:$E$28,MATCH($F241,'CAT_CENTROS_COSTO'!$A$4:$A$28,0)),""))&lt;&gt;"",IFERROR(INDEX('CAT_CENTROS_COSTO'!$E$4:$E$28,MATCH($F241,'CAT_CENTROS_COSTO'!$A$4:$A$28,0)),""),$Y241))</f>
        <v/>
      </c>
      <c r="AA241" s="24">
        <f>IF($F241="","",IFERROR(INDEX('CAT_CENTROS_COSTO'!$G$4:$G$28,MATCH($F241,'CAT_CENTROS_COSTO'!$A$4:$A$28,0)),"(sin catálogo)"))</f>
        <v/>
      </c>
      <c r="AB241" s="24">
        <f>IF($G241="","",IFERROR(INDEX('CAT_PUESTOS'!$B$4:$B$23,MATCH($G241,'CAT_PUESTOS'!$A$4:$A$23,0)),"(sin catálogo)"))</f>
        <v/>
      </c>
      <c r="AC241" s="24">
        <f>IF($H241="","",IFERROR(INDEX('CAT_ACTIVIDADES'!$B$4:$B$26,MATCH($H241,'CAT_ACTIVIDADES'!$A$4:$A$26,0)),"(sin catálogo)"))</f>
        <v/>
      </c>
      <c r="AD241" s="26">
        <f>IF($J241="","",TODAY()-$J241)</f>
        <v/>
      </c>
      <c r="AE241" s="26">
        <f>IF($J241="","",IF($J241&lt;=TODAY(),COUNTIFS(cal_fechas,"&gt;="&amp;$J241,cal_fechas,"&lt;"&amp;TODAY(),cal_habil,"sí"),-COUNTIFS(cal_fechas,"&gt;="&amp;TODAY(),cal_fechas,"&lt;"&amp;$J241,cal_habil,"sí")))</f>
        <v/>
      </c>
      <c r="AF241" s="24">
        <f>IF($AE241="","",IF($AE241&lt;0,"FUTURO",IF($AE241&gt;p_dias_backlog_max,"BACKLOG","MES CORRIENTE")))</f>
        <v/>
      </c>
      <c r="AG241" s="24">
        <f>IF($AE241="",FALSE,AND($AE241&gt;p_dias_backlog_min,$AE241&lt;=p_dias_backlog_max))</f>
        <v/>
      </c>
      <c r="AH241" s="4" t="n"/>
      <c r="AI241" s="24">
        <f>IF($AH241="","",IF((IFERROR(INDEX('ASIGNACIONES'!$J$4:$J$451,MATCH($O241&amp;"|"&amp;$S241&amp;"|"&amp;$AH241,'ASIGNACIONES'!$N$4:$N$451,0)),""))=0,"",IFERROR(INDEX('ASIGNACIONES'!$J$4:$J$451,MATCH($O241&amp;"|"&amp;$S241&amp;"|"&amp;$AH241,'ASIGNACIONES'!$N$4:$N$451,0)),"")))</f>
        <v/>
      </c>
      <c r="AJ241" s="42">
        <f>IF($AH241="","",SUMIFS('ORDENES'!$M$4:$M$1203,'ORDENES'!$AH$4:$AH$1203,$AH241,'ORDENES'!$O$4:$O$1203,$O241,'ORDENES'!$S$4:$S$1203,$S241))</f>
        <v/>
      </c>
      <c r="AK241" s="42">
        <f>IF($AJ241="","",p_factor_productividad*IFERROR(INDEX('ASIGNACIONES'!$M$4:$M$451,MATCH($O241&amp;"|"&amp;$S241&amp;"|"&amp;$AH241,'ASIGNACIONES'!$N$4:$N$451,0)),0)-$AJ241)</f>
        <v/>
      </c>
      <c r="AL241" s="32">
        <f>IF($A241="","",IFERROR(INDEX('2_IMPORTAR_EJECUCION'!$F$9:$F$1208,MATCH($AU241,'2_IMPORTAR_EJECUCION'!$J$9:$J$1208,0)),0))</f>
        <v/>
      </c>
      <c r="AM241" s="32">
        <f>IF($A241="","",MAX(0,IFERROR(INDEX('2_IMPORTAR_EJECUCION'!$H$9:$H$1208,MATCH($AU241,'2_IMPORTAR_EJECUCION'!$J$9:$J$1208,0)),0)-$AL241))</f>
        <v/>
      </c>
      <c r="AN241" s="32">
        <f>IF($A241="","",$AL241+$AM241)</f>
        <v/>
      </c>
      <c r="AO241" s="24">
        <f>IF($A241="","",IF(OR((IFERROR(INDEX('CAT_ACTIVIDADES'!$D$4:$D$26,MATCH($H241,'CAT_ACTIVIDADES'!$A$4:$A$26,0)),""))=0,(IFERROR(INDEX('CAT_ACTIVIDADES'!$D$4:$D$26,MATCH($H241,'CAT_ACTIVIDADES'!$A$4:$A$26,0)),""))=""),"SIN CLASIFICAR",IFERROR(INDEX('CAT_ACTIVIDADES'!$D$4:$D$26,MATCH($H241,'CAT_ACTIVIDADES'!$A$4:$A$26,0)),"")))</f>
        <v/>
      </c>
      <c r="AP241" s="4" t="n"/>
      <c r="AQ241" s="4" t="n"/>
      <c r="AR241" s="4" t="n"/>
      <c r="AS241" s="24">
        <f>IF($AR241="","",HYPERLINK(p_ruta_base_checklists&amp;$AR241,"abrir"))</f>
        <v/>
      </c>
      <c r="AT241" s="4" t="n"/>
      <c r="AU241" s="24">
        <f>IF($A241="","",$A241&amp;IF($B241="","0010",$B241))</f>
        <v/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41" t="n"/>
      <c r="K242" s="5" t="n"/>
      <c r="L242" s="18" t="n"/>
      <c r="M242" s="24">
        <f>IF($A242="","",IFERROR(INDEX('AJUSTES'!$B$4:$B$303,MATCH($AU242,'AJUSTES'!$A$4:$A$303,0)),IF($K242="","",$K242)))</f>
        <v/>
      </c>
      <c r="N242" s="24">
        <f>IF($A242="","",IFERROR(INDEX('CAT_ESTADOS_ERP'!$B$4:$B$22,MATCH(IFERROR(INDEX('2_IMPORTAR_EJECUCION'!$C$9:$C$1208,MATCH($AU242,'2_IMPORTAR_EJECUCION'!$J$9:$J$1208,0)),""),'CAT_ESTADOS_ERP'!$A$4:$A$22,0)),"Pendiente"))</f>
        <v/>
      </c>
      <c r="O242" s="24">
        <f>IF($J242="","",YEAR($J242+4-WEEKDAY($J242,2))&amp;"-S"&amp;TEXT(_xlfn.ISOWEEKNUM($J242),"00"))</f>
        <v/>
      </c>
      <c r="P242" s="24">
        <f>IF($J242="","",YEAR($J242))</f>
        <v/>
      </c>
      <c r="Q242" s="24">
        <f>IF($J242="","",MONTH($J242))</f>
        <v/>
      </c>
      <c r="R242" s="24">
        <f>IF($J242="","",$P242&amp;"-"&amp;TEXT($Q242,"00"))</f>
        <v/>
      </c>
      <c r="S242" s="24">
        <f>IF($J242="","",INDEX(lista_dias,WEEKDAY($J242,2)))</f>
        <v/>
      </c>
      <c r="T242" s="24">
        <f>IF($J242="","",IFERROR(INDEX('CALENDARIO'!$C$15:$C$214,MATCH(TEXT($J242,"yyyy-mm-dd")&amp;"|"&amp;$Y242&amp;"|"&amp;$Z242,'CALENDARIO'!$G$15:$G$214,0)),IFERROR(INDEX('CALENDARIO'!$C$15:$C$214,MATCH(TEXT($J242,"yyyy-mm-dd")&amp;"|"&amp;$Y242&amp;"|",'CALENDARIO'!$G$15:$G$214,0)),IFERROR(INDEX('CALENDARIO'!$C$15:$C$214,MATCH(TEXT($J242,"yyyy-mm-dd")&amp;"||",'CALENDARIO'!$G$15:$G$214,0)),INDEX(patronHabil,WEEKDAY($J242,2))))))</f>
        <v/>
      </c>
      <c r="U242" s="24">
        <f>IF($I242="","",IFERROR(INDEX('CAT_TIPOS_OT'!$C$4:$C$23,MATCH($I242,'CAT_TIPOS_OT'!$A$4:$A$23,0)),"sin_clasificar"))</f>
        <v/>
      </c>
      <c r="V242" s="24">
        <f>IF($I242="","",IF(IFERROR(INDEX('CAT_TIPOS_OT'!$D$4:$D$23,MATCH($I242,'CAT_TIPOS_OT'!$A$4:$A$23,0)),"SIN CLASIFICAR")="","SIN CLASIFICAR",IFERROR(INDEX('CAT_TIPOS_OT'!$D$4:$D$23,MATCH($I242,'CAT_TIPOS_OT'!$A$4:$A$23,0)),"SIN CLASIFICAR")))</f>
        <v/>
      </c>
      <c r="W242" s="24">
        <f>IF($H242="","",IF(IFERROR(INDEX('CAT_ACTIVIDADES'!$F$4:$F$26,MATCH($H242,'CAT_ACTIVIDADES'!$A$4:$A$26,0)),"")=0,"",IFERROR(INDEX('CAT_ACTIVIDADES'!$F$4:$F$26,MATCH($H242,'CAT_ACTIVIDADES'!$A$4:$A$26,0)),"")))</f>
        <v/>
      </c>
      <c r="X242" s="24">
        <f>IF($F242="","",IFERROR(INDEX('CAT_CENTROS_COSTO'!$F$4:$F$28,MATCH($F242,'CAT_CENTROS_COSTO'!$A$4:$A$28,0)),"(sin catálogo)"))</f>
        <v/>
      </c>
      <c r="Y242" s="24">
        <f>IF($F242="","",IFERROR(INDEX('CAT_CENTROS_COSTO'!$D$4:$D$28,MATCH($F242,'CAT_CENTROS_COSTO'!$A$4:$A$28,0)),"(sin catálogo)"))</f>
        <v/>
      </c>
      <c r="Z242" s="24">
        <f>IF($F242="","",IF((IFERROR(INDEX('CAT_CENTROS_COSTO'!$E$4:$E$28,MATCH($F242,'CAT_CENTROS_COSTO'!$A$4:$A$28,0)),""))&lt;&gt;"",IFERROR(INDEX('CAT_CENTROS_COSTO'!$E$4:$E$28,MATCH($F242,'CAT_CENTROS_COSTO'!$A$4:$A$28,0)),""),$Y242))</f>
        <v/>
      </c>
      <c r="AA242" s="24">
        <f>IF($F242="","",IFERROR(INDEX('CAT_CENTROS_COSTO'!$G$4:$G$28,MATCH($F242,'CAT_CENTROS_COSTO'!$A$4:$A$28,0)),"(sin catálogo)"))</f>
        <v/>
      </c>
      <c r="AB242" s="24">
        <f>IF($G242="","",IFERROR(INDEX('CAT_PUESTOS'!$B$4:$B$23,MATCH($G242,'CAT_PUESTOS'!$A$4:$A$23,0)),"(sin catálogo)"))</f>
        <v/>
      </c>
      <c r="AC242" s="24">
        <f>IF($H242="","",IFERROR(INDEX('CAT_ACTIVIDADES'!$B$4:$B$26,MATCH($H242,'CAT_ACTIVIDADES'!$A$4:$A$26,0)),"(sin catálogo)"))</f>
        <v/>
      </c>
      <c r="AD242" s="26">
        <f>IF($J242="","",TODAY()-$J242)</f>
        <v/>
      </c>
      <c r="AE242" s="26">
        <f>IF($J242="","",IF($J242&lt;=TODAY(),COUNTIFS(cal_fechas,"&gt;="&amp;$J242,cal_fechas,"&lt;"&amp;TODAY(),cal_habil,"sí"),-COUNTIFS(cal_fechas,"&gt;="&amp;TODAY(),cal_fechas,"&lt;"&amp;$J242,cal_habil,"sí")))</f>
        <v/>
      </c>
      <c r="AF242" s="24">
        <f>IF($AE242="","",IF($AE242&lt;0,"FUTURO",IF($AE242&gt;p_dias_backlog_max,"BACKLOG","MES CORRIENTE")))</f>
        <v/>
      </c>
      <c r="AG242" s="24">
        <f>IF($AE242="",FALSE,AND($AE242&gt;p_dias_backlog_min,$AE242&lt;=p_dias_backlog_max))</f>
        <v/>
      </c>
      <c r="AH242" s="4" t="n"/>
      <c r="AI242" s="24">
        <f>IF($AH242="","",IF((IFERROR(INDEX('ASIGNACIONES'!$J$4:$J$451,MATCH($O242&amp;"|"&amp;$S242&amp;"|"&amp;$AH242,'ASIGNACIONES'!$N$4:$N$451,0)),""))=0,"",IFERROR(INDEX('ASIGNACIONES'!$J$4:$J$451,MATCH($O242&amp;"|"&amp;$S242&amp;"|"&amp;$AH242,'ASIGNACIONES'!$N$4:$N$451,0)),"")))</f>
        <v/>
      </c>
      <c r="AJ242" s="42">
        <f>IF($AH242="","",SUMIFS('ORDENES'!$M$4:$M$1203,'ORDENES'!$AH$4:$AH$1203,$AH242,'ORDENES'!$O$4:$O$1203,$O242,'ORDENES'!$S$4:$S$1203,$S242))</f>
        <v/>
      </c>
      <c r="AK242" s="42">
        <f>IF($AJ242="","",p_factor_productividad*IFERROR(INDEX('ASIGNACIONES'!$M$4:$M$451,MATCH($O242&amp;"|"&amp;$S242&amp;"|"&amp;$AH242,'ASIGNACIONES'!$N$4:$N$451,0)),0)-$AJ242)</f>
        <v/>
      </c>
      <c r="AL242" s="32">
        <f>IF($A242="","",IFERROR(INDEX('2_IMPORTAR_EJECUCION'!$F$9:$F$1208,MATCH($AU242,'2_IMPORTAR_EJECUCION'!$J$9:$J$1208,0)),0))</f>
        <v/>
      </c>
      <c r="AM242" s="32">
        <f>IF($A242="","",MAX(0,IFERROR(INDEX('2_IMPORTAR_EJECUCION'!$H$9:$H$1208,MATCH($AU242,'2_IMPORTAR_EJECUCION'!$J$9:$J$1208,0)),0)-$AL242))</f>
        <v/>
      </c>
      <c r="AN242" s="32">
        <f>IF($A242="","",$AL242+$AM242)</f>
        <v/>
      </c>
      <c r="AO242" s="24">
        <f>IF($A242="","",IF(OR((IFERROR(INDEX('CAT_ACTIVIDADES'!$D$4:$D$26,MATCH($H242,'CAT_ACTIVIDADES'!$A$4:$A$26,0)),""))=0,(IFERROR(INDEX('CAT_ACTIVIDADES'!$D$4:$D$26,MATCH($H242,'CAT_ACTIVIDADES'!$A$4:$A$26,0)),""))=""),"SIN CLASIFICAR",IFERROR(INDEX('CAT_ACTIVIDADES'!$D$4:$D$26,MATCH($H242,'CAT_ACTIVIDADES'!$A$4:$A$26,0)),"")))</f>
        <v/>
      </c>
      <c r="AP242" s="4" t="n"/>
      <c r="AQ242" s="4" t="n"/>
      <c r="AR242" s="4" t="n"/>
      <c r="AS242" s="24">
        <f>IF($AR242="","",HYPERLINK(p_ruta_base_checklists&amp;$AR242,"abrir"))</f>
        <v/>
      </c>
      <c r="AT242" s="4" t="n"/>
      <c r="AU242" s="24">
        <f>IF($A242="","",$A242&amp;IF($B242="","0010",$B242))</f>
        <v/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41" t="n"/>
      <c r="K243" s="5" t="n"/>
      <c r="L243" s="18" t="n"/>
      <c r="M243" s="24">
        <f>IF($A243="","",IFERROR(INDEX('AJUSTES'!$B$4:$B$303,MATCH($AU243,'AJUSTES'!$A$4:$A$303,0)),IF($K243="","",$K243)))</f>
        <v/>
      </c>
      <c r="N243" s="24">
        <f>IF($A243="","",IFERROR(INDEX('CAT_ESTADOS_ERP'!$B$4:$B$22,MATCH(IFERROR(INDEX('2_IMPORTAR_EJECUCION'!$C$9:$C$1208,MATCH($AU243,'2_IMPORTAR_EJECUCION'!$J$9:$J$1208,0)),""),'CAT_ESTADOS_ERP'!$A$4:$A$22,0)),"Pendiente"))</f>
        <v/>
      </c>
      <c r="O243" s="24">
        <f>IF($J243="","",YEAR($J243+4-WEEKDAY($J243,2))&amp;"-S"&amp;TEXT(_xlfn.ISOWEEKNUM($J243),"00"))</f>
        <v/>
      </c>
      <c r="P243" s="24">
        <f>IF($J243="","",YEAR($J243))</f>
        <v/>
      </c>
      <c r="Q243" s="24">
        <f>IF($J243="","",MONTH($J243))</f>
        <v/>
      </c>
      <c r="R243" s="24">
        <f>IF($J243="","",$P243&amp;"-"&amp;TEXT($Q243,"00"))</f>
        <v/>
      </c>
      <c r="S243" s="24">
        <f>IF($J243="","",INDEX(lista_dias,WEEKDAY($J243,2)))</f>
        <v/>
      </c>
      <c r="T243" s="24">
        <f>IF($J243="","",IFERROR(INDEX('CALENDARIO'!$C$15:$C$214,MATCH(TEXT($J243,"yyyy-mm-dd")&amp;"|"&amp;$Y243&amp;"|"&amp;$Z243,'CALENDARIO'!$G$15:$G$214,0)),IFERROR(INDEX('CALENDARIO'!$C$15:$C$214,MATCH(TEXT($J243,"yyyy-mm-dd")&amp;"|"&amp;$Y243&amp;"|",'CALENDARIO'!$G$15:$G$214,0)),IFERROR(INDEX('CALENDARIO'!$C$15:$C$214,MATCH(TEXT($J243,"yyyy-mm-dd")&amp;"||",'CALENDARIO'!$G$15:$G$214,0)),INDEX(patronHabil,WEEKDAY($J243,2))))))</f>
        <v/>
      </c>
      <c r="U243" s="24">
        <f>IF($I243="","",IFERROR(INDEX('CAT_TIPOS_OT'!$C$4:$C$23,MATCH($I243,'CAT_TIPOS_OT'!$A$4:$A$23,0)),"sin_clasificar"))</f>
        <v/>
      </c>
      <c r="V243" s="24">
        <f>IF($I243="","",IF(IFERROR(INDEX('CAT_TIPOS_OT'!$D$4:$D$23,MATCH($I243,'CAT_TIPOS_OT'!$A$4:$A$23,0)),"SIN CLASIFICAR")="","SIN CLASIFICAR",IFERROR(INDEX('CAT_TIPOS_OT'!$D$4:$D$23,MATCH($I243,'CAT_TIPOS_OT'!$A$4:$A$23,0)),"SIN CLASIFICAR")))</f>
        <v/>
      </c>
      <c r="W243" s="24">
        <f>IF($H243="","",IF(IFERROR(INDEX('CAT_ACTIVIDADES'!$F$4:$F$26,MATCH($H243,'CAT_ACTIVIDADES'!$A$4:$A$26,0)),"")=0,"",IFERROR(INDEX('CAT_ACTIVIDADES'!$F$4:$F$26,MATCH($H243,'CAT_ACTIVIDADES'!$A$4:$A$26,0)),"")))</f>
        <v/>
      </c>
      <c r="X243" s="24">
        <f>IF($F243="","",IFERROR(INDEX('CAT_CENTROS_COSTO'!$F$4:$F$28,MATCH($F243,'CAT_CENTROS_COSTO'!$A$4:$A$28,0)),"(sin catálogo)"))</f>
        <v/>
      </c>
      <c r="Y243" s="24">
        <f>IF($F243="","",IFERROR(INDEX('CAT_CENTROS_COSTO'!$D$4:$D$28,MATCH($F243,'CAT_CENTROS_COSTO'!$A$4:$A$28,0)),"(sin catálogo)"))</f>
        <v/>
      </c>
      <c r="Z243" s="24">
        <f>IF($F243="","",IF((IFERROR(INDEX('CAT_CENTROS_COSTO'!$E$4:$E$28,MATCH($F243,'CAT_CENTROS_COSTO'!$A$4:$A$28,0)),""))&lt;&gt;"",IFERROR(INDEX('CAT_CENTROS_COSTO'!$E$4:$E$28,MATCH($F243,'CAT_CENTROS_COSTO'!$A$4:$A$28,0)),""),$Y243))</f>
        <v/>
      </c>
      <c r="AA243" s="24">
        <f>IF($F243="","",IFERROR(INDEX('CAT_CENTROS_COSTO'!$G$4:$G$28,MATCH($F243,'CAT_CENTROS_COSTO'!$A$4:$A$28,0)),"(sin catálogo)"))</f>
        <v/>
      </c>
      <c r="AB243" s="24">
        <f>IF($G243="","",IFERROR(INDEX('CAT_PUESTOS'!$B$4:$B$23,MATCH($G243,'CAT_PUESTOS'!$A$4:$A$23,0)),"(sin catálogo)"))</f>
        <v/>
      </c>
      <c r="AC243" s="24">
        <f>IF($H243="","",IFERROR(INDEX('CAT_ACTIVIDADES'!$B$4:$B$26,MATCH($H243,'CAT_ACTIVIDADES'!$A$4:$A$26,0)),"(sin catálogo)"))</f>
        <v/>
      </c>
      <c r="AD243" s="26">
        <f>IF($J243="","",TODAY()-$J243)</f>
        <v/>
      </c>
      <c r="AE243" s="26">
        <f>IF($J243="","",IF($J243&lt;=TODAY(),COUNTIFS(cal_fechas,"&gt;="&amp;$J243,cal_fechas,"&lt;"&amp;TODAY(),cal_habil,"sí"),-COUNTIFS(cal_fechas,"&gt;="&amp;TODAY(),cal_fechas,"&lt;"&amp;$J243,cal_habil,"sí")))</f>
        <v/>
      </c>
      <c r="AF243" s="24">
        <f>IF($AE243="","",IF($AE243&lt;0,"FUTURO",IF($AE243&gt;p_dias_backlog_max,"BACKLOG","MES CORRIENTE")))</f>
        <v/>
      </c>
      <c r="AG243" s="24">
        <f>IF($AE243="",FALSE,AND($AE243&gt;p_dias_backlog_min,$AE243&lt;=p_dias_backlog_max))</f>
        <v/>
      </c>
      <c r="AH243" s="4" t="n"/>
      <c r="AI243" s="24">
        <f>IF($AH243="","",IF((IFERROR(INDEX('ASIGNACIONES'!$J$4:$J$451,MATCH($O243&amp;"|"&amp;$S243&amp;"|"&amp;$AH243,'ASIGNACIONES'!$N$4:$N$451,0)),""))=0,"",IFERROR(INDEX('ASIGNACIONES'!$J$4:$J$451,MATCH($O243&amp;"|"&amp;$S243&amp;"|"&amp;$AH243,'ASIGNACIONES'!$N$4:$N$451,0)),"")))</f>
        <v/>
      </c>
      <c r="AJ243" s="42">
        <f>IF($AH243="","",SUMIFS('ORDENES'!$M$4:$M$1203,'ORDENES'!$AH$4:$AH$1203,$AH243,'ORDENES'!$O$4:$O$1203,$O243,'ORDENES'!$S$4:$S$1203,$S243))</f>
        <v/>
      </c>
      <c r="AK243" s="42">
        <f>IF($AJ243="","",p_factor_productividad*IFERROR(INDEX('ASIGNACIONES'!$M$4:$M$451,MATCH($O243&amp;"|"&amp;$S243&amp;"|"&amp;$AH243,'ASIGNACIONES'!$N$4:$N$451,0)),0)-$AJ243)</f>
        <v/>
      </c>
      <c r="AL243" s="32">
        <f>IF($A243="","",IFERROR(INDEX('2_IMPORTAR_EJECUCION'!$F$9:$F$1208,MATCH($AU243,'2_IMPORTAR_EJECUCION'!$J$9:$J$1208,0)),0))</f>
        <v/>
      </c>
      <c r="AM243" s="32">
        <f>IF($A243="","",MAX(0,IFERROR(INDEX('2_IMPORTAR_EJECUCION'!$H$9:$H$1208,MATCH($AU243,'2_IMPORTAR_EJECUCION'!$J$9:$J$1208,0)),0)-$AL243))</f>
        <v/>
      </c>
      <c r="AN243" s="32">
        <f>IF($A243="","",$AL243+$AM243)</f>
        <v/>
      </c>
      <c r="AO243" s="24">
        <f>IF($A243="","",IF(OR((IFERROR(INDEX('CAT_ACTIVIDADES'!$D$4:$D$26,MATCH($H243,'CAT_ACTIVIDADES'!$A$4:$A$26,0)),""))=0,(IFERROR(INDEX('CAT_ACTIVIDADES'!$D$4:$D$26,MATCH($H243,'CAT_ACTIVIDADES'!$A$4:$A$26,0)),""))=""),"SIN CLASIFICAR",IFERROR(INDEX('CAT_ACTIVIDADES'!$D$4:$D$26,MATCH($H243,'CAT_ACTIVIDADES'!$A$4:$A$26,0)),"")))</f>
        <v/>
      </c>
      <c r="AP243" s="4" t="n"/>
      <c r="AQ243" s="4" t="n"/>
      <c r="AR243" s="4" t="n"/>
      <c r="AS243" s="24">
        <f>IF($AR243="","",HYPERLINK(p_ruta_base_checklists&amp;$AR243,"abrir"))</f>
        <v/>
      </c>
      <c r="AT243" s="4" t="n"/>
      <c r="AU243" s="24">
        <f>IF($A243="","",$A243&amp;IF($B243="","0010",$B243))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41" t="n"/>
      <c r="K244" s="5" t="n"/>
      <c r="L244" s="18" t="n"/>
      <c r="M244" s="24">
        <f>IF($A244="","",IFERROR(INDEX('AJUSTES'!$B$4:$B$303,MATCH($AU244,'AJUSTES'!$A$4:$A$303,0)),IF($K244="","",$K244)))</f>
        <v/>
      </c>
      <c r="N244" s="24">
        <f>IF($A244="","",IFERROR(INDEX('CAT_ESTADOS_ERP'!$B$4:$B$22,MATCH(IFERROR(INDEX('2_IMPORTAR_EJECUCION'!$C$9:$C$1208,MATCH($AU244,'2_IMPORTAR_EJECUCION'!$J$9:$J$1208,0)),""),'CAT_ESTADOS_ERP'!$A$4:$A$22,0)),"Pendiente"))</f>
        <v/>
      </c>
      <c r="O244" s="24">
        <f>IF($J244="","",YEAR($J244+4-WEEKDAY($J244,2))&amp;"-S"&amp;TEXT(_xlfn.ISOWEEKNUM($J244),"00"))</f>
        <v/>
      </c>
      <c r="P244" s="24">
        <f>IF($J244="","",YEAR($J244))</f>
        <v/>
      </c>
      <c r="Q244" s="24">
        <f>IF($J244="","",MONTH($J244))</f>
        <v/>
      </c>
      <c r="R244" s="24">
        <f>IF($J244="","",$P244&amp;"-"&amp;TEXT($Q244,"00"))</f>
        <v/>
      </c>
      <c r="S244" s="24">
        <f>IF($J244="","",INDEX(lista_dias,WEEKDAY($J244,2)))</f>
        <v/>
      </c>
      <c r="T244" s="24">
        <f>IF($J244="","",IFERROR(INDEX('CALENDARIO'!$C$15:$C$214,MATCH(TEXT($J244,"yyyy-mm-dd")&amp;"|"&amp;$Y244&amp;"|"&amp;$Z244,'CALENDARIO'!$G$15:$G$214,0)),IFERROR(INDEX('CALENDARIO'!$C$15:$C$214,MATCH(TEXT($J244,"yyyy-mm-dd")&amp;"|"&amp;$Y244&amp;"|",'CALENDARIO'!$G$15:$G$214,0)),IFERROR(INDEX('CALENDARIO'!$C$15:$C$214,MATCH(TEXT($J244,"yyyy-mm-dd")&amp;"||",'CALENDARIO'!$G$15:$G$214,0)),INDEX(patronHabil,WEEKDAY($J244,2))))))</f>
        <v/>
      </c>
      <c r="U244" s="24">
        <f>IF($I244="","",IFERROR(INDEX('CAT_TIPOS_OT'!$C$4:$C$23,MATCH($I244,'CAT_TIPOS_OT'!$A$4:$A$23,0)),"sin_clasificar"))</f>
        <v/>
      </c>
      <c r="V244" s="24">
        <f>IF($I244="","",IF(IFERROR(INDEX('CAT_TIPOS_OT'!$D$4:$D$23,MATCH($I244,'CAT_TIPOS_OT'!$A$4:$A$23,0)),"SIN CLASIFICAR")="","SIN CLASIFICAR",IFERROR(INDEX('CAT_TIPOS_OT'!$D$4:$D$23,MATCH($I244,'CAT_TIPOS_OT'!$A$4:$A$23,0)),"SIN CLASIFICAR")))</f>
        <v/>
      </c>
      <c r="W244" s="24">
        <f>IF($H244="","",IF(IFERROR(INDEX('CAT_ACTIVIDADES'!$F$4:$F$26,MATCH($H244,'CAT_ACTIVIDADES'!$A$4:$A$26,0)),"")=0,"",IFERROR(INDEX('CAT_ACTIVIDADES'!$F$4:$F$26,MATCH($H244,'CAT_ACTIVIDADES'!$A$4:$A$26,0)),"")))</f>
        <v/>
      </c>
      <c r="X244" s="24">
        <f>IF($F244="","",IFERROR(INDEX('CAT_CENTROS_COSTO'!$F$4:$F$28,MATCH($F244,'CAT_CENTROS_COSTO'!$A$4:$A$28,0)),"(sin catálogo)"))</f>
        <v/>
      </c>
      <c r="Y244" s="24">
        <f>IF($F244="","",IFERROR(INDEX('CAT_CENTROS_COSTO'!$D$4:$D$28,MATCH($F244,'CAT_CENTROS_COSTO'!$A$4:$A$28,0)),"(sin catálogo)"))</f>
        <v/>
      </c>
      <c r="Z244" s="24">
        <f>IF($F244="","",IF((IFERROR(INDEX('CAT_CENTROS_COSTO'!$E$4:$E$28,MATCH($F244,'CAT_CENTROS_COSTO'!$A$4:$A$28,0)),""))&lt;&gt;"",IFERROR(INDEX('CAT_CENTROS_COSTO'!$E$4:$E$28,MATCH($F244,'CAT_CENTROS_COSTO'!$A$4:$A$28,0)),""),$Y244))</f>
        <v/>
      </c>
      <c r="AA244" s="24">
        <f>IF($F244="","",IFERROR(INDEX('CAT_CENTROS_COSTO'!$G$4:$G$28,MATCH($F244,'CAT_CENTROS_COSTO'!$A$4:$A$28,0)),"(sin catálogo)"))</f>
        <v/>
      </c>
      <c r="AB244" s="24">
        <f>IF($G244="","",IFERROR(INDEX('CAT_PUESTOS'!$B$4:$B$23,MATCH($G244,'CAT_PUESTOS'!$A$4:$A$23,0)),"(sin catálogo)"))</f>
        <v/>
      </c>
      <c r="AC244" s="24">
        <f>IF($H244="","",IFERROR(INDEX('CAT_ACTIVIDADES'!$B$4:$B$26,MATCH($H244,'CAT_ACTIVIDADES'!$A$4:$A$26,0)),"(sin catálogo)"))</f>
        <v/>
      </c>
      <c r="AD244" s="26">
        <f>IF($J244="","",TODAY()-$J244)</f>
        <v/>
      </c>
      <c r="AE244" s="26">
        <f>IF($J244="","",IF($J244&lt;=TODAY(),COUNTIFS(cal_fechas,"&gt;="&amp;$J244,cal_fechas,"&lt;"&amp;TODAY(),cal_habil,"sí"),-COUNTIFS(cal_fechas,"&gt;="&amp;TODAY(),cal_fechas,"&lt;"&amp;$J244,cal_habil,"sí")))</f>
        <v/>
      </c>
      <c r="AF244" s="24">
        <f>IF($AE244="","",IF($AE244&lt;0,"FUTURO",IF($AE244&gt;p_dias_backlog_max,"BACKLOG","MES CORRIENTE")))</f>
        <v/>
      </c>
      <c r="AG244" s="24">
        <f>IF($AE244="",FALSE,AND($AE244&gt;p_dias_backlog_min,$AE244&lt;=p_dias_backlog_max))</f>
        <v/>
      </c>
      <c r="AH244" s="4" t="n"/>
      <c r="AI244" s="24">
        <f>IF($AH244="","",IF((IFERROR(INDEX('ASIGNACIONES'!$J$4:$J$451,MATCH($O244&amp;"|"&amp;$S244&amp;"|"&amp;$AH244,'ASIGNACIONES'!$N$4:$N$451,0)),""))=0,"",IFERROR(INDEX('ASIGNACIONES'!$J$4:$J$451,MATCH($O244&amp;"|"&amp;$S244&amp;"|"&amp;$AH244,'ASIGNACIONES'!$N$4:$N$451,0)),"")))</f>
        <v/>
      </c>
      <c r="AJ244" s="42">
        <f>IF($AH244="","",SUMIFS('ORDENES'!$M$4:$M$1203,'ORDENES'!$AH$4:$AH$1203,$AH244,'ORDENES'!$O$4:$O$1203,$O244,'ORDENES'!$S$4:$S$1203,$S244))</f>
        <v/>
      </c>
      <c r="AK244" s="42">
        <f>IF($AJ244="","",p_factor_productividad*IFERROR(INDEX('ASIGNACIONES'!$M$4:$M$451,MATCH($O244&amp;"|"&amp;$S244&amp;"|"&amp;$AH244,'ASIGNACIONES'!$N$4:$N$451,0)),0)-$AJ244)</f>
        <v/>
      </c>
      <c r="AL244" s="32">
        <f>IF($A244="","",IFERROR(INDEX('2_IMPORTAR_EJECUCION'!$F$9:$F$1208,MATCH($AU244,'2_IMPORTAR_EJECUCION'!$J$9:$J$1208,0)),0))</f>
        <v/>
      </c>
      <c r="AM244" s="32">
        <f>IF($A244="","",MAX(0,IFERROR(INDEX('2_IMPORTAR_EJECUCION'!$H$9:$H$1208,MATCH($AU244,'2_IMPORTAR_EJECUCION'!$J$9:$J$1208,0)),0)-$AL244))</f>
        <v/>
      </c>
      <c r="AN244" s="32">
        <f>IF($A244="","",$AL244+$AM244)</f>
        <v/>
      </c>
      <c r="AO244" s="24">
        <f>IF($A244="","",IF(OR((IFERROR(INDEX('CAT_ACTIVIDADES'!$D$4:$D$26,MATCH($H244,'CAT_ACTIVIDADES'!$A$4:$A$26,0)),""))=0,(IFERROR(INDEX('CAT_ACTIVIDADES'!$D$4:$D$26,MATCH($H244,'CAT_ACTIVIDADES'!$A$4:$A$26,0)),""))=""),"SIN CLASIFICAR",IFERROR(INDEX('CAT_ACTIVIDADES'!$D$4:$D$26,MATCH($H244,'CAT_ACTIVIDADES'!$A$4:$A$26,0)),"")))</f>
        <v/>
      </c>
      <c r="AP244" s="4" t="n"/>
      <c r="AQ244" s="4" t="n"/>
      <c r="AR244" s="4" t="n"/>
      <c r="AS244" s="24">
        <f>IF($AR244="","",HYPERLINK(p_ruta_base_checklists&amp;$AR244,"abrir"))</f>
        <v/>
      </c>
      <c r="AT244" s="4" t="n"/>
      <c r="AU244" s="24">
        <f>IF($A244="","",$A244&amp;IF($B244="","0010",$B244))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41" t="n"/>
      <c r="K245" s="5" t="n"/>
      <c r="L245" s="18" t="n"/>
      <c r="M245" s="24">
        <f>IF($A245="","",IFERROR(INDEX('AJUSTES'!$B$4:$B$303,MATCH($AU245,'AJUSTES'!$A$4:$A$303,0)),IF($K245="","",$K245)))</f>
        <v/>
      </c>
      <c r="N245" s="24">
        <f>IF($A245="","",IFERROR(INDEX('CAT_ESTADOS_ERP'!$B$4:$B$22,MATCH(IFERROR(INDEX('2_IMPORTAR_EJECUCION'!$C$9:$C$1208,MATCH($AU245,'2_IMPORTAR_EJECUCION'!$J$9:$J$1208,0)),""),'CAT_ESTADOS_ERP'!$A$4:$A$22,0)),"Pendiente"))</f>
        <v/>
      </c>
      <c r="O245" s="24">
        <f>IF($J245="","",YEAR($J245+4-WEEKDAY($J245,2))&amp;"-S"&amp;TEXT(_xlfn.ISOWEEKNUM($J245),"00"))</f>
        <v/>
      </c>
      <c r="P245" s="24">
        <f>IF($J245="","",YEAR($J245))</f>
        <v/>
      </c>
      <c r="Q245" s="24">
        <f>IF($J245="","",MONTH($J245))</f>
        <v/>
      </c>
      <c r="R245" s="24">
        <f>IF($J245="","",$P245&amp;"-"&amp;TEXT($Q245,"00"))</f>
        <v/>
      </c>
      <c r="S245" s="24">
        <f>IF($J245="","",INDEX(lista_dias,WEEKDAY($J245,2)))</f>
        <v/>
      </c>
      <c r="T245" s="24">
        <f>IF($J245="","",IFERROR(INDEX('CALENDARIO'!$C$15:$C$214,MATCH(TEXT($J245,"yyyy-mm-dd")&amp;"|"&amp;$Y245&amp;"|"&amp;$Z245,'CALENDARIO'!$G$15:$G$214,0)),IFERROR(INDEX('CALENDARIO'!$C$15:$C$214,MATCH(TEXT($J245,"yyyy-mm-dd")&amp;"|"&amp;$Y245&amp;"|",'CALENDARIO'!$G$15:$G$214,0)),IFERROR(INDEX('CALENDARIO'!$C$15:$C$214,MATCH(TEXT($J245,"yyyy-mm-dd")&amp;"||",'CALENDARIO'!$G$15:$G$214,0)),INDEX(patronHabil,WEEKDAY($J245,2))))))</f>
        <v/>
      </c>
      <c r="U245" s="24">
        <f>IF($I245="","",IFERROR(INDEX('CAT_TIPOS_OT'!$C$4:$C$23,MATCH($I245,'CAT_TIPOS_OT'!$A$4:$A$23,0)),"sin_clasificar"))</f>
        <v/>
      </c>
      <c r="V245" s="24">
        <f>IF($I245="","",IF(IFERROR(INDEX('CAT_TIPOS_OT'!$D$4:$D$23,MATCH($I245,'CAT_TIPOS_OT'!$A$4:$A$23,0)),"SIN CLASIFICAR")="","SIN CLASIFICAR",IFERROR(INDEX('CAT_TIPOS_OT'!$D$4:$D$23,MATCH($I245,'CAT_TIPOS_OT'!$A$4:$A$23,0)),"SIN CLASIFICAR")))</f>
        <v/>
      </c>
      <c r="W245" s="24">
        <f>IF($H245="","",IF(IFERROR(INDEX('CAT_ACTIVIDADES'!$F$4:$F$26,MATCH($H245,'CAT_ACTIVIDADES'!$A$4:$A$26,0)),"")=0,"",IFERROR(INDEX('CAT_ACTIVIDADES'!$F$4:$F$26,MATCH($H245,'CAT_ACTIVIDADES'!$A$4:$A$26,0)),"")))</f>
        <v/>
      </c>
      <c r="X245" s="24">
        <f>IF($F245="","",IFERROR(INDEX('CAT_CENTROS_COSTO'!$F$4:$F$28,MATCH($F245,'CAT_CENTROS_COSTO'!$A$4:$A$28,0)),"(sin catálogo)"))</f>
        <v/>
      </c>
      <c r="Y245" s="24">
        <f>IF($F245="","",IFERROR(INDEX('CAT_CENTROS_COSTO'!$D$4:$D$28,MATCH($F245,'CAT_CENTROS_COSTO'!$A$4:$A$28,0)),"(sin catálogo)"))</f>
        <v/>
      </c>
      <c r="Z245" s="24">
        <f>IF($F245="","",IF((IFERROR(INDEX('CAT_CENTROS_COSTO'!$E$4:$E$28,MATCH($F245,'CAT_CENTROS_COSTO'!$A$4:$A$28,0)),""))&lt;&gt;"",IFERROR(INDEX('CAT_CENTROS_COSTO'!$E$4:$E$28,MATCH($F245,'CAT_CENTROS_COSTO'!$A$4:$A$28,0)),""),$Y245))</f>
        <v/>
      </c>
      <c r="AA245" s="24">
        <f>IF($F245="","",IFERROR(INDEX('CAT_CENTROS_COSTO'!$G$4:$G$28,MATCH($F245,'CAT_CENTROS_COSTO'!$A$4:$A$28,0)),"(sin catálogo)"))</f>
        <v/>
      </c>
      <c r="AB245" s="24">
        <f>IF($G245="","",IFERROR(INDEX('CAT_PUESTOS'!$B$4:$B$23,MATCH($G245,'CAT_PUESTOS'!$A$4:$A$23,0)),"(sin catálogo)"))</f>
        <v/>
      </c>
      <c r="AC245" s="24">
        <f>IF($H245="","",IFERROR(INDEX('CAT_ACTIVIDADES'!$B$4:$B$26,MATCH($H245,'CAT_ACTIVIDADES'!$A$4:$A$26,0)),"(sin catálogo)"))</f>
        <v/>
      </c>
      <c r="AD245" s="26">
        <f>IF($J245="","",TODAY()-$J245)</f>
        <v/>
      </c>
      <c r="AE245" s="26">
        <f>IF($J245="","",IF($J245&lt;=TODAY(),COUNTIFS(cal_fechas,"&gt;="&amp;$J245,cal_fechas,"&lt;"&amp;TODAY(),cal_habil,"sí"),-COUNTIFS(cal_fechas,"&gt;="&amp;TODAY(),cal_fechas,"&lt;"&amp;$J245,cal_habil,"sí")))</f>
        <v/>
      </c>
      <c r="AF245" s="24">
        <f>IF($AE245="","",IF($AE245&lt;0,"FUTURO",IF($AE245&gt;p_dias_backlog_max,"BACKLOG","MES CORRIENTE")))</f>
        <v/>
      </c>
      <c r="AG245" s="24">
        <f>IF($AE245="",FALSE,AND($AE245&gt;p_dias_backlog_min,$AE245&lt;=p_dias_backlog_max))</f>
        <v/>
      </c>
      <c r="AH245" s="4" t="n"/>
      <c r="AI245" s="24">
        <f>IF($AH245="","",IF((IFERROR(INDEX('ASIGNACIONES'!$J$4:$J$451,MATCH($O245&amp;"|"&amp;$S245&amp;"|"&amp;$AH245,'ASIGNACIONES'!$N$4:$N$451,0)),""))=0,"",IFERROR(INDEX('ASIGNACIONES'!$J$4:$J$451,MATCH($O245&amp;"|"&amp;$S245&amp;"|"&amp;$AH245,'ASIGNACIONES'!$N$4:$N$451,0)),"")))</f>
        <v/>
      </c>
      <c r="AJ245" s="42">
        <f>IF($AH245="","",SUMIFS('ORDENES'!$M$4:$M$1203,'ORDENES'!$AH$4:$AH$1203,$AH245,'ORDENES'!$O$4:$O$1203,$O245,'ORDENES'!$S$4:$S$1203,$S245))</f>
        <v/>
      </c>
      <c r="AK245" s="42">
        <f>IF($AJ245="","",p_factor_productividad*IFERROR(INDEX('ASIGNACIONES'!$M$4:$M$451,MATCH($O245&amp;"|"&amp;$S245&amp;"|"&amp;$AH245,'ASIGNACIONES'!$N$4:$N$451,0)),0)-$AJ245)</f>
        <v/>
      </c>
      <c r="AL245" s="32">
        <f>IF($A245="","",IFERROR(INDEX('2_IMPORTAR_EJECUCION'!$F$9:$F$1208,MATCH($AU245,'2_IMPORTAR_EJECUCION'!$J$9:$J$1208,0)),0))</f>
        <v/>
      </c>
      <c r="AM245" s="32">
        <f>IF($A245="","",MAX(0,IFERROR(INDEX('2_IMPORTAR_EJECUCION'!$H$9:$H$1208,MATCH($AU245,'2_IMPORTAR_EJECUCION'!$J$9:$J$1208,0)),0)-$AL245))</f>
        <v/>
      </c>
      <c r="AN245" s="32">
        <f>IF($A245="","",$AL245+$AM245)</f>
        <v/>
      </c>
      <c r="AO245" s="24">
        <f>IF($A245="","",IF(OR((IFERROR(INDEX('CAT_ACTIVIDADES'!$D$4:$D$26,MATCH($H245,'CAT_ACTIVIDADES'!$A$4:$A$26,0)),""))=0,(IFERROR(INDEX('CAT_ACTIVIDADES'!$D$4:$D$26,MATCH($H245,'CAT_ACTIVIDADES'!$A$4:$A$26,0)),""))=""),"SIN CLASIFICAR",IFERROR(INDEX('CAT_ACTIVIDADES'!$D$4:$D$26,MATCH($H245,'CAT_ACTIVIDADES'!$A$4:$A$26,0)),"")))</f>
        <v/>
      </c>
      <c r="AP245" s="4" t="n"/>
      <c r="AQ245" s="4" t="n"/>
      <c r="AR245" s="4" t="n"/>
      <c r="AS245" s="24">
        <f>IF($AR245="","",HYPERLINK(p_ruta_base_checklists&amp;$AR245,"abrir"))</f>
        <v/>
      </c>
      <c r="AT245" s="4" t="n"/>
      <c r="AU245" s="24">
        <f>IF($A245="","",$A245&amp;IF($B245="","0010",$B245))</f>
        <v/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41" t="n"/>
      <c r="K246" s="5" t="n"/>
      <c r="L246" s="18" t="n"/>
      <c r="M246" s="24">
        <f>IF($A246="","",IFERROR(INDEX('AJUSTES'!$B$4:$B$303,MATCH($AU246,'AJUSTES'!$A$4:$A$303,0)),IF($K246="","",$K246)))</f>
        <v/>
      </c>
      <c r="N246" s="24">
        <f>IF($A246="","",IFERROR(INDEX('CAT_ESTADOS_ERP'!$B$4:$B$22,MATCH(IFERROR(INDEX('2_IMPORTAR_EJECUCION'!$C$9:$C$1208,MATCH($AU246,'2_IMPORTAR_EJECUCION'!$J$9:$J$1208,0)),""),'CAT_ESTADOS_ERP'!$A$4:$A$22,0)),"Pendiente"))</f>
        <v/>
      </c>
      <c r="O246" s="24">
        <f>IF($J246="","",YEAR($J246+4-WEEKDAY($J246,2))&amp;"-S"&amp;TEXT(_xlfn.ISOWEEKNUM($J246),"00"))</f>
        <v/>
      </c>
      <c r="P246" s="24">
        <f>IF($J246="","",YEAR($J246))</f>
        <v/>
      </c>
      <c r="Q246" s="24">
        <f>IF($J246="","",MONTH($J246))</f>
        <v/>
      </c>
      <c r="R246" s="24">
        <f>IF($J246="","",$P246&amp;"-"&amp;TEXT($Q246,"00"))</f>
        <v/>
      </c>
      <c r="S246" s="24">
        <f>IF($J246="","",INDEX(lista_dias,WEEKDAY($J246,2)))</f>
        <v/>
      </c>
      <c r="T246" s="24">
        <f>IF($J246="","",IFERROR(INDEX('CALENDARIO'!$C$15:$C$214,MATCH(TEXT($J246,"yyyy-mm-dd")&amp;"|"&amp;$Y246&amp;"|"&amp;$Z246,'CALENDARIO'!$G$15:$G$214,0)),IFERROR(INDEX('CALENDARIO'!$C$15:$C$214,MATCH(TEXT($J246,"yyyy-mm-dd")&amp;"|"&amp;$Y246&amp;"|",'CALENDARIO'!$G$15:$G$214,0)),IFERROR(INDEX('CALENDARIO'!$C$15:$C$214,MATCH(TEXT($J246,"yyyy-mm-dd")&amp;"||",'CALENDARIO'!$G$15:$G$214,0)),INDEX(patronHabil,WEEKDAY($J246,2))))))</f>
        <v/>
      </c>
      <c r="U246" s="24">
        <f>IF($I246="","",IFERROR(INDEX('CAT_TIPOS_OT'!$C$4:$C$23,MATCH($I246,'CAT_TIPOS_OT'!$A$4:$A$23,0)),"sin_clasificar"))</f>
        <v/>
      </c>
      <c r="V246" s="24">
        <f>IF($I246="","",IF(IFERROR(INDEX('CAT_TIPOS_OT'!$D$4:$D$23,MATCH($I246,'CAT_TIPOS_OT'!$A$4:$A$23,0)),"SIN CLASIFICAR")="","SIN CLASIFICAR",IFERROR(INDEX('CAT_TIPOS_OT'!$D$4:$D$23,MATCH($I246,'CAT_TIPOS_OT'!$A$4:$A$23,0)),"SIN CLASIFICAR")))</f>
        <v/>
      </c>
      <c r="W246" s="24">
        <f>IF($H246="","",IF(IFERROR(INDEX('CAT_ACTIVIDADES'!$F$4:$F$26,MATCH($H246,'CAT_ACTIVIDADES'!$A$4:$A$26,0)),"")=0,"",IFERROR(INDEX('CAT_ACTIVIDADES'!$F$4:$F$26,MATCH($H246,'CAT_ACTIVIDADES'!$A$4:$A$26,0)),"")))</f>
        <v/>
      </c>
      <c r="X246" s="24">
        <f>IF($F246="","",IFERROR(INDEX('CAT_CENTROS_COSTO'!$F$4:$F$28,MATCH($F246,'CAT_CENTROS_COSTO'!$A$4:$A$28,0)),"(sin catálogo)"))</f>
        <v/>
      </c>
      <c r="Y246" s="24">
        <f>IF($F246="","",IFERROR(INDEX('CAT_CENTROS_COSTO'!$D$4:$D$28,MATCH($F246,'CAT_CENTROS_COSTO'!$A$4:$A$28,0)),"(sin catálogo)"))</f>
        <v/>
      </c>
      <c r="Z246" s="24">
        <f>IF($F246="","",IF((IFERROR(INDEX('CAT_CENTROS_COSTO'!$E$4:$E$28,MATCH($F246,'CAT_CENTROS_COSTO'!$A$4:$A$28,0)),""))&lt;&gt;"",IFERROR(INDEX('CAT_CENTROS_COSTO'!$E$4:$E$28,MATCH($F246,'CAT_CENTROS_COSTO'!$A$4:$A$28,0)),""),$Y246))</f>
        <v/>
      </c>
      <c r="AA246" s="24">
        <f>IF($F246="","",IFERROR(INDEX('CAT_CENTROS_COSTO'!$G$4:$G$28,MATCH($F246,'CAT_CENTROS_COSTO'!$A$4:$A$28,0)),"(sin catálogo)"))</f>
        <v/>
      </c>
      <c r="AB246" s="24">
        <f>IF($G246="","",IFERROR(INDEX('CAT_PUESTOS'!$B$4:$B$23,MATCH($G246,'CAT_PUESTOS'!$A$4:$A$23,0)),"(sin catálogo)"))</f>
        <v/>
      </c>
      <c r="AC246" s="24">
        <f>IF($H246="","",IFERROR(INDEX('CAT_ACTIVIDADES'!$B$4:$B$26,MATCH($H246,'CAT_ACTIVIDADES'!$A$4:$A$26,0)),"(sin catálogo)"))</f>
        <v/>
      </c>
      <c r="AD246" s="26">
        <f>IF($J246="","",TODAY()-$J246)</f>
        <v/>
      </c>
      <c r="AE246" s="26">
        <f>IF($J246="","",IF($J246&lt;=TODAY(),COUNTIFS(cal_fechas,"&gt;="&amp;$J246,cal_fechas,"&lt;"&amp;TODAY(),cal_habil,"sí"),-COUNTIFS(cal_fechas,"&gt;="&amp;TODAY(),cal_fechas,"&lt;"&amp;$J246,cal_habil,"sí")))</f>
        <v/>
      </c>
      <c r="AF246" s="24">
        <f>IF($AE246="","",IF($AE246&lt;0,"FUTURO",IF($AE246&gt;p_dias_backlog_max,"BACKLOG","MES CORRIENTE")))</f>
        <v/>
      </c>
      <c r="AG246" s="24">
        <f>IF($AE246="",FALSE,AND($AE246&gt;p_dias_backlog_min,$AE246&lt;=p_dias_backlog_max))</f>
        <v/>
      </c>
      <c r="AH246" s="4" t="n"/>
      <c r="AI246" s="24">
        <f>IF($AH246="","",IF((IFERROR(INDEX('ASIGNACIONES'!$J$4:$J$451,MATCH($O246&amp;"|"&amp;$S246&amp;"|"&amp;$AH246,'ASIGNACIONES'!$N$4:$N$451,0)),""))=0,"",IFERROR(INDEX('ASIGNACIONES'!$J$4:$J$451,MATCH($O246&amp;"|"&amp;$S246&amp;"|"&amp;$AH246,'ASIGNACIONES'!$N$4:$N$451,0)),"")))</f>
        <v/>
      </c>
      <c r="AJ246" s="42">
        <f>IF($AH246="","",SUMIFS('ORDENES'!$M$4:$M$1203,'ORDENES'!$AH$4:$AH$1203,$AH246,'ORDENES'!$O$4:$O$1203,$O246,'ORDENES'!$S$4:$S$1203,$S246))</f>
        <v/>
      </c>
      <c r="AK246" s="42">
        <f>IF($AJ246="","",p_factor_productividad*IFERROR(INDEX('ASIGNACIONES'!$M$4:$M$451,MATCH($O246&amp;"|"&amp;$S246&amp;"|"&amp;$AH246,'ASIGNACIONES'!$N$4:$N$451,0)),0)-$AJ246)</f>
        <v/>
      </c>
      <c r="AL246" s="32">
        <f>IF($A246="","",IFERROR(INDEX('2_IMPORTAR_EJECUCION'!$F$9:$F$1208,MATCH($AU246,'2_IMPORTAR_EJECUCION'!$J$9:$J$1208,0)),0))</f>
        <v/>
      </c>
      <c r="AM246" s="32">
        <f>IF($A246="","",MAX(0,IFERROR(INDEX('2_IMPORTAR_EJECUCION'!$H$9:$H$1208,MATCH($AU246,'2_IMPORTAR_EJECUCION'!$J$9:$J$1208,0)),0)-$AL246))</f>
        <v/>
      </c>
      <c r="AN246" s="32">
        <f>IF($A246="","",$AL246+$AM246)</f>
        <v/>
      </c>
      <c r="AO246" s="24">
        <f>IF($A246="","",IF(OR((IFERROR(INDEX('CAT_ACTIVIDADES'!$D$4:$D$26,MATCH($H246,'CAT_ACTIVIDADES'!$A$4:$A$26,0)),""))=0,(IFERROR(INDEX('CAT_ACTIVIDADES'!$D$4:$D$26,MATCH($H246,'CAT_ACTIVIDADES'!$A$4:$A$26,0)),""))=""),"SIN CLASIFICAR",IFERROR(INDEX('CAT_ACTIVIDADES'!$D$4:$D$26,MATCH($H246,'CAT_ACTIVIDADES'!$A$4:$A$26,0)),"")))</f>
        <v/>
      </c>
      <c r="AP246" s="4" t="n"/>
      <c r="AQ246" s="4" t="n"/>
      <c r="AR246" s="4" t="n"/>
      <c r="AS246" s="24">
        <f>IF($AR246="","",HYPERLINK(p_ruta_base_checklists&amp;$AR246,"abrir"))</f>
        <v/>
      </c>
      <c r="AT246" s="4" t="n"/>
      <c r="AU246" s="24">
        <f>IF($A246="","",$A246&amp;IF($B246="","0010",$B246))</f>
        <v/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41" t="n"/>
      <c r="K247" s="5" t="n"/>
      <c r="L247" s="18" t="n"/>
      <c r="M247" s="24">
        <f>IF($A247="","",IFERROR(INDEX('AJUSTES'!$B$4:$B$303,MATCH($AU247,'AJUSTES'!$A$4:$A$303,0)),IF($K247="","",$K247)))</f>
        <v/>
      </c>
      <c r="N247" s="24">
        <f>IF($A247="","",IFERROR(INDEX('CAT_ESTADOS_ERP'!$B$4:$B$22,MATCH(IFERROR(INDEX('2_IMPORTAR_EJECUCION'!$C$9:$C$1208,MATCH($AU247,'2_IMPORTAR_EJECUCION'!$J$9:$J$1208,0)),""),'CAT_ESTADOS_ERP'!$A$4:$A$22,0)),"Pendiente"))</f>
        <v/>
      </c>
      <c r="O247" s="24">
        <f>IF($J247="","",YEAR($J247+4-WEEKDAY($J247,2))&amp;"-S"&amp;TEXT(_xlfn.ISOWEEKNUM($J247),"00"))</f>
        <v/>
      </c>
      <c r="P247" s="24">
        <f>IF($J247="","",YEAR($J247))</f>
        <v/>
      </c>
      <c r="Q247" s="24">
        <f>IF($J247="","",MONTH($J247))</f>
        <v/>
      </c>
      <c r="R247" s="24">
        <f>IF($J247="","",$P247&amp;"-"&amp;TEXT($Q247,"00"))</f>
        <v/>
      </c>
      <c r="S247" s="24">
        <f>IF($J247="","",INDEX(lista_dias,WEEKDAY($J247,2)))</f>
        <v/>
      </c>
      <c r="T247" s="24">
        <f>IF($J247="","",IFERROR(INDEX('CALENDARIO'!$C$15:$C$214,MATCH(TEXT($J247,"yyyy-mm-dd")&amp;"|"&amp;$Y247&amp;"|"&amp;$Z247,'CALENDARIO'!$G$15:$G$214,0)),IFERROR(INDEX('CALENDARIO'!$C$15:$C$214,MATCH(TEXT($J247,"yyyy-mm-dd")&amp;"|"&amp;$Y247&amp;"|",'CALENDARIO'!$G$15:$G$214,0)),IFERROR(INDEX('CALENDARIO'!$C$15:$C$214,MATCH(TEXT($J247,"yyyy-mm-dd")&amp;"||",'CALENDARIO'!$G$15:$G$214,0)),INDEX(patronHabil,WEEKDAY($J247,2))))))</f>
        <v/>
      </c>
      <c r="U247" s="24">
        <f>IF($I247="","",IFERROR(INDEX('CAT_TIPOS_OT'!$C$4:$C$23,MATCH($I247,'CAT_TIPOS_OT'!$A$4:$A$23,0)),"sin_clasificar"))</f>
        <v/>
      </c>
      <c r="V247" s="24">
        <f>IF($I247="","",IF(IFERROR(INDEX('CAT_TIPOS_OT'!$D$4:$D$23,MATCH($I247,'CAT_TIPOS_OT'!$A$4:$A$23,0)),"SIN CLASIFICAR")="","SIN CLASIFICAR",IFERROR(INDEX('CAT_TIPOS_OT'!$D$4:$D$23,MATCH($I247,'CAT_TIPOS_OT'!$A$4:$A$23,0)),"SIN CLASIFICAR")))</f>
        <v/>
      </c>
      <c r="W247" s="24">
        <f>IF($H247="","",IF(IFERROR(INDEX('CAT_ACTIVIDADES'!$F$4:$F$26,MATCH($H247,'CAT_ACTIVIDADES'!$A$4:$A$26,0)),"")=0,"",IFERROR(INDEX('CAT_ACTIVIDADES'!$F$4:$F$26,MATCH($H247,'CAT_ACTIVIDADES'!$A$4:$A$26,0)),"")))</f>
        <v/>
      </c>
      <c r="X247" s="24">
        <f>IF($F247="","",IFERROR(INDEX('CAT_CENTROS_COSTO'!$F$4:$F$28,MATCH($F247,'CAT_CENTROS_COSTO'!$A$4:$A$28,0)),"(sin catálogo)"))</f>
        <v/>
      </c>
      <c r="Y247" s="24">
        <f>IF($F247="","",IFERROR(INDEX('CAT_CENTROS_COSTO'!$D$4:$D$28,MATCH($F247,'CAT_CENTROS_COSTO'!$A$4:$A$28,0)),"(sin catálogo)"))</f>
        <v/>
      </c>
      <c r="Z247" s="24">
        <f>IF($F247="","",IF((IFERROR(INDEX('CAT_CENTROS_COSTO'!$E$4:$E$28,MATCH($F247,'CAT_CENTROS_COSTO'!$A$4:$A$28,0)),""))&lt;&gt;"",IFERROR(INDEX('CAT_CENTROS_COSTO'!$E$4:$E$28,MATCH($F247,'CAT_CENTROS_COSTO'!$A$4:$A$28,0)),""),$Y247))</f>
        <v/>
      </c>
      <c r="AA247" s="24">
        <f>IF($F247="","",IFERROR(INDEX('CAT_CENTROS_COSTO'!$G$4:$G$28,MATCH($F247,'CAT_CENTROS_COSTO'!$A$4:$A$28,0)),"(sin catálogo)"))</f>
        <v/>
      </c>
      <c r="AB247" s="24">
        <f>IF($G247="","",IFERROR(INDEX('CAT_PUESTOS'!$B$4:$B$23,MATCH($G247,'CAT_PUESTOS'!$A$4:$A$23,0)),"(sin catálogo)"))</f>
        <v/>
      </c>
      <c r="AC247" s="24">
        <f>IF($H247="","",IFERROR(INDEX('CAT_ACTIVIDADES'!$B$4:$B$26,MATCH($H247,'CAT_ACTIVIDADES'!$A$4:$A$26,0)),"(sin catálogo)"))</f>
        <v/>
      </c>
      <c r="AD247" s="26">
        <f>IF($J247="","",TODAY()-$J247)</f>
        <v/>
      </c>
      <c r="AE247" s="26">
        <f>IF($J247="","",IF($J247&lt;=TODAY(),COUNTIFS(cal_fechas,"&gt;="&amp;$J247,cal_fechas,"&lt;"&amp;TODAY(),cal_habil,"sí"),-COUNTIFS(cal_fechas,"&gt;="&amp;TODAY(),cal_fechas,"&lt;"&amp;$J247,cal_habil,"sí")))</f>
        <v/>
      </c>
      <c r="AF247" s="24">
        <f>IF($AE247="","",IF($AE247&lt;0,"FUTURO",IF($AE247&gt;p_dias_backlog_max,"BACKLOG","MES CORRIENTE")))</f>
        <v/>
      </c>
      <c r="AG247" s="24">
        <f>IF($AE247="",FALSE,AND($AE247&gt;p_dias_backlog_min,$AE247&lt;=p_dias_backlog_max))</f>
        <v/>
      </c>
      <c r="AH247" s="4" t="n"/>
      <c r="AI247" s="24">
        <f>IF($AH247="","",IF((IFERROR(INDEX('ASIGNACIONES'!$J$4:$J$451,MATCH($O247&amp;"|"&amp;$S247&amp;"|"&amp;$AH247,'ASIGNACIONES'!$N$4:$N$451,0)),""))=0,"",IFERROR(INDEX('ASIGNACIONES'!$J$4:$J$451,MATCH($O247&amp;"|"&amp;$S247&amp;"|"&amp;$AH247,'ASIGNACIONES'!$N$4:$N$451,0)),"")))</f>
        <v/>
      </c>
      <c r="AJ247" s="42">
        <f>IF($AH247="","",SUMIFS('ORDENES'!$M$4:$M$1203,'ORDENES'!$AH$4:$AH$1203,$AH247,'ORDENES'!$O$4:$O$1203,$O247,'ORDENES'!$S$4:$S$1203,$S247))</f>
        <v/>
      </c>
      <c r="AK247" s="42">
        <f>IF($AJ247="","",p_factor_productividad*IFERROR(INDEX('ASIGNACIONES'!$M$4:$M$451,MATCH($O247&amp;"|"&amp;$S247&amp;"|"&amp;$AH247,'ASIGNACIONES'!$N$4:$N$451,0)),0)-$AJ247)</f>
        <v/>
      </c>
      <c r="AL247" s="32">
        <f>IF($A247="","",IFERROR(INDEX('2_IMPORTAR_EJECUCION'!$F$9:$F$1208,MATCH($AU247,'2_IMPORTAR_EJECUCION'!$J$9:$J$1208,0)),0))</f>
        <v/>
      </c>
      <c r="AM247" s="32">
        <f>IF($A247="","",MAX(0,IFERROR(INDEX('2_IMPORTAR_EJECUCION'!$H$9:$H$1208,MATCH($AU247,'2_IMPORTAR_EJECUCION'!$J$9:$J$1208,0)),0)-$AL247))</f>
        <v/>
      </c>
      <c r="AN247" s="32">
        <f>IF($A247="","",$AL247+$AM247)</f>
        <v/>
      </c>
      <c r="AO247" s="24">
        <f>IF($A247="","",IF(OR((IFERROR(INDEX('CAT_ACTIVIDADES'!$D$4:$D$26,MATCH($H247,'CAT_ACTIVIDADES'!$A$4:$A$26,0)),""))=0,(IFERROR(INDEX('CAT_ACTIVIDADES'!$D$4:$D$26,MATCH($H247,'CAT_ACTIVIDADES'!$A$4:$A$26,0)),""))=""),"SIN CLASIFICAR",IFERROR(INDEX('CAT_ACTIVIDADES'!$D$4:$D$26,MATCH($H247,'CAT_ACTIVIDADES'!$A$4:$A$26,0)),"")))</f>
        <v/>
      </c>
      <c r="AP247" s="4" t="n"/>
      <c r="AQ247" s="4" t="n"/>
      <c r="AR247" s="4" t="n"/>
      <c r="AS247" s="24">
        <f>IF($AR247="","",HYPERLINK(p_ruta_base_checklists&amp;$AR247,"abrir"))</f>
        <v/>
      </c>
      <c r="AT247" s="4" t="n"/>
      <c r="AU247" s="24">
        <f>IF($A247="","",$A247&amp;IF($B247="","0010",$B247))</f>
        <v/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41" t="n"/>
      <c r="K248" s="5" t="n"/>
      <c r="L248" s="18" t="n"/>
      <c r="M248" s="24">
        <f>IF($A248="","",IFERROR(INDEX('AJUSTES'!$B$4:$B$303,MATCH($AU248,'AJUSTES'!$A$4:$A$303,0)),IF($K248="","",$K248)))</f>
        <v/>
      </c>
      <c r="N248" s="24">
        <f>IF($A248="","",IFERROR(INDEX('CAT_ESTADOS_ERP'!$B$4:$B$22,MATCH(IFERROR(INDEX('2_IMPORTAR_EJECUCION'!$C$9:$C$1208,MATCH($AU248,'2_IMPORTAR_EJECUCION'!$J$9:$J$1208,0)),""),'CAT_ESTADOS_ERP'!$A$4:$A$22,0)),"Pendiente"))</f>
        <v/>
      </c>
      <c r="O248" s="24">
        <f>IF($J248="","",YEAR($J248+4-WEEKDAY($J248,2))&amp;"-S"&amp;TEXT(_xlfn.ISOWEEKNUM($J248),"00"))</f>
        <v/>
      </c>
      <c r="P248" s="24">
        <f>IF($J248="","",YEAR($J248))</f>
        <v/>
      </c>
      <c r="Q248" s="24">
        <f>IF($J248="","",MONTH($J248))</f>
        <v/>
      </c>
      <c r="R248" s="24">
        <f>IF($J248="","",$P248&amp;"-"&amp;TEXT($Q248,"00"))</f>
        <v/>
      </c>
      <c r="S248" s="24">
        <f>IF($J248="","",INDEX(lista_dias,WEEKDAY($J248,2)))</f>
        <v/>
      </c>
      <c r="T248" s="24">
        <f>IF($J248="","",IFERROR(INDEX('CALENDARIO'!$C$15:$C$214,MATCH(TEXT($J248,"yyyy-mm-dd")&amp;"|"&amp;$Y248&amp;"|"&amp;$Z248,'CALENDARIO'!$G$15:$G$214,0)),IFERROR(INDEX('CALENDARIO'!$C$15:$C$214,MATCH(TEXT($J248,"yyyy-mm-dd")&amp;"|"&amp;$Y248&amp;"|",'CALENDARIO'!$G$15:$G$214,0)),IFERROR(INDEX('CALENDARIO'!$C$15:$C$214,MATCH(TEXT($J248,"yyyy-mm-dd")&amp;"||",'CALENDARIO'!$G$15:$G$214,0)),INDEX(patronHabil,WEEKDAY($J248,2))))))</f>
        <v/>
      </c>
      <c r="U248" s="24">
        <f>IF($I248="","",IFERROR(INDEX('CAT_TIPOS_OT'!$C$4:$C$23,MATCH($I248,'CAT_TIPOS_OT'!$A$4:$A$23,0)),"sin_clasificar"))</f>
        <v/>
      </c>
      <c r="V248" s="24">
        <f>IF($I248="","",IF(IFERROR(INDEX('CAT_TIPOS_OT'!$D$4:$D$23,MATCH($I248,'CAT_TIPOS_OT'!$A$4:$A$23,0)),"SIN CLASIFICAR")="","SIN CLASIFICAR",IFERROR(INDEX('CAT_TIPOS_OT'!$D$4:$D$23,MATCH($I248,'CAT_TIPOS_OT'!$A$4:$A$23,0)),"SIN CLASIFICAR")))</f>
        <v/>
      </c>
      <c r="W248" s="24">
        <f>IF($H248="","",IF(IFERROR(INDEX('CAT_ACTIVIDADES'!$F$4:$F$26,MATCH($H248,'CAT_ACTIVIDADES'!$A$4:$A$26,0)),"")=0,"",IFERROR(INDEX('CAT_ACTIVIDADES'!$F$4:$F$26,MATCH($H248,'CAT_ACTIVIDADES'!$A$4:$A$26,0)),"")))</f>
        <v/>
      </c>
      <c r="X248" s="24">
        <f>IF($F248="","",IFERROR(INDEX('CAT_CENTROS_COSTO'!$F$4:$F$28,MATCH($F248,'CAT_CENTROS_COSTO'!$A$4:$A$28,0)),"(sin catálogo)"))</f>
        <v/>
      </c>
      <c r="Y248" s="24">
        <f>IF($F248="","",IFERROR(INDEX('CAT_CENTROS_COSTO'!$D$4:$D$28,MATCH($F248,'CAT_CENTROS_COSTO'!$A$4:$A$28,0)),"(sin catálogo)"))</f>
        <v/>
      </c>
      <c r="Z248" s="24">
        <f>IF($F248="","",IF((IFERROR(INDEX('CAT_CENTROS_COSTO'!$E$4:$E$28,MATCH($F248,'CAT_CENTROS_COSTO'!$A$4:$A$28,0)),""))&lt;&gt;"",IFERROR(INDEX('CAT_CENTROS_COSTO'!$E$4:$E$28,MATCH($F248,'CAT_CENTROS_COSTO'!$A$4:$A$28,0)),""),$Y248))</f>
        <v/>
      </c>
      <c r="AA248" s="24">
        <f>IF($F248="","",IFERROR(INDEX('CAT_CENTROS_COSTO'!$G$4:$G$28,MATCH($F248,'CAT_CENTROS_COSTO'!$A$4:$A$28,0)),"(sin catálogo)"))</f>
        <v/>
      </c>
      <c r="AB248" s="24">
        <f>IF($G248="","",IFERROR(INDEX('CAT_PUESTOS'!$B$4:$B$23,MATCH($G248,'CAT_PUESTOS'!$A$4:$A$23,0)),"(sin catálogo)"))</f>
        <v/>
      </c>
      <c r="AC248" s="24">
        <f>IF($H248="","",IFERROR(INDEX('CAT_ACTIVIDADES'!$B$4:$B$26,MATCH($H248,'CAT_ACTIVIDADES'!$A$4:$A$26,0)),"(sin catálogo)"))</f>
        <v/>
      </c>
      <c r="AD248" s="26">
        <f>IF($J248="","",TODAY()-$J248)</f>
        <v/>
      </c>
      <c r="AE248" s="26">
        <f>IF($J248="","",IF($J248&lt;=TODAY(),COUNTIFS(cal_fechas,"&gt;="&amp;$J248,cal_fechas,"&lt;"&amp;TODAY(),cal_habil,"sí"),-COUNTIFS(cal_fechas,"&gt;="&amp;TODAY(),cal_fechas,"&lt;"&amp;$J248,cal_habil,"sí")))</f>
        <v/>
      </c>
      <c r="AF248" s="24">
        <f>IF($AE248="","",IF($AE248&lt;0,"FUTURO",IF($AE248&gt;p_dias_backlog_max,"BACKLOG","MES CORRIENTE")))</f>
        <v/>
      </c>
      <c r="AG248" s="24">
        <f>IF($AE248="",FALSE,AND($AE248&gt;p_dias_backlog_min,$AE248&lt;=p_dias_backlog_max))</f>
        <v/>
      </c>
      <c r="AH248" s="4" t="n"/>
      <c r="AI248" s="24">
        <f>IF($AH248="","",IF((IFERROR(INDEX('ASIGNACIONES'!$J$4:$J$451,MATCH($O248&amp;"|"&amp;$S248&amp;"|"&amp;$AH248,'ASIGNACIONES'!$N$4:$N$451,0)),""))=0,"",IFERROR(INDEX('ASIGNACIONES'!$J$4:$J$451,MATCH($O248&amp;"|"&amp;$S248&amp;"|"&amp;$AH248,'ASIGNACIONES'!$N$4:$N$451,0)),"")))</f>
        <v/>
      </c>
      <c r="AJ248" s="42">
        <f>IF($AH248="","",SUMIFS('ORDENES'!$M$4:$M$1203,'ORDENES'!$AH$4:$AH$1203,$AH248,'ORDENES'!$O$4:$O$1203,$O248,'ORDENES'!$S$4:$S$1203,$S248))</f>
        <v/>
      </c>
      <c r="AK248" s="42">
        <f>IF($AJ248="","",p_factor_productividad*IFERROR(INDEX('ASIGNACIONES'!$M$4:$M$451,MATCH($O248&amp;"|"&amp;$S248&amp;"|"&amp;$AH248,'ASIGNACIONES'!$N$4:$N$451,0)),0)-$AJ248)</f>
        <v/>
      </c>
      <c r="AL248" s="32">
        <f>IF($A248="","",IFERROR(INDEX('2_IMPORTAR_EJECUCION'!$F$9:$F$1208,MATCH($AU248,'2_IMPORTAR_EJECUCION'!$J$9:$J$1208,0)),0))</f>
        <v/>
      </c>
      <c r="AM248" s="32">
        <f>IF($A248="","",MAX(0,IFERROR(INDEX('2_IMPORTAR_EJECUCION'!$H$9:$H$1208,MATCH($AU248,'2_IMPORTAR_EJECUCION'!$J$9:$J$1208,0)),0)-$AL248))</f>
        <v/>
      </c>
      <c r="AN248" s="32">
        <f>IF($A248="","",$AL248+$AM248)</f>
        <v/>
      </c>
      <c r="AO248" s="24">
        <f>IF($A248="","",IF(OR((IFERROR(INDEX('CAT_ACTIVIDADES'!$D$4:$D$26,MATCH($H248,'CAT_ACTIVIDADES'!$A$4:$A$26,0)),""))=0,(IFERROR(INDEX('CAT_ACTIVIDADES'!$D$4:$D$26,MATCH($H248,'CAT_ACTIVIDADES'!$A$4:$A$26,0)),""))=""),"SIN CLASIFICAR",IFERROR(INDEX('CAT_ACTIVIDADES'!$D$4:$D$26,MATCH($H248,'CAT_ACTIVIDADES'!$A$4:$A$26,0)),"")))</f>
        <v/>
      </c>
      <c r="AP248" s="4" t="n"/>
      <c r="AQ248" s="4" t="n"/>
      <c r="AR248" s="4" t="n"/>
      <c r="AS248" s="24">
        <f>IF($AR248="","",HYPERLINK(p_ruta_base_checklists&amp;$AR248,"abrir"))</f>
        <v/>
      </c>
      <c r="AT248" s="4" t="n"/>
      <c r="AU248" s="24">
        <f>IF($A248="","",$A248&amp;IF($B248="","0010",$B248))</f>
        <v/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41" t="n"/>
      <c r="K249" s="5" t="n"/>
      <c r="L249" s="18" t="n"/>
      <c r="M249" s="24">
        <f>IF($A249="","",IFERROR(INDEX('AJUSTES'!$B$4:$B$303,MATCH($AU249,'AJUSTES'!$A$4:$A$303,0)),IF($K249="","",$K249)))</f>
        <v/>
      </c>
      <c r="N249" s="24">
        <f>IF($A249="","",IFERROR(INDEX('CAT_ESTADOS_ERP'!$B$4:$B$22,MATCH(IFERROR(INDEX('2_IMPORTAR_EJECUCION'!$C$9:$C$1208,MATCH($AU249,'2_IMPORTAR_EJECUCION'!$J$9:$J$1208,0)),""),'CAT_ESTADOS_ERP'!$A$4:$A$22,0)),"Pendiente"))</f>
        <v/>
      </c>
      <c r="O249" s="24">
        <f>IF($J249="","",YEAR($J249+4-WEEKDAY($J249,2))&amp;"-S"&amp;TEXT(_xlfn.ISOWEEKNUM($J249),"00"))</f>
        <v/>
      </c>
      <c r="P249" s="24">
        <f>IF($J249="","",YEAR($J249))</f>
        <v/>
      </c>
      <c r="Q249" s="24">
        <f>IF($J249="","",MONTH($J249))</f>
        <v/>
      </c>
      <c r="R249" s="24">
        <f>IF($J249="","",$P249&amp;"-"&amp;TEXT($Q249,"00"))</f>
        <v/>
      </c>
      <c r="S249" s="24">
        <f>IF($J249="","",INDEX(lista_dias,WEEKDAY($J249,2)))</f>
        <v/>
      </c>
      <c r="T249" s="24">
        <f>IF($J249="","",IFERROR(INDEX('CALENDARIO'!$C$15:$C$214,MATCH(TEXT($J249,"yyyy-mm-dd")&amp;"|"&amp;$Y249&amp;"|"&amp;$Z249,'CALENDARIO'!$G$15:$G$214,0)),IFERROR(INDEX('CALENDARIO'!$C$15:$C$214,MATCH(TEXT($J249,"yyyy-mm-dd")&amp;"|"&amp;$Y249&amp;"|",'CALENDARIO'!$G$15:$G$214,0)),IFERROR(INDEX('CALENDARIO'!$C$15:$C$214,MATCH(TEXT($J249,"yyyy-mm-dd")&amp;"||",'CALENDARIO'!$G$15:$G$214,0)),INDEX(patronHabil,WEEKDAY($J249,2))))))</f>
        <v/>
      </c>
      <c r="U249" s="24">
        <f>IF($I249="","",IFERROR(INDEX('CAT_TIPOS_OT'!$C$4:$C$23,MATCH($I249,'CAT_TIPOS_OT'!$A$4:$A$23,0)),"sin_clasificar"))</f>
        <v/>
      </c>
      <c r="V249" s="24">
        <f>IF($I249="","",IF(IFERROR(INDEX('CAT_TIPOS_OT'!$D$4:$D$23,MATCH($I249,'CAT_TIPOS_OT'!$A$4:$A$23,0)),"SIN CLASIFICAR")="","SIN CLASIFICAR",IFERROR(INDEX('CAT_TIPOS_OT'!$D$4:$D$23,MATCH($I249,'CAT_TIPOS_OT'!$A$4:$A$23,0)),"SIN CLASIFICAR")))</f>
        <v/>
      </c>
      <c r="W249" s="24">
        <f>IF($H249="","",IF(IFERROR(INDEX('CAT_ACTIVIDADES'!$F$4:$F$26,MATCH($H249,'CAT_ACTIVIDADES'!$A$4:$A$26,0)),"")=0,"",IFERROR(INDEX('CAT_ACTIVIDADES'!$F$4:$F$26,MATCH($H249,'CAT_ACTIVIDADES'!$A$4:$A$26,0)),"")))</f>
        <v/>
      </c>
      <c r="X249" s="24">
        <f>IF($F249="","",IFERROR(INDEX('CAT_CENTROS_COSTO'!$F$4:$F$28,MATCH($F249,'CAT_CENTROS_COSTO'!$A$4:$A$28,0)),"(sin catálogo)"))</f>
        <v/>
      </c>
      <c r="Y249" s="24">
        <f>IF($F249="","",IFERROR(INDEX('CAT_CENTROS_COSTO'!$D$4:$D$28,MATCH($F249,'CAT_CENTROS_COSTO'!$A$4:$A$28,0)),"(sin catálogo)"))</f>
        <v/>
      </c>
      <c r="Z249" s="24">
        <f>IF($F249="","",IF((IFERROR(INDEX('CAT_CENTROS_COSTO'!$E$4:$E$28,MATCH($F249,'CAT_CENTROS_COSTO'!$A$4:$A$28,0)),""))&lt;&gt;"",IFERROR(INDEX('CAT_CENTROS_COSTO'!$E$4:$E$28,MATCH($F249,'CAT_CENTROS_COSTO'!$A$4:$A$28,0)),""),$Y249))</f>
        <v/>
      </c>
      <c r="AA249" s="24">
        <f>IF($F249="","",IFERROR(INDEX('CAT_CENTROS_COSTO'!$G$4:$G$28,MATCH($F249,'CAT_CENTROS_COSTO'!$A$4:$A$28,0)),"(sin catálogo)"))</f>
        <v/>
      </c>
      <c r="AB249" s="24">
        <f>IF($G249="","",IFERROR(INDEX('CAT_PUESTOS'!$B$4:$B$23,MATCH($G249,'CAT_PUESTOS'!$A$4:$A$23,0)),"(sin catálogo)"))</f>
        <v/>
      </c>
      <c r="AC249" s="24">
        <f>IF($H249="","",IFERROR(INDEX('CAT_ACTIVIDADES'!$B$4:$B$26,MATCH($H249,'CAT_ACTIVIDADES'!$A$4:$A$26,0)),"(sin catálogo)"))</f>
        <v/>
      </c>
      <c r="AD249" s="26">
        <f>IF($J249="","",TODAY()-$J249)</f>
        <v/>
      </c>
      <c r="AE249" s="26">
        <f>IF($J249="","",IF($J249&lt;=TODAY(),COUNTIFS(cal_fechas,"&gt;="&amp;$J249,cal_fechas,"&lt;"&amp;TODAY(),cal_habil,"sí"),-COUNTIFS(cal_fechas,"&gt;="&amp;TODAY(),cal_fechas,"&lt;"&amp;$J249,cal_habil,"sí")))</f>
        <v/>
      </c>
      <c r="AF249" s="24">
        <f>IF($AE249="","",IF($AE249&lt;0,"FUTURO",IF($AE249&gt;p_dias_backlog_max,"BACKLOG","MES CORRIENTE")))</f>
        <v/>
      </c>
      <c r="AG249" s="24">
        <f>IF($AE249="",FALSE,AND($AE249&gt;p_dias_backlog_min,$AE249&lt;=p_dias_backlog_max))</f>
        <v/>
      </c>
      <c r="AH249" s="4" t="n"/>
      <c r="AI249" s="24">
        <f>IF($AH249="","",IF((IFERROR(INDEX('ASIGNACIONES'!$J$4:$J$451,MATCH($O249&amp;"|"&amp;$S249&amp;"|"&amp;$AH249,'ASIGNACIONES'!$N$4:$N$451,0)),""))=0,"",IFERROR(INDEX('ASIGNACIONES'!$J$4:$J$451,MATCH($O249&amp;"|"&amp;$S249&amp;"|"&amp;$AH249,'ASIGNACIONES'!$N$4:$N$451,0)),"")))</f>
        <v/>
      </c>
      <c r="AJ249" s="42">
        <f>IF($AH249="","",SUMIFS('ORDENES'!$M$4:$M$1203,'ORDENES'!$AH$4:$AH$1203,$AH249,'ORDENES'!$O$4:$O$1203,$O249,'ORDENES'!$S$4:$S$1203,$S249))</f>
        <v/>
      </c>
      <c r="AK249" s="42">
        <f>IF($AJ249="","",p_factor_productividad*IFERROR(INDEX('ASIGNACIONES'!$M$4:$M$451,MATCH($O249&amp;"|"&amp;$S249&amp;"|"&amp;$AH249,'ASIGNACIONES'!$N$4:$N$451,0)),0)-$AJ249)</f>
        <v/>
      </c>
      <c r="AL249" s="32">
        <f>IF($A249="","",IFERROR(INDEX('2_IMPORTAR_EJECUCION'!$F$9:$F$1208,MATCH($AU249,'2_IMPORTAR_EJECUCION'!$J$9:$J$1208,0)),0))</f>
        <v/>
      </c>
      <c r="AM249" s="32">
        <f>IF($A249="","",MAX(0,IFERROR(INDEX('2_IMPORTAR_EJECUCION'!$H$9:$H$1208,MATCH($AU249,'2_IMPORTAR_EJECUCION'!$J$9:$J$1208,0)),0)-$AL249))</f>
        <v/>
      </c>
      <c r="AN249" s="32">
        <f>IF($A249="","",$AL249+$AM249)</f>
        <v/>
      </c>
      <c r="AO249" s="24">
        <f>IF($A249="","",IF(OR((IFERROR(INDEX('CAT_ACTIVIDADES'!$D$4:$D$26,MATCH($H249,'CAT_ACTIVIDADES'!$A$4:$A$26,0)),""))=0,(IFERROR(INDEX('CAT_ACTIVIDADES'!$D$4:$D$26,MATCH($H249,'CAT_ACTIVIDADES'!$A$4:$A$26,0)),""))=""),"SIN CLASIFICAR",IFERROR(INDEX('CAT_ACTIVIDADES'!$D$4:$D$26,MATCH($H249,'CAT_ACTIVIDADES'!$A$4:$A$26,0)),"")))</f>
        <v/>
      </c>
      <c r="AP249" s="4" t="n"/>
      <c r="AQ249" s="4" t="n"/>
      <c r="AR249" s="4" t="n"/>
      <c r="AS249" s="24">
        <f>IF($AR249="","",HYPERLINK(p_ruta_base_checklists&amp;$AR249,"abrir"))</f>
        <v/>
      </c>
      <c r="AT249" s="4" t="n"/>
      <c r="AU249" s="24">
        <f>IF($A249="","",$A249&amp;IF($B249="","0010",$B249))</f>
        <v/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41" t="n"/>
      <c r="K250" s="5" t="n"/>
      <c r="L250" s="18" t="n"/>
      <c r="M250" s="24">
        <f>IF($A250="","",IFERROR(INDEX('AJUSTES'!$B$4:$B$303,MATCH($AU250,'AJUSTES'!$A$4:$A$303,0)),IF($K250="","",$K250)))</f>
        <v/>
      </c>
      <c r="N250" s="24">
        <f>IF($A250="","",IFERROR(INDEX('CAT_ESTADOS_ERP'!$B$4:$B$22,MATCH(IFERROR(INDEX('2_IMPORTAR_EJECUCION'!$C$9:$C$1208,MATCH($AU250,'2_IMPORTAR_EJECUCION'!$J$9:$J$1208,0)),""),'CAT_ESTADOS_ERP'!$A$4:$A$22,0)),"Pendiente"))</f>
        <v/>
      </c>
      <c r="O250" s="24">
        <f>IF($J250="","",YEAR($J250+4-WEEKDAY($J250,2))&amp;"-S"&amp;TEXT(_xlfn.ISOWEEKNUM($J250),"00"))</f>
        <v/>
      </c>
      <c r="P250" s="24">
        <f>IF($J250="","",YEAR($J250))</f>
        <v/>
      </c>
      <c r="Q250" s="24">
        <f>IF($J250="","",MONTH($J250))</f>
        <v/>
      </c>
      <c r="R250" s="24">
        <f>IF($J250="","",$P250&amp;"-"&amp;TEXT($Q250,"00"))</f>
        <v/>
      </c>
      <c r="S250" s="24">
        <f>IF($J250="","",INDEX(lista_dias,WEEKDAY($J250,2)))</f>
        <v/>
      </c>
      <c r="T250" s="24">
        <f>IF($J250="","",IFERROR(INDEX('CALENDARIO'!$C$15:$C$214,MATCH(TEXT($J250,"yyyy-mm-dd")&amp;"|"&amp;$Y250&amp;"|"&amp;$Z250,'CALENDARIO'!$G$15:$G$214,0)),IFERROR(INDEX('CALENDARIO'!$C$15:$C$214,MATCH(TEXT($J250,"yyyy-mm-dd")&amp;"|"&amp;$Y250&amp;"|",'CALENDARIO'!$G$15:$G$214,0)),IFERROR(INDEX('CALENDARIO'!$C$15:$C$214,MATCH(TEXT($J250,"yyyy-mm-dd")&amp;"||",'CALENDARIO'!$G$15:$G$214,0)),INDEX(patronHabil,WEEKDAY($J250,2))))))</f>
        <v/>
      </c>
      <c r="U250" s="24">
        <f>IF($I250="","",IFERROR(INDEX('CAT_TIPOS_OT'!$C$4:$C$23,MATCH($I250,'CAT_TIPOS_OT'!$A$4:$A$23,0)),"sin_clasificar"))</f>
        <v/>
      </c>
      <c r="V250" s="24">
        <f>IF($I250="","",IF(IFERROR(INDEX('CAT_TIPOS_OT'!$D$4:$D$23,MATCH($I250,'CAT_TIPOS_OT'!$A$4:$A$23,0)),"SIN CLASIFICAR")="","SIN CLASIFICAR",IFERROR(INDEX('CAT_TIPOS_OT'!$D$4:$D$23,MATCH($I250,'CAT_TIPOS_OT'!$A$4:$A$23,0)),"SIN CLASIFICAR")))</f>
        <v/>
      </c>
      <c r="W250" s="24">
        <f>IF($H250="","",IF(IFERROR(INDEX('CAT_ACTIVIDADES'!$F$4:$F$26,MATCH($H250,'CAT_ACTIVIDADES'!$A$4:$A$26,0)),"")=0,"",IFERROR(INDEX('CAT_ACTIVIDADES'!$F$4:$F$26,MATCH($H250,'CAT_ACTIVIDADES'!$A$4:$A$26,0)),"")))</f>
        <v/>
      </c>
      <c r="X250" s="24">
        <f>IF($F250="","",IFERROR(INDEX('CAT_CENTROS_COSTO'!$F$4:$F$28,MATCH($F250,'CAT_CENTROS_COSTO'!$A$4:$A$28,0)),"(sin catálogo)"))</f>
        <v/>
      </c>
      <c r="Y250" s="24">
        <f>IF($F250="","",IFERROR(INDEX('CAT_CENTROS_COSTO'!$D$4:$D$28,MATCH($F250,'CAT_CENTROS_COSTO'!$A$4:$A$28,0)),"(sin catálogo)"))</f>
        <v/>
      </c>
      <c r="Z250" s="24">
        <f>IF($F250="","",IF((IFERROR(INDEX('CAT_CENTROS_COSTO'!$E$4:$E$28,MATCH($F250,'CAT_CENTROS_COSTO'!$A$4:$A$28,0)),""))&lt;&gt;"",IFERROR(INDEX('CAT_CENTROS_COSTO'!$E$4:$E$28,MATCH($F250,'CAT_CENTROS_COSTO'!$A$4:$A$28,0)),""),$Y250))</f>
        <v/>
      </c>
      <c r="AA250" s="24">
        <f>IF($F250="","",IFERROR(INDEX('CAT_CENTROS_COSTO'!$G$4:$G$28,MATCH($F250,'CAT_CENTROS_COSTO'!$A$4:$A$28,0)),"(sin catálogo)"))</f>
        <v/>
      </c>
      <c r="AB250" s="24">
        <f>IF($G250="","",IFERROR(INDEX('CAT_PUESTOS'!$B$4:$B$23,MATCH($G250,'CAT_PUESTOS'!$A$4:$A$23,0)),"(sin catálogo)"))</f>
        <v/>
      </c>
      <c r="AC250" s="24">
        <f>IF($H250="","",IFERROR(INDEX('CAT_ACTIVIDADES'!$B$4:$B$26,MATCH($H250,'CAT_ACTIVIDADES'!$A$4:$A$26,0)),"(sin catálogo)"))</f>
        <v/>
      </c>
      <c r="AD250" s="26">
        <f>IF($J250="","",TODAY()-$J250)</f>
        <v/>
      </c>
      <c r="AE250" s="26">
        <f>IF($J250="","",IF($J250&lt;=TODAY(),COUNTIFS(cal_fechas,"&gt;="&amp;$J250,cal_fechas,"&lt;"&amp;TODAY(),cal_habil,"sí"),-COUNTIFS(cal_fechas,"&gt;="&amp;TODAY(),cal_fechas,"&lt;"&amp;$J250,cal_habil,"sí")))</f>
        <v/>
      </c>
      <c r="AF250" s="24">
        <f>IF($AE250="","",IF($AE250&lt;0,"FUTURO",IF($AE250&gt;p_dias_backlog_max,"BACKLOG","MES CORRIENTE")))</f>
        <v/>
      </c>
      <c r="AG250" s="24">
        <f>IF($AE250="",FALSE,AND($AE250&gt;p_dias_backlog_min,$AE250&lt;=p_dias_backlog_max))</f>
        <v/>
      </c>
      <c r="AH250" s="4" t="n"/>
      <c r="AI250" s="24">
        <f>IF($AH250="","",IF((IFERROR(INDEX('ASIGNACIONES'!$J$4:$J$451,MATCH($O250&amp;"|"&amp;$S250&amp;"|"&amp;$AH250,'ASIGNACIONES'!$N$4:$N$451,0)),""))=0,"",IFERROR(INDEX('ASIGNACIONES'!$J$4:$J$451,MATCH($O250&amp;"|"&amp;$S250&amp;"|"&amp;$AH250,'ASIGNACIONES'!$N$4:$N$451,0)),"")))</f>
        <v/>
      </c>
      <c r="AJ250" s="42">
        <f>IF($AH250="","",SUMIFS('ORDENES'!$M$4:$M$1203,'ORDENES'!$AH$4:$AH$1203,$AH250,'ORDENES'!$O$4:$O$1203,$O250,'ORDENES'!$S$4:$S$1203,$S250))</f>
        <v/>
      </c>
      <c r="AK250" s="42">
        <f>IF($AJ250="","",p_factor_productividad*IFERROR(INDEX('ASIGNACIONES'!$M$4:$M$451,MATCH($O250&amp;"|"&amp;$S250&amp;"|"&amp;$AH250,'ASIGNACIONES'!$N$4:$N$451,0)),0)-$AJ250)</f>
        <v/>
      </c>
      <c r="AL250" s="32">
        <f>IF($A250="","",IFERROR(INDEX('2_IMPORTAR_EJECUCION'!$F$9:$F$1208,MATCH($AU250,'2_IMPORTAR_EJECUCION'!$J$9:$J$1208,0)),0))</f>
        <v/>
      </c>
      <c r="AM250" s="32">
        <f>IF($A250="","",MAX(0,IFERROR(INDEX('2_IMPORTAR_EJECUCION'!$H$9:$H$1208,MATCH($AU250,'2_IMPORTAR_EJECUCION'!$J$9:$J$1208,0)),0)-$AL250))</f>
        <v/>
      </c>
      <c r="AN250" s="32">
        <f>IF($A250="","",$AL250+$AM250)</f>
        <v/>
      </c>
      <c r="AO250" s="24">
        <f>IF($A250="","",IF(OR((IFERROR(INDEX('CAT_ACTIVIDADES'!$D$4:$D$26,MATCH($H250,'CAT_ACTIVIDADES'!$A$4:$A$26,0)),""))=0,(IFERROR(INDEX('CAT_ACTIVIDADES'!$D$4:$D$26,MATCH($H250,'CAT_ACTIVIDADES'!$A$4:$A$26,0)),""))=""),"SIN CLASIFICAR",IFERROR(INDEX('CAT_ACTIVIDADES'!$D$4:$D$26,MATCH($H250,'CAT_ACTIVIDADES'!$A$4:$A$26,0)),"")))</f>
        <v/>
      </c>
      <c r="AP250" s="4" t="n"/>
      <c r="AQ250" s="4" t="n"/>
      <c r="AR250" s="4" t="n"/>
      <c r="AS250" s="24">
        <f>IF($AR250="","",HYPERLINK(p_ruta_base_checklists&amp;$AR250,"abrir"))</f>
        <v/>
      </c>
      <c r="AT250" s="4" t="n"/>
      <c r="AU250" s="24">
        <f>IF($A250="","",$A250&amp;IF($B250="","0010",$B250))</f>
        <v/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41" t="n"/>
      <c r="K251" s="5" t="n"/>
      <c r="L251" s="18" t="n"/>
      <c r="M251" s="24">
        <f>IF($A251="","",IFERROR(INDEX('AJUSTES'!$B$4:$B$303,MATCH($AU251,'AJUSTES'!$A$4:$A$303,0)),IF($K251="","",$K251)))</f>
        <v/>
      </c>
      <c r="N251" s="24">
        <f>IF($A251="","",IFERROR(INDEX('CAT_ESTADOS_ERP'!$B$4:$B$22,MATCH(IFERROR(INDEX('2_IMPORTAR_EJECUCION'!$C$9:$C$1208,MATCH($AU251,'2_IMPORTAR_EJECUCION'!$J$9:$J$1208,0)),""),'CAT_ESTADOS_ERP'!$A$4:$A$22,0)),"Pendiente"))</f>
        <v/>
      </c>
      <c r="O251" s="24">
        <f>IF($J251="","",YEAR($J251+4-WEEKDAY($J251,2))&amp;"-S"&amp;TEXT(_xlfn.ISOWEEKNUM($J251),"00"))</f>
        <v/>
      </c>
      <c r="P251" s="24">
        <f>IF($J251="","",YEAR($J251))</f>
        <v/>
      </c>
      <c r="Q251" s="24">
        <f>IF($J251="","",MONTH($J251))</f>
        <v/>
      </c>
      <c r="R251" s="24">
        <f>IF($J251="","",$P251&amp;"-"&amp;TEXT($Q251,"00"))</f>
        <v/>
      </c>
      <c r="S251" s="24">
        <f>IF($J251="","",INDEX(lista_dias,WEEKDAY($J251,2)))</f>
        <v/>
      </c>
      <c r="T251" s="24">
        <f>IF($J251="","",IFERROR(INDEX('CALENDARIO'!$C$15:$C$214,MATCH(TEXT($J251,"yyyy-mm-dd")&amp;"|"&amp;$Y251&amp;"|"&amp;$Z251,'CALENDARIO'!$G$15:$G$214,0)),IFERROR(INDEX('CALENDARIO'!$C$15:$C$214,MATCH(TEXT($J251,"yyyy-mm-dd")&amp;"|"&amp;$Y251&amp;"|",'CALENDARIO'!$G$15:$G$214,0)),IFERROR(INDEX('CALENDARIO'!$C$15:$C$214,MATCH(TEXT($J251,"yyyy-mm-dd")&amp;"||",'CALENDARIO'!$G$15:$G$214,0)),INDEX(patronHabil,WEEKDAY($J251,2))))))</f>
        <v/>
      </c>
      <c r="U251" s="24">
        <f>IF($I251="","",IFERROR(INDEX('CAT_TIPOS_OT'!$C$4:$C$23,MATCH($I251,'CAT_TIPOS_OT'!$A$4:$A$23,0)),"sin_clasificar"))</f>
        <v/>
      </c>
      <c r="V251" s="24">
        <f>IF($I251="","",IF(IFERROR(INDEX('CAT_TIPOS_OT'!$D$4:$D$23,MATCH($I251,'CAT_TIPOS_OT'!$A$4:$A$23,0)),"SIN CLASIFICAR")="","SIN CLASIFICAR",IFERROR(INDEX('CAT_TIPOS_OT'!$D$4:$D$23,MATCH($I251,'CAT_TIPOS_OT'!$A$4:$A$23,0)),"SIN CLASIFICAR")))</f>
        <v/>
      </c>
      <c r="W251" s="24">
        <f>IF($H251="","",IF(IFERROR(INDEX('CAT_ACTIVIDADES'!$F$4:$F$26,MATCH($H251,'CAT_ACTIVIDADES'!$A$4:$A$26,0)),"")=0,"",IFERROR(INDEX('CAT_ACTIVIDADES'!$F$4:$F$26,MATCH($H251,'CAT_ACTIVIDADES'!$A$4:$A$26,0)),"")))</f>
        <v/>
      </c>
      <c r="X251" s="24">
        <f>IF($F251="","",IFERROR(INDEX('CAT_CENTROS_COSTO'!$F$4:$F$28,MATCH($F251,'CAT_CENTROS_COSTO'!$A$4:$A$28,0)),"(sin catálogo)"))</f>
        <v/>
      </c>
      <c r="Y251" s="24">
        <f>IF($F251="","",IFERROR(INDEX('CAT_CENTROS_COSTO'!$D$4:$D$28,MATCH($F251,'CAT_CENTROS_COSTO'!$A$4:$A$28,0)),"(sin catálogo)"))</f>
        <v/>
      </c>
      <c r="Z251" s="24">
        <f>IF($F251="","",IF((IFERROR(INDEX('CAT_CENTROS_COSTO'!$E$4:$E$28,MATCH($F251,'CAT_CENTROS_COSTO'!$A$4:$A$28,0)),""))&lt;&gt;"",IFERROR(INDEX('CAT_CENTROS_COSTO'!$E$4:$E$28,MATCH($F251,'CAT_CENTROS_COSTO'!$A$4:$A$28,0)),""),$Y251))</f>
        <v/>
      </c>
      <c r="AA251" s="24">
        <f>IF($F251="","",IFERROR(INDEX('CAT_CENTROS_COSTO'!$G$4:$G$28,MATCH($F251,'CAT_CENTROS_COSTO'!$A$4:$A$28,0)),"(sin catálogo)"))</f>
        <v/>
      </c>
      <c r="AB251" s="24">
        <f>IF($G251="","",IFERROR(INDEX('CAT_PUESTOS'!$B$4:$B$23,MATCH($G251,'CAT_PUESTOS'!$A$4:$A$23,0)),"(sin catálogo)"))</f>
        <v/>
      </c>
      <c r="AC251" s="24">
        <f>IF($H251="","",IFERROR(INDEX('CAT_ACTIVIDADES'!$B$4:$B$26,MATCH($H251,'CAT_ACTIVIDADES'!$A$4:$A$26,0)),"(sin catálogo)"))</f>
        <v/>
      </c>
      <c r="AD251" s="26">
        <f>IF($J251="","",TODAY()-$J251)</f>
        <v/>
      </c>
      <c r="AE251" s="26">
        <f>IF($J251="","",IF($J251&lt;=TODAY(),COUNTIFS(cal_fechas,"&gt;="&amp;$J251,cal_fechas,"&lt;"&amp;TODAY(),cal_habil,"sí"),-COUNTIFS(cal_fechas,"&gt;="&amp;TODAY(),cal_fechas,"&lt;"&amp;$J251,cal_habil,"sí")))</f>
        <v/>
      </c>
      <c r="AF251" s="24">
        <f>IF($AE251="","",IF($AE251&lt;0,"FUTURO",IF($AE251&gt;p_dias_backlog_max,"BACKLOG","MES CORRIENTE")))</f>
        <v/>
      </c>
      <c r="AG251" s="24">
        <f>IF($AE251="",FALSE,AND($AE251&gt;p_dias_backlog_min,$AE251&lt;=p_dias_backlog_max))</f>
        <v/>
      </c>
      <c r="AH251" s="4" t="n"/>
      <c r="AI251" s="24">
        <f>IF($AH251="","",IF((IFERROR(INDEX('ASIGNACIONES'!$J$4:$J$451,MATCH($O251&amp;"|"&amp;$S251&amp;"|"&amp;$AH251,'ASIGNACIONES'!$N$4:$N$451,0)),""))=0,"",IFERROR(INDEX('ASIGNACIONES'!$J$4:$J$451,MATCH($O251&amp;"|"&amp;$S251&amp;"|"&amp;$AH251,'ASIGNACIONES'!$N$4:$N$451,0)),"")))</f>
        <v/>
      </c>
      <c r="AJ251" s="42">
        <f>IF($AH251="","",SUMIFS('ORDENES'!$M$4:$M$1203,'ORDENES'!$AH$4:$AH$1203,$AH251,'ORDENES'!$O$4:$O$1203,$O251,'ORDENES'!$S$4:$S$1203,$S251))</f>
        <v/>
      </c>
      <c r="AK251" s="42">
        <f>IF($AJ251="","",p_factor_productividad*IFERROR(INDEX('ASIGNACIONES'!$M$4:$M$451,MATCH($O251&amp;"|"&amp;$S251&amp;"|"&amp;$AH251,'ASIGNACIONES'!$N$4:$N$451,0)),0)-$AJ251)</f>
        <v/>
      </c>
      <c r="AL251" s="32">
        <f>IF($A251="","",IFERROR(INDEX('2_IMPORTAR_EJECUCION'!$F$9:$F$1208,MATCH($AU251,'2_IMPORTAR_EJECUCION'!$J$9:$J$1208,0)),0))</f>
        <v/>
      </c>
      <c r="AM251" s="32">
        <f>IF($A251="","",MAX(0,IFERROR(INDEX('2_IMPORTAR_EJECUCION'!$H$9:$H$1208,MATCH($AU251,'2_IMPORTAR_EJECUCION'!$J$9:$J$1208,0)),0)-$AL251))</f>
        <v/>
      </c>
      <c r="AN251" s="32">
        <f>IF($A251="","",$AL251+$AM251)</f>
        <v/>
      </c>
      <c r="AO251" s="24">
        <f>IF($A251="","",IF(OR((IFERROR(INDEX('CAT_ACTIVIDADES'!$D$4:$D$26,MATCH($H251,'CAT_ACTIVIDADES'!$A$4:$A$26,0)),""))=0,(IFERROR(INDEX('CAT_ACTIVIDADES'!$D$4:$D$26,MATCH($H251,'CAT_ACTIVIDADES'!$A$4:$A$26,0)),""))=""),"SIN CLASIFICAR",IFERROR(INDEX('CAT_ACTIVIDADES'!$D$4:$D$26,MATCH($H251,'CAT_ACTIVIDADES'!$A$4:$A$26,0)),"")))</f>
        <v/>
      </c>
      <c r="AP251" s="4" t="n"/>
      <c r="AQ251" s="4" t="n"/>
      <c r="AR251" s="4" t="n"/>
      <c r="AS251" s="24">
        <f>IF($AR251="","",HYPERLINK(p_ruta_base_checklists&amp;$AR251,"abrir"))</f>
        <v/>
      </c>
      <c r="AT251" s="4" t="n"/>
      <c r="AU251" s="24">
        <f>IF($A251="","",$A251&amp;IF($B251="","0010",$B251))</f>
        <v/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41" t="n"/>
      <c r="K252" s="5" t="n"/>
      <c r="L252" s="18" t="n"/>
      <c r="M252" s="24">
        <f>IF($A252="","",IFERROR(INDEX('AJUSTES'!$B$4:$B$303,MATCH($AU252,'AJUSTES'!$A$4:$A$303,0)),IF($K252="","",$K252)))</f>
        <v/>
      </c>
      <c r="N252" s="24">
        <f>IF($A252="","",IFERROR(INDEX('CAT_ESTADOS_ERP'!$B$4:$B$22,MATCH(IFERROR(INDEX('2_IMPORTAR_EJECUCION'!$C$9:$C$1208,MATCH($AU252,'2_IMPORTAR_EJECUCION'!$J$9:$J$1208,0)),""),'CAT_ESTADOS_ERP'!$A$4:$A$22,0)),"Pendiente"))</f>
        <v/>
      </c>
      <c r="O252" s="24">
        <f>IF($J252="","",YEAR($J252+4-WEEKDAY($J252,2))&amp;"-S"&amp;TEXT(_xlfn.ISOWEEKNUM($J252),"00"))</f>
        <v/>
      </c>
      <c r="P252" s="24">
        <f>IF($J252="","",YEAR($J252))</f>
        <v/>
      </c>
      <c r="Q252" s="24">
        <f>IF($J252="","",MONTH($J252))</f>
        <v/>
      </c>
      <c r="R252" s="24">
        <f>IF($J252="","",$P252&amp;"-"&amp;TEXT($Q252,"00"))</f>
        <v/>
      </c>
      <c r="S252" s="24">
        <f>IF($J252="","",INDEX(lista_dias,WEEKDAY($J252,2)))</f>
        <v/>
      </c>
      <c r="T252" s="24">
        <f>IF($J252="","",IFERROR(INDEX('CALENDARIO'!$C$15:$C$214,MATCH(TEXT($J252,"yyyy-mm-dd")&amp;"|"&amp;$Y252&amp;"|"&amp;$Z252,'CALENDARIO'!$G$15:$G$214,0)),IFERROR(INDEX('CALENDARIO'!$C$15:$C$214,MATCH(TEXT($J252,"yyyy-mm-dd")&amp;"|"&amp;$Y252&amp;"|",'CALENDARIO'!$G$15:$G$214,0)),IFERROR(INDEX('CALENDARIO'!$C$15:$C$214,MATCH(TEXT($J252,"yyyy-mm-dd")&amp;"||",'CALENDARIO'!$G$15:$G$214,0)),INDEX(patronHabil,WEEKDAY($J252,2))))))</f>
        <v/>
      </c>
      <c r="U252" s="24">
        <f>IF($I252="","",IFERROR(INDEX('CAT_TIPOS_OT'!$C$4:$C$23,MATCH($I252,'CAT_TIPOS_OT'!$A$4:$A$23,0)),"sin_clasificar"))</f>
        <v/>
      </c>
      <c r="V252" s="24">
        <f>IF($I252="","",IF(IFERROR(INDEX('CAT_TIPOS_OT'!$D$4:$D$23,MATCH($I252,'CAT_TIPOS_OT'!$A$4:$A$23,0)),"SIN CLASIFICAR")="","SIN CLASIFICAR",IFERROR(INDEX('CAT_TIPOS_OT'!$D$4:$D$23,MATCH($I252,'CAT_TIPOS_OT'!$A$4:$A$23,0)),"SIN CLASIFICAR")))</f>
        <v/>
      </c>
      <c r="W252" s="24">
        <f>IF($H252="","",IF(IFERROR(INDEX('CAT_ACTIVIDADES'!$F$4:$F$26,MATCH($H252,'CAT_ACTIVIDADES'!$A$4:$A$26,0)),"")=0,"",IFERROR(INDEX('CAT_ACTIVIDADES'!$F$4:$F$26,MATCH($H252,'CAT_ACTIVIDADES'!$A$4:$A$26,0)),"")))</f>
        <v/>
      </c>
      <c r="X252" s="24">
        <f>IF($F252="","",IFERROR(INDEX('CAT_CENTROS_COSTO'!$F$4:$F$28,MATCH($F252,'CAT_CENTROS_COSTO'!$A$4:$A$28,0)),"(sin catálogo)"))</f>
        <v/>
      </c>
      <c r="Y252" s="24">
        <f>IF($F252="","",IFERROR(INDEX('CAT_CENTROS_COSTO'!$D$4:$D$28,MATCH($F252,'CAT_CENTROS_COSTO'!$A$4:$A$28,0)),"(sin catálogo)"))</f>
        <v/>
      </c>
      <c r="Z252" s="24">
        <f>IF($F252="","",IF((IFERROR(INDEX('CAT_CENTROS_COSTO'!$E$4:$E$28,MATCH($F252,'CAT_CENTROS_COSTO'!$A$4:$A$28,0)),""))&lt;&gt;"",IFERROR(INDEX('CAT_CENTROS_COSTO'!$E$4:$E$28,MATCH($F252,'CAT_CENTROS_COSTO'!$A$4:$A$28,0)),""),$Y252))</f>
        <v/>
      </c>
      <c r="AA252" s="24">
        <f>IF($F252="","",IFERROR(INDEX('CAT_CENTROS_COSTO'!$G$4:$G$28,MATCH($F252,'CAT_CENTROS_COSTO'!$A$4:$A$28,0)),"(sin catálogo)"))</f>
        <v/>
      </c>
      <c r="AB252" s="24">
        <f>IF($G252="","",IFERROR(INDEX('CAT_PUESTOS'!$B$4:$B$23,MATCH($G252,'CAT_PUESTOS'!$A$4:$A$23,0)),"(sin catálogo)"))</f>
        <v/>
      </c>
      <c r="AC252" s="24">
        <f>IF($H252="","",IFERROR(INDEX('CAT_ACTIVIDADES'!$B$4:$B$26,MATCH($H252,'CAT_ACTIVIDADES'!$A$4:$A$26,0)),"(sin catálogo)"))</f>
        <v/>
      </c>
      <c r="AD252" s="26">
        <f>IF($J252="","",TODAY()-$J252)</f>
        <v/>
      </c>
      <c r="AE252" s="26">
        <f>IF($J252="","",IF($J252&lt;=TODAY(),COUNTIFS(cal_fechas,"&gt;="&amp;$J252,cal_fechas,"&lt;"&amp;TODAY(),cal_habil,"sí"),-COUNTIFS(cal_fechas,"&gt;="&amp;TODAY(),cal_fechas,"&lt;"&amp;$J252,cal_habil,"sí")))</f>
        <v/>
      </c>
      <c r="AF252" s="24">
        <f>IF($AE252="","",IF($AE252&lt;0,"FUTURO",IF($AE252&gt;p_dias_backlog_max,"BACKLOG","MES CORRIENTE")))</f>
        <v/>
      </c>
      <c r="AG252" s="24">
        <f>IF($AE252="",FALSE,AND($AE252&gt;p_dias_backlog_min,$AE252&lt;=p_dias_backlog_max))</f>
        <v/>
      </c>
      <c r="AH252" s="4" t="n"/>
      <c r="AI252" s="24">
        <f>IF($AH252="","",IF((IFERROR(INDEX('ASIGNACIONES'!$J$4:$J$451,MATCH($O252&amp;"|"&amp;$S252&amp;"|"&amp;$AH252,'ASIGNACIONES'!$N$4:$N$451,0)),""))=0,"",IFERROR(INDEX('ASIGNACIONES'!$J$4:$J$451,MATCH($O252&amp;"|"&amp;$S252&amp;"|"&amp;$AH252,'ASIGNACIONES'!$N$4:$N$451,0)),"")))</f>
        <v/>
      </c>
      <c r="AJ252" s="42">
        <f>IF($AH252="","",SUMIFS('ORDENES'!$M$4:$M$1203,'ORDENES'!$AH$4:$AH$1203,$AH252,'ORDENES'!$O$4:$O$1203,$O252,'ORDENES'!$S$4:$S$1203,$S252))</f>
        <v/>
      </c>
      <c r="AK252" s="42">
        <f>IF($AJ252="","",p_factor_productividad*IFERROR(INDEX('ASIGNACIONES'!$M$4:$M$451,MATCH($O252&amp;"|"&amp;$S252&amp;"|"&amp;$AH252,'ASIGNACIONES'!$N$4:$N$451,0)),0)-$AJ252)</f>
        <v/>
      </c>
      <c r="AL252" s="32">
        <f>IF($A252="","",IFERROR(INDEX('2_IMPORTAR_EJECUCION'!$F$9:$F$1208,MATCH($AU252,'2_IMPORTAR_EJECUCION'!$J$9:$J$1208,0)),0))</f>
        <v/>
      </c>
      <c r="AM252" s="32">
        <f>IF($A252="","",MAX(0,IFERROR(INDEX('2_IMPORTAR_EJECUCION'!$H$9:$H$1208,MATCH($AU252,'2_IMPORTAR_EJECUCION'!$J$9:$J$1208,0)),0)-$AL252))</f>
        <v/>
      </c>
      <c r="AN252" s="32">
        <f>IF($A252="","",$AL252+$AM252)</f>
        <v/>
      </c>
      <c r="AO252" s="24">
        <f>IF($A252="","",IF(OR((IFERROR(INDEX('CAT_ACTIVIDADES'!$D$4:$D$26,MATCH($H252,'CAT_ACTIVIDADES'!$A$4:$A$26,0)),""))=0,(IFERROR(INDEX('CAT_ACTIVIDADES'!$D$4:$D$26,MATCH($H252,'CAT_ACTIVIDADES'!$A$4:$A$26,0)),""))=""),"SIN CLASIFICAR",IFERROR(INDEX('CAT_ACTIVIDADES'!$D$4:$D$26,MATCH($H252,'CAT_ACTIVIDADES'!$A$4:$A$26,0)),"")))</f>
        <v/>
      </c>
      <c r="AP252" s="4" t="n"/>
      <c r="AQ252" s="4" t="n"/>
      <c r="AR252" s="4" t="n"/>
      <c r="AS252" s="24">
        <f>IF($AR252="","",HYPERLINK(p_ruta_base_checklists&amp;$AR252,"abrir"))</f>
        <v/>
      </c>
      <c r="AT252" s="4" t="n"/>
      <c r="AU252" s="24">
        <f>IF($A252="","",$A252&amp;IF($B252="","0010",$B252))</f>
        <v/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41" t="n"/>
      <c r="K253" s="5" t="n"/>
      <c r="L253" s="18" t="n"/>
      <c r="M253" s="24">
        <f>IF($A253="","",IFERROR(INDEX('AJUSTES'!$B$4:$B$303,MATCH($AU253,'AJUSTES'!$A$4:$A$303,0)),IF($K253="","",$K253)))</f>
        <v/>
      </c>
      <c r="N253" s="24">
        <f>IF($A253="","",IFERROR(INDEX('CAT_ESTADOS_ERP'!$B$4:$B$22,MATCH(IFERROR(INDEX('2_IMPORTAR_EJECUCION'!$C$9:$C$1208,MATCH($AU253,'2_IMPORTAR_EJECUCION'!$J$9:$J$1208,0)),""),'CAT_ESTADOS_ERP'!$A$4:$A$22,0)),"Pendiente"))</f>
        <v/>
      </c>
      <c r="O253" s="24">
        <f>IF($J253="","",YEAR($J253+4-WEEKDAY($J253,2))&amp;"-S"&amp;TEXT(_xlfn.ISOWEEKNUM($J253),"00"))</f>
        <v/>
      </c>
      <c r="P253" s="24">
        <f>IF($J253="","",YEAR($J253))</f>
        <v/>
      </c>
      <c r="Q253" s="24">
        <f>IF($J253="","",MONTH($J253))</f>
        <v/>
      </c>
      <c r="R253" s="24">
        <f>IF($J253="","",$P253&amp;"-"&amp;TEXT($Q253,"00"))</f>
        <v/>
      </c>
      <c r="S253" s="24">
        <f>IF($J253="","",INDEX(lista_dias,WEEKDAY($J253,2)))</f>
        <v/>
      </c>
      <c r="T253" s="24">
        <f>IF($J253="","",IFERROR(INDEX('CALENDARIO'!$C$15:$C$214,MATCH(TEXT($J253,"yyyy-mm-dd")&amp;"|"&amp;$Y253&amp;"|"&amp;$Z253,'CALENDARIO'!$G$15:$G$214,0)),IFERROR(INDEX('CALENDARIO'!$C$15:$C$214,MATCH(TEXT($J253,"yyyy-mm-dd")&amp;"|"&amp;$Y253&amp;"|",'CALENDARIO'!$G$15:$G$214,0)),IFERROR(INDEX('CALENDARIO'!$C$15:$C$214,MATCH(TEXT($J253,"yyyy-mm-dd")&amp;"||",'CALENDARIO'!$G$15:$G$214,0)),INDEX(patronHabil,WEEKDAY($J253,2))))))</f>
        <v/>
      </c>
      <c r="U253" s="24">
        <f>IF($I253="","",IFERROR(INDEX('CAT_TIPOS_OT'!$C$4:$C$23,MATCH($I253,'CAT_TIPOS_OT'!$A$4:$A$23,0)),"sin_clasificar"))</f>
        <v/>
      </c>
      <c r="V253" s="24">
        <f>IF($I253="","",IF(IFERROR(INDEX('CAT_TIPOS_OT'!$D$4:$D$23,MATCH($I253,'CAT_TIPOS_OT'!$A$4:$A$23,0)),"SIN CLASIFICAR")="","SIN CLASIFICAR",IFERROR(INDEX('CAT_TIPOS_OT'!$D$4:$D$23,MATCH($I253,'CAT_TIPOS_OT'!$A$4:$A$23,0)),"SIN CLASIFICAR")))</f>
        <v/>
      </c>
      <c r="W253" s="24">
        <f>IF($H253="","",IF(IFERROR(INDEX('CAT_ACTIVIDADES'!$F$4:$F$26,MATCH($H253,'CAT_ACTIVIDADES'!$A$4:$A$26,0)),"")=0,"",IFERROR(INDEX('CAT_ACTIVIDADES'!$F$4:$F$26,MATCH($H253,'CAT_ACTIVIDADES'!$A$4:$A$26,0)),"")))</f>
        <v/>
      </c>
      <c r="X253" s="24">
        <f>IF($F253="","",IFERROR(INDEX('CAT_CENTROS_COSTO'!$F$4:$F$28,MATCH($F253,'CAT_CENTROS_COSTO'!$A$4:$A$28,0)),"(sin catálogo)"))</f>
        <v/>
      </c>
      <c r="Y253" s="24">
        <f>IF($F253="","",IFERROR(INDEX('CAT_CENTROS_COSTO'!$D$4:$D$28,MATCH($F253,'CAT_CENTROS_COSTO'!$A$4:$A$28,0)),"(sin catálogo)"))</f>
        <v/>
      </c>
      <c r="Z253" s="24">
        <f>IF($F253="","",IF((IFERROR(INDEX('CAT_CENTROS_COSTO'!$E$4:$E$28,MATCH($F253,'CAT_CENTROS_COSTO'!$A$4:$A$28,0)),""))&lt;&gt;"",IFERROR(INDEX('CAT_CENTROS_COSTO'!$E$4:$E$28,MATCH($F253,'CAT_CENTROS_COSTO'!$A$4:$A$28,0)),""),$Y253))</f>
        <v/>
      </c>
      <c r="AA253" s="24">
        <f>IF($F253="","",IFERROR(INDEX('CAT_CENTROS_COSTO'!$G$4:$G$28,MATCH($F253,'CAT_CENTROS_COSTO'!$A$4:$A$28,0)),"(sin catálogo)"))</f>
        <v/>
      </c>
      <c r="AB253" s="24">
        <f>IF($G253="","",IFERROR(INDEX('CAT_PUESTOS'!$B$4:$B$23,MATCH($G253,'CAT_PUESTOS'!$A$4:$A$23,0)),"(sin catálogo)"))</f>
        <v/>
      </c>
      <c r="AC253" s="24">
        <f>IF($H253="","",IFERROR(INDEX('CAT_ACTIVIDADES'!$B$4:$B$26,MATCH($H253,'CAT_ACTIVIDADES'!$A$4:$A$26,0)),"(sin catálogo)"))</f>
        <v/>
      </c>
      <c r="AD253" s="26">
        <f>IF($J253="","",TODAY()-$J253)</f>
        <v/>
      </c>
      <c r="AE253" s="26">
        <f>IF($J253="","",IF($J253&lt;=TODAY(),COUNTIFS(cal_fechas,"&gt;="&amp;$J253,cal_fechas,"&lt;"&amp;TODAY(),cal_habil,"sí"),-COUNTIFS(cal_fechas,"&gt;="&amp;TODAY(),cal_fechas,"&lt;"&amp;$J253,cal_habil,"sí")))</f>
        <v/>
      </c>
      <c r="AF253" s="24">
        <f>IF($AE253="","",IF($AE253&lt;0,"FUTURO",IF($AE253&gt;p_dias_backlog_max,"BACKLOG","MES CORRIENTE")))</f>
        <v/>
      </c>
      <c r="AG253" s="24">
        <f>IF($AE253="",FALSE,AND($AE253&gt;p_dias_backlog_min,$AE253&lt;=p_dias_backlog_max))</f>
        <v/>
      </c>
      <c r="AH253" s="4" t="n"/>
      <c r="AI253" s="24">
        <f>IF($AH253="","",IF((IFERROR(INDEX('ASIGNACIONES'!$J$4:$J$451,MATCH($O253&amp;"|"&amp;$S253&amp;"|"&amp;$AH253,'ASIGNACIONES'!$N$4:$N$451,0)),""))=0,"",IFERROR(INDEX('ASIGNACIONES'!$J$4:$J$451,MATCH($O253&amp;"|"&amp;$S253&amp;"|"&amp;$AH253,'ASIGNACIONES'!$N$4:$N$451,0)),"")))</f>
        <v/>
      </c>
      <c r="AJ253" s="42">
        <f>IF($AH253="","",SUMIFS('ORDENES'!$M$4:$M$1203,'ORDENES'!$AH$4:$AH$1203,$AH253,'ORDENES'!$O$4:$O$1203,$O253,'ORDENES'!$S$4:$S$1203,$S253))</f>
        <v/>
      </c>
      <c r="AK253" s="42">
        <f>IF($AJ253="","",p_factor_productividad*IFERROR(INDEX('ASIGNACIONES'!$M$4:$M$451,MATCH($O253&amp;"|"&amp;$S253&amp;"|"&amp;$AH253,'ASIGNACIONES'!$N$4:$N$451,0)),0)-$AJ253)</f>
        <v/>
      </c>
      <c r="AL253" s="32">
        <f>IF($A253="","",IFERROR(INDEX('2_IMPORTAR_EJECUCION'!$F$9:$F$1208,MATCH($AU253,'2_IMPORTAR_EJECUCION'!$J$9:$J$1208,0)),0))</f>
        <v/>
      </c>
      <c r="AM253" s="32">
        <f>IF($A253="","",MAX(0,IFERROR(INDEX('2_IMPORTAR_EJECUCION'!$H$9:$H$1208,MATCH($AU253,'2_IMPORTAR_EJECUCION'!$J$9:$J$1208,0)),0)-$AL253))</f>
        <v/>
      </c>
      <c r="AN253" s="32">
        <f>IF($A253="","",$AL253+$AM253)</f>
        <v/>
      </c>
      <c r="AO253" s="24">
        <f>IF($A253="","",IF(OR((IFERROR(INDEX('CAT_ACTIVIDADES'!$D$4:$D$26,MATCH($H253,'CAT_ACTIVIDADES'!$A$4:$A$26,0)),""))=0,(IFERROR(INDEX('CAT_ACTIVIDADES'!$D$4:$D$26,MATCH($H253,'CAT_ACTIVIDADES'!$A$4:$A$26,0)),""))=""),"SIN CLASIFICAR",IFERROR(INDEX('CAT_ACTIVIDADES'!$D$4:$D$26,MATCH($H253,'CAT_ACTIVIDADES'!$A$4:$A$26,0)),"")))</f>
        <v/>
      </c>
      <c r="AP253" s="4" t="n"/>
      <c r="AQ253" s="4" t="n"/>
      <c r="AR253" s="4" t="n"/>
      <c r="AS253" s="24">
        <f>IF($AR253="","",HYPERLINK(p_ruta_base_checklists&amp;$AR253,"abrir"))</f>
        <v/>
      </c>
      <c r="AT253" s="4" t="n"/>
      <c r="AU253" s="24">
        <f>IF($A253="","",$A253&amp;IF($B253="","0010",$B253))</f>
        <v/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41" t="n"/>
      <c r="K254" s="5" t="n"/>
      <c r="L254" s="18" t="n"/>
      <c r="M254" s="24">
        <f>IF($A254="","",IFERROR(INDEX('AJUSTES'!$B$4:$B$303,MATCH($AU254,'AJUSTES'!$A$4:$A$303,0)),IF($K254="","",$K254)))</f>
        <v/>
      </c>
      <c r="N254" s="24">
        <f>IF($A254="","",IFERROR(INDEX('CAT_ESTADOS_ERP'!$B$4:$B$22,MATCH(IFERROR(INDEX('2_IMPORTAR_EJECUCION'!$C$9:$C$1208,MATCH($AU254,'2_IMPORTAR_EJECUCION'!$J$9:$J$1208,0)),""),'CAT_ESTADOS_ERP'!$A$4:$A$22,0)),"Pendiente"))</f>
        <v/>
      </c>
      <c r="O254" s="24">
        <f>IF($J254="","",YEAR($J254+4-WEEKDAY($J254,2))&amp;"-S"&amp;TEXT(_xlfn.ISOWEEKNUM($J254),"00"))</f>
        <v/>
      </c>
      <c r="P254" s="24">
        <f>IF($J254="","",YEAR($J254))</f>
        <v/>
      </c>
      <c r="Q254" s="24">
        <f>IF($J254="","",MONTH($J254))</f>
        <v/>
      </c>
      <c r="R254" s="24">
        <f>IF($J254="","",$P254&amp;"-"&amp;TEXT($Q254,"00"))</f>
        <v/>
      </c>
      <c r="S254" s="24">
        <f>IF($J254="","",INDEX(lista_dias,WEEKDAY($J254,2)))</f>
        <v/>
      </c>
      <c r="T254" s="24">
        <f>IF($J254="","",IFERROR(INDEX('CALENDARIO'!$C$15:$C$214,MATCH(TEXT($J254,"yyyy-mm-dd")&amp;"|"&amp;$Y254&amp;"|"&amp;$Z254,'CALENDARIO'!$G$15:$G$214,0)),IFERROR(INDEX('CALENDARIO'!$C$15:$C$214,MATCH(TEXT($J254,"yyyy-mm-dd")&amp;"|"&amp;$Y254&amp;"|",'CALENDARIO'!$G$15:$G$214,0)),IFERROR(INDEX('CALENDARIO'!$C$15:$C$214,MATCH(TEXT($J254,"yyyy-mm-dd")&amp;"||",'CALENDARIO'!$G$15:$G$214,0)),INDEX(patronHabil,WEEKDAY($J254,2))))))</f>
        <v/>
      </c>
      <c r="U254" s="24">
        <f>IF($I254="","",IFERROR(INDEX('CAT_TIPOS_OT'!$C$4:$C$23,MATCH($I254,'CAT_TIPOS_OT'!$A$4:$A$23,0)),"sin_clasificar"))</f>
        <v/>
      </c>
      <c r="V254" s="24">
        <f>IF($I254="","",IF(IFERROR(INDEX('CAT_TIPOS_OT'!$D$4:$D$23,MATCH($I254,'CAT_TIPOS_OT'!$A$4:$A$23,0)),"SIN CLASIFICAR")="","SIN CLASIFICAR",IFERROR(INDEX('CAT_TIPOS_OT'!$D$4:$D$23,MATCH($I254,'CAT_TIPOS_OT'!$A$4:$A$23,0)),"SIN CLASIFICAR")))</f>
        <v/>
      </c>
      <c r="W254" s="24">
        <f>IF($H254="","",IF(IFERROR(INDEX('CAT_ACTIVIDADES'!$F$4:$F$26,MATCH($H254,'CAT_ACTIVIDADES'!$A$4:$A$26,0)),"")=0,"",IFERROR(INDEX('CAT_ACTIVIDADES'!$F$4:$F$26,MATCH($H254,'CAT_ACTIVIDADES'!$A$4:$A$26,0)),"")))</f>
        <v/>
      </c>
      <c r="X254" s="24">
        <f>IF($F254="","",IFERROR(INDEX('CAT_CENTROS_COSTO'!$F$4:$F$28,MATCH($F254,'CAT_CENTROS_COSTO'!$A$4:$A$28,0)),"(sin catálogo)"))</f>
        <v/>
      </c>
      <c r="Y254" s="24">
        <f>IF($F254="","",IFERROR(INDEX('CAT_CENTROS_COSTO'!$D$4:$D$28,MATCH($F254,'CAT_CENTROS_COSTO'!$A$4:$A$28,0)),"(sin catálogo)"))</f>
        <v/>
      </c>
      <c r="Z254" s="24">
        <f>IF($F254="","",IF((IFERROR(INDEX('CAT_CENTROS_COSTO'!$E$4:$E$28,MATCH($F254,'CAT_CENTROS_COSTO'!$A$4:$A$28,0)),""))&lt;&gt;"",IFERROR(INDEX('CAT_CENTROS_COSTO'!$E$4:$E$28,MATCH($F254,'CAT_CENTROS_COSTO'!$A$4:$A$28,0)),""),$Y254))</f>
        <v/>
      </c>
      <c r="AA254" s="24">
        <f>IF($F254="","",IFERROR(INDEX('CAT_CENTROS_COSTO'!$G$4:$G$28,MATCH($F254,'CAT_CENTROS_COSTO'!$A$4:$A$28,0)),"(sin catálogo)"))</f>
        <v/>
      </c>
      <c r="AB254" s="24">
        <f>IF($G254="","",IFERROR(INDEX('CAT_PUESTOS'!$B$4:$B$23,MATCH($G254,'CAT_PUESTOS'!$A$4:$A$23,0)),"(sin catálogo)"))</f>
        <v/>
      </c>
      <c r="AC254" s="24">
        <f>IF($H254="","",IFERROR(INDEX('CAT_ACTIVIDADES'!$B$4:$B$26,MATCH($H254,'CAT_ACTIVIDADES'!$A$4:$A$26,0)),"(sin catálogo)"))</f>
        <v/>
      </c>
      <c r="AD254" s="26">
        <f>IF($J254="","",TODAY()-$J254)</f>
        <v/>
      </c>
      <c r="AE254" s="26">
        <f>IF($J254="","",IF($J254&lt;=TODAY(),COUNTIFS(cal_fechas,"&gt;="&amp;$J254,cal_fechas,"&lt;"&amp;TODAY(),cal_habil,"sí"),-COUNTIFS(cal_fechas,"&gt;="&amp;TODAY(),cal_fechas,"&lt;"&amp;$J254,cal_habil,"sí")))</f>
        <v/>
      </c>
      <c r="AF254" s="24">
        <f>IF($AE254="","",IF($AE254&lt;0,"FUTURO",IF($AE254&gt;p_dias_backlog_max,"BACKLOG","MES CORRIENTE")))</f>
        <v/>
      </c>
      <c r="AG254" s="24">
        <f>IF($AE254="",FALSE,AND($AE254&gt;p_dias_backlog_min,$AE254&lt;=p_dias_backlog_max))</f>
        <v/>
      </c>
      <c r="AH254" s="4" t="n"/>
      <c r="AI254" s="24">
        <f>IF($AH254="","",IF((IFERROR(INDEX('ASIGNACIONES'!$J$4:$J$451,MATCH($O254&amp;"|"&amp;$S254&amp;"|"&amp;$AH254,'ASIGNACIONES'!$N$4:$N$451,0)),""))=0,"",IFERROR(INDEX('ASIGNACIONES'!$J$4:$J$451,MATCH($O254&amp;"|"&amp;$S254&amp;"|"&amp;$AH254,'ASIGNACIONES'!$N$4:$N$451,0)),"")))</f>
        <v/>
      </c>
      <c r="AJ254" s="42">
        <f>IF($AH254="","",SUMIFS('ORDENES'!$M$4:$M$1203,'ORDENES'!$AH$4:$AH$1203,$AH254,'ORDENES'!$O$4:$O$1203,$O254,'ORDENES'!$S$4:$S$1203,$S254))</f>
        <v/>
      </c>
      <c r="AK254" s="42">
        <f>IF($AJ254="","",p_factor_productividad*IFERROR(INDEX('ASIGNACIONES'!$M$4:$M$451,MATCH($O254&amp;"|"&amp;$S254&amp;"|"&amp;$AH254,'ASIGNACIONES'!$N$4:$N$451,0)),0)-$AJ254)</f>
        <v/>
      </c>
      <c r="AL254" s="32">
        <f>IF($A254="","",IFERROR(INDEX('2_IMPORTAR_EJECUCION'!$F$9:$F$1208,MATCH($AU254,'2_IMPORTAR_EJECUCION'!$J$9:$J$1208,0)),0))</f>
        <v/>
      </c>
      <c r="AM254" s="32">
        <f>IF($A254="","",MAX(0,IFERROR(INDEX('2_IMPORTAR_EJECUCION'!$H$9:$H$1208,MATCH($AU254,'2_IMPORTAR_EJECUCION'!$J$9:$J$1208,0)),0)-$AL254))</f>
        <v/>
      </c>
      <c r="AN254" s="32">
        <f>IF($A254="","",$AL254+$AM254)</f>
        <v/>
      </c>
      <c r="AO254" s="24">
        <f>IF($A254="","",IF(OR((IFERROR(INDEX('CAT_ACTIVIDADES'!$D$4:$D$26,MATCH($H254,'CAT_ACTIVIDADES'!$A$4:$A$26,0)),""))=0,(IFERROR(INDEX('CAT_ACTIVIDADES'!$D$4:$D$26,MATCH($H254,'CAT_ACTIVIDADES'!$A$4:$A$26,0)),""))=""),"SIN CLASIFICAR",IFERROR(INDEX('CAT_ACTIVIDADES'!$D$4:$D$26,MATCH($H254,'CAT_ACTIVIDADES'!$A$4:$A$26,0)),"")))</f>
        <v/>
      </c>
      <c r="AP254" s="4" t="n"/>
      <c r="AQ254" s="4" t="n"/>
      <c r="AR254" s="4" t="n"/>
      <c r="AS254" s="24">
        <f>IF($AR254="","",HYPERLINK(p_ruta_base_checklists&amp;$AR254,"abrir"))</f>
        <v/>
      </c>
      <c r="AT254" s="4" t="n"/>
      <c r="AU254" s="24">
        <f>IF($A254="","",$A254&amp;IF($B254="","0010",$B254))</f>
        <v/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41" t="n"/>
      <c r="K255" s="5" t="n"/>
      <c r="L255" s="18" t="n"/>
      <c r="M255" s="24">
        <f>IF($A255="","",IFERROR(INDEX('AJUSTES'!$B$4:$B$303,MATCH($AU255,'AJUSTES'!$A$4:$A$303,0)),IF($K255="","",$K255)))</f>
        <v/>
      </c>
      <c r="N255" s="24">
        <f>IF($A255="","",IFERROR(INDEX('CAT_ESTADOS_ERP'!$B$4:$B$22,MATCH(IFERROR(INDEX('2_IMPORTAR_EJECUCION'!$C$9:$C$1208,MATCH($AU255,'2_IMPORTAR_EJECUCION'!$J$9:$J$1208,0)),""),'CAT_ESTADOS_ERP'!$A$4:$A$22,0)),"Pendiente"))</f>
        <v/>
      </c>
      <c r="O255" s="24">
        <f>IF($J255="","",YEAR($J255+4-WEEKDAY($J255,2))&amp;"-S"&amp;TEXT(_xlfn.ISOWEEKNUM($J255),"00"))</f>
        <v/>
      </c>
      <c r="P255" s="24">
        <f>IF($J255="","",YEAR($J255))</f>
        <v/>
      </c>
      <c r="Q255" s="24">
        <f>IF($J255="","",MONTH($J255))</f>
        <v/>
      </c>
      <c r="R255" s="24">
        <f>IF($J255="","",$P255&amp;"-"&amp;TEXT($Q255,"00"))</f>
        <v/>
      </c>
      <c r="S255" s="24">
        <f>IF($J255="","",INDEX(lista_dias,WEEKDAY($J255,2)))</f>
        <v/>
      </c>
      <c r="T255" s="24">
        <f>IF($J255="","",IFERROR(INDEX('CALENDARIO'!$C$15:$C$214,MATCH(TEXT($J255,"yyyy-mm-dd")&amp;"|"&amp;$Y255&amp;"|"&amp;$Z255,'CALENDARIO'!$G$15:$G$214,0)),IFERROR(INDEX('CALENDARIO'!$C$15:$C$214,MATCH(TEXT($J255,"yyyy-mm-dd")&amp;"|"&amp;$Y255&amp;"|",'CALENDARIO'!$G$15:$G$214,0)),IFERROR(INDEX('CALENDARIO'!$C$15:$C$214,MATCH(TEXT($J255,"yyyy-mm-dd")&amp;"||",'CALENDARIO'!$G$15:$G$214,0)),INDEX(patronHabil,WEEKDAY($J255,2))))))</f>
        <v/>
      </c>
      <c r="U255" s="24">
        <f>IF($I255="","",IFERROR(INDEX('CAT_TIPOS_OT'!$C$4:$C$23,MATCH($I255,'CAT_TIPOS_OT'!$A$4:$A$23,0)),"sin_clasificar"))</f>
        <v/>
      </c>
      <c r="V255" s="24">
        <f>IF($I255="","",IF(IFERROR(INDEX('CAT_TIPOS_OT'!$D$4:$D$23,MATCH($I255,'CAT_TIPOS_OT'!$A$4:$A$23,0)),"SIN CLASIFICAR")="","SIN CLASIFICAR",IFERROR(INDEX('CAT_TIPOS_OT'!$D$4:$D$23,MATCH($I255,'CAT_TIPOS_OT'!$A$4:$A$23,0)),"SIN CLASIFICAR")))</f>
        <v/>
      </c>
      <c r="W255" s="24">
        <f>IF($H255="","",IF(IFERROR(INDEX('CAT_ACTIVIDADES'!$F$4:$F$26,MATCH($H255,'CAT_ACTIVIDADES'!$A$4:$A$26,0)),"")=0,"",IFERROR(INDEX('CAT_ACTIVIDADES'!$F$4:$F$26,MATCH($H255,'CAT_ACTIVIDADES'!$A$4:$A$26,0)),"")))</f>
        <v/>
      </c>
      <c r="X255" s="24">
        <f>IF($F255="","",IFERROR(INDEX('CAT_CENTROS_COSTO'!$F$4:$F$28,MATCH($F255,'CAT_CENTROS_COSTO'!$A$4:$A$28,0)),"(sin catálogo)"))</f>
        <v/>
      </c>
      <c r="Y255" s="24">
        <f>IF($F255="","",IFERROR(INDEX('CAT_CENTROS_COSTO'!$D$4:$D$28,MATCH($F255,'CAT_CENTROS_COSTO'!$A$4:$A$28,0)),"(sin catálogo)"))</f>
        <v/>
      </c>
      <c r="Z255" s="24">
        <f>IF($F255="","",IF((IFERROR(INDEX('CAT_CENTROS_COSTO'!$E$4:$E$28,MATCH($F255,'CAT_CENTROS_COSTO'!$A$4:$A$28,0)),""))&lt;&gt;"",IFERROR(INDEX('CAT_CENTROS_COSTO'!$E$4:$E$28,MATCH($F255,'CAT_CENTROS_COSTO'!$A$4:$A$28,0)),""),$Y255))</f>
        <v/>
      </c>
      <c r="AA255" s="24">
        <f>IF($F255="","",IFERROR(INDEX('CAT_CENTROS_COSTO'!$G$4:$G$28,MATCH($F255,'CAT_CENTROS_COSTO'!$A$4:$A$28,0)),"(sin catálogo)"))</f>
        <v/>
      </c>
      <c r="AB255" s="24">
        <f>IF($G255="","",IFERROR(INDEX('CAT_PUESTOS'!$B$4:$B$23,MATCH($G255,'CAT_PUESTOS'!$A$4:$A$23,0)),"(sin catálogo)"))</f>
        <v/>
      </c>
      <c r="AC255" s="24">
        <f>IF($H255="","",IFERROR(INDEX('CAT_ACTIVIDADES'!$B$4:$B$26,MATCH($H255,'CAT_ACTIVIDADES'!$A$4:$A$26,0)),"(sin catálogo)"))</f>
        <v/>
      </c>
      <c r="AD255" s="26">
        <f>IF($J255="","",TODAY()-$J255)</f>
        <v/>
      </c>
      <c r="AE255" s="26">
        <f>IF($J255="","",IF($J255&lt;=TODAY(),COUNTIFS(cal_fechas,"&gt;="&amp;$J255,cal_fechas,"&lt;"&amp;TODAY(),cal_habil,"sí"),-COUNTIFS(cal_fechas,"&gt;="&amp;TODAY(),cal_fechas,"&lt;"&amp;$J255,cal_habil,"sí")))</f>
        <v/>
      </c>
      <c r="AF255" s="24">
        <f>IF($AE255="","",IF($AE255&lt;0,"FUTURO",IF($AE255&gt;p_dias_backlog_max,"BACKLOG","MES CORRIENTE")))</f>
        <v/>
      </c>
      <c r="AG255" s="24">
        <f>IF($AE255="",FALSE,AND($AE255&gt;p_dias_backlog_min,$AE255&lt;=p_dias_backlog_max))</f>
        <v/>
      </c>
      <c r="AH255" s="4" t="n"/>
      <c r="AI255" s="24">
        <f>IF($AH255="","",IF((IFERROR(INDEX('ASIGNACIONES'!$J$4:$J$451,MATCH($O255&amp;"|"&amp;$S255&amp;"|"&amp;$AH255,'ASIGNACIONES'!$N$4:$N$451,0)),""))=0,"",IFERROR(INDEX('ASIGNACIONES'!$J$4:$J$451,MATCH($O255&amp;"|"&amp;$S255&amp;"|"&amp;$AH255,'ASIGNACIONES'!$N$4:$N$451,0)),"")))</f>
        <v/>
      </c>
      <c r="AJ255" s="42">
        <f>IF($AH255="","",SUMIFS('ORDENES'!$M$4:$M$1203,'ORDENES'!$AH$4:$AH$1203,$AH255,'ORDENES'!$O$4:$O$1203,$O255,'ORDENES'!$S$4:$S$1203,$S255))</f>
        <v/>
      </c>
      <c r="AK255" s="42">
        <f>IF($AJ255="","",p_factor_productividad*IFERROR(INDEX('ASIGNACIONES'!$M$4:$M$451,MATCH($O255&amp;"|"&amp;$S255&amp;"|"&amp;$AH255,'ASIGNACIONES'!$N$4:$N$451,0)),0)-$AJ255)</f>
        <v/>
      </c>
      <c r="AL255" s="32">
        <f>IF($A255="","",IFERROR(INDEX('2_IMPORTAR_EJECUCION'!$F$9:$F$1208,MATCH($AU255,'2_IMPORTAR_EJECUCION'!$J$9:$J$1208,0)),0))</f>
        <v/>
      </c>
      <c r="AM255" s="32">
        <f>IF($A255="","",MAX(0,IFERROR(INDEX('2_IMPORTAR_EJECUCION'!$H$9:$H$1208,MATCH($AU255,'2_IMPORTAR_EJECUCION'!$J$9:$J$1208,0)),0)-$AL255))</f>
        <v/>
      </c>
      <c r="AN255" s="32">
        <f>IF($A255="","",$AL255+$AM255)</f>
        <v/>
      </c>
      <c r="AO255" s="24">
        <f>IF($A255="","",IF(OR((IFERROR(INDEX('CAT_ACTIVIDADES'!$D$4:$D$26,MATCH($H255,'CAT_ACTIVIDADES'!$A$4:$A$26,0)),""))=0,(IFERROR(INDEX('CAT_ACTIVIDADES'!$D$4:$D$26,MATCH($H255,'CAT_ACTIVIDADES'!$A$4:$A$26,0)),""))=""),"SIN CLASIFICAR",IFERROR(INDEX('CAT_ACTIVIDADES'!$D$4:$D$26,MATCH($H255,'CAT_ACTIVIDADES'!$A$4:$A$26,0)),"")))</f>
        <v/>
      </c>
      <c r="AP255" s="4" t="n"/>
      <c r="AQ255" s="4" t="n"/>
      <c r="AR255" s="4" t="n"/>
      <c r="AS255" s="24">
        <f>IF($AR255="","",HYPERLINK(p_ruta_base_checklists&amp;$AR255,"abrir"))</f>
        <v/>
      </c>
      <c r="AT255" s="4" t="n"/>
      <c r="AU255" s="24">
        <f>IF($A255="","",$A255&amp;IF($B255="","0010",$B255))</f>
        <v/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41" t="n"/>
      <c r="K256" s="5" t="n"/>
      <c r="L256" s="18" t="n"/>
      <c r="M256" s="24">
        <f>IF($A256="","",IFERROR(INDEX('AJUSTES'!$B$4:$B$303,MATCH($AU256,'AJUSTES'!$A$4:$A$303,0)),IF($K256="","",$K256)))</f>
        <v/>
      </c>
      <c r="N256" s="24">
        <f>IF($A256="","",IFERROR(INDEX('CAT_ESTADOS_ERP'!$B$4:$B$22,MATCH(IFERROR(INDEX('2_IMPORTAR_EJECUCION'!$C$9:$C$1208,MATCH($AU256,'2_IMPORTAR_EJECUCION'!$J$9:$J$1208,0)),""),'CAT_ESTADOS_ERP'!$A$4:$A$22,0)),"Pendiente"))</f>
        <v/>
      </c>
      <c r="O256" s="24">
        <f>IF($J256="","",YEAR($J256+4-WEEKDAY($J256,2))&amp;"-S"&amp;TEXT(_xlfn.ISOWEEKNUM($J256),"00"))</f>
        <v/>
      </c>
      <c r="P256" s="24">
        <f>IF($J256="","",YEAR($J256))</f>
        <v/>
      </c>
      <c r="Q256" s="24">
        <f>IF($J256="","",MONTH($J256))</f>
        <v/>
      </c>
      <c r="R256" s="24">
        <f>IF($J256="","",$P256&amp;"-"&amp;TEXT($Q256,"00"))</f>
        <v/>
      </c>
      <c r="S256" s="24">
        <f>IF($J256="","",INDEX(lista_dias,WEEKDAY($J256,2)))</f>
        <v/>
      </c>
      <c r="T256" s="24">
        <f>IF($J256="","",IFERROR(INDEX('CALENDARIO'!$C$15:$C$214,MATCH(TEXT($J256,"yyyy-mm-dd")&amp;"|"&amp;$Y256&amp;"|"&amp;$Z256,'CALENDARIO'!$G$15:$G$214,0)),IFERROR(INDEX('CALENDARIO'!$C$15:$C$214,MATCH(TEXT($J256,"yyyy-mm-dd")&amp;"|"&amp;$Y256&amp;"|",'CALENDARIO'!$G$15:$G$214,0)),IFERROR(INDEX('CALENDARIO'!$C$15:$C$214,MATCH(TEXT($J256,"yyyy-mm-dd")&amp;"||",'CALENDARIO'!$G$15:$G$214,0)),INDEX(patronHabil,WEEKDAY($J256,2))))))</f>
        <v/>
      </c>
      <c r="U256" s="24">
        <f>IF($I256="","",IFERROR(INDEX('CAT_TIPOS_OT'!$C$4:$C$23,MATCH($I256,'CAT_TIPOS_OT'!$A$4:$A$23,0)),"sin_clasificar"))</f>
        <v/>
      </c>
      <c r="V256" s="24">
        <f>IF($I256="","",IF(IFERROR(INDEX('CAT_TIPOS_OT'!$D$4:$D$23,MATCH($I256,'CAT_TIPOS_OT'!$A$4:$A$23,0)),"SIN CLASIFICAR")="","SIN CLASIFICAR",IFERROR(INDEX('CAT_TIPOS_OT'!$D$4:$D$23,MATCH($I256,'CAT_TIPOS_OT'!$A$4:$A$23,0)),"SIN CLASIFICAR")))</f>
        <v/>
      </c>
      <c r="W256" s="24">
        <f>IF($H256="","",IF(IFERROR(INDEX('CAT_ACTIVIDADES'!$F$4:$F$26,MATCH($H256,'CAT_ACTIVIDADES'!$A$4:$A$26,0)),"")=0,"",IFERROR(INDEX('CAT_ACTIVIDADES'!$F$4:$F$26,MATCH($H256,'CAT_ACTIVIDADES'!$A$4:$A$26,0)),"")))</f>
        <v/>
      </c>
      <c r="X256" s="24">
        <f>IF($F256="","",IFERROR(INDEX('CAT_CENTROS_COSTO'!$F$4:$F$28,MATCH($F256,'CAT_CENTROS_COSTO'!$A$4:$A$28,0)),"(sin catálogo)"))</f>
        <v/>
      </c>
      <c r="Y256" s="24">
        <f>IF($F256="","",IFERROR(INDEX('CAT_CENTROS_COSTO'!$D$4:$D$28,MATCH($F256,'CAT_CENTROS_COSTO'!$A$4:$A$28,0)),"(sin catálogo)"))</f>
        <v/>
      </c>
      <c r="Z256" s="24">
        <f>IF($F256="","",IF((IFERROR(INDEX('CAT_CENTROS_COSTO'!$E$4:$E$28,MATCH($F256,'CAT_CENTROS_COSTO'!$A$4:$A$28,0)),""))&lt;&gt;"",IFERROR(INDEX('CAT_CENTROS_COSTO'!$E$4:$E$28,MATCH($F256,'CAT_CENTROS_COSTO'!$A$4:$A$28,0)),""),$Y256))</f>
        <v/>
      </c>
      <c r="AA256" s="24">
        <f>IF($F256="","",IFERROR(INDEX('CAT_CENTROS_COSTO'!$G$4:$G$28,MATCH($F256,'CAT_CENTROS_COSTO'!$A$4:$A$28,0)),"(sin catálogo)"))</f>
        <v/>
      </c>
      <c r="AB256" s="24">
        <f>IF($G256="","",IFERROR(INDEX('CAT_PUESTOS'!$B$4:$B$23,MATCH($G256,'CAT_PUESTOS'!$A$4:$A$23,0)),"(sin catálogo)"))</f>
        <v/>
      </c>
      <c r="AC256" s="24">
        <f>IF($H256="","",IFERROR(INDEX('CAT_ACTIVIDADES'!$B$4:$B$26,MATCH($H256,'CAT_ACTIVIDADES'!$A$4:$A$26,0)),"(sin catálogo)"))</f>
        <v/>
      </c>
      <c r="AD256" s="26">
        <f>IF($J256="","",TODAY()-$J256)</f>
        <v/>
      </c>
      <c r="AE256" s="26">
        <f>IF($J256="","",IF($J256&lt;=TODAY(),COUNTIFS(cal_fechas,"&gt;="&amp;$J256,cal_fechas,"&lt;"&amp;TODAY(),cal_habil,"sí"),-COUNTIFS(cal_fechas,"&gt;="&amp;TODAY(),cal_fechas,"&lt;"&amp;$J256,cal_habil,"sí")))</f>
        <v/>
      </c>
      <c r="AF256" s="24">
        <f>IF($AE256="","",IF($AE256&lt;0,"FUTURO",IF($AE256&gt;p_dias_backlog_max,"BACKLOG","MES CORRIENTE")))</f>
        <v/>
      </c>
      <c r="AG256" s="24">
        <f>IF($AE256="",FALSE,AND($AE256&gt;p_dias_backlog_min,$AE256&lt;=p_dias_backlog_max))</f>
        <v/>
      </c>
      <c r="AH256" s="4" t="n"/>
      <c r="AI256" s="24">
        <f>IF($AH256="","",IF((IFERROR(INDEX('ASIGNACIONES'!$J$4:$J$451,MATCH($O256&amp;"|"&amp;$S256&amp;"|"&amp;$AH256,'ASIGNACIONES'!$N$4:$N$451,0)),""))=0,"",IFERROR(INDEX('ASIGNACIONES'!$J$4:$J$451,MATCH($O256&amp;"|"&amp;$S256&amp;"|"&amp;$AH256,'ASIGNACIONES'!$N$4:$N$451,0)),"")))</f>
        <v/>
      </c>
      <c r="AJ256" s="42">
        <f>IF($AH256="","",SUMIFS('ORDENES'!$M$4:$M$1203,'ORDENES'!$AH$4:$AH$1203,$AH256,'ORDENES'!$O$4:$O$1203,$O256,'ORDENES'!$S$4:$S$1203,$S256))</f>
        <v/>
      </c>
      <c r="AK256" s="42">
        <f>IF($AJ256="","",p_factor_productividad*IFERROR(INDEX('ASIGNACIONES'!$M$4:$M$451,MATCH($O256&amp;"|"&amp;$S256&amp;"|"&amp;$AH256,'ASIGNACIONES'!$N$4:$N$451,0)),0)-$AJ256)</f>
        <v/>
      </c>
      <c r="AL256" s="32">
        <f>IF($A256="","",IFERROR(INDEX('2_IMPORTAR_EJECUCION'!$F$9:$F$1208,MATCH($AU256,'2_IMPORTAR_EJECUCION'!$J$9:$J$1208,0)),0))</f>
        <v/>
      </c>
      <c r="AM256" s="32">
        <f>IF($A256="","",MAX(0,IFERROR(INDEX('2_IMPORTAR_EJECUCION'!$H$9:$H$1208,MATCH($AU256,'2_IMPORTAR_EJECUCION'!$J$9:$J$1208,0)),0)-$AL256))</f>
        <v/>
      </c>
      <c r="AN256" s="32">
        <f>IF($A256="","",$AL256+$AM256)</f>
        <v/>
      </c>
      <c r="AO256" s="24">
        <f>IF($A256="","",IF(OR((IFERROR(INDEX('CAT_ACTIVIDADES'!$D$4:$D$26,MATCH($H256,'CAT_ACTIVIDADES'!$A$4:$A$26,0)),""))=0,(IFERROR(INDEX('CAT_ACTIVIDADES'!$D$4:$D$26,MATCH($H256,'CAT_ACTIVIDADES'!$A$4:$A$26,0)),""))=""),"SIN CLASIFICAR",IFERROR(INDEX('CAT_ACTIVIDADES'!$D$4:$D$26,MATCH($H256,'CAT_ACTIVIDADES'!$A$4:$A$26,0)),"")))</f>
        <v/>
      </c>
      <c r="AP256" s="4" t="n"/>
      <c r="AQ256" s="4" t="n"/>
      <c r="AR256" s="4" t="n"/>
      <c r="AS256" s="24">
        <f>IF($AR256="","",HYPERLINK(p_ruta_base_checklists&amp;$AR256,"abrir"))</f>
        <v/>
      </c>
      <c r="AT256" s="4" t="n"/>
      <c r="AU256" s="24">
        <f>IF($A256="","",$A256&amp;IF($B256="","0010",$B256))</f>
        <v/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41" t="n"/>
      <c r="K257" s="5" t="n"/>
      <c r="L257" s="18" t="n"/>
      <c r="M257" s="24">
        <f>IF($A257="","",IFERROR(INDEX('AJUSTES'!$B$4:$B$303,MATCH($AU257,'AJUSTES'!$A$4:$A$303,0)),IF($K257="","",$K257)))</f>
        <v/>
      </c>
      <c r="N257" s="24">
        <f>IF($A257="","",IFERROR(INDEX('CAT_ESTADOS_ERP'!$B$4:$B$22,MATCH(IFERROR(INDEX('2_IMPORTAR_EJECUCION'!$C$9:$C$1208,MATCH($AU257,'2_IMPORTAR_EJECUCION'!$J$9:$J$1208,0)),""),'CAT_ESTADOS_ERP'!$A$4:$A$22,0)),"Pendiente"))</f>
        <v/>
      </c>
      <c r="O257" s="24">
        <f>IF($J257="","",YEAR($J257+4-WEEKDAY($J257,2))&amp;"-S"&amp;TEXT(_xlfn.ISOWEEKNUM($J257),"00"))</f>
        <v/>
      </c>
      <c r="P257" s="24">
        <f>IF($J257="","",YEAR($J257))</f>
        <v/>
      </c>
      <c r="Q257" s="24">
        <f>IF($J257="","",MONTH($J257))</f>
        <v/>
      </c>
      <c r="R257" s="24">
        <f>IF($J257="","",$P257&amp;"-"&amp;TEXT($Q257,"00"))</f>
        <v/>
      </c>
      <c r="S257" s="24">
        <f>IF($J257="","",INDEX(lista_dias,WEEKDAY($J257,2)))</f>
        <v/>
      </c>
      <c r="T257" s="24">
        <f>IF($J257="","",IFERROR(INDEX('CALENDARIO'!$C$15:$C$214,MATCH(TEXT($J257,"yyyy-mm-dd")&amp;"|"&amp;$Y257&amp;"|"&amp;$Z257,'CALENDARIO'!$G$15:$G$214,0)),IFERROR(INDEX('CALENDARIO'!$C$15:$C$214,MATCH(TEXT($J257,"yyyy-mm-dd")&amp;"|"&amp;$Y257&amp;"|",'CALENDARIO'!$G$15:$G$214,0)),IFERROR(INDEX('CALENDARIO'!$C$15:$C$214,MATCH(TEXT($J257,"yyyy-mm-dd")&amp;"||",'CALENDARIO'!$G$15:$G$214,0)),INDEX(patronHabil,WEEKDAY($J257,2))))))</f>
        <v/>
      </c>
      <c r="U257" s="24">
        <f>IF($I257="","",IFERROR(INDEX('CAT_TIPOS_OT'!$C$4:$C$23,MATCH($I257,'CAT_TIPOS_OT'!$A$4:$A$23,0)),"sin_clasificar"))</f>
        <v/>
      </c>
      <c r="V257" s="24">
        <f>IF($I257="","",IF(IFERROR(INDEX('CAT_TIPOS_OT'!$D$4:$D$23,MATCH($I257,'CAT_TIPOS_OT'!$A$4:$A$23,0)),"SIN CLASIFICAR")="","SIN CLASIFICAR",IFERROR(INDEX('CAT_TIPOS_OT'!$D$4:$D$23,MATCH($I257,'CAT_TIPOS_OT'!$A$4:$A$23,0)),"SIN CLASIFICAR")))</f>
        <v/>
      </c>
      <c r="W257" s="24">
        <f>IF($H257="","",IF(IFERROR(INDEX('CAT_ACTIVIDADES'!$F$4:$F$26,MATCH($H257,'CAT_ACTIVIDADES'!$A$4:$A$26,0)),"")=0,"",IFERROR(INDEX('CAT_ACTIVIDADES'!$F$4:$F$26,MATCH($H257,'CAT_ACTIVIDADES'!$A$4:$A$26,0)),"")))</f>
        <v/>
      </c>
      <c r="X257" s="24">
        <f>IF($F257="","",IFERROR(INDEX('CAT_CENTROS_COSTO'!$F$4:$F$28,MATCH($F257,'CAT_CENTROS_COSTO'!$A$4:$A$28,0)),"(sin catálogo)"))</f>
        <v/>
      </c>
      <c r="Y257" s="24">
        <f>IF($F257="","",IFERROR(INDEX('CAT_CENTROS_COSTO'!$D$4:$D$28,MATCH($F257,'CAT_CENTROS_COSTO'!$A$4:$A$28,0)),"(sin catálogo)"))</f>
        <v/>
      </c>
      <c r="Z257" s="24">
        <f>IF($F257="","",IF((IFERROR(INDEX('CAT_CENTROS_COSTO'!$E$4:$E$28,MATCH($F257,'CAT_CENTROS_COSTO'!$A$4:$A$28,0)),""))&lt;&gt;"",IFERROR(INDEX('CAT_CENTROS_COSTO'!$E$4:$E$28,MATCH($F257,'CAT_CENTROS_COSTO'!$A$4:$A$28,0)),""),$Y257))</f>
        <v/>
      </c>
      <c r="AA257" s="24">
        <f>IF($F257="","",IFERROR(INDEX('CAT_CENTROS_COSTO'!$G$4:$G$28,MATCH($F257,'CAT_CENTROS_COSTO'!$A$4:$A$28,0)),"(sin catálogo)"))</f>
        <v/>
      </c>
      <c r="AB257" s="24">
        <f>IF($G257="","",IFERROR(INDEX('CAT_PUESTOS'!$B$4:$B$23,MATCH($G257,'CAT_PUESTOS'!$A$4:$A$23,0)),"(sin catálogo)"))</f>
        <v/>
      </c>
      <c r="AC257" s="24">
        <f>IF($H257="","",IFERROR(INDEX('CAT_ACTIVIDADES'!$B$4:$B$26,MATCH($H257,'CAT_ACTIVIDADES'!$A$4:$A$26,0)),"(sin catálogo)"))</f>
        <v/>
      </c>
      <c r="AD257" s="26">
        <f>IF($J257="","",TODAY()-$J257)</f>
        <v/>
      </c>
      <c r="AE257" s="26">
        <f>IF($J257="","",IF($J257&lt;=TODAY(),COUNTIFS(cal_fechas,"&gt;="&amp;$J257,cal_fechas,"&lt;"&amp;TODAY(),cal_habil,"sí"),-COUNTIFS(cal_fechas,"&gt;="&amp;TODAY(),cal_fechas,"&lt;"&amp;$J257,cal_habil,"sí")))</f>
        <v/>
      </c>
      <c r="AF257" s="24">
        <f>IF($AE257="","",IF($AE257&lt;0,"FUTURO",IF($AE257&gt;p_dias_backlog_max,"BACKLOG","MES CORRIENTE")))</f>
        <v/>
      </c>
      <c r="AG257" s="24">
        <f>IF($AE257="",FALSE,AND($AE257&gt;p_dias_backlog_min,$AE257&lt;=p_dias_backlog_max))</f>
        <v/>
      </c>
      <c r="AH257" s="4" t="n"/>
      <c r="AI257" s="24">
        <f>IF($AH257="","",IF((IFERROR(INDEX('ASIGNACIONES'!$J$4:$J$451,MATCH($O257&amp;"|"&amp;$S257&amp;"|"&amp;$AH257,'ASIGNACIONES'!$N$4:$N$451,0)),""))=0,"",IFERROR(INDEX('ASIGNACIONES'!$J$4:$J$451,MATCH($O257&amp;"|"&amp;$S257&amp;"|"&amp;$AH257,'ASIGNACIONES'!$N$4:$N$451,0)),"")))</f>
        <v/>
      </c>
      <c r="AJ257" s="42">
        <f>IF($AH257="","",SUMIFS('ORDENES'!$M$4:$M$1203,'ORDENES'!$AH$4:$AH$1203,$AH257,'ORDENES'!$O$4:$O$1203,$O257,'ORDENES'!$S$4:$S$1203,$S257))</f>
        <v/>
      </c>
      <c r="AK257" s="42">
        <f>IF($AJ257="","",p_factor_productividad*IFERROR(INDEX('ASIGNACIONES'!$M$4:$M$451,MATCH($O257&amp;"|"&amp;$S257&amp;"|"&amp;$AH257,'ASIGNACIONES'!$N$4:$N$451,0)),0)-$AJ257)</f>
        <v/>
      </c>
      <c r="AL257" s="32">
        <f>IF($A257="","",IFERROR(INDEX('2_IMPORTAR_EJECUCION'!$F$9:$F$1208,MATCH($AU257,'2_IMPORTAR_EJECUCION'!$J$9:$J$1208,0)),0))</f>
        <v/>
      </c>
      <c r="AM257" s="32">
        <f>IF($A257="","",MAX(0,IFERROR(INDEX('2_IMPORTAR_EJECUCION'!$H$9:$H$1208,MATCH($AU257,'2_IMPORTAR_EJECUCION'!$J$9:$J$1208,0)),0)-$AL257))</f>
        <v/>
      </c>
      <c r="AN257" s="32">
        <f>IF($A257="","",$AL257+$AM257)</f>
        <v/>
      </c>
      <c r="AO257" s="24">
        <f>IF($A257="","",IF(OR((IFERROR(INDEX('CAT_ACTIVIDADES'!$D$4:$D$26,MATCH($H257,'CAT_ACTIVIDADES'!$A$4:$A$26,0)),""))=0,(IFERROR(INDEX('CAT_ACTIVIDADES'!$D$4:$D$26,MATCH($H257,'CAT_ACTIVIDADES'!$A$4:$A$26,0)),""))=""),"SIN CLASIFICAR",IFERROR(INDEX('CAT_ACTIVIDADES'!$D$4:$D$26,MATCH($H257,'CAT_ACTIVIDADES'!$A$4:$A$26,0)),"")))</f>
        <v/>
      </c>
      <c r="AP257" s="4" t="n"/>
      <c r="AQ257" s="4" t="n"/>
      <c r="AR257" s="4" t="n"/>
      <c r="AS257" s="24">
        <f>IF($AR257="","",HYPERLINK(p_ruta_base_checklists&amp;$AR257,"abrir"))</f>
        <v/>
      </c>
      <c r="AT257" s="4" t="n"/>
      <c r="AU257" s="24">
        <f>IF($A257="","",$A257&amp;IF($B257="","0010",$B257))</f>
        <v/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41" t="n"/>
      <c r="K258" s="5" t="n"/>
      <c r="L258" s="18" t="n"/>
      <c r="M258" s="24">
        <f>IF($A258="","",IFERROR(INDEX('AJUSTES'!$B$4:$B$303,MATCH($AU258,'AJUSTES'!$A$4:$A$303,0)),IF($K258="","",$K258)))</f>
        <v/>
      </c>
      <c r="N258" s="24">
        <f>IF($A258="","",IFERROR(INDEX('CAT_ESTADOS_ERP'!$B$4:$B$22,MATCH(IFERROR(INDEX('2_IMPORTAR_EJECUCION'!$C$9:$C$1208,MATCH($AU258,'2_IMPORTAR_EJECUCION'!$J$9:$J$1208,0)),""),'CAT_ESTADOS_ERP'!$A$4:$A$22,0)),"Pendiente"))</f>
        <v/>
      </c>
      <c r="O258" s="24">
        <f>IF($J258="","",YEAR($J258+4-WEEKDAY($J258,2))&amp;"-S"&amp;TEXT(_xlfn.ISOWEEKNUM($J258),"00"))</f>
        <v/>
      </c>
      <c r="P258" s="24">
        <f>IF($J258="","",YEAR($J258))</f>
        <v/>
      </c>
      <c r="Q258" s="24">
        <f>IF($J258="","",MONTH($J258))</f>
        <v/>
      </c>
      <c r="R258" s="24">
        <f>IF($J258="","",$P258&amp;"-"&amp;TEXT($Q258,"00"))</f>
        <v/>
      </c>
      <c r="S258" s="24">
        <f>IF($J258="","",INDEX(lista_dias,WEEKDAY($J258,2)))</f>
        <v/>
      </c>
      <c r="T258" s="24">
        <f>IF($J258="","",IFERROR(INDEX('CALENDARIO'!$C$15:$C$214,MATCH(TEXT($J258,"yyyy-mm-dd")&amp;"|"&amp;$Y258&amp;"|"&amp;$Z258,'CALENDARIO'!$G$15:$G$214,0)),IFERROR(INDEX('CALENDARIO'!$C$15:$C$214,MATCH(TEXT($J258,"yyyy-mm-dd")&amp;"|"&amp;$Y258&amp;"|",'CALENDARIO'!$G$15:$G$214,0)),IFERROR(INDEX('CALENDARIO'!$C$15:$C$214,MATCH(TEXT($J258,"yyyy-mm-dd")&amp;"||",'CALENDARIO'!$G$15:$G$214,0)),INDEX(patronHabil,WEEKDAY($J258,2))))))</f>
        <v/>
      </c>
      <c r="U258" s="24">
        <f>IF($I258="","",IFERROR(INDEX('CAT_TIPOS_OT'!$C$4:$C$23,MATCH($I258,'CAT_TIPOS_OT'!$A$4:$A$23,0)),"sin_clasificar"))</f>
        <v/>
      </c>
      <c r="V258" s="24">
        <f>IF($I258="","",IF(IFERROR(INDEX('CAT_TIPOS_OT'!$D$4:$D$23,MATCH($I258,'CAT_TIPOS_OT'!$A$4:$A$23,0)),"SIN CLASIFICAR")="","SIN CLASIFICAR",IFERROR(INDEX('CAT_TIPOS_OT'!$D$4:$D$23,MATCH($I258,'CAT_TIPOS_OT'!$A$4:$A$23,0)),"SIN CLASIFICAR")))</f>
        <v/>
      </c>
      <c r="W258" s="24">
        <f>IF($H258="","",IF(IFERROR(INDEX('CAT_ACTIVIDADES'!$F$4:$F$26,MATCH($H258,'CAT_ACTIVIDADES'!$A$4:$A$26,0)),"")=0,"",IFERROR(INDEX('CAT_ACTIVIDADES'!$F$4:$F$26,MATCH($H258,'CAT_ACTIVIDADES'!$A$4:$A$26,0)),"")))</f>
        <v/>
      </c>
      <c r="X258" s="24">
        <f>IF($F258="","",IFERROR(INDEX('CAT_CENTROS_COSTO'!$F$4:$F$28,MATCH($F258,'CAT_CENTROS_COSTO'!$A$4:$A$28,0)),"(sin catálogo)"))</f>
        <v/>
      </c>
      <c r="Y258" s="24">
        <f>IF($F258="","",IFERROR(INDEX('CAT_CENTROS_COSTO'!$D$4:$D$28,MATCH($F258,'CAT_CENTROS_COSTO'!$A$4:$A$28,0)),"(sin catálogo)"))</f>
        <v/>
      </c>
      <c r="Z258" s="24">
        <f>IF($F258="","",IF((IFERROR(INDEX('CAT_CENTROS_COSTO'!$E$4:$E$28,MATCH($F258,'CAT_CENTROS_COSTO'!$A$4:$A$28,0)),""))&lt;&gt;"",IFERROR(INDEX('CAT_CENTROS_COSTO'!$E$4:$E$28,MATCH($F258,'CAT_CENTROS_COSTO'!$A$4:$A$28,0)),""),$Y258))</f>
        <v/>
      </c>
      <c r="AA258" s="24">
        <f>IF($F258="","",IFERROR(INDEX('CAT_CENTROS_COSTO'!$G$4:$G$28,MATCH($F258,'CAT_CENTROS_COSTO'!$A$4:$A$28,0)),"(sin catálogo)"))</f>
        <v/>
      </c>
      <c r="AB258" s="24">
        <f>IF($G258="","",IFERROR(INDEX('CAT_PUESTOS'!$B$4:$B$23,MATCH($G258,'CAT_PUESTOS'!$A$4:$A$23,0)),"(sin catálogo)"))</f>
        <v/>
      </c>
      <c r="AC258" s="24">
        <f>IF($H258="","",IFERROR(INDEX('CAT_ACTIVIDADES'!$B$4:$B$26,MATCH($H258,'CAT_ACTIVIDADES'!$A$4:$A$26,0)),"(sin catálogo)"))</f>
        <v/>
      </c>
      <c r="AD258" s="26">
        <f>IF($J258="","",TODAY()-$J258)</f>
        <v/>
      </c>
      <c r="AE258" s="26">
        <f>IF($J258="","",IF($J258&lt;=TODAY(),COUNTIFS(cal_fechas,"&gt;="&amp;$J258,cal_fechas,"&lt;"&amp;TODAY(),cal_habil,"sí"),-COUNTIFS(cal_fechas,"&gt;="&amp;TODAY(),cal_fechas,"&lt;"&amp;$J258,cal_habil,"sí")))</f>
        <v/>
      </c>
      <c r="AF258" s="24">
        <f>IF($AE258="","",IF($AE258&lt;0,"FUTURO",IF($AE258&gt;p_dias_backlog_max,"BACKLOG","MES CORRIENTE")))</f>
        <v/>
      </c>
      <c r="AG258" s="24">
        <f>IF($AE258="",FALSE,AND($AE258&gt;p_dias_backlog_min,$AE258&lt;=p_dias_backlog_max))</f>
        <v/>
      </c>
      <c r="AH258" s="4" t="n"/>
      <c r="AI258" s="24">
        <f>IF($AH258="","",IF((IFERROR(INDEX('ASIGNACIONES'!$J$4:$J$451,MATCH($O258&amp;"|"&amp;$S258&amp;"|"&amp;$AH258,'ASIGNACIONES'!$N$4:$N$451,0)),""))=0,"",IFERROR(INDEX('ASIGNACIONES'!$J$4:$J$451,MATCH($O258&amp;"|"&amp;$S258&amp;"|"&amp;$AH258,'ASIGNACIONES'!$N$4:$N$451,0)),"")))</f>
        <v/>
      </c>
      <c r="AJ258" s="42">
        <f>IF($AH258="","",SUMIFS('ORDENES'!$M$4:$M$1203,'ORDENES'!$AH$4:$AH$1203,$AH258,'ORDENES'!$O$4:$O$1203,$O258,'ORDENES'!$S$4:$S$1203,$S258))</f>
        <v/>
      </c>
      <c r="AK258" s="42">
        <f>IF($AJ258="","",p_factor_productividad*IFERROR(INDEX('ASIGNACIONES'!$M$4:$M$451,MATCH($O258&amp;"|"&amp;$S258&amp;"|"&amp;$AH258,'ASIGNACIONES'!$N$4:$N$451,0)),0)-$AJ258)</f>
        <v/>
      </c>
      <c r="AL258" s="32">
        <f>IF($A258="","",IFERROR(INDEX('2_IMPORTAR_EJECUCION'!$F$9:$F$1208,MATCH($AU258,'2_IMPORTAR_EJECUCION'!$J$9:$J$1208,0)),0))</f>
        <v/>
      </c>
      <c r="AM258" s="32">
        <f>IF($A258="","",MAX(0,IFERROR(INDEX('2_IMPORTAR_EJECUCION'!$H$9:$H$1208,MATCH($AU258,'2_IMPORTAR_EJECUCION'!$J$9:$J$1208,0)),0)-$AL258))</f>
        <v/>
      </c>
      <c r="AN258" s="32">
        <f>IF($A258="","",$AL258+$AM258)</f>
        <v/>
      </c>
      <c r="AO258" s="24">
        <f>IF($A258="","",IF(OR((IFERROR(INDEX('CAT_ACTIVIDADES'!$D$4:$D$26,MATCH($H258,'CAT_ACTIVIDADES'!$A$4:$A$26,0)),""))=0,(IFERROR(INDEX('CAT_ACTIVIDADES'!$D$4:$D$26,MATCH($H258,'CAT_ACTIVIDADES'!$A$4:$A$26,0)),""))=""),"SIN CLASIFICAR",IFERROR(INDEX('CAT_ACTIVIDADES'!$D$4:$D$26,MATCH($H258,'CAT_ACTIVIDADES'!$A$4:$A$26,0)),"")))</f>
        <v/>
      </c>
      <c r="AP258" s="4" t="n"/>
      <c r="AQ258" s="4" t="n"/>
      <c r="AR258" s="4" t="n"/>
      <c r="AS258" s="24">
        <f>IF($AR258="","",HYPERLINK(p_ruta_base_checklists&amp;$AR258,"abrir"))</f>
        <v/>
      </c>
      <c r="AT258" s="4" t="n"/>
      <c r="AU258" s="24">
        <f>IF($A258="","",$A258&amp;IF($B258="","0010",$B258))</f>
        <v/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41" t="n"/>
      <c r="K259" s="5" t="n"/>
      <c r="L259" s="18" t="n"/>
      <c r="M259" s="24">
        <f>IF($A259="","",IFERROR(INDEX('AJUSTES'!$B$4:$B$303,MATCH($AU259,'AJUSTES'!$A$4:$A$303,0)),IF($K259="","",$K259)))</f>
        <v/>
      </c>
      <c r="N259" s="24">
        <f>IF($A259="","",IFERROR(INDEX('CAT_ESTADOS_ERP'!$B$4:$B$22,MATCH(IFERROR(INDEX('2_IMPORTAR_EJECUCION'!$C$9:$C$1208,MATCH($AU259,'2_IMPORTAR_EJECUCION'!$J$9:$J$1208,0)),""),'CAT_ESTADOS_ERP'!$A$4:$A$22,0)),"Pendiente"))</f>
        <v/>
      </c>
      <c r="O259" s="24">
        <f>IF($J259="","",YEAR($J259+4-WEEKDAY($J259,2))&amp;"-S"&amp;TEXT(_xlfn.ISOWEEKNUM($J259),"00"))</f>
        <v/>
      </c>
      <c r="P259" s="24">
        <f>IF($J259="","",YEAR($J259))</f>
        <v/>
      </c>
      <c r="Q259" s="24">
        <f>IF($J259="","",MONTH($J259))</f>
        <v/>
      </c>
      <c r="R259" s="24">
        <f>IF($J259="","",$P259&amp;"-"&amp;TEXT($Q259,"00"))</f>
        <v/>
      </c>
      <c r="S259" s="24">
        <f>IF($J259="","",INDEX(lista_dias,WEEKDAY($J259,2)))</f>
        <v/>
      </c>
      <c r="T259" s="24">
        <f>IF($J259="","",IFERROR(INDEX('CALENDARIO'!$C$15:$C$214,MATCH(TEXT($J259,"yyyy-mm-dd")&amp;"|"&amp;$Y259&amp;"|"&amp;$Z259,'CALENDARIO'!$G$15:$G$214,0)),IFERROR(INDEX('CALENDARIO'!$C$15:$C$214,MATCH(TEXT($J259,"yyyy-mm-dd")&amp;"|"&amp;$Y259&amp;"|",'CALENDARIO'!$G$15:$G$214,0)),IFERROR(INDEX('CALENDARIO'!$C$15:$C$214,MATCH(TEXT($J259,"yyyy-mm-dd")&amp;"||",'CALENDARIO'!$G$15:$G$214,0)),INDEX(patronHabil,WEEKDAY($J259,2))))))</f>
        <v/>
      </c>
      <c r="U259" s="24">
        <f>IF($I259="","",IFERROR(INDEX('CAT_TIPOS_OT'!$C$4:$C$23,MATCH($I259,'CAT_TIPOS_OT'!$A$4:$A$23,0)),"sin_clasificar"))</f>
        <v/>
      </c>
      <c r="V259" s="24">
        <f>IF($I259="","",IF(IFERROR(INDEX('CAT_TIPOS_OT'!$D$4:$D$23,MATCH($I259,'CAT_TIPOS_OT'!$A$4:$A$23,0)),"SIN CLASIFICAR")="","SIN CLASIFICAR",IFERROR(INDEX('CAT_TIPOS_OT'!$D$4:$D$23,MATCH($I259,'CAT_TIPOS_OT'!$A$4:$A$23,0)),"SIN CLASIFICAR")))</f>
        <v/>
      </c>
      <c r="W259" s="24">
        <f>IF($H259="","",IF(IFERROR(INDEX('CAT_ACTIVIDADES'!$F$4:$F$26,MATCH($H259,'CAT_ACTIVIDADES'!$A$4:$A$26,0)),"")=0,"",IFERROR(INDEX('CAT_ACTIVIDADES'!$F$4:$F$26,MATCH($H259,'CAT_ACTIVIDADES'!$A$4:$A$26,0)),"")))</f>
        <v/>
      </c>
      <c r="X259" s="24">
        <f>IF($F259="","",IFERROR(INDEX('CAT_CENTROS_COSTO'!$F$4:$F$28,MATCH($F259,'CAT_CENTROS_COSTO'!$A$4:$A$28,0)),"(sin catálogo)"))</f>
        <v/>
      </c>
      <c r="Y259" s="24">
        <f>IF($F259="","",IFERROR(INDEX('CAT_CENTROS_COSTO'!$D$4:$D$28,MATCH($F259,'CAT_CENTROS_COSTO'!$A$4:$A$28,0)),"(sin catálogo)"))</f>
        <v/>
      </c>
      <c r="Z259" s="24">
        <f>IF($F259="","",IF((IFERROR(INDEX('CAT_CENTROS_COSTO'!$E$4:$E$28,MATCH($F259,'CAT_CENTROS_COSTO'!$A$4:$A$28,0)),""))&lt;&gt;"",IFERROR(INDEX('CAT_CENTROS_COSTO'!$E$4:$E$28,MATCH($F259,'CAT_CENTROS_COSTO'!$A$4:$A$28,0)),""),$Y259))</f>
        <v/>
      </c>
      <c r="AA259" s="24">
        <f>IF($F259="","",IFERROR(INDEX('CAT_CENTROS_COSTO'!$G$4:$G$28,MATCH($F259,'CAT_CENTROS_COSTO'!$A$4:$A$28,0)),"(sin catálogo)"))</f>
        <v/>
      </c>
      <c r="AB259" s="24">
        <f>IF($G259="","",IFERROR(INDEX('CAT_PUESTOS'!$B$4:$B$23,MATCH($G259,'CAT_PUESTOS'!$A$4:$A$23,0)),"(sin catálogo)"))</f>
        <v/>
      </c>
      <c r="AC259" s="24">
        <f>IF($H259="","",IFERROR(INDEX('CAT_ACTIVIDADES'!$B$4:$B$26,MATCH($H259,'CAT_ACTIVIDADES'!$A$4:$A$26,0)),"(sin catálogo)"))</f>
        <v/>
      </c>
      <c r="AD259" s="26">
        <f>IF($J259="","",TODAY()-$J259)</f>
        <v/>
      </c>
      <c r="AE259" s="26">
        <f>IF($J259="","",IF($J259&lt;=TODAY(),COUNTIFS(cal_fechas,"&gt;="&amp;$J259,cal_fechas,"&lt;"&amp;TODAY(),cal_habil,"sí"),-COUNTIFS(cal_fechas,"&gt;="&amp;TODAY(),cal_fechas,"&lt;"&amp;$J259,cal_habil,"sí")))</f>
        <v/>
      </c>
      <c r="AF259" s="24">
        <f>IF($AE259="","",IF($AE259&lt;0,"FUTURO",IF($AE259&gt;p_dias_backlog_max,"BACKLOG","MES CORRIENTE")))</f>
        <v/>
      </c>
      <c r="AG259" s="24">
        <f>IF($AE259="",FALSE,AND($AE259&gt;p_dias_backlog_min,$AE259&lt;=p_dias_backlog_max))</f>
        <v/>
      </c>
      <c r="AH259" s="4" t="n"/>
      <c r="AI259" s="24">
        <f>IF($AH259="","",IF((IFERROR(INDEX('ASIGNACIONES'!$J$4:$J$451,MATCH($O259&amp;"|"&amp;$S259&amp;"|"&amp;$AH259,'ASIGNACIONES'!$N$4:$N$451,0)),""))=0,"",IFERROR(INDEX('ASIGNACIONES'!$J$4:$J$451,MATCH($O259&amp;"|"&amp;$S259&amp;"|"&amp;$AH259,'ASIGNACIONES'!$N$4:$N$451,0)),"")))</f>
        <v/>
      </c>
      <c r="AJ259" s="42">
        <f>IF($AH259="","",SUMIFS('ORDENES'!$M$4:$M$1203,'ORDENES'!$AH$4:$AH$1203,$AH259,'ORDENES'!$O$4:$O$1203,$O259,'ORDENES'!$S$4:$S$1203,$S259))</f>
        <v/>
      </c>
      <c r="AK259" s="42">
        <f>IF($AJ259="","",p_factor_productividad*IFERROR(INDEX('ASIGNACIONES'!$M$4:$M$451,MATCH($O259&amp;"|"&amp;$S259&amp;"|"&amp;$AH259,'ASIGNACIONES'!$N$4:$N$451,0)),0)-$AJ259)</f>
        <v/>
      </c>
      <c r="AL259" s="32">
        <f>IF($A259="","",IFERROR(INDEX('2_IMPORTAR_EJECUCION'!$F$9:$F$1208,MATCH($AU259,'2_IMPORTAR_EJECUCION'!$J$9:$J$1208,0)),0))</f>
        <v/>
      </c>
      <c r="AM259" s="32">
        <f>IF($A259="","",MAX(0,IFERROR(INDEX('2_IMPORTAR_EJECUCION'!$H$9:$H$1208,MATCH($AU259,'2_IMPORTAR_EJECUCION'!$J$9:$J$1208,0)),0)-$AL259))</f>
        <v/>
      </c>
      <c r="AN259" s="32">
        <f>IF($A259="","",$AL259+$AM259)</f>
        <v/>
      </c>
      <c r="AO259" s="24">
        <f>IF($A259="","",IF(OR((IFERROR(INDEX('CAT_ACTIVIDADES'!$D$4:$D$26,MATCH($H259,'CAT_ACTIVIDADES'!$A$4:$A$26,0)),""))=0,(IFERROR(INDEX('CAT_ACTIVIDADES'!$D$4:$D$26,MATCH($H259,'CAT_ACTIVIDADES'!$A$4:$A$26,0)),""))=""),"SIN CLASIFICAR",IFERROR(INDEX('CAT_ACTIVIDADES'!$D$4:$D$26,MATCH($H259,'CAT_ACTIVIDADES'!$A$4:$A$26,0)),"")))</f>
        <v/>
      </c>
      <c r="AP259" s="4" t="n"/>
      <c r="AQ259" s="4" t="n"/>
      <c r="AR259" s="4" t="n"/>
      <c r="AS259" s="24">
        <f>IF($AR259="","",HYPERLINK(p_ruta_base_checklists&amp;$AR259,"abrir"))</f>
        <v/>
      </c>
      <c r="AT259" s="4" t="n"/>
      <c r="AU259" s="24">
        <f>IF($A259="","",$A259&amp;IF($B259="","0010",$B259))</f>
        <v/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41" t="n"/>
      <c r="K260" s="5" t="n"/>
      <c r="L260" s="18" t="n"/>
      <c r="M260" s="24">
        <f>IF($A260="","",IFERROR(INDEX('AJUSTES'!$B$4:$B$303,MATCH($AU260,'AJUSTES'!$A$4:$A$303,0)),IF($K260="","",$K260)))</f>
        <v/>
      </c>
      <c r="N260" s="24">
        <f>IF($A260="","",IFERROR(INDEX('CAT_ESTADOS_ERP'!$B$4:$B$22,MATCH(IFERROR(INDEX('2_IMPORTAR_EJECUCION'!$C$9:$C$1208,MATCH($AU260,'2_IMPORTAR_EJECUCION'!$J$9:$J$1208,0)),""),'CAT_ESTADOS_ERP'!$A$4:$A$22,0)),"Pendiente"))</f>
        <v/>
      </c>
      <c r="O260" s="24">
        <f>IF($J260="","",YEAR($J260+4-WEEKDAY($J260,2))&amp;"-S"&amp;TEXT(_xlfn.ISOWEEKNUM($J260),"00"))</f>
        <v/>
      </c>
      <c r="P260" s="24">
        <f>IF($J260="","",YEAR($J260))</f>
        <v/>
      </c>
      <c r="Q260" s="24">
        <f>IF($J260="","",MONTH($J260))</f>
        <v/>
      </c>
      <c r="R260" s="24">
        <f>IF($J260="","",$P260&amp;"-"&amp;TEXT($Q260,"00"))</f>
        <v/>
      </c>
      <c r="S260" s="24">
        <f>IF($J260="","",INDEX(lista_dias,WEEKDAY($J260,2)))</f>
        <v/>
      </c>
      <c r="T260" s="24">
        <f>IF($J260="","",IFERROR(INDEX('CALENDARIO'!$C$15:$C$214,MATCH(TEXT($J260,"yyyy-mm-dd")&amp;"|"&amp;$Y260&amp;"|"&amp;$Z260,'CALENDARIO'!$G$15:$G$214,0)),IFERROR(INDEX('CALENDARIO'!$C$15:$C$214,MATCH(TEXT($J260,"yyyy-mm-dd")&amp;"|"&amp;$Y260&amp;"|",'CALENDARIO'!$G$15:$G$214,0)),IFERROR(INDEX('CALENDARIO'!$C$15:$C$214,MATCH(TEXT($J260,"yyyy-mm-dd")&amp;"||",'CALENDARIO'!$G$15:$G$214,0)),INDEX(patronHabil,WEEKDAY($J260,2))))))</f>
        <v/>
      </c>
      <c r="U260" s="24">
        <f>IF($I260="","",IFERROR(INDEX('CAT_TIPOS_OT'!$C$4:$C$23,MATCH($I260,'CAT_TIPOS_OT'!$A$4:$A$23,0)),"sin_clasificar"))</f>
        <v/>
      </c>
      <c r="V260" s="24">
        <f>IF($I260="","",IF(IFERROR(INDEX('CAT_TIPOS_OT'!$D$4:$D$23,MATCH($I260,'CAT_TIPOS_OT'!$A$4:$A$23,0)),"SIN CLASIFICAR")="","SIN CLASIFICAR",IFERROR(INDEX('CAT_TIPOS_OT'!$D$4:$D$23,MATCH($I260,'CAT_TIPOS_OT'!$A$4:$A$23,0)),"SIN CLASIFICAR")))</f>
        <v/>
      </c>
      <c r="W260" s="24">
        <f>IF($H260="","",IF(IFERROR(INDEX('CAT_ACTIVIDADES'!$F$4:$F$26,MATCH($H260,'CAT_ACTIVIDADES'!$A$4:$A$26,0)),"")=0,"",IFERROR(INDEX('CAT_ACTIVIDADES'!$F$4:$F$26,MATCH($H260,'CAT_ACTIVIDADES'!$A$4:$A$26,0)),"")))</f>
        <v/>
      </c>
      <c r="X260" s="24">
        <f>IF($F260="","",IFERROR(INDEX('CAT_CENTROS_COSTO'!$F$4:$F$28,MATCH($F260,'CAT_CENTROS_COSTO'!$A$4:$A$28,0)),"(sin catálogo)"))</f>
        <v/>
      </c>
      <c r="Y260" s="24">
        <f>IF($F260="","",IFERROR(INDEX('CAT_CENTROS_COSTO'!$D$4:$D$28,MATCH($F260,'CAT_CENTROS_COSTO'!$A$4:$A$28,0)),"(sin catálogo)"))</f>
        <v/>
      </c>
      <c r="Z260" s="24">
        <f>IF($F260="","",IF((IFERROR(INDEX('CAT_CENTROS_COSTO'!$E$4:$E$28,MATCH($F260,'CAT_CENTROS_COSTO'!$A$4:$A$28,0)),""))&lt;&gt;"",IFERROR(INDEX('CAT_CENTROS_COSTO'!$E$4:$E$28,MATCH($F260,'CAT_CENTROS_COSTO'!$A$4:$A$28,0)),""),$Y260))</f>
        <v/>
      </c>
      <c r="AA260" s="24">
        <f>IF($F260="","",IFERROR(INDEX('CAT_CENTROS_COSTO'!$G$4:$G$28,MATCH($F260,'CAT_CENTROS_COSTO'!$A$4:$A$28,0)),"(sin catálogo)"))</f>
        <v/>
      </c>
      <c r="AB260" s="24">
        <f>IF($G260="","",IFERROR(INDEX('CAT_PUESTOS'!$B$4:$B$23,MATCH($G260,'CAT_PUESTOS'!$A$4:$A$23,0)),"(sin catálogo)"))</f>
        <v/>
      </c>
      <c r="AC260" s="24">
        <f>IF($H260="","",IFERROR(INDEX('CAT_ACTIVIDADES'!$B$4:$B$26,MATCH($H260,'CAT_ACTIVIDADES'!$A$4:$A$26,0)),"(sin catálogo)"))</f>
        <v/>
      </c>
      <c r="AD260" s="26">
        <f>IF($J260="","",TODAY()-$J260)</f>
        <v/>
      </c>
      <c r="AE260" s="26">
        <f>IF($J260="","",IF($J260&lt;=TODAY(),COUNTIFS(cal_fechas,"&gt;="&amp;$J260,cal_fechas,"&lt;"&amp;TODAY(),cal_habil,"sí"),-COUNTIFS(cal_fechas,"&gt;="&amp;TODAY(),cal_fechas,"&lt;"&amp;$J260,cal_habil,"sí")))</f>
        <v/>
      </c>
      <c r="AF260" s="24">
        <f>IF($AE260="","",IF($AE260&lt;0,"FUTURO",IF($AE260&gt;p_dias_backlog_max,"BACKLOG","MES CORRIENTE")))</f>
        <v/>
      </c>
      <c r="AG260" s="24">
        <f>IF($AE260="",FALSE,AND($AE260&gt;p_dias_backlog_min,$AE260&lt;=p_dias_backlog_max))</f>
        <v/>
      </c>
      <c r="AH260" s="4" t="n"/>
      <c r="AI260" s="24">
        <f>IF($AH260="","",IF((IFERROR(INDEX('ASIGNACIONES'!$J$4:$J$451,MATCH($O260&amp;"|"&amp;$S260&amp;"|"&amp;$AH260,'ASIGNACIONES'!$N$4:$N$451,0)),""))=0,"",IFERROR(INDEX('ASIGNACIONES'!$J$4:$J$451,MATCH($O260&amp;"|"&amp;$S260&amp;"|"&amp;$AH260,'ASIGNACIONES'!$N$4:$N$451,0)),"")))</f>
        <v/>
      </c>
      <c r="AJ260" s="42">
        <f>IF($AH260="","",SUMIFS('ORDENES'!$M$4:$M$1203,'ORDENES'!$AH$4:$AH$1203,$AH260,'ORDENES'!$O$4:$O$1203,$O260,'ORDENES'!$S$4:$S$1203,$S260))</f>
        <v/>
      </c>
      <c r="AK260" s="42">
        <f>IF($AJ260="","",p_factor_productividad*IFERROR(INDEX('ASIGNACIONES'!$M$4:$M$451,MATCH($O260&amp;"|"&amp;$S260&amp;"|"&amp;$AH260,'ASIGNACIONES'!$N$4:$N$451,0)),0)-$AJ260)</f>
        <v/>
      </c>
      <c r="AL260" s="32">
        <f>IF($A260="","",IFERROR(INDEX('2_IMPORTAR_EJECUCION'!$F$9:$F$1208,MATCH($AU260,'2_IMPORTAR_EJECUCION'!$J$9:$J$1208,0)),0))</f>
        <v/>
      </c>
      <c r="AM260" s="32">
        <f>IF($A260="","",MAX(0,IFERROR(INDEX('2_IMPORTAR_EJECUCION'!$H$9:$H$1208,MATCH($AU260,'2_IMPORTAR_EJECUCION'!$J$9:$J$1208,0)),0)-$AL260))</f>
        <v/>
      </c>
      <c r="AN260" s="32">
        <f>IF($A260="","",$AL260+$AM260)</f>
        <v/>
      </c>
      <c r="AO260" s="24">
        <f>IF($A260="","",IF(OR((IFERROR(INDEX('CAT_ACTIVIDADES'!$D$4:$D$26,MATCH($H260,'CAT_ACTIVIDADES'!$A$4:$A$26,0)),""))=0,(IFERROR(INDEX('CAT_ACTIVIDADES'!$D$4:$D$26,MATCH($H260,'CAT_ACTIVIDADES'!$A$4:$A$26,0)),""))=""),"SIN CLASIFICAR",IFERROR(INDEX('CAT_ACTIVIDADES'!$D$4:$D$26,MATCH($H260,'CAT_ACTIVIDADES'!$A$4:$A$26,0)),"")))</f>
        <v/>
      </c>
      <c r="AP260" s="4" t="n"/>
      <c r="AQ260" s="4" t="n"/>
      <c r="AR260" s="4" t="n"/>
      <c r="AS260" s="24">
        <f>IF($AR260="","",HYPERLINK(p_ruta_base_checklists&amp;$AR260,"abrir"))</f>
        <v/>
      </c>
      <c r="AT260" s="4" t="n"/>
      <c r="AU260" s="24">
        <f>IF($A260="","",$A260&amp;IF($B260="","0010",$B260))</f>
        <v/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41" t="n"/>
      <c r="K261" s="5" t="n"/>
      <c r="L261" s="18" t="n"/>
      <c r="M261" s="24">
        <f>IF($A261="","",IFERROR(INDEX('AJUSTES'!$B$4:$B$303,MATCH($AU261,'AJUSTES'!$A$4:$A$303,0)),IF($K261="","",$K261)))</f>
        <v/>
      </c>
      <c r="N261" s="24">
        <f>IF($A261="","",IFERROR(INDEX('CAT_ESTADOS_ERP'!$B$4:$B$22,MATCH(IFERROR(INDEX('2_IMPORTAR_EJECUCION'!$C$9:$C$1208,MATCH($AU261,'2_IMPORTAR_EJECUCION'!$J$9:$J$1208,0)),""),'CAT_ESTADOS_ERP'!$A$4:$A$22,0)),"Pendiente"))</f>
        <v/>
      </c>
      <c r="O261" s="24">
        <f>IF($J261="","",YEAR($J261+4-WEEKDAY($J261,2))&amp;"-S"&amp;TEXT(_xlfn.ISOWEEKNUM($J261),"00"))</f>
        <v/>
      </c>
      <c r="P261" s="24">
        <f>IF($J261="","",YEAR($J261))</f>
        <v/>
      </c>
      <c r="Q261" s="24">
        <f>IF($J261="","",MONTH($J261))</f>
        <v/>
      </c>
      <c r="R261" s="24">
        <f>IF($J261="","",$P261&amp;"-"&amp;TEXT($Q261,"00"))</f>
        <v/>
      </c>
      <c r="S261" s="24">
        <f>IF($J261="","",INDEX(lista_dias,WEEKDAY($J261,2)))</f>
        <v/>
      </c>
      <c r="T261" s="24">
        <f>IF($J261="","",IFERROR(INDEX('CALENDARIO'!$C$15:$C$214,MATCH(TEXT($J261,"yyyy-mm-dd")&amp;"|"&amp;$Y261&amp;"|"&amp;$Z261,'CALENDARIO'!$G$15:$G$214,0)),IFERROR(INDEX('CALENDARIO'!$C$15:$C$214,MATCH(TEXT($J261,"yyyy-mm-dd")&amp;"|"&amp;$Y261&amp;"|",'CALENDARIO'!$G$15:$G$214,0)),IFERROR(INDEX('CALENDARIO'!$C$15:$C$214,MATCH(TEXT($J261,"yyyy-mm-dd")&amp;"||",'CALENDARIO'!$G$15:$G$214,0)),INDEX(patronHabil,WEEKDAY($J261,2))))))</f>
        <v/>
      </c>
      <c r="U261" s="24">
        <f>IF($I261="","",IFERROR(INDEX('CAT_TIPOS_OT'!$C$4:$C$23,MATCH($I261,'CAT_TIPOS_OT'!$A$4:$A$23,0)),"sin_clasificar"))</f>
        <v/>
      </c>
      <c r="V261" s="24">
        <f>IF($I261="","",IF(IFERROR(INDEX('CAT_TIPOS_OT'!$D$4:$D$23,MATCH($I261,'CAT_TIPOS_OT'!$A$4:$A$23,0)),"SIN CLASIFICAR")="","SIN CLASIFICAR",IFERROR(INDEX('CAT_TIPOS_OT'!$D$4:$D$23,MATCH($I261,'CAT_TIPOS_OT'!$A$4:$A$23,0)),"SIN CLASIFICAR")))</f>
        <v/>
      </c>
      <c r="W261" s="24">
        <f>IF($H261="","",IF(IFERROR(INDEX('CAT_ACTIVIDADES'!$F$4:$F$26,MATCH($H261,'CAT_ACTIVIDADES'!$A$4:$A$26,0)),"")=0,"",IFERROR(INDEX('CAT_ACTIVIDADES'!$F$4:$F$26,MATCH($H261,'CAT_ACTIVIDADES'!$A$4:$A$26,0)),"")))</f>
        <v/>
      </c>
      <c r="X261" s="24">
        <f>IF($F261="","",IFERROR(INDEX('CAT_CENTROS_COSTO'!$F$4:$F$28,MATCH($F261,'CAT_CENTROS_COSTO'!$A$4:$A$28,0)),"(sin catálogo)"))</f>
        <v/>
      </c>
      <c r="Y261" s="24">
        <f>IF($F261="","",IFERROR(INDEX('CAT_CENTROS_COSTO'!$D$4:$D$28,MATCH($F261,'CAT_CENTROS_COSTO'!$A$4:$A$28,0)),"(sin catálogo)"))</f>
        <v/>
      </c>
      <c r="Z261" s="24">
        <f>IF($F261="","",IF((IFERROR(INDEX('CAT_CENTROS_COSTO'!$E$4:$E$28,MATCH($F261,'CAT_CENTROS_COSTO'!$A$4:$A$28,0)),""))&lt;&gt;"",IFERROR(INDEX('CAT_CENTROS_COSTO'!$E$4:$E$28,MATCH($F261,'CAT_CENTROS_COSTO'!$A$4:$A$28,0)),""),$Y261))</f>
        <v/>
      </c>
      <c r="AA261" s="24">
        <f>IF($F261="","",IFERROR(INDEX('CAT_CENTROS_COSTO'!$G$4:$G$28,MATCH($F261,'CAT_CENTROS_COSTO'!$A$4:$A$28,0)),"(sin catálogo)"))</f>
        <v/>
      </c>
      <c r="AB261" s="24">
        <f>IF($G261="","",IFERROR(INDEX('CAT_PUESTOS'!$B$4:$B$23,MATCH($G261,'CAT_PUESTOS'!$A$4:$A$23,0)),"(sin catálogo)"))</f>
        <v/>
      </c>
      <c r="AC261" s="24">
        <f>IF($H261="","",IFERROR(INDEX('CAT_ACTIVIDADES'!$B$4:$B$26,MATCH($H261,'CAT_ACTIVIDADES'!$A$4:$A$26,0)),"(sin catálogo)"))</f>
        <v/>
      </c>
      <c r="AD261" s="26">
        <f>IF($J261="","",TODAY()-$J261)</f>
        <v/>
      </c>
      <c r="AE261" s="26">
        <f>IF($J261="","",IF($J261&lt;=TODAY(),COUNTIFS(cal_fechas,"&gt;="&amp;$J261,cal_fechas,"&lt;"&amp;TODAY(),cal_habil,"sí"),-COUNTIFS(cal_fechas,"&gt;="&amp;TODAY(),cal_fechas,"&lt;"&amp;$J261,cal_habil,"sí")))</f>
        <v/>
      </c>
      <c r="AF261" s="24">
        <f>IF($AE261="","",IF($AE261&lt;0,"FUTURO",IF($AE261&gt;p_dias_backlog_max,"BACKLOG","MES CORRIENTE")))</f>
        <v/>
      </c>
      <c r="AG261" s="24">
        <f>IF($AE261="",FALSE,AND($AE261&gt;p_dias_backlog_min,$AE261&lt;=p_dias_backlog_max))</f>
        <v/>
      </c>
      <c r="AH261" s="4" t="n"/>
      <c r="AI261" s="24">
        <f>IF($AH261="","",IF((IFERROR(INDEX('ASIGNACIONES'!$J$4:$J$451,MATCH($O261&amp;"|"&amp;$S261&amp;"|"&amp;$AH261,'ASIGNACIONES'!$N$4:$N$451,0)),""))=0,"",IFERROR(INDEX('ASIGNACIONES'!$J$4:$J$451,MATCH($O261&amp;"|"&amp;$S261&amp;"|"&amp;$AH261,'ASIGNACIONES'!$N$4:$N$451,0)),"")))</f>
        <v/>
      </c>
      <c r="AJ261" s="42">
        <f>IF($AH261="","",SUMIFS('ORDENES'!$M$4:$M$1203,'ORDENES'!$AH$4:$AH$1203,$AH261,'ORDENES'!$O$4:$O$1203,$O261,'ORDENES'!$S$4:$S$1203,$S261))</f>
        <v/>
      </c>
      <c r="AK261" s="42">
        <f>IF($AJ261="","",p_factor_productividad*IFERROR(INDEX('ASIGNACIONES'!$M$4:$M$451,MATCH($O261&amp;"|"&amp;$S261&amp;"|"&amp;$AH261,'ASIGNACIONES'!$N$4:$N$451,0)),0)-$AJ261)</f>
        <v/>
      </c>
      <c r="AL261" s="32">
        <f>IF($A261="","",IFERROR(INDEX('2_IMPORTAR_EJECUCION'!$F$9:$F$1208,MATCH($AU261,'2_IMPORTAR_EJECUCION'!$J$9:$J$1208,0)),0))</f>
        <v/>
      </c>
      <c r="AM261" s="32">
        <f>IF($A261="","",MAX(0,IFERROR(INDEX('2_IMPORTAR_EJECUCION'!$H$9:$H$1208,MATCH($AU261,'2_IMPORTAR_EJECUCION'!$J$9:$J$1208,0)),0)-$AL261))</f>
        <v/>
      </c>
      <c r="AN261" s="32">
        <f>IF($A261="","",$AL261+$AM261)</f>
        <v/>
      </c>
      <c r="AO261" s="24">
        <f>IF($A261="","",IF(OR((IFERROR(INDEX('CAT_ACTIVIDADES'!$D$4:$D$26,MATCH($H261,'CAT_ACTIVIDADES'!$A$4:$A$26,0)),""))=0,(IFERROR(INDEX('CAT_ACTIVIDADES'!$D$4:$D$26,MATCH($H261,'CAT_ACTIVIDADES'!$A$4:$A$26,0)),""))=""),"SIN CLASIFICAR",IFERROR(INDEX('CAT_ACTIVIDADES'!$D$4:$D$26,MATCH($H261,'CAT_ACTIVIDADES'!$A$4:$A$26,0)),"")))</f>
        <v/>
      </c>
      <c r="AP261" s="4" t="n"/>
      <c r="AQ261" s="4" t="n"/>
      <c r="AR261" s="4" t="n"/>
      <c r="AS261" s="24">
        <f>IF($AR261="","",HYPERLINK(p_ruta_base_checklists&amp;$AR261,"abrir"))</f>
        <v/>
      </c>
      <c r="AT261" s="4" t="n"/>
      <c r="AU261" s="24">
        <f>IF($A261="","",$A261&amp;IF($B261="","0010",$B261))</f>
        <v/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41" t="n"/>
      <c r="K262" s="5" t="n"/>
      <c r="L262" s="18" t="n"/>
      <c r="M262" s="24">
        <f>IF($A262="","",IFERROR(INDEX('AJUSTES'!$B$4:$B$303,MATCH($AU262,'AJUSTES'!$A$4:$A$303,0)),IF($K262="","",$K262)))</f>
        <v/>
      </c>
      <c r="N262" s="24">
        <f>IF($A262="","",IFERROR(INDEX('CAT_ESTADOS_ERP'!$B$4:$B$22,MATCH(IFERROR(INDEX('2_IMPORTAR_EJECUCION'!$C$9:$C$1208,MATCH($AU262,'2_IMPORTAR_EJECUCION'!$J$9:$J$1208,0)),""),'CAT_ESTADOS_ERP'!$A$4:$A$22,0)),"Pendiente"))</f>
        <v/>
      </c>
      <c r="O262" s="24">
        <f>IF($J262="","",YEAR($J262+4-WEEKDAY($J262,2))&amp;"-S"&amp;TEXT(_xlfn.ISOWEEKNUM($J262),"00"))</f>
        <v/>
      </c>
      <c r="P262" s="24">
        <f>IF($J262="","",YEAR($J262))</f>
        <v/>
      </c>
      <c r="Q262" s="24">
        <f>IF($J262="","",MONTH($J262))</f>
        <v/>
      </c>
      <c r="R262" s="24">
        <f>IF($J262="","",$P262&amp;"-"&amp;TEXT($Q262,"00"))</f>
        <v/>
      </c>
      <c r="S262" s="24">
        <f>IF($J262="","",INDEX(lista_dias,WEEKDAY($J262,2)))</f>
        <v/>
      </c>
      <c r="T262" s="24">
        <f>IF($J262="","",IFERROR(INDEX('CALENDARIO'!$C$15:$C$214,MATCH(TEXT($J262,"yyyy-mm-dd")&amp;"|"&amp;$Y262&amp;"|"&amp;$Z262,'CALENDARIO'!$G$15:$G$214,0)),IFERROR(INDEX('CALENDARIO'!$C$15:$C$214,MATCH(TEXT($J262,"yyyy-mm-dd")&amp;"|"&amp;$Y262&amp;"|",'CALENDARIO'!$G$15:$G$214,0)),IFERROR(INDEX('CALENDARIO'!$C$15:$C$214,MATCH(TEXT($J262,"yyyy-mm-dd")&amp;"||",'CALENDARIO'!$G$15:$G$214,0)),INDEX(patronHabil,WEEKDAY($J262,2))))))</f>
        <v/>
      </c>
      <c r="U262" s="24">
        <f>IF($I262="","",IFERROR(INDEX('CAT_TIPOS_OT'!$C$4:$C$23,MATCH($I262,'CAT_TIPOS_OT'!$A$4:$A$23,0)),"sin_clasificar"))</f>
        <v/>
      </c>
      <c r="V262" s="24">
        <f>IF($I262="","",IF(IFERROR(INDEX('CAT_TIPOS_OT'!$D$4:$D$23,MATCH($I262,'CAT_TIPOS_OT'!$A$4:$A$23,0)),"SIN CLASIFICAR")="","SIN CLASIFICAR",IFERROR(INDEX('CAT_TIPOS_OT'!$D$4:$D$23,MATCH($I262,'CAT_TIPOS_OT'!$A$4:$A$23,0)),"SIN CLASIFICAR")))</f>
        <v/>
      </c>
      <c r="W262" s="24">
        <f>IF($H262="","",IF(IFERROR(INDEX('CAT_ACTIVIDADES'!$F$4:$F$26,MATCH($H262,'CAT_ACTIVIDADES'!$A$4:$A$26,0)),"")=0,"",IFERROR(INDEX('CAT_ACTIVIDADES'!$F$4:$F$26,MATCH($H262,'CAT_ACTIVIDADES'!$A$4:$A$26,0)),"")))</f>
        <v/>
      </c>
      <c r="X262" s="24">
        <f>IF($F262="","",IFERROR(INDEX('CAT_CENTROS_COSTO'!$F$4:$F$28,MATCH($F262,'CAT_CENTROS_COSTO'!$A$4:$A$28,0)),"(sin catálogo)"))</f>
        <v/>
      </c>
      <c r="Y262" s="24">
        <f>IF($F262="","",IFERROR(INDEX('CAT_CENTROS_COSTO'!$D$4:$D$28,MATCH($F262,'CAT_CENTROS_COSTO'!$A$4:$A$28,0)),"(sin catálogo)"))</f>
        <v/>
      </c>
      <c r="Z262" s="24">
        <f>IF($F262="","",IF((IFERROR(INDEX('CAT_CENTROS_COSTO'!$E$4:$E$28,MATCH($F262,'CAT_CENTROS_COSTO'!$A$4:$A$28,0)),""))&lt;&gt;"",IFERROR(INDEX('CAT_CENTROS_COSTO'!$E$4:$E$28,MATCH($F262,'CAT_CENTROS_COSTO'!$A$4:$A$28,0)),""),$Y262))</f>
        <v/>
      </c>
      <c r="AA262" s="24">
        <f>IF($F262="","",IFERROR(INDEX('CAT_CENTROS_COSTO'!$G$4:$G$28,MATCH($F262,'CAT_CENTROS_COSTO'!$A$4:$A$28,0)),"(sin catálogo)"))</f>
        <v/>
      </c>
      <c r="AB262" s="24">
        <f>IF($G262="","",IFERROR(INDEX('CAT_PUESTOS'!$B$4:$B$23,MATCH($G262,'CAT_PUESTOS'!$A$4:$A$23,0)),"(sin catálogo)"))</f>
        <v/>
      </c>
      <c r="AC262" s="24">
        <f>IF($H262="","",IFERROR(INDEX('CAT_ACTIVIDADES'!$B$4:$B$26,MATCH($H262,'CAT_ACTIVIDADES'!$A$4:$A$26,0)),"(sin catálogo)"))</f>
        <v/>
      </c>
      <c r="AD262" s="26">
        <f>IF($J262="","",TODAY()-$J262)</f>
        <v/>
      </c>
      <c r="AE262" s="26">
        <f>IF($J262="","",IF($J262&lt;=TODAY(),COUNTIFS(cal_fechas,"&gt;="&amp;$J262,cal_fechas,"&lt;"&amp;TODAY(),cal_habil,"sí"),-COUNTIFS(cal_fechas,"&gt;="&amp;TODAY(),cal_fechas,"&lt;"&amp;$J262,cal_habil,"sí")))</f>
        <v/>
      </c>
      <c r="AF262" s="24">
        <f>IF($AE262="","",IF($AE262&lt;0,"FUTURO",IF($AE262&gt;p_dias_backlog_max,"BACKLOG","MES CORRIENTE")))</f>
        <v/>
      </c>
      <c r="AG262" s="24">
        <f>IF($AE262="",FALSE,AND($AE262&gt;p_dias_backlog_min,$AE262&lt;=p_dias_backlog_max))</f>
        <v/>
      </c>
      <c r="AH262" s="4" t="n"/>
      <c r="AI262" s="24">
        <f>IF($AH262="","",IF((IFERROR(INDEX('ASIGNACIONES'!$J$4:$J$451,MATCH($O262&amp;"|"&amp;$S262&amp;"|"&amp;$AH262,'ASIGNACIONES'!$N$4:$N$451,0)),""))=0,"",IFERROR(INDEX('ASIGNACIONES'!$J$4:$J$451,MATCH($O262&amp;"|"&amp;$S262&amp;"|"&amp;$AH262,'ASIGNACIONES'!$N$4:$N$451,0)),"")))</f>
        <v/>
      </c>
      <c r="AJ262" s="42">
        <f>IF($AH262="","",SUMIFS('ORDENES'!$M$4:$M$1203,'ORDENES'!$AH$4:$AH$1203,$AH262,'ORDENES'!$O$4:$O$1203,$O262,'ORDENES'!$S$4:$S$1203,$S262))</f>
        <v/>
      </c>
      <c r="AK262" s="42">
        <f>IF($AJ262="","",p_factor_productividad*IFERROR(INDEX('ASIGNACIONES'!$M$4:$M$451,MATCH($O262&amp;"|"&amp;$S262&amp;"|"&amp;$AH262,'ASIGNACIONES'!$N$4:$N$451,0)),0)-$AJ262)</f>
        <v/>
      </c>
      <c r="AL262" s="32">
        <f>IF($A262="","",IFERROR(INDEX('2_IMPORTAR_EJECUCION'!$F$9:$F$1208,MATCH($AU262,'2_IMPORTAR_EJECUCION'!$J$9:$J$1208,0)),0))</f>
        <v/>
      </c>
      <c r="AM262" s="32">
        <f>IF($A262="","",MAX(0,IFERROR(INDEX('2_IMPORTAR_EJECUCION'!$H$9:$H$1208,MATCH($AU262,'2_IMPORTAR_EJECUCION'!$J$9:$J$1208,0)),0)-$AL262))</f>
        <v/>
      </c>
      <c r="AN262" s="32">
        <f>IF($A262="","",$AL262+$AM262)</f>
        <v/>
      </c>
      <c r="AO262" s="24">
        <f>IF($A262="","",IF(OR((IFERROR(INDEX('CAT_ACTIVIDADES'!$D$4:$D$26,MATCH($H262,'CAT_ACTIVIDADES'!$A$4:$A$26,0)),""))=0,(IFERROR(INDEX('CAT_ACTIVIDADES'!$D$4:$D$26,MATCH($H262,'CAT_ACTIVIDADES'!$A$4:$A$26,0)),""))=""),"SIN CLASIFICAR",IFERROR(INDEX('CAT_ACTIVIDADES'!$D$4:$D$26,MATCH($H262,'CAT_ACTIVIDADES'!$A$4:$A$26,0)),"")))</f>
        <v/>
      </c>
      <c r="AP262" s="4" t="n"/>
      <c r="AQ262" s="4" t="n"/>
      <c r="AR262" s="4" t="n"/>
      <c r="AS262" s="24">
        <f>IF($AR262="","",HYPERLINK(p_ruta_base_checklists&amp;$AR262,"abrir"))</f>
        <v/>
      </c>
      <c r="AT262" s="4" t="n"/>
      <c r="AU262" s="24">
        <f>IF($A262="","",$A262&amp;IF($B262="","0010",$B262))</f>
        <v/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41" t="n"/>
      <c r="K263" s="5" t="n"/>
      <c r="L263" s="18" t="n"/>
      <c r="M263" s="24">
        <f>IF($A263="","",IFERROR(INDEX('AJUSTES'!$B$4:$B$303,MATCH($AU263,'AJUSTES'!$A$4:$A$303,0)),IF($K263="","",$K263)))</f>
        <v/>
      </c>
      <c r="N263" s="24">
        <f>IF($A263="","",IFERROR(INDEX('CAT_ESTADOS_ERP'!$B$4:$B$22,MATCH(IFERROR(INDEX('2_IMPORTAR_EJECUCION'!$C$9:$C$1208,MATCH($AU263,'2_IMPORTAR_EJECUCION'!$J$9:$J$1208,0)),""),'CAT_ESTADOS_ERP'!$A$4:$A$22,0)),"Pendiente"))</f>
        <v/>
      </c>
      <c r="O263" s="24">
        <f>IF($J263="","",YEAR($J263+4-WEEKDAY($J263,2))&amp;"-S"&amp;TEXT(_xlfn.ISOWEEKNUM($J263),"00"))</f>
        <v/>
      </c>
      <c r="P263" s="24">
        <f>IF($J263="","",YEAR($J263))</f>
        <v/>
      </c>
      <c r="Q263" s="24">
        <f>IF($J263="","",MONTH($J263))</f>
        <v/>
      </c>
      <c r="R263" s="24">
        <f>IF($J263="","",$P263&amp;"-"&amp;TEXT($Q263,"00"))</f>
        <v/>
      </c>
      <c r="S263" s="24">
        <f>IF($J263="","",INDEX(lista_dias,WEEKDAY($J263,2)))</f>
        <v/>
      </c>
      <c r="T263" s="24">
        <f>IF($J263="","",IFERROR(INDEX('CALENDARIO'!$C$15:$C$214,MATCH(TEXT($J263,"yyyy-mm-dd")&amp;"|"&amp;$Y263&amp;"|"&amp;$Z263,'CALENDARIO'!$G$15:$G$214,0)),IFERROR(INDEX('CALENDARIO'!$C$15:$C$214,MATCH(TEXT($J263,"yyyy-mm-dd")&amp;"|"&amp;$Y263&amp;"|",'CALENDARIO'!$G$15:$G$214,0)),IFERROR(INDEX('CALENDARIO'!$C$15:$C$214,MATCH(TEXT($J263,"yyyy-mm-dd")&amp;"||",'CALENDARIO'!$G$15:$G$214,0)),INDEX(patronHabil,WEEKDAY($J263,2))))))</f>
        <v/>
      </c>
      <c r="U263" s="24">
        <f>IF($I263="","",IFERROR(INDEX('CAT_TIPOS_OT'!$C$4:$C$23,MATCH($I263,'CAT_TIPOS_OT'!$A$4:$A$23,0)),"sin_clasificar"))</f>
        <v/>
      </c>
      <c r="V263" s="24">
        <f>IF($I263="","",IF(IFERROR(INDEX('CAT_TIPOS_OT'!$D$4:$D$23,MATCH($I263,'CAT_TIPOS_OT'!$A$4:$A$23,0)),"SIN CLASIFICAR")="","SIN CLASIFICAR",IFERROR(INDEX('CAT_TIPOS_OT'!$D$4:$D$23,MATCH($I263,'CAT_TIPOS_OT'!$A$4:$A$23,0)),"SIN CLASIFICAR")))</f>
        <v/>
      </c>
      <c r="W263" s="24">
        <f>IF($H263="","",IF(IFERROR(INDEX('CAT_ACTIVIDADES'!$F$4:$F$26,MATCH($H263,'CAT_ACTIVIDADES'!$A$4:$A$26,0)),"")=0,"",IFERROR(INDEX('CAT_ACTIVIDADES'!$F$4:$F$26,MATCH($H263,'CAT_ACTIVIDADES'!$A$4:$A$26,0)),"")))</f>
        <v/>
      </c>
      <c r="X263" s="24">
        <f>IF($F263="","",IFERROR(INDEX('CAT_CENTROS_COSTO'!$F$4:$F$28,MATCH($F263,'CAT_CENTROS_COSTO'!$A$4:$A$28,0)),"(sin catálogo)"))</f>
        <v/>
      </c>
      <c r="Y263" s="24">
        <f>IF($F263="","",IFERROR(INDEX('CAT_CENTROS_COSTO'!$D$4:$D$28,MATCH($F263,'CAT_CENTROS_COSTO'!$A$4:$A$28,0)),"(sin catálogo)"))</f>
        <v/>
      </c>
      <c r="Z263" s="24">
        <f>IF($F263="","",IF((IFERROR(INDEX('CAT_CENTROS_COSTO'!$E$4:$E$28,MATCH($F263,'CAT_CENTROS_COSTO'!$A$4:$A$28,0)),""))&lt;&gt;"",IFERROR(INDEX('CAT_CENTROS_COSTO'!$E$4:$E$28,MATCH($F263,'CAT_CENTROS_COSTO'!$A$4:$A$28,0)),""),$Y263))</f>
        <v/>
      </c>
      <c r="AA263" s="24">
        <f>IF($F263="","",IFERROR(INDEX('CAT_CENTROS_COSTO'!$G$4:$G$28,MATCH($F263,'CAT_CENTROS_COSTO'!$A$4:$A$28,0)),"(sin catálogo)"))</f>
        <v/>
      </c>
      <c r="AB263" s="24">
        <f>IF($G263="","",IFERROR(INDEX('CAT_PUESTOS'!$B$4:$B$23,MATCH($G263,'CAT_PUESTOS'!$A$4:$A$23,0)),"(sin catálogo)"))</f>
        <v/>
      </c>
      <c r="AC263" s="24">
        <f>IF($H263="","",IFERROR(INDEX('CAT_ACTIVIDADES'!$B$4:$B$26,MATCH($H263,'CAT_ACTIVIDADES'!$A$4:$A$26,0)),"(sin catálogo)"))</f>
        <v/>
      </c>
      <c r="AD263" s="26">
        <f>IF($J263="","",TODAY()-$J263)</f>
        <v/>
      </c>
      <c r="AE263" s="26">
        <f>IF($J263="","",IF($J263&lt;=TODAY(),COUNTIFS(cal_fechas,"&gt;="&amp;$J263,cal_fechas,"&lt;"&amp;TODAY(),cal_habil,"sí"),-COUNTIFS(cal_fechas,"&gt;="&amp;TODAY(),cal_fechas,"&lt;"&amp;$J263,cal_habil,"sí")))</f>
        <v/>
      </c>
      <c r="AF263" s="24">
        <f>IF($AE263="","",IF($AE263&lt;0,"FUTURO",IF($AE263&gt;p_dias_backlog_max,"BACKLOG","MES CORRIENTE")))</f>
        <v/>
      </c>
      <c r="AG263" s="24">
        <f>IF($AE263="",FALSE,AND($AE263&gt;p_dias_backlog_min,$AE263&lt;=p_dias_backlog_max))</f>
        <v/>
      </c>
      <c r="AH263" s="4" t="n"/>
      <c r="AI263" s="24">
        <f>IF($AH263="","",IF((IFERROR(INDEX('ASIGNACIONES'!$J$4:$J$451,MATCH($O263&amp;"|"&amp;$S263&amp;"|"&amp;$AH263,'ASIGNACIONES'!$N$4:$N$451,0)),""))=0,"",IFERROR(INDEX('ASIGNACIONES'!$J$4:$J$451,MATCH($O263&amp;"|"&amp;$S263&amp;"|"&amp;$AH263,'ASIGNACIONES'!$N$4:$N$451,0)),"")))</f>
        <v/>
      </c>
      <c r="AJ263" s="42">
        <f>IF($AH263="","",SUMIFS('ORDENES'!$M$4:$M$1203,'ORDENES'!$AH$4:$AH$1203,$AH263,'ORDENES'!$O$4:$O$1203,$O263,'ORDENES'!$S$4:$S$1203,$S263))</f>
        <v/>
      </c>
      <c r="AK263" s="42">
        <f>IF($AJ263="","",p_factor_productividad*IFERROR(INDEX('ASIGNACIONES'!$M$4:$M$451,MATCH($O263&amp;"|"&amp;$S263&amp;"|"&amp;$AH263,'ASIGNACIONES'!$N$4:$N$451,0)),0)-$AJ263)</f>
        <v/>
      </c>
      <c r="AL263" s="32">
        <f>IF($A263="","",IFERROR(INDEX('2_IMPORTAR_EJECUCION'!$F$9:$F$1208,MATCH($AU263,'2_IMPORTAR_EJECUCION'!$J$9:$J$1208,0)),0))</f>
        <v/>
      </c>
      <c r="AM263" s="32">
        <f>IF($A263="","",MAX(0,IFERROR(INDEX('2_IMPORTAR_EJECUCION'!$H$9:$H$1208,MATCH($AU263,'2_IMPORTAR_EJECUCION'!$J$9:$J$1208,0)),0)-$AL263))</f>
        <v/>
      </c>
      <c r="AN263" s="32">
        <f>IF($A263="","",$AL263+$AM263)</f>
        <v/>
      </c>
      <c r="AO263" s="24">
        <f>IF($A263="","",IF(OR((IFERROR(INDEX('CAT_ACTIVIDADES'!$D$4:$D$26,MATCH($H263,'CAT_ACTIVIDADES'!$A$4:$A$26,0)),""))=0,(IFERROR(INDEX('CAT_ACTIVIDADES'!$D$4:$D$26,MATCH($H263,'CAT_ACTIVIDADES'!$A$4:$A$26,0)),""))=""),"SIN CLASIFICAR",IFERROR(INDEX('CAT_ACTIVIDADES'!$D$4:$D$26,MATCH($H263,'CAT_ACTIVIDADES'!$A$4:$A$26,0)),"")))</f>
        <v/>
      </c>
      <c r="AP263" s="4" t="n"/>
      <c r="AQ263" s="4" t="n"/>
      <c r="AR263" s="4" t="n"/>
      <c r="AS263" s="24">
        <f>IF($AR263="","",HYPERLINK(p_ruta_base_checklists&amp;$AR263,"abrir"))</f>
        <v/>
      </c>
      <c r="AT263" s="4" t="n"/>
      <c r="AU263" s="24">
        <f>IF($A263="","",$A263&amp;IF($B263="","0010",$B263))</f>
        <v/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41" t="n"/>
      <c r="K264" s="5" t="n"/>
      <c r="L264" s="18" t="n"/>
      <c r="M264" s="24">
        <f>IF($A264="","",IFERROR(INDEX('AJUSTES'!$B$4:$B$303,MATCH($AU264,'AJUSTES'!$A$4:$A$303,0)),IF($K264="","",$K264)))</f>
        <v/>
      </c>
      <c r="N264" s="24">
        <f>IF($A264="","",IFERROR(INDEX('CAT_ESTADOS_ERP'!$B$4:$B$22,MATCH(IFERROR(INDEX('2_IMPORTAR_EJECUCION'!$C$9:$C$1208,MATCH($AU264,'2_IMPORTAR_EJECUCION'!$J$9:$J$1208,0)),""),'CAT_ESTADOS_ERP'!$A$4:$A$22,0)),"Pendiente"))</f>
        <v/>
      </c>
      <c r="O264" s="24">
        <f>IF($J264="","",YEAR($J264+4-WEEKDAY($J264,2))&amp;"-S"&amp;TEXT(_xlfn.ISOWEEKNUM($J264),"00"))</f>
        <v/>
      </c>
      <c r="P264" s="24">
        <f>IF($J264="","",YEAR($J264))</f>
        <v/>
      </c>
      <c r="Q264" s="24">
        <f>IF($J264="","",MONTH($J264))</f>
        <v/>
      </c>
      <c r="R264" s="24">
        <f>IF($J264="","",$P264&amp;"-"&amp;TEXT($Q264,"00"))</f>
        <v/>
      </c>
      <c r="S264" s="24">
        <f>IF($J264="","",INDEX(lista_dias,WEEKDAY($J264,2)))</f>
        <v/>
      </c>
      <c r="T264" s="24">
        <f>IF($J264="","",IFERROR(INDEX('CALENDARIO'!$C$15:$C$214,MATCH(TEXT($J264,"yyyy-mm-dd")&amp;"|"&amp;$Y264&amp;"|"&amp;$Z264,'CALENDARIO'!$G$15:$G$214,0)),IFERROR(INDEX('CALENDARIO'!$C$15:$C$214,MATCH(TEXT($J264,"yyyy-mm-dd")&amp;"|"&amp;$Y264&amp;"|",'CALENDARIO'!$G$15:$G$214,0)),IFERROR(INDEX('CALENDARIO'!$C$15:$C$214,MATCH(TEXT($J264,"yyyy-mm-dd")&amp;"||",'CALENDARIO'!$G$15:$G$214,0)),INDEX(patronHabil,WEEKDAY($J264,2))))))</f>
        <v/>
      </c>
      <c r="U264" s="24">
        <f>IF($I264="","",IFERROR(INDEX('CAT_TIPOS_OT'!$C$4:$C$23,MATCH($I264,'CAT_TIPOS_OT'!$A$4:$A$23,0)),"sin_clasificar"))</f>
        <v/>
      </c>
      <c r="V264" s="24">
        <f>IF($I264="","",IF(IFERROR(INDEX('CAT_TIPOS_OT'!$D$4:$D$23,MATCH($I264,'CAT_TIPOS_OT'!$A$4:$A$23,0)),"SIN CLASIFICAR")="","SIN CLASIFICAR",IFERROR(INDEX('CAT_TIPOS_OT'!$D$4:$D$23,MATCH($I264,'CAT_TIPOS_OT'!$A$4:$A$23,0)),"SIN CLASIFICAR")))</f>
        <v/>
      </c>
      <c r="W264" s="24">
        <f>IF($H264="","",IF(IFERROR(INDEX('CAT_ACTIVIDADES'!$F$4:$F$26,MATCH($H264,'CAT_ACTIVIDADES'!$A$4:$A$26,0)),"")=0,"",IFERROR(INDEX('CAT_ACTIVIDADES'!$F$4:$F$26,MATCH($H264,'CAT_ACTIVIDADES'!$A$4:$A$26,0)),"")))</f>
        <v/>
      </c>
      <c r="X264" s="24">
        <f>IF($F264="","",IFERROR(INDEX('CAT_CENTROS_COSTO'!$F$4:$F$28,MATCH($F264,'CAT_CENTROS_COSTO'!$A$4:$A$28,0)),"(sin catálogo)"))</f>
        <v/>
      </c>
      <c r="Y264" s="24">
        <f>IF($F264="","",IFERROR(INDEX('CAT_CENTROS_COSTO'!$D$4:$D$28,MATCH($F264,'CAT_CENTROS_COSTO'!$A$4:$A$28,0)),"(sin catálogo)"))</f>
        <v/>
      </c>
      <c r="Z264" s="24">
        <f>IF($F264="","",IF((IFERROR(INDEX('CAT_CENTROS_COSTO'!$E$4:$E$28,MATCH($F264,'CAT_CENTROS_COSTO'!$A$4:$A$28,0)),""))&lt;&gt;"",IFERROR(INDEX('CAT_CENTROS_COSTO'!$E$4:$E$28,MATCH($F264,'CAT_CENTROS_COSTO'!$A$4:$A$28,0)),""),$Y264))</f>
        <v/>
      </c>
      <c r="AA264" s="24">
        <f>IF($F264="","",IFERROR(INDEX('CAT_CENTROS_COSTO'!$G$4:$G$28,MATCH($F264,'CAT_CENTROS_COSTO'!$A$4:$A$28,0)),"(sin catálogo)"))</f>
        <v/>
      </c>
      <c r="AB264" s="24">
        <f>IF($G264="","",IFERROR(INDEX('CAT_PUESTOS'!$B$4:$B$23,MATCH($G264,'CAT_PUESTOS'!$A$4:$A$23,0)),"(sin catálogo)"))</f>
        <v/>
      </c>
      <c r="AC264" s="24">
        <f>IF($H264="","",IFERROR(INDEX('CAT_ACTIVIDADES'!$B$4:$B$26,MATCH($H264,'CAT_ACTIVIDADES'!$A$4:$A$26,0)),"(sin catálogo)"))</f>
        <v/>
      </c>
      <c r="AD264" s="26">
        <f>IF($J264="","",TODAY()-$J264)</f>
        <v/>
      </c>
      <c r="AE264" s="26">
        <f>IF($J264="","",IF($J264&lt;=TODAY(),COUNTIFS(cal_fechas,"&gt;="&amp;$J264,cal_fechas,"&lt;"&amp;TODAY(),cal_habil,"sí"),-COUNTIFS(cal_fechas,"&gt;="&amp;TODAY(),cal_fechas,"&lt;"&amp;$J264,cal_habil,"sí")))</f>
        <v/>
      </c>
      <c r="AF264" s="24">
        <f>IF($AE264="","",IF($AE264&lt;0,"FUTURO",IF($AE264&gt;p_dias_backlog_max,"BACKLOG","MES CORRIENTE")))</f>
        <v/>
      </c>
      <c r="AG264" s="24">
        <f>IF($AE264="",FALSE,AND($AE264&gt;p_dias_backlog_min,$AE264&lt;=p_dias_backlog_max))</f>
        <v/>
      </c>
      <c r="AH264" s="4" t="n"/>
      <c r="AI264" s="24">
        <f>IF($AH264="","",IF((IFERROR(INDEX('ASIGNACIONES'!$J$4:$J$451,MATCH($O264&amp;"|"&amp;$S264&amp;"|"&amp;$AH264,'ASIGNACIONES'!$N$4:$N$451,0)),""))=0,"",IFERROR(INDEX('ASIGNACIONES'!$J$4:$J$451,MATCH($O264&amp;"|"&amp;$S264&amp;"|"&amp;$AH264,'ASIGNACIONES'!$N$4:$N$451,0)),"")))</f>
        <v/>
      </c>
      <c r="AJ264" s="42">
        <f>IF($AH264="","",SUMIFS('ORDENES'!$M$4:$M$1203,'ORDENES'!$AH$4:$AH$1203,$AH264,'ORDENES'!$O$4:$O$1203,$O264,'ORDENES'!$S$4:$S$1203,$S264))</f>
        <v/>
      </c>
      <c r="AK264" s="42">
        <f>IF($AJ264="","",p_factor_productividad*IFERROR(INDEX('ASIGNACIONES'!$M$4:$M$451,MATCH($O264&amp;"|"&amp;$S264&amp;"|"&amp;$AH264,'ASIGNACIONES'!$N$4:$N$451,0)),0)-$AJ264)</f>
        <v/>
      </c>
      <c r="AL264" s="32">
        <f>IF($A264="","",IFERROR(INDEX('2_IMPORTAR_EJECUCION'!$F$9:$F$1208,MATCH($AU264,'2_IMPORTAR_EJECUCION'!$J$9:$J$1208,0)),0))</f>
        <v/>
      </c>
      <c r="AM264" s="32">
        <f>IF($A264="","",MAX(0,IFERROR(INDEX('2_IMPORTAR_EJECUCION'!$H$9:$H$1208,MATCH($AU264,'2_IMPORTAR_EJECUCION'!$J$9:$J$1208,0)),0)-$AL264))</f>
        <v/>
      </c>
      <c r="AN264" s="32">
        <f>IF($A264="","",$AL264+$AM264)</f>
        <v/>
      </c>
      <c r="AO264" s="24">
        <f>IF($A264="","",IF(OR((IFERROR(INDEX('CAT_ACTIVIDADES'!$D$4:$D$26,MATCH($H264,'CAT_ACTIVIDADES'!$A$4:$A$26,0)),""))=0,(IFERROR(INDEX('CAT_ACTIVIDADES'!$D$4:$D$26,MATCH($H264,'CAT_ACTIVIDADES'!$A$4:$A$26,0)),""))=""),"SIN CLASIFICAR",IFERROR(INDEX('CAT_ACTIVIDADES'!$D$4:$D$26,MATCH($H264,'CAT_ACTIVIDADES'!$A$4:$A$26,0)),"")))</f>
        <v/>
      </c>
      <c r="AP264" s="4" t="n"/>
      <c r="AQ264" s="4" t="n"/>
      <c r="AR264" s="4" t="n"/>
      <c r="AS264" s="24">
        <f>IF($AR264="","",HYPERLINK(p_ruta_base_checklists&amp;$AR264,"abrir"))</f>
        <v/>
      </c>
      <c r="AT264" s="4" t="n"/>
      <c r="AU264" s="24">
        <f>IF($A264="","",$A264&amp;IF($B264="","0010",$B264))</f>
        <v/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41" t="n"/>
      <c r="K265" s="5" t="n"/>
      <c r="L265" s="18" t="n"/>
      <c r="M265" s="24">
        <f>IF($A265="","",IFERROR(INDEX('AJUSTES'!$B$4:$B$303,MATCH($AU265,'AJUSTES'!$A$4:$A$303,0)),IF($K265="","",$K265)))</f>
        <v/>
      </c>
      <c r="N265" s="24">
        <f>IF($A265="","",IFERROR(INDEX('CAT_ESTADOS_ERP'!$B$4:$B$22,MATCH(IFERROR(INDEX('2_IMPORTAR_EJECUCION'!$C$9:$C$1208,MATCH($AU265,'2_IMPORTAR_EJECUCION'!$J$9:$J$1208,0)),""),'CAT_ESTADOS_ERP'!$A$4:$A$22,0)),"Pendiente"))</f>
        <v/>
      </c>
      <c r="O265" s="24">
        <f>IF($J265="","",YEAR($J265+4-WEEKDAY($J265,2))&amp;"-S"&amp;TEXT(_xlfn.ISOWEEKNUM($J265),"00"))</f>
        <v/>
      </c>
      <c r="P265" s="24">
        <f>IF($J265="","",YEAR($J265))</f>
        <v/>
      </c>
      <c r="Q265" s="24">
        <f>IF($J265="","",MONTH($J265))</f>
        <v/>
      </c>
      <c r="R265" s="24">
        <f>IF($J265="","",$P265&amp;"-"&amp;TEXT($Q265,"00"))</f>
        <v/>
      </c>
      <c r="S265" s="24">
        <f>IF($J265="","",INDEX(lista_dias,WEEKDAY($J265,2)))</f>
        <v/>
      </c>
      <c r="T265" s="24">
        <f>IF($J265="","",IFERROR(INDEX('CALENDARIO'!$C$15:$C$214,MATCH(TEXT($J265,"yyyy-mm-dd")&amp;"|"&amp;$Y265&amp;"|"&amp;$Z265,'CALENDARIO'!$G$15:$G$214,0)),IFERROR(INDEX('CALENDARIO'!$C$15:$C$214,MATCH(TEXT($J265,"yyyy-mm-dd")&amp;"|"&amp;$Y265&amp;"|",'CALENDARIO'!$G$15:$G$214,0)),IFERROR(INDEX('CALENDARIO'!$C$15:$C$214,MATCH(TEXT($J265,"yyyy-mm-dd")&amp;"||",'CALENDARIO'!$G$15:$G$214,0)),INDEX(patronHabil,WEEKDAY($J265,2))))))</f>
        <v/>
      </c>
      <c r="U265" s="24">
        <f>IF($I265="","",IFERROR(INDEX('CAT_TIPOS_OT'!$C$4:$C$23,MATCH($I265,'CAT_TIPOS_OT'!$A$4:$A$23,0)),"sin_clasificar"))</f>
        <v/>
      </c>
      <c r="V265" s="24">
        <f>IF($I265="","",IF(IFERROR(INDEX('CAT_TIPOS_OT'!$D$4:$D$23,MATCH($I265,'CAT_TIPOS_OT'!$A$4:$A$23,0)),"SIN CLASIFICAR")="","SIN CLASIFICAR",IFERROR(INDEX('CAT_TIPOS_OT'!$D$4:$D$23,MATCH($I265,'CAT_TIPOS_OT'!$A$4:$A$23,0)),"SIN CLASIFICAR")))</f>
        <v/>
      </c>
      <c r="W265" s="24">
        <f>IF($H265="","",IF(IFERROR(INDEX('CAT_ACTIVIDADES'!$F$4:$F$26,MATCH($H265,'CAT_ACTIVIDADES'!$A$4:$A$26,0)),"")=0,"",IFERROR(INDEX('CAT_ACTIVIDADES'!$F$4:$F$26,MATCH($H265,'CAT_ACTIVIDADES'!$A$4:$A$26,0)),"")))</f>
        <v/>
      </c>
      <c r="X265" s="24">
        <f>IF($F265="","",IFERROR(INDEX('CAT_CENTROS_COSTO'!$F$4:$F$28,MATCH($F265,'CAT_CENTROS_COSTO'!$A$4:$A$28,0)),"(sin catálogo)"))</f>
        <v/>
      </c>
      <c r="Y265" s="24">
        <f>IF($F265="","",IFERROR(INDEX('CAT_CENTROS_COSTO'!$D$4:$D$28,MATCH($F265,'CAT_CENTROS_COSTO'!$A$4:$A$28,0)),"(sin catálogo)"))</f>
        <v/>
      </c>
      <c r="Z265" s="24">
        <f>IF($F265="","",IF((IFERROR(INDEX('CAT_CENTROS_COSTO'!$E$4:$E$28,MATCH($F265,'CAT_CENTROS_COSTO'!$A$4:$A$28,0)),""))&lt;&gt;"",IFERROR(INDEX('CAT_CENTROS_COSTO'!$E$4:$E$28,MATCH($F265,'CAT_CENTROS_COSTO'!$A$4:$A$28,0)),""),$Y265))</f>
        <v/>
      </c>
      <c r="AA265" s="24">
        <f>IF($F265="","",IFERROR(INDEX('CAT_CENTROS_COSTO'!$G$4:$G$28,MATCH($F265,'CAT_CENTROS_COSTO'!$A$4:$A$28,0)),"(sin catálogo)"))</f>
        <v/>
      </c>
      <c r="AB265" s="24">
        <f>IF($G265="","",IFERROR(INDEX('CAT_PUESTOS'!$B$4:$B$23,MATCH($G265,'CAT_PUESTOS'!$A$4:$A$23,0)),"(sin catálogo)"))</f>
        <v/>
      </c>
      <c r="AC265" s="24">
        <f>IF($H265="","",IFERROR(INDEX('CAT_ACTIVIDADES'!$B$4:$B$26,MATCH($H265,'CAT_ACTIVIDADES'!$A$4:$A$26,0)),"(sin catálogo)"))</f>
        <v/>
      </c>
      <c r="AD265" s="26">
        <f>IF($J265="","",TODAY()-$J265)</f>
        <v/>
      </c>
      <c r="AE265" s="26">
        <f>IF($J265="","",IF($J265&lt;=TODAY(),COUNTIFS(cal_fechas,"&gt;="&amp;$J265,cal_fechas,"&lt;"&amp;TODAY(),cal_habil,"sí"),-COUNTIFS(cal_fechas,"&gt;="&amp;TODAY(),cal_fechas,"&lt;"&amp;$J265,cal_habil,"sí")))</f>
        <v/>
      </c>
      <c r="AF265" s="24">
        <f>IF($AE265="","",IF($AE265&lt;0,"FUTURO",IF($AE265&gt;p_dias_backlog_max,"BACKLOG","MES CORRIENTE")))</f>
        <v/>
      </c>
      <c r="AG265" s="24">
        <f>IF($AE265="",FALSE,AND($AE265&gt;p_dias_backlog_min,$AE265&lt;=p_dias_backlog_max))</f>
        <v/>
      </c>
      <c r="AH265" s="4" t="n"/>
      <c r="AI265" s="24">
        <f>IF($AH265="","",IF((IFERROR(INDEX('ASIGNACIONES'!$J$4:$J$451,MATCH($O265&amp;"|"&amp;$S265&amp;"|"&amp;$AH265,'ASIGNACIONES'!$N$4:$N$451,0)),""))=0,"",IFERROR(INDEX('ASIGNACIONES'!$J$4:$J$451,MATCH($O265&amp;"|"&amp;$S265&amp;"|"&amp;$AH265,'ASIGNACIONES'!$N$4:$N$451,0)),"")))</f>
        <v/>
      </c>
      <c r="AJ265" s="42">
        <f>IF($AH265="","",SUMIFS('ORDENES'!$M$4:$M$1203,'ORDENES'!$AH$4:$AH$1203,$AH265,'ORDENES'!$O$4:$O$1203,$O265,'ORDENES'!$S$4:$S$1203,$S265))</f>
        <v/>
      </c>
      <c r="AK265" s="42">
        <f>IF($AJ265="","",p_factor_productividad*IFERROR(INDEX('ASIGNACIONES'!$M$4:$M$451,MATCH($O265&amp;"|"&amp;$S265&amp;"|"&amp;$AH265,'ASIGNACIONES'!$N$4:$N$451,0)),0)-$AJ265)</f>
        <v/>
      </c>
      <c r="AL265" s="32">
        <f>IF($A265="","",IFERROR(INDEX('2_IMPORTAR_EJECUCION'!$F$9:$F$1208,MATCH($AU265,'2_IMPORTAR_EJECUCION'!$J$9:$J$1208,0)),0))</f>
        <v/>
      </c>
      <c r="AM265" s="32">
        <f>IF($A265="","",MAX(0,IFERROR(INDEX('2_IMPORTAR_EJECUCION'!$H$9:$H$1208,MATCH($AU265,'2_IMPORTAR_EJECUCION'!$J$9:$J$1208,0)),0)-$AL265))</f>
        <v/>
      </c>
      <c r="AN265" s="32">
        <f>IF($A265="","",$AL265+$AM265)</f>
        <v/>
      </c>
      <c r="AO265" s="24">
        <f>IF($A265="","",IF(OR((IFERROR(INDEX('CAT_ACTIVIDADES'!$D$4:$D$26,MATCH($H265,'CAT_ACTIVIDADES'!$A$4:$A$26,0)),""))=0,(IFERROR(INDEX('CAT_ACTIVIDADES'!$D$4:$D$26,MATCH($H265,'CAT_ACTIVIDADES'!$A$4:$A$26,0)),""))=""),"SIN CLASIFICAR",IFERROR(INDEX('CAT_ACTIVIDADES'!$D$4:$D$26,MATCH($H265,'CAT_ACTIVIDADES'!$A$4:$A$26,0)),"")))</f>
        <v/>
      </c>
      <c r="AP265" s="4" t="n"/>
      <c r="AQ265" s="4" t="n"/>
      <c r="AR265" s="4" t="n"/>
      <c r="AS265" s="24">
        <f>IF($AR265="","",HYPERLINK(p_ruta_base_checklists&amp;$AR265,"abrir"))</f>
        <v/>
      </c>
      <c r="AT265" s="4" t="n"/>
      <c r="AU265" s="24">
        <f>IF($A265="","",$A265&amp;IF($B265="","0010",$B265))</f>
        <v/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41" t="n"/>
      <c r="K266" s="5" t="n"/>
      <c r="L266" s="18" t="n"/>
      <c r="M266" s="24">
        <f>IF($A266="","",IFERROR(INDEX('AJUSTES'!$B$4:$B$303,MATCH($AU266,'AJUSTES'!$A$4:$A$303,0)),IF($K266="","",$K266)))</f>
        <v/>
      </c>
      <c r="N266" s="24">
        <f>IF($A266="","",IFERROR(INDEX('CAT_ESTADOS_ERP'!$B$4:$B$22,MATCH(IFERROR(INDEX('2_IMPORTAR_EJECUCION'!$C$9:$C$1208,MATCH($AU266,'2_IMPORTAR_EJECUCION'!$J$9:$J$1208,0)),""),'CAT_ESTADOS_ERP'!$A$4:$A$22,0)),"Pendiente"))</f>
        <v/>
      </c>
      <c r="O266" s="24">
        <f>IF($J266="","",YEAR($J266+4-WEEKDAY($J266,2))&amp;"-S"&amp;TEXT(_xlfn.ISOWEEKNUM($J266),"00"))</f>
        <v/>
      </c>
      <c r="P266" s="24">
        <f>IF($J266="","",YEAR($J266))</f>
        <v/>
      </c>
      <c r="Q266" s="24">
        <f>IF($J266="","",MONTH($J266))</f>
        <v/>
      </c>
      <c r="R266" s="24">
        <f>IF($J266="","",$P266&amp;"-"&amp;TEXT($Q266,"00"))</f>
        <v/>
      </c>
      <c r="S266" s="24">
        <f>IF($J266="","",INDEX(lista_dias,WEEKDAY($J266,2)))</f>
        <v/>
      </c>
      <c r="T266" s="24">
        <f>IF($J266="","",IFERROR(INDEX('CALENDARIO'!$C$15:$C$214,MATCH(TEXT($J266,"yyyy-mm-dd")&amp;"|"&amp;$Y266&amp;"|"&amp;$Z266,'CALENDARIO'!$G$15:$G$214,0)),IFERROR(INDEX('CALENDARIO'!$C$15:$C$214,MATCH(TEXT($J266,"yyyy-mm-dd")&amp;"|"&amp;$Y266&amp;"|",'CALENDARIO'!$G$15:$G$214,0)),IFERROR(INDEX('CALENDARIO'!$C$15:$C$214,MATCH(TEXT($J266,"yyyy-mm-dd")&amp;"||",'CALENDARIO'!$G$15:$G$214,0)),INDEX(patronHabil,WEEKDAY($J266,2))))))</f>
        <v/>
      </c>
      <c r="U266" s="24">
        <f>IF($I266="","",IFERROR(INDEX('CAT_TIPOS_OT'!$C$4:$C$23,MATCH($I266,'CAT_TIPOS_OT'!$A$4:$A$23,0)),"sin_clasificar"))</f>
        <v/>
      </c>
      <c r="V266" s="24">
        <f>IF($I266="","",IF(IFERROR(INDEX('CAT_TIPOS_OT'!$D$4:$D$23,MATCH($I266,'CAT_TIPOS_OT'!$A$4:$A$23,0)),"SIN CLASIFICAR")="","SIN CLASIFICAR",IFERROR(INDEX('CAT_TIPOS_OT'!$D$4:$D$23,MATCH($I266,'CAT_TIPOS_OT'!$A$4:$A$23,0)),"SIN CLASIFICAR")))</f>
        <v/>
      </c>
      <c r="W266" s="24">
        <f>IF($H266="","",IF(IFERROR(INDEX('CAT_ACTIVIDADES'!$F$4:$F$26,MATCH($H266,'CAT_ACTIVIDADES'!$A$4:$A$26,0)),"")=0,"",IFERROR(INDEX('CAT_ACTIVIDADES'!$F$4:$F$26,MATCH($H266,'CAT_ACTIVIDADES'!$A$4:$A$26,0)),"")))</f>
        <v/>
      </c>
      <c r="X266" s="24">
        <f>IF($F266="","",IFERROR(INDEX('CAT_CENTROS_COSTO'!$F$4:$F$28,MATCH($F266,'CAT_CENTROS_COSTO'!$A$4:$A$28,0)),"(sin catálogo)"))</f>
        <v/>
      </c>
      <c r="Y266" s="24">
        <f>IF($F266="","",IFERROR(INDEX('CAT_CENTROS_COSTO'!$D$4:$D$28,MATCH($F266,'CAT_CENTROS_COSTO'!$A$4:$A$28,0)),"(sin catálogo)"))</f>
        <v/>
      </c>
      <c r="Z266" s="24">
        <f>IF($F266="","",IF((IFERROR(INDEX('CAT_CENTROS_COSTO'!$E$4:$E$28,MATCH($F266,'CAT_CENTROS_COSTO'!$A$4:$A$28,0)),""))&lt;&gt;"",IFERROR(INDEX('CAT_CENTROS_COSTO'!$E$4:$E$28,MATCH($F266,'CAT_CENTROS_COSTO'!$A$4:$A$28,0)),""),$Y266))</f>
        <v/>
      </c>
      <c r="AA266" s="24">
        <f>IF($F266="","",IFERROR(INDEX('CAT_CENTROS_COSTO'!$G$4:$G$28,MATCH($F266,'CAT_CENTROS_COSTO'!$A$4:$A$28,0)),"(sin catálogo)"))</f>
        <v/>
      </c>
      <c r="AB266" s="24">
        <f>IF($G266="","",IFERROR(INDEX('CAT_PUESTOS'!$B$4:$B$23,MATCH($G266,'CAT_PUESTOS'!$A$4:$A$23,0)),"(sin catálogo)"))</f>
        <v/>
      </c>
      <c r="AC266" s="24">
        <f>IF($H266="","",IFERROR(INDEX('CAT_ACTIVIDADES'!$B$4:$B$26,MATCH($H266,'CAT_ACTIVIDADES'!$A$4:$A$26,0)),"(sin catálogo)"))</f>
        <v/>
      </c>
      <c r="AD266" s="26">
        <f>IF($J266="","",TODAY()-$J266)</f>
        <v/>
      </c>
      <c r="AE266" s="26">
        <f>IF($J266="","",IF($J266&lt;=TODAY(),COUNTIFS(cal_fechas,"&gt;="&amp;$J266,cal_fechas,"&lt;"&amp;TODAY(),cal_habil,"sí"),-COUNTIFS(cal_fechas,"&gt;="&amp;TODAY(),cal_fechas,"&lt;"&amp;$J266,cal_habil,"sí")))</f>
        <v/>
      </c>
      <c r="AF266" s="24">
        <f>IF($AE266="","",IF($AE266&lt;0,"FUTURO",IF($AE266&gt;p_dias_backlog_max,"BACKLOG","MES CORRIENTE")))</f>
        <v/>
      </c>
      <c r="AG266" s="24">
        <f>IF($AE266="",FALSE,AND($AE266&gt;p_dias_backlog_min,$AE266&lt;=p_dias_backlog_max))</f>
        <v/>
      </c>
      <c r="AH266" s="4" t="n"/>
      <c r="AI266" s="24">
        <f>IF($AH266="","",IF((IFERROR(INDEX('ASIGNACIONES'!$J$4:$J$451,MATCH($O266&amp;"|"&amp;$S266&amp;"|"&amp;$AH266,'ASIGNACIONES'!$N$4:$N$451,0)),""))=0,"",IFERROR(INDEX('ASIGNACIONES'!$J$4:$J$451,MATCH($O266&amp;"|"&amp;$S266&amp;"|"&amp;$AH266,'ASIGNACIONES'!$N$4:$N$451,0)),"")))</f>
        <v/>
      </c>
      <c r="AJ266" s="42">
        <f>IF($AH266="","",SUMIFS('ORDENES'!$M$4:$M$1203,'ORDENES'!$AH$4:$AH$1203,$AH266,'ORDENES'!$O$4:$O$1203,$O266,'ORDENES'!$S$4:$S$1203,$S266))</f>
        <v/>
      </c>
      <c r="AK266" s="42">
        <f>IF($AJ266="","",p_factor_productividad*IFERROR(INDEX('ASIGNACIONES'!$M$4:$M$451,MATCH($O266&amp;"|"&amp;$S266&amp;"|"&amp;$AH266,'ASIGNACIONES'!$N$4:$N$451,0)),0)-$AJ266)</f>
        <v/>
      </c>
      <c r="AL266" s="32">
        <f>IF($A266="","",IFERROR(INDEX('2_IMPORTAR_EJECUCION'!$F$9:$F$1208,MATCH($AU266,'2_IMPORTAR_EJECUCION'!$J$9:$J$1208,0)),0))</f>
        <v/>
      </c>
      <c r="AM266" s="32">
        <f>IF($A266="","",MAX(0,IFERROR(INDEX('2_IMPORTAR_EJECUCION'!$H$9:$H$1208,MATCH($AU266,'2_IMPORTAR_EJECUCION'!$J$9:$J$1208,0)),0)-$AL266))</f>
        <v/>
      </c>
      <c r="AN266" s="32">
        <f>IF($A266="","",$AL266+$AM266)</f>
        <v/>
      </c>
      <c r="AO266" s="24">
        <f>IF($A266="","",IF(OR((IFERROR(INDEX('CAT_ACTIVIDADES'!$D$4:$D$26,MATCH($H266,'CAT_ACTIVIDADES'!$A$4:$A$26,0)),""))=0,(IFERROR(INDEX('CAT_ACTIVIDADES'!$D$4:$D$26,MATCH($H266,'CAT_ACTIVIDADES'!$A$4:$A$26,0)),""))=""),"SIN CLASIFICAR",IFERROR(INDEX('CAT_ACTIVIDADES'!$D$4:$D$26,MATCH($H266,'CAT_ACTIVIDADES'!$A$4:$A$26,0)),"")))</f>
        <v/>
      </c>
      <c r="AP266" s="4" t="n"/>
      <c r="AQ266" s="4" t="n"/>
      <c r="AR266" s="4" t="n"/>
      <c r="AS266" s="24">
        <f>IF($AR266="","",HYPERLINK(p_ruta_base_checklists&amp;$AR266,"abrir"))</f>
        <v/>
      </c>
      <c r="AT266" s="4" t="n"/>
      <c r="AU266" s="24">
        <f>IF($A266="","",$A266&amp;IF($B266="","0010",$B266))</f>
        <v/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41" t="n"/>
      <c r="K267" s="5" t="n"/>
      <c r="L267" s="18" t="n"/>
      <c r="M267" s="24">
        <f>IF($A267="","",IFERROR(INDEX('AJUSTES'!$B$4:$B$303,MATCH($AU267,'AJUSTES'!$A$4:$A$303,0)),IF($K267="","",$K267)))</f>
        <v/>
      </c>
      <c r="N267" s="24">
        <f>IF($A267="","",IFERROR(INDEX('CAT_ESTADOS_ERP'!$B$4:$B$22,MATCH(IFERROR(INDEX('2_IMPORTAR_EJECUCION'!$C$9:$C$1208,MATCH($AU267,'2_IMPORTAR_EJECUCION'!$J$9:$J$1208,0)),""),'CAT_ESTADOS_ERP'!$A$4:$A$22,0)),"Pendiente"))</f>
        <v/>
      </c>
      <c r="O267" s="24">
        <f>IF($J267="","",YEAR($J267+4-WEEKDAY($J267,2))&amp;"-S"&amp;TEXT(_xlfn.ISOWEEKNUM($J267),"00"))</f>
        <v/>
      </c>
      <c r="P267" s="24">
        <f>IF($J267="","",YEAR($J267))</f>
        <v/>
      </c>
      <c r="Q267" s="24">
        <f>IF($J267="","",MONTH($J267))</f>
        <v/>
      </c>
      <c r="R267" s="24">
        <f>IF($J267="","",$P267&amp;"-"&amp;TEXT($Q267,"00"))</f>
        <v/>
      </c>
      <c r="S267" s="24">
        <f>IF($J267="","",INDEX(lista_dias,WEEKDAY($J267,2)))</f>
        <v/>
      </c>
      <c r="T267" s="24">
        <f>IF($J267="","",IFERROR(INDEX('CALENDARIO'!$C$15:$C$214,MATCH(TEXT($J267,"yyyy-mm-dd")&amp;"|"&amp;$Y267&amp;"|"&amp;$Z267,'CALENDARIO'!$G$15:$G$214,0)),IFERROR(INDEX('CALENDARIO'!$C$15:$C$214,MATCH(TEXT($J267,"yyyy-mm-dd")&amp;"|"&amp;$Y267&amp;"|",'CALENDARIO'!$G$15:$G$214,0)),IFERROR(INDEX('CALENDARIO'!$C$15:$C$214,MATCH(TEXT($J267,"yyyy-mm-dd")&amp;"||",'CALENDARIO'!$G$15:$G$214,0)),INDEX(patronHabil,WEEKDAY($J267,2))))))</f>
        <v/>
      </c>
      <c r="U267" s="24">
        <f>IF($I267="","",IFERROR(INDEX('CAT_TIPOS_OT'!$C$4:$C$23,MATCH($I267,'CAT_TIPOS_OT'!$A$4:$A$23,0)),"sin_clasificar"))</f>
        <v/>
      </c>
      <c r="V267" s="24">
        <f>IF($I267="","",IF(IFERROR(INDEX('CAT_TIPOS_OT'!$D$4:$D$23,MATCH($I267,'CAT_TIPOS_OT'!$A$4:$A$23,0)),"SIN CLASIFICAR")="","SIN CLASIFICAR",IFERROR(INDEX('CAT_TIPOS_OT'!$D$4:$D$23,MATCH($I267,'CAT_TIPOS_OT'!$A$4:$A$23,0)),"SIN CLASIFICAR")))</f>
        <v/>
      </c>
      <c r="W267" s="24">
        <f>IF($H267="","",IF(IFERROR(INDEX('CAT_ACTIVIDADES'!$F$4:$F$26,MATCH($H267,'CAT_ACTIVIDADES'!$A$4:$A$26,0)),"")=0,"",IFERROR(INDEX('CAT_ACTIVIDADES'!$F$4:$F$26,MATCH($H267,'CAT_ACTIVIDADES'!$A$4:$A$26,0)),"")))</f>
        <v/>
      </c>
      <c r="X267" s="24">
        <f>IF($F267="","",IFERROR(INDEX('CAT_CENTROS_COSTO'!$F$4:$F$28,MATCH($F267,'CAT_CENTROS_COSTO'!$A$4:$A$28,0)),"(sin catálogo)"))</f>
        <v/>
      </c>
      <c r="Y267" s="24">
        <f>IF($F267="","",IFERROR(INDEX('CAT_CENTROS_COSTO'!$D$4:$D$28,MATCH($F267,'CAT_CENTROS_COSTO'!$A$4:$A$28,0)),"(sin catálogo)"))</f>
        <v/>
      </c>
      <c r="Z267" s="24">
        <f>IF($F267="","",IF((IFERROR(INDEX('CAT_CENTROS_COSTO'!$E$4:$E$28,MATCH($F267,'CAT_CENTROS_COSTO'!$A$4:$A$28,0)),""))&lt;&gt;"",IFERROR(INDEX('CAT_CENTROS_COSTO'!$E$4:$E$28,MATCH($F267,'CAT_CENTROS_COSTO'!$A$4:$A$28,0)),""),$Y267))</f>
        <v/>
      </c>
      <c r="AA267" s="24">
        <f>IF($F267="","",IFERROR(INDEX('CAT_CENTROS_COSTO'!$G$4:$G$28,MATCH($F267,'CAT_CENTROS_COSTO'!$A$4:$A$28,0)),"(sin catálogo)"))</f>
        <v/>
      </c>
      <c r="AB267" s="24">
        <f>IF($G267="","",IFERROR(INDEX('CAT_PUESTOS'!$B$4:$B$23,MATCH($G267,'CAT_PUESTOS'!$A$4:$A$23,0)),"(sin catálogo)"))</f>
        <v/>
      </c>
      <c r="AC267" s="24">
        <f>IF($H267="","",IFERROR(INDEX('CAT_ACTIVIDADES'!$B$4:$B$26,MATCH($H267,'CAT_ACTIVIDADES'!$A$4:$A$26,0)),"(sin catálogo)"))</f>
        <v/>
      </c>
      <c r="AD267" s="26">
        <f>IF($J267="","",TODAY()-$J267)</f>
        <v/>
      </c>
      <c r="AE267" s="26">
        <f>IF($J267="","",IF($J267&lt;=TODAY(),COUNTIFS(cal_fechas,"&gt;="&amp;$J267,cal_fechas,"&lt;"&amp;TODAY(),cal_habil,"sí"),-COUNTIFS(cal_fechas,"&gt;="&amp;TODAY(),cal_fechas,"&lt;"&amp;$J267,cal_habil,"sí")))</f>
        <v/>
      </c>
      <c r="AF267" s="24">
        <f>IF($AE267="","",IF($AE267&lt;0,"FUTURO",IF($AE267&gt;p_dias_backlog_max,"BACKLOG","MES CORRIENTE")))</f>
        <v/>
      </c>
      <c r="AG267" s="24">
        <f>IF($AE267="",FALSE,AND($AE267&gt;p_dias_backlog_min,$AE267&lt;=p_dias_backlog_max))</f>
        <v/>
      </c>
      <c r="AH267" s="4" t="n"/>
      <c r="AI267" s="24">
        <f>IF($AH267="","",IF((IFERROR(INDEX('ASIGNACIONES'!$J$4:$J$451,MATCH($O267&amp;"|"&amp;$S267&amp;"|"&amp;$AH267,'ASIGNACIONES'!$N$4:$N$451,0)),""))=0,"",IFERROR(INDEX('ASIGNACIONES'!$J$4:$J$451,MATCH($O267&amp;"|"&amp;$S267&amp;"|"&amp;$AH267,'ASIGNACIONES'!$N$4:$N$451,0)),"")))</f>
        <v/>
      </c>
      <c r="AJ267" s="42">
        <f>IF($AH267="","",SUMIFS('ORDENES'!$M$4:$M$1203,'ORDENES'!$AH$4:$AH$1203,$AH267,'ORDENES'!$O$4:$O$1203,$O267,'ORDENES'!$S$4:$S$1203,$S267))</f>
        <v/>
      </c>
      <c r="AK267" s="42">
        <f>IF($AJ267="","",p_factor_productividad*IFERROR(INDEX('ASIGNACIONES'!$M$4:$M$451,MATCH($O267&amp;"|"&amp;$S267&amp;"|"&amp;$AH267,'ASIGNACIONES'!$N$4:$N$451,0)),0)-$AJ267)</f>
        <v/>
      </c>
      <c r="AL267" s="32">
        <f>IF($A267="","",IFERROR(INDEX('2_IMPORTAR_EJECUCION'!$F$9:$F$1208,MATCH($AU267,'2_IMPORTAR_EJECUCION'!$J$9:$J$1208,0)),0))</f>
        <v/>
      </c>
      <c r="AM267" s="32">
        <f>IF($A267="","",MAX(0,IFERROR(INDEX('2_IMPORTAR_EJECUCION'!$H$9:$H$1208,MATCH($AU267,'2_IMPORTAR_EJECUCION'!$J$9:$J$1208,0)),0)-$AL267))</f>
        <v/>
      </c>
      <c r="AN267" s="32">
        <f>IF($A267="","",$AL267+$AM267)</f>
        <v/>
      </c>
      <c r="AO267" s="24">
        <f>IF($A267="","",IF(OR((IFERROR(INDEX('CAT_ACTIVIDADES'!$D$4:$D$26,MATCH($H267,'CAT_ACTIVIDADES'!$A$4:$A$26,0)),""))=0,(IFERROR(INDEX('CAT_ACTIVIDADES'!$D$4:$D$26,MATCH($H267,'CAT_ACTIVIDADES'!$A$4:$A$26,0)),""))=""),"SIN CLASIFICAR",IFERROR(INDEX('CAT_ACTIVIDADES'!$D$4:$D$26,MATCH($H267,'CAT_ACTIVIDADES'!$A$4:$A$26,0)),"")))</f>
        <v/>
      </c>
      <c r="AP267" s="4" t="n"/>
      <c r="AQ267" s="4" t="n"/>
      <c r="AR267" s="4" t="n"/>
      <c r="AS267" s="24">
        <f>IF($AR267="","",HYPERLINK(p_ruta_base_checklists&amp;$AR267,"abrir"))</f>
        <v/>
      </c>
      <c r="AT267" s="4" t="n"/>
      <c r="AU267" s="24">
        <f>IF($A267="","",$A267&amp;IF($B267="","0010",$B267))</f>
        <v/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41" t="n"/>
      <c r="K268" s="5" t="n"/>
      <c r="L268" s="18" t="n"/>
      <c r="M268" s="24">
        <f>IF($A268="","",IFERROR(INDEX('AJUSTES'!$B$4:$B$303,MATCH($AU268,'AJUSTES'!$A$4:$A$303,0)),IF($K268="","",$K268)))</f>
        <v/>
      </c>
      <c r="N268" s="24">
        <f>IF($A268="","",IFERROR(INDEX('CAT_ESTADOS_ERP'!$B$4:$B$22,MATCH(IFERROR(INDEX('2_IMPORTAR_EJECUCION'!$C$9:$C$1208,MATCH($AU268,'2_IMPORTAR_EJECUCION'!$J$9:$J$1208,0)),""),'CAT_ESTADOS_ERP'!$A$4:$A$22,0)),"Pendiente"))</f>
        <v/>
      </c>
      <c r="O268" s="24">
        <f>IF($J268="","",YEAR($J268+4-WEEKDAY($J268,2))&amp;"-S"&amp;TEXT(_xlfn.ISOWEEKNUM($J268),"00"))</f>
        <v/>
      </c>
      <c r="P268" s="24">
        <f>IF($J268="","",YEAR($J268))</f>
        <v/>
      </c>
      <c r="Q268" s="24">
        <f>IF($J268="","",MONTH($J268))</f>
        <v/>
      </c>
      <c r="R268" s="24">
        <f>IF($J268="","",$P268&amp;"-"&amp;TEXT($Q268,"00"))</f>
        <v/>
      </c>
      <c r="S268" s="24">
        <f>IF($J268="","",INDEX(lista_dias,WEEKDAY($J268,2)))</f>
        <v/>
      </c>
      <c r="T268" s="24">
        <f>IF($J268="","",IFERROR(INDEX('CALENDARIO'!$C$15:$C$214,MATCH(TEXT($J268,"yyyy-mm-dd")&amp;"|"&amp;$Y268&amp;"|"&amp;$Z268,'CALENDARIO'!$G$15:$G$214,0)),IFERROR(INDEX('CALENDARIO'!$C$15:$C$214,MATCH(TEXT($J268,"yyyy-mm-dd")&amp;"|"&amp;$Y268&amp;"|",'CALENDARIO'!$G$15:$G$214,0)),IFERROR(INDEX('CALENDARIO'!$C$15:$C$214,MATCH(TEXT($J268,"yyyy-mm-dd")&amp;"||",'CALENDARIO'!$G$15:$G$214,0)),INDEX(patronHabil,WEEKDAY($J268,2))))))</f>
        <v/>
      </c>
      <c r="U268" s="24">
        <f>IF($I268="","",IFERROR(INDEX('CAT_TIPOS_OT'!$C$4:$C$23,MATCH($I268,'CAT_TIPOS_OT'!$A$4:$A$23,0)),"sin_clasificar"))</f>
        <v/>
      </c>
      <c r="V268" s="24">
        <f>IF($I268="","",IF(IFERROR(INDEX('CAT_TIPOS_OT'!$D$4:$D$23,MATCH($I268,'CAT_TIPOS_OT'!$A$4:$A$23,0)),"SIN CLASIFICAR")="","SIN CLASIFICAR",IFERROR(INDEX('CAT_TIPOS_OT'!$D$4:$D$23,MATCH($I268,'CAT_TIPOS_OT'!$A$4:$A$23,0)),"SIN CLASIFICAR")))</f>
        <v/>
      </c>
      <c r="W268" s="24">
        <f>IF($H268="","",IF(IFERROR(INDEX('CAT_ACTIVIDADES'!$F$4:$F$26,MATCH($H268,'CAT_ACTIVIDADES'!$A$4:$A$26,0)),"")=0,"",IFERROR(INDEX('CAT_ACTIVIDADES'!$F$4:$F$26,MATCH($H268,'CAT_ACTIVIDADES'!$A$4:$A$26,0)),"")))</f>
        <v/>
      </c>
      <c r="X268" s="24">
        <f>IF($F268="","",IFERROR(INDEX('CAT_CENTROS_COSTO'!$F$4:$F$28,MATCH($F268,'CAT_CENTROS_COSTO'!$A$4:$A$28,0)),"(sin catálogo)"))</f>
        <v/>
      </c>
      <c r="Y268" s="24">
        <f>IF($F268="","",IFERROR(INDEX('CAT_CENTROS_COSTO'!$D$4:$D$28,MATCH($F268,'CAT_CENTROS_COSTO'!$A$4:$A$28,0)),"(sin catálogo)"))</f>
        <v/>
      </c>
      <c r="Z268" s="24">
        <f>IF($F268="","",IF((IFERROR(INDEX('CAT_CENTROS_COSTO'!$E$4:$E$28,MATCH($F268,'CAT_CENTROS_COSTO'!$A$4:$A$28,0)),""))&lt;&gt;"",IFERROR(INDEX('CAT_CENTROS_COSTO'!$E$4:$E$28,MATCH($F268,'CAT_CENTROS_COSTO'!$A$4:$A$28,0)),""),$Y268))</f>
        <v/>
      </c>
      <c r="AA268" s="24">
        <f>IF($F268="","",IFERROR(INDEX('CAT_CENTROS_COSTO'!$G$4:$G$28,MATCH($F268,'CAT_CENTROS_COSTO'!$A$4:$A$28,0)),"(sin catálogo)"))</f>
        <v/>
      </c>
      <c r="AB268" s="24">
        <f>IF($G268="","",IFERROR(INDEX('CAT_PUESTOS'!$B$4:$B$23,MATCH($G268,'CAT_PUESTOS'!$A$4:$A$23,0)),"(sin catálogo)"))</f>
        <v/>
      </c>
      <c r="AC268" s="24">
        <f>IF($H268="","",IFERROR(INDEX('CAT_ACTIVIDADES'!$B$4:$B$26,MATCH($H268,'CAT_ACTIVIDADES'!$A$4:$A$26,0)),"(sin catálogo)"))</f>
        <v/>
      </c>
      <c r="AD268" s="26">
        <f>IF($J268="","",TODAY()-$J268)</f>
        <v/>
      </c>
      <c r="AE268" s="26">
        <f>IF($J268="","",IF($J268&lt;=TODAY(),COUNTIFS(cal_fechas,"&gt;="&amp;$J268,cal_fechas,"&lt;"&amp;TODAY(),cal_habil,"sí"),-COUNTIFS(cal_fechas,"&gt;="&amp;TODAY(),cal_fechas,"&lt;"&amp;$J268,cal_habil,"sí")))</f>
        <v/>
      </c>
      <c r="AF268" s="24">
        <f>IF($AE268="","",IF($AE268&lt;0,"FUTURO",IF($AE268&gt;p_dias_backlog_max,"BACKLOG","MES CORRIENTE")))</f>
        <v/>
      </c>
      <c r="AG268" s="24">
        <f>IF($AE268="",FALSE,AND($AE268&gt;p_dias_backlog_min,$AE268&lt;=p_dias_backlog_max))</f>
        <v/>
      </c>
      <c r="AH268" s="4" t="n"/>
      <c r="AI268" s="24">
        <f>IF($AH268="","",IF((IFERROR(INDEX('ASIGNACIONES'!$J$4:$J$451,MATCH($O268&amp;"|"&amp;$S268&amp;"|"&amp;$AH268,'ASIGNACIONES'!$N$4:$N$451,0)),""))=0,"",IFERROR(INDEX('ASIGNACIONES'!$J$4:$J$451,MATCH($O268&amp;"|"&amp;$S268&amp;"|"&amp;$AH268,'ASIGNACIONES'!$N$4:$N$451,0)),"")))</f>
        <v/>
      </c>
      <c r="AJ268" s="42">
        <f>IF($AH268="","",SUMIFS('ORDENES'!$M$4:$M$1203,'ORDENES'!$AH$4:$AH$1203,$AH268,'ORDENES'!$O$4:$O$1203,$O268,'ORDENES'!$S$4:$S$1203,$S268))</f>
        <v/>
      </c>
      <c r="AK268" s="42">
        <f>IF($AJ268="","",p_factor_productividad*IFERROR(INDEX('ASIGNACIONES'!$M$4:$M$451,MATCH($O268&amp;"|"&amp;$S268&amp;"|"&amp;$AH268,'ASIGNACIONES'!$N$4:$N$451,0)),0)-$AJ268)</f>
        <v/>
      </c>
      <c r="AL268" s="32">
        <f>IF($A268="","",IFERROR(INDEX('2_IMPORTAR_EJECUCION'!$F$9:$F$1208,MATCH($AU268,'2_IMPORTAR_EJECUCION'!$J$9:$J$1208,0)),0))</f>
        <v/>
      </c>
      <c r="AM268" s="32">
        <f>IF($A268="","",MAX(0,IFERROR(INDEX('2_IMPORTAR_EJECUCION'!$H$9:$H$1208,MATCH($AU268,'2_IMPORTAR_EJECUCION'!$J$9:$J$1208,0)),0)-$AL268))</f>
        <v/>
      </c>
      <c r="AN268" s="32">
        <f>IF($A268="","",$AL268+$AM268)</f>
        <v/>
      </c>
      <c r="AO268" s="24">
        <f>IF($A268="","",IF(OR((IFERROR(INDEX('CAT_ACTIVIDADES'!$D$4:$D$26,MATCH($H268,'CAT_ACTIVIDADES'!$A$4:$A$26,0)),""))=0,(IFERROR(INDEX('CAT_ACTIVIDADES'!$D$4:$D$26,MATCH($H268,'CAT_ACTIVIDADES'!$A$4:$A$26,0)),""))=""),"SIN CLASIFICAR",IFERROR(INDEX('CAT_ACTIVIDADES'!$D$4:$D$26,MATCH($H268,'CAT_ACTIVIDADES'!$A$4:$A$26,0)),"")))</f>
        <v/>
      </c>
      <c r="AP268" s="4" t="n"/>
      <c r="AQ268" s="4" t="n"/>
      <c r="AR268" s="4" t="n"/>
      <c r="AS268" s="24">
        <f>IF($AR268="","",HYPERLINK(p_ruta_base_checklists&amp;$AR268,"abrir"))</f>
        <v/>
      </c>
      <c r="AT268" s="4" t="n"/>
      <c r="AU268" s="24">
        <f>IF($A268="","",$A268&amp;IF($B268="","0010",$B268))</f>
        <v/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41" t="n"/>
      <c r="K269" s="5" t="n"/>
      <c r="L269" s="18" t="n"/>
      <c r="M269" s="24">
        <f>IF($A269="","",IFERROR(INDEX('AJUSTES'!$B$4:$B$303,MATCH($AU269,'AJUSTES'!$A$4:$A$303,0)),IF($K269="","",$K269)))</f>
        <v/>
      </c>
      <c r="N269" s="24">
        <f>IF($A269="","",IFERROR(INDEX('CAT_ESTADOS_ERP'!$B$4:$B$22,MATCH(IFERROR(INDEX('2_IMPORTAR_EJECUCION'!$C$9:$C$1208,MATCH($AU269,'2_IMPORTAR_EJECUCION'!$J$9:$J$1208,0)),""),'CAT_ESTADOS_ERP'!$A$4:$A$22,0)),"Pendiente"))</f>
        <v/>
      </c>
      <c r="O269" s="24">
        <f>IF($J269="","",YEAR($J269+4-WEEKDAY($J269,2))&amp;"-S"&amp;TEXT(_xlfn.ISOWEEKNUM($J269),"00"))</f>
        <v/>
      </c>
      <c r="P269" s="24">
        <f>IF($J269="","",YEAR($J269))</f>
        <v/>
      </c>
      <c r="Q269" s="24">
        <f>IF($J269="","",MONTH($J269))</f>
        <v/>
      </c>
      <c r="R269" s="24">
        <f>IF($J269="","",$P269&amp;"-"&amp;TEXT($Q269,"00"))</f>
        <v/>
      </c>
      <c r="S269" s="24">
        <f>IF($J269="","",INDEX(lista_dias,WEEKDAY($J269,2)))</f>
        <v/>
      </c>
      <c r="T269" s="24">
        <f>IF($J269="","",IFERROR(INDEX('CALENDARIO'!$C$15:$C$214,MATCH(TEXT($J269,"yyyy-mm-dd")&amp;"|"&amp;$Y269&amp;"|"&amp;$Z269,'CALENDARIO'!$G$15:$G$214,0)),IFERROR(INDEX('CALENDARIO'!$C$15:$C$214,MATCH(TEXT($J269,"yyyy-mm-dd")&amp;"|"&amp;$Y269&amp;"|",'CALENDARIO'!$G$15:$G$214,0)),IFERROR(INDEX('CALENDARIO'!$C$15:$C$214,MATCH(TEXT($J269,"yyyy-mm-dd")&amp;"||",'CALENDARIO'!$G$15:$G$214,0)),INDEX(patronHabil,WEEKDAY($J269,2))))))</f>
        <v/>
      </c>
      <c r="U269" s="24">
        <f>IF($I269="","",IFERROR(INDEX('CAT_TIPOS_OT'!$C$4:$C$23,MATCH($I269,'CAT_TIPOS_OT'!$A$4:$A$23,0)),"sin_clasificar"))</f>
        <v/>
      </c>
      <c r="V269" s="24">
        <f>IF($I269="","",IF(IFERROR(INDEX('CAT_TIPOS_OT'!$D$4:$D$23,MATCH($I269,'CAT_TIPOS_OT'!$A$4:$A$23,0)),"SIN CLASIFICAR")="","SIN CLASIFICAR",IFERROR(INDEX('CAT_TIPOS_OT'!$D$4:$D$23,MATCH($I269,'CAT_TIPOS_OT'!$A$4:$A$23,0)),"SIN CLASIFICAR")))</f>
        <v/>
      </c>
      <c r="W269" s="24">
        <f>IF($H269="","",IF(IFERROR(INDEX('CAT_ACTIVIDADES'!$F$4:$F$26,MATCH($H269,'CAT_ACTIVIDADES'!$A$4:$A$26,0)),"")=0,"",IFERROR(INDEX('CAT_ACTIVIDADES'!$F$4:$F$26,MATCH($H269,'CAT_ACTIVIDADES'!$A$4:$A$26,0)),"")))</f>
        <v/>
      </c>
      <c r="X269" s="24">
        <f>IF($F269="","",IFERROR(INDEX('CAT_CENTROS_COSTO'!$F$4:$F$28,MATCH($F269,'CAT_CENTROS_COSTO'!$A$4:$A$28,0)),"(sin catálogo)"))</f>
        <v/>
      </c>
      <c r="Y269" s="24">
        <f>IF($F269="","",IFERROR(INDEX('CAT_CENTROS_COSTO'!$D$4:$D$28,MATCH($F269,'CAT_CENTROS_COSTO'!$A$4:$A$28,0)),"(sin catálogo)"))</f>
        <v/>
      </c>
      <c r="Z269" s="24">
        <f>IF($F269="","",IF((IFERROR(INDEX('CAT_CENTROS_COSTO'!$E$4:$E$28,MATCH($F269,'CAT_CENTROS_COSTO'!$A$4:$A$28,0)),""))&lt;&gt;"",IFERROR(INDEX('CAT_CENTROS_COSTO'!$E$4:$E$28,MATCH($F269,'CAT_CENTROS_COSTO'!$A$4:$A$28,0)),""),$Y269))</f>
        <v/>
      </c>
      <c r="AA269" s="24">
        <f>IF($F269="","",IFERROR(INDEX('CAT_CENTROS_COSTO'!$G$4:$G$28,MATCH($F269,'CAT_CENTROS_COSTO'!$A$4:$A$28,0)),"(sin catálogo)"))</f>
        <v/>
      </c>
      <c r="AB269" s="24">
        <f>IF($G269="","",IFERROR(INDEX('CAT_PUESTOS'!$B$4:$B$23,MATCH($G269,'CAT_PUESTOS'!$A$4:$A$23,0)),"(sin catálogo)"))</f>
        <v/>
      </c>
      <c r="AC269" s="24">
        <f>IF($H269="","",IFERROR(INDEX('CAT_ACTIVIDADES'!$B$4:$B$26,MATCH($H269,'CAT_ACTIVIDADES'!$A$4:$A$26,0)),"(sin catálogo)"))</f>
        <v/>
      </c>
      <c r="AD269" s="26">
        <f>IF($J269="","",TODAY()-$J269)</f>
        <v/>
      </c>
      <c r="AE269" s="26">
        <f>IF($J269="","",IF($J269&lt;=TODAY(),COUNTIFS(cal_fechas,"&gt;="&amp;$J269,cal_fechas,"&lt;"&amp;TODAY(),cal_habil,"sí"),-COUNTIFS(cal_fechas,"&gt;="&amp;TODAY(),cal_fechas,"&lt;"&amp;$J269,cal_habil,"sí")))</f>
        <v/>
      </c>
      <c r="AF269" s="24">
        <f>IF($AE269="","",IF($AE269&lt;0,"FUTURO",IF($AE269&gt;p_dias_backlog_max,"BACKLOG","MES CORRIENTE")))</f>
        <v/>
      </c>
      <c r="AG269" s="24">
        <f>IF($AE269="",FALSE,AND($AE269&gt;p_dias_backlog_min,$AE269&lt;=p_dias_backlog_max))</f>
        <v/>
      </c>
      <c r="AH269" s="4" t="n"/>
      <c r="AI269" s="24">
        <f>IF($AH269="","",IF((IFERROR(INDEX('ASIGNACIONES'!$J$4:$J$451,MATCH($O269&amp;"|"&amp;$S269&amp;"|"&amp;$AH269,'ASIGNACIONES'!$N$4:$N$451,0)),""))=0,"",IFERROR(INDEX('ASIGNACIONES'!$J$4:$J$451,MATCH($O269&amp;"|"&amp;$S269&amp;"|"&amp;$AH269,'ASIGNACIONES'!$N$4:$N$451,0)),"")))</f>
        <v/>
      </c>
      <c r="AJ269" s="42">
        <f>IF($AH269="","",SUMIFS('ORDENES'!$M$4:$M$1203,'ORDENES'!$AH$4:$AH$1203,$AH269,'ORDENES'!$O$4:$O$1203,$O269,'ORDENES'!$S$4:$S$1203,$S269))</f>
        <v/>
      </c>
      <c r="AK269" s="42">
        <f>IF($AJ269="","",p_factor_productividad*IFERROR(INDEX('ASIGNACIONES'!$M$4:$M$451,MATCH($O269&amp;"|"&amp;$S269&amp;"|"&amp;$AH269,'ASIGNACIONES'!$N$4:$N$451,0)),0)-$AJ269)</f>
        <v/>
      </c>
      <c r="AL269" s="32">
        <f>IF($A269="","",IFERROR(INDEX('2_IMPORTAR_EJECUCION'!$F$9:$F$1208,MATCH($AU269,'2_IMPORTAR_EJECUCION'!$J$9:$J$1208,0)),0))</f>
        <v/>
      </c>
      <c r="AM269" s="32">
        <f>IF($A269="","",MAX(0,IFERROR(INDEX('2_IMPORTAR_EJECUCION'!$H$9:$H$1208,MATCH($AU269,'2_IMPORTAR_EJECUCION'!$J$9:$J$1208,0)),0)-$AL269))</f>
        <v/>
      </c>
      <c r="AN269" s="32">
        <f>IF($A269="","",$AL269+$AM269)</f>
        <v/>
      </c>
      <c r="AO269" s="24">
        <f>IF($A269="","",IF(OR((IFERROR(INDEX('CAT_ACTIVIDADES'!$D$4:$D$26,MATCH($H269,'CAT_ACTIVIDADES'!$A$4:$A$26,0)),""))=0,(IFERROR(INDEX('CAT_ACTIVIDADES'!$D$4:$D$26,MATCH($H269,'CAT_ACTIVIDADES'!$A$4:$A$26,0)),""))=""),"SIN CLASIFICAR",IFERROR(INDEX('CAT_ACTIVIDADES'!$D$4:$D$26,MATCH($H269,'CAT_ACTIVIDADES'!$A$4:$A$26,0)),"")))</f>
        <v/>
      </c>
      <c r="AP269" s="4" t="n"/>
      <c r="AQ269" s="4" t="n"/>
      <c r="AR269" s="4" t="n"/>
      <c r="AS269" s="24">
        <f>IF($AR269="","",HYPERLINK(p_ruta_base_checklists&amp;$AR269,"abrir"))</f>
        <v/>
      </c>
      <c r="AT269" s="4" t="n"/>
      <c r="AU269" s="24">
        <f>IF($A269="","",$A269&amp;IF($B269="","0010",$B269))</f>
        <v/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41" t="n"/>
      <c r="K270" s="5" t="n"/>
      <c r="L270" s="18" t="n"/>
      <c r="M270" s="24">
        <f>IF($A270="","",IFERROR(INDEX('AJUSTES'!$B$4:$B$303,MATCH($AU270,'AJUSTES'!$A$4:$A$303,0)),IF($K270="","",$K270)))</f>
        <v/>
      </c>
      <c r="N270" s="24">
        <f>IF($A270="","",IFERROR(INDEX('CAT_ESTADOS_ERP'!$B$4:$B$22,MATCH(IFERROR(INDEX('2_IMPORTAR_EJECUCION'!$C$9:$C$1208,MATCH($AU270,'2_IMPORTAR_EJECUCION'!$J$9:$J$1208,0)),""),'CAT_ESTADOS_ERP'!$A$4:$A$22,0)),"Pendiente"))</f>
        <v/>
      </c>
      <c r="O270" s="24">
        <f>IF($J270="","",YEAR($J270+4-WEEKDAY($J270,2))&amp;"-S"&amp;TEXT(_xlfn.ISOWEEKNUM($J270),"00"))</f>
        <v/>
      </c>
      <c r="P270" s="24">
        <f>IF($J270="","",YEAR($J270))</f>
        <v/>
      </c>
      <c r="Q270" s="24">
        <f>IF($J270="","",MONTH($J270))</f>
        <v/>
      </c>
      <c r="R270" s="24">
        <f>IF($J270="","",$P270&amp;"-"&amp;TEXT($Q270,"00"))</f>
        <v/>
      </c>
      <c r="S270" s="24">
        <f>IF($J270="","",INDEX(lista_dias,WEEKDAY($J270,2)))</f>
        <v/>
      </c>
      <c r="T270" s="24">
        <f>IF($J270="","",IFERROR(INDEX('CALENDARIO'!$C$15:$C$214,MATCH(TEXT($J270,"yyyy-mm-dd")&amp;"|"&amp;$Y270&amp;"|"&amp;$Z270,'CALENDARIO'!$G$15:$G$214,0)),IFERROR(INDEX('CALENDARIO'!$C$15:$C$214,MATCH(TEXT($J270,"yyyy-mm-dd")&amp;"|"&amp;$Y270&amp;"|",'CALENDARIO'!$G$15:$G$214,0)),IFERROR(INDEX('CALENDARIO'!$C$15:$C$214,MATCH(TEXT($J270,"yyyy-mm-dd")&amp;"||",'CALENDARIO'!$G$15:$G$214,0)),INDEX(patronHabil,WEEKDAY($J270,2))))))</f>
        <v/>
      </c>
      <c r="U270" s="24">
        <f>IF($I270="","",IFERROR(INDEX('CAT_TIPOS_OT'!$C$4:$C$23,MATCH($I270,'CAT_TIPOS_OT'!$A$4:$A$23,0)),"sin_clasificar"))</f>
        <v/>
      </c>
      <c r="V270" s="24">
        <f>IF($I270="","",IF(IFERROR(INDEX('CAT_TIPOS_OT'!$D$4:$D$23,MATCH($I270,'CAT_TIPOS_OT'!$A$4:$A$23,0)),"SIN CLASIFICAR")="","SIN CLASIFICAR",IFERROR(INDEX('CAT_TIPOS_OT'!$D$4:$D$23,MATCH($I270,'CAT_TIPOS_OT'!$A$4:$A$23,0)),"SIN CLASIFICAR")))</f>
        <v/>
      </c>
      <c r="W270" s="24">
        <f>IF($H270="","",IF(IFERROR(INDEX('CAT_ACTIVIDADES'!$F$4:$F$26,MATCH($H270,'CAT_ACTIVIDADES'!$A$4:$A$26,0)),"")=0,"",IFERROR(INDEX('CAT_ACTIVIDADES'!$F$4:$F$26,MATCH($H270,'CAT_ACTIVIDADES'!$A$4:$A$26,0)),"")))</f>
        <v/>
      </c>
      <c r="X270" s="24">
        <f>IF($F270="","",IFERROR(INDEX('CAT_CENTROS_COSTO'!$F$4:$F$28,MATCH($F270,'CAT_CENTROS_COSTO'!$A$4:$A$28,0)),"(sin catálogo)"))</f>
        <v/>
      </c>
      <c r="Y270" s="24">
        <f>IF($F270="","",IFERROR(INDEX('CAT_CENTROS_COSTO'!$D$4:$D$28,MATCH($F270,'CAT_CENTROS_COSTO'!$A$4:$A$28,0)),"(sin catálogo)"))</f>
        <v/>
      </c>
      <c r="Z270" s="24">
        <f>IF($F270="","",IF((IFERROR(INDEX('CAT_CENTROS_COSTO'!$E$4:$E$28,MATCH($F270,'CAT_CENTROS_COSTO'!$A$4:$A$28,0)),""))&lt;&gt;"",IFERROR(INDEX('CAT_CENTROS_COSTO'!$E$4:$E$28,MATCH($F270,'CAT_CENTROS_COSTO'!$A$4:$A$28,0)),""),$Y270))</f>
        <v/>
      </c>
      <c r="AA270" s="24">
        <f>IF($F270="","",IFERROR(INDEX('CAT_CENTROS_COSTO'!$G$4:$G$28,MATCH($F270,'CAT_CENTROS_COSTO'!$A$4:$A$28,0)),"(sin catálogo)"))</f>
        <v/>
      </c>
      <c r="AB270" s="24">
        <f>IF($G270="","",IFERROR(INDEX('CAT_PUESTOS'!$B$4:$B$23,MATCH($G270,'CAT_PUESTOS'!$A$4:$A$23,0)),"(sin catálogo)"))</f>
        <v/>
      </c>
      <c r="AC270" s="24">
        <f>IF($H270="","",IFERROR(INDEX('CAT_ACTIVIDADES'!$B$4:$B$26,MATCH($H270,'CAT_ACTIVIDADES'!$A$4:$A$26,0)),"(sin catálogo)"))</f>
        <v/>
      </c>
      <c r="AD270" s="26">
        <f>IF($J270="","",TODAY()-$J270)</f>
        <v/>
      </c>
      <c r="AE270" s="26">
        <f>IF($J270="","",IF($J270&lt;=TODAY(),COUNTIFS(cal_fechas,"&gt;="&amp;$J270,cal_fechas,"&lt;"&amp;TODAY(),cal_habil,"sí"),-COUNTIFS(cal_fechas,"&gt;="&amp;TODAY(),cal_fechas,"&lt;"&amp;$J270,cal_habil,"sí")))</f>
        <v/>
      </c>
      <c r="AF270" s="24">
        <f>IF($AE270="","",IF($AE270&lt;0,"FUTURO",IF($AE270&gt;p_dias_backlog_max,"BACKLOG","MES CORRIENTE")))</f>
        <v/>
      </c>
      <c r="AG270" s="24">
        <f>IF($AE270="",FALSE,AND($AE270&gt;p_dias_backlog_min,$AE270&lt;=p_dias_backlog_max))</f>
        <v/>
      </c>
      <c r="AH270" s="4" t="n"/>
      <c r="AI270" s="24">
        <f>IF($AH270="","",IF((IFERROR(INDEX('ASIGNACIONES'!$J$4:$J$451,MATCH($O270&amp;"|"&amp;$S270&amp;"|"&amp;$AH270,'ASIGNACIONES'!$N$4:$N$451,0)),""))=0,"",IFERROR(INDEX('ASIGNACIONES'!$J$4:$J$451,MATCH($O270&amp;"|"&amp;$S270&amp;"|"&amp;$AH270,'ASIGNACIONES'!$N$4:$N$451,0)),"")))</f>
        <v/>
      </c>
      <c r="AJ270" s="42">
        <f>IF($AH270="","",SUMIFS('ORDENES'!$M$4:$M$1203,'ORDENES'!$AH$4:$AH$1203,$AH270,'ORDENES'!$O$4:$O$1203,$O270,'ORDENES'!$S$4:$S$1203,$S270))</f>
        <v/>
      </c>
      <c r="AK270" s="42">
        <f>IF($AJ270="","",p_factor_productividad*IFERROR(INDEX('ASIGNACIONES'!$M$4:$M$451,MATCH($O270&amp;"|"&amp;$S270&amp;"|"&amp;$AH270,'ASIGNACIONES'!$N$4:$N$451,0)),0)-$AJ270)</f>
        <v/>
      </c>
      <c r="AL270" s="32">
        <f>IF($A270="","",IFERROR(INDEX('2_IMPORTAR_EJECUCION'!$F$9:$F$1208,MATCH($AU270,'2_IMPORTAR_EJECUCION'!$J$9:$J$1208,0)),0))</f>
        <v/>
      </c>
      <c r="AM270" s="32">
        <f>IF($A270="","",MAX(0,IFERROR(INDEX('2_IMPORTAR_EJECUCION'!$H$9:$H$1208,MATCH($AU270,'2_IMPORTAR_EJECUCION'!$J$9:$J$1208,0)),0)-$AL270))</f>
        <v/>
      </c>
      <c r="AN270" s="32">
        <f>IF($A270="","",$AL270+$AM270)</f>
        <v/>
      </c>
      <c r="AO270" s="24">
        <f>IF($A270="","",IF(OR((IFERROR(INDEX('CAT_ACTIVIDADES'!$D$4:$D$26,MATCH($H270,'CAT_ACTIVIDADES'!$A$4:$A$26,0)),""))=0,(IFERROR(INDEX('CAT_ACTIVIDADES'!$D$4:$D$26,MATCH($H270,'CAT_ACTIVIDADES'!$A$4:$A$26,0)),""))=""),"SIN CLASIFICAR",IFERROR(INDEX('CAT_ACTIVIDADES'!$D$4:$D$26,MATCH($H270,'CAT_ACTIVIDADES'!$A$4:$A$26,0)),"")))</f>
        <v/>
      </c>
      <c r="AP270" s="4" t="n"/>
      <c r="AQ270" s="4" t="n"/>
      <c r="AR270" s="4" t="n"/>
      <c r="AS270" s="24">
        <f>IF($AR270="","",HYPERLINK(p_ruta_base_checklists&amp;$AR270,"abrir"))</f>
        <v/>
      </c>
      <c r="AT270" s="4" t="n"/>
      <c r="AU270" s="24">
        <f>IF($A270="","",$A270&amp;IF($B270="","0010",$B270))</f>
        <v/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41" t="n"/>
      <c r="K271" s="5" t="n"/>
      <c r="L271" s="18" t="n"/>
      <c r="M271" s="24">
        <f>IF($A271="","",IFERROR(INDEX('AJUSTES'!$B$4:$B$303,MATCH($AU271,'AJUSTES'!$A$4:$A$303,0)),IF($K271="","",$K271)))</f>
        <v/>
      </c>
      <c r="N271" s="24">
        <f>IF($A271="","",IFERROR(INDEX('CAT_ESTADOS_ERP'!$B$4:$B$22,MATCH(IFERROR(INDEX('2_IMPORTAR_EJECUCION'!$C$9:$C$1208,MATCH($AU271,'2_IMPORTAR_EJECUCION'!$J$9:$J$1208,0)),""),'CAT_ESTADOS_ERP'!$A$4:$A$22,0)),"Pendiente"))</f>
        <v/>
      </c>
      <c r="O271" s="24">
        <f>IF($J271="","",YEAR($J271+4-WEEKDAY($J271,2))&amp;"-S"&amp;TEXT(_xlfn.ISOWEEKNUM($J271),"00"))</f>
        <v/>
      </c>
      <c r="P271" s="24">
        <f>IF($J271="","",YEAR($J271))</f>
        <v/>
      </c>
      <c r="Q271" s="24">
        <f>IF($J271="","",MONTH($J271))</f>
        <v/>
      </c>
      <c r="R271" s="24">
        <f>IF($J271="","",$P271&amp;"-"&amp;TEXT($Q271,"00"))</f>
        <v/>
      </c>
      <c r="S271" s="24">
        <f>IF($J271="","",INDEX(lista_dias,WEEKDAY($J271,2)))</f>
        <v/>
      </c>
      <c r="T271" s="24">
        <f>IF($J271="","",IFERROR(INDEX('CALENDARIO'!$C$15:$C$214,MATCH(TEXT($J271,"yyyy-mm-dd")&amp;"|"&amp;$Y271&amp;"|"&amp;$Z271,'CALENDARIO'!$G$15:$G$214,0)),IFERROR(INDEX('CALENDARIO'!$C$15:$C$214,MATCH(TEXT($J271,"yyyy-mm-dd")&amp;"|"&amp;$Y271&amp;"|",'CALENDARIO'!$G$15:$G$214,0)),IFERROR(INDEX('CALENDARIO'!$C$15:$C$214,MATCH(TEXT($J271,"yyyy-mm-dd")&amp;"||",'CALENDARIO'!$G$15:$G$214,0)),INDEX(patronHabil,WEEKDAY($J271,2))))))</f>
        <v/>
      </c>
      <c r="U271" s="24">
        <f>IF($I271="","",IFERROR(INDEX('CAT_TIPOS_OT'!$C$4:$C$23,MATCH($I271,'CAT_TIPOS_OT'!$A$4:$A$23,0)),"sin_clasificar"))</f>
        <v/>
      </c>
      <c r="V271" s="24">
        <f>IF($I271="","",IF(IFERROR(INDEX('CAT_TIPOS_OT'!$D$4:$D$23,MATCH($I271,'CAT_TIPOS_OT'!$A$4:$A$23,0)),"SIN CLASIFICAR")="","SIN CLASIFICAR",IFERROR(INDEX('CAT_TIPOS_OT'!$D$4:$D$23,MATCH($I271,'CAT_TIPOS_OT'!$A$4:$A$23,0)),"SIN CLASIFICAR")))</f>
        <v/>
      </c>
      <c r="W271" s="24">
        <f>IF($H271="","",IF(IFERROR(INDEX('CAT_ACTIVIDADES'!$F$4:$F$26,MATCH($H271,'CAT_ACTIVIDADES'!$A$4:$A$26,0)),"")=0,"",IFERROR(INDEX('CAT_ACTIVIDADES'!$F$4:$F$26,MATCH($H271,'CAT_ACTIVIDADES'!$A$4:$A$26,0)),"")))</f>
        <v/>
      </c>
      <c r="X271" s="24">
        <f>IF($F271="","",IFERROR(INDEX('CAT_CENTROS_COSTO'!$F$4:$F$28,MATCH($F271,'CAT_CENTROS_COSTO'!$A$4:$A$28,0)),"(sin catálogo)"))</f>
        <v/>
      </c>
      <c r="Y271" s="24">
        <f>IF($F271="","",IFERROR(INDEX('CAT_CENTROS_COSTO'!$D$4:$D$28,MATCH($F271,'CAT_CENTROS_COSTO'!$A$4:$A$28,0)),"(sin catálogo)"))</f>
        <v/>
      </c>
      <c r="Z271" s="24">
        <f>IF($F271="","",IF((IFERROR(INDEX('CAT_CENTROS_COSTO'!$E$4:$E$28,MATCH($F271,'CAT_CENTROS_COSTO'!$A$4:$A$28,0)),""))&lt;&gt;"",IFERROR(INDEX('CAT_CENTROS_COSTO'!$E$4:$E$28,MATCH($F271,'CAT_CENTROS_COSTO'!$A$4:$A$28,0)),""),$Y271))</f>
        <v/>
      </c>
      <c r="AA271" s="24">
        <f>IF($F271="","",IFERROR(INDEX('CAT_CENTROS_COSTO'!$G$4:$G$28,MATCH($F271,'CAT_CENTROS_COSTO'!$A$4:$A$28,0)),"(sin catálogo)"))</f>
        <v/>
      </c>
      <c r="AB271" s="24">
        <f>IF($G271="","",IFERROR(INDEX('CAT_PUESTOS'!$B$4:$B$23,MATCH($G271,'CAT_PUESTOS'!$A$4:$A$23,0)),"(sin catálogo)"))</f>
        <v/>
      </c>
      <c r="AC271" s="24">
        <f>IF($H271="","",IFERROR(INDEX('CAT_ACTIVIDADES'!$B$4:$B$26,MATCH($H271,'CAT_ACTIVIDADES'!$A$4:$A$26,0)),"(sin catálogo)"))</f>
        <v/>
      </c>
      <c r="AD271" s="26">
        <f>IF($J271="","",TODAY()-$J271)</f>
        <v/>
      </c>
      <c r="AE271" s="26">
        <f>IF($J271="","",IF($J271&lt;=TODAY(),COUNTIFS(cal_fechas,"&gt;="&amp;$J271,cal_fechas,"&lt;"&amp;TODAY(),cal_habil,"sí"),-COUNTIFS(cal_fechas,"&gt;="&amp;TODAY(),cal_fechas,"&lt;"&amp;$J271,cal_habil,"sí")))</f>
        <v/>
      </c>
      <c r="AF271" s="24">
        <f>IF($AE271="","",IF($AE271&lt;0,"FUTURO",IF($AE271&gt;p_dias_backlog_max,"BACKLOG","MES CORRIENTE")))</f>
        <v/>
      </c>
      <c r="AG271" s="24">
        <f>IF($AE271="",FALSE,AND($AE271&gt;p_dias_backlog_min,$AE271&lt;=p_dias_backlog_max))</f>
        <v/>
      </c>
      <c r="AH271" s="4" t="n"/>
      <c r="AI271" s="24">
        <f>IF($AH271="","",IF((IFERROR(INDEX('ASIGNACIONES'!$J$4:$J$451,MATCH($O271&amp;"|"&amp;$S271&amp;"|"&amp;$AH271,'ASIGNACIONES'!$N$4:$N$451,0)),""))=0,"",IFERROR(INDEX('ASIGNACIONES'!$J$4:$J$451,MATCH($O271&amp;"|"&amp;$S271&amp;"|"&amp;$AH271,'ASIGNACIONES'!$N$4:$N$451,0)),"")))</f>
        <v/>
      </c>
      <c r="AJ271" s="42">
        <f>IF($AH271="","",SUMIFS('ORDENES'!$M$4:$M$1203,'ORDENES'!$AH$4:$AH$1203,$AH271,'ORDENES'!$O$4:$O$1203,$O271,'ORDENES'!$S$4:$S$1203,$S271))</f>
        <v/>
      </c>
      <c r="AK271" s="42">
        <f>IF($AJ271="","",p_factor_productividad*IFERROR(INDEX('ASIGNACIONES'!$M$4:$M$451,MATCH($O271&amp;"|"&amp;$S271&amp;"|"&amp;$AH271,'ASIGNACIONES'!$N$4:$N$451,0)),0)-$AJ271)</f>
        <v/>
      </c>
      <c r="AL271" s="32">
        <f>IF($A271="","",IFERROR(INDEX('2_IMPORTAR_EJECUCION'!$F$9:$F$1208,MATCH($AU271,'2_IMPORTAR_EJECUCION'!$J$9:$J$1208,0)),0))</f>
        <v/>
      </c>
      <c r="AM271" s="32">
        <f>IF($A271="","",MAX(0,IFERROR(INDEX('2_IMPORTAR_EJECUCION'!$H$9:$H$1208,MATCH($AU271,'2_IMPORTAR_EJECUCION'!$J$9:$J$1208,0)),0)-$AL271))</f>
        <v/>
      </c>
      <c r="AN271" s="32">
        <f>IF($A271="","",$AL271+$AM271)</f>
        <v/>
      </c>
      <c r="AO271" s="24">
        <f>IF($A271="","",IF(OR((IFERROR(INDEX('CAT_ACTIVIDADES'!$D$4:$D$26,MATCH($H271,'CAT_ACTIVIDADES'!$A$4:$A$26,0)),""))=0,(IFERROR(INDEX('CAT_ACTIVIDADES'!$D$4:$D$26,MATCH($H271,'CAT_ACTIVIDADES'!$A$4:$A$26,0)),""))=""),"SIN CLASIFICAR",IFERROR(INDEX('CAT_ACTIVIDADES'!$D$4:$D$26,MATCH($H271,'CAT_ACTIVIDADES'!$A$4:$A$26,0)),"")))</f>
        <v/>
      </c>
      <c r="AP271" s="4" t="n"/>
      <c r="AQ271" s="4" t="n"/>
      <c r="AR271" s="4" t="n"/>
      <c r="AS271" s="24">
        <f>IF($AR271="","",HYPERLINK(p_ruta_base_checklists&amp;$AR271,"abrir"))</f>
        <v/>
      </c>
      <c r="AT271" s="4" t="n"/>
      <c r="AU271" s="24">
        <f>IF($A271="","",$A271&amp;IF($B271="","0010",$B271))</f>
        <v/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41" t="n"/>
      <c r="K272" s="5" t="n"/>
      <c r="L272" s="18" t="n"/>
      <c r="M272" s="24">
        <f>IF($A272="","",IFERROR(INDEX('AJUSTES'!$B$4:$B$303,MATCH($AU272,'AJUSTES'!$A$4:$A$303,0)),IF($K272="","",$K272)))</f>
        <v/>
      </c>
      <c r="N272" s="24">
        <f>IF($A272="","",IFERROR(INDEX('CAT_ESTADOS_ERP'!$B$4:$B$22,MATCH(IFERROR(INDEX('2_IMPORTAR_EJECUCION'!$C$9:$C$1208,MATCH($AU272,'2_IMPORTAR_EJECUCION'!$J$9:$J$1208,0)),""),'CAT_ESTADOS_ERP'!$A$4:$A$22,0)),"Pendiente"))</f>
        <v/>
      </c>
      <c r="O272" s="24">
        <f>IF($J272="","",YEAR($J272+4-WEEKDAY($J272,2))&amp;"-S"&amp;TEXT(_xlfn.ISOWEEKNUM($J272),"00"))</f>
        <v/>
      </c>
      <c r="P272" s="24">
        <f>IF($J272="","",YEAR($J272))</f>
        <v/>
      </c>
      <c r="Q272" s="24">
        <f>IF($J272="","",MONTH($J272))</f>
        <v/>
      </c>
      <c r="R272" s="24">
        <f>IF($J272="","",$P272&amp;"-"&amp;TEXT($Q272,"00"))</f>
        <v/>
      </c>
      <c r="S272" s="24">
        <f>IF($J272="","",INDEX(lista_dias,WEEKDAY($J272,2)))</f>
        <v/>
      </c>
      <c r="T272" s="24">
        <f>IF($J272="","",IFERROR(INDEX('CALENDARIO'!$C$15:$C$214,MATCH(TEXT($J272,"yyyy-mm-dd")&amp;"|"&amp;$Y272&amp;"|"&amp;$Z272,'CALENDARIO'!$G$15:$G$214,0)),IFERROR(INDEX('CALENDARIO'!$C$15:$C$214,MATCH(TEXT($J272,"yyyy-mm-dd")&amp;"|"&amp;$Y272&amp;"|",'CALENDARIO'!$G$15:$G$214,0)),IFERROR(INDEX('CALENDARIO'!$C$15:$C$214,MATCH(TEXT($J272,"yyyy-mm-dd")&amp;"||",'CALENDARIO'!$G$15:$G$214,0)),INDEX(patronHabil,WEEKDAY($J272,2))))))</f>
        <v/>
      </c>
      <c r="U272" s="24">
        <f>IF($I272="","",IFERROR(INDEX('CAT_TIPOS_OT'!$C$4:$C$23,MATCH($I272,'CAT_TIPOS_OT'!$A$4:$A$23,0)),"sin_clasificar"))</f>
        <v/>
      </c>
      <c r="V272" s="24">
        <f>IF($I272="","",IF(IFERROR(INDEX('CAT_TIPOS_OT'!$D$4:$D$23,MATCH($I272,'CAT_TIPOS_OT'!$A$4:$A$23,0)),"SIN CLASIFICAR")="","SIN CLASIFICAR",IFERROR(INDEX('CAT_TIPOS_OT'!$D$4:$D$23,MATCH($I272,'CAT_TIPOS_OT'!$A$4:$A$23,0)),"SIN CLASIFICAR")))</f>
        <v/>
      </c>
      <c r="W272" s="24">
        <f>IF($H272="","",IF(IFERROR(INDEX('CAT_ACTIVIDADES'!$F$4:$F$26,MATCH($H272,'CAT_ACTIVIDADES'!$A$4:$A$26,0)),"")=0,"",IFERROR(INDEX('CAT_ACTIVIDADES'!$F$4:$F$26,MATCH($H272,'CAT_ACTIVIDADES'!$A$4:$A$26,0)),"")))</f>
        <v/>
      </c>
      <c r="X272" s="24">
        <f>IF($F272="","",IFERROR(INDEX('CAT_CENTROS_COSTO'!$F$4:$F$28,MATCH($F272,'CAT_CENTROS_COSTO'!$A$4:$A$28,0)),"(sin catálogo)"))</f>
        <v/>
      </c>
      <c r="Y272" s="24">
        <f>IF($F272="","",IFERROR(INDEX('CAT_CENTROS_COSTO'!$D$4:$D$28,MATCH($F272,'CAT_CENTROS_COSTO'!$A$4:$A$28,0)),"(sin catálogo)"))</f>
        <v/>
      </c>
      <c r="Z272" s="24">
        <f>IF($F272="","",IF((IFERROR(INDEX('CAT_CENTROS_COSTO'!$E$4:$E$28,MATCH($F272,'CAT_CENTROS_COSTO'!$A$4:$A$28,0)),""))&lt;&gt;"",IFERROR(INDEX('CAT_CENTROS_COSTO'!$E$4:$E$28,MATCH($F272,'CAT_CENTROS_COSTO'!$A$4:$A$28,0)),""),$Y272))</f>
        <v/>
      </c>
      <c r="AA272" s="24">
        <f>IF($F272="","",IFERROR(INDEX('CAT_CENTROS_COSTO'!$G$4:$G$28,MATCH($F272,'CAT_CENTROS_COSTO'!$A$4:$A$28,0)),"(sin catálogo)"))</f>
        <v/>
      </c>
      <c r="AB272" s="24">
        <f>IF($G272="","",IFERROR(INDEX('CAT_PUESTOS'!$B$4:$B$23,MATCH($G272,'CAT_PUESTOS'!$A$4:$A$23,0)),"(sin catálogo)"))</f>
        <v/>
      </c>
      <c r="AC272" s="24">
        <f>IF($H272="","",IFERROR(INDEX('CAT_ACTIVIDADES'!$B$4:$B$26,MATCH($H272,'CAT_ACTIVIDADES'!$A$4:$A$26,0)),"(sin catálogo)"))</f>
        <v/>
      </c>
      <c r="AD272" s="26">
        <f>IF($J272="","",TODAY()-$J272)</f>
        <v/>
      </c>
      <c r="AE272" s="26">
        <f>IF($J272="","",IF($J272&lt;=TODAY(),COUNTIFS(cal_fechas,"&gt;="&amp;$J272,cal_fechas,"&lt;"&amp;TODAY(),cal_habil,"sí"),-COUNTIFS(cal_fechas,"&gt;="&amp;TODAY(),cal_fechas,"&lt;"&amp;$J272,cal_habil,"sí")))</f>
        <v/>
      </c>
      <c r="AF272" s="24">
        <f>IF($AE272="","",IF($AE272&lt;0,"FUTURO",IF($AE272&gt;p_dias_backlog_max,"BACKLOG","MES CORRIENTE")))</f>
        <v/>
      </c>
      <c r="AG272" s="24">
        <f>IF($AE272="",FALSE,AND($AE272&gt;p_dias_backlog_min,$AE272&lt;=p_dias_backlog_max))</f>
        <v/>
      </c>
      <c r="AH272" s="4" t="n"/>
      <c r="AI272" s="24">
        <f>IF($AH272="","",IF((IFERROR(INDEX('ASIGNACIONES'!$J$4:$J$451,MATCH($O272&amp;"|"&amp;$S272&amp;"|"&amp;$AH272,'ASIGNACIONES'!$N$4:$N$451,0)),""))=0,"",IFERROR(INDEX('ASIGNACIONES'!$J$4:$J$451,MATCH($O272&amp;"|"&amp;$S272&amp;"|"&amp;$AH272,'ASIGNACIONES'!$N$4:$N$451,0)),"")))</f>
        <v/>
      </c>
      <c r="AJ272" s="42">
        <f>IF($AH272="","",SUMIFS('ORDENES'!$M$4:$M$1203,'ORDENES'!$AH$4:$AH$1203,$AH272,'ORDENES'!$O$4:$O$1203,$O272,'ORDENES'!$S$4:$S$1203,$S272))</f>
        <v/>
      </c>
      <c r="AK272" s="42">
        <f>IF($AJ272="","",p_factor_productividad*IFERROR(INDEX('ASIGNACIONES'!$M$4:$M$451,MATCH($O272&amp;"|"&amp;$S272&amp;"|"&amp;$AH272,'ASIGNACIONES'!$N$4:$N$451,0)),0)-$AJ272)</f>
        <v/>
      </c>
      <c r="AL272" s="32">
        <f>IF($A272="","",IFERROR(INDEX('2_IMPORTAR_EJECUCION'!$F$9:$F$1208,MATCH($AU272,'2_IMPORTAR_EJECUCION'!$J$9:$J$1208,0)),0))</f>
        <v/>
      </c>
      <c r="AM272" s="32">
        <f>IF($A272="","",MAX(0,IFERROR(INDEX('2_IMPORTAR_EJECUCION'!$H$9:$H$1208,MATCH($AU272,'2_IMPORTAR_EJECUCION'!$J$9:$J$1208,0)),0)-$AL272))</f>
        <v/>
      </c>
      <c r="AN272" s="32">
        <f>IF($A272="","",$AL272+$AM272)</f>
        <v/>
      </c>
      <c r="AO272" s="24">
        <f>IF($A272="","",IF(OR((IFERROR(INDEX('CAT_ACTIVIDADES'!$D$4:$D$26,MATCH($H272,'CAT_ACTIVIDADES'!$A$4:$A$26,0)),""))=0,(IFERROR(INDEX('CAT_ACTIVIDADES'!$D$4:$D$26,MATCH($H272,'CAT_ACTIVIDADES'!$A$4:$A$26,0)),""))=""),"SIN CLASIFICAR",IFERROR(INDEX('CAT_ACTIVIDADES'!$D$4:$D$26,MATCH($H272,'CAT_ACTIVIDADES'!$A$4:$A$26,0)),"")))</f>
        <v/>
      </c>
      <c r="AP272" s="4" t="n"/>
      <c r="AQ272" s="4" t="n"/>
      <c r="AR272" s="4" t="n"/>
      <c r="AS272" s="24">
        <f>IF($AR272="","",HYPERLINK(p_ruta_base_checklists&amp;$AR272,"abrir"))</f>
        <v/>
      </c>
      <c r="AT272" s="4" t="n"/>
      <c r="AU272" s="24">
        <f>IF($A272="","",$A272&amp;IF($B272="","0010",$B272))</f>
        <v/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41" t="n"/>
      <c r="K273" s="5" t="n"/>
      <c r="L273" s="18" t="n"/>
      <c r="M273" s="24">
        <f>IF($A273="","",IFERROR(INDEX('AJUSTES'!$B$4:$B$303,MATCH($AU273,'AJUSTES'!$A$4:$A$303,0)),IF($K273="","",$K273)))</f>
        <v/>
      </c>
      <c r="N273" s="24">
        <f>IF($A273="","",IFERROR(INDEX('CAT_ESTADOS_ERP'!$B$4:$B$22,MATCH(IFERROR(INDEX('2_IMPORTAR_EJECUCION'!$C$9:$C$1208,MATCH($AU273,'2_IMPORTAR_EJECUCION'!$J$9:$J$1208,0)),""),'CAT_ESTADOS_ERP'!$A$4:$A$22,0)),"Pendiente"))</f>
        <v/>
      </c>
      <c r="O273" s="24">
        <f>IF($J273="","",YEAR($J273+4-WEEKDAY($J273,2))&amp;"-S"&amp;TEXT(_xlfn.ISOWEEKNUM($J273),"00"))</f>
        <v/>
      </c>
      <c r="P273" s="24">
        <f>IF($J273="","",YEAR($J273))</f>
        <v/>
      </c>
      <c r="Q273" s="24">
        <f>IF($J273="","",MONTH($J273))</f>
        <v/>
      </c>
      <c r="R273" s="24">
        <f>IF($J273="","",$P273&amp;"-"&amp;TEXT($Q273,"00"))</f>
        <v/>
      </c>
      <c r="S273" s="24">
        <f>IF($J273="","",INDEX(lista_dias,WEEKDAY($J273,2)))</f>
        <v/>
      </c>
      <c r="T273" s="24">
        <f>IF($J273="","",IFERROR(INDEX('CALENDARIO'!$C$15:$C$214,MATCH(TEXT($J273,"yyyy-mm-dd")&amp;"|"&amp;$Y273&amp;"|"&amp;$Z273,'CALENDARIO'!$G$15:$G$214,0)),IFERROR(INDEX('CALENDARIO'!$C$15:$C$214,MATCH(TEXT($J273,"yyyy-mm-dd")&amp;"|"&amp;$Y273&amp;"|",'CALENDARIO'!$G$15:$G$214,0)),IFERROR(INDEX('CALENDARIO'!$C$15:$C$214,MATCH(TEXT($J273,"yyyy-mm-dd")&amp;"||",'CALENDARIO'!$G$15:$G$214,0)),INDEX(patronHabil,WEEKDAY($J273,2))))))</f>
        <v/>
      </c>
      <c r="U273" s="24">
        <f>IF($I273="","",IFERROR(INDEX('CAT_TIPOS_OT'!$C$4:$C$23,MATCH($I273,'CAT_TIPOS_OT'!$A$4:$A$23,0)),"sin_clasificar"))</f>
        <v/>
      </c>
      <c r="V273" s="24">
        <f>IF($I273="","",IF(IFERROR(INDEX('CAT_TIPOS_OT'!$D$4:$D$23,MATCH($I273,'CAT_TIPOS_OT'!$A$4:$A$23,0)),"SIN CLASIFICAR")="","SIN CLASIFICAR",IFERROR(INDEX('CAT_TIPOS_OT'!$D$4:$D$23,MATCH($I273,'CAT_TIPOS_OT'!$A$4:$A$23,0)),"SIN CLASIFICAR")))</f>
        <v/>
      </c>
      <c r="W273" s="24">
        <f>IF($H273="","",IF(IFERROR(INDEX('CAT_ACTIVIDADES'!$F$4:$F$26,MATCH($H273,'CAT_ACTIVIDADES'!$A$4:$A$26,0)),"")=0,"",IFERROR(INDEX('CAT_ACTIVIDADES'!$F$4:$F$26,MATCH($H273,'CAT_ACTIVIDADES'!$A$4:$A$26,0)),"")))</f>
        <v/>
      </c>
      <c r="X273" s="24">
        <f>IF($F273="","",IFERROR(INDEX('CAT_CENTROS_COSTO'!$F$4:$F$28,MATCH($F273,'CAT_CENTROS_COSTO'!$A$4:$A$28,0)),"(sin catálogo)"))</f>
        <v/>
      </c>
      <c r="Y273" s="24">
        <f>IF($F273="","",IFERROR(INDEX('CAT_CENTROS_COSTO'!$D$4:$D$28,MATCH($F273,'CAT_CENTROS_COSTO'!$A$4:$A$28,0)),"(sin catálogo)"))</f>
        <v/>
      </c>
      <c r="Z273" s="24">
        <f>IF($F273="","",IF((IFERROR(INDEX('CAT_CENTROS_COSTO'!$E$4:$E$28,MATCH($F273,'CAT_CENTROS_COSTO'!$A$4:$A$28,0)),""))&lt;&gt;"",IFERROR(INDEX('CAT_CENTROS_COSTO'!$E$4:$E$28,MATCH($F273,'CAT_CENTROS_COSTO'!$A$4:$A$28,0)),""),$Y273))</f>
        <v/>
      </c>
      <c r="AA273" s="24">
        <f>IF($F273="","",IFERROR(INDEX('CAT_CENTROS_COSTO'!$G$4:$G$28,MATCH($F273,'CAT_CENTROS_COSTO'!$A$4:$A$28,0)),"(sin catálogo)"))</f>
        <v/>
      </c>
      <c r="AB273" s="24">
        <f>IF($G273="","",IFERROR(INDEX('CAT_PUESTOS'!$B$4:$B$23,MATCH($G273,'CAT_PUESTOS'!$A$4:$A$23,0)),"(sin catálogo)"))</f>
        <v/>
      </c>
      <c r="AC273" s="24">
        <f>IF($H273="","",IFERROR(INDEX('CAT_ACTIVIDADES'!$B$4:$B$26,MATCH($H273,'CAT_ACTIVIDADES'!$A$4:$A$26,0)),"(sin catálogo)"))</f>
        <v/>
      </c>
      <c r="AD273" s="26">
        <f>IF($J273="","",TODAY()-$J273)</f>
        <v/>
      </c>
      <c r="AE273" s="26">
        <f>IF($J273="","",IF($J273&lt;=TODAY(),COUNTIFS(cal_fechas,"&gt;="&amp;$J273,cal_fechas,"&lt;"&amp;TODAY(),cal_habil,"sí"),-COUNTIFS(cal_fechas,"&gt;="&amp;TODAY(),cal_fechas,"&lt;"&amp;$J273,cal_habil,"sí")))</f>
        <v/>
      </c>
      <c r="AF273" s="24">
        <f>IF($AE273="","",IF($AE273&lt;0,"FUTURO",IF($AE273&gt;p_dias_backlog_max,"BACKLOG","MES CORRIENTE")))</f>
        <v/>
      </c>
      <c r="AG273" s="24">
        <f>IF($AE273="",FALSE,AND($AE273&gt;p_dias_backlog_min,$AE273&lt;=p_dias_backlog_max))</f>
        <v/>
      </c>
      <c r="AH273" s="4" t="n"/>
      <c r="AI273" s="24">
        <f>IF($AH273="","",IF((IFERROR(INDEX('ASIGNACIONES'!$J$4:$J$451,MATCH($O273&amp;"|"&amp;$S273&amp;"|"&amp;$AH273,'ASIGNACIONES'!$N$4:$N$451,0)),""))=0,"",IFERROR(INDEX('ASIGNACIONES'!$J$4:$J$451,MATCH($O273&amp;"|"&amp;$S273&amp;"|"&amp;$AH273,'ASIGNACIONES'!$N$4:$N$451,0)),"")))</f>
        <v/>
      </c>
      <c r="AJ273" s="42">
        <f>IF($AH273="","",SUMIFS('ORDENES'!$M$4:$M$1203,'ORDENES'!$AH$4:$AH$1203,$AH273,'ORDENES'!$O$4:$O$1203,$O273,'ORDENES'!$S$4:$S$1203,$S273))</f>
        <v/>
      </c>
      <c r="AK273" s="42">
        <f>IF($AJ273="","",p_factor_productividad*IFERROR(INDEX('ASIGNACIONES'!$M$4:$M$451,MATCH($O273&amp;"|"&amp;$S273&amp;"|"&amp;$AH273,'ASIGNACIONES'!$N$4:$N$451,0)),0)-$AJ273)</f>
        <v/>
      </c>
      <c r="AL273" s="32">
        <f>IF($A273="","",IFERROR(INDEX('2_IMPORTAR_EJECUCION'!$F$9:$F$1208,MATCH($AU273,'2_IMPORTAR_EJECUCION'!$J$9:$J$1208,0)),0))</f>
        <v/>
      </c>
      <c r="AM273" s="32">
        <f>IF($A273="","",MAX(0,IFERROR(INDEX('2_IMPORTAR_EJECUCION'!$H$9:$H$1208,MATCH($AU273,'2_IMPORTAR_EJECUCION'!$J$9:$J$1208,0)),0)-$AL273))</f>
        <v/>
      </c>
      <c r="AN273" s="32">
        <f>IF($A273="","",$AL273+$AM273)</f>
        <v/>
      </c>
      <c r="AO273" s="24">
        <f>IF($A273="","",IF(OR((IFERROR(INDEX('CAT_ACTIVIDADES'!$D$4:$D$26,MATCH($H273,'CAT_ACTIVIDADES'!$A$4:$A$26,0)),""))=0,(IFERROR(INDEX('CAT_ACTIVIDADES'!$D$4:$D$26,MATCH($H273,'CAT_ACTIVIDADES'!$A$4:$A$26,0)),""))=""),"SIN CLASIFICAR",IFERROR(INDEX('CAT_ACTIVIDADES'!$D$4:$D$26,MATCH($H273,'CAT_ACTIVIDADES'!$A$4:$A$26,0)),"")))</f>
        <v/>
      </c>
      <c r="AP273" s="4" t="n"/>
      <c r="AQ273" s="4" t="n"/>
      <c r="AR273" s="4" t="n"/>
      <c r="AS273" s="24">
        <f>IF($AR273="","",HYPERLINK(p_ruta_base_checklists&amp;$AR273,"abrir"))</f>
        <v/>
      </c>
      <c r="AT273" s="4" t="n"/>
      <c r="AU273" s="24">
        <f>IF($A273="","",$A273&amp;IF($B273="","0010",$B273))</f>
        <v/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41" t="n"/>
      <c r="K274" s="5" t="n"/>
      <c r="L274" s="18" t="n"/>
      <c r="M274" s="24">
        <f>IF($A274="","",IFERROR(INDEX('AJUSTES'!$B$4:$B$303,MATCH($AU274,'AJUSTES'!$A$4:$A$303,0)),IF($K274="","",$K274)))</f>
        <v/>
      </c>
      <c r="N274" s="24">
        <f>IF($A274="","",IFERROR(INDEX('CAT_ESTADOS_ERP'!$B$4:$B$22,MATCH(IFERROR(INDEX('2_IMPORTAR_EJECUCION'!$C$9:$C$1208,MATCH($AU274,'2_IMPORTAR_EJECUCION'!$J$9:$J$1208,0)),""),'CAT_ESTADOS_ERP'!$A$4:$A$22,0)),"Pendiente"))</f>
        <v/>
      </c>
      <c r="O274" s="24">
        <f>IF($J274="","",YEAR($J274+4-WEEKDAY($J274,2))&amp;"-S"&amp;TEXT(_xlfn.ISOWEEKNUM($J274),"00"))</f>
        <v/>
      </c>
      <c r="P274" s="24">
        <f>IF($J274="","",YEAR($J274))</f>
        <v/>
      </c>
      <c r="Q274" s="24">
        <f>IF($J274="","",MONTH($J274))</f>
        <v/>
      </c>
      <c r="R274" s="24">
        <f>IF($J274="","",$P274&amp;"-"&amp;TEXT($Q274,"00"))</f>
        <v/>
      </c>
      <c r="S274" s="24">
        <f>IF($J274="","",INDEX(lista_dias,WEEKDAY($J274,2)))</f>
        <v/>
      </c>
      <c r="T274" s="24">
        <f>IF($J274="","",IFERROR(INDEX('CALENDARIO'!$C$15:$C$214,MATCH(TEXT($J274,"yyyy-mm-dd")&amp;"|"&amp;$Y274&amp;"|"&amp;$Z274,'CALENDARIO'!$G$15:$G$214,0)),IFERROR(INDEX('CALENDARIO'!$C$15:$C$214,MATCH(TEXT($J274,"yyyy-mm-dd")&amp;"|"&amp;$Y274&amp;"|",'CALENDARIO'!$G$15:$G$214,0)),IFERROR(INDEX('CALENDARIO'!$C$15:$C$214,MATCH(TEXT($J274,"yyyy-mm-dd")&amp;"||",'CALENDARIO'!$G$15:$G$214,0)),INDEX(patronHabil,WEEKDAY($J274,2))))))</f>
        <v/>
      </c>
      <c r="U274" s="24">
        <f>IF($I274="","",IFERROR(INDEX('CAT_TIPOS_OT'!$C$4:$C$23,MATCH($I274,'CAT_TIPOS_OT'!$A$4:$A$23,0)),"sin_clasificar"))</f>
        <v/>
      </c>
      <c r="V274" s="24">
        <f>IF($I274="","",IF(IFERROR(INDEX('CAT_TIPOS_OT'!$D$4:$D$23,MATCH($I274,'CAT_TIPOS_OT'!$A$4:$A$23,0)),"SIN CLASIFICAR")="","SIN CLASIFICAR",IFERROR(INDEX('CAT_TIPOS_OT'!$D$4:$D$23,MATCH($I274,'CAT_TIPOS_OT'!$A$4:$A$23,0)),"SIN CLASIFICAR")))</f>
        <v/>
      </c>
      <c r="W274" s="24">
        <f>IF($H274="","",IF(IFERROR(INDEX('CAT_ACTIVIDADES'!$F$4:$F$26,MATCH($H274,'CAT_ACTIVIDADES'!$A$4:$A$26,0)),"")=0,"",IFERROR(INDEX('CAT_ACTIVIDADES'!$F$4:$F$26,MATCH($H274,'CAT_ACTIVIDADES'!$A$4:$A$26,0)),"")))</f>
        <v/>
      </c>
      <c r="X274" s="24">
        <f>IF($F274="","",IFERROR(INDEX('CAT_CENTROS_COSTO'!$F$4:$F$28,MATCH($F274,'CAT_CENTROS_COSTO'!$A$4:$A$28,0)),"(sin catálogo)"))</f>
        <v/>
      </c>
      <c r="Y274" s="24">
        <f>IF($F274="","",IFERROR(INDEX('CAT_CENTROS_COSTO'!$D$4:$D$28,MATCH($F274,'CAT_CENTROS_COSTO'!$A$4:$A$28,0)),"(sin catálogo)"))</f>
        <v/>
      </c>
      <c r="Z274" s="24">
        <f>IF($F274="","",IF((IFERROR(INDEX('CAT_CENTROS_COSTO'!$E$4:$E$28,MATCH($F274,'CAT_CENTROS_COSTO'!$A$4:$A$28,0)),""))&lt;&gt;"",IFERROR(INDEX('CAT_CENTROS_COSTO'!$E$4:$E$28,MATCH($F274,'CAT_CENTROS_COSTO'!$A$4:$A$28,0)),""),$Y274))</f>
        <v/>
      </c>
      <c r="AA274" s="24">
        <f>IF($F274="","",IFERROR(INDEX('CAT_CENTROS_COSTO'!$G$4:$G$28,MATCH($F274,'CAT_CENTROS_COSTO'!$A$4:$A$28,0)),"(sin catálogo)"))</f>
        <v/>
      </c>
      <c r="AB274" s="24">
        <f>IF($G274="","",IFERROR(INDEX('CAT_PUESTOS'!$B$4:$B$23,MATCH($G274,'CAT_PUESTOS'!$A$4:$A$23,0)),"(sin catálogo)"))</f>
        <v/>
      </c>
      <c r="AC274" s="24">
        <f>IF($H274="","",IFERROR(INDEX('CAT_ACTIVIDADES'!$B$4:$B$26,MATCH($H274,'CAT_ACTIVIDADES'!$A$4:$A$26,0)),"(sin catálogo)"))</f>
        <v/>
      </c>
      <c r="AD274" s="26">
        <f>IF($J274="","",TODAY()-$J274)</f>
        <v/>
      </c>
      <c r="AE274" s="26">
        <f>IF($J274="","",IF($J274&lt;=TODAY(),COUNTIFS(cal_fechas,"&gt;="&amp;$J274,cal_fechas,"&lt;"&amp;TODAY(),cal_habil,"sí"),-COUNTIFS(cal_fechas,"&gt;="&amp;TODAY(),cal_fechas,"&lt;"&amp;$J274,cal_habil,"sí")))</f>
        <v/>
      </c>
      <c r="AF274" s="24">
        <f>IF($AE274="","",IF($AE274&lt;0,"FUTURO",IF($AE274&gt;p_dias_backlog_max,"BACKLOG","MES CORRIENTE")))</f>
        <v/>
      </c>
      <c r="AG274" s="24">
        <f>IF($AE274="",FALSE,AND($AE274&gt;p_dias_backlog_min,$AE274&lt;=p_dias_backlog_max))</f>
        <v/>
      </c>
      <c r="AH274" s="4" t="n"/>
      <c r="AI274" s="24">
        <f>IF($AH274="","",IF((IFERROR(INDEX('ASIGNACIONES'!$J$4:$J$451,MATCH($O274&amp;"|"&amp;$S274&amp;"|"&amp;$AH274,'ASIGNACIONES'!$N$4:$N$451,0)),""))=0,"",IFERROR(INDEX('ASIGNACIONES'!$J$4:$J$451,MATCH($O274&amp;"|"&amp;$S274&amp;"|"&amp;$AH274,'ASIGNACIONES'!$N$4:$N$451,0)),"")))</f>
        <v/>
      </c>
      <c r="AJ274" s="42">
        <f>IF($AH274="","",SUMIFS('ORDENES'!$M$4:$M$1203,'ORDENES'!$AH$4:$AH$1203,$AH274,'ORDENES'!$O$4:$O$1203,$O274,'ORDENES'!$S$4:$S$1203,$S274))</f>
        <v/>
      </c>
      <c r="AK274" s="42">
        <f>IF($AJ274="","",p_factor_productividad*IFERROR(INDEX('ASIGNACIONES'!$M$4:$M$451,MATCH($O274&amp;"|"&amp;$S274&amp;"|"&amp;$AH274,'ASIGNACIONES'!$N$4:$N$451,0)),0)-$AJ274)</f>
        <v/>
      </c>
      <c r="AL274" s="32">
        <f>IF($A274="","",IFERROR(INDEX('2_IMPORTAR_EJECUCION'!$F$9:$F$1208,MATCH($AU274,'2_IMPORTAR_EJECUCION'!$J$9:$J$1208,0)),0))</f>
        <v/>
      </c>
      <c r="AM274" s="32">
        <f>IF($A274="","",MAX(0,IFERROR(INDEX('2_IMPORTAR_EJECUCION'!$H$9:$H$1208,MATCH($AU274,'2_IMPORTAR_EJECUCION'!$J$9:$J$1208,0)),0)-$AL274))</f>
        <v/>
      </c>
      <c r="AN274" s="32">
        <f>IF($A274="","",$AL274+$AM274)</f>
        <v/>
      </c>
      <c r="AO274" s="24">
        <f>IF($A274="","",IF(OR((IFERROR(INDEX('CAT_ACTIVIDADES'!$D$4:$D$26,MATCH($H274,'CAT_ACTIVIDADES'!$A$4:$A$26,0)),""))=0,(IFERROR(INDEX('CAT_ACTIVIDADES'!$D$4:$D$26,MATCH($H274,'CAT_ACTIVIDADES'!$A$4:$A$26,0)),""))=""),"SIN CLASIFICAR",IFERROR(INDEX('CAT_ACTIVIDADES'!$D$4:$D$26,MATCH($H274,'CAT_ACTIVIDADES'!$A$4:$A$26,0)),"")))</f>
        <v/>
      </c>
      <c r="AP274" s="4" t="n"/>
      <c r="AQ274" s="4" t="n"/>
      <c r="AR274" s="4" t="n"/>
      <c r="AS274" s="24">
        <f>IF($AR274="","",HYPERLINK(p_ruta_base_checklists&amp;$AR274,"abrir"))</f>
        <v/>
      </c>
      <c r="AT274" s="4" t="n"/>
      <c r="AU274" s="24">
        <f>IF($A274="","",$A274&amp;IF($B274="","0010",$B274))</f>
        <v/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41" t="n"/>
      <c r="K275" s="5" t="n"/>
      <c r="L275" s="18" t="n"/>
      <c r="M275" s="24">
        <f>IF($A275="","",IFERROR(INDEX('AJUSTES'!$B$4:$B$303,MATCH($AU275,'AJUSTES'!$A$4:$A$303,0)),IF($K275="","",$K275)))</f>
        <v/>
      </c>
      <c r="N275" s="24">
        <f>IF($A275="","",IFERROR(INDEX('CAT_ESTADOS_ERP'!$B$4:$B$22,MATCH(IFERROR(INDEX('2_IMPORTAR_EJECUCION'!$C$9:$C$1208,MATCH($AU275,'2_IMPORTAR_EJECUCION'!$J$9:$J$1208,0)),""),'CAT_ESTADOS_ERP'!$A$4:$A$22,0)),"Pendiente"))</f>
        <v/>
      </c>
      <c r="O275" s="24">
        <f>IF($J275="","",YEAR($J275+4-WEEKDAY($J275,2))&amp;"-S"&amp;TEXT(_xlfn.ISOWEEKNUM($J275),"00"))</f>
        <v/>
      </c>
      <c r="P275" s="24">
        <f>IF($J275="","",YEAR($J275))</f>
        <v/>
      </c>
      <c r="Q275" s="24">
        <f>IF($J275="","",MONTH($J275))</f>
        <v/>
      </c>
      <c r="R275" s="24">
        <f>IF($J275="","",$P275&amp;"-"&amp;TEXT($Q275,"00"))</f>
        <v/>
      </c>
      <c r="S275" s="24">
        <f>IF($J275="","",INDEX(lista_dias,WEEKDAY($J275,2)))</f>
        <v/>
      </c>
      <c r="T275" s="24">
        <f>IF($J275="","",IFERROR(INDEX('CALENDARIO'!$C$15:$C$214,MATCH(TEXT($J275,"yyyy-mm-dd")&amp;"|"&amp;$Y275&amp;"|"&amp;$Z275,'CALENDARIO'!$G$15:$G$214,0)),IFERROR(INDEX('CALENDARIO'!$C$15:$C$214,MATCH(TEXT($J275,"yyyy-mm-dd")&amp;"|"&amp;$Y275&amp;"|",'CALENDARIO'!$G$15:$G$214,0)),IFERROR(INDEX('CALENDARIO'!$C$15:$C$214,MATCH(TEXT($J275,"yyyy-mm-dd")&amp;"||",'CALENDARIO'!$G$15:$G$214,0)),INDEX(patronHabil,WEEKDAY($J275,2))))))</f>
        <v/>
      </c>
      <c r="U275" s="24">
        <f>IF($I275="","",IFERROR(INDEX('CAT_TIPOS_OT'!$C$4:$C$23,MATCH($I275,'CAT_TIPOS_OT'!$A$4:$A$23,0)),"sin_clasificar"))</f>
        <v/>
      </c>
      <c r="V275" s="24">
        <f>IF($I275="","",IF(IFERROR(INDEX('CAT_TIPOS_OT'!$D$4:$D$23,MATCH($I275,'CAT_TIPOS_OT'!$A$4:$A$23,0)),"SIN CLASIFICAR")="","SIN CLASIFICAR",IFERROR(INDEX('CAT_TIPOS_OT'!$D$4:$D$23,MATCH($I275,'CAT_TIPOS_OT'!$A$4:$A$23,0)),"SIN CLASIFICAR")))</f>
        <v/>
      </c>
      <c r="W275" s="24">
        <f>IF($H275="","",IF(IFERROR(INDEX('CAT_ACTIVIDADES'!$F$4:$F$26,MATCH($H275,'CAT_ACTIVIDADES'!$A$4:$A$26,0)),"")=0,"",IFERROR(INDEX('CAT_ACTIVIDADES'!$F$4:$F$26,MATCH($H275,'CAT_ACTIVIDADES'!$A$4:$A$26,0)),"")))</f>
        <v/>
      </c>
      <c r="X275" s="24">
        <f>IF($F275="","",IFERROR(INDEX('CAT_CENTROS_COSTO'!$F$4:$F$28,MATCH($F275,'CAT_CENTROS_COSTO'!$A$4:$A$28,0)),"(sin catálogo)"))</f>
        <v/>
      </c>
      <c r="Y275" s="24">
        <f>IF($F275="","",IFERROR(INDEX('CAT_CENTROS_COSTO'!$D$4:$D$28,MATCH($F275,'CAT_CENTROS_COSTO'!$A$4:$A$28,0)),"(sin catálogo)"))</f>
        <v/>
      </c>
      <c r="Z275" s="24">
        <f>IF($F275="","",IF((IFERROR(INDEX('CAT_CENTROS_COSTO'!$E$4:$E$28,MATCH($F275,'CAT_CENTROS_COSTO'!$A$4:$A$28,0)),""))&lt;&gt;"",IFERROR(INDEX('CAT_CENTROS_COSTO'!$E$4:$E$28,MATCH($F275,'CAT_CENTROS_COSTO'!$A$4:$A$28,0)),""),$Y275))</f>
        <v/>
      </c>
      <c r="AA275" s="24">
        <f>IF($F275="","",IFERROR(INDEX('CAT_CENTROS_COSTO'!$G$4:$G$28,MATCH($F275,'CAT_CENTROS_COSTO'!$A$4:$A$28,0)),"(sin catálogo)"))</f>
        <v/>
      </c>
      <c r="AB275" s="24">
        <f>IF($G275="","",IFERROR(INDEX('CAT_PUESTOS'!$B$4:$B$23,MATCH($G275,'CAT_PUESTOS'!$A$4:$A$23,0)),"(sin catálogo)"))</f>
        <v/>
      </c>
      <c r="AC275" s="24">
        <f>IF($H275="","",IFERROR(INDEX('CAT_ACTIVIDADES'!$B$4:$B$26,MATCH($H275,'CAT_ACTIVIDADES'!$A$4:$A$26,0)),"(sin catálogo)"))</f>
        <v/>
      </c>
      <c r="AD275" s="26">
        <f>IF($J275="","",TODAY()-$J275)</f>
        <v/>
      </c>
      <c r="AE275" s="26">
        <f>IF($J275="","",IF($J275&lt;=TODAY(),COUNTIFS(cal_fechas,"&gt;="&amp;$J275,cal_fechas,"&lt;"&amp;TODAY(),cal_habil,"sí"),-COUNTIFS(cal_fechas,"&gt;="&amp;TODAY(),cal_fechas,"&lt;"&amp;$J275,cal_habil,"sí")))</f>
        <v/>
      </c>
      <c r="AF275" s="24">
        <f>IF($AE275="","",IF($AE275&lt;0,"FUTURO",IF($AE275&gt;p_dias_backlog_max,"BACKLOG","MES CORRIENTE")))</f>
        <v/>
      </c>
      <c r="AG275" s="24">
        <f>IF($AE275="",FALSE,AND($AE275&gt;p_dias_backlog_min,$AE275&lt;=p_dias_backlog_max))</f>
        <v/>
      </c>
      <c r="AH275" s="4" t="n"/>
      <c r="AI275" s="24">
        <f>IF($AH275="","",IF((IFERROR(INDEX('ASIGNACIONES'!$J$4:$J$451,MATCH($O275&amp;"|"&amp;$S275&amp;"|"&amp;$AH275,'ASIGNACIONES'!$N$4:$N$451,0)),""))=0,"",IFERROR(INDEX('ASIGNACIONES'!$J$4:$J$451,MATCH($O275&amp;"|"&amp;$S275&amp;"|"&amp;$AH275,'ASIGNACIONES'!$N$4:$N$451,0)),"")))</f>
        <v/>
      </c>
      <c r="AJ275" s="42">
        <f>IF($AH275="","",SUMIFS('ORDENES'!$M$4:$M$1203,'ORDENES'!$AH$4:$AH$1203,$AH275,'ORDENES'!$O$4:$O$1203,$O275,'ORDENES'!$S$4:$S$1203,$S275))</f>
        <v/>
      </c>
      <c r="AK275" s="42">
        <f>IF($AJ275="","",p_factor_productividad*IFERROR(INDEX('ASIGNACIONES'!$M$4:$M$451,MATCH($O275&amp;"|"&amp;$S275&amp;"|"&amp;$AH275,'ASIGNACIONES'!$N$4:$N$451,0)),0)-$AJ275)</f>
        <v/>
      </c>
      <c r="AL275" s="32">
        <f>IF($A275="","",IFERROR(INDEX('2_IMPORTAR_EJECUCION'!$F$9:$F$1208,MATCH($AU275,'2_IMPORTAR_EJECUCION'!$J$9:$J$1208,0)),0))</f>
        <v/>
      </c>
      <c r="AM275" s="32">
        <f>IF($A275="","",MAX(0,IFERROR(INDEX('2_IMPORTAR_EJECUCION'!$H$9:$H$1208,MATCH($AU275,'2_IMPORTAR_EJECUCION'!$J$9:$J$1208,0)),0)-$AL275))</f>
        <v/>
      </c>
      <c r="AN275" s="32">
        <f>IF($A275="","",$AL275+$AM275)</f>
        <v/>
      </c>
      <c r="AO275" s="24">
        <f>IF($A275="","",IF(OR((IFERROR(INDEX('CAT_ACTIVIDADES'!$D$4:$D$26,MATCH($H275,'CAT_ACTIVIDADES'!$A$4:$A$26,0)),""))=0,(IFERROR(INDEX('CAT_ACTIVIDADES'!$D$4:$D$26,MATCH($H275,'CAT_ACTIVIDADES'!$A$4:$A$26,0)),""))=""),"SIN CLASIFICAR",IFERROR(INDEX('CAT_ACTIVIDADES'!$D$4:$D$26,MATCH($H275,'CAT_ACTIVIDADES'!$A$4:$A$26,0)),"")))</f>
        <v/>
      </c>
      <c r="AP275" s="4" t="n"/>
      <c r="AQ275" s="4" t="n"/>
      <c r="AR275" s="4" t="n"/>
      <c r="AS275" s="24">
        <f>IF($AR275="","",HYPERLINK(p_ruta_base_checklists&amp;$AR275,"abrir"))</f>
        <v/>
      </c>
      <c r="AT275" s="4" t="n"/>
      <c r="AU275" s="24">
        <f>IF($A275="","",$A275&amp;IF($B275="","0010",$B275))</f>
        <v/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41" t="n"/>
      <c r="K276" s="5" t="n"/>
      <c r="L276" s="18" t="n"/>
      <c r="M276" s="24">
        <f>IF($A276="","",IFERROR(INDEX('AJUSTES'!$B$4:$B$303,MATCH($AU276,'AJUSTES'!$A$4:$A$303,0)),IF($K276="","",$K276)))</f>
        <v/>
      </c>
      <c r="N276" s="24">
        <f>IF($A276="","",IFERROR(INDEX('CAT_ESTADOS_ERP'!$B$4:$B$22,MATCH(IFERROR(INDEX('2_IMPORTAR_EJECUCION'!$C$9:$C$1208,MATCH($AU276,'2_IMPORTAR_EJECUCION'!$J$9:$J$1208,0)),""),'CAT_ESTADOS_ERP'!$A$4:$A$22,0)),"Pendiente"))</f>
        <v/>
      </c>
      <c r="O276" s="24">
        <f>IF($J276="","",YEAR($J276+4-WEEKDAY($J276,2))&amp;"-S"&amp;TEXT(_xlfn.ISOWEEKNUM($J276),"00"))</f>
        <v/>
      </c>
      <c r="P276" s="24">
        <f>IF($J276="","",YEAR($J276))</f>
        <v/>
      </c>
      <c r="Q276" s="24">
        <f>IF($J276="","",MONTH($J276))</f>
        <v/>
      </c>
      <c r="R276" s="24">
        <f>IF($J276="","",$P276&amp;"-"&amp;TEXT($Q276,"00"))</f>
        <v/>
      </c>
      <c r="S276" s="24">
        <f>IF($J276="","",INDEX(lista_dias,WEEKDAY($J276,2)))</f>
        <v/>
      </c>
      <c r="T276" s="24">
        <f>IF($J276="","",IFERROR(INDEX('CALENDARIO'!$C$15:$C$214,MATCH(TEXT($J276,"yyyy-mm-dd")&amp;"|"&amp;$Y276&amp;"|"&amp;$Z276,'CALENDARIO'!$G$15:$G$214,0)),IFERROR(INDEX('CALENDARIO'!$C$15:$C$214,MATCH(TEXT($J276,"yyyy-mm-dd")&amp;"|"&amp;$Y276&amp;"|",'CALENDARIO'!$G$15:$G$214,0)),IFERROR(INDEX('CALENDARIO'!$C$15:$C$214,MATCH(TEXT($J276,"yyyy-mm-dd")&amp;"||",'CALENDARIO'!$G$15:$G$214,0)),INDEX(patronHabil,WEEKDAY($J276,2))))))</f>
        <v/>
      </c>
      <c r="U276" s="24">
        <f>IF($I276="","",IFERROR(INDEX('CAT_TIPOS_OT'!$C$4:$C$23,MATCH($I276,'CAT_TIPOS_OT'!$A$4:$A$23,0)),"sin_clasificar"))</f>
        <v/>
      </c>
      <c r="V276" s="24">
        <f>IF($I276="","",IF(IFERROR(INDEX('CAT_TIPOS_OT'!$D$4:$D$23,MATCH($I276,'CAT_TIPOS_OT'!$A$4:$A$23,0)),"SIN CLASIFICAR")="","SIN CLASIFICAR",IFERROR(INDEX('CAT_TIPOS_OT'!$D$4:$D$23,MATCH($I276,'CAT_TIPOS_OT'!$A$4:$A$23,0)),"SIN CLASIFICAR")))</f>
        <v/>
      </c>
      <c r="W276" s="24">
        <f>IF($H276="","",IF(IFERROR(INDEX('CAT_ACTIVIDADES'!$F$4:$F$26,MATCH($H276,'CAT_ACTIVIDADES'!$A$4:$A$26,0)),"")=0,"",IFERROR(INDEX('CAT_ACTIVIDADES'!$F$4:$F$26,MATCH($H276,'CAT_ACTIVIDADES'!$A$4:$A$26,0)),"")))</f>
        <v/>
      </c>
      <c r="X276" s="24">
        <f>IF($F276="","",IFERROR(INDEX('CAT_CENTROS_COSTO'!$F$4:$F$28,MATCH($F276,'CAT_CENTROS_COSTO'!$A$4:$A$28,0)),"(sin catálogo)"))</f>
        <v/>
      </c>
      <c r="Y276" s="24">
        <f>IF($F276="","",IFERROR(INDEX('CAT_CENTROS_COSTO'!$D$4:$D$28,MATCH($F276,'CAT_CENTROS_COSTO'!$A$4:$A$28,0)),"(sin catálogo)"))</f>
        <v/>
      </c>
      <c r="Z276" s="24">
        <f>IF($F276="","",IF((IFERROR(INDEX('CAT_CENTROS_COSTO'!$E$4:$E$28,MATCH($F276,'CAT_CENTROS_COSTO'!$A$4:$A$28,0)),""))&lt;&gt;"",IFERROR(INDEX('CAT_CENTROS_COSTO'!$E$4:$E$28,MATCH($F276,'CAT_CENTROS_COSTO'!$A$4:$A$28,0)),""),$Y276))</f>
        <v/>
      </c>
      <c r="AA276" s="24">
        <f>IF($F276="","",IFERROR(INDEX('CAT_CENTROS_COSTO'!$G$4:$G$28,MATCH($F276,'CAT_CENTROS_COSTO'!$A$4:$A$28,0)),"(sin catálogo)"))</f>
        <v/>
      </c>
      <c r="AB276" s="24">
        <f>IF($G276="","",IFERROR(INDEX('CAT_PUESTOS'!$B$4:$B$23,MATCH($G276,'CAT_PUESTOS'!$A$4:$A$23,0)),"(sin catálogo)"))</f>
        <v/>
      </c>
      <c r="AC276" s="24">
        <f>IF($H276="","",IFERROR(INDEX('CAT_ACTIVIDADES'!$B$4:$B$26,MATCH($H276,'CAT_ACTIVIDADES'!$A$4:$A$26,0)),"(sin catálogo)"))</f>
        <v/>
      </c>
      <c r="AD276" s="26">
        <f>IF($J276="","",TODAY()-$J276)</f>
        <v/>
      </c>
      <c r="AE276" s="26">
        <f>IF($J276="","",IF($J276&lt;=TODAY(),COUNTIFS(cal_fechas,"&gt;="&amp;$J276,cal_fechas,"&lt;"&amp;TODAY(),cal_habil,"sí"),-COUNTIFS(cal_fechas,"&gt;="&amp;TODAY(),cal_fechas,"&lt;"&amp;$J276,cal_habil,"sí")))</f>
        <v/>
      </c>
      <c r="AF276" s="24">
        <f>IF($AE276="","",IF($AE276&lt;0,"FUTURO",IF($AE276&gt;p_dias_backlog_max,"BACKLOG","MES CORRIENTE")))</f>
        <v/>
      </c>
      <c r="AG276" s="24">
        <f>IF($AE276="",FALSE,AND($AE276&gt;p_dias_backlog_min,$AE276&lt;=p_dias_backlog_max))</f>
        <v/>
      </c>
      <c r="AH276" s="4" t="n"/>
      <c r="AI276" s="24">
        <f>IF($AH276="","",IF((IFERROR(INDEX('ASIGNACIONES'!$J$4:$J$451,MATCH($O276&amp;"|"&amp;$S276&amp;"|"&amp;$AH276,'ASIGNACIONES'!$N$4:$N$451,0)),""))=0,"",IFERROR(INDEX('ASIGNACIONES'!$J$4:$J$451,MATCH($O276&amp;"|"&amp;$S276&amp;"|"&amp;$AH276,'ASIGNACIONES'!$N$4:$N$451,0)),"")))</f>
        <v/>
      </c>
      <c r="AJ276" s="42">
        <f>IF($AH276="","",SUMIFS('ORDENES'!$M$4:$M$1203,'ORDENES'!$AH$4:$AH$1203,$AH276,'ORDENES'!$O$4:$O$1203,$O276,'ORDENES'!$S$4:$S$1203,$S276))</f>
        <v/>
      </c>
      <c r="AK276" s="42">
        <f>IF($AJ276="","",p_factor_productividad*IFERROR(INDEX('ASIGNACIONES'!$M$4:$M$451,MATCH($O276&amp;"|"&amp;$S276&amp;"|"&amp;$AH276,'ASIGNACIONES'!$N$4:$N$451,0)),0)-$AJ276)</f>
        <v/>
      </c>
      <c r="AL276" s="32">
        <f>IF($A276="","",IFERROR(INDEX('2_IMPORTAR_EJECUCION'!$F$9:$F$1208,MATCH($AU276,'2_IMPORTAR_EJECUCION'!$J$9:$J$1208,0)),0))</f>
        <v/>
      </c>
      <c r="AM276" s="32">
        <f>IF($A276="","",MAX(0,IFERROR(INDEX('2_IMPORTAR_EJECUCION'!$H$9:$H$1208,MATCH($AU276,'2_IMPORTAR_EJECUCION'!$J$9:$J$1208,0)),0)-$AL276))</f>
        <v/>
      </c>
      <c r="AN276" s="32">
        <f>IF($A276="","",$AL276+$AM276)</f>
        <v/>
      </c>
      <c r="AO276" s="24">
        <f>IF($A276="","",IF(OR((IFERROR(INDEX('CAT_ACTIVIDADES'!$D$4:$D$26,MATCH($H276,'CAT_ACTIVIDADES'!$A$4:$A$26,0)),""))=0,(IFERROR(INDEX('CAT_ACTIVIDADES'!$D$4:$D$26,MATCH($H276,'CAT_ACTIVIDADES'!$A$4:$A$26,0)),""))=""),"SIN CLASIFICAR",IFERROR(INDEX('CAT_ACTIVIDADES'!$D$4:$D$26,MATCH($H276,'CAT_ACTIVIDADES'!$A$4:$A$26,0)),"")))</f>
        <v/>
      </c>
      <c r="AP276" s="4" t="n"/>
      <c r="AQ276" s="4" t="n"/>
      <c r="AR276" s="4" t="n"/>
      <c r="AS276" s="24">
        <f>IF($AR276="","",HYPERLINK(p_ruta_base_checklists&amp;$AR276,"abrir"))</f>
        <v/>
      </c>
      <c r="AT276" s="4" t="n"/>
      <c r="AU276" s="24">
        <f>IF($A276="","",$A276&amp;IF($B276="","0010",$B276))</f>
        <v/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41" t="n"/>
      <c r="K277" s="5" t="n"/>
      <c r="L277" s="18" t="n"/>
      <c r="M277" s="24">
        <f>IF($A277="","",IFERROR(INDEX('AJUSTES'!$B$4:$B$303,MATCH($AU277,'AJUSTES'!$A$4:$A$303,0)),IF($K277="","",$K277)))</f>
        <v/>
      </c>
      <c r="N277" s="24">
        <f>IF($A277="","",IFERROR(INDEX('CAT_ESTADOS_ERP'!$B$4:$B$22,MATCH(IFERROR(INDEX('2_IMPORTAR_EJECUCION'!$C$9:$C$1208,MATCH($AU277,'2_IMPORTAR_EJECUCION'!$J$9:$J$1208,0)),""),'CAT_ESTADOS_ERP'!$A$4:$A$22,0)),"Pendiente"))</f>
        <v/>
      </c>
      <c r="O277" s="24">
        <f>IF($J277="","",YEAR($J277+4-WEEKDAY($J277,2))&amp;"-S"&amp;TEXT(_xlfn.ISOWEEKNUM($J277),"00"))</f>
        <v/>
      </c>
      <c r="P277" s="24">
        <f>IF($J277="","",YEAR($J277))</f>
        <v/>
      </c>
      <c r="Q277" s="24">
        <f>IF($J277="","",MONTH($J277))</f>
        <v/>
      </c>
      <c r="R277" s="24">
        <f>IF($J277="","",$P277&amp;"-"&amp;TEXT($Q277,"00"))</f>
        <v/>
      </c>
      <c r="S277" s="24">
        <f>IF($J277="","",INDEX(lista_dias,WEEKDAY($J277,2)))</f>
        <v/>
      </c>
      <c r="T277" s="24">
        <f>IF($J277="","",IFERROR(INDEX('CALENDARIO'!$C$15:$C$214,MATCH(TEXT($J277,"yyyy-mm-dd")&amp;"|"&amp;$Y277&amp;"|"&amp;$Z277,'CALENDARIO'!$G$15:$G$214,0)),IFERROR(INDEX('CALENDARIO'!$C$15:$C$214,MATCH(TEXT($J277,"yyyy-mm-dd")&amp;"|"&amp;$Y277&amp;"|",'CALENDARIO'!$G$15:$G$214,0)),IFERROR(INDEX('CALENDARIO'!$C$15:$C$214,MATCH(TEXT($J277,"yyyy-mm-dd")&amp;"||",'CALENDARIO'!$G$15:$G$214,0)),INDEX(patronHabil,WEEKDAY($J277,2))))))</f>
        <v/>
      </c>
      <c r="U277" s="24">
        <f>IF($I277="","",IFERROR(INDEX('CAT_TIPOS_OT'!$C$4:$C$23,MATCH($I277,'CAT_TIPOS_OT'!$A$4:$A$23,0)),"sin_clasificar"))</f>
        <v/>
      </c>
      <c r="V277" s="24">
        <f>IF($I277="","",IF(IFERROR(INDEX('CAT_TIPOS_OT'!$D$4:$D$23,MATCH($I277,'CAT_TIPOS_OT'!$A$4:$A$23,0)),"SIN CLASIFICAR")="","SIN CLASIFICAR",IFERROR(INDEX('CAT_TIPOS_OT'!$D$4:$D$23,MATCH($I277,'CAT_TIPOS_OT'!$A$4:$A$23,0)),"SIN CLASIFICAR")))</f>
        <v/>
      </c>
      <c r="W277" s="24">
        <f>IF($H277="","",IF(IFERROR(INDEX('CAT_ACTIVIDADES'!$F$4:$F$26,MATCH($H277,'CAT_ACTIVIDADES'!$A$4:$A$26,0)),"")=0,"",IFERROR(INDEX('CAT_ACTIVIDADES'!$F$4:$F$26,MATCH($H277,'CAT_ACTIVIDADES'!$A$4:$A$26,0)),"")))</f>
        <v/>
      </c>
      <c r="X277" s="24">
        <f>IF($F277="","",IFERROR(INDEX('CAT_CENTROS_COSTO'!$F$4:$F$28,MATCH($F277,'CAT_CENTROS_COSTO'!$A$4:$A$28,0)),"(sin catálogo)"))</f>
        <v/>
      </c>
      <c r="Y277" s="24">
        <f>IF($F277="","",IFERROR(INDEX('CAT_CENTROS_COSTO'!$D$4:$D$28,MATCH($F277,'CAT_CENTROS_COSTO'!$A$4:$A$28,0)),"(sin catálogo)"))</f>
        <v/>
      </c>
      <c r="Z277" s="24">
        <f>IF($F277="","",IF((IFERROR(INDEX('CAT_CENTROS_COSTO'!$E$4:$E$28,MATCH($F277,'CAT_CENTROS_COSTO'!$A$4:$A$28,0)),""))&lt;&gt;"",IFERROR(INDEX('CAT_CENTROS_COSTO'!$E$4:$E$28,MATCH($F277,'CAT_CENTROS_COSTO'!$A$4:$A$28,0)),""),$Y277))</f>
        <v/>
      </c>
      <c r="AA277" s="24">
        <f>IF($F277="","",IFERROR(INDEX('CAT_CENTROS_COSTO'!$G$4:$G$28,MATCH($F277,'CAT_CENTROS_COSTO'!$A$4:$A$28,0)),"(sin catálogo)"))</f>
        <v/>
      </c>
      <c r="AB277" s="24">
        <f>IF($G277="","",IFERROR(INDEX('CAT_PUESTOS'!$B$4:$B$23,MATCH($G277,'CAT_PUESTOS'!$A$4:$A$23,0)),"(sin catálogo)"))</f>
        <v/>
      </c>
      <c r="AC277" s="24">
        <f>IF($H277="","",IFERROR(INDEX('CAT_ACTIVIDADES'!$B$4:$B$26,MATCH($H277,'CAT_ACTIVIDADES'!$A$4:$A$26,0)),"(sin catálogo)"))</f>
        <v/>
      </c>
      <c r="AD277" s="26">
        <f>IF($J277="","",TODAY()-$J277)</f>
        <v/>
      </c>
      <c r="AE277" s="26">
        <f>IF($J277="","",IF($J277&lt;=TODAY(),COUNTIFS(cal_fechas,"&gt;="&amp;$J277,cal_fechas,"&lt;"&amp;TODAY(),cal_habil,"sí"),-COUNTIFS(cal_fechas,"&gt;="&amp;TODAY(),cal_fechas,"&lt;"&amp;$J277,cal_habil,"sí")))</f>
        <v/>
      </c>
      <c r="AF277" s="24">
        <f>IF($AE277="","",IF($AE277&lt;0,"FUTURO",IF($AE277&gt;p_dias_backlog_max,"BACKLOG","MES CORRIENTE")))</f>
        <v/>
      </c>
      <c r="AG277" s="24">
        <f>IF($AE277="",FALSE,AND($AE277&gt;p_dias_backlog_min,$AE277&lt;=p_dias_backlog_max))</f>
        <v/>
      </c>
      <c r="AH277" s="4" t="n"/>
      <c r="AI277" s="24">
        <f>IF($AH277="","",IF((IFERROR(INDEX('ASIGNACIONES'!$J$4:$J$451,MATCH($O277&amp;"|"&amp;$S277&amp;"|"&amp;$AH277,'ASIGNACIONES'!$N$4:$N$451,0)),""))=0,"",IFERROR(INDEX('ASIGNACIONES'!$J$4:$J$451,MATCH($O277&amp;"|"&amp;$S277&amp;"|"&amp;$AH277,'ASIGNACIONES'!$N$4:$N$451,0)),"")))</f>
        <v/>
      </c>
      <c r="AJ277" s="42">
        <f>IF($AH277="","",SUMIFS('ORDENES'!$M$4:$M$1203,'ORDENES'!$AH$4:$AH$1203,$AH277,'ORDENES'!$O$4:$O$1203,$O277,'ORDENES'!$S$4:$S$1203,$S277))</f>
        <v/>
      </c>
      <c r="AK277" s="42">
        <f>IF($AJ277="","",p_factor_productividad*IFERROR(INDEX('ASIGNACIONES'!$M$4:$M$451,MATCH($O277&amp;"|"&amp;$S277&amp;"|"&amp;$AH277,'ASIGNACIONES'!$N$4:$N$451,0)),0)-$AJ277)</f>
        <v/>
      </c>
      <c r="AL277" s="32">
        <f>IF($A277="","",IFERROR(INDEX('2_IMPORTAR_EJECUCION'!$F$9:$F$1208,MATCH($AU277,'2_IMPORTAR_EJECUCION'!$J$9:$J$1208,0)),0))</f>
        <v/>
      </c>
      <c r="AM277" s="32">
        <f>IF($A277="","",MAX(0,IFERROR(INDEX('2_IMPORTAR_EJECUCION'!$H$9:$H$1208,MATCH($AU277,'2_IMPORTAR_EJECUCION'!$J$9:$J$1208,0)),0)-$AL277))</f>
        <v/>
      </c>
      <c r="AN277" s="32">
        <f>IF($A277="","",$AL277+$AM277)</f>
        <v/>
      </c>
      <c r="AO277" s="24">
        <f>IF($A277="","",IF(OR((IFERROR(INDEX('CAT_ACTIVIDADES'!$D$4:$D$26,MATCH($H277,'CAT_ACTIVIDADES'!$A$4:$A$26,0)),""))=0,(IFERROR(INDEX('CAT_ACTIVIDADES'!$D$4:$D$26,MATCH($H277,'CAT_ACTIVIDADES'!$A$4:$A$26,0)),""))=""),"SIN CLASIFICAR",IFERROR(INDEX('CAT_ACTIVIDADES'!$D$4:$D$26,MATCH($H277,'CAT_ACTIVIDADES'!$A$4:$A$26,0)),"")))</f>
        <v/>
      </c>
      <c r="AP277" s="4" t="n"/>
      <c r="AQ277" s="4" t="n"/>
      <c r="AR277" s="4" t="n"/>
      <c r="AS277" s="24">
        <f>IF($AR277="","",HYPERLINK(p_ruta_base_checklists&amp;$AR277,"abrir"))</f>
        <v/>
      </c>
      <c r="AT277" s="4" t="n"/>
      <c r="AU277" s="24">
        <f>IF($A277="","",$A277&amp;IF($B277="","0010",$B277))</f>
        <v/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41" t="n"/>
      <c r="K278" s="5" t="n"/>
      <c r="L278" s="18" t="n"/>
      <c r="M278" s="24">
        <f>IF($A278="","",IFERROR(INDEX('AJUSTES'!$B$4:$B$303,MATCH($AU278,'AJUSTES'!$A$4:$A$303,0)),IF($K278="","",$K278)))</f>
        <v/>
      </c>
      <c r="N278" s="24">
        <f>IF($A278="","",IFERROR(INDEX('CAT_ESTADOS_ERP'!$B$4:$B$22,MATCH(IFERROR(INDEX('2_IMPORTAR_EJECUCION'!$C$9:$C$1208,MATCH($AU278,'2_IMPORTAR_EJECUCION'!$J$9:$J$1208,0)),""),'CAT_ESTADOS_ERP'!$A$4:$A$22,0)),"Pendiente"))</f>
        <v/>
      </c>
      <c r="O278" s="24">
        <f>IF($J278="","",YEAR($J278+4-WEEKDAY($J278,2))&amp;"-S"&amp;TEXT(_xlfn.ISOWEEKNUM($J278),"00"))</f>
        <v/>
      </c>
      <c r="P278" s="24">
        <f>IF($J278="","",YEAR($J278))</f>
        <v/>
      </c>
      <c r="Q278" s="24">
        <f>IF($J278="","",MONTH($J278))</f>
        <v/>
      </c>
      <c r="R278" s="24">
        <f>IF($J278="","",$P278&amp;"-"&amp;TEXT($Q278,"00"))</f>
        <v/>
      </c>
      <c r="S278" s="24">
        <f>IF($J278="","",INDEX(lista_dias,WEEKDAY($J278,2)))</f>
        <v/>
      </c>
      <c r="T278" s="24">
        <f>IF($J278="","",IFERROR(INDEX('CALENDARIO'!$C$15:$C$214,MATCH(TEXT($J278,"yyyy-mm-dd")&amp;"|"&amp;$Y278&amp;"|"&amp;$Z278,'CALENDARIO'!$G$15:$G$214,0)),IFERROR(INDEX('CALENDARIO'!$C$15:$C$214,MATCH(TEXT($J278,"yyyy-mm-dd")&amp;"|"&amp;$Y278&amp;"|",'CALENDARIO'!$G$15:$G$214,0)),IFERROR(INDEX('CALENDARIO'!$C$15:$C$214,MATCH(TEXT($J278,"yyyy-mm-dd")&amp;"||",'CALENDARIO'!$G$15:$G$214,0)),INDEX(patronHabil,WEEKDAY($J278,2))))))</f>
        <v/>
      </c>
      <c r="U278" s="24">
        <f>IF($I278="","",IFERROR(INDEX('CAT_TIPOS_OT'!$C$4:$C$23,MATCH($I278,'CAT_TIPOS_OT'!$A$4:$A$23,0)),"sin_clasificar"))</f>
        <v/>
      </c>
      <c r="V278" s="24">
        <f>IF($I278="","",IF(IFERROR(INDEX('CAT_TIPOS_OT'!$D$4:$D$23,MATCH($I278,'CAT_TIPOS_OT'!$A$4:$A$23,0)),"SIN CLASIFICAR")="","SIN CLASIFICAR",IFERROR(INDEX('CAT_TIPOS_OT'!$D$4:$D$23,MATCH($I278,'CAT_TIPOS_OT'!$A$4:$A$23,0)),"SIN CLASIFICAR")))</f>
        <v/>
      </c>
      <c r="W278" s="24">
        <f>IF($H278="","",IF(IFERROR(INDEX('CAT_ACTIVIDADES'!$F$4:$F$26,MATCH($H278,'CAT_ACTIVIDADES'!$A$4:$A$26,0)),"")=0,"",IFERROR(INDEX('CAT_ACTIVIDADES'!$F$4:$F$26,MATCH($H278,'CAT_ACTIVIDADES'!$A$4:$A$26,0)),"")))</f>
        <v/>
      </c>
      <c r="X278" s="24">
        <f>IF($F278="","",IFERROR(INDEX('CAT_CENTROS_COSTO'!$F$4:$F$28,MATCH($F278,'CAT_CENTROS_COSTO'!$A$4:$A$28,0)),"(sin catálogo)"))</f>
        <v/>
      </c>
      <c r="Y278" s="24">
        <f>IF($F278="","",IFERROR(INDEX('CAT_CENTROS_COSTO'!$D$4:$D$28,MATCH($F278,'CAT_CENTROS_COSTO'!$A$4:$A$28,0)),"(sin catálogo)"))</f>
        <v/>
      </c>
      <c r="Z278" s="24">
        <f>IF($F278="","",IF((IFERROR(INDEX('CAT_CENTROS_COSTO'!$E$4:$E$28,MATCH($F278,'CAT_CENTROS_COSTO'!$A$4:$A$28,0)),""))&lt;&gt;"",IFERROR(INDEX('CAT_CENTROS_COSTO'!$E$4:$E$28,MATCH($F278,'CAT_CENTROS_COSTO'!$A$4:$A$28,0)),""),$Y278))</f>
        <v/>
      </c>
      <c r="AA278" s="24">
        <f>IF($F278="","",IFERROR(INDEX('CAT_CENTROS_COSTO'!$G$4:$G$28,MATCH($F278,'CAT_CENTROS_COSTO'!$A$4:$A$28,0)),"(sin catálogo)"))</f>
        <v/>
      </c>
      <c r="AB278" s="24">
        <f>IF($G278="","",IFERROR(INDEX('CAT_PUESTOS'!$B$4:$B$23,MATCH($G278,'CAT_PUESTOS'!$A$4:$A$23,0)),"(sin catálogo)"))</f>
        <v/>
      </c>
      <c r="AC278" s="24">
        <f>IF($H278="","",IFERROR(INDEX('CAT_ACTIVIDADES'!$B$4:$B$26,MATCH($H278,'CAT_ACTIVIDADES'!$A$4:$A$26,0)),"(sin catálogo)"))</f>
        <v/>
      </c>
      <c r="AD278" s="26">
        <f>IF($J278="","",TODAY()-$J278)</f>
        <v/>
      </c>
      <c r="AE278" s="26">
        <f>IF($J278="","",IF($J278&lt;=TODAY(),COUNTIFS(cal_fechas,"&gt;="&amp;$J278,cal_fechas,"&lt;"&amp;TODAY(),cal_habil,"sí"),-COUNTIFS(cal_fechas,"&gt;="&amp;TODAY(),cal_fechas,"&lt;"&amp;$J278,cal_habil,"sí")))</f>
        <v/>
      </c>
      <c r="AF278" s="24">
        <f>IF($AE278="","",IF($AE278&lt;0,"FUTURO",IF($AE278&gt;p_dias_backlog_max,"BACKLOG","MES CORRIENTE")))</f>
        <v/>
      </c>
      <c r="AG278" s="24">
        <f>IF($AE278="",FALSE,AND($AE278&gt;p_dias_backlog_min,$AE278&lt;=p_dias_backlog_max))</f>
        <v/>
      </c>
      <c r="AH278" s="4" t="n"/>
      <c r="AI278" s="24">
        <f>IF($AH278="","",IF((IFERROR(INDEX('ASIGNACIONES'!$J$4:$J$451,MATCH($O278&amp;"|"&amp;$S278&amp;"|"&amp;$AH278,'ASIGNACIONES'!$N$4:$N$451,0)),""))=0,"",IFERROR(INDEX('ASIGNACIONES'!$J$4:$J$451,MATCH($O278&amp;"|"&amp;$S278&amp;"|"&amp;$AH278,'ASIGNACIONES'!$N$4:$N$451,0)),"")))</f>
        <v/>
      </c>
      <c r="AJ278" s="42">
        <f>IF($AH278="","",SUMIFS('ORDENES'!$M$4:$M$1203,'ORDENES'!$AH$4:$AH$1203,$AH278,'ORDENES'!$O$4:$O$1203,$O278,'ORDENES'!$S$4:$S$1203,$S278))</f>
        <v/>
      </c>
      <c r="AK278" s="42">
        <f>IF($AJ278="","",p_factor_productividad*IFERROR(INDEX('ASIGNACIONES'!$M$4:$M$451,MATCH($O278&amp;"|"&amp;$S278&amp;"|"&amp;$AH278,'ASIGNACIONES'!$N$4:$N$451,0)),0)-$AJ278)</f>
        <v/>
      </c>
      <c r="AL278" s="32">
        <f>IF($A278="","",IFERROR(INDEX('2_IMPORTAR_EJECUCION'!$F$9:$F$1208,MATCH($AU278,'2_IMPORTAR_EJECUCION'!$J$9:$J$1208,0)),0))</f>
        <v/>
      </c>
      <c r="AM278" s="32">
        <f>IF($A278="","",MAX(0,IFERROR(INDEX('2_IMPORTAR_EJECUCION'!$H$9:$H$1208,MATCH($AU278,'2_IMPORTAR_EJECUCION'!$J$9:$J$1208,0)),0)-$AL278))</f>
        <v/>
      </c>
      <c r="AN278" s="32">
        <f>IF($A278="","",$AL278+$AM278)</f>
        <v/>
      </c>
      <c r="AO278" s="24">
        <f>IF($A278="","",IF(OR((IFERROR(INDEX('CAT_ACTIVIDADES'!$D$4:$D$26,MATCH($H278,'CAT_ACTIVIDADES'!$A$4:$A$26,0)),""))=0,(IFERROR(INDEX('CAT_ACTIVIDADES'!$D$4:$D$26,MATCH($H278,'CAT_ACTIVIDADES'!$A$4:$A$26,0)),""))=""),"SIN CLASIFICAR",IFERROR(INDEX('CAT_ACTIVIDADES'!$D$4:$D$26,MATCH($H278,'CAT_ACTIVIDADES'!$A$4:$A$26,0)),"")))</f>
        <v/>
      </c>
      <c r="AP278" s="4" t="n"/>
      <c r="AQ278" s="4" t="n"/>
      <c r="AR278" s="4" t="n"/>
      <c r="AS278" s="24">
        <f>IF($AR278="","",HYPERLINK(p_ruta_base_checklists&amp;$AR278,"abrir"))</f>
        <v/>
      </c>
      <c r="AT278" s="4" t="n"/>
      <c r="AU278" s="24">
        <f>IF($A278="","",$A278&amp;IF($B278="","0010",$B278))</f>
        <v/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41" t="n"/>
      <c r="K279" s="5" t="n"/>
      <c r="L279" s="18" t="n"/>
      <c r="M279" s="24">
        <f>IF($A279="","",IFERROR(INDEX('AJUSTES'!$B$4:$B$303,MATCH($AU279,'AJUSTES'!$A$4:$A$303,0)),IF($K279="","",$K279)))</f>
        <v/>
      </c>
      <c r="N279" s="24">
        <f>IF($A279="","",IFERROR(INDEX('CAT_ESTADOS_ERP'!$B$4:$B$22,MATCH(IFERROR(INDEX('2_IMPORTAR_EJECUCION'!$C$9:$C$1208,MATCH($AU279,'2_IMPORTAR_EJECUCION'!$J$9:$J$1208,0)),""),'CAT_ESTADOS_ERP'!$A$4:$A$22,0)),"Pendiente"))</f>
        <v/>
      </c>
      <c r="O279" s="24">
        <f>IF($J279="","",YEAR($J279+4-WEEKDAY($J279,2))&amp;"-S"&amp;TEXT(_xlfn.ISOWEEKNUM($J279),"00"))</f>
        <v/>
      </c>
      <c r="P279" s="24">
        <f>IF($J279="","",YEAR($J279))</f>
        <v/>
      </c>
      <c r="Q279" s="24">
        <f>IF($J279="","",MONTH($J279))</f>
        <v/>
      </c>
      <c r="R279" s="24">
        <f>IF($J279="","",$P279&amp;"-"&amp;TEXT($Q279,"00"))</f>
        <v/>
      </c>
      <c r="S279" s="24">
        <f>IF($J279="","",INDEX(lista_dias,WEEKDAY($J279,2)))</f>
        <v/>
      </c>
      <c r="T279" s="24">
        <f>IF($J279="","",IFERROR(INDEX('CALENDARIO'!$C$15:$C$214,MATCH(TEXT($J279,"yyyy-mm-dd")&amp;"|"&amp;$Y279&amp;"|"&amp;$Z279,'CALENDARIO'!$G$15:$G$214,0)),IFERROR(INDEX('CALENDARIO'!$C$15:$C$214,MATCH(TEXT($J279,"yyyy-mm-dd")&amp;"|"&amp;$Y279&amp;"|",'CALENDARIO'!$G$15:$G$214,0)),IFERROR(INDEX('CALENDARIO'!$C$15:$C$214,MATCH(TEXT($J279,"yyyy-mm-dd")&amp;"||",'CALENDARIO'!$G$15:$G$214,0)),INDEX(patronHabil,WEEKDAY($J279,2))))))</f>
        <v/>
      </c>
      <c r="U279" s="24">
        <f>IF($I279="","",IFERROR(INDEX('CAT_TIPOS_OT'!$C$4:$C$23,MATCH($I279,'CAT_TIPOS_OT'!$A$4:$A$23,0)),"sin_clasificar"))</f>
        <v/>
      </c>
      <c r="V279" s="24">
        <f>IF($I279="","",IF(IFERROR(INDEX('CAT_TIPOS_OT'!$D$4:$D$23,MATCH($I279,'CAT_TIPOS_OT'!$A$4:$A$23,0)),"SIN CLASIFICAR")="","SIN CLASIFICAR",IFERROR(INDEX('CAT_TIPOS_OT'!$D$4:$D$23,MATCH($I279,'CAT_TIPOS_OT'!$A$4:$A$23,0)),"SIN CLASIFICAR")))</f>
        <v/>
      </c>
      <c r="W279" s="24">
        <f>IF($H279="","",IF(IFERROR(INDEX('CAT_ACTIVIDADES'!$F$4:$F$26,MATCH($H279,'CAT_ACTIVIDADES'!$A$4:$A$26,0)),"")=0,"",IFERROR(INDEX('CAT_ACTIVIDADES'!$F$4:$F$26,MATCH($H279,'CAT_ACTIVIDADES'!$A$4:$A$26,0)),"")))</f>
        <v/>
      </c>
      <c r="X279" s="24">
        <f>IF($F279="","",IFERROR(INDEX('CAT_CENTROS_COSTO'!$F$4:$F$28,MATCH($F279,'CAT_CENTROS_COSTO'!$A$4:$A$28,0)),"(sin catálogo)"))</f>
        <v/>
      </c>
      <c r="Y279" s="24">
        <f>IF($F279="","",IFERROR(INDEX('CAT_CENTROS_COSTO'!$D$4:$D$28,MATCH($F279,'CAT_CENTROS_COSTO'!$A$4:$A$28,0)),"(sin catálogo)"))</f>
        <v/>
      </c>
      <c r="Z279" s="24">
        <f>IF($F279="","",IF((IFERROR(INDEX('CAT_CENTROS_COSTO'!$E$4:$E$28,MATCH($F279,'CAT_CENTROS_COSTO'!$A$4:$A$28,0)),""))&lt;&gt;"",IFERROR(INDEX('CAT_CENTROS_COSTO'!$E$4:$E$28,MATCH($F279,'CAT_CENTROS_COSTO'!$A$4:$A$28,0)),""),$Y279))</f>
        <v/>
      </c>
      <c r="AA279" s="24">
        <f>IF($F279="","",IFERROR(INDEX('CAT_CENTROS_COSTO'!$G$4:$G$28,MATCH($F279,'CAT_CENTROS_COSTO'!$A$4:$A$28,0)),"(sin catálogo)"))</f>
        <v/>
      </c>
      <c r="AB279" s="24">
        <f>IF($G279="","",IFERROR(INDEX('CAT_PUESTOS'!$B$4:$B$23,MATCH($G279,'CAT_PUESTOS'!$A$4:$A$23,0)),"(sin catálogo)"))</f>
        <v/>
      </c>
      <c r="AC279" s="24">
        <f>IF($H279="","",IFERROR(INDEX('CAT_ACTIVIDADES'!$B$4:$B$26,MATCH($H279,'CAT_ACTIVIDADES'!$A$4:$A$26,0)),"(sin catálogo)"))</f>
        <v/>
      </c>
      <c r="AD279" s="26">
        <f>IF($J279="","",TODAY()-$J279)</f>
        <v/>
      </c>
      <c r="AE279" s="26">
        <f>IF($J279="","",IF($J279&lt;=TODAY(),COUNTIFS(cal_fechas,"&gt;="&amp;$J279,cal_fechas,"&lt;"&amp;TODAY(),cal_habil,"sí"),-COUNTIFS(cal_fechas,"&gt;="&amp;TODAY(),cal_fechas,"&lt;"&amp;$J279,cal_habil,"sí")))</f>
        <v/>
      </c>
      <c r="AF279" s="24">
        <f>IF($AE279="","",IF($AE279&lt;0,"FUTURO",IF($AE279&gt;p_dias_backlog_max,"BACKLOG","MES CORRIENTE")))</f>
        <v/>
      </c>
      <c r="AG279" s="24">
        <f>IF($AE279="",FALSE,AND($AE279&gt;p_dias_backlog_min,$AE279&lt;=p_dias_backlog_max))</f>
        <v/>
      </c>
      <c r="AH279" s="4" t="n"/>
      <c r="AI279" s="24">
        <f>IF($AH279="","",IF((IFERROR(INDEX('ASIGNACIONES'!$J$4:$J$451,MATCH($O279&amp;"|"&amp;$S279&amp;"|"&amp;$AH279,'ASIGNACIONES'!$N$4:$N$451,0)),""))=0,"",IFERROR(INDEX('ASIGNACIONES'!$J$4:$J$451,MATCH($O279&amp;"|"&amp;$S279&amp;"|"&amp;$AH279,'ASIGNACIONES'!$N$4:$N$451,0)),"")))</f>
        <v/>
      </c>
      <c r="AJ279" s="42">
        <f>IF($AH279="","",SUMIFS('ORDENES'!$M$4:$M$1203,'ORDENES'!$AH$4:$AH$1203,$AH279,'ORDENES'!$O$4:$O$1203,$O279,'ORDENES'!$S$4:$S$1203,$S279))</f>
        <v/>
      </c>
      <c r="AK279" s="42">
        <f>IF($AJ279="","",p_factor_productividad*IFERROR(INDEX('ASIGNACIONES'!$M$4:$M$451,MATCH($O279&amp;"|"&amp;$S279&amp;"|"&amp;$AH279,'ASIGNACIONES'!$N$4:$N$451,0)),0)-$AJ279)</f>
        <v/>
      </c>
      <c r="AL279" s="32">
        <f>IF($A279="","",IFERROR(INDEX('2_IMPORTAR_EJECUCION'!$F$9:$F$1208,MATCH($AU279,'2_IMPORTAR_EJECUCION'!$J$9:$J$1208,0)),0))</f>
        <v/>
      </c>
      <c r="AM279" s="32">
        <f>IF($A279="","",MAX(0,IFERROR(INDEX('2_IMPORTAR_EJECUCION'!$H$9:$H$1208,MATCH($AU279,'2_IMPORTAR_EJECUCION'!$J$9:$J$1208,0)),0)-$AL279))</f>
        <v/>
      </c>
      <c r="AN279" s="32">
        <f>IF($A279="","",$AL279+$AM279)</f>
        <v/>
      </c>
      <c r="AO279" s="24">
        <f>IF($A279="","",IF(OR((IFERROR(INDEX('CAT_ACTIVIDADES'!$D$4:$D$26,MATCH($H279,'CAT_ACTIVIDADES'!$A$4:$A$26,0)),""))=0,(IFERROR(INDEX('CAT_ACTIVIDADES'!$D$4:$D$26,MATCH($H279,'CAT_ACTIVIDADES'!$A$4:$A$26,0)),""))=""),"SIN CLASIFICAR",IFERROR(INDEX('CAT_ACTIVIDADES'!$D$4:$D$26,MATCH($H279,'CAT_ACTIVIDADES'!$A$4:$A$26,0)),"")))</f>
        <v/>
      </c>
      <c r="AP279" s="4" t="n"/>
      <c r="AQ279" s="4" t="n"/>
      <c r="AR279" s="4" t="n"/>
      <c r="AS279" s="24">
        <f>IF($AR279="","",HYPERLINK(p_ruta_base_checklists&amp;$AR279,"abrir"))</f>
        <v/>
      </c>
      <c r="AT279" s="4" t="n"/>
      <c r="AU279" s="24">
        <f>IF($A279="","",$A279&amp;IF($B279="","0010",$B279))</f>
        <v/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41" t="n"/>
      <c r="K280" s="5" t="n"/>
      <c r="L280" s="18" t="n"/>
      <c r="M280" s="24">
        <f>IF($A280="","",IFERROR(INDEX('AJUSTES'!$B$4:$B$303,MATCH($AU280,'AJUSTES'!$A$4:$A$303,0)),IF($K280="","",$K280)))</f>
        <v/>
      </c>
      <c r="N280" s="24">
        <f>IF($A280="","",IFERROR(INDEX('CAT_ESTADOS_ERP'!$B$4:$B$22,MATCH(IFERROR(INDEX('2_IMPORTAR_EJECUCION'!$C$9:$C$1208,MATCH($AU280,'2_IMPORTAR_EJECUCION'!$J$9:$J$1208,0)),""),'CAT_ESTADOS_ERP'!$A$4:$A$22,0)),"Pendiente"))</f>
        <v/>
      </c>
      <c r="O280" s="24">
        <f>IF($J280="","",YEAR($J280+4-WEEKDAY($J280,2))&amp;"-S"&amp;TEXT(_xlfn.ISOWEEKNUM($J280),"00"))</f>
        <v/>
      </c>
      <c r="P280" s="24">
        <f>IF($J280="","",YEAR($J280))</f>
        <v/>
      </c>
      <c r="Q280" s="24">
        <f>IF($J280="","",MONTH($J280))</f>
        <v/>
      </c>
      <c r="R280" s="24">
        <f>IF($J280="","",$P280&amp;"-"&amp;TEXT($Q280,"00"))</f>
        <v/>
      </c>
      <c r="S280" s="24">
        <f>IF($J280="","",INDEX(lista_dias,WEEKDAY($J280,2)))</f>
        <v/>
      </c>
      <c r="T280" s="24">
        <f>IF($J280="","",IFERROR(INDEX('CALENDARIO'!$C$15:$C$214,MATCH(TEXT($J280,"yyyy-mm-dd")&amp;"|"&amp;$Y280&amp;"|"&amp;$Z280,'CALENDARIO'!$G$15:$G$214,0)),IFERROR(INDEX('CALENDARIO'!$C$15:$C$214,MATCH(TEXT($J280,"yyyy-mm-dd")&amp;"|"&amp;$Y280&amp;"|",'CALENDARIO'!$G$15:$G$214,0)),IFERROR(INDEX('CALENDARIO'!$C$15:$C$214,MATCH(TEXT($J280,"yyyy-mm-dd")&amp;"||",'CALENDARIO'!$G$15:$G$214,0)),INDEX(patronHabil,WEEKDAY($J280,2))))))</f>
        <v/>
      </c>
      <c r="U280" s="24">
        <f>IF($I280="","",IFERROR(INDEX('CAT_TIPOS_OT'!$C$4:$C$23,MATCH($I280,'CAT_TIPOS_OT'!$A$4:$A$23,0)),"sin_clasificar"))</f>
        <v/>
      </c>
      <c r="V280" s="24">
        <f>IF($I280="","",IF(IFERROR(INDEX('CAT_TIPOS_OT'!$D$4:$D$23,MATCH($I280,'CAT_TIPOS_OT'!$A$4:$A$23,0)),"SIN CLASIFICAR")="","SIN CLASIFICAR",IFERROR(INDEX('CAT_TIPOS_OT'!$D$4:$D$23,MATCH($I280,'CAT_TIPOS_OT'!$A$4:$A$23,0)),"SIN CLASIFICAR")))</f>
        <v/>
      </c>
      <c r="W280" s="24">
        <f>IF($H280="","",IF(IFERROR(INDEX('CAT_ACTIVIDADES'!$F$4:$F$26,MATCH($H280,'CAT_ACTIVIDADES'!$A$4:$A$26,0)),"")=0,"",IFERROR(INDEX('CAT_ACTIVIDADES'!$F$4:$F$26,MATCH($H280,'CAT_ACTIVIDADES'!$A$4:$A$26,0)),"")))</f>
        <v/>
      </c>
      <c r="X280" s="24">
        <f>IF($F280="","",IFERROR(INDEX('CAT_CENTROS_COSTO'!$F$4:$F$28,MATCH($F280,'CAT_CENTROS_COSTO'!$A$4:$A$28,0)),"(sin catálogo)"))</f>
        <v/>
      </c>
      <c r="Y280" s="24">
        <f>IF($F280="","",IFERROR(INDEX('CAT_CENTROS_COSTO'!$D$4:$D$28,MATCH($F280,'CAT_CENTROS_COSTO'!$A$4:$A$28,0)),"(sin catálogo)"))</f>
        <v/>
      </c>
      <c r="Z280" s="24">
        <f>IF($F280="","",IF((IFERROR(INDEX('CAT_CENTROS_COSTO'!$E$4:$E$28,MATCH($F280,'CAT_CENTROS_COSTO'!$A$4:$A$28,0)),""))&lt;&gt;"",IFERROR(INDEX('CAT_CENTROS_COSTO'!$E$4:$E$28,MATCH($F280,'CAT_CENTROS_COSTO'!$A$4:$A$28,0)),""),$Y280))</f>
        <v/>
      </c>
      <c r="AA280" s="24">
        <f>IF($F280="","",IFERROR(INDEX('CAT_CENTROS_COSTO'!$G$4:$G$28,MATCH($F280,'CAT_CENTROS_COSTO'!$A$4:$A$28,0)),"(sin catálogo)"))</f>
        <v/>
      </c>
      <c r="AB280" s="24">
        <f>IF($G280="","",IFERROR(INDEX('CAT_PUESTOS'!$B$4:$B$23,MATCH($G280,'CAT_PUESTOS'!$A$4:$A$23,0)),"(sin catálogo)"))</f>
        <v/>
      </c>
      <c r="AC280" s="24">
        <f>IF($H280="","",IFERROR(INDEX('CAT_ACTIVIDADES'!$B$4:$B$26,MATCH($H280,'CAT_ACTIVIDADES'!$A$4:$A$26,0)),"(sin catálogo)"))</f>
        <v/>
      </c>
      <c r="AD280" s="26">
        <f>IF($J280="","",TODAY()-$J280)</f>
        <v/>
      </c>
      <c r="AE280" s="26">
        <f>IF($J280="","",IF($J280&lt;=TODAY(),COUNTIFS(cal_fechas,"&gt;="&amp;$J280,cal_fechas,"&lt;"&amp;TODAY(),cal_habil,"sí"),-COUNTIFS(cal_fechas,"&gt;="&amp;TODAY(),cal_fechas,"&lt;"&amp;$J280,cal_habil,"sí")))</f>
        <v/>
      </c>
      <c r="AF280" s="24">
        <f>IF($AE280="","",IF($AE280&lt;0,"FUTURO",IF($AE280&gt;p_dias_backlog_max,"BACKLOG","MES CORRIENTE")))</f>
        <v/>
      </c>
      <c r="AG280" s="24">
        <f>IF($AE280="",FALSE,AND($AE280&gt;p_dias_backlog_min,$AE280&lt;=p_dias_backlog_max))</f>
        <v/>
      </c>
      <c r="AH280" s="4" t="n"/>
      <c r="AI280" s="24">
        <f>IF($AH280="","",IF((IFERROR(INDEX('ASIGNACIONES'!$J$4:$J$451,MATCH($O280&amp;"|"&amp;$S280&amp;"|"&amp;$AH280,'ASIGNACIONES'!$N$4:$N$451,0)),""))=0,"",IFERROR(INDEX('ASIGNACIONES'!$J$4:$J$451,MATCH($O280&amp;"|"&amp;$S280&amp;"|"&amp;$AH280,'ASIGNACIONES'!$N$4:$N$451,0)),"")))</f>
        <v/>
      </c>
      <c r="AJ280" s="42">
        <f>IF($AH280="","",SUMIFS('ORDENES'!$M$4:$M$1203,'ORDENES'!$AH$4:$AH$1203,$AH280,'ORDENES'!$O$4:$O$1203,$O280,'ORDENES'!$S$4:$S$1203,$S280))</f>
        <v/>
      </c>
      <c r="AK280" s="42">
        <f>IF($AJ280="","",p_factor_productividad*IFERROR(INDEX('ASIGNACIONES'!$M$4:$M$451,MATCH($O280&amp;"|"&amp;$S280&amp;"|"&amp;$AH280,'ASIGNACIONES'!$N$4:$N$451,0)),0)-$AJ280)</f>
        <v/>
      </c>
      <c r="AL280" s="32">
        <f>IF($A280="","",IFERROR(INDEX('2_IMPORTAR_EJECUCION'!$F$9:$F$1208,MATCH($AU280,'2_IMPORTAR_EJECUCION'!$J$9:$J$1208,0)),0))</f>
        <v/>
      </c>
      <c r="AM280" s="32">
        <f>IF($A280="","",MAX(0,IFERROR(INDEX('2_IMPORTAR_EJECUCION'!$H$9:$H$1208,MATCH($AU280,'2_IMPORTAR_EJECUCION'!$J$9:$J$1208,0)),0)-$AL280))</f>
        <v/>
      </c>
      <c r="AN280" s="32">
        <f>IF($A280="","",$AL280+$AM280)</f>
        <v/>
      </c>
      <c r="AO280" s="24">
        <f>IF($A280="","",IF(OR((IFERROR(INDEX('CAT_ACTIVIDADES'!$D$4:$D$26,MATCH($H280,'CAT_ACTIVIDADES'!$A$4:$A$26,0)),""))=0,(IFERROR(INDEX('CAT_ACTIVIDADES'!$D$4:$D$26,MATCH($H280,'CAT_ACTIVIDADES'!$A$4:$A$26,0)),""))=""),"SIN CLASIFICAR",IFERROR(INDEX('CAT_ACTIVIDADES'!$D$4:$D$26,MATCH($H280,'CAT_ACTIVIDADES'!$A$4:$A$26,0)),"")))</f>
        <v/>
      </c>
      <c r="AP280" s="4" t="n"/>
      <c r="AQ280" s="4" t="n"/>
      <c r="AR280" s="4" t="n"/>
      <c r="AS280" s="24">
        <f>IF($AR280="","",HYPERLINK(p_ruta_base_checklists&amp;$AR280,"abrir"))</f>
        <v/>
      </c>
      <c r="AT280" s="4" t="n"/>
      <c r="AU280" s="24">
        <f>IF($A280="","",$A280&amp;IF($B280="","0010",$B280))</f>
        <v/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41" t="n"/>
      <c r="K281" s="5" t="n"/>
      <c r="L281" s="18" t="n"/>
      <c r="M281" s="24">
        <f>IF($A281="","",IFERROR(INDEX('AJUSTES'!$B$4:$B$303,MATCH($AU281,'AJUSTES'!$A$4:$A$303,0)),IF($K281="","",$K281)))</f>
        <v/>
      </c>
      <c r="N281" s="24">
        <f>IF($A281="","",IFERROR(INDEX('CAT_ESTADOS_ERP'!$B$4:$B$22,MATCH(IFERROR(INDEX('2_IMPORTAR_EJECUCION'!$C$9:$C$1208,MATCH($AU281,'2_IMPORTAR_EJECUCION'!$J$9:$J$1208,0)),""),'CAT_ESTADOS_ERP'!$A$4:$A$22,0)),"Pendiente"))</f>
        <v/>
      </c>
      <c r="O281" s="24">
        <f>IF($J281="","",YEAR($J281+4-WEEKDAY($J281,2))&amp;"-S"&amp;TEXT(_xlfn.ISOWEEKNUM($J281),"00"))</f>
        <v/>
      </c>
      <c r="P281" s="24">
        <f>IF($J281="","",YEAR($J281))</f>
        <v/>
      </c>
      <c r="Q281" s="24">
        <f>IF($J281="","",MONTH($J281))</f>
        <v/>
      </c>
      <c r="R281" s="24">
        <f>IF($J281="","",$P281&amp;"-"&amp;TEXT($Q281,"00"))</f>
        <v/>
      </c>
      <c r="S281" s="24">
        <f>IF($J281="","",INDEX(lista_dias,WEEKDAY($J281,2)))</f>
        <v/>
      </c>
      <c r="T281" s="24">
        <f>IF($J281="","",IFERROR(INDEX('CALENDARIO'!$C$15:$C$214,MATCH(TEXT($J281,"yyyy-mm-dd")&amp;"|"&amp;$Y281&amp;"|"&amp;$Z281,'CALENDARIO'!$G$15:$G$214,0)),IFERROR(INDEX('CALENDARIO'!$C$15:$C$214,MATCH(TEXT($J281,"yyyy-mm-dd")&amp;"|"&amp;$Y281&amp;"|",'CALENDARIO'!$G$15:$G$214,0)),IFERROR(INDEX('CALENDARIO'!$C$15:$C$214,MATCH(TEXT($J281,"yyyy-mm-dd")&amp;"||",'CALENDARIO'!$G$15:$G$214,0)),INDEX(patronHabil,WEEKDAY($J281,2))))))</f>
        <v/>
      </c>
      <c r="U281" s="24">
        <f>IF($I281="","",IFERROR(INDEX('CAT_TIPOS_OT'!$C$4:$C$23,MATCH($I281,'CAT_TIPOS_OT'!$A$4:$A$23,0)),"sin_clasificar"))</f>
        <v/>
      </c>
      <c r="V281" s="24">
        <f>IF($I281="","",IF(IFERROR(INDEX('CAT_TIPOS_OT'!$D$4:$D$23,MATCH($I281,'CAT_TIPOS_OT'!$A$4:$A$23,0)),"SIN CLASIFICAR")="","SIN CLASIFICAR",IFERROR(INDEX('CAT_TIPOS_OT'!$D$4:$D$23,MATCH($I281,'CAT_TIPOS_OT'!$A$4:$A$23,0)),"SIN CLASIFICAR")))</f>
        <v/>
      </c>
      <c r="W281" s="24">
        <f>IF($H281="","",IF(IFERROR(INDEX('CAT_ACTIVIDADES'!$F$4:$F$26,MATCH($H281,'CAT_ACTIVIDADES'!$A$4:$A$26,0)),"")=0,"",IFERROR(INDEX('CAT_ACTIVIDADES'!$F$4:$F$26,MATCH($H281,'CAT_ACTIVIDADES'!$A$4:$A$26,0)),"")))</f>
        <v/>
      </c>
      <c r="X281" s="24">
        <f>IF($F281="","",IFERROR(INDEX('CAT_CENTROS_COSTO'!$F$4:$F$28,MATCH($F281,'CAT_CENTROS_COSTO'!$A$4:$A$28,0)),"(sin catálogo)"))</f>
        <v/>
      </c>
      <c r="Y281" s="24">
        <f>IF($F281="","",IFERROR(INDEX('CAT_CENTROS_COSTO'!$D$4:$D$28,MATCH($F281,'CAT_CENTROS_COSTO'!$A$4:$A$28,0)),"(sin catálogo)"))</f>
        <v/>
      </c>
      <c r="Z281" s="24">
        <f>IF($F281="","",IF((IFERROR(INDEX('CAT_CENTROS_COSTO'!$E$4:$E$28,MATCH($F281,'CAT_CENTROS_COSTO'!$A$4:$A$28,0)),""))&lt;&gt;"",IFERROR(INDEX('CAT_CENTROS_COSTO'!$E$4:$E$28,MATCH($F281,'CAT_CENTROS_COSTO'!$A$4:$A$28,0)),""),$Y281))</f>
        <v/>
      </c>
      <c r="AA281" s="24">
        <f>IF($F281="","",IFERROR(INDEX('CAT_CENTROS_COSTO'!$G$4:$G$28,MATCH($F281,'CAT_CENTROS_COSTO'!$A$4:$A$28,0)),"(sin catálogo)"))</f>
        <v/>
      </c>
      <c r="AB281" s="24">
        <f>IF($G281="","",IFERROR(INDEX('CAT_PUESTOS'!$B$4:$B$23,MATCH($G281,'CAT_PUESTOS'!$A$4:$A$23,0)),"(sin catálogo)"))</f>
        <v/>
      </c>
      <c r="AC281" s="24">
        <f>IF($H281="","",IFERROR(INDEX('CAT_ACTIVIDADES'!$B$4:$B$26,MATCH($H281,'CAT_ACTIVIDADES'!$A$4:$A$26,0)),"(sin catálogo)"))</f>
        <v/>
      </c>
      <c r="AD281" s="26">
        <f>IF($J281="","",TODAY()-$J281)</f>
        <v/>
      </c>
      <c r="AE281" s="26">
        <f>IF($J281="","",IF($J281&lt;=TODAY(),COUNTIFS(cal_fechas,"&gt;="&amp;$J281,cal_fechas,"&lt;"&amp;TODAY(),cal_habil,"sí"),-COUNTIFS(cal_fechas,"&gt;="&amp;TODAY(),cal_fechas,"&lt;"&amp;$J281,cal_habil,"sí")))</f>
        <v/>
      </c>
      <c r="AF281" s="24">
        <f>IF($AE281="","",IF($AE281&lt;0,"FUTURO",IF($AE281&gt;p_dias_backlog_max,"BACKLOG","MES CORRIENTE")))</f>
        <v/>
      </c>
      <c r="AG281" s="24">
        <f>IF($AE281="",FALSE,AND($AE281&gt;p_dias_backlog_min,$AE281&lt;=p_dias_backlog_max))</f>
        <v/>
      </c>
      <c r="AH281" s="4" t="n"/>
      <c r="AI281" s="24">
        <f>IF($AH281="","",IF((IFERROR(INDEX('ASIGNACIONES'!$J$4:$J$451,MATCH($O281&amp;"|"&amp;$S281&amp;"|"&amp;$AH281,'ASIGNACIONES'!$N$4:$N$451,0)),""))=0,"",IFERROR(INDEX('ASIGNACIONES'!$J$4:$J$451,MATCH($O281&amp;"|"&amp;$S281&amp;"|"&amp;$AH281,'ASIGNACIONES'!$N$4:$N$451,0)),"")))</f>
        <v/>
      </c>
      <c r="AJ281" s="42">
        <f>IF($AH281="","",SUMIFS('ORDENES'!$M$4:$M$1203,'ORDENES'!$AH$4:$AH$1203,$AH281,'ORDENES'!$O$4:$O$1203,$O281,'ORDENES'!$S$4:$S$1203,$S281))</f>
        <v/>
      </c>
      <c r="AK281" s="42">
        <f>IF($AJ281="","",p_factor_productividad*IFERROR(INDEX('ASIGNACIONES'!$M$4:$M$451,MATCH($O281&amp;"|"&amp;$S281&amp;"|"&amp;$AH281,'ASIGNACIONES'!$N$4:$N$451,0)),0)-$AJ281)</f>
        <v/>
      </c>
      <c r="AL281" s="32">
        <f>IF($A281="","",IFERROR(INDEX('2_IMPORTAR_EJECUCION'!$F$9:$F$1208,MATCH($AU281,'2_IMPORTAR_EJECUCION'!$J$9:$J$1208,0)),0))</f>
        <v/>
      </c>
      <c r="AM281" s="32">
        <f>IF($A281="","",MAX(0,IFERROR(INDEX('2_IMPORTAR_EJECUCION'!$H$9:$H$1208,MATCH($AU281,'2_IMPORTAR_EJECUCION'!$J$9:$J$1208,0)),0)-$AL281))</f>
        <v/>
      </c>
      <c r="AN281" s="32">
        <f>IF($A281="","",$AL281+$AM281)</f>
        <v/>
      </c>
      <c r="AO281" s="24">
        <f>IF($A281="","",IF(OR((IFERROR(INDEX('CAT_ACTIVIDADES'!$D$4:$D$26,MATCH($H281,'CAT_ACTIVIDADES'!$A$4:$A$26,0)),""))=0,(IFERROR(INDEX('CAT_ACTIVIDADES'!$D$4:$D$26,MATCH($H281,'CAT_ACTIVIDADES'!$A$4:$A$26,0)),""))=""),"SIN CLASIFICAR",IFERROR(INDEX('CAT_ACTIVIDADES'!$D$4:$D$26,MATCH($H281,'CAT_ACTIVIDADES'!$A$4:$A$26,0)),"")))</f>
        <v/>
      </c>
      <c r="AP281" s="4" t="n"/>
      <c r="AQ281" s="4" t="n"/>
      <c r="AR281" s="4" t="n"/>
      <c r="AS281" s="24">
        <f>IF($AR281="","",HYPERLINK(p_ruta_base_checklists&amp;$AR281,"abrir"))</f>
        <v/>
      </c>
      <c r="AT281" s="4" t="n"/>
      <c r="AU281" s="24">
        <f>IF($A281="","",$A281&amp;IF($B281="","0010",$B281))</f>
        <v/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41" t="n"/>
      <c r="K282" s="5" t="n"/>
      <c r="L282" s="18" t="n"/>
      <c r="M282" s="24">
        <f>IF($A282="","",IFERROR(INDEX('AJUSTES'!$B$4:$B$303,MATCH($AU282,'AJUSTES'!$A$4:$A$303,0)),IF($K282="","",$K282)))</f>
        <v/>
      </c>
      <c r="N282" s="24">
        <f>IF($A282="","",IFERROR(INDEX('CAT_ESTADOS_ERP'!$B$4:$B$22,MATCH(IFERROR(INDEX('2_IMPORTAR_EJECUCION'!$C$9:$C$1208,MATCH($AU282,'2_IMPORTAR_EJECUCION'!$J$9:$J$1208,0)),""),'CAT_ESTADOS_ERP'!$A$4:$A$22,0)),"Pendiente"))</f>
        <v/>
      </c>
      <c r="O282" s="24">
        <f>IF($J282="","",YEAR($J282+4-WEEKDAY($J282,2))&amp;"-S"&amp;TEXT(_xlfn.ISOWEEKNUM($J282),"00"))</f>
        <v/>
      </c>
      <c r="P282" s="24">
        <f>IF($J282="","",YEAR($J282))</f>
        <v/>
      </c>
      <c r="Q282" s="24">
        <f>IF($J282="","",MONTH($J282))</f>
        <v/>
      </c>
      <c r="R282" s="24">
        <f>IF($J282="","",$P282&amp;"-"&amp;TEXT($Q282,"00"))</f>
        <v/>
      </c>
      <c r="S282" s="24">
        <f>IF($J282="","",INDEX(lista_dias,WEEKDAY($J282,2)))</f>
        <v/>
      </c>
      <c r="T282" s="24">
        <f>IF($J282="","",IFERROR(INDEX('CALENDARIO'!$C$15:$C$214,MATCH(TEXT($J282,"yyyy-mm-dd")&amp;"|"&amp;$Y282&amp;"|"&amp;$Z282,'CALENDARIO'!$G$15:$G$214,0)),IFERROR(INDEX('CALENDARIO'!$C$15:$C$214,MATCH(TEXT($J282,"yyyy-mm-dd")&amp;"|"&amp;$Y282&amp;"|",'CALENDARIO'!$G$15:$G$214,0)),IFERROR(INDEX('CALENDARIO'!$C$15:$C$214,MATCH(TEXT($J282,"yyyy-mm-dd")&amp;"||",'CALENDARIO'!$G$15:$G$214,0)),INDEX(patronHabil,WEEKDAY($J282,2))))))</f>
        <v/>
      </c>
      <c r="U282" s="24">
        <f>IF($I282="","",IFERROR(INDEX('CAT_TIPOS_OT'!$C$4:$C$23,MATCH($I282,'CAT_TIPOS_OT'!$A$4:$A$23,0)),"sin_clasificar"))</f>
        <v/>
      </c>
      <c r="V282" s="24">
        <f>IF($I282="","",IF(IFERROR(INDEX('CAT_TIPOS_OT'!$D$4:$D$23,MATCH($I282,'CAT_TIPOS_OT'!$A$4:$A$23,0)),"SIN CLASIFICAR")="","SIN CLASIFICAR",IFERROR(INDEX('CAT_TIPOS_OT'!$D$4:$D$23,MATCH($I282,'CAT_TIPOS_OT'!$A$4:$A$23,0)),"SIN CLASIFICAR")))</f>
        <v/>
      </c>
      <c r="W282" s="24">
        <f>IF($H282="","",IF(IFERROR(INDEX('CAT_ACTIVIDADES'!$F$4:$F$26,MATCH($H282,'CAT_ACTIVIDADES'!$A$4:$A$26,0)),"")=0,"",IFERROR(INDEX('CAT_ACTIVIDADES'!$F$4:$F$26,MATCH($H282,'CAT_ACTIVIDADES'!$A$4:$A$26,0)),"")))</f>
        <v/>
      </c>
      <c r="X282" s="24">
        <f>IF($F282="","",IFERROR(INDEX('CAT_CENTROS_COSTO'!$F$4:$F$28,MATCH($F282,'CAT_CENTROS_COSTO'!$A$4:$A$28,0)),"(sin catálogo)"))</f>
        <v/>
      </c>
      <c r="Y282" s="24">
        <f>IF($F282="","",IFERROR(INDEX('CAT_CENTROS_COSTO'!$D$4:$D$28,MATCH($F282,'CAT_CENTROS_COSTO'!$A$4:$A$28,0)),"(sin catálogo)"))</f>
        <v/>
      </c>
      <c r="Z282" s="24">
        <f>IF($F282="","",IF((IFERROR(INDEX('CAT_CENTROS_COSTO'!$E$4:$E$28,MATCH($F282,'CAT_CENTROS_COSTO'!$A$4:$A$28,0)),""))&lt;&gt;"",IFERROR(INDEX('CAT_CENTROS_COSTO'!$E$4:$E$28,MATCH($F282,'CAT_CENTROS_COSTO'!$A$4:$A$28,0)),""),$Y282))</f>
        <v/>
      </c>
      <c r="AA282" s="24">
        <f>IF($F282="","",IFERROR(INDEX('CAT_CENTROS_COSTO'!$G$4:$G$28,MATCH($F282,'CAT_CENTROS_COSTO'!$A$4:$A$28,0)),"(sin catálogo)"))</f>
        <v/>
      </c>
      <c r="AB282" s="24">
        <f>IF($G282="","",IFERROR(INDEX('CAT_PUESTOS'!$B$4:$B$23,MATCH($G282,'CAT_PUESTOS'!$A$4:$A$23,0)),"(sin catálogo)"))</f>
        <v/>
      </c>
      <c r="AC282" s="24">
        <f>IF($H282="","",IFERROR(INDEX('CAT_ACTIVIDADES'!$B$4:$B$26,MATCH($H282,'CAT_ACTIVIDADES'!$A$4:$A$26,0)),"(sin catálogo)"))</f>
        <v/>
      </c>
      <c r="AD282" s="26">
        <f>IF($J282="","",TODAY()-$J282)</f>
        <v/>
      </c>
      <c r="AE282" s="26">
        <f>IF($J282="","",IF($J282&lt;=TODAY(),COUNTIFS(cal_fechas,"&gt;="&amp;$J282,cal_fechas,"&lt;"&amp;TODAY(),cal_habil,"sí"),-COUNTIFS(cal_fechas,"&gt;="&amp;TODAY(),cal_fechas,"&lt;"&amp;$J282,cal_habil,"sí")))</f>
        <v/>
      </c>
      <c r="AF282" s="24">
        <f>IF($AE282="","",IF($AE282&lt;0,"FUTURO",IF($AE282&gt;p_dias_backlog_max,"BACKLOG","MES CORRIENTE")))</f>
        <v/>
      </c>
      <c r="AG282" s="24">
        <f>IF($AE282="",FALSE,AND($AE282&gt;p_dias_backlog_min,$AE282&lt;=p_dias_backlog_max))</f>
        <v/>
      </c>
      <c r="AH282" s="4" t="n"/>
      <c r="AI282" s="24">
        <f>IF($AH282="","",IF((IFERROR(INDEX('ASIGNACIONES'!$J$4:$J$451,MATCH($O282&amp;"|"&amp;$S282&amp;"|"&amp;$AH282,'ASIGNACIONES'!$N$4:$N$451,0)),""))=0,"",IFERROR(INDEX('ASIGNACIONES'!$J$4:$J$451,MATCH($O282&amp;"|"&amp;$S282&amp;"|"&amp;$AH282,'ASIGNACIONES'!$N$4:$N$451,0)),"")))</f>
        <v/>
      </c>
      <c r="AJ282" s="42">
        <f>IF($AH282="","",SUMIFS('ORDENES'!$M$4:$M$1203,'ORDENES'!$AH$4:$AH$1203,$AH282,'ORDENES'!$O$4:$O$1203,$O282,'ORDENES'!$S$4:$S$1203,$S282))</f>
        <v/>
      </c>
      <c r="AK282" s="42">
        <f>IF($AJ282="","",p_factor_productividad*IFERROR(INDEX('ASIGNACIONES'!$M$4:$M$451,MATCH($O282&amp;"|"&amp;$S282&amp;"|"&amp;$AH282,'ASIGNACIONES'!$N$4:$N$451,0)),0)-$AJ282)</f>
        <v/>
      </c>
      <c r="AL282" s="32">
        <f>IF($A282="","",IFERROR(INDEX('2_IMPORTAR_EJECUCION'!$F$9:$F$1208,MATCH($AU282,'2_IMPORTAR_EJECUCION'!$J$9:$J$1208,0)),0))</f>
        <v/>
      </c>
      <c r="AM282" s="32">
        <f>IF($A282="","",MAX(0,IFERROR(INDEX('2_IMPORTAR_EJECUCION'!$H$9:$H$1208,MATCH($AU282,'2_IMPORTAR_EJECUCION'!$J$9:$J$1208,0)),0)-$AL282))</f>
        <v/>
      </c>
      <c r="AN282" s="32">
        <f>IF($A282="","",$AL282+$AM282)</f>
        <v/>
      </c>
      <c r="AO282" s="24">
        <f>IF($A282="","",IF(OR((IFERROR(INDEX('CAT_ACTIVIDADES'!$D$4:$D$26,MATCH($H282,'CAT_ACTIVIDADES'!$A$4:$A$26,0)),""))=0,(IFERROR(INDEX('CAT_ACTIVIDADES'!$D$4:$D$26,MATCH($H282,'CAT_ACTIVIDADES'!$A$4:$A$26,0)),""))=""),"SIN CLASIFICAR",IFERROR(INDEX('CAT_ACTIVIDADES'!$D$4:$D$26,MATCH($H282,'CAT_ACTIVIDADES'!$A$4:$A$26,0)),"")))</f>
        <v/>
      </c>
      <c r="AP282" s="4" t="n"/>
      <c r="AQ282" s="4" t="n"/>
      <c r="AR282" s="4" t="n"/>
      <c r="AS282" s="24">
        <f>IF($AR282="","",HYPERLINK(p_ruta_base_checklists&amp;$AR282,"abrir"))</f>
        <v/>
      </c>
      <c r="AT282" s="4" t="n"/>
      <c r="AU282" s="24">
        <f>IF($A282="","",$A282&amp;IF($B282="","0010",$B282))</f>
        <v/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41" t="n"/>
      <c r="K283" s="5" t="n"/>
      <c r="L283" s="18" t="n"/>
      <c r="M283" s="24">
        <f>IF($A283="","",IFERROR(INDEX('AJUSTES'!$B$4:$B$303,MATCH($AU283,'AJUSTES'!$A$4:$A$303,0)),IF($K283="","",$K283)))</f>
        <v/>
      </c>
      <c r="N283" s="24">
        <f>IF($A283="","",IFERROR(INDEX('CAT_ESTADOS_ERP'!$B$4:$B$22,MATCH(IFERROR(INDEX('2_IMPORTAR_EJECUCION'!$C$9:$C$1208,MATCH($AU283,'2_IMPORTAR_EJECUCION'!$J$9:$J$1208,0)),""),'CAT_ESTADOS_ERP'!$A$4:$A$22,0)),"Pendiente"))</f>
        <v/>
      </c>
      <c r="O283" s="24">
        <f>IF($J283="","",YEAR($J283+4-WEEKDAY($J283,2))&amp;"-S"&amp;TEXT(_xlfn.ISOWEEKNUM($J283),"00"))</f>
        <v/>
      </c>
      <c r="P283" s="24">
        <f>IF($J283="","",YEAR($J283))</f>
        <v/>
      </c>
      <c r="Q283" s="24">
        <f>IF($J283="","",MONTH($J283))</f>
        <v/>
      </c>
      <c r="R283" s="24">
        <f>IF($J283="","",$P283&amp;"-"&amp;TEXT($Q283,"00"))</f>
        <v/>
      </c>
      <c r="S283" s="24">
        <f>IF($J283="","",INDEX(lista_dias,WEEKDAY($J283,2)))</f>
        <v/>
      </c>
      <c r="T283" s="24">
        <f>IF($J283="","",IFERROR(INDEX('CALENDARIO'!$C$15:$C$214,MATCH(TEXT($J283,"yyyy-mm-dd")&amp;"|"&amp;$Y283&amp;"|"&amp;$Z283,'CALENDARIO'!$G$15:$G$214,0)),IFERROR(INDEX('CALENDARIO'!$C$15:$C$214,MATCH(TEXT($J283,"yyyy-mm-dd")&amp;"|"&amp;$Y283&amp;"|",'CALENDARIO'!$G$15:$G$214,0)),IFERROR(INDEX('CALENDARIO'!$C$15:$C$214,MATCH(TEXT($J283,"yyyy-mm-dd")&amp;"||",'CALENDARIO'!$G$15:$G$214,0)),INDEX(patronHabil,WEEKDAY($J283,2))))))</f>
        <v/>
      </c>
      <c r="U283" s="24">
        <f>IF($I283="","",IFERROR(INDEX('CAT_TIPOS_OT'!$C$4:$C$23,MATCH($I283,'CAT_TIPOS_OT'!$A$4:$A$23,0)),"sin_clasificar"))</f>
        <v/>
      </c>
      <c r="V283" s="24">
        <f>IF($I283="","",IF(IFERROR(INDEX('CAT_TIPOS_OT'!$D$4:$D$23,MATCH($I283,'CAT_TIPOS_OT'!$A$4:$A$23,0)),"SIN CLASIFICAR")="","SIN CLASIFICAR",IFERROR(INDEX('CAT_TIPOS_OT'!$D$4:$D$23,MATCH($I283,'CAT_TIPOS_OT'!$A$4:$A$23,0)),"SIN CLASIFICAR")))</f>
        <v/>
      </c>
      <c r="W283" s="24">
        <f>IF($H283="","",IF(IFERROR(INDEX('CAT_ACTIVIDADES'!$F$4:$F$26,MATCH($H283,'CAT_ACTIVIDADES'!$A$4:$A$26,0)),"")=0,"",IFERROR(INDEX('CAT_ACTIVIDADES'!$F$4:$F$26,MATCH($H283,'CAT_ACTIVIDADES'!$A$4:$A$26,0)),"")))</f>
        <v/>
      </c>
      <c r="X283" s="24">
        <f>IF($F283="","",IFERROR(INDEX('CAT_CENTROS_COSTO'!$F$4:$F$28,MATCH($F283,'CAT_CENTROS_COSTO'!$A$4:$A$28,0)),"(sin catálogo)"))</f>
        <v/>
      </c>
      <c r="Y283" s="24">
        <f>IF($F283="","",IFERROR(INDEX('CAT_CENTROS_COSTO'!$D$4:$D$28,MATCH($F283,'CAT_CENTROS_COSTO'!$A$4:$A$28,0)),"(sin catálogo)"))</f>
        <v/>
      </c>
      <c r="Z283" s="24">
        <f>IF($F283="","",IF((IFERROR(INDEX('CAT_CENTROS_COSTO'!$E$4:$E$28,MATCH($F283,'CAT_CENTROS_COSTO'!$A$4:$A$28,0)),""))&lt;&gt;"",IFERROR(INDEX('CAT_CENTROS_COSTO'!$E$4:$E$28,MATCH($F283,'CAT_CENTROS_COSTO'!$A$4:$A$28,0)),""),$Y283))</f>
        <v/>
      </c>
      <c r="AA283" s="24">
        <f>IF($F283="","",IFERROR(INDEX('CAT_CENTROS_COSTO'!$G$4:$G$28,MATCH($F283,'CAT_CENTROS_COSTO'!$A$4:$A$28,0)),"(sin catálogo)"))</f>
        <v/>
      </c>
      <c r="AB283" s="24">
        <f>IF($G283="","",IFERROR(INDEX('CAT_PUESTOS'!$B$4:$B$23,MATCH($G283,'CAT_PUESTOS'!$A$4:$A$23,0)),"(sin catálogo)"))</f>
        <v/>
      </c>
      <c r="AC283" s="24">
        <f>IF($H283="","",IFERROR(INDEX('CAT_ACTIVIDADES'!$B$4:$B$26,MATCH($H283,'CAT_ACTIVIDADES'!$A$4:$A$26,0)),"(sin catálogo)"))</f>
        <v/>
      </c>
      <c r="AD283" s="26">
        <f>IF($J283="","",TODAY()-$J283)</f>
        <v/>
      </c>
      <c r="AE283" s="26">
        <f>IF($J283="","",IF($J283&lt;=TODAY(),COUNTIFS(cal_fechas,"&gt;="&amp;$J283,cal_fechas,"&lt;"&amp;TODAY(),cal_habil,"sí"),-COUNTIFS(cal_fechas,"&gt;="&amp;TODAY(),cal_fechas,"&lt;"&amp;$J283,cal_habil,"sí")))</f>
        <v/>
      </c>
      <c r="AF283" s="24">
        <f>IF($AE283="","",IF($AE283&lt;0,"FUTURO",IF($AE283&gt;p_dias_backlog_max,"BACKLOG","MES CORRIENTE")))</f>
        <v/>
      </c>
      <c r="AG283" s="24">
        <f>IF($AE283="",FALSE,AND($AE283&gt;p_dias_backlog_min,$AE283&lt;=p_dias_backlog_max))</f>
        <v/>
      </c>
      <c r="AH283" s="4" t="n"/>
      <c r="AI283" s="24">
        <f>IF($AH283="","",IF((IFERROR(INDEX('ASIGNACIONES'!$J$4:$J$451,MATCH($O283&amp;"|"&amp;$S283&amp;"|"&amp;$AH283,'ASIGNACIONES'!$N$4:$N$451,0)),""))=0,"",IFERROR(INDEX('ASIGNACIONES'!$J$4:$J$451,MATCH($O283&amp;"|"&amp;$S283&amp;"|"&amp;$AH283,'ASIGNACIONES'!$N$4:$N$451,0)),"")))</f>
        <v/>
      </c>
      <c r="AJ283" s="42">
        <f>IF($AH283="","",SUMIFS('ORDENES'!$M$4:$M$1203,'ORDENES'!$AH$4:$AH$1203,$AH283,'ORDENES'!$O$4:$O$1203,$O283,'ORDENES'!$S$4:$S$1203,$S283))</f>
        <v/>
      </c>
      <c r="AK283" s="42">
        <f>IF($AJ283="","",p_factor_productividad*IFERROR(INDEX('ASIGNACIONES'!$M$4:$M$451,MATCH($O283&amp;"|"&amp;$S283&amp;"|"&amp;$AH283,'ASIGNACIONES'!$N$4:$N$451,0)),0)-$AJ283)</f>
        <v/>
      </c>
      <c r="AL283" s="32">
        <f>IF($A283="","",IFERROR(INDEX('2_IMPORTAR_EJECUCION'!$F$9:$F$1208,MATCH($AU283,'2_IMPORTAR_EJECUCION'!$J$9:$J$1208,0)),0))</f>
        <v/>
      </c>
      <c r="AM283" s="32">
        <f>IF($A283="","",MAX(0,IFERROR(INDEX('2_IMPORTAR_EJECUCION'!$H$9:$H$1208,MATCH($AU283,'2_IMPORTAR_EJECUCION'!$J$9:$J$1208,0)),0)-$AL283))</f>
        <v/>
      </c>
      <c r="AN283" s="32">
        <f>IF($A283="","",$AL283+$AM283)</f>
        <v/>
      </c>
      <c r="AO283" s="24">
        <f>IF($A283="","",IF(OR((IFERROR(INDEX('CAT_ACTIVIDADES'!$D$4:$D$26,MATCH($H283,'CAT_ACTIVIDADES'!$A$4:$A$26,0)),""))=0,(IFERROR(INDEX('CAT_ACTIVIDADES'!$D$4:$D$26,MATCH($H283,'CAT_ACTIVIDADES'!$A$4:$A$26,0)),""))=""),"SIN CLASIFICAR",IFERROR(INDEX('CAT_ACTIVIDADES'!$D$4:$D$26,MATCH($H283,'CAT_ACTIVIDADES'!$A$4:$A$26,0)),"")))</f>
        <v/>
      </c>
      <c r="AP283" s="4" t="n"/>
      <c r="AQ283" s="4" t="n"/>
      <c r="AR283" s="4" t="n"/>
      <c r="AS283" s="24">
        <f>IF($AR283="","",HYPERLINK(p_ruta_base_checklists&amp;$AR283,"abrir"))</f>
        <v/>
      </c>
      <c r="AT283" s="4" t="n"/>
      <c r="AU283" s="24">
        <f>IF($A283="","",$A283&amp;IF($B283="","0010",$B283))</f>
        <v/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41" t="n"/>
      <c r="K284" s="5" t="n"/>
      <c r="L284" s="18" t="n"/>
      <c r="M284" s="24">
        <f>IF($A284="","",IFERROR(INDEX('AJUSTES'!$B$4:$B$303,MATCH($AU284,'AJUSTES'!$A$4:$A$303,0)),IF($K284="","",$K284)))</f>
        <v/>
      </c>
      <c r="N284" s="24">
        <f>IF($A284="","",IFERROR(INDEX('CAT_ESTADOS_ERP'!$B$4:$B$22,MATCH(IFERROR(INDEX('2_IMPORTAR_EJECUCION'!$C$9:$C$1208,MATCH($AU284,'2_IMPORTAR_EJECUCION'!$J$9:$J$1208,0)),""),'CAT_ESTADOS_ERP'!$A$4:$A$22,0)),"Pendiente"))</f>
        <v/>
      </c>
      <c r="O284" s="24">
        <f>IF($J284="","",YEAR($J284+4-WEEKDAY($J284,2))&amp;"-S"&amp;TEXT(_xlfn.ISOWEEKNUM($J284),"00"))</f>
        <v/>
      </c>
      <c r="P284" s="24">
        <f>IF($J284="","",YEAR($J284))</f>
        <v/>
      </c>
      <c r="Q284" s="24">
        <f>IF($J284="","",MONTH($J284))</f>
        <v/>
      </c>
      <c r="R284" s="24">
        <f>IF($J284="","",$P284&amp;"-"&amp;TEXT($Q284,"00"))</f>
        <v/>
      </c>
      <c r="S284" s="24">
        <f>IF($J284="","",INDEX(lista_dias,WEEKDAY($J284,2)))</f>
        <v/>
      </c>
      <c r="T284" s="24">
        <f>IF($J284="","",IFERROR(INDEX('CALENDARIO'!$C$15:$C$214,MATCH(TEXT($J284,"yyyy-mm-dd")&amp;"|"&amp;$Y284&amp;"|"&amp;$Z284,'CALENDARIO'!$G$15:$G$214,0)),IFERROR(INDEX('CALENDARIO'!$C$15:$C$214,MATCH(TEXT($J284,"yyyy-mm-dd")&amp;"|"&amp;$Y284&amp;"|",'CALENDARIO'!$G$15:$G$214,0)),IFERROR(INDEX('CALENDARIO'!$C$15:$C$214,MATCH(TEXT($J284,"yyyy-mm-dd")&amp;"||",'CALENDARIO'!$G$15:$G$214,0)),INDEX(patronHabil,WEEKDAY($J284,2))))))</f>
        <v/>
      </c>
      <c r="U284" s="24">
        <f>IF($I284="","",IFERROR(INDEX('CAT_TIPOS_OT'!$C$4:$C$23,MATCH($I284,'CAT_TIPOS_OT'!$A$4:$A$23,0)),"sin_clasificar"))</f>
        <v/>
      </c>
      <c r="V284" s="24">
        <f>IF($I284="","",IF(IFERROR(INDEX('CAT_TIPOS_OT'!$D$4:$D$23,MATCH($I284,'CAT_TIPOS_OT'!$A$4:$A$23,0)),"SIN CLASIFICAR")="","SIN CLASIFICAR",IFERROR(INDEX('CAT_TIPOS_OT'!$D$4:$D$23,MATCH($I284,'CAT_TIPOS_OT'!$A$4:$A$23,0)),"SIN CLASIFICAR")))</f>
        <v/>
      </c>
      <c r="W284" s="24">
        <f>IF($H284="","",IF(IFERROR(INDEX('CAT_ACTIVIDADES'!$F$4:$F$26,MATCH($H284,'CAT_ACTIVIDADES'!$A$4:$A$26,0)),"")=0,"",IFERROR(INDEX('CAT_ACTIVIDADES'!$F$4:$F$26,MATCH($H284,'CAT_ACTIVIDADES'!$A$4:$A$26,0)),"")))</f>
        <v/>
      </c>
      <c r="X284" s="24">
        <f>IF($F284="","",IFERROR(INDEX('CAT_CENTROS_COSTO'!$F$4:$F$28,MATCH($F284,'CAT_CENTROS_COSTO'!$A$4:$A$28,0)),"(sin catálogo)"))</f>
        <v/>
      </c>
      <c r="Y284" s="24">
        <f>IF($F284="","",IFERROR(INDEX('CAT_CENTROS_COSTO'!$D$4:$D$28,MATCH($F284,'CAT_CENTROS_COSTO'!$A$4:$A$28,0)),"(sin catálogo)"))</f>
        <v/>
      </c>
      <c r="Z284" s="24">
        <f>IF($F284="","",IF((IFERROR(INDEX('CAT_CENTROS_COSTO'!$E$4:$E$28,MATCH($F284,'CAT_CENTROS_COSTO'!$A$4:$A$28,0)),""))&lt;&gt;"",IFERROR(INDEX('CAT_CENTROS_COSTO'!$E$4:$E$28,MATCH($F284,'CAT_CENTROS_COSTO'!$A$4:$A$28,0)),""),$Y284))</f>
        <v/>
      </c>
      <c r="AA284" s="24">
        <f>IF($F284="","",IFERROR(INDEX('CAT_CENTROS_COSTO'!$G$4:$G$28,MATCH($F284,'CAT_CENTROS_COSTO'!$A$4:$A$28,0)),"(sin catálogo)"))</f>
        <v/>
      </c>
      <c r="AB284" s="24">
        <f>IF($G284="","",IFERROR(INDEX('CAT_PUESTOS'!$B$4:$B$23,MATCH($G284,'CAT_PUESTOS'!$A$4:$A$23,0)),"(sin catálogo)"))</f>
        <v/>
      </c>
      <c r="AC284" s="24">
        <f>IF($H284="","",IFERROR(INDEX('CAT_ACTIVIDADES'!$B$4:$B$26,MATCH($H284,'CAT_ACTIVIDADES'!$A$4:$A$26,0)),"(sin catálogo)"))</f>
        <v/>
      </c>
      <c r="AD284" s="26">
        <f>IF($J284="","",TODAY()-$J284)</f>
        <v/>
      </c>
      <c r="AE284" s="26">
        <f>IF($J284="","",IF($J284&lt;=TODAY(),COUNTIFS(cal_fechas,"&gt;="&amp;$J284,cal_fechas,"&lt;"&amp;TODAY(),cal_habil,"sí"),-COUNTIFS(cal_fechas,"&gt;="&amp;TODAY(),cal_fechas,"&lt;"&amp;$J284,cal_habil,"sí")))</f>
        <v/>
      </c>
      <c r="AF284" s="24">
        <f>IF($AE284="","",IF($AE284&lt;0,"FUTURO",IF($AE284&gt;p_dias_backlog_max,"BACKLOG","MES CORRIENTE")))</f>
        <v/>
      </c>
      <c r="AG284" s="24">
        <f>IF($AE284="",FALSE,AND($AE284&gt;p_dias_backlog_min,$AE284&lt;=p_dias_backlog_max))</f>
        <v/>
      </c>
      <c r="AH284" s="4" t="n"/>
      <c r="AI284" s="24">
        <f>IF($AH284="","",IF((IFERROR(INDEX('ASIGNACIONES'!$J$4:$J$451,MATCH($O284&amp;"|"&amp;$S284&amp;"|"&amp;$AH284,'ASIGNACIONES'!$N$4:$N$451,0)),""))=0,"",IFERROR(INDEX('ASIGNACIONES'!$J$4:$J$451,MATCH($O284&amp;"|"&amp;$S284&amp;"|"&amp;$AH284,'ASIGNACIONES'!$N$4:$N$451,0)),"")))</f>
        <v/>
      </c>
      <c r="AJ284" s="42">
        <f>IF($AH284="","",SUMIFS('ORDENES'!$M$4:$M$1203,'ORDENES'!$AH$4:$AH$1203,$AH284,'ORDENES'!$O$4:$O$1203,$O284,'ORDENES'!$S$4:$S$1203,$S284))</f>
        <v/>
      </c>
      <c r="AK284" s="42">
        <f>IF($AJ284="","",p_factor_productividad*IFERROR(INDEX('ASIGNACIONES'!$M$4:$M$451,MATCH($O284&amp;"|"&amp;$S284&amp;"|"&amp;$AH284,'ASIGNACIONES'!$N$4:$N$451,0)),0)-$AJ284)</f>
        <v/>
      </c>
      <c r="AL284" s="32">
        <f>IF($A284="","",IFERROR(INDEX('2_IMPORTAR_EJECUCION'!$F$9:$F$1208,MATCH($AU284,'2_IMPORTAR_EJECUCION'!$J$9:$J$1208,0)),0))</f>
        <v/>
      </c>
      <c r="AM284" s="32">
        <f>IF($A284="","",MAX(0,IFERROR(INDEX('2_IMPORTAR_EJECUCION'!$H$9:$H$1208,MATCH($AU284,'2_IMPORTAR_EJECUCION'!$J$9:$J$1208,0)),0)-$AL284))</f>
        <v/>
      </c>
      <c r="AN284" s="32">
        <f>IF($A284="","",$AL284+$AM284)</f>
        <v/>
      </c>
      <c r="AO284" s="24">
        <f>IF($A284="","",IF(OR((IFERROR(INDEX('CAT_ACTIVIDADES'!$D$4:$D$26,MATCH($H284,'CAT_ACTIVIDADES'!$A$4:$A$26,0)),""))=0,(IFERROR(INDEX('CAT_ACTIVIDADES'!$D$4:$D$26,MATCH($H284,'CAT_ACTIVIDADES'!$A$4:$A$26,0)),""))=""),"SIN CLASIFICAR",IFERROR(INDEX('CAT_ACTIVIDADES'!$D$4:$D$26,MATCH($H284,'CAT_ACTIVIDADES'!$A$4:$A$26,0)),"")))</f>
        <v/>
      </c>
      <c r="AP284" s="4" t="n"/>
      <c r="AQ284" s="4" t="n"/>
      <c r="AR284" s="4" t="n"/>
      <c r="AS284" s="24">
        <f>IF($AR284="","",HYPERLINK(p_ruta_base_checklists&amp;$AR284,"abrir"))</f>
        <v/>
      </c>
      <c r="AT284" s="4" t="n"/>
      <c r="AU284" s="24">
        <f>IF($A284="","",$A284&amp;IF($B284="","0010",$B284))</f>
        <v/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41" t="n"/>
      <c r="K285" s="5" t="n"/>
      <c r="L285" s="18" t="n"/>
      <c r="M285" s="24">
        <f>IF($A285="","",IFERROR(INDEX('AJUSTES'!$B$4:$B$303,MATCH($AU285,'AJUSTES'!$A$4:$A$303,0)),IF($K285="","",$K285)))</f>
        <v/>
      </c>
      <c r="N285" s="24">
        <f>IF($A285="","",IFERROR(INDEX('CAT_ESTADOS_ERP'!$B$4:$B$22,MATCH(IFERROR(INDEX('2_IMPORTAR_EJECUCION'!$C$9:$C$1208,MATCH($AU285,'2_IMPORTAR_EJECUCION'!$J$9:$J$1208,0)),""),'CAT_ESTADOS_ERP'!$A$4:$A$22,0)),"Pendiente"))</f>
        <v/>
      </c>
      <c r="O285" s="24">
        <f>IF($J285="","",YEAR($J285+4-WEEKDAY($J285,2))&amp;"-S"&amp;TEXT(_xlfn.ISOWEEKNUM($J285),"00"))</f>
        <v/>
      </c>
      <c r="P285" s="24">
        <f>IF($J285="","",YEAR($J285))</f>
        <v/>
      </c>
      <c r="Q285" s="24">
        <f>IF($J285="","",MONTH($J285))</f>
        <v/>
      </c>
      <c r="R285" s="24">
        <f>IF($J285="","",$P285&amp;"-"&amp;TEXT($Q285,"00"))</f>
        <v/>
      </c>
      <c r="S285" s="24">
        <f>IF($J285="","",INDEX(lista_dias,WEEKDAY($J285,2)))</f>
        <v/>
      </c>
      <c r="T285" s="24">
        <f>IF($J285="","",IFERROR(INDEX('CALENDARIO'!$C$15:$C$214,MATCH(TEXT($J285,"yyyy-mm-dd")&amp;"|"&amp;$Y285&amp;"|"&amp;$Z285,'CALENDARIO'!$G$15:$G$214,0)),IFERROR(INDEX('CALENDARIO'!$C$15:$C$214,MATCH(TEXT($J285,"yyyy-mm-dd")&amp;"|"&amp;$Y285&amp;"|",'CALENDARIO'!$G$15:$G$214,0)),IFERROR(INDEX('CALENDARIO'!$C$15:$C$214,MATCH(TEXT($J285,"yyyy-mm-dd")&amp;"||",'CALENDARIO'!$G$15:$G$214,0)),INDEX(patronHabil,WEEKDAY($J285,2))))))</f>
        <v/>
      </c>
      <c r="U285" s="24">
        <f>IF($I285="","",IFERROR(INDEX('CAT_TIPOS_OT'!$C$4:$C$23,MATCH($I285,'CAT_TIPOS_OT'!$A$4:$A$23,0)),"sin_clasificar"))</f>
        <v/>
      </c>
      <c r="V285" s="24">
        <f>IF($I285="","",IF(IFERROR(INDEX('CAT_TIPOS_OT'!$D$4:$D$23,MATCH($I285,'CAT_TIPOS_OT'!$A$4:$A$23,0)),"SIN CLASIFICAR")="","SIN CLASIFICAR",IFERROR(INDEX('CAT_TIPOS_OT'!$D$4:$D$23,MATCH($I285,'CAT_TIPOS_OT'!$A$4:$A$23,0)),"SIN CLASIFICAR")))</f>
        <v/>
      </c>
      <c r="W285" s="24">
        <f>IF($H285="","",IF(IFERROR(INDEX('CAT_ACTIVIDADES'!$F$4:$F$26,MATCH($H285,'CAT_ACTIVIDADES'!$A$4:$A$26,0)),"")=0,"",IFERROR(INDEX('CAT_ACTIVIDADES'!$F$4:$F$26,MATCH($H285,'CAT_ACTIVIDADES'!$A$4:$A$26,0)),"")))</f>
        <v/>
      </c>
      <c r="X285" s="24">
        <f>IF($F285="","",IFERROR(INDEX('CAT_CENTROS_COSTO'!$F$4:$F$28,MATCH($F285,'CAT_CENTROS_COSTO'!$A$4:$A$28,0)),"(sin catálogo)"))</f>
        <v/>
      </c>
      <c r="Y285" s="24">
        <f>IF($F285="","",IFERROR(INDEX('CAT_CENTROS_COSTO'!$D$4:$D$28,MATCH($F285,'CAT_CENTROS_COSTO'!$A$4:$A$28,0)),"(sin catálogo)"))</f>
        <v/>
      </c>
      <c r="Z285" s="24">
        <f>IF($F285="","",IF((IFERROR(INDEX('CAT_CENTROS_COSTO'!$E$4:$E$28,MATCH($F285,'CAT_CENTROS_COSTO'!$A$4:$A$28,0)),""))&lt;&gt;"",IFERROR(INDEX('CAT_CENTROS_COSTO'!$E$4:$E$28,MATCH($F285,'CAT_CENTROS_COSTO'!$A$4:$A$28,0)),""),$Y285))</f>
        <v/>
      </c>
      <c r="AA285" s="24">
        <f>IF($F285="","",IFERROR(INDEX('CAT_CENTROS_COSTO'!$G$4:$G$28,MATCH($F285,'CAT_CENTROS_COSTO'!$A$4:$A$28,0)),"(sin catálogo)"))</f>
        <v/>
      </c>
      <c r="AB285" s="24">
        <f>IF($G285="","",IFERROR(INDEX('CAT_PUESTOS'!$B$4:$B$23,MATCH($G285,'CAT_PUESTOS'!$A$4:$A$23,0)),"(sin catálogo)"))</f>
        <v/>
      </c>
      <c r="AC285" s="24">
        <f>IF($H285="","",IFERROR(INDEX('CAT_ACTIVIDADES'!$B$4:$B$26,MATCH($H285,'CAT_ACTIVIDADES'!$A$4:$A$26,0)),"(sin catálogo)"))</f>
        <v/>
      </c>
      <c r="AD285" s="26">
        <f>IF($J285="","",TODAY()-$J285)</f>
        <v/>
      </c>
      <c r="AE285" s="26">
        <f>IF($J285="","",IF($J285&lt;=TODAY(),COUNTIFS(cal_fechas,"&gt;="&amp;$J285,cal_fechas,"&lt;"&amp;TODAY(),cal_habil,"sí"),-COUNTIFS(cal_fechas,"&gt;="&amp;TODAY(),cal_fechas,"&lt;"&amp;$J285,cal_habil,"sí")))</f>
        <v/>
      </c>
      <c r="AF285" s="24">
        <f>IF($AE285="","",IF($AE285&lt;0,"FUTURO",IF($AE285&gt;p_dias_backlog_max,"BACKLOG","MES CORRIENTE")))</f>
        <v/>
      </c>
      <c r="AG285" s="24">
        <f>IF($AE285="",FALSE,AND($AE285&gt;p_dias_backlog_min,$AE285&lt;=p_dias_backlog_max))</f>
        <v/>
      </c>
      <c r="AH285" s="4" t="n"/>
      <c r="AI285" s="24">
        <f>IF($AH285="","",IF((IFERROR(INDEX('ASIGNACIONES'!$J$4:$J$451,MATCH($O285&amp;"|"&amp;$S285&amp;"|"&amp;$AH285,'ASIGNACIONES'!$N$4:$N$451,0)),""))=0,"",IFERROR(INDEX('ASIGNACIONES'!$J$4:$J$451,MATCH($O285&amp;"|"&amp;$S285&amp;"|"&amp;$AH285,'ASIGNACIONES'!$N$4:$N$451,0)),"")))</f>
        <v/>
      </c>
      <c r="AJ285" s="42">
        <f>IF($AH285="","",SUMIFS('ORDENES'!$M$4:$M$1203,'ORDENES'!$AH$4:$AH$1203,$AH285,'ORDENES'!$O$4:$O$1203,$O285,'ORDENES'!$S$4:$S$1203,$S285))</f>
        <v/>
      </c>
      <c r="AK285" s="42">
        <f>IF($AJ285="","",p_factor_productividad*IFERROR(INDEX('ASIGNACIONES'!$M$4:$M$451,MATCH($O285&amp;"|"&amp;$S285&amp;"|"&amp;$AH285,'ASIGNACIONES'!$N$4:$N$451,0)),0)-$AJ285)</f>
        <v/>
      </c>
      <c r="AL285" s="32">
        <f>IF($A285="","",IFERROR(INDEX('2_IMPORTAR_EJECUCION'!$F$9:$F$1208,MATCH($AU285,'2_IMPORTAR_EJECUCION'!$J$9:$J$1208,0)),0))</f>
        <v/>
      </c>
      <c r="AM285" s="32">
        <f>IF($A285="","",MAX(0,IFERROR(INDEX('2_IMPORTAR_EJECUCION'!$H$9:$H$1208,MATCH($AU285,'2_IMPORTAR_EJECUCION'!$J$9:$J$1208,0)),0)-$AL285))</f>
        <v/>
      </c>
      <c r="AN285" s="32">
        <f>IF($A285="","",$AL285+$AM285)</f>
        <v/>
      </c>
      <c r="AO285" s="24">
        <f>IF($A285="","",IF(OR((IFERROR(INDEX('CAT_ACTIVIDADES'!$D$4:$D$26,MATCH($H285,'CAT_ACTIVIDADES'!$A$4:$A$26,0)),""))=0,(IFERROR(INDEX('CAT_ACTIVIDADES'!$D$4:$D$26,MATCH($H285,'CAT_ACTIVIDADES'!$A$4:$A$26,0)),""))=""),"SIN CLASIFICAR",IFERROR(INDEX('CAT_ACTIVIDADES'!$D$4:$D$26,MATCH($H285,'CAT_ACTIVIDADES'!$A$4:$A$26,0)),"")))</f>
        <v/>
      </c>
      <c r="AP285" s="4" t="n"/>
      <c r="AQ285" s="4" t="n"/>
      <c r="AR285" s="4" t="n"/>
      <c r="AS285" s="24">
        <f>IF($AR285="","",HYPERLINK(p_ruta_base_checklists&amp;$AR285,"abrir"))</f>
        <v/>
      </c>
      <c r="AT285" s="4" t="n"/>
      <c r="AU285" s="24">
        <f>IF($A285="","",$A285&amp;IF($B285="","0010",$B285))</f>
        <v/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41" t="n"/>
      <c r="K286" s="5" t="n"/>
      <c r="L286" s="18" t="n"/>
      <c r="M286" s="24">
        <f>IF($A286="","",IFERROR(INDEX('AJUSTES'!$B$4:$B$303,MATCH($AU286,'AJUSTES'!$A$4:$A$303,0)),IF($K286="","",$K286)))</f>
        <v/>
      </c>
      <c r="N286" s="24">
        <f>IF($A286="","",IFERROR(INDEX('CAT_ESTADOS_ERP'!$B$4:$B$22,MATCH(IFERROR(INDEX('2_IMPORTAR_EJECUCION'!$C$9:$C$1208,MATCH($AU286,'2_IMPORTAR_EJECUCION'!$J$9:$J$1208,0)),""),'CAT_ESTADOS_ERP'!$A$4:$A$22,0)),"Pendiente"))</f>
        <v/>
      </c>
      <c r="O286" s="24">
        <f>IF($J286="","",YEAR($J286+4-WEEKDAY($J286,2))&amp;"-S"&amp;TEXT(_xlfn.ISOWEEKNUM($J286),"00"))</f>
        <v/>
      </c>
      <c r="P286" s="24">
        <f>IF($J286="","",YEAR($J286))</f>
        <v/>
      </c>
      <c r="Q286" s="24">
        <f>IF($J286="","",MONTH($J286))</f>
        <v/>
      </c>
      <c r="R286" s="24">
        <f>IF($J286="","",$P286&amp;"-"&amp;TEXT($Q286,"00"))</f>
        <v/>
      </c>
      <c r="S286" s="24">
        <f>IF($J286="","",INDEX(lista_dias,WEEKDAY($J286,2)))</f>
        <v/>
      </c>
      <c r="T286" s="24">
        <f>IF($J286="","",IFERROR(INDEX('CALENDARIO'!$C$15:$C$214,MATCH(TEXT($J286,"yyyy-mm-dd")&amp;"|"&amp;$Y286&amp;"|"&amp;$Z286,'CALENDARIO'!$G$15:$G$214,0)),IFERROR(INDEX('CALENDARIO'!$C$15:$C$214,MATCH(TEXT($J286,"yyyy-mm-dd")&amp;"|"&amp;$Y286&amp;"|",'CALENDARIO'!$G$15:$G$214,0)),IFERROR(INDEX('CALENDARIO'!$C$15:$C$214,MATCH(TEXT($J286,"yyyy-mm-dd")&amp;"||",'CALENDARIO'!$G$15:$G$214,0)),INDEX(patronHabil,WEEKDAY($J286,2))))))</f>
        <v/>
      </c>
      <c r="U286" s="24">
        <f>IF($I286="","",IFERROR(INDEX('CAT_TIPOS_OT'!$C$4:$C$23,MATCH($I286,'CAT_TIPOS_OT'!$A$4:$A$23,0)),"sin_clasificar"))</f>
        <v/>
      </c>
      <c r="V286" s="24">
        <f>IF($I286="","",IF(IFERROR(INDEX('CAT_TIPOS_OT'!$D$4:$D$23,MATCH($I286,'CAT_TIPOS_OT'!$A$4:$A$23,0)),"SIN CLASIFICAR")="","SIN CLASIFICAR",IFERROR(INDEX('CAT_TIPOS_OT'!$D$4:$D$23,MATCH($I286,'CAT_TIPOS_OT'!$A$4:$A$23,0)),"SIN CLASIFICAR")))</f>
        <v/>
      </c>
      <c r="W286" s="24">
        <f>IF($H286="","",IF(IFERROR(INDEX('CAT_ACTIVIDADES'!$F$4:$F$26,MATCH($H286,'CAT_ACTIVIDADES'!$A$4:$A$26,0)),"")=0,"",IFERROR(INDEX('CAT_ACTIVIDADES'!$F$4:$F$26,MATCH($H286,'CAT_ACTIVIDADES'!$A$4:$A$26,0)),"")))</f>
        <v/>
      </c>
      <c r="X286" s="24">
        <f>IF($F286="","",IFERROR(INDEX('CAT_CENTROS_COSTO'!$F$4:$F$28,MATCH($F286,'CAT_CENTROS_COSTO'!$A$4:$A$28,0)),"(sin catálogo)"))</f>
        <v/>
      </c>
      <c r="Y286" s="24">
        <f>IF($F286="","",IFERROR(INDEX('CAT_CENTROS_COSTO'!$D$4:$D$28,MATCH($F286,'CAT_CENTROS_COSTO'!$A$4:$A$28,0)),"(sin catálogo)"))</f>
        <v/>
      </c>
      <c r="Z286" s="24">
        <f>IF($F286="","",IF((IFERROR(INDEX('CAT_CENTROS_COSTO'!$E$4:$E$28,MATCH($F286,'CAT_CENTROS_COSTO'!$A$4:$A$28,0)),""))&lt;&gt;"",IFERROR(INDEX('CAT_CENTROS_COSTO'!$E$4:$E$28,MATCH($F286,'CAT_CENTROS_COSTO'!$A$4:$A$28,0)),""),$Y286))</f>
        <v/>
      </c>
      <c r="AA286" s="24">
        <f>IF($F286="","",IFERROR(INDEX('CAT_CENTROS_COSTO'!$G$4:$G$28,MATCH($F286,'CAT_CENTROS_COSTO'!$A$4:$A$28,0)),"(sin catálogo)"))</f>
        <v/>
      </c>
      <c r="AB286" s="24">
        <f>IF($G286="","",IFERROR(INDEX('CAT_PUESTOS'!$B$4:$B$23,MATCH($G286,'CAT_PUESTOS'!$A$4:$A$23,0)),"(sin catálogo)"))</f>
        <v/>
      </c>
      <c r="AC286" s="24">
        <f>IF($H286="","",IFERROR(INDEX('CAT_ACTIVIDADES'!$B$4:$B$26,MATCH($H286,'CAT_ACTIVIDADES'!$A$4:$A$26,0)),"(sin catálogo)"))</f>
        <v/>
      </c>
      <c r="AD286" s="26">
        <f>IF($J286="","",TODAY()-$J286)</f>
        <v/>
      </c>
      <c r="AE286" s="26">
        <f>IF($J286="","",IF($J286&lt;=TODAY(),COUNTIFS(cal_fechas,"&gt;="&amp;$J286,cal_fechas,"&lt;"&amp;TODAY(),cal_habil,"sí"),-COUNTIFS(cal_fechas,"&gt;="&amp;TODAY(),cal_fechas,"&lt;"&amp;$J286,cal_habil,"sí")))</f>
        <v/>
      </c>
      <c r="AF286" s="24">
        <f>IF($AE286="","",IF($AE286&lt;0,"FUTURO",IF($AE286&gt;p_dias_backlog_max,"BACKLOG","MES CORRIENTE")))</f>
        <v/>
      </c>
      <c r="AG286" s="24">
        <f>IF($AE286="",FALSE,AND($AE286&gt;p_dias_backlog_min,$AE286&lt;=p_dias_backlog_max))</f>
        <v/>
      </c>
      <c r="AH286" s="4" t="n"/>
      <c r="AI286" s="24">
        <f>IF($AH286="","",IF((IFERROR(INDEX('ASIGNACIONES'!$J$4:$J$451,MATCH($O286&amp;"|"&amp;$S286&amp;"|"&amp;$AH286,'ASIGNACIONES'!$N$4:$N$451,0)),""))=0,"",IFERROR(INDEX('ASIGNACIONES'!$J$4:$J$451,MATCH($O286&amp;"|"&amp;$S286&amp;"|"&amp;$AH286,'ASIGNACIONES'!$N$4:$N$451,0)),"")))</f>
        <v/>
      </c>
      <c r="AJ286" s="42">
        <f>IF($AH286="","",SUMIFS('ORDENES'!$M$4:$M$1203,'ORDENES'!$AH$4:$AH$1203,$AH286,'ORDENES'!$O$4:$O$1203,$O286,'ORDENES'!$S$4:$S$1203,$S286))</f>
        <v/>
      </c>
      <c r="AK286" s="42">
        <f>IF($AJ286="","",p_factor_productividad*IFERROR(INDEX('ASIGNACIONES'!$M$4:$M$451,MATCH($O286&amp;"|"&amp;$S286&amp;"|"&amp;$AH286,'ASIGNACIONES'!$N$4:$N$451,0)),0)-$AJ286)</f>
        <v/>
      </c>
      <c r="AL286" s="32">
        <f>IF($A286="","",IFERROR(INDEX('2_IMPORTAR_EJECUCION'!$F$9:$F$1208,MATCH($AU286,'2_IMPORTAR_EJECUCION'!$J$9:$J$1208,0)),0))</f>
        <v/>
      </c>
      <c r="AM286" s="32">
        <f>IF($A286="","",MAX(0,IFERROR(INDEX('2_IMPORTAR_EJECUCION'!$H$9:$H$1208,MATCH($AU286,'2_IMPORTAR_EJECUCION'!$J$9:$J$1208,0)),0)-$AL286))</f>
        <v/>
      </c>
      <c r="AN286" s="32">
        <f>IF($A286="","",$AL286+$AM286)</f>
        <v/>
      </c>
      <c r="AO286" s="24">
        <f>IF($A286="","",IF(OR((IFERROR(INDEX('CAT_ACTIVIDADES'!$D$4:$D$26,MATCH($H286,'CAT_ACTIVIDADES'!$A$4:$A$26,0)),""))=0,(IFERROR(INDEX('CAT_ACTIVIDADES'!$D$4:$D$26,MATCH($H286,'CAT_ACTIVIDADES'!$A$4:$A$26,0)),""))=""),"SIN CLASIFICAR",IFERROR(INDEX('CAT_ACTIVIDADES'!$D$4:$D$26,MATCH($H286,'CAT_ACTIVIDADES'!$A$4:$A$26,0)),"")))</f>
        <v/>
      </c>
      <c r="AP286" s="4" t="n"/>
      <c r="AQ286" s="4" t="n"/>
      <c r="AR286" s="4" t="n"/>
      <c r="AS286" s="24">
        <f>IF($AR286="","",HYPERLINK(p_ruta_base_checklists&amp;$AR286,"abrir"))</f>
        <v/>
      </c>
      <c r="AT286" s="4" t="n"/>
      <c r="AU286" s="24">
        <f>IF($A286="","",$A286&amp;IF($B286="","0010",$B286))</f>
        <v/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41" t="n"/>
      <c r="K287" s="5" t="n"/>
      <c r="L287" s="18" t="n"/>
      <c r="M287" s="24">
        <f>IF($A287="","",IFERROR(INDEX('AJUSTES'!$B$4:$B$303,MATCH($AU287,'AJUSTES'!$A$4:$A$303,0)),IF($K287="","",$K287)))</f>
        <v/>
      </c>
      <c r="N287" s="24">
        <f>IF($A287="","",IFERROR(INDEX('CAT_ESTADOS_ERP'!$B$4:$B$22,MATCH(IFERROR(INDEX('2_IMPORTAR_EJECUCION'!$C$9:$C$1208,MATCH($AU287,'2_IMPORTAR_EJECUCION'!$J$9:$J$1208,0)),""),'CAT_ESTADOS_ERP'!$A$4:$A$22,0)),"Pendiente"))</f>
        <v/>
      </c>
      <c r="O287" s="24">
        <f>IF($J287="","",YEAR($J287+4-WEEKDAY($J287,2))&amp;"-S"&amp;TEXT(_xlfn.ISOWEEKNUM($J287),"00"))</f>
        <v/>
      </c>
      <c r="P287" s="24">
        <f>IF($J287="","",YEAR($J287))</f>
        <v/>
      </c>
      <c r="Q287" s="24">
        <f>IF($J287="","",MONTH($J287))</f>
        <v/>
      </c>
      <c r="R287" s="24">
        <f>IF($J287="","",$P287&amp;"-"&amp;TEXT($Q287,"00"))</f>
        <v/>
      </c>
      <c r="S287" s="24">
        <f>IF($J287="","",INDEX(lista_dias,WEEKDAY($J287,2)))</f>
        <v/>
      </c>
      <c r="T287" s="24">
        <f>IF($J287="","",IFERROR(INDEX('CALENDARIO'!$C$15:$C$214,MATCH(TEXT($J287,"yyyy-mm-dd")&amp;"|"&amp;$Y287&amp;"|"&amp;$Z287,'CALENDARIO'!$G$15:$G$214,0)),IFERROR(INDEX('CALENDARIO'!$C$15:$C$214,MATCH(TEXT($J287,"yyyy-mm-dd")&amp;"|"&amp;$Y287&amp;"|",'CALENDARIO'!$G$15:$G$214,0)),IFERROR(INDEX('CALENDARIO'!$C$15:$C$214,MATCH(TEXT($J287,"yyyy-mm-dd")&amp;"||",'CALENDARIO'!$G$15:$G$214,0)),INDEX(patronHabil,WEEKDAY($J287,2))))))</f>
        <v/>
      </c>
      <c r="U287" s="24">
        <f>IF($I287="","",IFERROR(INDEX('CAT_TIPOS_OT'!$C$4:$C$23,MATCH($I287,'CAT_TIPOS_OT'!$A$4:$A$23,0)),"sin_clasificar"))</f>
        <v/>
      </c>
      <c r="V287" s="24">
        <f>IF($I287="","",IF(IFERROR(INDEX('CAT_TIPOS_OT'!$D$4:$D$23,MATCH($I287,'CAT_TIPOS_OT'!$A$4:$A$23,0)),"SIN CLASIFICAR")="","SIN CLASIFICAR",IFERROR(INDEX('CAT_TIPOS_OT'!$D$4:$D$23,MATCH($I287,'CAT_TIPOS_OT'!$A$4:$A$23,0)),"SIN CLASIFICAR")))</f>
        <v/>
      </c>
      <c r="W287" s="24">
        <f>IF($H287="","",IF(IFERROR(INDEX('CAT_ACTIVIDADES'!$F$4:$F$26,MATCH($H287,'CAT_ACTIVIDADES'!$A$4:$A$26,0)),"")=0,"",IFERROR(INDEX('CAT_ACTIVIDADES'!$F$4:$F$26,MATCH($H287,'CAT_ACTIVIDADES'!$A$4:$A$26,0)),"")))</f>
        <v/>
      </c>
      <c r="X287" s="24">
        <f>IF($F287="","",IFERROR(INDEX('CAT_CENTROS_COSTO'!$F$4:$F$28,MATCH($F287,'CAT_CENTROS_COSTO'!$A$4:$A$28,0)),"(sin catálogo)"))</f>
        <v/>
      </c>
      <c r="Y287" s="24">
        <f>IF($F287="","",IFERROR(INDEX('CAT_CENTROS_COSTO'!$D$4:$D$28,MATCH($F287,'CAT_CENTROS_COSTO'!$A$4:$A$28,0)),"(sin catálogo)"))</f>
        <v/>
      </c>
      <c r="Z287" s="24">
        <f>IF($F287="","",IF((IFERROR(INDEX('CAT_CENTROS_COSTO'!$E$4:$E$28,MATCH($F287,'CAT_CENTROS_COSTO'!$A$4:$A$28,0)),""))&lt;&gt;"",IFERROR(INDEX('CAT_CENTROS_COSTO'!$E$4:$E$28,MATCH($F287,'CAT_CENTROS_COSTO'!$A$4:$A$28,0)),""),$Y287))</f>
        <v/>
      </c>
      <c r="AA287" s="24">
        <f>IF($F287="","",IFERROR(INDEX('CAT_CENTROS_COSTO'!$G$4:$G$28,MATCH($F287,'CAT_CENTROS_COSTO'!$A$4:$A$28,0)),"(sin catálogo)"))</f>
        <v/>
      </c>
      <c r="AB287" s="24">
        <f>IF($G287="","",IFERROR(INDEX('CAT_PUESTOS'!$B$4:$B$23,MATCH($G287,'CAT_PUESTOS'!$A$4:$A$23,0)),"(sin catálogo)"))</f>
        <v/>
      </c>
      <c r="AC287" s="24">
        <f>IF($H287="","",IFERROR(INDEX('CAT_ACTIVIDADES'!$B$4:$B$26,MATCH($H287,'CAT_ACTIVIDADES'!$A$4:$A$26,0)),"(sin catálogo)"))</f>
        <v/>
      </c>
      <c r="AD287" s="26">
        <f>IF($J287="","",TODAY()-$J287)</f>
        <v/>
      </c>
      <c r="AE287" s="26">
        <f>IF($J287="","",IF($J287&lt;=TODAY(),COUNTIFS(cal_fechas,"&gt;="&amp;$J287,cal_fechas,"&lt;"&amp;TODAY(),cal_habil,"sí"),-COUNTIFS(cal_fechas,"&gt;="&amp;TODAY(),cal_fechas,"&lt;"&amp;$J287,cal_habil,"sí")))</f>
        <v/>
      </c>
      <c r="AF287" s="24">
        <f>IF($AE287="","",IF($AE287&lt;0,"FUTURO",IF($AE287&gt;p_dias_backlog_max,"BACKLOG","MES CORRIENTE")))</f>
        <v/>
      </c>
      <c r="AG287" s="24">
        <f>IF($AE287="",FALSE,AND($AE287&gt;p_dias_backlog_min,$AE287&lt;=p_dias_backlog_max))</f>
        <v/>
      </c>
      <c r="AH287" s="4" t="n"/>
      <c r="AI287" s="24">
        <f>IF($AH287="","",IF((IFERROR(INDEX('ASIGNACIONES'!$J$4:$J$451,MATCH($O287&amp;"|"&amp;$S287&amp;"|"&amp;$AH287,'ASIGNACIONES'!$N$4:$N$451,0)),""))=0,"",IFERROR(INDEX('ASIGNACIONES'!$J$4:$J$451,MATCH($O287&amp;"|"&amp;$S287&amp;"|"&amp;$AH287,'ASIGNACIONES'!$N$4:$N$451,0)),"")))</f>
        <v/>
      </c>
      <c r="AJ287" s="42">
        <f>IF($AH287="","",SUMIFS('ORDENES'!$M$4:$M$1203,'ORDENES'!$AH$4:$AH$1203,$AH287,'ORDENES'!$O$4:$O$1203,$O287,'ORDENES'!$S$4:$S$1203,$S287))</f>
        <v/>
      </c>
      <c r="AK287" s="42">
        <f>IF($AJ287="","",p_factor_productividad*IFERROR(INDEX('ASIGNACIONES'!$M$4:$M$451,MATCH($O287&amp;"|"&amp;$S287&amp;"|"&amp;$AH287,'ASIGNACIONES'!$N$4:$N$451,0)),0)-$AJ287)</f>
        <v/>
      </c>
      <c r="AL287" s="32">
        <f>IF($A287="","",IFERROR(INDEX('2_IMPORTAR_EJECUCION'!$F$9:$F$1208,MATCH($AU287,'2_IMPORTAR_EJECUCION'!$J$9:$J$1208,0)),0))</f>
        <v/>
      </c>
      <c r="AM287" s="32">
        <f>IF($A287="","",MAX(0,IFERROR(INDEX('2_IMPORTAR_EJECUCION'!$H$9:$H$1208,MATCH($AU287,'2_IMPORTAR_EJECUCION'!$J$9:$J$1208,0)),0)-$AL287))</f>
        <v/>
      </c>
      <c r="AN287" s="32">
        <f>IF($A287="","",$AL287+$AM287)</f>
        <v/>
      </c>
      <c r="AO287" s="24">
        <f>IF($A287="","",IF(OR((IFERROR(INDEX('CAT_ACTIVIDADES'!$D$4:$D$26,MATCH($H287,'CAT_ACTIVIDADES'!$A$4:$A$26,0)),""))=0,(IFERROR(INDEX('CAT_ACTIVIDADES'!$D$4:$D$26,MATCH($H287,'CAT_ACTIVIDADES'!$A$4:$A$26,0)),""))=""),"SIN CLASIFICAR",IFERROR(INDEX('CAT_ACTIVIDADES'!$D$4:$D$26,MATCH($H287,'CAT_ACTIVIDADES'!$A$4:$A$26,0)),"")))</f>
        <v/>
      </c>
      <c r="AP287" s="4" t="n"/>
      <c r="AQ287" s="4" t="n"/>
      <c r="AR287" s="4" t="n"/>
      <c r="AS287" s="24">
        <f>IF($AR287="","",HYPERLINK(p_ruta_base_checklists&amp;$AR287,"abrir"))</f>
        <v/>
      </c>
      <c r="AT287" s="4" t="n"/>
      <c r="AU287" s="24">
        <f>IF($A287="","",$A287&amp;IF($B287="","0010",$B287))</f>
        <v/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41" t="n"/>
      <c r="K288" s="5" t="n"/>
      <c r="L288" s="18" t="n"/>
      <c r="M288" s="24">
        <f>IF($A288="","",IFERROR(INDEX('AJUSTES'!$B$4:$B$303,MATCH($AU288,'AJUSTES'!$A$4:$A$303,0)),IF($K288="","",$K288)))</f>
        <v/>
      </c>
      <c r="N288" s="24">
        <f>IF($A288="","",IFERROR(INDEX('CAT_ESTADOS_ERP'!$B$4:$B$22,MATCH(IFERROR(INDEX('2_IMPORTAR_EJECUCION'!$C$9:$C$1208,MATCH($AU288,'2_IMPORTAR_EJECUCION'!$J$9:$J$1208,0)),""),'CAT_ESTADOS_ERP'!$A$4:$A$22,0)),"Pendiente"))</f>
        <v/>
      </c>
      <c r="O288" s="24">
        <f>IF($J288="","",YEAR($J288+4-WEEKDAY($J288,2))&amp;"-S"&amp;TEXT(_xlfn.ISOWEEKNUM($J288),"00"))</f>
        <v/>
      </c>
      <c r="P288" s="24">
        <f>IF($J288="","",YEAR($J288))</f>
        <v/>
      </c>
      <c r="Q288" s="24">
        <f>IF($J288="","",MONTH($J288))</f>
        <v/>
      </c>
      <c r="R288" s="24">
        <f>IF($J288="","",$P288&amp;"-"&amp;TEXT($Q288,"00"))</f>
        <v/>
      </c>
      <c r="S288" s="24">
        <f>IF($J288="","",INDEX(lista_dias,WEEKDAY($J288,2)))</f>
        <v/>
      </c>
      <c r="T288" s="24">
        <f>IF($J288="","",IFERROR(INDEX('CALENDARIO'!$C$15:$C$214,MATCH(TEXT($J288,"yyyy-mm-dd")&amp;"|"&amp;$Y288&amp;"|"&amp;$Z288,'CALENDARIO'!$G$15:$G$214,0)),IFERROR(INDEX('CALENDARIO'!$C$15:$C$214,MATCH(TEXT($J288,"yyyy-mm-dd")&amp;"|"&amp;$Y288&amp;"|",'CALENDARIO'!$G$15:$G$214,0)),IFERROR(INDEX('CALENDARIO'!$C$15:$C$214,MATCH(TEXT($J288,"yyyy-mm-dd")&amp;"||",'CALENDARIO'!$G$15:$G$214,0)),INDEX(patronHabil,WEEKDAY($J288,2))))))</f>
        <v/>
      </c>
      <c r="U288" s="24">
        <f>IF($I288="","",IFERROR(INDEX('CAT_TIPOS_OT'!$C$4:$C$23,MATCH($I288,'CAT_TIPOS_OT'!$A$4:$A$23,0)),"sin_clasificar"))</f>
        <v/>
      </c>
      <c r="V288" s="24">
        <f>IF($I288="","",IF(IFERROR(INDEX('CAT_TIPOS_OT'!$D$4:$D$23,MATCH($I288,'CAT_TIPOS_OT'!$A$4:$A$23,0)),"SIN CLASIFICAR")="","SIN CLASIFICAR",IFERROR(INDEX('CAT_TIPOS_OT'!$D$4:$D$23,MATCH($I288,'CAT_TIPOS_OT'!$A$4:$A$23,0)),"SIN CLASIFICAR")))</f>
        <v/>
      </c>
      <c r="W288" s="24">
        <f>IF($H288="","",IF(IFERROR(INDEX('CAT_ACTIVIDADES'!$F$4:$F$26,MATCH($H288,'CAT_ACTIVIDADES'!$A$4:$A$26,0)),"")=0,"",IFERROR(INDEX('CAT_ACTIVIDADES'!$F$4:$F$26,MATCH($H288,'CAT_ACTIVIDADES'!$A$4:$A$26,0)),"")))</f>
        <v/>
      </c>
      <c r="X288" s="24">
        <f>IF($F288="","",IFERROR(INDEX('CAT_CENTROS_COSTO'!$F$4:$F$28,MATCH($F288,'CAT_CENTROS_COSTO'!$A$4:$A$28,0)),"(sin catálogo)"))</f>
        <v/>
      </c>
      <c r="Y288" s="24">
        <f>IF($F288="","",IFERROR(INDEX('CAT_CENTROS_COSTO'!$D$4:$D$28,MATCH($F288,'CAT_CENTROS_COSTO'!$A$4:$A$28,0)),"(sin catálogo)"))</f>
        <v/>
      </c>
      <c r="Z288" s="24">
        <f>IF($F288="","",IF((IFERROR(INDEX('CAT_CENTROS_COSTO'!$E$4:$E$28,MATCH($F288,'CAT_CENTROS_COSTO'!$A$4:$A$28,0)),""))&lt;&gt;"",IFERROR(INDEX('CAT_CENTROS_COSTO'!$E$4:$E$28,MATCH($F288,'CAT_CENTROS_COSTO'!$A$4:$A$28,0)),""),$Y288))</f>
        <v/>
      </c>
      <c r="AA288" s="24">
        <f>IF($F288="","",IFERROR(INDEX('CAT_CENTROS_COSTO'!$G$4:$G$28,MATCH($F288,'CAT_CENTROS_COSTO'!$A$4:$A$28,0)),"(sin catálogo)"))</f>
        <v/>
      </c>
      <c r="AB288" s="24">
        <f>IF($G288="","",IFERROR(INDEX('CAT_PUESTOS'!$B$4:$B$23,MATCH($G288,'CAT_PUESTOS'!$A$4:$A$23,0)),"(sin catálogo)"))</f>
        <v/>
      </c>
      <c r="AC288" s="24">
        <f>IF($H288="","",IFERROR(INDEX('CAT_ACTIVIDADES'!$B$4:$B$26,MATCH($H288,'CAT_ACTIVIDADES'!$A$4:$A$26,0)),"(sin catálogo)"))</f>
        <v/>
      </c>
      <c r="AD288" s="26">
        <f>IF($J288="","",TODAY()-$J288)</f>
        <v/>
      </c>
      <c r="AE288" s="26">
        <f>IF($J288="","",IF($J288&lt;=TODAY(),COUNTIFS(cal_fechas,"&gt;="&amp;$J288,cal_fechas,"&lt;"&amp;TODAY(),cal_habil,"sí"),-COUNTIFS(cal_fechas,"&gt;="&amp;TODAY(),cal_fechas,"&lt;"&amp;$J288,cal_habil,"sí")))</f>
        <v/>
      </c>
      <c r="AF288" s="24">
        <f>IF($AE288="","",IF($AE288&lt;0,"FUTURO",IF($AE288&gt;p_dias_backlog_max,"BACKLOG","MES CORRIENTE")))</f>
        <v/>
      </c>
      <c r="AG288" s="24">
        <f>IF($AE288="",FALSE,AND($AE288&gt;p_dias_backlog_min,$AE288&lt;=p_dias_backlog_max))</f>
        <v/>
      </c>
      <c r="AH288" s="4" t="n"/>
      <c r="AI288" s="24">
        <f>IF($AH288="","",IF((IFERROR(INDEX('ASIGNACIONES'!$J$4:$J$451,MATCH($O288&amp;"|"&amp;$S288&amp;"|"&amp;$AH288,'ASIGNACIONES'!$N$4:$N$451,0)),""))=0,"",IFERROR(INDEX('ASIGNACIONES'!$J$4:$J$451,MATCH($O288&amp;"|"&amp;$S288&amp;"|"&amp;$AH288,'ASIGNACIONES'!$N$4:$N$451,0)),"")))</f>
        <v/>
      </c>
      <c r="AJ288" s="42">
        <f>IF($AH288="","",SUMIFS('ORDENES'!$M$4:$M$1203,'ORDENES'!$AH$4:$AH$1203,$AH288,'ORDENES'!$O$4:$O$1203,$O288,'ORDENES'!$S$4:$S$1203,$S288))</f>
        <v/>
      </c>
      <c r="AK288" s="42">
        <f>IF($AJ288="","",p_factor_productividad*IFERROR(INDEX('ASIGNACIONES'!$M$4:$M$451,MATCH($O288&amp;"|"&amp;$S288&amp;"|"&amp;$AH288,'ASIGNACIONES'!$N$4:$N$451,0)),0)-$AJ288)</f>
        <v/>
      </c>
      <c r="AL288" s="32">
        <f>IF($A288="","",IFERROR(INDEX('2_IMPORTAR_EJECUCION'!$F$9:$F$1208,MATCH($AU288,'2_IMPORTAR_EJECUCION'!$J$9:$J$1208,0)),0))</f>
        <v/>
      </c>
      <c r="AM288" s="32">
        <f>IF($A288="","",MAX(0,IFERROR(INDEX('2_IMPORTAR_EJECUCION'!$H$9:$H$1208,MATCH($AU288,'2_IMPORTAR_EJECUCION'!$J$9:$J$1208,0)),0)-$AL288))</f>
        <v/>
      </c>
      <c r="AN288" s="32">
        <f>IF($A288="","",$AL288+$AM288)</f>
        <v/>
      </c>
      <c r="AO288" s="24">
        <f>IF($A288="","",IF(OR((IFERROR(INDEX('CAT_ACTIVIDADES'!$D$4:$D$26,MATCH($H288,'CAT_ACTIVIDADES'!$A$4:$A$26,0)),""))=0,(IFERROR(INDEX('CAT_ACTIVIDADES'!$D$4:$D$26,MATCH($H288,'CAT_ACTIVIDADES'!$A$4:$A$26,0)),""))=""),"SIN CLASIFICAR",IFERROR(INDEX('CAT_ACTIVIDADES'!$D$4:$D$26,MATCH($H288,'CAT_ACTIVIDADES'!$A$4:$A$26,0)),"")))</f>
        <v/>
      </c>
      <c r="AP288" s="4" t="n"/>
      <c r="AQ288" s="4" t="n"/>
      <c r="AR288" s="4" t="n"/>
      <c r="AS288" s="24">
        <f>IF($AR288="","",HYPERLINK(p_ruta_base_checklists&amp;$AR288,"abrir"))</f>
        <v/>
      </c>
      <c r="AT288" s="4" t="n"/>
      <c r="AU288" s="24">
        <f>IF($A288="","",$A288&amp;IF($B288="","0010",$B288))</f>
        <v/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41" t="n"/>
      <c r="K289" s="5" t="n"/>
      <c r="L289" s="18" t="n"/>
      <c r="M289" s="24">
        <f>IF($A289="","",IFERROR(INDEX('AJUSTES'!$B$4:$B$303,MATCH($AU289,'AJUSTES'!$A$4:$A$303,0)),IF($K289="","",$K289)))</f>
        <v/>
      </c>
      <c r="N289" s="24">
        <f>IF($A289="","",IFERROR(INDEX('CAT_ESTADOS_ERP'!$B$4:$B$22,MATCH(IFERROR(INDEX('2_IMPORTAR_EJECUCION'!$C$9:$C$1208,MATCH($AU289,'2_IMPORTAR_EJECUCION'!$J$9:$J$1208,0)),""),'CAT_ESTADOS_ERP'!$A$4:$A$22,0)),"Pendiente"))</f>
        <v/>
      </c>
      <c r="O289" s="24">
        <f>IF($J289="","",YEAR($J289+4-WEEKDAY($J289,2))&amp;"-S"&amp;TEXT(_xlfn.ISOWEEKNUM($J289),"00"))</f>
        <v/>
      </c>
      <c r="P289" s="24">
        <f>IF($J289="","",YEAR($J289))</f>
        <v/>
      </c>
      <c r="Q289" s="24">
        <f>IF($J289="","",MONTH($J289))</f>
        <v/>
      </c>
      <c r="R289" s="24">
        <f>IF($J289="","",$P289&amp;"-"&amp;TEXT($Q289,"00"))</f>
        <v/>
      </c>
      <c r="S289" s="24">
        <f>IF($J289="","",INDEX(lista_dias,WEEKDAY($J289,2)))</f>
        <v/>
      </c>
      <c r="T289" s="24">
        <f>IF($J289="","",IFERROR(INDEX('CALENDARIO'!$C$15:$C$214,MATCH(TEXT($J289,"yyyy-mm-dd")&amp;"|"&amp;$Y289&amp;"|"&amp;$Z289,'CALENDARIO'!$G$15:$G$214,0)),IFERROR(INDEX('CALENDARIO'!$C$15:$C$214,MATCH(TEXT($J289,"yyyy-mm-dd")&amp;"|"&amp;$Y289&amp;"|",'CALENDARIO'!$G$15:$G$214,0)),IFERROR(INDEX('CALENDARIO'!$C$15:$C$214,MATCH(TEXT($J289,"yyyy-mm-dd")&amp;"||",'CALENDARIO'!$G$15:$G$214,0)),INDEX(patronHabil,WEEKDAY($J289,2))))))</f>
        <v/>
      </c>
      <c r="U289" s="24">
        <f>IF($I289="","",IFERROR(INDEX('CAT_TIPOS_OT'!$C$4:$C$23,MATCH($I289,'CAT_TIPOS_OT'!$A$4:$A$23,0)),"sin_clasificar"))</f>
        <v/>
      </c>
      <c r="V289" s="24">
        <f>IF($I289="","",IF(IFERROR(INDEX('CAT_TIPOS_OT'!$D$4:$D$23,MATCH($I289,'CAT_TIPOS_OT'!$A$4:$A$23,0)),"SIN CLASIFICAR")="","SIN CLASIFICAR",IFERROR(INDEX('CAT_TIPOS_OT'!$D$4:$D$23,MATCH($I289,'CAT_TIPOS_OT'!$A$4:$A$23,0)),"SIN CLASIFICAR")))</f>
        <v/>
      </c>
      <c r="W289" s="24">
        <f>IF($H289="","",IF(IFERROR(INDEX('CAT_ACTIVIDADES'!$F$4:$F$26,MATCH($H289,'CAT_ACTIVIDADES'!$A$4:$A$26,0)),"")=0,"",IFERROR(INDEX('CAT_ACTIVIDADES'!$F$4:$F$26,MATCH($H289,'CAT_ACTIVIDADES'!$A$4:$A$26,0)),"")))</f>
        <v/>
      </c>
      <c r="X289" s="24">
        <f>IF($F289="","",IFERROR(INDEX('CAT_CENTROS_COSTO'!$F$4:$F$28,MATCH($F289,'CAT_CENTROS_COSTO'!$A$4:$A$28,0)),"(sin catálogo)"))</f>
        <v/>
      </c>
      <c r="Y289" s="24">
        <f>IF($F289="","",IFERROR(INDEX('CAT_CENTROS_COSTO'!$D$4:$D$28,MATCH($F289,'CAT_CENTROS_COSTO'!$A$4:$A$28,0)),"(sin catálogo)"))</f>
        <v/>
      </c>
      <c r="Z289" s="24">
        <f>IF($F289="","",IF((IFERROR(INDEX('CAT_CENTROS_COSTO'!$E$4:$E$28,MATCH($F289,'CAT_CENTROS_COSTO'!$A$4:$A$28,0)),""))&lt;&gt;"",IFERROR(INDEX('CAT_CENTROS_COSTO'!$E$4:$E$28,MATCH($F289,'CAT_CENTROS_COSTO'!$A$4:$A$28,0)),""),$Y289))</f>
        <v/>
      </c>
      <c r="AA289" s="24">
        <f>IF($F289="","",IFERROR(INDEX('CAT_CENTROS_COSTO'!$G$4:$G$28,MATCH($F289,'CAT_CENTROS_COSTO'!$A$4:$A$28,0)),"(sin catálogo)"))</f>
        <v/>
      </c>
      <c r="AB289" s="24">
        <f>IF($G289="","",IFERROR(INDEX('CAT_PUESTOS'!$B$4:$B$23,MATCH($G289,'CAT_PUESTOS'!$A$4:$A$23,0)),"(sin catálogo)"))</f>
        <v/>
      </c>
      <c r="AC289" s="24">
        <f>IF($H289="","",IFERROR(INDEX('CAT_ACTIVIDADES'!$B$4:$B$26,MATCH($H289,'CAT_ACTIVIDADES'!$A$4:$A$26,0)),"(sin catálogo)"))</f>
        <v/>
      </c>
      <c r="AD289" s="26">
        <f>IF($J289="","",TODAY()-$J289)</f>
        <v/>
      </c>
      <c r="AE289" s="26">
        <f>IF($J289="","",IF($J289&lt;=TODAY(),COUNTIFS(cal_fechas,"&gt;="&amp;$J289,cal_fechas,"&lt;"&amp;TODAY(),cal_habil,"sí"),-COUNTIFS(cal_fechas,"&gt;="&amp;TODAY(),cal_fechas,"&lt;"&amp;$J289,cal_habil,"sí")))</f>
        <v/>
      </c>
      <c r="AF289" s="24">
        <f>IF($AE289="","",IF($AE289&lt;0,"FUTURO",IF($AE289&gt;p_dias_backlog_max,"BACKLOG","MES CORRIENTE")))</f>
        <v/>
      </c>
      <c r="AG289" s="24">
        <f>IF($AE289="",FALSE,AND($AE289&gt;p_dias_backlog_min,$AE289&lt;=p_dias_backlog_max))</f>
        <v/>
      </c>
      <c r="AH289" s="4" t="n"/>
      <c r="AI289" s="24">
        <f>IF($AH289="","",IF((IFERROR(INDEX('ASIGNACIONES'!$J$4:$J$451,MATCH($O289&amp;"|"&amp;$S289&amp;"|"&amp;$AH289,'ASIGNACIONES'!$N$4:$N$451,0)),""))=0,"",IFERROR(INDEX('ASIGNACIONES'!$J$4:$J$451,MATCH($O289&amp;"|"&amp;$S289&amp;"|"&amp;$AH289,'ASIGNACIONES'!$N$4:$N$451,0)),"")))</f>
        <v/>
      </c>
      <c r="AJ289" s="42">
        <f>IF($AH289="","",SUMIFS('ORDENES'!$M$4:$M$1203,'ORDENES'!$AH$4:$AH$1203,$AH289,'ORDENES'!$O$4:$O$1203,$O289,'ORDENES'!$S$4:$S$1203,$S289))</f>
        <v/>
      </c>
      <c r="AK289" s="42">
        <f>IF($AJ289="","",p_factor_productividad*IFERROR(INDEX('ASIGNACIONES'!$M$4:$M$451,MATCH($O289&amp;"|"&amp;$S289&amp;"|"&amp;$AH289,'ASIGNACIONES'!$N$4:$N$451,0)),0)-$AJ289)</f>
        <v/>
      </c>
      <c r="AL289" s="32">
        <f>IF($A289="","",IFERROR(INDEX('2_IMPORTAR_EJECUCION'!$F$9:$F$1208,MATCH($AU289,'2_IMPORTAR_EJECUCION'!$J$9:$J$1208,0)),0))</f>
        <v/>
      </c>
      <c r="AM289" s="32">
        <f>IF($A289="","",MAX(0,IFERROR(INDEX('2_IMPORTAR_EJECUCION'!$H$9:$H$1208,MATCH($AU289,'2_IMPORTAR_EJECUCION'!$J$9:$J$1208,0)),0)-$AL289))</f>
        <v/>
      </c>
      <c r="AN289" s="32">
        <f>IF($A289="","",$AL289+$AM289)</f>
        <v/>
      </c>
      <c r="AO289" s="24">
        <f>IF($A289="","",IF(OR((IFERROR(INDEX('CAT_ACTIVIDADES'!$D$4:$D$26,MATCH($H289,'CAT_ACTIVIDADES'!$A$4:$A$26,0)),""))=0,(IFERROR(INDEX('CAT_ACTIVIDADES'!$D$4:$D$26,MATCH($H289,'CAT_ACTIVIDADES'!$A$4:$A$26,0)),""))=""),"SIN CLASIFICAR",IFERROR(INDEX('CAT_ACTIVIDADES'!$D$4:$D$26,MATCH($H289,'CAT_ACTIVIDADES'!$A$4:$A$26,0)),"")))</f>
        <v/>
      </c>
      <c r="AP289" s="4" t="n"/>
      <c r="AQ289" s="4" t="n"/>
      <c r="AR289" s="4" t="n"/>
      <c r="AS289" s="24">
        <f>IF($AR289="","",HYPERLINK(p_ruta_base_checklists&amp;$AR289,"abrir"))</f>
        <v/>
      </c>
      <c r="AT289" s="4" t="n"/>
      <c r="AU289" s="24">
        <f>IF($A289="","",$A289&amp;IF($B289="","0010",$B289))</f>
        <v/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41" t="n"/>
      <c r="K290" s="5" t="n"/>
      <c r="L290" s="18" t="n"/>
      <c r="M290" s="24">
        <f>IF($A290="","",IFERROR(INDEX('AJUSTES'!$B$4:$B$303,MATCH($AU290,'AJUSTES'!$A$4:$A$303,0)),IF($K290="","",$K290)))</f>
        <v/>
      </c>
      <c r="N290" s="24">
        <f>IF($A290="","",IFERROR(INDEX('CAT_ESTADOS_ERP'!$B$4:$B$22,MATCH(IFERROR(INDEX('2_IMPORTAR_EJECUCION'!$C$9:$C$1208,MATCH($AU290,'2_IMPORTAR_EJECUCION'!$J$9:$J$1208,0)),""),'CAT_ESTADOS_ERP'!$A$4:$A$22,0)),"Pendiente"))</f>
        <v/>
      </c>
      <c r="O290" s="24">
        <f>IF($J290="","",YEAR($J290+4-WEEKDAY($J290,2))&amp;"-S"&amp;TEXT(_xlfn.ISOWEEKNUM($J290),"00"))</f>
        <v/>
      </c>
      <c r="P290" s="24">
        <f>IF($J290="","",YEAR($J290))</f>
        <v/>
      </c>
      <c r="Q290" s="24">
        <f>IF($J290="","",MONTH($J290))</f>
        <v/>
      </c>
      <c r="R290" s="24">
        <f>IF($J290="","",$P290&amp;"-"&amp;TEXT($Q290,"00"))</f>
        <v/>
      </c>
      <c r="S290" s="24">
        <f>IF($J290="","",INDEX(lista_dias,WEEKDAY($J290,2)))</f>
        <v/>
      </c>
      <c r="T290" s="24">
        <f>IF($J290="","",IFERROR(INDEX('CALENDARIO'!$C$15:$C$214,MATCH(TEXT($J290,"yyyy-mm-dd")&amp;"|"&amp;$Y290&amp;"|"&amp;$Z290,'CALENDARIO'!$G$15:$G$214,0)),IFERROR(INDEX('CALENDARIO'!$C$15:$C$214,MATCH(TEXT($J290,"yyyy-mm-dd")&amp;"|"&amp;$Y290&amp;"|",'CALENDARIO'!$G$15:$G$214,0)),IFERROR(INDEX('CALENDARIO'!$C$15:$C$214,MATCH(TEXT($J290,"yyyy-mm-dd")&amp;"||",'CALENDARIO'!$G$15:$G$214,0)),INDEX(patronHabil,WEEKDAY($J290,2))))))</f>
        <v/>
      </c>
      <c r="U290" s="24">
        <f>IF($I290="","",IFERROR(INDEX('CAT_TIPOS_OT'!$C$4:$C$23,MATCH($I290,'CAT_TIPOS_OT'!$A$4:$A$23,0)),"sin_clasificar"))</f>
        <v/>
      </c>
      <c r="V290" s="24">
        <f>IF($I290="","",IF(IFERROR(INDEX('CAT_TIPOS_OT'!$D$4:$D$23,MATCH($I290,'CAT_TIPOS_OT'!$A$4:$A$23,0)),"SIN CLASIFICAR")="","SIN CLASIFICAR",IFERROR(INDEX('CAT_TIPOS_OT'!$D$4:$D$23,MATCH($I290,'CAT_TIPOS_OT'!$A$4:$A$23,0)),"SIN CLASIFICAR")))</f>
        <v/>
      </c>
      <c r="W290" s="24">
        <f>IF($H290="","",IF(IFERROR(INDEX('CAT_ACTIVIDADES'!$F$4:$F$26,MATCH($H290,'CAT_ACTIVIDADES'!$A$4:$A$26,0)),"")=0,"",IFERROR(INDEX('CAT_ACTIVIDADES'!$F$4:$F$26,MATCH($H290,'CAT_ACTIVIDADES'!$A$4:$A$26,0)),"")))</f>
        <v/>
      </c>
      <c r="X290" s="24">
        <f>IF($F290="","",IFERROR(INDEX('CAT_CENTROS_COSTO'!$F$4:$F$28,MATCH($F290,'CAT_CENTROS_COSTO'!$A$4:$A$28,0)),"(sin catálogo)"))</f>
        <v/>
      </c>
      <c r="Y290" s="24">
        <f>IF($F290="","",IFERROR(INDEX('CAT_CENTROS_COSTO'!$D$4:$D$28,MATCH($F290,'CAT_CENTROS_COSTO'!$A$4:$A$28,0)),"(sin catálogo)"))</f>
        <v/>
      </c>
      <c r="Z290" s="24">
        <f>IF($F290="","",IF((IFERROR(INDEX('CAT_CENTROS_COSTO'!$E$4:$E$28,MATCH($F290,'CAT_CENTROS_COSTO'!$A$4:$A$28,0)),""))&lt;&gt;"",IFERROR(INDEX('CAT_CENTROS_COSTO'!$E$4:$E$28,MATCH($F290,'CAT_CENTROS_COSTO'!$A$4:$A$28,0)),""),$Y290))</f>
        <v/>
      </c>
      <c r="AA290" s="24">
        <f>IF($F290="","",IFERROR(INDEX('CAT_CENTROS_COSTO'!$G$4:$G$28,MATCH($F290,'CAT_CENTROS_COSTO'!$A$4:$A$28,0)),"(sin catálogo)"))</f>
        <v/>
      </c>
      <c r="AB290" s="24">
        <f>IF($G290="","",IFERROR(INDEX('CAT_PUESTOS'!$B$4:$B$23,MATCH($G290,'CAT_PUESTOS'!$A$4:$A$23,0)),"(sin catálogo)"))</f>
        <v/>
      </c>
      <c r="AC290" s="24">
        <f>IF($H290="","",IFERROR(INDEX('CAT_ACTIVIDADES'!$B$4:$B$26,MATCH($H290,'CAT_ACTIVIDADES'!$A$4:$A$26,0)),"(sin catálogo)"))</f>
        <v/>
      </c>
      <c r="AD290" s="26">
        <f>IF($J290="","",TODAY()-$J290)</f>
        <v/>
      </c>
      <c r="AE290" s="26">
        <f>IF($J290="","",IF($J290&lt;=TODAY(),COUNTIFS(cal_fechas,"&gt;="&amp;$J290,cal_fechas,"&lt;"&amp;TODAY(),cal_habil,"sí"),-COUNTIFS(cal_fechas,"&gt;="&amp;TODAY(),cal_fechas,"&lt;"&amp;$J290,cal_habil,"sí")))</f>
        <v/>
      </c>
      <c r="AF290" s="24">
        <f>IF($AE290="","",IF($AE290&lt;0,"FUTURO",IF($AE290&gt;p_dias_backlog_max,"BACKLOG","MES CORRIENTE")))</f>
        <v/>
      </c>
      <c r="AG290" s="24">
        <f>IF($AE290="",FALSE,AND($AE290&gt;p_dias_backlog_min,$AE290&lt;=p_dias_backlog_max))</f>
        <v/>
      </c>
      <c r="AH290" s="4" t="n"/>
      <c r="AI290" s="24">
        <f>IF($AH290="","",IF((IFERROR(INDEX('ASIGNACIONES'!$J$4:$J$451,MATCH($O290&amp;"|"&amp;$S290&amp;"|"&amp;$AH290,'ASIGNACIONES'!$N$4:$N$451,0)),""))=0,"",IFERROR(INDEX('ASIGNACIONES'!$J$4:$J$451,MATCH($O290&amp;"|"&amp;$S290&amp;"|"&amp;$AH290,'ASIGNACIONES'!$N$4:$N$451,0)),"")))</f>
        <v/>
      </c>
      <c r="AJ290" s="42">
        <f>IF($AH290="","",SUMIFS('ORDENES'!$M$4:$M$1203,'ORDENES'!$AH$4:$AH$1203,$AH290,'ORDENES'!$O$4:$O$1203,$O290,'ORDENES'!$S$4:$S$1203,$S290))</f>
        <v/>
      </c>
      <c r="AK290" s="42">
        <f>IF($AJ290="","",p_factor_productividad*IFERROR(INDEX('ASIGNACIONES'!$M$4:$M$451,MATCH($O290&amp;"|"&amp;$S290&amp;"|"&amp;$AH290,'ASIGNACIONES'!$N$4:$N$451,0)),0)-$AJ290)</f>
        <v/>
      </c>
      <c r="AL290" s="32">
        <f>IF($A290="","",IFERROR(INDEX('2_IMPORTAR_EJECUCION'!$F$9:$F$1208,MATCH($AU290,'2_IMPORTAR_EJECUCION'!$J$9:$J$1208,0)),0))</f>
        <v/>
      </c>
      <c r="AM290" s="32">
        <f>IF($A290="","",MAX(0,IFERROR(INDEX('2_IMPORTAR_EJECUCION'!$H$9:$H$1208,MATCH($AU290,'2_IMPORTAR_EJECUCION'!$J$9:$J$1208,0)),0)-$AL290))</f>
        <v/>
      </c>
      <c r="AN290" s="32">
        <f>IF($A290="","",$AL290+$AM290)</f>
        <v/>
      </c>
      <c r="AO290" s="24">
        <f>IF($A290="","",IF(OR((IFERROR(INDEX('CAT_ACTIVIDADES'!$D$4:$D$26,MATCH($H290,'CAT_ACTIVIDADES'!$A$4:$A$26,0)),""))=0,(IFERROR(INDEX('CAT_ACTIVIDADES'!$D$4:$D$26,MATCH($H290,'CAT_ACTIVIDADES'!$A$4:$A$26,0)),""))=""),"SIN CLASIFICAR",IFERROR(INDEX('CAT_ACTIVIDADES'!$D$4:$D$26,MATCH($H290,'CAT_ACTIVIDADES'!$A$4:$A$26,0)),"")))</f>
        <v/>
      </c>
      <c r="AP290" s="4" t="n"/>
      <c r="AQ290" s="4" t="n"/>
      <c r="AR290" s="4" t="n"/>
      <c r="AS290" s="24">
        <f>IF($AR290="","",HYPERLINK(p_ruta_base_checklists&amp;$AR290,"abrir"))</f>
        <v/>
      </c>
      <c r="AT290" s="4" t="n"/>
      <c r="AU290" s="24">
        <f>IF($A290="","",$A290&amp;IF($B290="","0010",$B290))</f>
        <v/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41" t="n"/>
      <c r="K291" s="5" t="n"/>
      <c r="L291" s="18" t="n"/>
      <c r="M291" s="24">
        <f>IF($A291="","",IFERROR(INDEX('AJUSTES'!$B$4:$B$303,MATCH($AU291,'AJUSTES'!$A$4:$A$303,0)),IF($K291="","",$K291)))</f>
        <v/>
      </c>
      <c r="N291" s="24">
        <f>IF($A291="","",IFERROR(INDEX('CAT_ESTADOS_ERP'!$B$4:$B$22,MATCH(IFERROR(INDEX('2_IMPORTAR_EJECUCION'!$C$9:$C$1208,MATCH($AU291,'2_IMPORTAR_EJECUCION'!$J$9:$J$1208,0)),""),'CAT_ESTADOS_ERP'!$A$4:$A$22,0)),"Pendiente"))</f>
        <v/>
      </c>
      <c r="O291" s="24">
        <f>IF($J291="","",YEAR($J291+4-WEEKDAY($J291,2))&amp;"-S"&amp;TEXT(_xlfn.ISOWEEKNUM($J291),"00"))</f>
        <v/>
      </c>
      <c r="P291" s="24">
        <f>IF($J291="","",YEAR($J291))</f>
        <v/>
      </c>
      <c r="Q291" s="24">
        <f>IF($J291="","",MONTH($J291))</f>
        <v/>
      </c>
      <c r="R291" s="24">
        <f>IF($J291="","",$P291&amp;"-"&amp;TEXT($Q291,"00"))</f>
        <v/>
      </c>
      <c r="S291" s="24">
        <f>IF($J291="","",INDEX(lista_dias,WEEKDAY($J291,2)))</f>
        <v/>
      </c>
      <c r="T291" s="24">
        <f>IF($J291="","",IFERROR(INDEX('CALENDARIO'!$C$15:$C$214,MATCH(TEXT($J291,"yyyy-mm-dd")&amp;"|"&amp;$Y291&amp;"|"&amp;$Z291,'CALENDARIO'!$G$15:$G$214,0)),IFERROR(INDEX('CALENDARIO'!$C$15:$C$214,MATCH(TEXT($J291,"yyyy-mm-dd")&amp;"|"&amp;$Y291&amp;"|",'CALENDARIO'!$G$15:$G$214,0)),IFERROR(INDEX('CALENDARIO'!$C$15:$C$214,MATCH(TEXT($J291,"yyyy-mm-dd")&amp;"||",'CALENDARIO'!$G$15:$G$214,0)),INDEX(patronHabil,WEEKDAY($J291,2))))))</f>
        <v/>
      </c>
      <c r="U291" s="24">
        <f>IF($I291="","",IFERROR(INDEX('CAT_TIPOS_OT'!$C$4:$C$23,MATCH($I291,'CAT_TIPOS_OT'!$A$4:$A$23,0)),"sin_clasificar"))</f>
        <v/>
      </c>
      <c r="V291" s="24">
        <f>IF($I291="","",IF(IFERROR(INDEX('CAT_TIPOS_OT'!$D$4:$D$23,MATCH($I291,'CAT_TIPOS_OT'!$A$4:$A$23,0)),"SIN CLASIFICAR")="","SIN CLASIFICAR",IFERROR(INDEX('CAT_TIPOS_OT'!$D$4:$D$23,MATCH($I291,'CAT_TIPOS_OT'!$A$4:$A$23,0)),"SIN CLASIFICAR")))</f>
        <v/>
      </c>
      <c r="W291" s="24">
        <f>IF($H291="","",IF(IFERROR(INDEX('CAT_ACTIVIDADES'!$F$4:$F$26,MATCH($H291,'CAT_ACTIVIDADES'!$A$4:$A$26,0)),"")=0,"",IFERROR(INDEX('CAT_ACTIVIDADES'!$F$4:$F$26,MATCH($H291,'CAT_ACTIVIDADES'!$A$4:$A$26,0)),"")))</f>
        <v/>
      </c>
      <c r="X291" s="24">
        <f>IF($F291="","",IFERROR(INDEX('CAT_CENTROS_COSTO'!$F$4:$F$28,MATCH($F291,'CAT_CENTROS_COSTO'!$A$4:$A$28,0)),"(sin catálogo)"))</f>
        <v/>
      </c>
      <c r="Y291" s="24">
        <f>IF($F291="","",IFERROR(INDEX('CAT_CENTROS_COSTO'!$D$4:$D$28,MATCH($F291,'CAT_CENTROS_COSTO'!$A$4:$A$28,0)),"(sin catálogo)"))</f>
        <v/>
      </c>
      <c r="Z291" s="24">
        <f>IF($F291="","",IF((IFERROR(INDEX('CAT_CENTROS_COSTO'!$E$4:$E$28,MATCH($F291,'CAT_CENTROS_COSTO'!$A$4:$A$28,0)),""))&lt;&gt;"",IFERROR(INDEX('CAT_CENTROS_COSTO'!$E$4:$E$28,MATCH($F291,'CAT_CENTROS_COSTO'!$A$4:$A$28,0)),""),$Y291))</f>
        <v/>
      </c>
      <c r="AA291" s="24">
        <f>IF($F291="","",IFERROR(INDEX('CAT_CENTROS_COSTO'!$G$4:$G$28,MATCH($F291,'CAT_CENTROS_COSTO'!$A$4:$A$28,0)),"(sin catálogo)"))</f>
        <v/>
      </c>
      <c r="AB291" s="24">
        <f>IF($G291="","",IFERROR(INDEX('CAT_PUESTOS'!$B$4:$B$23,MATCH($G291,'CAT_PUESTOS'!$A$4:$A$23,0)),"(sin catálogo)"))</f>
        <v/>
      </c>
      <c r="AC291" s="24">
        <f>IF($H291="","",IFERROR(INDEX('CAT_ACTIVIDADES'!$B$4:$B$26,MATCH($H291,'CAT_ACTIVIDADES'!$A$4:$A$26,0)),"(sin catálogo)"))</f>
        <v/>
      </c>
      <c r="AD291" s="26">
        <f>IF($J291="","",TODAY()-$J291)</f>
        <v/>
      </c>
      <c r="AE291" s="26">
        <f>IF($J291="","",IF($J291&lt;=TODAY(),COUNTIFS(cal_fechas,"&gt;="&amp;$J291,cal_fechas,"&lt;"&amp;TODAY(),cal_habil,"sí"),-COUNTIFS(cal_fechas,"&gt;="&amp;TODAY(),cal_fechas,"&lt;"&amp;$J291,cal_habil,"sí")))</f>
        <v/>
      </c>
      <c r="AF291" s="24">
        <f>IF($AE291="","",IF($AE291&lt;0,"FUTURO",IF($AE291&gt;p_dias_backlog_max,"BACKLOG","MES CORRIENTE")))</f>
        <v/>
      </c>
      <c r="AG291" s="24">
        <f>IF($AE291="",FALSE,AND($AE291&gt;p_dias_backlog_min,$AE291&lt;=p_dias_backlog_max))</f>
        <v/>
      </c>
      <c r="AH291" s="4" t="n"/>
      <c r="AI291" s="24">
        <f>IF($AH291="","",IF((IFERROR(INDEX('ASIGNACIONES'!$J$4:$J$451,MATCH($O291&amp;"|"&amp;$S291&amp;"|"&amp;$AH291,'ASIGNACIONES'!$N$4:$N$451,0)),""))=0,"",IFERROR(INDEX('ASIGNACIONES'!$J$4:$J$451,MATCH($O291&amp;"|"&amp;$S291&amp;"|"&amp;$AH291,'ASIGNACIONES'!$N$4:$N$451,0)),"")))</f>
        <v/>
      </c>
      <c r="AJ291" s="42">
        <f>IF($AH291="","",SUMIFS('ORDENES'!$M$4:$M$1203,'ORDENES'!$AH$4:$AH$1203,$AH291,'ORDENES'!$O$4:$O$1203,$O291,'ORDENES'!$S$4:$S$1203,$S291))</f>
        <v/>
      </c>
      <c r="AK291" s="42">
        <f>IF($AJ291="","",p_factor_productividad*IFERROR(INDEX('ASIGNACIONES'!$M$4:$M$451,MATCH($O291&amp;"|"&amp;$S291&amp;"|"&amp;$AH291,'ASIGNACIONES'!$N$4:$N$451,0)),0)-$AJ291)</f>
        <v/>
      </c>
      <c r="AL291" s="32">
        <f>IF($A291="","",IFERROR(INDEX('2_IMPORTAR_EJECUCION'!$F$9:$F$1208,MATCH($AU291,'2_IMPORTAR_EJECUCION'!$J$9:$J$1208,0)),0))</f>
        <v/>
      </c>
      <c r="AM291" s="32">
        <f>IF($A291="","",MAX(0,IFERROR(INDEX('2_IMPORTAR_EJECUCION'!$H$9:$H$1208,MATCH($AU291,'2_IMPORTAR_EJECUCION'!$J$9:$J$1208,0)),0)-$AL291))</f>
        <v/>
      </c>
      <c r="AN291" s="32">
        <f>IF($A291="","",$AL291+$AM291)</f>
        <v/>
      </c>
      <c r="AO291" s="24">
        <f>IF($A291="","",IF(OR((IFERROR(INDEX('CAT_ACTIVIDADES'!$D$4:$D$26,MATCH($H291,'CAT_ACTIVIDADES'!$A$4:$A$26,0)),""))=0,(IFERROR(INDEX('CAT_ACTIVIDADES'!$D$4:$D$26,MATCH($H291,'CAT_ACTIVIDADES'!$A$4:$A$26,0)),""))=""),"SIN CLASIFICAR",IFERROR(INDEX('CAT_ACTIVIDADES'!$D$4:$D$26,MATCH($H291,'CAT_ACTIVIDADES'!$A$4:$A$26,0)),"")))</f>
        <v/>
      </c>
      <c r="AP291" s="4" t="n"/>
      <c r="AQ291" s="4" t="n"/>
      <c r="AR291" s="4" t="n"/>
      <c r="AS291" s="24">
        <f>IF($AR291="","",HYPERLINK(p_ruta_base_checklists&amp;$AR291,"abrir"))</f>
        <v/>
      </c>
      <c r="AT291" s="4" t="n"/>
      <c r="AU291" s="24">
        <f>IF($A291="","",$A291&amp;IF($B291="","0010",$B291))</f>
        <v/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41" t="n"/>
      <c r="K292" s="5" t="n"/>
      <c r="L292" s="18" t="n"/>
      <c r="M292" s="24">
        <f>IF($A292="","",IFERROR(INDEX('AJUSTES'!$B$4:$B$303,MATCH($AU292,'AJUSTES'!$A$4:$A$303,0)),IF($K292="","",$K292)))</f>
        <v/>
      </c>
      <c r="N292" s="24">
        <f>IF($A292="","",IFERROR(INDEX('CAT_ESTADOS_ERP'!$B$4:$B$22,MATCH(IFERROR(INDEX('2_IMPORTAR_EJECUCION'!$C$9:$C$1208,MATCH($AU292,'2_IMPORTAR_EJECUCION'!$J$9:$J$1208,0)),""),'CAT_ESTADOS_ERP'!$A$4:$A$22,0)),"Pendiente"))</f>
        <v/>
      </c>
      <c r="O292" s="24">
        <f>IF($J292="","",YEAR($J292+4-WEEKDAY($J292,2))&amp;"-S"&amp;TEXT(_xlfn.ISOWEEKNUM($J292),"00"))</f>
        <v/>
      </c>
      <c r="P292" s="24">
        <f>IF($J292="","",YEAR($J292))</f>
        <v/>
      </c>
      <c r="Q292" s="24">
        <f>IF($J292="","",MONTH($J292))</f>
        <v/>
      </c>
      <c r="R292" s="24">
        <f>IF($J292="","",$P292&amp;"-"&amp;TEXT($Q292,"00"))</f>
        <v/>
      </c>
      <c r="S292" s="24">
        <f>IF($J292="","",INDEX(lista_dias,WEEKDAY($J292,2)))</f>
        <v/>
      </c>
      <c r="T292" s="24">
        <f>IF($J292="","",IFERROR(INDEX('CALENDARIO'!$C$15:$C$214,MATCH(TEXT($J292,"yyyy-mm-dd")&amp;"|"&amp;$Y292&amp;"|"&amp;$Z292,'CALENDARIO'!$G$15:$G$214,0)),IFERROR(INDEX('CALENDARIO'!$C$15:$C$214,MATCH(TEXT($J292,"yyyy-mm-dd")&amp;"|"&amp;$Y292&amp;"|",'CALENDARIO'!$G$15:$G$214,0)),IFERROR(INDEX('CALENDARIO'!$C$15:$C$214,MATCH(TEXT($J292,"yyyy-mm-dd")&amp;"||",'CALENDARIO'!$G$15:$G$214,0)),INDEX(patronHabil,WEEKDAY($J292,2))))))</f>
        <v/>
      </c>
      <c r="U292" s="24">
        <f>IF($I292="","",IFERROR(INDEX('CAT_TIPOS_OT'!$C$4:$C$23,MATCH($I292,'CAT_TIPOS_OT'!$A$4:$A$23,0)),"sin_clasificar"))</f>
        <v/>
      </c>
      <c r="V292" s="24">
        <f>IF($I292="","",IF(IFERROR(INDEX('CAT_TIPOS_OT'!$D$4:$D$23,MATCH($I292,'CAT_TIPOS_OT'!$A$4:$A$23,0)),"SIN CLASIFICAR")="","SIN CLASIFICAR",IFERROR(INDEX('CAT_TIPOS_OT'!$D$4:$D$23,MATCH($I292,'CAT_TIPOS_OT'!$A$4:$A$23,0)),"SIN CLASIFICAR")))</f>
        <v/>
      </c>
      <c r="W292" s="24">
        <f>IF($H292="","",IF(IFERROR(INDEX('CAT_ACTIVIDADES'!$F$4:$F$26,MATCH($H292,'CAT_ACTIVIDADES'!$A$4:$A$26,0)),"")=0,"",IFERROR(INDEX('CAT_ACTIVIDADES'!$F$4:$F$26,MATCH($H292,'CAT_ACTIVIDADES'!$A$4:$A$26,0)),"")))</f>
        <v/>
      </c>
      <c r="X292" s="24">
        <f>IF($F292="","",IFERROR(INDEX('CAT_CENTROS_COSTO'!$F$4:$F$28,MATCH($F292,'CAT_CENTROS_COSTO'!$A$4:$A$28,0)),"(sin catálogo)"))</f>
        <v/>
      </c>
      <c r="Y292" s="24">
        <f>IF($F292="","",IFERROR(INDEX('CAT_CENTROS_COSTO'!$D$4:$D$28,MATCH($F292,'CAT_CENTROS_COSTO'!$A$4:$A$28,0)),"(sin catálogo)"))</f>
        <v/>
      </c>
      <c r="Z292" s="24">
        <f>IF($F292="","",IF((IFERROR(INDEX('CAT_CENTROS_COSTO'!$E$4:$E$28,MATCH($F292,'CAT_CENTROS_COSTO'!$A$4:$A$28,0)),""))&lt;&gt;"",IFERROR(INDEX('CAT_CENTROS_COSTO'!$E$4:$E$28,MATCH($F292,'CAT_CENTROS_COSTO'!$A$4:$A$28,0)),""),$Y292))</f>
        <v/>
      </c>
      <c r="AA292" s="24">
        <f>IF($F292="","",IFERROR(INDEX('CAT_CENTROS_COSTO'!$G$4:$G$28,MATCH($F292,'CAT_CENTROS_COSTO'!$A$4:$A$28,0)),"(sin catálogo)"))</f>
        <v/>
      </c>
      <c r="AB292" s="24">
        <f>IF($G292="","",IFERROR(INDEX('CAT_PUESTOS'!$B$4:$B$23,MATCH($G292,'CAT_PUESTOS'!$A$4:$A$23,0)),"(sin catálogo)"))</f>
        <v/>
      </c>
      <c r="AC292" s="24">
        <f>IF($H292="","",IFERROR(INDEX('CAT_ACTIVIDADES'!$B$4:$B$26,MATCH($H292,'CAT_ACTIVIDADES'!$A$4:$A$26,0)),"(sin catálogo)"))</f>
        <v/>
      </c>
      <c r="AD292" s="26">
        <f>IF($J292="","",TODAY()-$J292)</f>
        <v/>
      </c>
      <c r="AE292" s="26">
        <f>IF($J292="","",IF($J292&lt;=TODAY(),COUNTIFS(cal_fechas,"&gt;="&amp;$J292,cal_fechas,"&lt;"&amp;TODAY(),cal_habil,"sí"),-COUNTIFS(cal_fechas,"&gt;="&amp;TODAY(),cal_fechas,"&lt;"&amp;$J292,cal_habil,"sí")))</f>
        <v/>
      </c>
      <c r="AF292" s="24">
        <f>IF($AE292="","",IF($AE292&lt;0,"FUTURO",IF($AE292&gt;p_dias_backlog_max,"BACKLOG","MES CORRIENTE")))</f>
        <v/>
      </c>
      <c r="AG292" s="24">
        <f>IF($AE292="",FALSE,AND($AE292&gt;p_dias_backlog_min,$AE292&lt;=p_dias_backlog_max))</f>
        <v/>
      </c>
      <c r="AH292" s="4" t="n"/>
      <c r="AI292" s="24">
        <f>IF($AH292="","",IF((IFERROR(INDEX('ASIGNACIONES'!$J$4:$J$451,MATCH($O292&amp;"|"&amp;$S292&amp;"|"&amp;$AH292,'ASIGNACIONES'!$N$4:$N$451,0)),""))=0,"",IFERROR(INDEX('ASIGNACIONES'!$J$4:$J$451,MATCH($O292&amp;"|"&amp;$S292&amp;"|"&amp;$AH292,'ASIGNACIONES'!$N$4:$N$451,0)),"")))</f>
        <v/>
      </c>
      <c r="AJ292" s="42">
        <f>IF($AH292="","",SUMIFS('ORDENES'!$M$4:$M$1203,'ORDENES'!$AH$4:$AH$1203,$AH292,'ORDENES'!$O$4:$O$1203,$O292,'ORDENES'!$S$4:$S$1203,$S292))</f>
        <v/>
      </c>
      <c r="AK292" s="42">
        <f>IF($AJ292="","",p_factor_productividad*IFERROR(INDEX('ASIGNACIONES'!$M$4:$M$451,MATCH($O292&amp;"|"&amp;$S292&amp;"|"&amp;$AH292,'ASIGNACIONES'!$N$4:$N$451,0)),0)-$AJ292)</f>
        <v/>
      </c>
      <c r="AL292" s="32">
        <f>IF($A292="","",IFERROR(INDEX('2_IMPORTAR_EJECUCION'!$F$9:$F$1208,MATCH($AU292,'2_IMPORTAR_EJECUCION'!$J$9:$J$1208,0)),0))</f>
        <v/>
      </c>
      <c r="AM292" s="32">
        <f>IF($A292="","",MAX(0,IFERROR(INDEX('2_IMPORTAR_EJECUCION'!$H$9:$H$1208,MATCH($AU292,'2_IMPORTAR_EJECUCION'!$J$9:$J$1208,0)),0)-$AL292))</f>
        <v/>
      </c>
      <c r="AN292" s="32">
        <f>IF($A292="","",$AL292+$AM292)</f>
        <v/>
      </c>
      <c r="AO292" s="24">
        <f>IF($A292="","",IF(OR((IFERROR(INDEX('CAT_ACTIVIDADES'!$D$4:$D$26,MATCH($H292,'CAT_ACTIVIDADES'!$A$4:$A$26,0)),""))=0,(IFERROR(INDEX('CAT_ACTIVIDADES'!$D$4:$D$26,MATCH($H292,'CAT_ACTIVIDADES'!$A$4:$A$26,0)),""))=""),"SIN CLASIFICAR",IFERROR(INDEX('CAT_ACTIVIDADES'!$D$4:$D$26,MATCH($H292,'CAT_ACTIVIDADES'!$A$4:$A$26,0)),"")))</f>
        <v/>
      </c>
      <c r="AP292" s="4" t="n"/>
      <c r="AQ292" s="4" t="n"/>
      <c r="AR292" s="4" t="n"/>
      <c r="AS292" s="24">
        <f>IF($AR292="","",HYPERLINK(p_ruta_base_checklists&amp;$AR292,"abrir"))</f>
        <v/>
      </c>
      <c r="AT292" s="4" t="n"/>
      <c r="AU292" s="24">
        <f>IF($A292="","",$A292&amp;IF($B292="","0010",$B292))</f>
        <v/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41" t="n"/>
      <c r="K293" s="5" t="n"/>
      <c r="L293" s="18" t="n"/>
      <c r="M293" s="24">
        <f>IF($A293="","",IFERROR(INDEX('AJUSTES'!$B$4:$B$303,MATCH($AU293,'AJUSTES'!$A$4:$A$303,0)),IF($K293="","",$K293)))</f>
        <v/>
      </c>
      <c r="N293" s="24">
        <f>IF($A293="","",IFERROR(INDEX('CAT_ESTADOS_ERP'!$B$4:$B$22,MATCH(IFERROR(INDEX('2_IMPORTAR_EJECUCION'!$C$9:$C$1208,MATCH($AU293,'2_IMPORTAR_EJECUCION'!$J$9:$J$1208,0)),""),'CAT_ESTADOS_ERP'!$A$4:$A$22,0)),"Pendiente"))</f>
        <v/>
      </c>
      <c r="O293" s="24">
        <f>IF($J293="","",YEAR($J293+4-WEEKDAY($J293,2))&amp;"-S"&amp;TEXT(_xlfn.ISOWEEKNUM($J293),"00"))</f>
        <v/>
      </c>
      <c r="P293" s="24">
        <f>IF($J293="","",YEAR($J293))</f>
        <v/>
      </c>
      <c r="Q293" s="24">
        <f>IF($J293="","",MONTH($J293))</f>
        <v/>
      </c>
      <c r="R293" s="24">
        <f>IF($J293="","",$P293&amp;"-"&amp;TEXT($Q293,"00"))</f>
        <v/>
      </c>
      <c r="S293" s="24">
        <f>IF($J293="","",INDEX(lista_dias,WEEKDAY($J293,2)))</f>
        <v/>
      </c>
      <c r="T293" s="24">
        <f>IF($J293="","",IFERROR(INDEX('CALENDARIO'!$C$15:$C$214,MATCH(TEXT($J293,"yyyy-mm-dd")&amp;"|"&amp;$Y293&amp;"|"&amp;$Z293,'CALENDARIO'!$G$15:$G$214,0)),IFERROR(INDEX('CALENDARIO'!$C$15:$C$214,MATCH(TEXT($J293,"yyyy-mm-dd")&amp;"|"&amp;$Y293&amp;"|",'CALENDARIO'!$G$15:$G$214,0)),IFERROR(INDEX('CALENDARIO'!$C$15:$C$214,MATCH(TEXT($J293,"yyyy-mm-dd")&amp;"||",'CALENDARIO'!$G$15:$G$214,0)),INDEX(patronHabil,WEEKDAY($J293,2))))))</f>
        <v/>
      </c>
      <c r="U293" s="24">
        <f>IF($I293="","",IFERROR(INDEX('CAT_TIPOS_OT'!$C$4:$C$23,MATCH($I293,'CAT_TIPOS_OT'!$A$4:$A$23,0)),"sin_clasificar"))</f>
        <v/>
      </c>
      <c r="V293" s="24">
        <f>IF($I293="","",IF(IFERROR(INDEX('CAT_TIPOS_OT'!$D$4:$D$23,MATCH($I293,'CAT_TIPOS_OT'!$A$4:$A$23,0)),"SIN CLASIFICAR")="","SIN CLASIFICAR",IFERROR(INDEX('CAT_TIPOS_OT'!$D$4:$D$23,MATCH($I293,'CAT_TIPOS_OT'!$A$4:$A$23,0)),"SIN CLASIFICAR")))</f>
        <v/>
      </c>
      <c r="W293" s="24">
        <f>IF($H293="","",IF(IFERROR(INDEX('CAT_ACTIVIDADES'!$F$4:$F$26,MATCH($H293,'CAT_ACTIVIDADES'!$A$4:$A$26,0)),"")=0,"",IFERROR(INDEX('CAT_ACTIVIDADES'!$F$4:$F$26,MATCH($H293,'CAT_ACTIVIDADES'!$A$4:$A$26,0)),"")))</f>
        <v/>
      </c>
      <c r="X293" s="24">
        <f>IF($F293="","",IFERROR(INDEX('CAT_CENTROS_COSTO'!$F$4:$F$28,MATCH($F293,'CAT_CENTROS_COSTO'!$A$4:$A$28,0)),"(sin catálogo)"))</f>
        <v/>
      </c>
      <c r="Y293" s="24">
        <f>IF($F293="","",IFERROR(INDEX('CAT_CENTROS_COSTO'!$D$4:$D$28,MATCH($F293,'CAT_CENTROS_COSTO'!$A$4:$A$28,0)),"(sin catálogo)"))</f>
        <v/>
      </c>
      <c r="Z293" s="24">
        <f>IF($F293="","",IF((IFERROR(INDEX('CAT_CENTROS_COSTO'!$E$4:$E$28,MATCH($F293,'CAT_CENTROS_COSTO'!$A$4:$A$28,0)),""))&lt;&gt;"",IFERROR(INDEX('CAT_CENTROS_COSTO'!$E$4:$E$28,MATCH($F293,'CAT_CENTROS_COSTO'!$A$4:$A$28,0)),""),$Y293))</f>
        <v/>
      </c>
      <c r="AA293" s="24">
        <f>IF($F293="","",IFERROR(INDEX('CAT_CENTROS_COSTO'!$G$4:$G$28,MATCH($F293,'CAT_CENTROS_COSTO'!$A$4:$A$28,0)),"(sin catálogo)"))</f>
        <v/>
      </c>
      <c r="AB293" s="24">
        <f>IF($G293="","",IFERROR(INDEX('CAT_PUESTOS'!$B$4:$B$23,MATCH($G293,'CAT_PUESTOS'!$A$4:$A$23,0)),"(sin catálogo)"))</f>
        <v/>
      </c>
      <c r="AC293" s="24">
        <f>IF($H293="","",IFERROR(INDEX('CAT_ACTIVIDADES'!$B$4:$B$26,MATCH($H293,'CAT_ACTIVIDADES'!$A$4:$A$26,0)),"(sin catálogo)"))</f>
        <v/>
      </c>
      <c r="AD293" s="26">
        <f>IF($J293="","",TODAY()-$J293)</f>
        <v/>
      </c>
      <c r="AE293" s="26">
        <f>IF($J293="","",IF($J293&lt;=TODAY(),COUNTIFS(cal_fechas,"&gt;="&amp;$J293,cal_fechas,"&lt;"&amp;TODAY(),cal_habil,"sí"),-COUNTIFS(cal_fechas,"&gt;="&amp;TODAY(),cal_fechas,"&lt;"&amp;$J293,cal_habil,"sí")))</f>
        <v/>
      </c>
      <c r="AF293" s="24">
        <f>IF($AE293="","",IF($AE293&lt;0,"FUTURO",IF($AE293&gt;p_dias_backlog_max,"BACKLOG","MES CORRIENTE")))</f>
        <v/>
      </c>
      <c r="AG293" s="24">
        <f>IF($AE293="",FALSE,AND($AE293&gt;p_dias_backlog_min,$AE293&lt;=p_dias_backlog_max))</f>
        <v/>
      </c>
      <c r="AH293" s="4" t="n"/>
      <c r="AI293" s="24">
        <f>IF($AH293="","",IF((IFERROR(INDEX('ASIGNACIONES'!$J$4:$J$451,MATCH($O293&amp;"|"&amp;$S293&amp;"|"&amp;$AH293,'ASIGNACIONES'!$N$4:$N$451,0)),""))=0,"",IFERROR(INDEX('ASIGNACIONES'!$J$4:$J$451,MATCH($O293&amp;"|"&amp;$S293&amp;"|"&amp;$AH293,'ASIGNACIONES'!$N$4:$N$451,0)),"")))</f>
        <v/>
      </c>
      <c r="AJ293" s="42">
        <f>IF($AH293="","",SUMIFS('ORDENES'!$M$4:$M$1203,'ORDENES'!$AH$4:$AH$1203,$AH293,'ORDENES'!$O$4:$O$1203,$O293,'ORDENES'!$S$4:$S$1203,$S293))</f>
        <v/>
      </c>
      <c r="AK293" s="42">
        <f>IF($AJ293="","",p_factor_productividad*IFERROR(INDEX('ASIGNACIONES'!$M$4:$M$451,MATCH($O293&amp;"|"&amp;$S293&amp;"|"&amp;$AH293,'ASIGNACIONES'!$N$4:$N$451,0)),0)-$AJ293)</f>
        <v/>
      </c>
      <c r="AL293" s="32">
        <f>IF($A293="","",IFERROR(INDEX('2_IMPORTAR_EJECUCION'!$F$9:$F$1208,MATCH($AU293,'2_IMPORTAR_EJECUCION'!$J$9:$J$1208,0)),0))</f>
        <v/>
      </c>
      <c r="AM293" s="32">
        <f>IF($A293="","",MAX(0,IFERROR(INDEX('2_IMPORTAR_EJECUCION'!$H$9:$H$1208,MATCH($AU293,'2_IMPORTAR_EJECUCION'!$J$9:$J$1208,0)),0)-$AL293))</f>
        <v/>
      </c>
      <c r="AN293" s="32">
        <f>IF($A293="","",$AL293+$AM293)</f>
        <v/>
      </c>
      <c r="AO293" s="24">
        <f>IF($A293="","",IF(OR((IFERROR(INDEX('CAT_ACTIVIDADES'!$D$4:$D$26,MATCH($H293,'CAT_ACTIVIDADES'!$A$4:$A$26,0)),""))=0,(IFERROR(INDEX('CAT_ACTIVIDADES'!$D$4:$D$26,MATCH($H293,'CAT_ACTIVIDADES'!$A$4:$A$26,0)),""))=""),"SIN CLASIFICAR",IFERROR(INDEX('CAT_ACTIVIDADES'!$D$4:$D$26,MATCH($H293,'CAT_ACTIVIDADES'!$A$4:$A$26,0)),"")))</f>
        <v/>
      </c>
      <c r="AP293" s="4" t="n"/>
      <c r="AQ293" s="4" t="n"/>
      <c r="AR293" s="4" t="n"/>
      <c r="AS293" s="24">
        <f>IF($AR293="","",HYPERLINK(p_ruta_base_checklists&amp;$AR293,"abrir"))</f>
        <v/>
      </c>
      <c r="AT293" s="4" t="n"/>
      <c r="AU293" s="24">
        <f>IF($A293="","",$A293&amp;IF($B293="","0010",$B293))</f>
        <v/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41" t="n"/>
      <c r="K294" s="5" t="n"/>
      <c r="L294" s="18" t="n"/>
      <c r="M294" s="24">
        <f>IF($A294="","",IFERROR(INDEX('AJUSTES'!$B$4:$B$303,MATCH($AU294,'AJUSTES'!$A$4:$A$303,0)),IF($K294="","",$K294)))</f>
        <v/>
      </c>
      <c r="N294" s="24">
        <f>IF($A294="","",IFERROR(INDEX('CAT_ESTADOS_ERP'!$B$4:$B$22,MATCH(IFERROR(INDEX('2_IMPORTAR_EJECUCION'!$C$9:$C$1208,MATCH($AU294,'2_IMPORTAR_EJECUCION'!$J$9:$J$1208,0)),""),'CAT_ESTADOS_ERP'!$A$4:$A$22,0)),"Pendiente"))</f>
        <v/>
      </c>
      <c r="O294" s="24">
        <f>IF($J294="","",YEAR($J294+4-WEEKDAY($J294,2))&amp;"-S"&amp;TEXT(_xlfn.ISOWEEKNUM($J294),"00"))</f>
        <v/>
      </c>
      <c r="P294" s="24">
        <f>IF($J294="","",YEAR($J294))</f>
        <v/>
      </c>
      <c r="Q294" s="24">
        <f>IF($J294="","",MONTH($J294))</f>
        <v/>
      </c>
      <c r="R294" s="24">
        <f>IF($J294="","",$P294&amp;"-"&amp;TEXT($Q294,"00"))</f>
        <v/>
      </c>
      <c r="S294" s="24">
        <f>IF($J294="","",INDEX(lista_dias,WEEKDAY($J294,2)))</f>
        <v/>
      </c>
      <c r="T294" s="24">
        <f>IF($J294="","",IFERROR(INDEX('CALENDARIO'!$C$15:$C$214,MATCH(TEXT($J294,"yyyy-mm-dd")&amp;"|"&amp;$Y294&amp;"|"&amp;$Z294,'CALENDARIO'!$G$15:$G$214,0)),IFERROR(INDEX('CALENDARIO'!$C$15:$C$214,MATCH(TEXT($J294,"yyyy-mm-dd")&amp;"|"&amp;$Y294&amp;"|",'CALENDARIO'!$G$15:$G$214,0)),IFERROR(INDEX('CALENDARIO'!$C$15:$C$214,MATCH(TEXT($J294,"yyyy-mm-dd")&amp;"||",'CALENDARIO'!$G$15:$G$214,0)),INDEX(patronHabil,WEEKDAY($J294,2))))))</f>
        <v/>
      </c>
      <c r="U294" s="24">
        <f>IF($I294="","",IFERROR(INDEX('CAT_TIPOS_OT'!$C$4:$C$23,MATCH($I294,'CAT_TIPOS_OT'!$A$4:$A$23,0)),"sin_clasificar"))</f>
        <v/>
      </c>
      <c r="V294" s="24">
        <f>IF($I294="","",IF(IFERROR(INDEX('CAT_TIPOS_OT'!$D$4:$D$23,MATCH($I294,'CAT_TIPOS_OT'!$A$4:$A$23,0)),"SIN CLASIFICAR")="","SIN CLASIFICAR",IFERROR(INDEX('CAT_TIPOS_OT'!$D$4:$D$23,MATCH($I294,'CAT_TIPOS_OT'!$A$4:$A$23,0)),"SIN CLASIFICAR")))</f>
        <v/>
      </c>
      <c r="W294" s="24">
        <f>IF($H294="","",IF(IFERROR(INDEX('CAT_ACTIVIDADES'!$F$4:$F$26,MATCH($H294,'CAT_ACTIVIDADES'!$A$4:$A$26,0)),"")=0,"",IFERROR(INDEX('CAT_ACTIVIDADES'!$F$4:$F$26,MATCH($H294,'CAT_ACTIVIDADES'!$A$4:$A$26,0)),"")))</f>
        <v/>
      </c>
      <c r="X294" s="24">
        <f>IF($F294="","",IFERROR(INDEX('CAT_CENTROS_COSTO'!$F$4:$F$28,MATCH($F294,'CAT_CENTROS_COSTO'!$A$4:$A$28,0)),"(sin catálogo)"))</f>
        <v/>
      </c>
      <c r="Y294" s="24">
        <f>IF($F294="","",IFERROR(INDEX('CAT_CENTROS_COSTO'!$D$4:$D$28,MATCH($F294,'CAT_CENTROS_COSTO'!$A$4:$A$28,0)),"(sin catálogo)"))</f>
        <v/>
      </c>
      <c r="Z294" s="24">
        <f>IF($F294="","",IF((IFERROR(INDEX('CAT_CENTROS_COSTO'!$E$4:$E$28,MATCH($F294,'CAT_CENTROS_COSTO'!$A$4:$A$28,0)),""))&lt;&gt;"",IFERROR(INDEX('CAT_CENTROS_COSTO'!$E$4:$E$28,MATCH($F294,'CAT_CENTROS_COSTO'!$A$4:$A$28,0)),""),$Y294))</f>
        <v/>
      </c>
      <c r="AA294" s="24">
        <f>IF($F294="","",IFERROR(INDEX('CAT_CENTROS_COSTO'!$G$4:$G$28,MATCH($F294,'CAT_CENTROS_COSTO'!$A$4:$A$28,0)),"(sin catálogo)"))</f>
        <v/>
      </c>
      <c r="AB294" s="24">
        <f>IF($G294="","",IFERROR(INDEX('CAT_PUESTOS'!$B$4:$B$23,MATCH($G294,'CAT_PUESTOS'!$A$4:$A$23,0)),"(sin catálogo)"))</f>
        <v/>
      </c>
      <c r="AC294" s="24">
        <f>IF($H294="","",IFERROR(INDEX('CAT_ACTIVIDADES'!$B$4:$B$26,MATCH($H294,'CAT_ACTIVIDADES'!$A$4:$A$26,0)),"(sin catálogo)"))</f>
        <v/>
      </c>
      <c r="AD294" s="26">
        <f>IF($J294="","",TODAY()-$J294)</f>
        <v/>
      </c>
      <c r="AE294" s="26">
        <f>IF($J294="","",IF($J294&lt;=TODAY(),COUNTIFS(cal_fechas,"&gt;="&amp;$J294,cal_fechas,"&lt;"&amp;TODAY(),cal_habil,"sí"),-COUNTIFS(cal_fechas,"&gt;="&amp;TODAY(),cal_fechas,"&lt;"&amp;$J294,cal_habil,"sí")))</f>
        <v/>
      </c>
      <c r="AF294" s="24">
        <f>IF($AE294="","",IF($AE294&lt;0,"FUTURO",IF($AE294&gt;p_dias_backlog_max,"BACKLOG","MES CORRIENTE")))</f>
        <v/>
      </c>
      <c r="AG294" s="24">
        <f>IF($AE294="",FALSE,AND($AE294&gt;p_dias_backlog_min,$AE294&lt;=p_dias_backlog_max))</f>
        <v/>
      </c>
      <c r="AH294" s="4" t="n"/>
      <c r="AI294" s="24">
        <f>IF($AH294="","",IF((IFERROR(INDEX('ASIGNACIONES'!$J$4:$J$451,MATCH($O294&amp;"|"&amp;$S294&amp;"|"&amp;$AH294,'ASIGNACIONES'!$N$4:$N$451,0)),""))=0,"",IFERROR(INDEX('ASIGNACIONES'!$J$4:$J$451,MATCH($O294&amp;"|"&amp;$S294&amp;"|"&amp;$AH294,'ASIGNACIONES'!$N$4:$N$451,0)),"")))</f>
        <v/>
      </c>
      <c r="AJ294" s="42">
        <f>IF($AH294="","",SUMIFS('ORDENES'!$M$4:$M$1203,'ORDENES'!$AH$4:$AH$1203,$AH294,'ORDENES'!$O$4:$O$1203,$O294,'ORDENES'!$S$4:$S$1203,$S294))</f>
        <v/>
      </c>
      <c r="AK294" s="42">
        <f>IF($AJ294="","",p_factor_productividad*IFERROR(INDEX('ASIGNACIONES'!$M$4:$M$451,MATCH($O294&amp;"|"&amp;$S294&amp;"|"&amp;$AH294,'ASIGNACIONES'!$N$4:$N$451,0)),0)-$AJ294)</f>
        <v/>
      </c>
      <c r="AL294" s="32">
        <f>IF($A294="","",IFERROR(INDEX('2_IMPORTAR_EJECUCION'!$F$9:$F$1208,MATCH($AU294,'2_IMPORTAR_EJECUCION'!$J$9:$J$1208,0)),0))</f>
        <v/>
      </c>
      <c r="AM294" s="32">
        <f>IF($A294="","",MAX(0,IFERROR(INDEX('2_IMPORTAR_EJECUCION'!$H$9:$H$1208,MATCH($AU294,'2_IMPORTAR_EJECUCION'!$J$9:$J$1208,0)),0)-$AL294))</f>
        <v/>
      </c>
      <c r="AN294" s="32">
        <f>IF($A294="","",$AL294+$AM294)</f>
        <v/>
      </c>
      <c r="AO294" s="24">
        <f>IF($A294="","",IF(OR((IFERROR(INDEX('CAT_ACTIVIDADES'!$D$4:$D$26,MATCH($H294,'CAT_ACTIVIDADES'!$A$4:$A$26,0)),""))=0,(IFERROR(INDEX('CAT_ACTIVIDADES'!$D$4:$D$26,MATCH($H294,'CAT_ACTIVIDADES'!$A$4:$A$26,0)),""))=""),"SIN CLASIFICAR",IFERROR(INDEX('CAT_ACTIVIDADES'!$D$4:$D$26,MATCH($H294,'CAT_ACTIVIDADES'!$A$4:$A$26,0)),"")))</f>
        <v/>
      </c>
      <c r="AP294" s="4" t="n"/>
      <c r="AQ294" s="4" t="n"/>
      <c r="AR294" s="4" t="n"/>
      <c r="AS294" s="24">
        <f>IF($AR294="","",HYPERLINK(p_ruta_base_checklists&amp;$AR294,"abrir"))</f>
        <v/>
      </c>
      <c r="AT294" s="4" t="n"/>
      <c r="AU294" s="24">
        <f>IF($A294="","",$A294&amp;IF($B294="","0010",$B294))</f>
        <v/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41" t="n"/>
      <c r="K295" s="5" t="n"/>
      <c r="L295" s="18" t="n"/>
      <c r="M295" s="24">
        <f>IF($A295="","",IFERROR(INDEX('AJUSTES'!$B$4:$B$303,MATCH($AU295,'AJUSTES'!$A$4:$A$303,0)),IF($K295="","",$K295)))</f>
        <v/>
      </c>
      <c r="N295" s="24">
        <f>IF($A295="","",IFERROR(INDEX('CAT_ESTADOS_ERP'!$B$4:$B$22,MATCH(IFERROR(INDEX('2_IMPORTAR_EJECUCION'!$C$9:$C$1208,MATCH($AU295,'2_IMPORTAR_EJECUCION'!$J$9:$J$1208,0)),""),'CAT_ESTADOS_ERP'!$A$4:$A$22,0)),"Pendiente"))</f>
        <v/>
      </c>
      <c r="O295" s="24">
        <f>IF($J295="","",YEAR($J295+4-WEEKDAY($J295,2))&amp;"-S"&amp;TEXT(_xlfn.ISOWEEKNUM($J295),"00"))</f>
        <v/>
      </c>
      <c r="P295" s="24">
        <f>IF($J295="","",YEAR($J295))</f>
        <v/>
      </c>
      <c r="Q295" s="24">
        <f>IF($J295="","",MONTH($J295))</f>
        <v/>
      </c>
      <c r="R295" s="24">
        <f>IF($J295="","",$P295&amp;"-"&amp;TEXT($Q295,"00"))</f>
        <v/>
      </c>
      <c r="S295" s="24">
        <f>IF($J295="","",INDEX(lista_dias,WEEKDAY($J295,2)))</f>
        <v/>
      </c>
      <c r="T295" s="24">
        <f>IF($J295="","",IFERROR(INDEX('CALENDARIO'!$C$15:$C$214,MATCH(TEXT($J295,"yyyy-mm-dd")&amp;"|"&amp;$Y295&amp;"|"&amp;$Z295,'CALENDARIO'!$G$15:$G$214,0)),IFERROR(INDEX('CALENDARIO'!$C$15:$C$214,MATCH(TEXT($J295,"yyyy-mm-dd")&amp;"|"&amp;$Y295&amp;"|",'CALENDARIO'!$G$15:$G$214,0)),IFERROR(INDEX('CALENDARIO'!$C$15:$C$214,MATCH(TEXT($J295,"yyyy-mm-dd")&amp;"||",'CALENDARIO'!$G$15:$G$214,0)),INDEX(patronHabil,WEEKDAY($J295,2))))))</f>
        <v/>
      </c>
      <c r="U295" s="24">
        <f>IF($I295="","",IFERROR(INDEX('CAT_TIPOS_OT'!$C$4:$C$23,MATCH($I295,'CAT_TIPOS_OT'!$A$4:$A$23,0)),"sin_clasificar"))</f>
        <v/>
      </c>
      <c r="V295" s="24">
        <f>IF($I295="","",IF(IFERROR(INDEX('CAT_TIPOS_OT'!$D$4:$D$23,MATCH($I295,'CAT_TIPOS_OT'!$A$4:$A$23,0)),"SIN CLASIFICAR")="","SIN CLASIFICAR",IFERROR(INDEX('CAT_TIPOS_OT'!$D$4:$D$23,MATCH($I295,'CAT_TIPOS_OT'!$A$4:$A$23,0)),"SIN CLASIFICAR")))</f>
        <v/>
      </c>
      <c r="W295" s="24">
        <f>IF($H295="","",IF(IFERROR(INDEX('CAT_ACTIVIDADES'!$F$4:$F$26,MATCH($H295,'CAT_ACTIVIDADES'!$A$4:$A$26,0)),"")=0,"",IFERROR(INDEX('CAT_ACTIVIDADES'!$F$4:$F$26,MATCH($H295,'CAT_ACTIVIDADES'!$A$4:$A$26,0)),"")))</f>
        <v/>
      </c>
      <c r="X295" s="24">
        <f>IF($F295="","",IFERROR(INDEX('CAT_CENTROS_COSTO'!$F$4:$F$28,MATCH($F295,'CAT_CENTROS_COSTO'!$A$4:$A$28,0)),"(sin catálogo)"))</f>
        <v/>
      </c>
      <c r="Y295" s="24">
        <f>IF($F295="","",IFERROR(INDEX('CAT_CENTROS_COSTO'!$D$4:$D$28,MATCH($F295,'CAT_CENTROS_COSTO'!$A$4:$A$28,0)),"(sin catálogo)"))</f>
        <v/>
      </c>
      <c r="Z295" s="24">
        <f>IF($F295="","",IF((IFERROR(INDEX('CAT_CENTROS_COSTO'!$E$4:$E$28,MATCH($F295,'CAT_CENTROS_COSTO'!$A$4:$A$28,0)),""))&lt;&gt;"",IFERROR(INDEX('CAT_CENTROS_COSTO'!$E$4:$E$28,MATCH($F295,'CAT_CENTROS_COSTO'!$A$4:$A$28,0)),""),$Y295))</f>
        <v/>
      </c>
      <c r="AA295" s="24">
        <f>IF($F295="","",IFERROR(INDEX('CAT_CENTROS_COSTO'!$G$4:$G$28,MATCH($F295,'CAT_CENTROS_COSTO'!$A$4:$A$28,0)),"(sin catálogo)"))</f>
        <v/>
      </c>
      <c r="AB295" s="24">
        <f>IF($G295="","",IFERROR(INDEX('CAT_PUESTOS'!$B$4:$B$23,MATCH($G295,'CAT_PUESTOS'!$A$4:$A$23,0)),"(sin catálogo)"))</f>
        <v/>
      </c>
      <c r="AC295" s="24">
        <f>IF($H295="","",IFERROR(INDEX('CAT_ACTIVIDADES'!$B$4:$B$26,MATCH($H295,'CAT_ACTIVIDADES'!$A$4:$A$26,0)),"(sin catálogo)"))</f>
        <v/>
      </c>
      <c r="AD295" s="26">
        <f>IF($J295="","",TODAY()-$J295)</f>
        <v/>
      </c>
      <c r="AE295" s="26">
        <f>IF($J295="","",IF($J295&lt;=TODAY(),COUNTIFS(cal_fechas,"&gt;="&amp;$J295,cal_fechas,"&lt;"&amp;TODAY(),cal_habil,"sí"),-COUNTIFS(cal_fechas,"&gt;="&amp;TODAY(),cal_fechas,"&lt;"&amp;$J295,cal_habil,"sí")))</f>
        <v/>
      </c>
      <c r="AF295" s="24">
        <f>IF($AE295="","",IF($AE295&lt;0,"FUTURO",IF($AE295&gt;p_dias_backlog_max,"BACKLOG","MES CORRIENTE")))</f>
        <v/>
      </c>
      <c r="AG295" s="24">
        <f>IF($AE295="",FALSE,AND($AE295&gt;p_dias_backlog_min,$AE295&lt;=p_dias_backlog_max))</f>
        <v/>
      </c>
      <c r="AH295" s="4" t="n"/>
      <c r="AI295" s="24">
        <f>IF($AH295="","",IF((IFERROR(INDEX('ASIGNACIONES'!$J$4:$J$451,MATCH($O295&amp;"|"&amp;$S295&amp;"|"&amp;$AH295,'ASIGNACIONES'!$N$4:$N$451,0)),""))=0,"",IFERROR(INDEX('ASIGNACIONES'!$J$4:$J$451,MATCH($O295&amp;"|"&amp;$S295&amp;"|"&amp;$AH295,'ASIGNACIONES'!$N$4:$N$451,0)),"")))</f>
        <v/>
      </c>
      <c r="AJ295" s="42">
        <f>IF($AH295="","",SUMIFS('ORDENES'!$M$4:$M$1203,'ORDENES'!$AH$4:$AH$1203,$AH295,'ORDENES'!$O$4:$O$1203,$O295,'ORDENES'!$S$4:$S$1203,$S295))</f>
        <v/>
      </c>
      <c r="AK295" s="42">
        <f>IF($AJ295="","",p_factor_productividad*IFERROR(INDEX('ASIGNACIONES'!$M$4:$M$451,MATCH($O295&amp;"|"&amp;$S295&amp;"|"&amp;$AH295,'ASIGNACIONES'!$N$4:$N$451,0)),0)-$AJ295)</f>
        <v/>
      </c>
      <c r="AL295" s="32">
        <f>IF($A295="","",IFERROR(INDEX('2_IMPORTAR_EJECUCION'!$F$9:$F$1208,MATCH($AU295,'2_IMPORTAR_EJECUCION'!$J$9:$J$1208,0)),0))</f>
        <v/>
      </c>
      <c r="AM295" s="32">
        <f>IF($A295="","",MAX(0,IFERROR(INDEX('2_IMPORTAR_EJECUCION'!$H$9:$H$1208,MATCH($AU295,'2_IMPORTAR_EJECUCION'!$J$9:$J$1208,0)),0)-$AL295))</f>
        <v/>
      </c>
      <c r="AN295" s="32">
        <f>IF($A295="","",$AL295+$AM295)</f>
        <v/>
      </c>
      <c r="AO295" s="24">
        <f>IF($A295="","",IF(OR((IFERROR(INDEX('CAT_ACTIVIDADES'!$D$4:$D$26,MATCH($H295,'CAT_ACTIVIDADES'!$A$4:$A$26,0)),""))=0,(IFERROR(INDEX('CAT_ACTIVIDADES'!$D$4:$D$26,MATCH($H295,'CAT_ACTIVIDADES'!$A$4:$A$26,0)),""))=""),"SIN CLASIFICAR",IFERROR(INDEX('CAT_ACTIVIDADES'!$D$4:$D$26,MATCH($H295,'CAT_ACTIVIDADES'!$A$4:$A$26,0)),"")))</f>
        <v/>
      </c>
      <c r="AP295" s="4" t="n"/>
      <c r="AQ295" s="4" t="n"/>
      <c r="AR295" s="4" t="n"/>
      <c r="AS295" s="24">
        <f>IF($AR295="","",HYPERLINK(p_ruta_base_checklists&amp;$AR295,"abrir"))</f>
        <v/>
      </c>
      <c r="AT295" s="4" t="n"/>
      <c r="AU295" s="24">
        <f>IF($A295="","",$A295&amp;IF($B295="","0010",$B295))</f>
        <v/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41" t="n"/>
      <c r="K296" s="5" t="n"/>
      <c r="L296" s="18" t="n"/>
      <c r="M296" s="24">
        <f>IF($A296="","",IFERROR(INDEX('AJUSTES'!$B$4:$B$303,MATCH($AU296,'AJUSTES'!$A$4:$A$303,0)),IF($K296="","",$K296)))</f>
        <v/>
      </c>
      <c r="N296" s="24">
        <f>IF($A296="","",IFERROR(INDEX('CAT_ESTADOS_ERP'!$B$4:$B$22,MATCH(IFERROR(INDEX('2_IMPORTAR_EJECUCION'!$C$9:$C$1208,MATCH($AU296,'2_IMPORTAR_EJECUCION'!$J$9:$J$1208,0)),""),'CAT_ESTADOS_ERP'!$A$4:$A$22,0)),"Pendiente"))</f>
        <v/>
      </c>
      <c r="O296" s="24">
        <f>IF($J296="","",YEAR($J296+4-WEEKDAY($J296,2))&amp;"-S"&amp;TEXT(_xlfn.ISOWEEKNUM($J296),"00"))</f>
        <v/>
      </c>
      <c r="P296" s="24">
        <f>IF($J296="","",YEAR($J296))</f>
        <v/>
      </c>
      <c r="Q296" s="24">
        <f>IF($J296="","",MONTH($J296))</f>
        <v/>
      </c>
      <c r="R296" s="24">
        <f>IF($J296="","",$P296&amp;"-"&amp;TEXT($Q296,"00"))</f>
        <v/>
      </c>
      <c r="S296" s="24">
        <f>IF($J296="","",INDEX(lista_dias,WEEKDAY($J296,2)))</f>
        <v/>
      </c>
      <c r="T296" s="24">
        <f>IF($J296="","",IFERROR(INDEX('CALENDARIO'!$C$15:$C$214,MATCH(TEXT($J296,"yyyy-mm-dd")&amp;"|"&amp;$Y296&amp;"|"&amp;$Z296,'CALENDARIO'!$G$15:$G$214,0)),IFERROR(INDEX('CALENDARIO'!$C$15:$C$214,MATCH(TEXT($J296,"yyyy-mm-dd")&amp;"|"&amp;$Y296&amp;"|",'CALENDARIO'!$G$15:$G$214,0)),IFERROR(INDEX('CALENDARIO'!$C$15:$C$214,MATCH(TEXT($J296,"yyyy-mm-dd")&amp;"||",'CALENDARIO'!$G$15:$G$214,0)),INDEX(patronHabil,WEEKDAY($J296,2))))))</f>
        <v/>
      </c>
      <c r="U296" s="24">
        <f>IF($I296="","",IFERROR(INDEX('CAT_TIPOS_OT'!$C$4:$C$23,MATCH($I296,'CAT_TIPOS_OT'!$A$4:$A$23,0)),"sin_clasificar"))</f>
        <v/>
      </c>
      <c r="V296" s="24">
        <f>IF($I296="","",IF(IFERROR(INDEX('CAT_TIPOS_OT'!$D$4:$D$23,MATCH($I296,'CAT_TIPOS_OT'!$A$4:$A$23,0)),"SIN CLASIFICAR")="","SIN CLASIFICAR",IFERROR(INDEX('CAT_TIPOS_OT'!$D$4:$D$23,MATCH($I296,'CAT_TIPOS_OT'!$A$4:$A$23,0)),"SIN CLASIFICAR")))</f>
        <v/>
      </c>
      <c r="W296" s="24">
        <f>IF($H296="","",IF(IFERROR(INDEX('CAT_ACTIVIDADES'!$F$4:$F$26,MATCH($H296,'CAT_ACTIVIDADES'!$A$4:$A$26,0)),"")=0,"",IFERROR(INDEX('CAT_ACTIVIDADES'!$F$4:$F$26,MATCH($H296,'CAT_ACTIVIDADES'!$A$4:$A$26,0)),"")))</f>
        <v/>
      </c>
      <c r="X296" s="24">
        <f>IF($F296="","",IFERROR(INDEX('CAT_CENTROS_COSTO'!$F$4:$F$28,MATCH($F296,'CAT_CENTROS_COSTO'!$A$4:$A$28,0)),"(sin catálogo)"))</f>
        <v/>
      </c>
      <c r="Y296" s="24">
        <f>IF($F296="","",IFERROR(INDEX('CAT_CENTROS_COSTO'!$D$4:$D$28,MATCH($F296,'CAT_CENTROS_COSTO'!$A$4:$A$28,0)),"(sin catálogo)"))</f>
        <v/>
      </c>
      <c r="Z296" s="24">
        <f>IF($F296="","",IF((IFERROR(INDEX('CAT_CENTROS_COSTO'!$E$4:$E$28,MATCH($F296,'CAT_CENTROS_COSTO'!$A$4:$A$28,0)),""))&lt;&gt;"",IFERROR(INDEX('CAT_CENTROS_COSTO'!$E$4:$E$28,MATCH($F296,'CAT_CENTROS_COSTO'!$A$4:$A$28,0)),""),$Y296))</f>
        <v/>
      </c>
      <c r="AA296" s="24">
        <f>IF($F296="","",IFERROR(INDEX('CAT_CENTROS_COSTO'!$G$4:$G$28,MATCH($F296,'CAT_CENTROS_COSTO'!$A$4:$A$28,0)),"(sin catálogo)"))</f>
        <v/>
      </c>
      <c r="AB296" s="24">
        <f>IF($G296="","",IFERROR(INDEX('CAT_PUESTOS'!$B$4:$B$23,MATCH($G296,'CAT_PUESTOS'!$A$4:$A$23,0)),"(sin catálogo)"))</f>
        <v/>
      </c>
      <c r="AC296" s="24">
        <f>IF($H296="","",IFERROR(INDEX('CAT_ACTIVIDADES'!$B$4:$B$26,MATCH($H296,'CAT_ACTIVIDADES'!$A$4:$A$26,0)),"(sin catálogo)"))</f>
        <v/>
      </c>
      <c r="AD296" s="26">
        <f>IF($J296="","",TODAY()-$J296)</f>
        <v/>
      </c>
      <c r="AE296" s="26">
        <f>IF($J296="","",IF($J296&lt;=TODAY(),COUNTIFS(cal_fechas,"&gt;="&amp;$J296,cal_fechas,"&lt;"&amp;TODAY(),cal_habil,"sí"),-COUNTIFS(cal_fechas,"&gt;="&amp;TODAY(),cal_fechas,"&lt;"&amp;$J296,cal_habil,"sí")))</f>
        <v/>
      </c>
      <c r="AF296" s="24">
        <f>IF($AE296="","",IF($AE296&lt;0,"FUTURO",IF($AE296&gt;p_dias_backlog_max,"BACKLOG","MES CORRIENTE")))</f>
        <v/>
      </c>
      <c r="AG296" s="24">
        <f>IF($AE296="",FALSE,AND($AE296&gt;p_dias_backlog_min,$AE296&lt;=p_dias_backlog_max))</f>
        <v/>
      </c>
      <c r="AH296" s="4" t="n"/>
      <c r="AI296" s="24">
        <f>IF($AH296="","",IF((IFERROR(INDEX('ASIGNACIONES'!$J$4:$J$451,MATCH($O296&amp;"|"&amp;$S296&amp;"|"&amp;$AH296,'ASIGNACIONES'!$N$4:$N$451,0)),""))=0,"",IFERROR(INDEX('ASIGNACIONES'!$J$4:$J$451,MATCH($O296&amp;"|"&amp;$S296&amp;"|"&amp;$AH296,'ASIGNACIONES'!$N$4:$N$451,0)),"")))</f>
        <v/>
      </c>
      <c r="AJ296" s="42">
        <f>IF($AH296="","",SUMIFS('ORDENES'!$M$4:$M$1203,'ORDENES'!$AH$4:$AH$1203,$AH296,'ORDENES'!$O$4:$O$1203,$O296,'ORDENES'!$S$4:$S$1203,$S296))</f>
        <v/>
      </c>
      <c r="AK296" s="42">
        <f>IF($AJ296="","",p_factor_productividad*IFERROR(INDEX('ASIGNACIONES'!$M$4:$M$451,MATCH($O296&amp;"|"&amp;$S296&amp;"|"&amp;$AH296,'ASIGNACIONES'!$N$4:$N$451,0)),0)-$AJ296)</f>
        <v/>
      </c>
      <c r="AL296" s="32">
        <f>IF($A296="","",IFERROR(INDEX('2_IMPORTAR_EJECUCION'!$F$9:$F$1208,MATCH($AU296,'2_IMPORTAR_EJECUCION'!$J$9:$J$1208,0)),0))</f>
        <v/>
      </c>
      <c r="AM296" s="32">
        <f>IF($A296="","",MAX(0,IFERROR(INDEX('2_IMPORTAR_EJECUCION'!$H$9:$H$1208,MATCH($AU296,'2_IMPORTAR_EJECUCION'!$J$9:$J$1208,0)),0)-$AL296))</f>
        <v/>
      </c>
      <c r="AN296" s="32">
        <f>IF($A296="","",$AL296+$AM296)</f>
        <v/>
      </c>
      <c r="AO296" s="24">
        <f>IF($A296="","",IF(OR((IFERROR(INDEX('CAT_ACTIVIDADES'!$D$4:$D$26,MATCH($H296,'CAT_ACTIVIDADES'!$A$4:$A$26,0)),""))=0,(IFERROR(INDEX('CAT_ACTIVIDADES'!$D$4:$D$26,MATCH($H296,'CAT_ACTIVIDADES'!$A$4:$A$26,0)),""))=""),"SIN CLASIFICAR",IFERROR(INDEX('CAT_ACTIVIDADES'!$D$4:$D$26,MATCH($H296,'CAT_ACTIVIDADES'!$A$4:$A$26,0)),"")))</f>
        <v/>
      </c>
      <c r="AP296" s="4" t="n"/>
      <c r="AQ296" s="4" t="n"/>
      <c r="AR296" s="4" t="n"/>
      <c r="AS296" s="24">
        <f>IF($AR296="","",HYPERLINK(p_ruta_base_checklists&amp;$AR296,"abrir"))</f>
        <v/>
      </c>
      <c r="AT296" s="4" t="n"/>
      <c r="AU296" s="24">
        <f>IF($A296="","",$A296&amp;IF($B296="","0010",$B296))</f>
        <v/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41" t="n"/>
      <c r="K297" s="5" t="n"/>
      <c r="L297" s="18" t="n"/>
      <c r="M297" s="24">
        <f>IF($A297="","",IFERROR(INDEX('AJUSTES'!$B$4:$B$303,MATCH($AU297,'AJUSTES'!$A$4:$A$303,0)),IF($K297="","",$K297)))</f>
        <v/>
      </c>
      <c r="N297" s="24">
        <f>IF($A297="","",IFERROR(INDEX('CAT_ESTADOS_ERP'!$B$4:$B$22,MATCH(IFERROR(INDEX('2_IMPORTAR_EJECUCION'!$C$9:$C$1208,MATCH($AU297,'2_IMPORTAR_EJECUCION'!$J$9:$J$1208,0)),""),'CAT_ESTADOS_ERP'!$A$4:$A$22,0)),"Pendiente"))</f>
        <v/>
      </c>
      <c r="O297" s="24">
        <f>IF($J297="","",YEAR($J297+4-WEEKDAY($J297,2))&amp;"-S"&amp;TEXT(_xlfn.ISOWEEKNUM($J297),"00"))</f>
        <v/>
      </c>
      <c r="P297" s="24">
        <f>IF($J297="","",YEAR($J297))</f>
        <v/>
      </c>
      <c r="Q297" s="24">
        <f>IF($J297="","",MONTH($J297))</f>
        <v/>
      </c>
      <c r="R297" s="24">
        <f>IF($J297="","",$P297&amp;"-"&amp;TEXT($Q297,"00"))</f>
        <v/>
      </c>
      <c r="S297" s="24">
        <f>IF($J297="","",INDEX(lista_dias,WEEKDAY($J297,2)))</f>
        <v/>
      </c>
      <c r="T297" s="24">
        <f>IF($J297="","",IFERROR(INDEX('CALENDARIO'!$C$15:$C$214,MATCH(TEXT($J297,"yyyy-mm-dd")&amp;"|"&amp;$Y297&amp;"|"&amp;$Z297,'CALENDARIO'!$G$15:$G$214,0)),IFERROR(INDEX('CALENDARIO'!$C$15:$C$214,MATCH(TEXT($J297,"yyyy-mm-dd")&amp;"|"&amp;$Y297&amp;"|",'CALENDARIO'!$G$15:$G$214,0)),IFERROR(INDEX('CALENDARIO'!$C$15:$C$214,MATCH(TEXT($J297,"yyyy-mm-dd")&amp;"||",'CALENDARIO'!$G$15:$G$214,0)),INDEX(patronHabil,WEEKDAY($J297,2))))))</f>
        <v/>
      </c>
      <c r="U297" s="24">
        <f>IF($I297="","",IFERROR(INDEX('CAT_TIPOS_OT'!$C$4:$C$23,MATCH($I297,'CAT_TIPOS_OT'!$A$4:$A$23,0)),"sin_clasificar"))</f>
        <v/>
      </c>
      <c r="V297" s="24">
        <f>IF($I297="","",IF(IFERROR(INDEX('CAT_TIPOS_OT'!$D$4:$D$23,MATCH($I297,'CAT_TIPOS_OT'!$A$4:$A$23,0)),"SIN CLASIFICAR")="","SIN CLASIFICAR",IFERROR(INDEX('CAT_TIPOS_OT'!$D$4:$D$23,MATCH($I297,'CAT_TIPOS_OT'!$A$4:$A$23,0)),"SIN CLASIFICAR")))</f>
        <v/>
      </c>
      <c r="W297" s="24">
        <f>IF($H297="","",IF(IFERROR(INDEX('CAT_ACTIVIDADES'!$F$4:$F$26,MATCH($H297,'CAT_ACTIVIDADES'!$A$4:$A$26,0)),"")=0,"",IFERROR(INDEX('CAT_ACTIVIDADES'!$F$4:$F$26,MATCH($H297,'CAT_ACTIVIDADES'!$A$4:$A$26,0)),"")))</f>
        <v/>
      </c>
      <c r="X297" s="24">
        <f>IF($F297="","",IFERROR(INDEX('CAT_CENTROS_COSTO'!$F$4:$F$28,MATCH($F297,'CAT_CENTROS_COSTO'!$A$4:$A$28,0)),"(sin catálogo)"))</f>
        <v/>
      </c>
      <c r="Y297" s="24">
        <f>IF($F297="","",IFERROR(INDEX('CAT_CENTROS_COSTO'!$D$4:$D$28,MATCH($F297,'CAT_CENTROS_COSTO'!$A$4:$A$28,0)),"(sin catálogo)"))</f>
        <v/>
      </c>
      <c r="Z297" s="24">
        <f>IF($F297="","",IF((IFERROR(INDEX('CAT_CENTROS_COSTO'!$E$4:$E$28,MATCH($F297,'CAT_CENTROS_COSTO'!$A$4:$A$28,0)),""))&lt;&gt;"",IFERROR(INDEX('CAT_CENTROS_COSTO'!$E$4:$E$28,MATCH($F297,'CAT_CENTROS_COSTO'!$A$4:$A$28,0)),""),$Y297))</f>
        <v/>
      </c>
      <c r="AA297" s="24">
        <f>IF($F297="","",IFERROR(INDEX('CAT_CENTROS_COSTO'!$G$4:$G$28,MATCH($F297,'CAT_CENTROS_COSTO'!$A$4:$A$28,0)),"(sin catálogo)"))</f>
        <v/>
      </c>
      <c r="AB297" s="24">
        <f>IF($G297="","",IFERROR(INDEX('CAT_PUESTOS'!$B$4:$B$23,MATCH($G297,'CAT_PUESTOS'!$A$4:$A$23,0)),"(sin catálogo)"))</f>
        <v/>
      </c>
      <c r="AC297" s="24">
        <f>IF($H297="","",IFERROR(INDEX('CAT_ACTIVIDADES'!$B$4:$B$26,MATCH($H297,'CAT_ACTIVIDADES'!$A$4:$A$26,0)),"(sin catálogo)"))</f>
        <v/>
      </c>
      <c r="AD297" s="26">
        <f>IF($J297="","",TODAY()-$J297)</f>
        <v/>
      </c>
      <c r="AE297" s="26">
        <f>IF($J297="","",IF($J297&lt;=TODAY(),COUNTIFS(cal_fechas,"&gt;="&amp;$J297,cal_fechas,"&lt;"&amp;TODAY(),cal_habil,"sí"),-COUNTIFS(cal_fechas,"&gt;="&amp;TODAY(),cal_fechas,"&lt;"&amp;$J297,cal_habil,"sí")))</f>
        <v/>
      </c>
      <c r="AF297" s="24">
        <f>IF($AE297="","",IF($AE297&lt;0,"FUTURO",IF($AE297&gt;p_dias_backlog_max,"BACKLOG","MES CORRIENTE")))</f>
        <v/>
      </c>
      <c r="AG297" s="24">
        <f>IF($AE297="",FALSE,AND($AE297&gt;p_dias_backlog_min,$AE297&lt;=p_dias_backlog_max))</f>
        <v/>
      </c>
      <c r="AH297" s="4" t="n"/>
      <c r="AI297" s="24">
        <f>IF($AH297="","",IF((IFERROR(INDEX('ASIGNACIONES'!$J$4:$J$451,MATCH($O297&amp;"|"&amp;$S297&amp;"|"&amp;$AH297,'ASIGNACIONES'!$N$4:$N$451,0)),""))=0,"",IFERROR(INDEX('ASIGNACIONES'!$J$4:$J$451,MATCH($O297&amp;"|"&amp;$S297&amp;"|"&amp;$AH297,'ASIGNACIONES'!$N$4:$N$451,0)),"")))</f>
        <v/>
      </c>
      <c r="AJ297" s="42">
        <f>IF($AH297="","",SUMIFS('ORDENES'!$M$4:$M$1203,'ORDENES'!$AH$4:$AH$1203,$AH297,'ORDENES'!$O$4:$O$1203,$O297,'ORDENES'!$S$4:$S$1203,$S297))</f>
        <v/>
      </c>
      <c r="AK297" s="42">
        <f>IF($AJ297="","",p_factor_productividad*IFERROR(INDEX('ASIGNACIONES'!$M$4:$M$451,MATCH($O297&amp;"|"&amp;$S297&amp;"|"&amp;$AH297,'ASIGNACIONES'!$N$4:$N$451,0)),0)-$AJ297)</f>
        <v/>
      </c>
      <c r="AL297" s="32">
        <f>IF($A297="","",IFERROR(INDEX('2_IMPORTAR_EJECUCION'!$F$9:$F$1208,MATCH($AU297,'2_IMPORTAR_EJECUCION'!$J$9:$J$1208,0)),0))</f>
        <v/>
      </c>
      <c r="AM297" s="32">
        <f>IF($A297="","",MAX(0,IFERROR(INDEX('2_IMPORTAR_EJECUCION'!$H$9:$H$1208,MATCH($AU297,'2_IMPORTAR_EJECUCION'!$J$9:$J$1208,0)),0)-$AL297))</f>
        <v/>
      </c>
      <c r="AN297" s="32">
        <f>IF($A297="","",$AL297+$AM297)</f>
        <v/>
      </c>
      <c r="AO297" s="24">
        <f>IF($A297="","",IF(OR((IFERROR(INDEX('CAT_ACTIVIDADES'!$D$4:$D$26,MATCH($H297,'CAT_ACTIVIDADES'!$A$4:$A$26,0)),""))=0,(IFERROR(INDEX('CAT_ACTIVIDADES'!$D$4:$D$26,MATCH($H297,'CAT_ACTIVIDADES'!$A$4:$A$26,0)),""))=""),"SIN CLASIFICAR",IFERROR(INDEX('CAT_ACTIVIDADES'!$D$4:$D$26,MATCH($H297,'CAT_ACTIVIDADES'!$A$4:$A$26,0)),"")))</f>
        <v/>
      </c>
      <c r="AP297" s="4" t="n"/>
      <c r="AQ297" s="4" t="n"/>
      <c r="AR297" s="4" t="n"/>
      <c r="AS297" s="24">
        <f>IF($AR297="","",HYPERLINK(p_ruta_base_checklists&amp;$AR297,"abrir"))</f>
        <v/>
      </c>
      <c r="AT297" s="4" t="n"/>
      <c r="AU297" s="24">
        <f>IF($A297="","",$A297&amp;IF($B297="","0010",$B297))</f>
        <v/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41" t="n"/>
      <c r="K298" s="5" t="n"/>
      <c r="L298" s="18" t="n"/>
      <c r="M298" s="24">
        <f>IF($A298="","",IFERROR(INDEX('AJUSTES'!$B$4:$B$303,MATCH($AU298,'AJUSTES'!$A$4:$A$303,0)),IF($K298="","",$K298)))</f>
        <v/>
      </c>
      <c r="N298" s="24">
        <f>IF($A298="","",IFERROR(INDEX('CAT_ESTADOS_ERP'!$B$4:$B$22,MATCH(IFERROR(INDEX('2_IMPORTAR_EJECUCION'!$C$9:$C$1208,MATCH($AU298,'2_IMPORTAR_EJECUCION'!$J$9:$J$1208,0)),""),'CAT_ESTADOS_ERP'!$A$4:$A$22,0)),"Pendiente"))</f>
        <v/>
      </c>
      <c r="O298" s="24">
        <f>IF($J298="","",YEAR($J298+4-WEEKDAY($J298,2))&amp;"-S"&amp;TEXT(_xlfn.ISOWEEKNUM($J298),"00"))</f>
        <v/>
      </c>
      <c r="P298" s="24">
        <f>IF($J298="","",YEAR($J298))</f>
        <v/>
      </c>
      <c r="Q298" s="24">
        <f>IF($J298="","",MONTH($J298))</f>
        <v/>
      </c>
      <c r="R298" s="24">
        <f>IF($J298="","",$P298&amp;"-"&amp;TEXT($Q298,"00"))</f>
        <v/>
      </c>
      <c r="S298" s="24">
        <f>IF($J298="","",INDEX(lista_dias,WEEKDAY($J298,2)))</f>
        <v/>
      </c>
      <c r="T298" s="24">
        <f>IF($J298="","",IFERROR(INDEX('CALENDARIO'!$C$15:$C$214,MATCH(TEXT($J298,"yyyy-mm-dd")&amp;"|"&amp;$Y298&amp;"|"&amp;$Z298,'CALENDARIO'!$G$15:$G$214,0)),IFERROR(INDEX('CALENDARIO'!$C$15:$C$214,MATCH(TEXT($J298,"yyyy-mm-dd")&amp;"|"&amp;$Y298&amp;"|",'CALENDARIO'!$G$15:$G$214,0)),IFERROR(INDEX('CALENDARIO'!$C$15:$C$214,MATCH(TEXT($J298,"yyyy-mm-dd")&amp;"||",'CALENDARIO'!$G$15:$G$214,0)),INDEX(patronHabil,WEEKDAY($J298,2))))))</f>
        <v/>
      </c>
      <c r="U298" s="24">
        <f>IF($I298="","",IFERROR(INDEX('CAT_TIPOS_OT'!$C$4:$C$23,MATCH($I298,'CAT_TIPOS_OT'!$A$4:$A$23,0)),"sin_clasificar"))</f>
        <v/>
      </c>
      <c r="V298" s="24">
        <f>IF($I298="","",IF(IFERROR(INDEX('CAT_TIPOS_OT'!$D$4:$D$23,MATCH($I298,'CAT_TIPOS_OT'!$A$4:$A$23,0)),"SIN CLASIFICAR")="","SIN CLASIFICAR",IFERROR(INDEX('CAT_TIPOS_OT'!$D$4:$D$23,MATCH($I298,'CAT_TIPOS_OT'!$A$4:$A$23,0)),"SIN CLASIFICAR")))</f>
        <v/>
      </c>
      <c r="W298" s="24">
        <f>IF($H298="","",IF(IFERROR(INDEX('CAT_ACTIVIDADES'!$F$4:$F$26,MATCH($H298,'CAT_ACTIVIDADES'!$A$4:$A$26,0)),"")=0,"",IFERROR(INDEX('CAT_ACTIVIDADES'!$F$4:$F$26,MATCH($H298,'CAT_ACTIVIDADES'!$A$4:$A$26,0)),"")))</f>
        <v/>
      </c>
      <c r="X298" s="24">
        <f>IF($F298="","",IFERROR(INDEX('CAT_CENTROS_COSTO'!$F$4:$F$28,MATCH($F298,'CAT_CENTROS_COSTO'!$A$4:$A$28,0)),"(sin catálogo)"))</f>
        <v/>
      </c>
      <c r="Y298" s="24">
        <f>IF($F298="","",IFERROR(INDEX('CAT_CENTROS_COSTO'!$D$4:$D$28,MATCH($F298,'CAT_CENTROS_COSTO'!$A$4:$A$28,0)),"(sin catálogo)"))</f>
        <v/>
      </c>
      <c r="Z298" s="24">
        <f>IF($F298="","",IF((IFERROR(INDEX('CAT_CENTROS_COSTO'!$E$4:$E$28,MATCH($F298,'CAT_CENTROS_COSTO'!$A$4:$A$28,0)),""))&lt;&gt;"",IFERROR(INDEX('CAT_CENTROS_COSTO'!$E$4:$E$28,MATCH($F298,'CAT_CENTROS_COSTO'!$A$4:$A$28,0)),""),$Y298))</f>
        <v/>
      </c>
      <c r="AA298" s="24">
        <f>IF($F298="","",IFERROR(INDEX('CAT_CENTROS_COSTO'!$G$4:$G$28,MATCH($F298,'CAT_CENTROS_COSTO'!$A$4:$A$28,0)),"(sin catálogo)"))</f>
        <v/>
      </c>
      <c r="AB298" s="24">
        <f>IF($G298="","",IFERROR(INDEX('CAT_PUESTOS'!$B$4:$B$23,MATCH($G298,'CAT_PUESTOS'!$A$4:$A$23,0)),"(sin catálogo)"))</f>
        <v/>
      </c>
      <c r="AC298" s="24">
        <f>IF($H298="","",IFERROR(INDEX('CAT_ACTIVIDADES'!$B$4:$B$26,MATCH($H298,'CAT_ACTIVIDADES'!$A$4:$A$26,0)),"(sin catálogo)"))</f>
        <v/>
      </c>
      <c r="AD298" s="26">
        <f>IF($J298="","",TODAY()-$J298)</f>
        <v/>
      </c>
      <c r="AE298" s="26">
        <f>IF($J298="","",IF($J298&lt;=TODAY(),COUNTIFS(cal_fechas,"&gt;="&amp;$J298,cal_fechas,"&lt;"&amp;TODAY(),cal_habil,"sí"),-COUNTIFS(cal_fechas,"&gt;="&amp;TODAY(),cal_fechas,"&lt;"&amp;$J298,cal_habil,"sí")))</f>
        <v/>
      </c>
      <c r="AF298" s="24">
        <f>IF($AE298="","",IF($AE298&lt;0,"FUTURO",IF($AE298&gt;p_dias_backlog_max,"BACKLOG","MES CORRIENTE")))</f>
        <v/>
      </c>
      <c r="AG298" s="24">
        <f>IF($AE298="",FALSE,AND($AE298&gt;p_dias_backlog_min,$AE298&lt;=p_dias_backlog_max))</f>
        <v/>
      </c>
      <c r="AH298" s="4" t="n"/>
      <c r="AI298" s="24">
        <f>IF($AH298="","",IF((IFERROR(INDEX('ASIGNACIONES'!$J$4:$J$451,MATCH($O298&amp;"|"&amp;$S298&amp;"|"&amp;$AH298,'ASIGNACIONES'!$N$4:$N$451,0)),""))=0,"",IFERROR(INDEX('ASIGNACIONES'!$J$4:$J$451,MATCH($O298&amp;"|"&amp;$S298&amp;"|"&amp;$AH298,'ASIGNACIONES'!$N$4:$N$451,0)),"")))</f>
        <v/>
      </c>
      <c r="AJ298" s="42">
        <f>IF($AH298="","",SUMIFS('ORDENES'!$M$4:$M$1203,'ORDENES'!$AH$4:$AH$1203,$AH298,'ORDENES'!$O$4:$O$1203,$O298,'ORDENES'!$S$4:$S$1203,$S298))</f>
        <v/>
      </c>
      <c r="AK298" s="42">
        <f>IF($AJ298="","",p_factor_productividad*IFERROR(INDEX('ASIGNACIONES'!$M$4:$M$451,MATCH($O298&amp;"|"&amp;$S298&amp;"|"&amp;$AH298,'ASIGNACIONES'!$N$4:$N$451,0)),0)-$AJ298)</f>
        <v/>
      </c>
      <c r="AL298" s="32">
        <f>IF($A298="","",IFERROR(INDEX('2_IMPORTAR_EJECUCION'!$F$9:$F$1208,MATCH($AU298,'2_IMPORTAR_EJECUCION'!$J$9:$J$1208,0)),0))</f>
        <v/>
      </c>
      <c r="AM298" s="32">
        <f>IF($A298="","",MAX(0,IFERROR(INDEX('2_IMPORTAR_EJECUCION'!$H$9:$H$1208,MATCH($AU298,'2_IMPORTAR_EJECUCION'!$J$9:$J$1208,0)),0)-$AL298))</f>
        <v/>
      </c>
      <c r="AN298" s="32">
        <f>IF($A298="","",$AL298+$AM298)</f>
        <v/>
      </c>
      <c r="AO298" s="24">
        <f>IF($A298="","",IF(OR((IFERROR(INDEX('CAT_ACTIVIDADES'!$D$4:$D$26,MATCH($H298,'CAT_ACTIVIDADES'!$A$4:$A$26,0)),""))=0,(IFERROR(INDEX('CAT_ACTIVIDADES'!$D$4:$D$26,MATCH($H298,'CAT_ACTIVIDADES'!$A$4:$A$26,0)),""))=""),"SIN CLASIFICAR",IFERROR(INDEX('CAT_ACTIVIDADES'!$D$4:$D$26,MATCH($H298,'CAT_ACTIVIDADES'!$A$4:$A$26,0)),"")))</f>
        <v/>
      </c>
      <c r="AP298" s="4" t="n"/>
      <c r="AQ298" s="4" t="n"/>
      <c r="AR298" s="4" t="n"/>
      <c r="AS298" s="24">
        <f>IF($AR298="","",HYPERLINK(p_ruta_base_checklists&amp;$AR298,"abrir"))</f>
        <v/>
      </c>
      <c r="AT298" s="4" t="n"/>
      <c r="AU298" s="24">
        <f>IF($A298="","",$A298&amp;IF($B298="","0010",$B298))</f>
        <v/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41" t="n"/>
      <c r="K299" s="5" t="n"/>
      <c r="L299" s="18" t="n"/>
      <c r="M299" s="24">
        <f>IF($A299="","",IFERROR(INDEX('AJUSTES'!$B$4:$B$303,MATCH($AU299,'AJUSTES'!$A$4:$A$303,0)),IF($K299="","",$K299)))</f>
        <v/>
      </c>
      <c r="N299" s="24">
        <f>IF($A299="","",IFERROR(INDEX('CAT_ESTADOS_ERP'!$B$4:$B$22,MATCH(IFERROR(INDEX('2_IMPORTAR_EJECUCION'!$C$9:$C$1208,MATCH($AU299,'2_IMPORTAR_EJECUCION'!$J$9:$J$1208,0)),""),'CAT_ESTADOS_ERP'!$A$4:$A$22,0)),"Pendiente"))</f>
        <v/>
      </c>
      <c r="O299" s="24">
        <f>IF($J299="","",YEAR($J299+4-WEEKDAY($J299,2))&amp;"-S"&amp;TEXT(_xlfn.ISOWEEKNUM($J299),"00"))</f>
        <v/>
      </c>
      <c r="P299" s="24">
        <f>IF($J299="","",YEAR($J299))</f>
        <v/>
      </c>
      <c r="Q299" s="24">
        <f>IF($J299="","",MONTH($J299))</f>
        <v/>
      </c>
      <c r="R299" s="24">
        <f>IF($J299="","",$P299&amp;"-"&amp;TEXT($Q299,"00"))</f>
        <v/>
      </c>
      <c r="S299" s="24">
        <f>IF($J299="","",INDEX(lista_dias,WEEKDAY($J299,2)))</f>
        <v/>
      </c>
      <c r="T299" s="24">
        <f>IF($J299="","",IFERROR(INDEX('CALENDARIO'!$C$15:$C$214,MATCH(TEXT($J299,"yyyy-mm-dd")&amp;"|"&amp;$Y299&amp;"|"&amp;$Z299,'CALENDARIO'!$G$15:$G$214,0)),IFERROR(INDEX('CALENDARIO'!$C$15:$C$214,MATCH(TEXT($J299,"yyyy-mm-dd")&amp;"|"&amp;$Y299&amp;"|",'CALENDARIO'!$G$15:$G$214,0)),IFERROR(INDEX('CALENDARIO'!$C$15:$C$214,MATCH(TEXT($J299,"yyyy-mm-dd")&amp;"||",'CALENDARIO'!$G$15:$G$214,0)),INDEX(patronHabil,WEEKDAY($J299,2))))))</f>
        <v/>
      </c>
      <c r="U299" s="24">
        <f>IF($I299="","",IFERROR(INDEX('CAT_TIPOS_OT'!$C$4:$C$23,MATCH($I299,'CAT_TIPOS_OT'!$A$4:$A$23,0)),"sin_clasificar"))</f>
        <v/>
      </c>
      <c r="V299" s="24">
        <f>IF($I299="","",IF(IFERROR(INDEX('CAT_TIPOS_OT'!$D$4:$D$23,MATCH($I299,'CAT_TIPOS_OT'!$A$4:$A$23,0)),"SIN CLASIFICAR")="","SIN CLASIFICAR",IFERROR(INDEX('CAT_TIPOS_OT'!$D$4:$D$23,MATCH($I299,'CAT_TIPOS_OT'!$A$4:$A$23,0)),"SIN CLASIFICAR")))</f>
        <v/>
      </c>
      <c r="W299" s="24">
        <f>IF($H299="","",IF(IFERROR(INDEX('CAT_ACTIVIDADES'!$F$4:$F$26,MATCH($H299,'CAT_ACTIVIDADES'!$A$4:$A$26,0)),"")=0,"",IFERROR(INDEX('CAT_ACTIVIDADES'!$F$4:$F$26,MATCH($H299,'CAT_ACTIVIDADES'!$A$4:$A$26,0)),"")))</f>
        <v/>
      </c>
      <c r="X299" s="24">
        <f>IF($F299="","",IFERROR(INDEX('CAT_CENTROS_COSTO'!$F$4:$F$28,MATCH($F299,'CAT_CENTROS_COSTO'!$A$4:$A$28,0)),"(sin catálogo)"))</f>
        <v/>
      </c>
      <c r="Y299" s="24">
        <f>IF($F299="","",IFERROR(INDEX('CAT_CENTROS_COSTO'!$D$4:$D$28,MATCH($F299,'CAT_CENTROS_COSTO'!$A$4:$A$28,0)),"(sin catálogo)"))</f>
        <v/>
      </c>
      <c r="Z299" s="24">
        <f>IF($F299="","",IF((IFERROR(INDEX('CAT_CENTROS_COSTO'!$E$4:$E$28,MATCH($F299,'CAT_CENTROS_COSTO'!$A$4:$A$28,0)),""))&lt;&gt;"",IFERROR(INDEX('CAT_CENTROS_COSTO'!$E$4:$E$28,MATCH($F299,'CAT_CENTROS_COSTO'!$A$4:$A$28,0)),""),$Y299))</f>
        <v/>
      </c>
      <c r="AA299" s="24">
        <f>IF($F299="","",IFERROR(INDEX('CAT_CENTROS_COSTO'!$G$4:$G$28,MATCH($F299,'CAT_CENTROS_COSTO'!$A$4:$A$28,0)),"(sin catálogo)"))</f>
        <v/>
      </c>
      <c r="AB299" s="24">
        <f>IF($G299="","",IFERROR(INDEX('CAT_PUESTOS'!$B$4:$B$23,MATCH($G299,'CAT_PUESTOS'!$A$4:$A$23,0)),"(sin catálogo)"))</f>
        <v/>
      </c>
      <c r="AC299" s="24">
        <f>IF($H299="","",IFERROR(INDEX('CAT_ACTIVIDADES'!$B$4:$B$26,MATCH($H299,'CAT_ACTIVIDADES'!$A$4:$A$26,0)),"(sin catálogo)"))</f>
        <v/>
      </c>
      <c r="AD299" s="26">
        <f>IF($J299="","",TODAY()-$J299)</f>
        <v/>
      </c>
      <c r="AE299" s="26">
        <f>IF($J299="","",IF($J299&lt;=TODAY(),COUNTIFS(cal_fechas,"&gt;="&amp;$J299,cal_fechas,"&lt;"&amp;TODAY(),cal_habil,"sí"),-COUNTIFS(cal_fechas,"&gt;="&amp;TODAY(),cal_fechas,"&lt;"&amp;$J299,cal_habil,"sí")))</f>
        <v/>
      </c>
      <c r="AF299" s="24">
        <f>IF($AE299="","",IF($AE299&lt;0,"FUTURO",IF($AE299&gt;p_dias_backlog_max,"BACKLOG","MES CORRIENTE")))</f>
        <v/>
      </c>
      <c r="AG299" s="24">
        <f>IF($AE299="",FALSE,AND($AE299&gt;p_dias_backlog_min,$AE299&lt;=p_dias_backlog_max))</f>
        <v/>
      </c>
      <c r="AH299" s="4" t="n"/>
      <c r="AI299" s="24">
        <f>IF($AH299="","",IF((IFERROR(INDEX('ASIGNACIONES'!$J$4:$J$451,MATCH($O299&amp;"|"&amp;$S299&amp;"|"&amp;$AH299,'ASIGNACIONES'!$N$4:$N$451,0)),""))=0,"",IFERROR(INDEX('ASIGNACIONES'!$J$4:$J$451,MATCH($O299&amp;"|"&amp;$S299&amp;"|"&amp;$AH299,'ASIGNACIONES'!$N$4:$N$451,0)),"")))</f>
        <v/>
      </c>
      <c r="AJ299" s="42">
        <f>IF($AH299="","",SUMIFS('ORDENES'!$M$4:$M$1203,'ORDENES'!$AH$4:$AH$1203,$AH299,'ORDENES'!$O$4:$O$1203,$O299,'ORDENES'!$S$4:$S$1203,$S299))</f>
        <v/>
      </c>
      <c r="AK299" s="42">
        <f>IF($AJ299="","",p_factor_productividad*IFERROR(INDEX('ASIGNACIONES'!$M$4:$M$451,MATCH($O299&amp;"|"&amp;$S299&amp;"|"&amp;$AH299,'ASIGNACIONES'!$N$4:$N$451,0)),0)-$AJ299)</f>
        <v/>
      </c>
      <c r="AL299" s="32">
        <f>IF($A299="","",IFERROR(INDEX('2_IMPORTAR_EJECUCION'!$F$9:$F$1208,MATCH($AU299,'2_IMPORTAR_EJECUCION'!$J$9:$J$1208,0)),0))</f>
        <v/>
      </c>
      <c r="AM299" s="32">
        <f>IF($A299="","",MAX(0,IFERROR(INDEX('2_IMPORTAR_EJECUCION'!$H$9:$H$1208,MATCH($AU299,'2_IMPORTAR_EJECUCION'!$J$9:$J$1208,0)),0)-$AL299))</f>
        <v/>
      </c>
      <c r="AN299" s="32">
        <f>IF($A299="","",$AL299+$AM299)</f>
        <v/>
      </c>
      <c r="AO299" s="24">
        <f>IF($A299="","",IF(OR((IFERROR(INDEX('CAT_ACTIVIDADES'!$D$4:$D$26,MATCH($H299,'CAT_ACTIVIDADES'!$A$4:$A$26,0)),""))=0,(IFERROR(INDEX('CAT_ACTIVIDADES'!$D$4:$D$26,MATCH($H299,'CAT_ACTIVIDADES'!$A$4:$A$26,0)),""))=""),"SIN CLASIFICAR",IFERROR(INDEX('CAT_ACTIVIDADES'!$D$4:$D$26,MATCH($H299,'CAT_ACTIVIDADES'!$A$4:$A$26,0)),"")))</f>
        <v/>
      </c>
      <c r="AP299" s="4" t="n"/>
      <c r="AQ299" s="4" t="n"/>
      <c r="AR299" s="4" t="n"/>
      <c r="AS299" s="24">
        <f>IF($AR299="","",HYPERLINK(p_ruta_base_checklists&amp;$AR299,"abrir"))</f>
        <v/>
      </c>
      <c r="AT299" s="4" t="n"/>
      <c r="AU299" s="24">
        <f>IF($A299="","",$A299&amp;IF($B299="","0010",$B299))</f>
        <v/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41" t="n"/>
      <c r="K300" s="5" t="n"/>
      <c r="L300" s="18" t="n"/>
      <c r="M300" s="24">
        <f>IF($A300="","",IFERROR(INDEX('AJUSTES'!$B$4:$B$303,MATCH($AU300,'AJUSTES'!$A$4:$A$303,0)),IF($K300="","",$K300)))</f>
        <v/>
      </c>
      <c r="N300" s="24">
        <f>IF($A300="","",IFERROR(INDEX('CAT_ESTADOS_ERP'!$B$4:$B$22,MATCH(IFERROR(INDEX('2_IMPORTAR_EJECUCION'!$C$9:$C$1208,MATCH($AU300,'2_IMPORTAR_EJECUCION'!$J$9:$J$1208,0)),""),'CAT_ESTADOS_ERP'!$A$4:$A$22,0)),"Pendiente"))</f>
        <v/>
      </c>
      <c r="O300" s="24">
        <f>IF($J300="","",YEAR($J300+4-WEEKDAY($J300,2))&amp;"-S"&amp;TEXT(_xlfn.ISOWEEKNUM($J300),"00"))</f>
        <v/>
      </c>
      <c r="P300" s="24">
        <f>IF($J300="","",YEAR($J300))</f>
        <v/>
      </c>
      <c r="Q300" s="24">
        <f>IF($J300="","",MONTH($J300))</f>
        <v/>
      </c>
      <c r="R300" s="24">
        <f>IF($J300="","",$P300&amp;"-"&amp;TEXT($Q300,"00"))</f>
        <v/>
      </c>
      <c r="S300" s="24">
        <f>IF($J300="","",INDEX(lista_dias,WEEKDAY($J300,2)))</f>
        <v/>
      </c>
      <c r="T300" s="24">
        <f>IF($J300="","",IFERROR(INDEX('CALENDARIO'!$C$15:$C$214,MATCH(TEXT($J300,"yyyy-mm-dd")&amp;"|"&amp;$Y300&amp;"|"&amp;$Z300,'CALENDARIO'!$G$15:$G$214,0)),IFERROR(INDEX('CALENDARIO'!$C$15:$C$214,MATCH(TEXT($J300,"yyyy-mm-dd")&amp;"|"&amp;$Y300&amp;"|",'CALENDARIO'!$G$15:$G$214,0)),IFERROR(INDEX('CALENDARIO'!$C$15:$C$214,MATCH(TEXT($J300,"yyyy-mm-dd")&amp;"||",'CALENDARIO'!$G$15:$G$214,0)),INDEX(patronHabil,WEEKDAY($J300,2))))))</f>
        <v/>
      </c>
      <c r="U300" s="24">
        <f>IF($I300="","",IFERROR(INDEX('CAT_TIPOS_OT'!$C$4:$C$23,MATCH($I300,'CAT_TIPOS_OT'!$A$4:$A$23,0)),"sin_clasificar"))</f>
        <v/>
      </c>
      <c r="V300" s="24">
        <f>IF($I300="","",IF(IFERROR(INDEX('CAT_TIPOS_OT'!$D$4:$D$23,MATCH($I300,'CAT_TIPOS_OT'!$A$4:$A$23,0)),"SIN CLASIFICAR")="","SIN CLASIFICAR",IFERROR(INDEX('CAT_TIPOS_OT'!$D$4:$D$23,MATCH($I300,'CAT_TIPOS_OT'!$A$4:$A$23,0)),"SIN CLASIFICAR")))</f>
        <v/>
      </c>
      <c r="W300" s="24">
        <f>IF($H300="","",IF(IFERROR(INDEX('CAT_ACTIVIDADES'!$F$4:$F$26,MATCH($H300,'CAT_ACTIVIDADES'!$A$4:$A$26,0)),"")=0,"",IFERROR(INDEX('CAT_ACTIVIDADES'!$F$4:$F$26,MATCH($H300,'CAT_ACTIVIDADES'!$A$4:$A$26,0)),"")))</f>
        <v/>
      </c>
      <c r="X300" s="24">
        <f>IF($F300="","",IFERROR(INDEX('CAT_CENTROS_COSTO'!$F$4:$F$28,MATCH($F300,'CAT_CENTROS_COSTO'!$A$4:$A$28,0)),"(sin catálogo)"))</f>
        <v/>
      </c>
      <c r="Y300" s="24">
        <f>IF($F300="","",IFERROR(INDEX('CAT_CENTROS_COSTO'!$D$4:$D$28,MATCH($F300,'CAT_CENTROS_COSTO'!$A$4:$A$28,0)),"(sin catálogo)"))</f>
        <v/>
      </c>
      <c r="Z300" s="24">
        <f>IF($F300="","",IF((IFERROR(INDEX('CAT_CENTROS_COSTO'!$E$4:$E$28,MATCH($F300,'CAT_CENTROS_COSTO'!$A$4:$A$28,0)),""))&lt;&gt;"",IFERROR(INDEX('CAT_CENTROS_COSTO'!$E$4:$E$28,MATCH($F300,'CAT_CENTROS_COSTO'!$A$4:$A$28,0)),""),$Y300))</f>
        <v/>
      </c>
      <c r="AA300" s="24">
        <f>IF($F300="","",IFERROR(INDEX('CAT_CENTROS_COSTO'!$G$4:$G$28,MATCH($F300,'CAT_CENTROS_COSTO'!$A$4:$A$28,0)),"(sin catálogo)"))</f>
        <v/>
      </c>
      <c r="AB300" s="24">
        <f>IF($G300="","",IFERROR(INDEX('CAT_PUESTOS'!$B$4:$B$23,MATCH($G300,'CAT_PUESTOS'!$A$4:$A$23,0)),"(sin catálogo)"))</f>
        <v/>
      </c>
      <c r="AC300" s="24">
        <f>IF($H300="","",IFERROR(INDEX('CAT_ACTIVIDADES'!$B$4:$B$26,MATCH($H300,'CAT_ACTIVIDADES'!$A$4:$A$26,0)),"(sin catálogo)"))</f>
        <v/>
      </c>
      <c r="AD300" s="26">
        <f>IF($J300="","",TODAY()-$J300)</f>
        <v/>
      </c>
      <c r="AE300" s="26">
        <f>IF($J300="","",IF($J300&lt;=TODAY(),COUNTIFS(cal_fechas,"&gt;="&amp;$J300,cal_fechas,"&lt;"&amp;TODAY(),cal_habil,"sí"),-COUNTIFS(cal_fechas,"&gt;="&amp;TODAY(),cal_fechas,"&lt;"&amp;$J300,cal_habil,"sí")))</f>
        <v/>
      </c>
      <c r="AF300" s="24">
        <f>IF($AE300="","",IF($AE300&lt;0,"FUTURO",IF($AE300&gt;p_dias_backlog_max,"BACKLOG","MES CORRIENTE")))</f>
        <v/>
      </c>
      <c r="AG300" s="24">
        <f>IF($AE300="",FALSE,AND($AE300&gt;p_dias_backlog_min,$AE300&lt;=p_dias_backlog_max))</f>
        <v/>
      </c>
      <c r="AH300" s="4" t="n"/>
      <c r="AI300" s="24">
        <f>IF($AH300="","",IF((IFERROR(INDEX('ASIGNACIONES'!$J$4:$J$451,MATCH($O300&amp;"|"&amp;$S300&amp;"|"&amp;$AH300,'ASIGNACIONES'!$N$4:$N$451,0)),""))=0,"",IFERROR(INDEX('ASIGNACIONES'!$J$4:$J$451,MATCH($O300&amp;"|"&amp;$S300&amp;"|"&amp;$AH300,'ASIGNACIONES'!$N$4:$N$451,0)),"")))</f>
        <v/>
      </c>
      <c r="AJ300" s="42">
        <f>IF($AH300="","",SUMIFS('ORDENES'!$M$4:$M$1203,'ORDENES'!$AH$4:$AH$1203,$AH300,'ORDENES'!$O$4:$O$1203,$O300,'ORDENES'!$S$4:$S$1203,$S300))</f>
        <v/>
      </c>
      <c r="AK300" s="42">
        <f>IF($AJ300="","",p_factor_productividad*IFERROR(INDEX('ASIGNACIONES'!$M$4:$M$451,MATCH($O300&amp;"|"&amp;$S300&amp;"|"&amp;$AH300,'ASIGNACIONES'!$N$4:$N$451,0)),0)-$AJ300)</f>
        <v/>
      </c>
      <c r="AL300" s="32">
        <f>IF($A300="","",IFERROR(INDEX('2_IMPORTAR_EJECUCION'!$F$9:$F$1208,MATCH($AU300,'2_IMPORTAR_EJECUCION'!$J$9:$J$1208,0)),0))</f>
        <v/>
      </c>
      <c r="AM300" s="32">
        <f>IF($A300="","",MAX(0,IFERROR(INDEX('2_IMPORTAR_EJECUCION'!$H$9:$H$1208,MATCH($AU300,'2_IMPORTAR_EJECUCION'!$J$9:$J$1208,0)),0)-$AL300))</f>
        <v/>
      </c>
      <c r="AN300" s="32">
        <f>IF($A300="","",$AL300+$AM300)</f>
        <v/>
      </c>
      <c r="AO300" s="24">
        <f>IF($A300="","",IF(OR((IFERROR(INDEX('CAT_ACTIVIDADES'!$D$4:$D$26,MATCH($H300,'CAT_ACTIVIDADES'!$A$4:$A$26,0)),""))=0,(IFERROR(INDEX('CAT_ACTIVIDADES'!$D$4:$D$26,MATCH($H300,'CAT_ACTIVIDADES'!$A$4:$A$26,0)),""))=""),"SIN CLASIFICAR",IFERROR(INDEX('CAT_ACTIVIDADES'!$D$4:$D$26,MATCH($H300,'CAT_ACTIVIDADES'!$A$4:$A$26,0)),"")))</f>
        <v/>
      </c>
      <c r="AP300" s="4" t="n"/>
      <c r="AQ300" s="4" t="n"/>
      <c r="AR300" s="4" t="n"/>
      <c r="AS300" s="24">
        <f>IF($AR300="","",HYPERLINK(p_ruta_base_checklists&amp;$AR300,"abrir"))</f>
        <v/>
      </c>
      <c r="AT300" s="4" t="n"/>
      <c r="AU300" s="24">
        <f>IF($A300="","",$A300&amp;IF($B300="","0010",$B300))</f>
        <v/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41" t="n"/>
      <c r="K301" s="5" t="n"/>
      <c r="L301" s="18" t="n"/>
      <c r="M301" s="24">
        <f>IF($A301="","",IFERROR(INDEX('AJUSTES'!$B$4:$B$303,MATCH($AU301,'AJUSTES'!$A$4:$A$303,0)),IF($K301="","",$K301)))</f>
        <v/>
      </c>
      <c r="N301" s="24">
        <f>IF($A301="","",IFERROR(INDEX('CAT_ESTADOS_ERP'!$B$4:$B$22,MATCH(IFERROR(INDEX('2_IMPORTAR_EJECUCION'!$C$9:$C$1208,MATCH($AU301,'2_IMPORTAR_EJECUCION'!$J$9:$J$1208,0)),""),'CAT_ESTADOS_ERP'!$A$4:$A$22,0)),"Pendiente"))</f>
        <v/>
      </c>
      <c r="O301" s="24">
        <f>IF($J301="","",YEAR($J301+4-WEEKDAY($J301,2))&amp;"-S"&amp;TEXT(_xlfn.ISOWEEKNUM($J301),"00"))</f>
        <v/>
      </c>
      <c r="P301" s="24">
        <f>IF($J301="","",YEAR($J301))</f>
        <v/>
      </c>
      <c r="Q301" s="24">
        <f>IF($J301="","",MONTH($J301))</f>
        <v/>
      </c>
      <c r="R301" s="24">
        <f>IF($J301="","",$P301&amp;"-"&amp;TEXT($Q301,"00"))</f>
        <v/>
      </c>
      <c r="S301" s="24">
        <f>IF($J301="","",INDEX(lista_dias,WEEKDAY($J301,2)))</f>
        <v/>
      </c>
      <c r="T301" s="24">
        <f>IF($J301="","",IFERROR(INDEX('CALENDARIO'!$C$15:$C$214,MATCH(TEXT($J301,"yyyy-mm-dd")&amp;"|"&amp;$Y301&amp;"|"&amp;$Z301,'CALENDARIO'!$G$15:$G$214,0)),IFERROR(INDEX('CALENDARIO'!$C$15:$C$214,MATCH(TEXT($J301,"yyyy-mm-dd")&amp;"|"&amp;$Y301&amp;"|",'CALENDARIO'!$G$15:$G$214,0)),IFERROR(INDEX('CALENDARIO'!$C$15:$C$214,MATCH(TEXT($J301,"yyyy-mm-dd")&amp;"||",'CALENDARIO'!$G$15:$G$214,0)),INDEX(patronHabil,WEEKDAY($J301,2))))))</f>
        <v/>
      </c>
      <c r="U301" s="24">
        <f>IF($I301="","",IFERROR(INDEX('CAT_TIPOS_OT'!$C$4:$C$23,MATCH($I301,'CAT_TIPOS_OT'!$A$4:$A$23,0)),"sin_clasificar"))</f>
        <v/>
      </c>
      <c r="V301" s="24">
        <f>IF($I301="","",IF(IFERROR(INDEX('CAT_TIPOS_OT'!$D$4:$D$23,MATCH($I301,'CAT_TIPOS_OT'!$A$4:$A$23,0)),"SIN CLASIFICAR")="","SIN CLASIFICAR",IFERROR(INDEX('CAT_TIPOS_OT'!$D$4:$D$23,MATCH($I301,'CAT_TIPOS_OT'!$A$4:$A$23,0)),"SIN CLASIFICAR")))</f>
        <v/>
      </c>
      <c r="W301" s="24">
        <f>IF($H301="","",IF(IFERROR(INDEX('CAT_ACTIVIDADES'!$F$4:$F$26,MATCH($H301,'CAT_ACTIVIDADES'!$A$4:$A$26,0)),"")=0,"",IFERROR(INDEX('CAT_ACTIVIDADES'!$F$4:$F$26,MATCH($H301,'CAT_ACTIVIDADES'!$A$4:$A$26,0)),"")))</f>
        <v/>
      </c>
      <c r="X301" s="24">
        <f>IF($F301="","",IFERROR(INDEX('CAT_CENTROS_COSTO'!$F$4:$F$28,MATCH($F301,'CAT_CENTROS_COSTO'!$A$4:$A$28,0)),"(sin catálogo)"))</f>
        <v/>
      </c>
      <c r="Y301" s="24">
        <f>IF($F301="","",IFERROR(INDEX('CAT_CENTROS_COSTO'!$D$4:$D$28,MATCH($F301,'CAT_CENTROS_COSTO'!$A$4:$A$28,0)),"(sin catálogo)"))</f>
        <v/>
      </c>
      <c r="Z301" s="24">
        <f>IF($F301="","",IF((IFERROR(INDEX('CAT_CENTROS_COSTO'!$E$4:$E$28,MATCH($F301,'CAT_CENTROS_COSTO'!$A$4:$A$28,0)),""))&lt;&gt;"",IFERROR(INDEX('CAT_CENTROS_COSTO'!$E$4:$E$28,MATCH($F301,'CAT_CENTROS_COSTO'!$A$4:$A$28,0)),""),$Y301))</f>
        <v/>
      </c>
      <c r="AA301" s="24">
        <f>IF($F301="","",IFERROR(INDEX('CAT_CENTROS_COSTO'!$G$4:$G$28,MATCH($F301,'CAT_CENTROS_COSTO'!$A$4:$A$28,0)),"(sin catálogo)"))</f>
        <v/>
      </c>
      <c r="AB301" s="24">
        <f>IF($G301="","",IFERROR(INDEX('CAT_PUESTOS'!$B$4:$B$23,MATCH($G301,'CAT_PUESTOS'!$A$4:$A$23,0)),"(sin catálogo)"))</f>
        <v/>
      </c>
      <c r="AC301" s="24">
        <f>IF($H301="","",IFERROR(INDEX('CAT_ACTIVIDADES'!$B$4:$B$26,MATCH($H301,'CAT_ACTIVIDADES'!$A$4:$A$26,0)),"(sin catálogo)"))</f>
        <v/>
      </c>
      <c r="AD301" s="26">
        <f>IF($J301="","",TODAY()-$J301)</f>
        <v/>
      </c>
      <c r="AE301" s="26">
        <f>IF($J301="","",IF($J301&lt;=TODAY(),COUNTIFS(cal_fechas,"&gt;="&amp;$J301,cal_fechas,"&lt;"&amp;TODAY(),cal_habil,"sí"),-COUNTIFS(cal_fechas,"&gt;="&amp;TODAY(),cal_fechas,"&lt;"&amp;$J301,cal_habil,"sí")))</f>
        <v/>
      </c>
      <c r="AF301" s="24">
        <f>IF($AE301="","",IF($AE301&lt;0,"FUTURO",IF($AE301&gt;p_dias_backlog_max,"BACKLOG","MES CORRIENTE")))</f>
        <v/>
      </c>
      <c r="AG301" s="24">
        <f>IF($AE301="",FALSE,AND($AE301&gt;p_dias_backlog_min,$AE301&lt;=p_dias_backlog_max))</f>
        <v/>
      </c>
      <c r="AH301" s="4" t="n"/>
      <c r="AI301" s="24">
        <f>IF($AH301="","",IF((IFERROR(INDEX('ASIGNACIONES'!$J$4:$J$451,MATCH($O301&amp;"|"&amp;$S301&amp;"|"&amp;$AH301,'ASIGNACIONES'!$N$4:$N$451,0)),""))=0,"",IFERROR(INDEX('ASIGNACIONES'!$J$4:$J$451,MATCH($O301&amp;"|"&amp;$S301&amp;"|"&amp;$AH301,'ASIGNACIONES'!$N$4:$N$451,0)),"")))</f>
        <v/>
      </c>
      <c r="AJ301" s="42">
        <f>IF($AH301="","",SUMIFS('ORDENES'!$M$4:$M$1203,'ORDENES'!$AH$4:$AH$1203,$AH301,'ORDENES'!$O$4:$O$1203,$O301,'ORDENES'!$S$4:$S$1203,$S301))</f>
        <v/>
      </c>
      <c r="AK301" s="42">
        <f>IF($AJ301="","",p_factor_productividad*IFERROR(INDEX('ASIGNACIONES'!$M$4:$M$451,MATCH($O301&amp;"|"&amp;$S301&amp;"|"&amp;$AH301,'ASIGNACIONES'!$N$4:$N$451,0)),0)-$AJ301)</f>
        <v/>
      </c>
      <c r="AL301" s="32">
        <f>IF($A301="","",IFERROR(INDEX('2_IMPORTAR_EJECUCION'!$F$9:$F$1208,MATCH($AU301,'2_IMPORTAR_EJECUCION'!$J$9:$J$1208,0)),0))</f>
        <v/>
      </c>
      <c r="AM301" s="32">
        <f>IF($A301="","",MAX(0,IFERROR(INDEX('2_IMPORTAR_EJECUCION'!$H$9:$H$1208,MATCH($AU301,'2_IMPORTAR_EJECUCION'!$J$9:$J$1208,0)),0)-$AL301))</f>
        <v/>
      </c>
      <c r="AN301" s="32">
        <f>IF($A301="","",$AL301+$AM301)</f>
        <v/>
      </c>
      <c r="AO301" s="24">
        <f>IF($A301="","",IF(OR((IFERROR(INDEX('CAT_ACTIVIDADES'!$D$4:$D$26,MATCH($H301,'CAT_ACTIVIDADES'!$A$4:$A$26,0)),""))=0,(IFERROR(INDEX('CAT_ACTIVIDADES'!$D$4:$D$26,MATCH($H301,'CAT_ACTIVIDADES'!$A$4:$A$26,0)),""))=""),"SIN CLASIFICAR",IFERROR(INDEX('CAT_ACTIVIDADES'!$D$4:$D$26,MATCH($H301,'CAT_ACTIVIDADES'!$A$4:$A$26,0)),"")))</f>
        <v/>
      </c>
      <c r="AP301" s="4" t="n"/>
      <c r="AQ301" s="4" t="n"/>
      <c r="AR301" s="4" t="n"/>
      <c r="AS301" s="24">
        <f>IF($AR301="","",HYPERLINK(p_ruta_base_checklists&amp;$AR301,"abrir"))</f>
        <v/>
      </c>
      <c r="AT301" s="4" t="n"/>
      <c r="AU301" s="24">
        <f>IF($A301="","",$A301&amp;IF($B301="","0010",$B301))</f>
        <v/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41" t="n"/>
      <c r="K302" s="5" t="n"/>
      <c r="L302" s="18" t="n"/>
      <c r="M302" s="24">
        <f>IF($A302="","",IFERROR(INDEX('AJUSTES'!$B$4:$B$303,MATCH($AU302,'AJUSTES'!$A$4:$A$303,0)),IF($K302="","",$K302)))</f>
        <v/>
      </c>
      <c r="N302" s="24">
        <f>IF($A302="","",IFERROR(INDEX('CAT_ESTADOS_ERP'!$B$4:$B$22,MATCH(IFERROR(INDEX('2_IMPORTAR_EJECUCION'!$C$9:$C$1208,MATCH($AU302,'2_IMPORTAR_EJECUCION'!$J$9:$J$1208,0)),""),'CAT_ESTADOS_ERP'!$A$4:$A$22,0)),"Pendiente"))</f>
        <v/>
      </c>
      <c r="O302" s="24">
        <f>IF($J302="","",YEAR($J302+4-WEEKDAY($J302,2))&amp;"-S"&amp;TEXT(_xlfn.ISOWEEKNUM($J302),"00"))</f>
        <v/>
      </c>
      <c r="P302" s="24">
        <f>IF($J302="","",YEAR($J302))</f>
        <v/>
      </c>
      <c r="Q302" s="24">
        <f>IF($J302="","",MONTH($J302))</f>
        <v/>
      </c>
      <c r="R302" s="24">
        <f>IF($J302="","",$P302&amp;"-"&amp;TEXT($Q302,"00"))</f>
        <v/>
      </c>
      <c r="S302" s="24">
        <f>IF($J302="","",INDEX(lista_dias,WEEKDAY($J302,2)))</f>
        <v/>
      </c>
      <c r="T302" s="24">
        <f>IF($J302="","",IFERROR(INDEX('CALENDARIO'!$C$15:$C$214,MATCH(TEXT($J302,"yyyy-mm-dd")&amp;"|"&amp;$Y302&amp;"|"&amp;$Z302,'CALENDARIO'!$G$15:$G$214,0)),IFERROR(INDEX('CALENDARIO'!$C$15:$C$214,MATCH(TEXT($J302,"yyyy-mm-dd")&amp;"|"&amp;$Y302&amp;"|",'CALENDARIO'!$G$15:$G$214,0)),IFERROR(INDEX('CALENDARIO'!$C$15:$C$214,MATCH(TEXT($J302,"yyyy-mm-dd")&amp;"||",'CALENDARIO'!$G$15:$G$214,0)),INDEX(patronHabil,WEEKDAY($J302,2))))))</f>
        <v/>
      </c>
      <c r="U302" s="24">
        <f>IF($I302="","",IFERROR(INDEX('CAT_TIPOS_OT'!$C$4:$C$23,MATCH($I302,'CAT_TIPOS_OT'!$A$4:$A$23,0)),"sin_clasificar"))</f>
        <v/>
      </c>
      <c r="V302" s="24">
        <f>IF($I302="","",IF(IFERROR(INDEX('CAT_TIPOS_OT'!$D$4:$D$23,MATCH($I302,'CAT_TIPOS_OT'!$A$4:$A$23,0)),"SIN CLASIFICAR")="","SIN CLASIFICAR",IFERROR(INDEX('CAT_TIPOS_OT'!$D$4:$D$23,MATCH($I302,'CAT_TIPOS_OT'!$A$4:$A$23,0)),"SIN CLASIFICAR")))</f>
        <v/>
      </c>
      <c r="W302" s="24">
        <f>IF($H302="","",IF(IFERROR(INDEX('CAT_ACTIVIDADES'!$F$4:$F$26,MATCH($H302,'CAT_ACTIVIDADES'!$A$4:$A$26,0)),"")=0,"",IFERROR(INDEX('CAT_ACTIVIDADES'!$F$4:$F$26,MATCH($H302,'CAT_ACTIVIDADES'!$A$4:$A$26,0)),"")))</f>
        <v/>
      </c>
      <c r="X302" s="24">
        <f>IF($F302="","",IFERROR(INDEX('CAT_CENTROS_COSTO'!$F$4:$F$28,MATCH($F302,'CAT_CENTROS_COSTO'!$A$4:$A$28,0)),"(sin catálogo)"))</f>
        <v/>
      </c>
      <c r="Y302" s="24">
        <f>IF($F302="","",IFERROR(INDEX('CAT_CENTROS_COSTO'!$D$4:$D$28,MATCH($F302,'CAT_CENTROS_COSTO'!$A$4:$A$28,0)),"(sin catálogo)"))</f>
        <v/>
      </c>
      <c r="Z302" s="24">
        <f>IF($F302="","",IF((IFERROR(INDEX('CAT_CENTROS_COSTO'!$E$4:$E$28,MATCH($F302,'CAT_CENTROS_COSTO'!$A$4:$A$28,0)),""))&lt;&gt;"",IFERROR(INDEX('CAT_CENTROS_COSTO'!$E$4:$E$28,MATCH($F302,'CAT_CENTROS_COSTO'!$A$4:$A$28,0)),""),$Y302))</f>
        <v/>
      </c>
      <c r="AA302" s="24">
        <f>IF($F302="","",IFERROR(INDEX('CAT_CENTROS_COSTO'!$G$4:$G$28,MATCH($F302,'CAT_CENTROS_COSTO'!$A$4:$A$28,0)),"(sin catálogo)"))</f>
        <v/>
      </c>
      <c r="AB302" s="24">
        <f>IF($G302="","",IFERROR(INDEX('CAT_PUESTOS'!$B$4:$B$23,MATCH($G302,'CAT_PUESTOS'!$A$4:$A$23,0)),"(sin catálogo)"))</f>
        <v/>
      </c>
      <c r="AC302" s="24">
        <f>IF($H302="","",IFERROR(INDEX('CAT_ACTIVIDADES'!$B$4:$B$26,MATCH($H302,'CAT_ACTIVIDADES'!$A$4:$A$26,0)),"(sin catálogo)"))</f>
        <v/>
      </c>
      <c r="AD302" s="26">
        <f>IF($J302="","",TODAY()-$J302)</f>
        <v/>
      </c>
      <c r="AE302" s="26">
        <f>IF($J302="","",IF($J302&lt;=TODAY(),COUNTIFS(cal_fechas,"&gt;="&amp;$J302,cal_fechas,"&lt;"&amp;TODAY(),cal_habil,"sí"),-COUNTIFS(cal_fechas,"&gt;="&amp;TODAY(),cal_fechas,"&lt;"&amp;$J302,cal_habil,"sí")))</f>
        <v/>
      </c>
      <c r="AF302" s="24">
        <f>IF($AE302="","",IF($AE302&lt;0,"FUTURO",IF($AE302&gt;p_dias_backlog_max,"BACKLOG","MES CORRIENTE")))</f>
        <v/>
      </c>
      <c r="AG302" s="24">
        <f>IF($AE302="",FALSE,AND($AE302&gt;p_dias_backlog_min,$AE302&lt;=p_dias_backlog_max))</f>
        <v/>
      </c>
      <c r="AH302" s="4" t="n"/>
      <c r="AI302" s="24">
        <f>IF($AH302="","",IF((IFERROR(INDEX('ASIGNACIONES'!$J$4:$J$451,MATCH($O302&amp;"|"&amp;$S302&amp;"|"&amp;$AH302,'ASIGNACIONES'!$N$4:$N$451,0)),""))=0,"",IFERROR(INDEX('ASIGNACIONES'!$J$4:$J$451,MATCH($O302&amp;"|"&amp;$S302&amp;"|"&amp;$AH302,'ASIGNACIONES'!$N$4:$N$451,0)),"")))</f>
        <v/>
      </c>
      <c r="AJ302" s="42">
        <f>IF($AH302="","",SUMIFS('ORDENES'!$M$4:$M$1203,'ORDENES'!$AH$4:$AH$1203,$AH302,'ORDENES'!$O$4:$O$1203,$O302,'ORDENES'!$S$4:$S$1203,$S302))</f>
        <v/>
      </c>
      <c r="AK302" s="42">
        <f>IF($AJ302="","",p_factor_productividad*IFERROR(INDEX('ASIGNACIONES'!$M$4:$M$451,MATCH($O302&amp;"|"&amp;$S302&amp;"|"&amp;$AH302,'ASIGNACIONES'!$N$4:$N$451,0)),0)-$AJ302)</f>
        <v/>
      </c>
      <c r="AL302" s="32">
        <f>IF($A302="","",IFERROR(INDEX('2_IMPORTAR_EJECUCION'!$F$9:$F$1208,MATCH($AU302,'2_IMPORTAR_EJECUCION'!$J$9:$J$1208,0)),0))</f>
        <v/>
      </c>
      <c r="AM302" s="32">
        <f>IF($A302="","",MAX(0,IFERROR(INDEX('2_IMPORTAR_EJECUCION'!$H$9:$H$1208,MATCH($AU302,'2_IMPORTAR_EJECUCION'!$J$9:$J$1208,0)),0)-$AL302))</f>
        <v/>
      </c>
      <c r="AN302" s="32">
        <f>IF($A302="","",$AL302+$AM302)</f>
        <v/>
      </c>
      <c r="AO302" s="24">
        <f>IF($A302="","",IF(OR((IFERROR(INDEX('CAT_ACTIVIDADES'!$D$4:$D$26,MATCH($H302,'CAT_ACTIVIDADES'!$A$4:$A$26,0)),""))=0,(IFERROR(INDEX('CAT_ACTIVIDADES'!$D$4:$D$26,MATCH($H302,'CAT_ACTIVIDADES'!$A$4:$A$26,0)),""))=""),"SIN CLASIFICAR",IFERROR(INDEX('CAT_ACTIVIDADES'!$D$4:$D$26,MATCH($H302,'CAT_ACTIVIDADES'!$A$4:$A$26,0)),"")))</f>
        <v/>
      </c>
      <c r="AP302" s="4" t="n"/>
      <c r="AQ302" s="4" t="n"/>
      <c r="AR302" s="4" t="n"/>
      <c r="AS302" s="24">
        <f>IF($AR302="","",HYPERLINK(p_ruta_base_checklists&amp;$AR302,"abrir"))</f>
        <v/>
      </c>
      <c r="AT302" s="4" t="n"/>
      <c r="AU302" s="24">
        <f>IF($A302="","",$A302&amp;IF($B302="","0010",$B302))</f>
        <v/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41" t="n"/>
      <c r="K303" s="5" t="n"/>
      <c r="L303" s="18" t="n"/>
      <c r="M303" s="24">
        <f>IF($A303="","",IFERROR(INDEX('AJUSTES'!$B$4:$B$303,MATCH($AU303,'AJUSTES'!$A$4:$A$303,0)),IF($K303="","",$K303)))</f>
        <v/>
      </c>
      <c r="N303" s="24">
        <f>IF($A303="","",IFERROR(INDEX('CAT_ESTADOS_ERP'!$B$4:$B$22,MATCH(IFERROR(INDEX('2_IMPORTAR_EJECUCION'!$C$9:$C$1208,MATCH($AU303,'2_IMPORTAR_EJECUCION'!$J$9:$J$1208,0)),""),'CAT_ESTADOS_ERP'!$A$4:$A$22,0)),"Pendiente"))</f>
        <v/>
      </c>
      <c r="O303" s="24">
        <f>IF($J303="","",YEAR($J303+4-WEEKDAY($J303,2))&amp;"-S"&amp;TEXT(_xlfn.ISOWEEKNUM($J303),"00"))</f>
        <v/>
      </c>
      <c r="P303" s="24">
        <f>IF($J303="","",YEAR($J303))</f>
        <v/>
      </c>
      <c r="Q303" s="24">
        <f>IF($J303="","",MONTH($J303))</f>
        <v/>
      </c>
      <c r="R303" s="24">
        <f>IF($J303="","",$P303&amp;"-"&amp;TEXT($Q303,"00"))</f>
        <v/>
      </c>
      <c r="S303" s="24">
        <f>IF($J303="","",INDEX(lista_dias,WEEKDAY($J303,2)))</f>
        <v/>
      </c>
      <c r="T303" s="24">
        <f>IF($J303="","",IFERROR(INDEX('CALENDARIO'!$C$15:$C$214,MATCH(TEXT($J303,"yyyy-mm-dd")&amp;"|"&amp;$Y303&amp;"|"&amp;$Z303,'CALENDARIO'!$G$15:$G$214,0)),IFERROR(INDEX('CALENDARIO'!$C$15:$C$214,MATCH(TEXT($J303,"yyyy-mm-dd")&amp;"|"&amp;$Y303&amp;"|",'CALENDARIO'!$G$15:$G$214,0)),IFERROR(INDEX('CALENDARIO'!$C$15:$C$214,MATCH(TEXT($J303,"yyyy-mm-dd")&amp;"||",'CALENDARIO'!$G$15:$G$214,0)),INDEX(patronHabil,WEEKDAY($J303,2))))))</f>
        <v/>
      </c>
      <c r="U303" s="24">
        <f>IF($I303="","",IFERROR(INDEX('CAT_TIPOS_OT'!$C$4:$C$23,MATCH($I303,'CAT_TIPOS_OT'!$A$4:$A$23,0)),"sin_clasificar"))</f>
        <v/>
      </c>
      <c r="V303" s="24">
        <f>IF($I303="","",IF(IFERROR(INDEX('CAT_TIPOS_OT'!$D$4:$D$23,MATCH($I303,'CAT_TIPOS_OT'!$A$4:$A$23,0)),"SIN CLASIFICAR")="","SIN CLASIFICAR",IFERROR(INDEX('CAT_TIPOS_OT'!$D$4:$D$23,MATCH($I303,'CAT_TIPOS_OT'!$A$4:$A$23,0)),"SIN CLASIFICAR")))</f>
        <v/>
      </c>
      <c r="W303" s="24">
        <f>IF($H303="","",IF(IFERROR(INDEX('CAT_ACTIVIDADES'!$F$4:$F$26,MATCH($H303,'CAT_ACTIVIDADES'!$A$4:$A$26,0)),"")=0,"",IFERROR(INDEX('CAT_ACTIVIDADES'!$F$4:$F$26,MATCH($H303,'CAT_ACTIVIDADES'!$A$4:$A$26,0)),"")))</f>
        <v/>
      </c>
      <c r="X303" s="24">
        <f>IF($F303="","",IFERROR(INDEX('CAT_CENTROS_COSTO'!$F$4:$F$28,MATCH($F303,'CAT_CENTROS_COSTO'!$A$4:$A$28,0)),"(sin catálogo)"))</f>
        <v/>
      </c>
      <c r="Y303" s="24">
        <f>IF($F303="","",IFERROR(INDEX('CAT_CENTROS_COSTO'!$D$4:$D$28,MATCH($F303,'CAT_CENTROS_COSTO'!$A$4:$A$28,0)),"(sin catálogo)"))</f>
        <v/>
      </c>
      <c r="Z303" s="24">
        <f>IF($F303="","",IF((IFERROR(INDEX('CAT_CENTROS_COSTO'!$E$4:$E$28,MATCH($F303,'CAT_CENTROS_COSTO'!$A$4:$A$28,0)),""))&lt;&gt;"",IFERROR(INDEX('CAT_CENTROS_COSTO'!$E$4:$E$28,MATCH($F303,'CAT_CENTROS_COSTO'!$A$4:$A$28,0)),""),$Y303))</f>
        <v/>
      </c>
      <c r="AA303" s="24">
        <f>IF($F303="","",IFERROR(INDEX('CAT_CENTROS_COSTO'!$G$4:$G$28,MATCH($F303,'CAT_CENTROS_COSTO'!$A$4:$A$28,0)),"(sin catálogo)"))</f>
        <v/>
      </c>
      <c r="AB303" s="24">
        <f>IF($G303="","",IFERROR(INDEX('CAT_PUESTOS'!$B$4:$B$23,MATCH($G303,'CAT_PUESTOS'!$A$4:$A$23,0)),"(sin catálogo)"))</f>
        <v/>
      </c>
      <c r="AC303" s="24">
        <f>IF($H303="","",IFERROR(INDEX('CAT_ACTIVIDADES'!$B$4:$B$26,MATCH($H303,'CAT_ACTIVIDADES'!$A$4:$A$26,0)),"(sin catálogo)"))</f>
        <v/>
      </c>
      <c r="AD303" s="26">
        <f>IF($J303="","",TODAY()-$J303)</f>
        <v/>
      </c>
      <c r="AE303" s="26">
        <f>IF($J303="","",IF($J303&lt;=TODAY(),COUNTIFS(cal_fechas,"&gt;="&amp;$J303,cal_fechas,"&lt;"&amp;TODAY(),cal_habil,"sí"),-COUNTIFS(cal_fechas,"&gt;="&amp;TODAY(),cal_fechas,"&lt;"&amp;$J303,cal_habil,"sí")))</f>
        <v/>
      </c>
      <c r="AF303" s="24">
        <f>IF($AE303="","",IF($AE303&lt;0,"FUTURO",IF($AE303&gt;p_dias_backlog_max,"BACKLOG","MES CORRIENTE")))</f>
        <v/>
      </c>
      <c r="AG303" s="24">
        <f>IF($AE303="",FALSE,AND($AE303&gt;p_dias_backlog_min,$AE303&lt;=p_dias_backlog_max))</f>
        <v/>
      </c>
      <c r="AH303" s="4" t="n"/>
      <c r="AI303" s="24">
        <f>IF($AH303="","",IF((IFERROR(INDEX('ASIGNACIONES'!$J$4:$J$451,MATCH($O303&amp;"|"&amp;$S303&amp;"|"&amp;$AH303,'ASIGNACIONES'!$N$4:$N$451,0)),""))=0,"",IFERROR(INDEX('ASIGNACIONES'!$J$4:$J$451,MATCH($O303&amp;"|"&amp;$S303&amp;"|"&amp;$AH303,'ASIGNACIONES'!$N$4:$N$451,0)),"")))</f>
        <v/>
      </c>
      <c r="AJ303" s="42">
        <f>IF($AH303="","",SUMIFS('ORDENES'!$M$4:$M$1203,'ORDENES'!$AH$4:$AH$1203,$AH303,'ORDENES'!$O$4:$O$1203,$O303,'ORDENES'!$S$4:$S$1203,$S303))</f>
        <v/>
      </c>
      <c r="AK303" s="42">
        <f>IF($AJ303="","",p_factor_productividad*IFERROR(INDEX('ASIGNACIONES'!$M$4:$M$451,MATCH($O303&amp;"|"&amp;$S303&amp;"|"&amp;$AH303,'ASIGNACIONES'!$N$4:$N$451,0)),0)-$AJ303)</f>
        <v/>
      </c>
      <c r="AL303" s="32">
        <f>IF($A303="","",IFERROR(INDEX('2_IMPORTAR_EJECUCION'!$F$9:$F$1208,MATCH($AU303,'2_IMPORTAR_EJECUCION'!$J$9:$J$1208,0)),0))</f>
        <v/>
      </c>
      <c r="AM303" s="32">
        <f>IF($A303="","",MAX(0,IFERROR(INDEX('2_IMPORTAR_EJECUCION'!$H$9:$H$1208,MATCH($AU303,'2_IMPORTAR_EJECUCION'!$J$9:$J$1208,0)),0)-$AL303))</f>
        <v/>
      </c>
      <c r="AN303" s="32">
        <f>IF($A303="","",$AL303+$AM303)</f>
        <v/>
      </c>
      <c r="AO303" s="24">
        <f>IF($A303="","",IF(OR((IFERROR(INDEX('CAT_ACTIVIDADES'!$D$4:$D$26,MATCH($H303,'CAT_ACTIVIDADES'!$A$4:$A$26,0)),""))=0,(IFERROR(INDEX('CAT_ACTIVIDADES'!$D$4:$D$26,MATCH($H303,'CAT_ACTIVIDADES'!$A$4:$A$26,0)),""))=""),"SIN CLASIFICAR",IFERROR(INDEX('CAT_ACTIVIDADES'!$D$4:$D$26,MATCH($H303,'CAT_ACTIVIDADES'!$A$4:$A$26,0)),"")))</f>
        <v/>
      </c>
      <c r="AP303" s="4" t="n"/>
      <c r="AQ303" s="4" t="n"/>
      <c r="AR303" s="4" t="n"/>
      <c r="AS303" s="24">
        <f>IF($AR303="","",HYPERLINK(p_ruta_base_checklists&amp;$AR303,"abrir"))</f>
        <v/>
      </c>
      <c r="AT303" s="4" t="n"/>
      <c r="AU303" s="24">
        <f>IF($A303="","",$A303&amp;IF($B303="","0010",$B303))</f>
        <v/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41" t="n"/>
      <c r="K304" s="5" t="n"/>
      <c r="L304" s="18" t="n"/>
      <c r="M304" s="24">
        <f>IF($A304="","",IFERROR(INDEX('AJUSTES'!$B$4:$B$303,MATCH($AU304,'AJUSTES'!$A$4:$A$303,0)),IF($K304="","",$K304)))</f>
        <v/>
      </c>
      <c r="N304" s="24">
        <f>IF($A304="","",IFERROR(INDEX('CAT_ESTADOS_ERP'!$B$4:$B$22,MATCH(IFERROR(INDEX('2_IMPORTAR_EJECUCION'!$C$9:$C$1208,MATCH($AU304,'2_IMPORTAR_EJECUCION'!$J$9:$J$1208,0)),""),'CAT_ESTADOS_ERP'!$A$4:$A$22,0)),"Pendiente"))</f>
        <v/>
      </c>
      <c r="O304" s="24">
        <f>IF($J304="","",YEAR($J304+4-WEEKDAY($J304,2))&amp;"-S"&amp;TEXT(_xlfn.ISOWEEKNUM($J304),"00"))</f>
        <v/>
      </c>
      <c r="P304" s="24">
        <f>IF($J304="","",YEAR($J304))</f>
        <v/>
      </c>
      <c r="Q304" s="24">
        <f>IF($J304="","",MONTH($J304))</f>
        <v/>
      </c>
      <c r="R304" s="24">
        <f>IF($J304="","",$P304&amp;"-"&amp;TEXT($Q304,"00"))</f>
        <v/>
      </c>
      <c r="S304" s="24">
        <f>IF($J304="","",INDEX(lista_dias,WEEKDAY($J304,2)))</f>
        <v/>
      </c>
      <c r="T304" s="24">
        <f>IF($J304="","",IFERROR(INDEX('CALENDARIO'!$C$15:$C$214,MATCH(TEXT($J304,"yyyy-mm-dd")&amp;"|"&amp;$Y304&amp;"|"&amp;$Z304,'CALENDARIO'!$G$15:$G$214,0)),IFERROR(INDEX('CALENDARIO'!$C$15:$C$214,MATCH(TEXT($J304,"yyyy-mm-dd")&amp;"|"&amp;$Y304&amp;"|",'CALENDARIO'!$G$15:$G$214,0)),IFERROR(INDEX('CALENDARIO'!$C$15:$C$214,MATCH(TEXT($J304,"yyyy-mm-dd")&amp;"||",'CALENDARIO'!$G$15:$G$214,0)),INDEX(patronHabil,WEEKDAY($J304,2))))))</f>
        <v/>
      </c>
      <c r="U304" s="24">
        <f>IF($I304="","",IFERROR(INDEX('CAT_TIPOS_OT'!$C$4:$C$23,MATCH($I304,'CAT_TIPOS_OT'!$A$4:$A$23,0)),"sin_clasificar"))</f>
        <v/>
      </c>
      <c r="V304" s="24">
        <f>IF($I304="","",IF(IFERROR(INDEX('CAT_TIPOS_OT'!$D$4:$D$23,MATCH($I304,'CAT_TIPOS_OT'!$A$4:$A$23,0)),"SIN CLASIFICAR")="","SIN CLASIFICAR",IFERROR(INDEX('CAT_TIPOS_OT'!$D$4:$D$23,MATCH($I304,'CAT_TIPOS_OT'!$A$4:$A$23,0)),"SIN CLASIFICAR")))</f>
        <v/>
      </c>
      <c r="W304" s="24">
        <f>IF($H304="","",IF(IFERROR(INDEX('CAT_ACTIVIDADES'!$F$4:$F$26,MATCH($H304,'CAT_ACTIVIDADES'!$A$4:$A$26,0)),"")=0,"",IFERROR(INDEX('CAT_ACTIVIDADES'!$F$4:$F$26,MATCH($H304,'CAT_ACTIVIDADES'!$A$4:$A$26,0)),"")))</f>
        <v/>
      </c>
      <c r="X304" s="24">
        <f>IF($F304="","",IFERROR(INDEX('CAT_CENTROS_COSTO'!$F$4:$F$28,MATCH($F304,'CAT_CENTROS_COSTO'!$A$4:$A$28,0)),"(sin catálogo)"))</f>
        <v/>
      </c>
      <c r="Y304" s="24">
        <f>IF($F304="","",IFERROR(INDEX('CAT_CENTROS_COSTO'!$D$4:$D$28,MATCH($F304,'CAT_CENTROS_COSTO'!$A$4:$A$28,0)),"(sin catálogo)"))</f>
        <v/>
      </c>
      <c r="Z304" s="24">
        <f>IF($F304="","",IF((IFERROR(INDEX('CAT_CENTROS_COSTO'!$E$4:$E$28,MATCH($F304,'CAT_CENTROS_COSTO'!$A$4:$A$28,0)),""))&lt;&gt;"",IFERROR(INDEX('CAT_CENTROS_COSTO'!$E$4:$E$28,MATCH($F304,'CAT_CENTROS_COSTO'!$A$4:$A$28,0)),""),$Y304))</f>
        <v/>
      </c>
      <c r="AA304" s="24">
        <f>IF($F304="","",IFERROR(INDEX('CAT_CENTROS_COSTO'!$G$4:$G$28,MATCH($F304,'CAT_CENTROS_COSTO'!$A$4:$A$28,0)),"(sin catálogo)"))</f>
        <v/>
      </c>
      <c r="AB304" s="24">
        <f>IF($G304="","",IFERROR(INDEX('CAT_PUESTOS'!$B$4:$B$23,MATCH($G304,'CAT_PUESTOS'!$A$4:$A$23,0)),"(sin catálogo)"))</f>
        <v/>
      </c>
      <c r="AC304" s="24">
        <f>IF($H304="","",IFERROR(INDEX('CAT_ACTIVIDADES'!$B$4:$B$26,MATCH($H304,'CAT_ACTIVIDADES'!$A$4:$A$26,0)),"(sin catálogo)"))</f>
        <v/>
      </c>
      <c r="AD304" s="26">
        <f>IF($J304="","",TODAY()-$J304)</f>
        <v/>
      </c>
      <c r="AE304" s="26">
        <f>IF($J304="","",IF($J304&lt;=TODAY(),COUNTIFS(cal_fechas,"&gt;="&amp;$J304,cal_fechas,"&lt;"&amp;TODAY(),cal_habil,"sí"),-COUNTIFS(cal_fechas,"&gt;="&amp;TODAY(),cal_fechas,"&lt;"&amp;$J304,cal_habil,"sí")))</f>
        <v/>
      </c>
      <c r="AF304" s="24">
        <f>IF($AE304="","",IF($AE304&lt;0,"FUTURO",IF($AE304&gt;p_dias_backlog_max,"BACKLOG","MES CORRIENTE")))</f>
        <v/>
      </c>
      <c r="AG304" s="24">
        <f>IF($AE304="",FALSE,AND($AE304&gt;p_dias_backlog_min,$AE304&lt;=p_dias_backlog_max))</f>
        <v/>
      </c>
      <c r="AH304" s="4" t="n"/>
      <c r="AI304" s="24">
        <f>IF($AH304="","",IF((IFERROR(INDEX('ASIGNACIONES'!$J$4:$J$451,MATCH($O304&amp;"|"&amp;$S304&amp;"|"&amp;$AH304,'ASIGNACIONES'!$N$4:$N$451,0)),""))=0,"",IFERROR(INDEX('ASIGNACIONES'!$J$4:$J$451,MATCH($O304&amp;"|"&amp;$S304&amp;"|"&amp;$AH304,'ASIGNACIONES'!$N$4:$N$451,0)),"")))</f>
        <v/>
      </c>
      <c r="AJ304" s="42">
        <f>IF($AH304="","",SUMIFS('ORDENES'!$M$4:$M$1203,'ORDENES'!$AH$4:$AH$1203,$AH304,'ORDENES'!$O$4:$O$1203,$O304,'ORDENES'!$S$4:$S$1203,$S304))</f>
        <v/>
      </c>
      <c r="AK304" s="42">
        <f>IF($AJ304="","",p_factor_productividad*IFERROR(INDEX('ASIGNACIONES'!$M$4:$M$451,MATCH($O304&amp;"|"&amp;$S304&amp;"|"&amp;$AH304,'ASIGNACIONES'!$N$4:$N$451,0)),0)-$AJ304)</f>
        <v/>
      </c>
      <c r="AL304" s="32">
        <f>IF($A304="","",IFERROR(INDEX('2_IMPORTAR_EJECUCION'!$F$9:$F$1208,MATCH($AU304,'2_IMPORTAR_EJECUCION'!$J$9:$J$1208,0)),0))</f>
        <v/>
      </c>
      <c r="AM304" s="32">
        <f>IF($A304="","",MAX(0,IFERROR(INDEX('2_IMPORTAR_EJECUCION'!$H$9:$H$1208,MATCH($AU304,'2_IMPORTAR_EJECUCION'!$J$9:$J$1208,0)),0)-$AL304))</f>
        <v/>
      </c>
      <c r="AN304" s="32">
        <f>IF($A304="","",$AL304+$AM304)</f>
        <v/>
      </c>
      <c r="AO304" s="24">
        <f>IF($A304="","",IF(OR((IFERROR(INDEX('CAT_ACTIVIDADES'!$D$4:$D$26,MATCH($H304,'CAT_ACTIVIDADES'!$A$4:$A$26,0)),""))=0,(IFERROR(INDEX('CAT_ACTIVIDADES'!$D$4:$D$26,MATCH($H304,'CAT_ACTIVIDADES'!$A$4:$A$26,0)),""))=""),"SIN CLASIFICAR",IFERROR(INDEX('CAT_ACTIVIDADES'!$D$4:$D$26,MATCH($H304,'CAT_ACTIVIDADES'!$A$4:$A$26,0)),"")))</f>
        <v/>
      </c>
      <c r="AP304" s="4" t="n"/>
      <c r="AQ304" s="4" t="n"/>
      <c r="AR304" s="4" t="n"/>
      <c r="AS304" s="24">
        <f>IF($AR304="","",HYPERLINK(p_ruta_base_checklists&amp;$AR304,"abrir"))</f>
        <v/>
      </c>
      <c r="AT304" s="4" t="n"/>
      <c r="AU304" s="24">
        <f>IF($A304="","",$A304&amp;IF($B304="","0010",$B304))</f>
        <v/>
      </c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41" t="n"/>
      <c r="K305" s="5" t="n"/>
      <c r="L305" s="18" t="n"/>
      <c r="M305" s="24">
        <f>IF($A305="","",IFERROR(INDEX('AJUSTES'!$B$4:$B$303,MATCH($AU305,'AJUSTES'!$A$4:$A$303,0)),IF($K305="","",$K305)))</f>
        <v/>
      </c>
      <c r="N305" s="24">
        <f>IF($A305="","",IFERROR(INDEX('CAT_ESTADOS_ERP'!$B$4:$B$22,MATCH(IFERROR(INDEX('2_IMPORTAR_EJECUCION'!$C$9:$C$1208,MATCH($AU305,'2_IMPORTAR_EJECUCION'!$J$9:$J$1208,0)),""),'CAT_ESTADOS_ERP'!$A$4:$A$22,0)),"Pendiente"))</f>
        <v/>
      </c>
      <c r="O305" s="24">
        <f>IF($J305="","",YEAR($J305+4-WEEKDAY($J305,2))&amp;"-S"&amp;TEXT(_xlfn.ISOWEEKNUM($J305),"00"))</f>
        <v/>
      </c>
      <c r="P305" s="24">
        <f>IF($J305="","",YEAR($J305))</f>
        <v/>
      </c>
      <c r="Q305" s="24">
        <f>IF($J305="","",MONTH($J305))</f>
        <v/>
      </c>
      <c r="R305" s="24">
        <f>IF($J305="","",$P305&amp;"-"&amp;TEXT($Q305,"00"))</f>
        <v/>
      </c>
      <c r="S305" s="24">
        <f>IF($J305="","",INDEX(lista_dias,WEEKDAY($J305,2)))</f>
        <v/>
      </c>
      <c r="T305" s="24">
        <f>IF($J305="","",IFERROR(INDEX('CALENDARIO'!$C$15:$C$214,MATCH(TEXT($J305,"yyyy-mm-dd")&amp;"|"&amp;$Y305&amp;"|"&amp;$Z305,'CALENDARIO'!$G$15:$G$214,0)),IFERROR(INDEX('CALENDARIO'!$C$15:$C$214,MATCH(TEXT($J305,"yyyy-mm-dd")&amp;"|"&amp;$Y305&amp;"|",'CALENDARIO'!$G$15:$G$214,0)),IFERROR(INDEX('CALENDARIO'!$C$15:$C$214,MATCH(TEXT($J305,"yyyy-mm-dd")&amp;"||",'CALENDARIO'!$G$15:$G$214,0)),INDEX(patronHabil,WEEKDAY($J305,2))))))</f>
        <v/>
      </c>
      <c r="U305" s="24">
        <f>IF($I305="","",IFERROR(INDEX('CAT_TIPOS_OT'!$C$4:$C$23,MATCH($I305,'CAT_TIPOS_OT'!$A$4:$A$23,0)),"sin_clasificar"))</f>
        <v/>
      </c>
      <c r="V305" s="24">
        <f>IF($I305="","",IF(IFERROR(INDEX('CAT_TIPOS_OT'!$D$4:$D$23,MATCH($I305,'CAT_TIPOS_OT'!$A$4:$A$23,0)),"SIN CLASIFICAR")="","SIN CLASIFICAR",IFERROR(INDEX('CAT_TIPOS_OT'!$D$4:$D$23,MATCH($I305,'CAT_TIPOS_OT'!$A$4:$A$23,0)),"SIN CLASIFICAR")))</f>
        <v/>
      </c>
      <c r="W305" s="24">
        <f>IF($H305="","",IF(IFERROR(INDEX('CAT_ACTIVIDADES'!$F$4:$F$26,MATCH($H305,'CAT_ACTIVIDADES'!$A$4:$A$26,0)),"")=0,"",IFERROR(INDEX('CAT_ACTIVIDADES'!$F$4:$F$26,MATCH($H305,'CAT_ACTIVIDADES'!$A$4:$A$26,0)),"")))</f>
        <v/>
      </c>
      <c r="X305" s="24">
        <f>IF($F305="","",IFERROR(INDEX('CAT_CENTROS_COSTO'!$F$4:$F$28,MATCH($F305,'CAT_CENTROS_COSTO'!$A$4:$A$28,0)),"(sin catálogo)"))</f>
        <v/>
      </c>
      <c r="Y305" s="24">
        <f>IF($F305="","",IFERROR(INDEX('CAT_CENTROS_COSTO'!$D$4:$D$28,MATCH($F305,'CAT_CENTROS_COSTO'!$A$4:$A$28,0)),"(sin catálogo)"))</f>
        <v/>
      </c>
      <c r="Z305" s="24">
        <f>IF($F305="","",IF((IFERROR(INDEX('CAT_CENTROS_COSTO'!$E$4:$E$28,MATCH($F305,'CAT_CENTROS_COSTO'!$A$4:$A$28,0)),""))&lt;&gt;"",IFERROR(INDEX('CAT_CENTROS_COSTO'!$E$4:$E$28,MATCH($F305,'CAT_CENTROS_COSTO'!$A$4:$A$28,0)),""),$Y305))</f>
        <v/>
      </c>
      <c r="AA305" s="24">
        <f>IF($F305="","",IFERROR(INDEX('CAT_CENTROS_COSTO'!$G$4:$G$28,MATCH($F305,'CAT_CENTROS_COSTO'!$A$4:$A$28,0)),"(sin catálogo)"))</f>
        <v/>
      </c>
      <c r="AB305" s="24">
        <f>IF($G305="","",IFERROR(INDEX('CAT_PUESTOS'!$B$4:$B$23,MATCH($G305,'CAT_PUESTOS'!$A$4:$A$23,0)),"(sin catálogo)"))</f>
        <v/>
      </c>
      <c r="AC305" s="24">
        <f>IF($H305="","",IFERROR(INDEX('CAT_ACTIVIDADES'!$B$4:$B$26,MATCH($H305,'CAT_ACTIVIDADES'!$A$4:$A$26,0)),"(sin catálogo)"))</f>
        <v/>
      </c>
      <c r="AD305" s="26">
        <f>IF($J305="","",TODAY()-$J305)</f>
        <v/>
      </c>
      <c r="AE305" s="26">
        <f>IF($J305="","",IF($J305&lt;=TODAY(),COUNTIFS(cal_fechas,"&gt;="&amp;$J305,cal_fechas,"&lt;"&amp;TODAY(),cal_habil,"sí"),-COUNTIFS(cal_fechas,"&gt;="&amp;TODAY(),cal_fechas,"&lt;"&amp;$J305,cal_habil,"sí")))</f>
        <v/>
      </c>
      <c r="AF305" s="24">
        <f>IF($AE305="","",IF($AE305&lt;0,"FUTURO",IF($AE305&gt;p_dias_backlog_max,"BACKLOG","MES CORRIENTE")))</f>
        <v/>
      </c>
      <c r="AG305" s="24">
        <f>IF($AE305="",FALSE,AND($AE305&gt;p_dias_backlog_min,$AE305&lt;=p_dias_backlog_max))</f>
        <v/>
      </c>
      <c r="AH305" s="4" t="n"/>
      <c r="AI305" s="24">
        <f>IF($AH305="","",IF((IFERROR(INDEX('ASIGNACIONES'!$J$4:$J$451,MATCH($O305&amp;"|"&amp;$S305&amp;"|"&amp;$AH305,'ASIGNACIONES'!$N$4:$N$451,0)),""))=0,"",IFERROR(INDEX('ASIGNACIONES'!$J$4:$J$451,MATCH($O305&amp;"|"&amp;$S305&amp;"|"&amp;$AH305,'ASIGNACIONES'!$N$4:$N$451,0)),"")))</f>
        <v/>
      </c>
      <c r="AJ305" s="42">
        <f>IF($AH305="","",SUMIFS('ORDENES'!$M$4:$M$1203,'ORDENES'!$AH$4:$AH$1203,$AH305,'ORDENES'!$O$4:$O$1203,$O305,'ORDENES'!$S$4:$S$1203,$S305))</f>
        <v/>
      </c>
      <c r="AK305" s="42">
        <f>IF($AJ305="","",p_factor_productividad*IFERROR(INDEX('ASIGNACIONES'!$M$4:$M$451,MATCH($O305&amp;"|"&amp;$S305&amp;"|"&amp;$AH305,'ASIGNACIONES'!$N$4:$N$451,0)),0)-$AJ305)</f>
        <v/>
      </c>
      <c r="AL305" s="32">
        <f>IF($A305="","",IFERROR(INDEX('2_IMPORTAR_EJECUCION'!$F$9:$F$1208,MATCH($AU305,'2_IMPORTAR_EJECUCION'!$J$9:$J$1208,0)),0))</f>
        <v/>
      </c>
      <c r="AM305" s="32">
        <f>IF($A305="","",MAX(0,IFERROR(INDEX('2_IMPORTAR_EJECUCION'!$H$9:$H$1208,MATCH($AU305,'2_IMPORTAR_EJECUCION'!$J$9:$J$1208,0)),0)-$AL305))</f>
        <v/>
      </c>
      <c r="AN305" s="32">
        <f>IF($A305="","",$AL305+$AM305)</f>
        <v/>
      </c>
      <c r="AO305" s="24">
        <f>IF($A305="","",IF(OR((IFERROR(INDEX('CAT_ACTIVIDADES'!$D$4:$D$26,MATCH($H305,'CAT_ACTIVIDADES'!$A$4:$A$26,0)),""))=0,(IFERROR(INDEX('CAT_ACTIVIDADES'!$D$4:$D$26,MATCH($H305,'CAT_ACTIVIDADES'!$A$4:$A$26,0)),""))=""),"SIN CLASIFICAR",IFERROR(INDEX('CAT_ACTIVIDADES'!$D$4:$D$26,MATCH($H305,'CAT_ACTIVIDADES'!$A$4:$A$26,0)),"")))</f>
        <v/>
      </c>
      <c r="AP305" s="4" t="n"/>
      <c r="AQ305" s="4" t="n"/>
      <c r="AR305" s="4" t="n"/>
      <c r="AS305" s="24">
        <f>IF($AR305="","",HYPERLINK(p_ruta_base_checklists&amp;$AR305,"abrir"))</f>
        <v/>
      </c>
      <c r="AT305" s="4" t="n"/>
      <c r="AU305" s="24">
        <f>IF($A305="","",$A305&amp;IF($B305="","0010",$B305))</f>
        <v/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41" t="n"/>
      <c r="K306" s="5" t="n"/>
      <c r="L306" s="18" t="n"/>
      <c r="M306" s="24">
        <f>IF($A306="","",IFERROR(INDEX('AJUSTES'!$B$4:$B$303,MATCH($AU306,'AJUSTES'!$A$4:$A$303,0)),IF($K306="","",$K306)))</f>
        <v/>
      </c>
      <c r="N306" s="24">
        <f>IF($A306="","",IFERROR(INDEX('CAT_ESTADOS_ERP'!$B$4:$B$22,MATCH(IFERROR(INDEX('2_IMPORTAR_EJECUCION'!$C$9:$C$1208,MATCH($AU306,'2_IMPORTAR_EJECUCION'!$J$9:$J$1208,0)),""),'CAT_ESTADOS_ERP'!$A$4:$A$22,0)),"Pendiente"))</f>
        <v/>
      </c>
      <c r="O306" s="24">
        <f>IF($J306="","",YEAR($J306+4-WEEKDAY($J306,2))&amp;"-S"&amp;TEXT(_xlfn.ISOWEEKNUM($J306),"00"))</f>
        <v/>
      </c>
      <c r="P306" s="24">
        <f>IF($J306="","",YEAR($J306))</f>
        <v/>
      </c>
      <c r="Q306" s="24">
        <f>IF($J306="","",MONTH($J306))</f>
        <v/>
      </c>
      <c r="R306" s="24">
        <f>IF($J306="","",$P306&amp;"-"&amp;TEXT($Q306,"00"))</f>
        <v/>
      </c>
      <c r="S306" s="24">
        <f>IF($J306="","",INDEX(lista_dias,WEEKDAY($J306,2)))</f>
        <v/>
      </c>
      <c r="T306" s="24">
        <f>IF($J306="","",IFERROR(INDEX('CALENDARIO'!$C$15:$C$214,MATCH(TEXT($J306,"yyyy-mm-dd")&amp;"|"&amp;$Y306&amp;"|"&amp;$Z306,'CALENDARIO'!$G$15:$G$214,0)),IFERROR(INDEX('CALENDARIO'!$C$15:$C$214,MATCH(TEXT($J306,"yyyy-mm-dd")&amp;"|"&amp;$Y306&amp;"|",'CALENDARIO'!$G$15:$G$214,0)),IFERROR(INDEX('CALENDARIO'!$C$15:$C$214,MATCH(TEXT($J306,"yyyy-mm-dd")&amp;"||",'CALENDARIO'!$G$15:$G$214,0)),INDEX(patronHabil,WEEKDAY($J306,2))))))</f>
        <v/>
      </c>
      <c r="U306" s="24">
        <f>IF($I306="","",IFERROR(INDEX('CAT_TIPOS_OT'!$C$4:$C$23,MATCH($I306,'CAT_TIPOS_OT'!$A$4:$A$23,0)),"sin_clasificar"))</f>
        <v/>
      </c>
      <c r="V306" s="24">
        <f>IF($I306="","",IF(IFERROR(INDEX('CAT_TIPOS_OT'!$D$4:$D$23,MATCH($I306,'CAT_TIPOS_OT'!$A$4:$A$23,0)),"SIN CLASIFICAR")="","SIN CLASIFICAR",IFERROR(INDEX('CAT_TIPOS_OT'!$D$4:$D$23,MATCH($I306,'CAT_TIPOS_OT'!$A$4:$A$23,0)),"SIN CLASIFICAR")))</f>
        <v/>
      </c>
      <c r="W306" s="24">
        <f>IF($H306="","",IF(IFERROR(INDEX('CAT_ACTIVIDADES'!$F$4:$F$26,MATCH($H306,'CAT_ACTIVIDADES'!$A$4:$A$26,0)),"")=0,"",IFERROR(INDEX('CAT_ACTIVIDADES'!$F$4:$F$26,MATCH($H306,'CAT_ACTIVIDADES'!$A$4:$A$26,0)),"")))</f>
        <v/>
      </c>
      <c r="X306" s="24">
        <f>IF($F306="","",IFERROR(INDEX('CAT_CENTROS_COSTO'!$F$4:$F$28,MATCH($F306,'CAT_CENTROS_COSTO'!$A$4:$A$28,0)),"(sin catálogo)"))</f>
        <v/>
      </c>
      <c r="Y306" s="24">
        <f>IF($F306="","",IFERROR(INDEX('CAT_CENTROS_COSTO'!$D$4:$D$28,MATCH($F306,'CAT_CENTROS_COSTO'!$A$4:$A$28,0)),"(sin catálogo)"))</f>
        <v/>
      </c>
      <c r="Z306" s="24">
        <f>IF($F306="","",IF((IFERROR(INDEX('CAT_CENTROS_COSTO'!$E$4:$E$28,MATCH($F306,'CAT_CENTROS_COSTO'!$A$4:$A$28,0)),""))&lt;&gt;"",IFERROR(INDEX('CAT_CENTROS_COSTO'!$E$4:$E$28,MATCH($F306,'CAT_CENTROS_COSTO'!$A$4:$A$28,0)),""),$Y306))</f>
        <v/>
      </c>
      <c r="AA306" s="24">
        <f>IF($F306="","",IFERROR(INDEX('CAT_CENTROS_COSTO'!$G$4:$G$28,MATCH($F306,'CAT_CENTROS_COSTO'!$A$4:$A$28,0)),"(sin catálogo)"))</f>
        <v/>
      </c>
      <c r="AB306" s="24">
        <f>IF($G306="","",IFERROR(INDEX('CAT_PUESTOS'!$B$4:$B$23,MATCH($G306,'CAT_PUESTOS'!$A$4:$A$23,0)),"(sin catálogo)"))</f>
        <v/>
      </c>
      <c r="AC306" s="24">
        <f>IF($H306="","",IFERROR(INDEX('CAT_ACTIVIDADES'!$B$4:$B$26,MATCH($H306,'CAT_ACTIVIDADES'!$A$4:$A$26,0)),"(sin catálogo)"))</f>
        <v/>
      </c>
      <c r="AD306" s="26">
        <f>IF($J306="","",TODAY()-$J306)</f>
        <v/>
      </c>
      <c r="AE306" s="26">
        <f>IF($J306="","",IF($J306&lt;=TODAY(),COUNTIFS(cal_fechas,"&gt;="&amp;$J306,cal_fechas,"&lt;"&amp;TODAY(),cal_habil,"sí"),-COUNTIFS(cal_fechas,"&gt;="&amp;TODAY(),cal_fechas,"&lt;"&amp;$J306,cal_habil,"sí")))</f>
        <v/>
      </c>
      <c r="AF306" s="24">
        <f>IF($AE306="","",IF($AE306&lt;0,"FUTURO",IF($AE306&gt;p_dias_backlog_max,"BACKLOG","MES CORRIENTE")))</f>
        <v/>
      </c>
      <c r="AG306" s="24">
        <f>IF($AE306="",FALSE,AND($AE306&gt;p_dias_backlog_min,$AE306&lt;=p_dias_backlog_max))</f>
        <v/>
      </c>
      <c r="AH306" s="4" t="n"/>
      <c r="AI306" s="24">
        <f>IF($AH306="","",IF((IFERROR(INDEX('ASIGNACIONES'!$J$4:$J$451,MATCH($O306&amp;"|"&amp;$S306&amp;"|"&amp;$AH306,'ASIGNACIONES'!$N$4:$N$451,0)),""))=0,"",IFERROR(INDEX('ASIGNACIONES'!$J$4:$J$451,MATCH($O306&amp;"|"&amp;$S306&amp;"|"&amp;$AH306,'ASIGNACIONES'!$N$4:$N$451,0)),"")))</f>
        <v/>
      </c>
      <c r="AJ306" s="42">
        <f>IF($AH306="","",SUMIFS('ORDENES'!$M$4:$M$1203,'ORDENES'!$AH$4:$AH$1203,$AH306,'ORDENES'!$O$4:$O$1203,$O306,'ORDENES'!$S$4:$S$1203,$S306))</f>
        <v/>
      </c>
      <c r="AK306" s="42">
        <f>IF($AJ306="","",p_factor_productividad*IFERROR(INDEX('ASIGNACIONES'!$M$4:$M$451,MATCH($O306&amp;"|"&amp;$S306&amp;"|"&amp;$AH306,'ASIGNACIONES'!$N$4:$N$451,0)),0)-$AJ306)</f>
        <v/>
      </c>
      <c r="AL306" s="32">
        <f>IF($A306="","",IFERROR(INDEX('2_IMPORTAR_EJECUCION'!$F$9:$F$1208,MATCH($AU306,'2_IMPORTAR_EJECUCION'!$J$9:$J$1208,0)),0))</f>
        <v/>
      </c>
      <c r="AM306" s="32">
        <f>IF($A306="","",MAX(0,IFERROR(INDEX('2_IMPORTAR_EJECUCION'!$H$9:$H$1208,MATCH($AU306,'2_IMPORTAR_EJECUCION'!$J$9:$J$1208,0)),0)-$AL306))</f>
        <v/>
      </c>
      <c r="AN306" s="32">
        <f>IF($A306="","",$AL306+$AM306)</f>
        <v/>
      </c>
      <c r="AO306" s="24">
        <f>IF($A306="","",IF(OR((IFERROR(INDEX('CAT_ACTIVIDADES'!$D$4:$D$26,MATCH($H306,'CAT_ACTIVIDADES'!$A$4:$A$26,0)),""))=0,(IFERROR(INDEX('CAT_ACTIVIDADES'!$D$4:$D$26,MATCH($H306,'CAT_ACTIVIDADES'!$A$4:$A$26,0)),""))=""),"SIN CLASIFICAR",IFERROR(INDEX('CAT_ACTIVIDADES'!$D$4:$D$26,MATCH($H306,'CAT_ACTIVIDADES'!$A$4:$A$26,0)),"")))</f>
        <v/>
      </c>
      <c r="AP306" s="4" t="n"/>
      <c r="AQ306" s="4" t="n"/>
      <c r="AR306" s="4" t="n"/>
      <c r="AS306" s="24">
        <f>IF($AR306="","",HYPERLINK(p_ruta_base_checklists&amp;$AR306,"abrir"))</f>
        <v/>
      </c>
      <c r="AT306" s="4" t="n"/>
      <c r="AU306" s="24">
        <f>IF($A306="","",$A306&amp;IF($B306="","0010",$B306))</f>
        <v/>
      </c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41" t="n"/>
      <c r="K307" s="5" t="n"/>
      <c r="L307" s="18" t="n"/>
      <c r="M307" s="24">
        <f>IF($A307="","",IFERROR(INDEX('AJUSTES'!$B$4:$B$303,MATCH($AU307,'AJUSTES'!$A$4:$A$303,0)),IF($K307="","",$K307)))</f>
        <v/>
      </c>
      <c r="N307" s="24">
        <f>IF($A307="","",IFERROR(INDEX('CAT_ESTADOS_ERP'!$B$4:$B$22,MATCH(IFERROR(INDEX('2_IMPORTAR_EJECUCION'!$C$9:$C$1208,MATCH($AU307,'2_IMPORTAR_EJECUCION'!$J$9:$J$1208,0)),""),'CAT_ESTADOS_ERP'!$A$4:$A$22,0)),"Pendiente"))</f>
        <v/>
      </c>
      <c r="O307" s="24">
        <f>IF($J307="","",YEAR($J307+4-WEEKDAY($J307,2))&amp;"-S"&amp;TEXT(_xlfn.ISOWEEKNUM($J307),"00"))</f>
        <v/>
      </c>
      <c r="P307" s="24">
        <f>IF($J307="","",YEAR($J307))</f>
        <v/>
      </c>
      <c r="Q307" s="24">
        <f>IF($J307="","",MONTH($J307))</f>
        <v/>
      </c>
      <c r="R307" s="24">
        <f>IF($J307="","",$P307&amp;"-"&amp;TEXT($Q307,"00"))</f>
        <v/>
      </c>
      <c r="S307" s="24">
        <f>IF($J307="","",INDEX(lista_dias,WEEKDAY($J307,2)))</f>
        <v/>
      </c>
      <c r="T307" s="24">
        <f>IF($J307="","",IFERROR(INDEX('CALENDARIO'!$C$15:$C$214,MATCH(TEXT($J307,"yyyy-mm-dd")&amp;"|"&amp;$Y307&amp;"|"&amp;$Z307,'CALENDARIO'!$G$15:$G$214,0)),IFERROR(INDEX('CALENDARIO'!$C$15:$C$214,MATCH(TEXT($J307,"yyyy-mm-dd")&amp;"|"&amp;$Y307&amp;"|",'CALENDARIO'!$G$15:$G$214,0)),IFERROR(INDEX('CALENDARIO'!$C$15:$C$214,MATCH(TEXT($J307,"yyyy-mm-dd")&amp;"||",'CALENDARIO'!$G$15:$G$214,0)),INDEX(patronHabil,WEEKDAY($J307,2))))))</f>
        <v/>
      </c>
      <c r="U307" s="24">
        <f>IF($I307="","",IFERROR(INDEX('CAT_TIPOS_OT'!$C$4:$C$23,MATCH($I307,'CAT_TIPOS_OT'!$A$4:$A$23,0)),"sin_clasificar"))</f>
        <v/>
      </c>
      <c r="V307" s="24">
        <f>IF($I307="","",IF(IFERROR(INDEX('CAT_TIPOS_OT'!$D$4:$D$23,MATCH($I307,'CAT_TIPOS_OT'!$A$4:$A$23,0)),"SIN CLASIFICAR")="","SIN CLASIFICAR",IFERROR(INDEX('CAT_TIPOS_OT'!$D$4:$D$23,MATCH($I307,'CAT_TIPOS_OT'!$A$4:$A$23,0)),"SIN CLASIFICAR")))</f>
        <v/>
      </c>
      <c r="W307" s="24">
        <f>IF($H307="","",IF(IFERROR(INDEX('CAT_ACTIVIDADES'!$F$4:$F$26,MATCH($H307,'CAT_ACTIVIDADES'!$A$4:$A$26,0)),"")=0,"",IFERROR(INDEX('CAT_ACTIVIDADES'!$F$4:$F$26,MATCH($H307,'CAT_ACTIVIDADES'!$A$4:$A$26,0)),"")))</f>
        <v/>
      </c>
      <c r="X307" s="24">
        <f>IF($F307="","",IFERROR(INDEX('CAT_CENTROS_COSTO'!$F$4:$F$28,MATCH($F307,'CAT_CENTROS_COSTO'!$A$4:$A$28,0)),"(sin catálogo)"))</f>
        <v/>
      </c>
      <c r="Y307" s="24">
        <f>IF($F307="","",IFERROR(INDEX('CAT_CENTROS_COSTO'!$D$4:$D$28,MATCH($F307,'CAT_CENTROS_COSTO'!$A$4:$A$28,0)),"(sin catálogo)"))</f>
        <v/>
      </c>
      <c r="Z307" s="24">
        <f>IF($F307="","",IF((IFERROR(INDEX('CAT_CENTROS_COSTO'!$E$4:$E$28,MATCH($F307,'CAT_CENTROS_COSTO'!$A$4:$A$28,0)),""))&lt;&gt;"",IFERROR(INDEX('CAT_CENTROS_COSTO'!$E$4:$E$28,MATCH($F307,'CAT_CENTROS_COSTO'!$A$4:$A$28,0)),""),$Y307))</f>
        <v/>
      </c>
      <c r="AA307" s="24">
        <f>IF($F307="","",IFERROR(INDEX('CAT_CENTROS_COSTO'!$G$4:$G$28,MATCH($F307,'CAT_CENTROS_COSTO'!$A$4:$A$28,0)),"(sin catálogo)"))</f>
        <v/>
      </c>
      <c r="AB307" s="24">
        <f>IF($G307="","",IFERROR(INDEX('CAT_PUESTOS'!$B$4:$B$23,MATCH($G307,'CAT_PUESTOS'!$A$4:$A$23,0)),"(sin catálogo)"))</f>
        <v/>
      </c>
      <c r="AC307" s="24">
        <f>IF($H307="","",IFERROR(INDEX('CAT_ACTIVIDADES'!$B$4:$B$26,MATCH($H307,'CAT_ACTIVIDADES'!$A$4:$A$26,0)),"(sin catálogo)"))</f>
        <v/>
      </c>
      <c r="AD307" s="26">
        <f>IF($J307="","",TODAY()-$J307)</f>
        <v/>
      </c>
      <c r="AE307" s="26">
        <f>IF($J307="","",IF($J307&lt;=TODAY(),COUNTIFS(cal_fechas,"&gt;="&amp;$J307,cal_fechas,"&lt;"&amp;TODAY(),cal_habil,"sí"),-COUNTIFS(cal_fechas,"&gt;="&amp;TODAY(),cal_fechas,"&lt;"&amp;$J307,cal_habil,"sí")))</f>
        <v/>
      </c>
      <c r="AF307" s="24">
        <f>IF($AE307="","",IF($AE307&lt;0,"FUTURO",IF($AE307&gt;p_dias_backlog_max,"BACKLOG","MES CORRIENTE")))</f>
        <v/>
      </c>
      <c r="AG307" s="24">
        <f>IF($AE307="",FALSE,AND($AE307&gt;p_dias_backlog_min,$AE307&lt;=p_dias_backlog_max))</f>
        <v/>
      </c>
      <c r="AH307" s="4" t="n"/>
      <c r="AI307" s="24">
        <f>IF($AH307="","",IF((IFERROR(INDEX('ASIGNACIONES'!$J$4:$J$451,MATCH($O307&amp;"|"&amp;$S307&amp;"|"&amp;$AH307,'ASIGNACIONES'!$N$4:$N$451,0)),""))=0,"",IFERROR(INDEX('ASIGNACIONES'!$J$4:$J$451,MATCH($O307&amp;"|"&amp;$S307&amp;"|"&amp;$AH307,'ASIGNACIONES'!$N$4:$N$451,0)),"")))</f>
        <v/>
      </c>
      <c r="AJ307" s="42">
        <f>IF($AH307="","",SUMIFS('ORDENES'!$M$4:$M$1203,'ORDENES'!$AH$4:$AH$1203,$AH307,'ORDENES'!$O$4:$O$1203,$O307,'ORDENES'!$S$4:$S$1203,$S307))</f>
        <v/>
      </c>
      <c r="AK307" s="42">
        <f>IF($AJ307="","",p_factor_productividad*IFERROR(INDEX('ASIGNACIONES'!$M$4:$M$451,MATCH($O307&amp;"|"&amp;$S307&amp;"|"&amp;$AH307,'ASIGNACIONES'!$N$4:$N$451,0)),0)-$AJ307)</f>
        <v/>
      </c>
      <c r="AL307" s="32">
        <f>IF($A307="","",IFERROR(INDEX('2_IMPORTAR_EJECUCION'!$F$9:$F$1208,MATCH($AU307,'2_IMPORTAR_EJECUCION'!$J$9:$J$1208,0)),0))</f>
        <v/>
      </c>
      <c r="AM307" s="32">
        <f>IF($A307="","",MAX(0,IFERROR(INDEX('2_IMPORTAR_EJECUCION'!$H$9:$H$1208,MATCH($AU307,'2_IMPORTAR_EJECUCION'!$J$9:$J$1208,0)),0)-$AL307))</f>
        <v/>
      </c>
      <c r="AN307" s="32">
        <f>IF($A307="","",$AL307+$AM307)</f>
        <v/>
      </c>
      <c r="AO307" s="24">
        <f>IF($A307="","",IF(OR((IFERROR(INDEX('CAT_ACTIVIDADES'!$D$4:$D$26,MATCH($H307,'CAT_ACTIVIDADES'!$A$4:$A$26,0)),""))=0,(IFERROR(INDEX('CAT_ACTIVIDADES'!$D$4:$D$26,MATCH($H307,'CAT_ACTIVIDADES'!$A$4:$A$26,0)),""))=""),"SIN CLASIFICAR",IFERROR(INDEX('CAT_ACTIVIDADES'!$D$4:$D$26,MATCH($H307,'CAT_ACTIVIDADES'!$A$4:$A$26,0)),"")))</f>
        <v/>
      </c>
      <c r="AP307" s="4" t="n"/>
      <c r="AQ307" s="4" t="n"/>
      <c r="AR307" s="4" t="n"/>
      <c r="AS307" s="24">
        <f>IF($AR307="","",HYPERLINK(p_ruta_base_checklists&amp;$AR307,"abrir"))</f>
        <v/>
      </c>
      <c r="AT307" s="4" t="n"/>
      <c r="AU307" s="24">
        <f>IF($A307="","",$A307&amp;IF($B307="","0010",$B307))</f>
        <v/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41" t="n"/>
      <c r="K308" s="5" t="n"/>
      <c r="L308" s="18" t="n"/>
      <c r="M308" s="24">
        <f>IF($A308="","",IFERROR(INDEX('AJUSTES'!$B$4:$B$303,MATCH($AU308,'AJUSTES'!$A$4:$A$303,0)),IF($K308="","",$K308)))</f>
        <v/>
      </c>
      <c r="N308" s="24">
        <f>IF($A308="","",IFERROR(INDEX('CAT_ESTADOS_ERP'!$B$4:$B$22,MATCH(IFERROR(INDEX('2_IMPORTAR_EJECUCION'!$C$9:$C$1208,MATCH($AU308,'2_IMPORTAR_EJECUCION'!$J$9:$J$1208,0)),""),'CAT_ESTADOS_ERP'!$A$4:$A$22,0)),"Pendiente"))</f>
        <v/>
      </c>
      <c r="O308" s="24">
        <f>IF($J308="","",YEAR($J308+4-WEEKDAY($J308,2))&amp;"-S"&amp;TEXT(_xlfn.ISOWEEKNUM($J308),"00"))</f>
        <v/>
      </c>
      <c r="P308" s="24">
        <f>IF($J308="","",YEAR($J308))</f>
        <v/>
      </c>
      <c r="Q308" s="24">
        <f>IF($J308="","",MONTH($J308))</f>
        <v/>
      </c>
      <c r="R308" s="24">
        <f>IF($J308="","",$P308&amp;"-"&amp;TEXT($Q308,"00"))</f>
        <v/>
      </c>
      <c r="S308" s="24">
        <f>IF($J308="","",INDEX(lista_dias,WEEKDAY($J308,2)))</f>
        <v/>
      </c>
      <c r="T308" s="24">
        <f>IF($J308="","",IFERROR(INDEX('CALENDARIO'!$C$15:$C$214,MATCH(TEXT($J308,"yyyy-mm-dd")&amp;"|"&amp;$Y308&amp;"|"&amp;$Z308,'CALENDARIO'!$G$15:$G$214,0)),IFERROR(INDEX('CALENDARIO'!$C$15:$C$214,MATCH(TEXT($J308,"yyyy-mm-dd")&amp;"|"&amp;$Y308&amp;"|",'CALENDARIO'!$G$15:$G$214,0)),IFERROR(INDEX('CALENDARIO'!$C$15:$C$214,MATCH(TEXT($J308,"yyyy-mm-dd")&amp;"||",'CALENDARIO'!$G$15:$G$214,0)),INDEX(patronHabil,WEEKDAY($J308,2))))))</f>
        <v/>
      </c>
      <c r="U308" s="24">
        <f>IF($I308="","",IFERROR(INDEX('CAT_TIPOS_OT'!$C$4:$C$23,MATCH($I308,'CAT_TIPOS_OT'!$A$4:$A$23,0)),"sin_clasificar"))</f>
        <v/>
      </c>
      <c r="V308" s="24">
        <f>IF($I308="","",IF(IFERROR(INDEX('CAT_TIPOS_OT'!$D$4:$D$23,MATCH($I308,'CAT_TIPOS_OT'!$A$4:$A$23,0)),"SIN CLASIFICAR")="","SIN CLASIFICAR",IFERROR(INDEX('CAT_TIPOS_OT'!$D$4:$D$23,MATCH($I308,'CAT_TIPOS_OT'!$A$4:$A$23,0)),"SIN CLASIFICAR")))</f>
        <v/>
      </c>
      <c r="W308" s="24">
        <f>IF($H308="","",IF(IFERROR(INDEX('CAT_ACTIVIDADES'!$F$4:$F$26,MATCH($H308,'CAT_ACTIVIDADES'!$A$4:$A$26,0)),"")=0,"",IFERROR(INDEX('CAT_ACTIVIDADES'!$F$4:$F$26,MATCH($H308,'CAT_ACTIVIDADES'!$A$4:$A$26,0)),"")))</f>
        <v/>
      </c>
      <c r="X308" s="24">
        <f>IF($F308="","",IFERROR(INDEX('CAT_CENTROS_COSTO'!$F$4:$F$28,MATCH($F308,'CAT_CENTROS_COSTO'!$A$4:$A$28,0)),"(sin catálogo)"))</f>
        <v/>
      </c>
      <c r="Y308" s="24">
        <f>IF($F308="","",IFERROR(INDEX('CAT_CENTROS_COSTO'!$D$4:$D$28,MATCH($F308,'CAT_CENTROS_COSTO'!$A$4:$A$28,0)),"(sin catálogo)"))</f>
        <v/>
      </c>
      <c r="Z308" s="24">
        <f>IF($F308="","",IF((IFERROR(INDEX('CAT_CENTROS_COSTO'!$E$4:$E$28,MATCH($F308,'CAT_CENTROS_COSTO'!$A$4:$A$28,0)),""))&lt;&gt;"",IFERROR(INDEX('CAT_CENTROS_COSTO'!$E$4:$E$28,MATCH($F308,'CAT_CENTROS_COSTO'!$A$4:$A$28,0)),""),$Y308))</f>
        <v/>
      </c>
      <c r="AA308" s="24">
        <f>IF($F308="","",IFERROR(INDEX('CAT_CENTROS_COSTO'!$G$4:$G$28,MATCH($F308,'CAT_CENTROS_COSTO'!$A$4:$A$28,0)),"(sin catálogo)"))</f>
        <v/>
      </c>
      <c r="AB308" s="24">
        <f>IF($G308="","",IFERROR(INDEX('CAT_PUESTOS'!$B$4:$B$23,MATCH($G308,'CAT_PUESTOS'!$A$4:$A$23,0)),"(sin catálogo)"))</f>
        <v/>
      </c>
      <c r="AC308" s="24">
        <f>IF($H308="","",IFERROR(INDEX('CAT_ACTIVIDADES'!$B$4:$B$26,MATCH($H308,'CAT_ACTIVIDADES'!$A$4:$A$26,0)),"(sin catálogo)"))</f>
        <v/>
      </c>
      <c r="AD308" s="26">
        <f>IF($J308="","",TODAY()-$J308)</f>
        <v/>
      </c>
      <c r="AE308" s="26">
        <f>IF($J308="","",IF($J308&lt;=TODAY(),COUNTIFS(cal_fechas,"&gt;="&amp;$J308,cal_fechas,"&lt;"&amp;TODAY(),cal_habil,"sí"),-COUNTIFS(cal_fechas,"&gt;="&amp;TODAY(),cal_fechas,"&lt;"&amp;$J308,cal_habil,"sí")))</f>
        <v/>
      </c>
      <c r="AF308" s="24">
        <f>IF($AE308="","",IF($AE308&lt;0,"FUTURO",IF($AE308&gt;p_dias_backlog_max,"BACKLOG","MES CORRIENTE")))</f>
        <v/>
      </c>
      <c r="AG308" s="24">
        <f>IF($AE308="",FALSE,AND($AE308&gt;p_dias_backlog_min,$AE308&lt;=p_dias_backlog_max))</f>
        <v/>
      </c>
      <c r="AH308" s="4" t="n"/>
      <c r="AI308" s="24">
        <f>IF($AH308="","",IF((IFERROR(INDEX('ASIGNACIONES'!$J$4:$J$451,MATCH($O308&amp;"|"&amp;$S308&amp;"|"&amp;$AH308,'ASIGNACIONES'!$N$4:$N$451,0)),""))=0,"",IFERROR(INDEX('ASIGNACIONES'!$J$4:$J$451,MATCH($O308&amp;"|"&amp;$S308&amp;"|"&amp;$AH308,'ASIGNACIONES'!$N$4:$N$451,0)),"")))</f>
        <v/>
      </c>
      <c r="AJ308" s="42">
        <f>IF($AH308="","",SUMIFS('ORDENES'!$M$4:$M$1203,'ORDENES'!$AH$4:$AH$1203,$AH308,'ORDENES'!$O$4:$O$1203,$O308,'ORDENES'!$S$4:$S$1203,$S308))</f>
        <v/>
      </c>
      <c r="AK308" s="42">
        <f>IF($AJ308="","",p_factor_productividad*IFERROR(INDEX('ASIGNACIONES'!$M$4:$M$451,MATCH($O308&amp;"|"&amp;$S308&amp;"|"&amp;$AH308,'ASIGNACIONES'!$N$4:$N$451,0)),0)-$AJ308)</f>
        <v/>
      </c>
      <c r="AL308" s="32">
        <f>IF($A308="","",IFERROR(INDEX('2_IMPORTAR_EJECUCION'!$F$9:$F$1208,MATCH($AU308,'2_IMPORTAR_EJECUCION'!$J$9:$J$1208,0)),0))</f>
        <v/>
      </c>
      <c r="AM308" s="32">
        <f>IF($A308="","",MAX(0,IFERROR(INDEX('2_IMPORTAR_EJECUCION'!$H$9:$H$1208,MATCH($AU308,'2_IMPORTAR_EJECUCION'!$J$9:$J$1208,0)),0)-$AL308))</f>
        <v/>
      </c>
      <c r="AN308" s="32">
        <f>IF($A308="","",$AL308+$AM308)</f>
        <v/>
      </c>
      <c r="AO308" s="24">
        <f>IF($A308="","",IF(OR((IFERROR(INDEX('CAT_ACTIVIDADES'!$D$4:$D$26,MATCH($H308,'CAT_ACTIVIDADES'!$A$4:$A$26,0)),""))=0,(IFERROR(INDEX('CAT_ACTIVIDADES'!$D$4:$D$26,MATCH($H308,'CAT_ACTIVIDADES'!$A$4:$A$26,0)),""))=""),"SIN CLASIFICAR",IFERROR(INDEX('CAT_ACTIVIDADES'!$D$4:$D$26,MATCH($H308,'CAT_ACTIVIDADES'!$A$4:$A$26,0)),"")))</f>
        <v/>
      </c>
      <c r="AP308" s="4" t="n"/>
      <c r="AQ308" s="4" t="n"/>
      <c r="AR308" s="4" t="n"/>
      <c r="AS308" s="24">
        <f>IF($AR308="","",HYPERLINK(p_ruta_base_checklists&amp;$AR308,"abrir"))</f>
        <v/>
      </c>
      <c r="AT308" s="4" t="n"/>
      <c r="AU308" s="24">
        <f>IF($A308="","",$A308&amp;IF($B308="","0010",$B308))</f>
        <v/>
      </c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41" t="n"/>
      <c r="K309" s="5" t="n"/>
      <c r="L309" s="18" t="n"/>
      <c r="M309" s="24">
        <f>IF($A309="","",IFERROR(INDEX('AJUSTES'!$B$4:$B$303,MATCH($AU309,'AJUSTES'!$A$4:$A$303,0)),IF($K309="","",$K309)))</f>
        <v/>
      </c>
      <c r="N309" s="24">
        <f>IF($A309="","",IFERROR(INDEX('CAT_ESTADOS_ERP'!$B$4:$B$22,MATCH(IFERROR(INDEX('2_IMPORTAR_EJECUCION'!$C$9:$C$1208,MATCH($AU309,'2_IMPORTAR_EJECUCION'!$J$9:$J$1208,0)),""),'CAT_ESTADOS_ERP'!$A$4:$A$22,0)),"Pendiente"))</f>
        <v/>
      </c>
      <c r="O309" s="24">
        <f>IF($J309="","",YEAR($J309+4-WEEKDAY($J309,2))&amp;"-S"&amp;TEXT(_xlfn.ISOWEEKNUM($J309),"00"))</f>
        <v/>
      </c>
      <c r="P309" s="24">
        <f>IF($J309="","",YEAR($J309))</f>
        <v/>
      </c>
      <c r="Q309" s="24">
        <f>IF($J309="","",MONTH($J309))</f>
        <v/>
      </c>
      <c r="R309" s="24">
        <f>IF($J309="","",$P309&amp;"-"&amp;TEXT($Q309,"00"))</f>
        <v/>
      </c>
      <c r="S309" s="24">
        <f>IF($J309="","",INDEX(lista_dias,WEEKDAY($J309,2)))</f>
        <v/>
      </c>
      <c r="T309" s="24">
        <f>IF($J309="","",IFERROR(INDEX('CALENDARIO'!$C$15:$C$214,MATCH(TEXT($J309,"yyyy-mm-dd")&amp;"|"&amp;$Y309&amp;"|"&amp;$Z309,'CALENDARIO'!$G$15:$G$214,0)),IFERROR(INDEX('CALENDARIO'!$C$15:$C$214,MATCH(TEXT($J309,"yyyy-mm-dd")&amp;"|"&amp;$Y309&amp;"|",'CALENDARIO'!$G$15:$G$214,0)),IFERROR(INDEX('CALENDARIO'!$C$15:$C$214,MATCH(TEXT($J309,"yyyy-mm-dd")&amp;"||",'CALENDARIO'!$G$15:$G$214,0)),INDEX(patronHabil,WEEKDAY($J309,2))))))</f>
        <v/>
      </c>
      <c r="U309" s="24">
        <f>IF($I309="","",IFERROR(INDEX('CAT_TIPOS_OT'!$C$4:$C$23,MATCH($I309,'CAT_TIPOS_OT'!$A$4:$A$23,0)),"sin_clasificar"))</f>
        <v/>
      </c>
      <c r="V309" s="24">
        <f>IF($I309="","",IF(IFERROR(INDEX('CAT_TIPOS_OT'!$D$4:$D$23,MATCH($I309,'CAT_TIPOS_OT'!$A$4:$A$23,0)),"SIN CLASIFICAR")="","SIN CLASIFICAR",IFERROR(INDEX('CAT_TIPOS_OT'!$D$4:$D$23,MATCH($I309,'CAT_TIPOS_OT'!$A$4:$A$23,0)),"SIN CLASIFICAR")))</f>
        <v/>
      </c>
      <c r="W309" s="24">
        <f>IF($H309="","",IF(IFERROR(INDEX('CAT_ACTIVIDADES'!$F$4:$F$26,MATCH($H309,'CAT_ACTIVIDADES'!$A$4:$A$26,0)),"")=0,"",IFERROR(INDEX('CAT_ACTIVIDADES'!$F$4:$F$26,MATCH($H309,'CAT_ACTIVIDADES'!$A$4:$A$26,0)),"")))</f>
        <v/>
      </c>
      <c r="X309" s="24">
        <f>IF($F309="","",IFERROR(INDEX('CAT_CENTROS_COSTO'!$F$4:$F$28,MATCH($F309,'CAT_CENTROS_COSTO'!$A$4:$A$28,0)),"(sin catálogo)"))</f>
        <v/>
      </c>
      <c r="Y309" s="24">
        <f>IF($F309="","",IFERROR(INDEX('CAT_CENTROS_COSTO'!$D$4:$D$28,MATCH($F309,'CAT_CENTROS_COSTO'!$A$4:$A$28,0)),"(sin catálogo)"))</f>
        <v/>
      </c>
      <c r="Z309" s="24">
        <f>IF($F309="","",IF((IFERROR(INDEX('CAT_CENTROS_COSTO'!$E$4:$E$28,MATCH($F309,'CAT_CENTROS_COSTO'!$A$4:$A$28,0)),""))&lt;&gt;"",IFERROR(INDEX('CAT_CENTROS_COSTO'!$E$4:$E$28,MATCH($F309,'CAT_CENTROS_COSTO'!$A$4:$A$28,0)),""),$Y309))</f>
        <v/>
      </c>
      <c r="AA309" s="24">
        <f>IF($F309="","",IFERROR(INDEX('CAT_CENTROS_COSTO'!$G$4:$G$28,MATCH($F309,'CAT_CENTROS_COSTO'!$A$4:$A$28,0)),"(sin catálogo)"))</f>
        <v/>
      </c>
      <c r="AB309" s="24">
        <f>IF($G309="","",IFERROR(INDEX('CAT_PUESTOS'!$B$4:$B$23,MATCH($G309,'CAT_PUESTOS'!$A$4:$A$23,0)),"(sin catálogo)"))</f>
        <v/>
      </c>
      <c r="AC309" s="24">
        <f>IF($H309="","",IFERROR(INDEX('CAT_ACTIVIDADES'!$B$4:$B$26,MATCH($H309,'CAT_ACTIVIDADES'!$A$4:$A$26,0)),"(sin catálogo)"))</f>
        <v/>
      </c>
      <c r="AD309" s="26">
        <f>IF($J309="","",TODAY()-$J309)</f>
        <v/>
      </c>
      <c r="AE309" s="26">
        <f>IF($J309="","",IF($J309&lt;=TODAY(),COUNTIFS(cal_fechas,"&gt;="&amp;$J309,cal_fechas,"&lt;"&amp;TODAY(),cal_habil,"sí"),-COUNTIFS(cal_fechas,"&gt;="&amp;TODAY(),cal_fechas,"&lt;"&amp;$J309,cal_habil,"sí")))</f>
        <v/>
      </c>
      <c r="AF309" s="24">
        <f>IF($AE309="","",IF($AE309&lt;0,"FUTURO",IF($AE309&gt;p_dias_backlog_max,"BACKLOG","MES CORRIENTE")))</f>
        <v/>
      </c>
      <c r="AG309" s="24">
        <f>IF($AE309="",FALSE,AND($AE309&gt;p_dias_backlog_min,$AE309&lt;=p_dias_backlog_max))</f>
        <v/>
      </c>
      <c r="AH309" s="4" t="n"/>
      <c r="AI309" s="24">
        <f>IF($AH309="","",IF((IFERROR(INDEX('ASIGNACIONES'!$J$4:$J$451,MATCH($O309&amp;"|"&amp;$S309&amp;"|"&amp;$AH309,'ASIGNACIONES'!$N$4:$N$451,0)),""))=0,"",IFERROR(INDEX('ASIGNACIONES'!$J$4:$J$451,MATCH($O309&amp;"|"&amp;$S309&amp;"|"&amp;$AH309,'ASIGNACIONES'!$N$4:$N$451,0)),"")))</f>
        <v/>
      </c>
      <c r="AJ309" s="42">
        <f>IF($AH309="","",SUMIFS('ORDENES'!$M$4:$M$1203,'ORDENES'!$AH$4:$AH$1203,$AH309,'ORDENES'!$O$4:$O$1203,$O309,'ORDENES'!$S$4:$S$1203,$S309))</f>
        <v/>
      </c>
      <c r="AK309" s="42">
        <f>IF($AJ309="","",p_factor_productividad*IFERROR(INDEX('ASIGNACIONES'!$M$4:$M$451,MATCH($O309&amp;"|"&amp;$S309&amp;"|"&amp;$AH309,'ASIGNACIONES'!$N$4:$N$451,0)),0)-$AJ309)</f>
        <v/>
      </c>
      <c r="AL309" s="32">
        <f>IF($A309="","",IFERROR(INDEX('2_IMPORTAR_EJECUCION'!$F$9:$F$1208,MATCH($AU309,'2_IMPORTAR_EJECUCION'!$J$9:$J$1208,0)),0))</f>
        <v/>
      </c>
      <c r="AM309" s="32">
        <f>IF($A309="","",MAX(0,IFERROR(INDEX('2_IMPORTAR_EJECUCION'!$H$9:$H$1208,MATCH($AU309,'2_IMPORTAR_EJECUCION'!$J$9:$J$1208,0)),0)-$AL309))</f>
        <v/>
      </c>
      <c r="AN309" s="32">
        <f>IF($A309="","",$AL309+$AM309)</f>
        <v/>
      </c>
      <c r="AO309" s="24">
        <f>IF($A309="","",IF(OR((IFERROR(INDEX('CAT_ACTIVIDADES'!$D$4:$D$26,MATCH($H309,'CAT_ACTIVIDADES'!$A$4:$A$26,0)),""))=0,(IFERROR(INDEX('CAT_ACTIVIDADES'!$D$4:$D$26,MATCH($H309,'CAT_ACTIVIDADES'!$A$4:$A$26,0)),""))=""),"SIN CLASIFICAR",IFERROR(INDEX('CAT_ACTIVIDADES'!$D$4:$D$26,MATCH($H309,'CAT_ACTIVIDADES'!$A$4:$A$26,0)),"")))</f>
        <v/>
      </c>
      <c r="AP309" s="4" t="n"/>
      <c r="AQ309" s="4" t="n"/>
      <c r="AR309" s="4" t="n"/>
      <c r="AS309" s="24">
        <f>IF($AR309="","",HYPERLINK(p_ruta_base_checklists&amp;$AR309,"abrir"))</f>
        <v/>
      </c>
      <c r="AT309" s="4" t="n"/>
      <c r="AU309" s="24">
        <f>IF($A309="","",$A309&amp;IF($B309="","0010",$B309))</f>
        <v/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41" t="n"/>
      <c r="K310" s="5" t="n"/>
      <c r="L310" s="18" t="n"/>
      <c r="M310" s="24">
        <f>IF($A310="","",IFERROR(INDEX('AJUSTES'!$B$4:$B$303,MATCH($AU310,'AJUSTES'!$A$4:$A$303,0)),IF($K310="","",$K310)))</f>
        <v/>
      </c>
      <c r="N310" s="24">
        <f>IF($A310="","",IFERROR(INDEX('CAT_ESTADOS_ERP'!$B$4:$B$22,MATCH(IFERROR(INDEX('2_IMPORTAR_EJECUCION'!$C$9:$C$1208,MATCH($AU310,'2_IMPORTAR_EJECUCION'!$J$9:$J$1208,0)),""),'CAT_ESTADOS_ERP'!$A$4:$A$22,0)),"Pendiente"))</f>
        <v/>
      </c>
      <c r="O310" s="24">
        <f>IF($J310="","",YEAR($J310+4-WEEKDAY($J310,2))&amp;"-S"&amp;TEXT(_xlfn.ISOWEEKNUM($J310),"00"))</f>
        <v/>
      </c>
      <c r="P310" s="24">
        <f>IF($J310="","",YEAR($J310))</f>
        <v/>
      </c>
      <c r="Q310" s="24">
        <f>IF($J310="","",MONTH($J310))</f>
        <v/>
      </c>
      <c r="R310" s="24">
        <f>IF($J310="","",$P310&amp;"-"&amp;TEXT($Q310,"00"))</f>
        <v/>
      </c>
      <c r="S310" s="24">
        <f>IF($J310="","",INDEX(lista_dias,WEEKDAY($J310,2)))</f>
        <v/>
      </c>
      <c r="T310" s="24">
        <f>IF($J310="","",IFERROR(INDEX('CALENDARIO'!$C$15:$C$214,MATCH(TEXT($J310,"yyyy-mm-dd")&amp;"|"&amp;$Y310&amp;"|"&amp;$Z310,'CALENDARIO'!$G$15:$G$214,0)),IFERROR(INDEX('CALENDARIO'!$C$15:$C$214,MATCH(TEXT($J310,"yyyy-mm-dd")&amp;"|"&amp;$Y310&amp;"|",'CALENDARIO'!$G$15:$G$214,0)),IFERROR(INDEX('CALENDARIO'!$C$15:$C$214,MATCH(TEXT($J310,"yyyy-mm-dd")&amp;"||",'CALENDARIO'!$G$15:$G$214,0)),INDEX(patronHabil,WEEKDAY($J310,2))))))</f>
        <v/>
      </c>
      <c r="U310" s="24">
        <f>IF($I310="","",IFERROR(INDEX('CAT_TIPOS_OT'!$C$4:$C$23,MATCH($I310,'CAT_TIPOS_OT'!$A$4:$A$23,0)),"sin_clasificar"))</f>
        <v/>
      </c>
      <c r="V310" s="24">
        <f>IF($I310="","",IF(IFERROR(INDEX('CAT_TIPOS_OT'!$D$4:$D$23,MATCH($I310,'CAT_TIPOS_OT'!$A$4:$A$23,0)),"SIN CLASIFICAR")="","SIN CLASIFICAR",IFERROR(INDEX('CAT_TIPOS_OT'!$D$4:$D$23,MATCH($I310,'CAT_TIPOS_OT'!$A$4:$A$23,0)),"SIN CLASIFICAR")))</f>
        <v/>
      </c>
      <c r="W310" s="24">
        <f>IF($H310="","",IF(IFERROR(INDEX('CAT_ACTIVIDADES'!$F$4:$F$26,MATCH($H310,'CAT_ACTIVIDADES'!$A$4:$A$26,0)),"")=0,"",IFERROR(INDEX('CAT_ACTIVIDADES'!$F$4:$F$26,MATCH($H310,'CAT_ACTIVIDADES'!$A$4:$A$26,0)),"")))</f>
        <v/>
      </c>
      <c r="X310" s="24">
        <f>IF($F310="","",IFERROR(INDEX('CAT_CENTROS_COSTO'!$F$4:$F$28,MATCH($F310,'CAT_CENTROS_COSTO'!$A$4:$A$28,0)),"(sin catálogo)"))</f>
        <v/>
      </c>
      <c r="Y310" s="24">
        <f>IF($F310="","",IFERROR(INDEX('CAT_CENTROS_COSTO'!$D$4:$D$28,MATCH($F310,'CAT_CENTROS_COSTO'!$A$4:$A$28,0)),"(sin catálogo)"))</f>
        <v/>
      </c>
      <c r="Z310" s="24">
        <f>IF($F310="","",IF((IFERROR(INDEX('CAT_CENTROS_COSTO'!$E$4:$E$28,MATCH($F310,'CAT_CENTROS_COSTO'!$A$4:$A$28,0)),""))&lt;&gt;"",IFERROR(INDEX('CAT_CENTROS_COSTO'!$E$4:$E$28,MATCH($F310,'CAT_CENTROS_COSTO'!$A$4:$A$28,0)),""),$Y310))</f>
        <v/>
      </c>
      <c r="AA310" s="24">
        <f>IF($F310="","",IFERROR(INDEX('CAT_CENTROS_COSTO'!$G$4:$G$28,MATCH($F310,'CAT_CENTROS_COSTO'!$A$4:$A$28,0)),"(sin catálogo)"))</f>
        <v/>
      </c>
      <c r="AB310" s="24">
        <f>IF($G310="","",IFERROR(INDEX('CAT_PUESTOS'!$B$4:$B$23,MATCH($G310,'CAT_PUESTOS'!$A$4:$A$23,0)),"(sin catálogo)"))</f>
        <v/>
      </c>
      <c r="AC310" s="24">
        <f>IF($H310="","",IFERROR(INDEX('CAT_ACTIVIDADES'!$B$4:$B$26,MATCH($H310,'CAT_ACTIVIDADES'!$A$4:$A$26,0)),"(sin catálogo)"))</f>
        <v/>
      </c>
      <c r="AD310" s="26">
        <f>IF($J310="","",TODAY()-$J310)</f>
        <v/>
      </c>
      <c r="AE310" s="26">
        <f>IF($J310="","",IF($J310&lt;=TODAY(),COUNTIFS(cal_fechas,"&gt;="&amp;$J310,cal_fechas,"&lt;"&amp;TODAY(),cal_habil,"sí"),-COUNTIFS(cal_fechas,"&gt;="&amp;TODAY(),cal_fechas,"&lt;"&amp;$J310,cal_habil,"sí")))</f>
        <v/>
      </c>
      <c r="AF310" s="24">
        <f>IF($AE310="","",IF($AE310&lt;0,"FUTURO",IF($AE310&gt;p_dias_backlog_max,"BACKLOG","MES CORRIENTE")))</f>
        <v/>
      </c>
      <c r="AG310" s="24">
        <f>IF($AE310="",FALSE,AND($AE310&gt;p_dias_backlog_min,$AE310&lt;=p_dias_backlog_max))</f>
        <v/>
      </c>
      <c r="AH310" s="4" t="n"/>
      <c r="AI310" s="24">
        <f>IF($AH310="","",IF((IFERROR(INDEX('ASIGNACIONES'!$J$4:$J$451,MATCH($O310&amp;"|"&amp;$S310&amp;"|"&amp;$AH310,'ASIGNACIONES'!$N$4:$N$451,0)),""))=0,"",IFERROR(INDEX('ASIGNACIONES'!$J$4:$J$451,MATCH($O310&amp;"|"&amp;$S310&amp;"|"&amp;$AH310,'ASIGNACIONES'!$N$4:$N$451,0)),"")))</f>
        <v/>
      </c>
      <c r="AJ310" s="42">
        <f>IF($AH310="","",SUMIFS('ORDENES'!$M$4:$M$1203,'ORDENES'!$AH$4:$AH$1203,$AH310,'ORDENES'!$O$4:$O$1203,$O310,'ORDENES'!$S$4:$S$1203,$S310))</f>
        <v/>
      </c>
      <c r="AK310" s="42">
        <f>IF($AJ310="","",p_factor_productividad*IFERROR(INDEX('ASIGNACIONES'!$M$4:$M$451,MATCH($O310&amp;"|"&amp;$S310&amp;"|"&amp;$AH310,'ASIGNACIONES'!$N$4:$N$451,0)),0)-$AJ310)</f>
        <v/>
      </c>
      <c r="AL310" s="32">
        <f>IF($A310="","",IFERROR(INDEX('2_IMPORTAR_EJECUCION'!$F$9:$F$1208,MATCH($AU310,'2_IMPORTAR_EJECUCION'!$J$9:$J$1208,0)),0))</f>
        <v/>
      </c>
      <c r="AM310" s="32">
        <f>IF($A310="","",MAX(0,IFERROR(INDEX('2_IMPORTAR_EJECUCION'!$H$9:$H$1208,MATCH($AU310,'2_IMPORTAR_EJECUCION'!$J$9:$J$1208,0)),0)-$AL310))</f>
        <v/>
      </c>
      <c r="AN310" s="32">
        <f>IF($A310="","",$AL310+$AM310)</f>
        <v/>
      </c>
      <c r="AO310" s="24">
        <f>IF($A310="","",IF(OR((IFERROR(INDEX('CAT_ACTIVIDADES'!$D$4:$D$26,MATCH($H310,'CAT_ACTIVIDADES'!$A$4:$A$26,0)),""))=0,(IFERROR(INDEX('CAT_ACTIVIDADES'!$D$4:$D$26,MATCH($H310,'CAT_ACTIVIDADES'!$A$4:$A$26,0)),""))=""),"SIN CLASIFICAR",IFERROR(INDEX('CAT_ACTIVIDADES'!$D$4:$D$26,MATCH($H310,'CAT_ACTIVIDADES'!$A$4:$A$26,0)),"")))</f>
        <v/>
      </c>
      <c r="AP310" s="4" t="n"/>
      <c r="AQ310" s="4" t="n"/>
      <c r="AR310" s="4" t="n"/>
      <c r="AS310" s="24">
        <f>IF($AR310="","",HYPERLINK(p_ruta_base_checklists&amp;$AR310,"abrir"))</f>
        <v/>
      </c>
      <c r="AT310" s="4" t="n"/>
      <c r="AU310" s="24">
        <f>IF($A310="","",$A310&amp;IF($B310="","0010",$B310))</f>
        <v/>
      </c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41" t="n"/>
      <c r="K311" s="5" t="n"/>
      <c r="L311" s="18" t="n"/>
      <c r="M311" s="24">
        <f>IF($A311="","",IFERROR(INDEX('AJUSTES'!$B$4:$B$303,MATCH($AU311,'AJUSTES'!$A$4:$A$303,0)),IF($K311="","",$K311)))</f>
        <v/>
      </c>
      <c r="N311" s="24">
        <f>IF($A311="","",IFERROR(INDEX('CAT_ESTADOS_ERP'!$B$4:$B$22,MATCH(IFERROR(INDEX('2_IMPORTAR_EJECUCION'!$C$9:$C$1208,MATCH($AU311,'2_IMPORTAR_EJECUCION'!$J$9:$J$1208,0)),""),'CAT_ESTADOS_ERP'!$A$4:$A$22,0)),"Pendiente"))</f>
        <v/>
      </c>
      <c r="O311" s="24">
        <f>IF($J311="","",YEAR($J311+4-WEEKDAY($J311,2))&amp;"-S"&amp;TEXT(_xlfn.ISOWEEKNUM($J311),"00"))</f>
        <v/>
      </c>
      <c r="P311" s="24">
        <f>IF($J311="","",YEAR($J311))</f>
        <v/>
      </c>
      <c r="Q311" s="24">
        <f>IF($J311="","",MONTH($J311))</f>
        <v/>
      </c>
      <c r="R311" s="24">
        <f>IF($J311="","",$P311&amp;"-"&amp;TEXT($Q311,"00"))</f>
        <v/>
      </c>
      <c r="S311" s="24">
        <f>IF($J311="","",INDEX(lista_dias,WEEKDAY($J311,2)))</f>
        <v/>
      </c>
      <c r="T311" s="24">
        <f>IF($J311="","",IFERROR(INDEX('CALENDARIO'!$C$15:$C$214,MATCH(TEXT($J311,"yyyy-mm-dd")&amp;"|"&amp;$Y311&amp;"|"&amp;$Z311,'CALENDARIO'!$G$15:$G$214,0)),IFERROR(INDEX('CALENDARIO'!$C$15:$C$214,MATCH(TEXT($J311,"yyyy-mm-dd")&amp;"|"&amp;$Y311&amp;"|",'CALENDARIO'!$G$15:$G$214,0)),IFERROR(INDEX('CALENDARIO'!$C$15:$C$214,MATCH(TEXT($J311,"yyyy-mm-dd")&amp;"||",'CALENDARIO'!$G$15:$G$214,0)),INDEX(patronHabil,WEEKDAY($J311,2))))))</f>
        <v/>
      </c>
      <c r="U311" s="24">
        <f>IF($I311="","",IFERROR(INDEX('CAT_TIPOS_OT'!$C$4:$C$23,MATCH($I311,'CAT_TIPOS_OT'!$A$4:$A$23,0)),"sin_clasificar"))</f>
        <v/>
      </c>
      <c r="V311" s="24">
        <f>IF($I311="","",IF(IFERROR(INDEX('CAT_TIPOS_OT'!$D$4:$D$23,MATCH($I311,'CAT_TIPOS_OT'!$A$4:$A$23,0)),"SIN CLASIFICAR")="","SIN CLASIFICAR",IFERROR(INDEX('CAT_TIPOS_OT'!$D$4:$D$23,MATCH($I311,'CAT_TIPOS_OT'!$A$4:$A$23,0)),"SIN CLASIFICAR")))</f>
        <v/>
      </c>
      <c r="W311" s="24">
        <f>IF($H311="","",IF(IFERROR(INDEX('CAT_ACTIVIDADES'!$F$4:$F$26,MATCH($H311,'CAT_ACTIVIDADES'!$A$4:$A$26,0)),"")=0,"",IFERROR(INDEX('CAT_ACTIVIDADES'!$F$4:$F$26,MATCH($H311,'CAT_ACTIVIDADES'!$A$4:$A$26,0)),"")))</f>
        <v/>
      </c>
      <c r="X311" s="24">
        <f>IF($F311="","",IFERROR(INDEX('CAT_CENTROS_COSTO'!$F$4:$F$28,MATCH($F311,'CAT_CENTROS_COSTO'!$A$4:$A$28,0)),"(sin catálogo)"))</f>
        <v/>
      </c>
      <c r="Y311" s="24">
        <f>IF($F311="","",IFERROR(INDEX('CAT_CENTROS_COSTO'!$D$4:$D$28,MATCH($F311,'CAT_CENTROS_COSTO'!$A$4:$A$28,0)),"(sin catálogo)"))</f>
        <v/>
      </c>
      <c r="Z311" s="24">
        <f>IF($F311="","",IF((IFERROR(INDEX('CAT_CENTROS_COSTO'!$E$4:$E$28,MATCH($F311,'CAT_CENTROS_COSTO'!$A$4:$A$28,0)),""))&lt;&gt;"",IFERROR(INDEX('CAT_CENTROS_COSTO'!$E$4:$E$28,MATCH($F311,'CAT_CENTROS_COSTO'!$A$4:$A$28,0)),""),$Y311))</f>
        <v/>
      </c>
      <c r="AA311" s="24">
        <f>IF($F311="","",IFERROR(INDEX('CAT_CENTROS_COSTO'!$G$4:$G$28,MATCH($F311,'CAT_CENTROS_COSTO'!$A$4:$A$28,0)),"(sin catálogo)"))</f>
        <v/>
      </c>
      <c r="AB311" s="24">
        <f>IF($G311="","",IFERROR(INDEX('CAT_PUESTOS'!$B$4:$B$23,MATCH($G311,'CAT_PUESTOS'!$A$4:$A$23,0)),"(sin catálogo)"))</f>
        <v/>
      </c>
      <c r="AC311" s="24">
        <f>IF($H311="","",IFERROR(INDEX('CAT_ACTIVIDADES'!$B$4:$B$26,MATCH($H311,'CAT_ACTIVIDADES'!$A$4:$A$26,0)),"(sin catálogo)"))</f>
        <v/>
      </c>
      <c r="AD311" s="26">
        <f>IF($J311="","",TODAY()-$J311)</f>
        <v/>
      </c>
      <c r="AE311" s="26">
        <f>IF($J311="","",IF($J311&lt;=TODAY(),COUNTIFS(cal_fechas,"&gt;="&amp;$J311,cal_fechas,"&lt;"&amp;TODAY(),cal_habil,"sí"),-COUNTIFS(cal_fechas,"&gt;="&amp;TODAY(),cal_fechas,"&lt;"&amp;$J311,cal_habil,"sí")))</f>
        <v/>
      </c>
      <c r="AF311" s="24">
        <f>IF($AE311="","",IF($AE311&lt;0,"FUTURO",IF($AE311&gt;p_dias_backlog_max,"BACKLOG","MES CORRIENTE")))</f>
        <v/>
      </c>
      <c r="AG311" s="24">
        <f>IF($AE311="",FALSE,AND($AE311&gt;p_dias_backlog_min,$AE311&lt;=p_dias_backlog_max))</f>
        <v/>
      </c>
      <c r="AH311" s="4" t="n"/>
      <c r="AI311" s="24">
        <f>IF($AH311="","",IF((IFERROR(INDEX('ASIGNACIONES'!$J$4:$J$451,MATCH($O311&amp;"|"&amp;$S311&amp;"|"&amp;$AH311,'ASIGNACIONES'!$N$4:$N$451,0)),""))=0,"",IFERROR(INDEX('ASIGNACIONES'!$J$4:$J$451,MATCH($O311&amp;"|"&amp;$S311&amp;"|"&amp;$AH311,'ASIGNACIONES'!$N$4:$N$451,0)),"")))</f>
        <v/>
      </c>
      <c r="AJ311" s="42">
        <f>IF($AH311="","",SUMIFS('ORDENES'!$M$4:$M$1203,'ORDENES'!$AH$4:$AH$1203,$AH311,'ORDENES'!$O$4:$O$1203,$O311,'ORDENES'!$S$4:$S$1203,$S311))</f>
        <v/>
      </c>
      <c r="AK311" s="42">
        <f>IF($AJ311="","",p_factor_productividad*IFERROR(INDEX('ASIGNACIONES'!$M$4:$M$451,MATCH($O311&amp;"|"&amp;$S311&amp;"|"&amp;$AH311,'ASIGNACIONES'!$N$4:$N$451,0)),0)-$AJ311)</f>
        <v/>
      </c>
      <c r="AL311" s="32">
        <f>IF($A311="","",IFERROR(INDEX('2_IMPORTAR_EJECUCION'!$F$9:$F$1208,MATCH($AU311,'2_IMPORTAR_EJECUCION'!$J$9:$J$1208,0)),0))</f>
        <v/>
      </c>
      <c r="AM311" s="32">
        <f>IF($A311="","",MAX(0,IFERROR(INDEX('2_IMPORTAR_EJECUCION'!$H$9:$H$1208,MATCH($AU311,'2_IMPORTAR_EJECUCION'!$J$9:$J$1208,0)),0)-$AL311))</f>
        <v/>
      </c>
      <c r="AN311" s="32">
        <f>IF($A311="","",$AL311+$AM311)</f>
        <v/>
      </c>
      <c r="AO311" s="24">
        <f>IF($A311="","",IF(OR((IFERROR(INDEX('CAT_ACTIVIDADES'!$D$4:$D$26,MATCH($H311,'CAT_ACTIVIDADES'!$A$4:$A$26,0)),""))=0,(IFERROR(INDEX('CAT_ACTIVIDADES'!$D$4:$D$26,MATCH($H311,'CAT_ACTIVIDADES'!$A$4:$A$26,0)),""))=""),"SIN CLASIFICAR",IFERROR(INDEX('CAT_ACTIVIDADES'!$D$4:$D$26,MATCH($H311,'CAT_ACTIVIDADES'!$A$4:$A$26,0)),"")))</f>
        <v/>
      </c>
      <c r="AP311" s="4" t="n"/>
      <c r="AQ311" s="4" t="n"/>
      <c r="AR311" s="4" t="n"/>
      <c r="AS311" s="24">
        <f>IF($AR311="","",HYPERLINK(p_ruta_base_checklists&amp;$AR311,"abrir"))</f>
        <v/>
      </c>
      <c r="AT311" s="4" t="n"/>
      <c r="AU311" s="24">
        <f>IF($A311="","",$A311&amp;IF($B311="","0010",$B311))</f>
        <v/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41" t="n"/>
      <c r="K312" s="5" t="n"/>
      <c r="L312" s="18" t="n"/>
      <c r="M312" s="24">
        <f>IF($A312="","",IFERROR(INDEX('AJUSTES'!$B$4:$B$303,MATCH($AU312,'AJUSTES'!$A$4:$A$303,0)),IF($K312="","",$K312)))</f>
        <v/>
      </c>
      <c r="N312" s="24">
        <f>IF($A312="","",IFERROR(INDEX('CAT_ESTADOS_ERP'!$B$4:$B$22,MATCH(IFERROR(INDEX('2_IMPORTAR_EJECUCION'!$C$9:$C$1208,MATCH($AU312,'2_IMPORTAR_EJECUCION'!$J$9:$J$1208,0)),""),'CAT_ESTADOS_ERP'!$A$4:$A$22,0)),"Pendiente"))</f>
        <v/>
      </c>
      <c r="O312" s="24">
        <f>IF($J312="","",YEAR($J312+4-WEEKDAY($J312,2))&amp;"-S"&amp;TEXT(_xlfn.ISOWEEKNUM($J312),"00"))</f>
        <v/>
      </c>
      <c r="P312" s="24">
        <f>IF($J312="","",YEAR($J312))</f>
        <v/>
      </c>
      <c r="Q312" s="24">
        <f>IF($J312="","",MONTH($J312))</f>
        <v/>
      </c>
      <c r="R312" s="24">
        <f>IF($J312="","",$P312&amp;"-"&amp;TEXT($Q312,"00"))</f>
        <v/>
      </c>
      <c r="S312" s="24">
        <f>IF($J312="","",INDEX(lista_dias,WEEKDAY($J312,2)))</f>
        <v/>
      </c>
      <c r="T312" s="24">
        <f>IF($J312="","",IFERROR(INDEX('CALENDARIO'!$C$15:$C$214,MATCH(TEXT($J312,"yyyy-mm-dd")&amp;"|"&amp;$Y312&amp;"|"&amp;$Z312,'CALENDARIO'!$G$15:$G$214,0)),IFERROR(INDEX('CALENDARIO'!$C$15:$C$214,MATCH(TEXT($J312,"yyyy-mm-dd")&amp;"|"&amp;$Y312&amp;"|",'CALENDARIO'!$G$15:$G$214,0)),IFERROR(INDEX('CALENDARIO'!$C$15:$C$214,MATCH(TEXT($J312,"yyyy-mm-dd")&amp;"||",'CALENDARIO'!$G$15:$G$214,0)),INDEX(patronHabil,WEEKDAY($J312,2))))))</f>
        <v/>
      </c>
      <c r="U312" s="24">
        <f>IF($I312="","",IFERROR(INDEX('CAT_TIPOS_OT'!$C$4:$C$23,MATCH($I312,'CAT_TIPOS_OT'!$A$4:$A$23,0)),"sin_clasificar"))</f>
        <v/>
      </c>
      <c r="V312" s="24">
        <f>IF($I312="","",IF(IFERROR(INDEX('CAT_TIPOS_OT'!$D$4:$D$23,MATCH($I312,'CAT_TIPOS_OT'!$A$4:$A$23,0)),"SIN CLASIFICAR")="","SIN CLASIFICAR",IFERROR(INDEX('CAT_TIPOS_OT'!$D$4:$D$23,MATCH($I312,'CAT_TIPOS_OT'!$A$4:$A$23,0)),"SIN CLASIFICAR")))</f>
        <v/>
      </c>
      <c r="W312" s="24">
        <f>IF($H312="","",IF(IFERROR(INDEX('CAT_ACTIVIDADES'!$F$4:$F$26,MATCH($H312,'CAT_ACTIVIDADES'!$A$4:$A$26,0)),"")=0,"",IFERROR(INDEX('CAT_ACTIVIDADES'!$F$4:$F$26,MATCH($H312,'CAT_ACTIVIDADES'!$A$4:$A$26,0)),"")))</f>
        <v/>
      </c>
      <c r="X312" s="24">
        <f>IF($F312="","",IFERROR(INDEX('CAT_CENTROS_COSTO'!$F$4:$F$28,MATCH($F312,'CAT_CENTROS_COSTO'!$A$4:$A$28,0)),"(sin catálogo)"))</f>
        <v/>
      </c>
      <c r="Y312" s="24">
        <f>IF($F312="","",IFERROR(INDEX('CAT_CENTROS_COSTO'!$D$4:$D$28,MATCH($F312,'CAT_CENTROS_COSTO'!$A$4:$A$28,0)),"(sin catálogo)"))</f>
        <v/>
      </c>
      <c r="Z312" s="24">
        <f>IF($F312="","",IF((IFERROR(INDEX('CAT_CENTROS_COSTO'!$E$4:$E$28,MATCH($F312,'CAT_CENTROS_COSTO'!$A$4:$A$28,0)),""))&lt;&gt;"",IFERROR(INDEX('CAT_CENTROS_COSTO'!$E$4:$E$28,MATCH($F312,'CAT_CENTROS_COSTO'!$A$4:$A$28,0)),""),$Y312))</f>
        <v/>
      </c>
      <c r="AA312" s="24">
        <f>IF($F312="","",IFERROR(INDEX('CAT_CENTROS_COSTO'!$G$4:$G$28,MATCH($F312,'CAT_CENTROS_COSTO'!$A$4:$A$28,0)),"(sin catálogo)"))</f>
        <v/>
      </c>
      <c r="AB312" s="24">
        <f>IF($G312="","",IFERROR(INDEX('CAT_PUESTOS'!$B$4:$B$23,MATCH($G312,'CAT_PUESTOS'!$A$4:$A$23,0)),"(sin catálogo)"))</f>
        <v/>
      </c>
      <c r="AC312" s="24">
        <f>IF($H312="","",IFERROR(INDEX('CAT_ACTIVIDADES'!$B$4:$B$26,MATCH($H312,'CAT_ACTIVIDADES'!$A$4:$A$26,0)),"(sin catálogo)"))</f>
        <v/>
      </c>
      <c r="AD312" s="26">
        <f>IF($J312="","",TODAY()-$J312)</f>
        <v/>
      </c>
      <c r="AE312" s="26">
        <f>IF($J312="","",IF($J312&lt;=TODAY(),COUNTIFS(cal_fechas,"&gt;="&amp;$J312,cal_fechas,"&lt;"&amp;TODAY(),cal_habil,"sí"),-COUNTIFS(cal_fechas,"&gt;="&amp;TODAY(),cal_fechas,"&lt;"&amp;$J312,cal_habil,"sí")))</f>
        <v/>
      </c>
      <c r="AF312" s="24">
        <f>IF($AE312="","",IF($AE312&lt;0,"FUTURO",IF($AE312&gt;p_dias_backlog_max,"BACKLOG","MES CORRIENTE")))</f>
        <v/>
      </c>
      <c r="AG312" s="24">
        <f>IF($AE312="",FALSE,AND($AE312&gt;p_dias_backlog_min,$AE312&lt;=p_dias_backlog_max))</f>
        <v/>
      </c>
      <c r="AH312" s="4" t="n"/>
      <c r="AI312" s="24">
        <f>IF($AH312="","",IF((IFERROR(INDEX('ASIGNACIONES'!$J$4:$J$451,MATCH($O312&amp;"|"&amp;$S312&amp;"|"&amp;$AH312,'ASIGNACIONES'!$N$4:$N$451,0)),""))=0,"",IFERROR(INDEX('ASIGNACIONES'!$J$4:$J$451,MATCH($O312&amp;"|"&amp;$S312&amp;"|"&amp;$AH312,'ASIGNACIONES'!$N$4:$N$451,0)),"")))</f>
        <v/>
      </c>
      <c r="AJ312" s="42">
        <f>IF($AH312="","",SUMIFS('ORDENES'!$M$4:$M$1203,'ORDENES'!$AH$4:$AH$1203,$AH312,'ORDENES'!$O$4:$O$1203,$O312,'ORDENES'!$S$4:$S$1203,$S312))</f>
        <v/>
      </c>
      <c r="AK312" s="42">
        <f>IF($AJ312="","",p_factor_productividad*IFERROR(INDEX('ASIGNACIONES'!$M$4:$M$451,MATCH($O312&amp;"|"&amp;$S312&amp;"|"&amp;$AH312,'ASIGNACIONES'!$N$4:$N$451,0)),0)-$AJ312)</f>
        <v/>
      </c>
      <c r="AL312" s="32">
        <f>IF($A312="","",IFERROR(INDEX('2_IMPORTAR_EJECUCION'!$F$9:$F$1208,MATCH($AU312,'2_IMPORTAR_EJECUCION'!$J$9:$J$1208,0)),0))</f>
        <v/>
      </c>
      <c r="AM312" s="32">
        <f>IF($A312="","",MAX(0,IFERROR(INDEX('2_IMPORTAR_EJECUCION'!$H$9:$H$1208,MATCH($AU312,'2_IMPORTAR_EJECUCION'!$J$9:$J$1208,0)),0)-$AL312))</f>
        <v/>
      </c>
      <c r="AN312" s="32">
        <f>IF($A312="","",$AL312+$AM312)</f>
        <v/>
      </c>
      <c r="AO312" s="24">
        <f>IF($A312="","",IF(OR((IFERROR(INDEX('CAT_ACTIVIDADES'!$D$4:$D$26,MATCH($H312,'CAT_ACTIVIDADES'!$A$4:$A$26,0)),""))=0,(IFERROR(INDEX('CAT_ACTIVIDADES'!$D$4:$D$26,MATCH($H312,'CAT_ACTIVIDADES'!$A$4:$A$26,0)),""))=""),"SIN CLASIFICAR",IFERROR(INDEX('CAT_ACTIVIDADES'!$D$4:$D$26,MATCH($H312,'CAT_ACTIVIDADES'!$A$4:$A$26,0)),"")))</f>
        <v/>
      </c>
      <c r="AP312" s="4" t="n"/>
      <c r="AQ312" s="4" t="n"/>
      <c r="AR312" s="4" t="n"/>
      <c r="AS312" s="24">
        <f>IF($AR312="","",HYPERLINK(p_ruta_base_checklists&amp;$AR312,"abrir"))</f>
        <v/>
      </c>
      <c r="AT312" s="4" t="n"/>
      <c r="AU312" s="24">
        <f>IF($A312="","",$A312&amp;IF($B312="","0010",$B312))</f>
        <v/>
      </c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41" t="n"/>
      <c r="K313" s="5" t="n"/>
      <c r="L313" s="18" t="n"/>
      <c r="M313" s="24">
        <f>IF($A313="","",IFERROR(INDEX('AJUSTES'!$B$4:$B$303,MATCH($AU313,'AJUSTES'!$A$4:$A$303,0)),IF($K313="","",$K313)))</f>
        <v/>
      </c>
      <c r="N313" s="24">
        <f>IF($A313="","",IFERROR(INDEX('CAT_ESTADOS_ERP'!$B$4:$B$22,MATCH(IFERROR(INDEX('2_IMPORTAR_EJECUCION'!$C$9:$C$1208,MATCH($AU313,'2_IMPORTAR_EJECUCION'!$J$9:$J$1208,0)),""),'CAT_ESTADOS_ERP'!$A$4:$A$22,0)),"Pendiente"))</f>
        <v/>
      </c>
      <c r="O313" s="24">
        <f>IF($J313="","",YEAR($J313+4-WEEKDAY($J313,2))&amp;"-S"&amp;TEXT(_xlfn.ISOWEEKNUM($J313),"00"))</f>
        <v/>
      </c>
      <c r="P313" s="24">
        <f>IF($J313="","",YEAR($J313))</f>
        <v/>
      </c>
      <c r="Q313" s="24">
        <f>IF($J313="","",MONTH($J313))</f>
        <v/>
      </c>
      <c r="R313" s="24">
        <f>IF($J313="","",$P313&amp;"-"&amp;TEXT($Q313,"00"))</f>
        <v/>
      </c>
      <c r="S313" s="24">
        <f>IF($J313="","",INDEX(lista_dias,WEEKDAY($J313,2)))</f>
        <v/>
      </c>
      <c r="T313" s="24">
        <f>IF($J313="","",IFERROR(INDEX('CALENDARIO'!$C$15:$C$214,MATCH(TEXT($J313,"yyyy-mm-dd")&amp;"|"&amp;$Y313&amp;"|"&amp;$Z313,'CALENDARIO'!$G$15:$G$214,0)),IFERROR(INDEX('CALENDARIO'!$C$15:$C$214,MATCH(TEXT($J313,"yyyy-mm-dd")&amp;"|"&amp;$Y313&amp;"|",'CALENDARIO'!$G$15:$G$214,0)),IFERROR(INDEX('CALENDARIO'!$C$15:$C$214,MATCH(TEXT($J313,"yyyy-mm-dd")&amp;"||",'CALENDARIO'!$G$15:$G$214,0)),INDEX(patronHabil,WEEKDAY($J313,2))))))</f>
        <v/>
      </c>
      <c r="U313" s="24">
        <f>IF($I313="","",IFERROR(INDEX('CAT_TIPOS_OT'!$C$4:$C$23,MATCH($I313,'CAT_TIPOS_OT'!$A$4:$A$23,0)),"sin_clasificar"))</f>
        <v/>
      </c>
      <c r="V313" s="24">
        <f>IF($I313="","",IF(IFERROR(INDEX('CAT_TIPOS_OT'!$D$4:$D$23,MATCH($I313,'CAT_TIPOS_OT'!$A$4:$A$23,0)),"SIN CLASIFICAR")="","SIN CLASIFICAR",IFERROR(INDEX('CAT_TIPOS_OT'!$D$4:$D$23,MATCH($I313,'CAT_TIPOS_OT'!$A$4:$A$23,0)),"SIN CLASIFICAR")))</f>
        <v/>
      </c>
      <c r="W313" s="24">
        <f>IF($H313="","",IF(IFERROR(INDEX('CAT_ACTIVIDADES'!$F$4:$F$26,MATCH($H313,'CAT_ACTIVIDADES'!$A$4:$A$26,0)),"")=0,"",IFERROR(INDEX('CAT_ACTIVIDADES'!$F$4:$F$26,MATCH($H313,'CAT_ACTIVIDADES'!$A$4:$A$26,0)),"")))</f>
        <v/>
      </c>
      <c r="X313" s="24">
        <f>IF($F313="","",IFERROR(INDEX('CAT_CENTROS_COSTO'!$F$4:$F$28,MATCH($F313,'CAT_CENTROS_COSTO'!$A$4:$A$28,0)),"(sin catálogo)"))</f>
        <v/>
      </c>
      <c r="Y313" s="24">
        <f>IF($F313="","",IFERROR(INDEX('CAT_CENTROS_COSTO'!$D$4:$D$28,MATCH($F313,'CAT_CENTROS_COSTO'!$A$4:$A$28,0)),"(sin catálogo)"))</f>
        <v/>
      </c>
      <c r="Z313" s="24">
        <f>IF($F313="","",IF((IFERROR(INDEX('CAT_CENTROS_COSTO'!$E$4:$E$28,MATCH($F313,'CAT_CENTROS_COSTO'!$A$4:$A$28,0)),""))&lt;&gt;"",IFERROR(INDEX('CAT_CENTROS_COSTO'!$E$4:$E$28,MATCH($F313,'CAT_CENTROS_COSTO'!$A$4:$A$28,0)),""),$Y313))</f>
        <v/>
      </c>
      <c r="AA313" s="24">
        <f>IF($F313="","",IFERROR(INDEX('CAT_CENTROS_COSTO'!$G$4:$G$28,MATCH($F313,'CAT_CENTROS_COSTO'!$A$4:$A$28,0)),"(sin catálogo)"))</f>
        <v/>
      </c>
      <c r="AB313" s="24">
        <f>IF($G313="","",IFERROR(INDEX('CAT_PUESTOS'!$B$4:$B$23,MATCH($G313,'CAT_PUESTOS'!$A$4:$A$23,0)),"(sin catálogo)"))</f>
        <v/>
      </c>
      <c r="AC313" s="24">
        <f>IF($H313="","",IFERROR(INDEX('CAT_ACTIVIDADES'!$B$4:$B$26,MATCH($H313,'CAT_ACTIVIDADES'!$A$4:$A$26,0)),"(sin catálogo)"))</f>
        <v/>
      </c>
      <c r="AD313" s="26">
        <f>IF($J313="","",TODAY()-$J313)</f>
        <v/>
      </c>
      <c r="AE313" s="26">
        <f>IF($J313="","",IF($J313&lt;=TODAY(),COUNTIFS(cal_fechas,"&gt;="&amp;$J313,cal_fechas,"&lt;"&amp;TODAY(),cal_habil,"sí"),-COUNTIFS(cal_fechas,"&gt;="&amp;TODAY(),cal_fechas,"&lt;"&amp;$J313,cal_habil,"sí")))</f>
        <v/>
      </c>
      <c r="AF313" s="24">
        <f>IF($AE313="","",IF($AE313&lt;0,"FUTURO",IF($AE313&gt;p_dias_backlog_max,"BACKLOG","MES CORRIENTE")))</f>
        <v/>
      </c>
      <c r="AG313" s="24">
        <f>IF($AE313="",FALSE,AND($AE313&gt;p_dias_backlog_min,$AE313&lt;=p_dias_backlog_max))</f>
        <v/>
      </c>
      <c r="AH313" s="4" t="n"/>
      <c r="AI313" s="24">
        <f>IF($AH313="","",IF((IFERROR(INDEX('ASIGNACIONES'!$J$4:$J$451,MATCH($O313&amp;"|"&amp;$S313&amp;"|"&amp;$AH313,'ASIGNACIONES'!$N$4:$N$451,0)),""))=0,"",IFERROR(INDEX('ASIGNACIONES'!$J$4:$J$451,MATCH($O313&amp;"|"&amp;$S313&amp;"|"&amp;$AH313,'ASIGNACIONES'!$N$4:$N$451,0)),"")))</f>
        <v/>
      </c>
      <c r="AJ313" s="42">
        <f>IF($AH313="","",SUMIFS('ORDENES'!$M$4:$M$1203,'ORDENES'!$AH$4:$AH$1203,$AH313,'ORDENES'!$O$4:$O$1203,$O313,'ORDENES'!$S$4:$S$1203,$S313))</f>
        <v/>
      </c>
      <c r="AK313" s="42">
        <f>IF($AJ313="","",p_factor_productividad*IFERROR(INDEX('ASIGNACIONES'!$M$4:$M$451,MATCH($O313&amp;"|"&amp;$S313&amp;"|"&amp;$AH313,'ASIGNACIONES'!$N$4:$N$451,0)),0)-$AJ313)</f>
        <v/>
      </c>
      <c r="AL313" s="32">
        <f>IF($A313="","",IFERROR(INDEX('2_IMPORTAR_EJECUCION'!$F$9:$F$1208,MATCH($AU313,'2_IMPORTAR_EJECUCION'!$J$9:$J$1208,0)),0))</f>
        <v/>
      </c>
      <c r="AM313" s="32">
        <f>IF($A313="","",MAX(0,IFERROR(INDEX('2_IMPORTAR_EJECUCION'!$H$9:$H$1208,MATCH($AU313,'2_IMPORTAR_EJECUCION'!$J$9:$J$1208,0)),0)-$AL313))</f>
        <v/>
      </c>
      <c r="AN313" s="32">
        <f>IF($A313="","",$AL313+$AM313)</f>
        <v/>
      </c>
      <c r="AO313" s="24">
        <f>IF($A313="","",IF(OR((IFERROR(INDEX('CAT_ACTIVIDADES'!$D$4:$D$26,MATCH($H313,'CAT_ACTIVIDADES'!$A$4:$A$26,0)),""))=0,(IFERROR(INDEX('CAT_ACTIVIDADES'!$D$4:$D$26,MATCH($H313,'CAT_ACTIVIDADES'!$A$4:$A$26,0)),""))=""),"SIN CLASIFICAR",IFERROR(INDEX('CAT_ACTIVIDADES'!$D$4:$D$26,MATCH($H313,'CAT_ACTIVIDADES'!$A$4:$A$26,0)),"")))</f>
        <v/>
      </c>
      <c r="AP313" s="4" t="n"/>
      <c r="AQ313" s="4" t="n"/>
      <c r="AR313" s="4" t="n"/>
      <c r="AS313" s="24">
        <f>IF($AR313="","",HYPERLINK(p_ruta_base_checklists&amp;$AR313,"abrir"))</f>
        <v/>
      </c>
      <c r="AT313" s="4" t="n"/>
      <c r="AU313" s="24">
        <f>IF($A313="","",$A313&amp;IF($B313="","0010",$B313))</f>
        <v/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41" t="n"/>
      <c r="K314" s="5" t="n"/>
      <c r="L314" s="18" t="n"/>
      <c r="M314" s="24">
        <f>IF($A314="","",IFERROR(INDEX('AJUSTES'!$B$4:$B$303,MATCH($AU314,'AJUSTES'!$A$4:$A$303,0)),IF($K314="","",$K314)))</f>
        <v/>
      </c>
      <c r="N314" s="24">
        <f>IF($A314="","",IFERROR(INDEX('CAT_ESTADOS_ERP'!$B$4:$B$22,MATCH(IFERROR(INDEX('2_IMPORTAR_EJECUCION'!$C$9:$C$1208,MATCH($AU314,'2_IMPORTAR_EJECUCION'!$J$9:$J$1208,0)),""),'CAT_ESTADOS_ERP'!$A$4:$A$22,0)),"Pendiente"))</f>
        <v/>
      </c>
      <c r="O314" s="24">
        <f>IF($J314="","",YEAR($J314+4-WEEKDAY($J314,2))&amp;"-S"&amp;TEXT(_xlfn.ISOWEEKNUM($J314),"00"))</f>
        <v/>
      </c>
      <c r="P314" s="24">
        <f>IF($J314="","",YEAR($J314))</f>
        <v/>
      </c>
      <c r="Q314" s="24">
        <f>IF($J314="","",MONTH($J314))</f>
        <v/>
      </c>
      <c r="R314" s="24">
        <f>IF($J314="","",$P314&amp;"-"&amp;TEXT($Q314,"00"))</f>
        <v/>
      </c>
      <c r="S314" s="24">
        <f>IF($J314="","",INDEX(lista_dias,WEEKDAY($J314,2)))</f>
        <v/>
      </c>
      <c r="T314" s="24">
        <f>IF($J314="","",IFERROR(INDEX('CALENDARIO'!$C$15:$C$214,MATCH(TEXT($J314,"yyyy-mm-dd")&amp;"|"&amp;$Y314&amp;"|"&amp;$Z314,'CALENDARIO'!$G$15:$G$214,0)),IFERROR(INDEX('CALENDARIO'!$C$15:$C$214,MATCH(TEXT($J314,"yyyy-mm-dd")&amp;"|"&amp;$Y314&amp;"|",'CALENDARIO'!$G$15:$G$214,0)),IFERROR(INDEX('CALENDARIO'!$C$15:$C$214,MATCH(TEXT($J314,"yyyy-mm-dd")&amp;"||",'CALENDARIO'!$G$15:$G$214,0)),INDEX(patronHabil,WEEKDAY($J314,2))))))</f>
        <v/>
      </c>
      <c r="U314" s="24">
        <f>IF($I314="","",IFERROR(INDEX('CAT_TIPOS_OT'!$C$4:$C$23,MATCH($I314,'CAT_TIPOS_OT'!$A$4:$A$23,0)),"sin_clasificar"))</f>
        <v/>
      </c>
      <c r="V314" s="24">
        <f>IF($I314="","",IF(IFERROR(INDEX('CAT_TIPOS_OT'!$D$4:$D$23,MATCH($I314,'CAT_TIPOS_OT'!$A$4:$A$23,0)),"SIN CLASIFICAR")="","SIN CLASIFICAR",IFERROR(INDEX('CAT_TIPOS_OT'!$D$4:$D$23,MATCH($I314,'CAT_TIPOS_OT'!$A$4:$A$23,0)),"SIN CLASIFICAR")))</f>
        <v/>
      </c>
      <c r="W314" s="24">
        <f>IF($H314="","",IF(IFERROR(INDEX('CAT_ACTIVIDADES'!$F$4:$F$26,MATCH($H314,'CAT_ACTIVIDADES'!$A$4:$A$26,0)),"")=0,"",IFERROR(INDEX('CAT_ACTIVIDADES'!$F$4:$F$26,MATCH($H314,'CAT_ACTIVIDADES'!$A$4:$A$26,0)),"")))</f>
        <v/>
      </c>
      <c r="X314" s="24">
        <f>IF($F314="","",IFERROR(INDEX('CAT_CENTROS_COSTO'!$F$4:$F$28,MATCH($F314,'CAT_CENTROS_COSTO'!$A$4:$A$28,0)),"(sin catálogo)"))</f>
        <v/>
      </c>
      <c r="Y314" s="24">
        <f>IF($F314="","",IFERROR(INDEX('CAT_CENTROS_COSTO'!$D$4:$D$28,MATCH($F314,'CAT_CENTROS_COSTO'!$A$4:$A$28,0)),"(sin catálogo)"))</f>
        <v/>
      </c>
      <c r="Z314" s="24">
        <f>IF($F314="","",IF((IFERROR(INDEX('CAT_CENTROS_COSTO'!$E$4:$E$28,MATCH($F314,'CAT_CENTROS_COSTO'!$A$4:$A$28,0)),""))&lt;&gt;"",IFERROR(INDEX('CAT_CENTROS_COSTO'!$E$4:$E$28,MATCH($F314,'CAT_CENTROS_COSTO'!$A$4:$A$28,0)),""),$Y314))</f>
        <v/>
      </c>
      <c r="AA314" s="24">
        <f>IF($F314="","",IFERROR(INDEX('CAT_CENTROS_COSTO'!$G$4:$G$28,MATCH($F314,'CAT_CENTROS_COSTO'!$A$4:$A$28,0)),"(sin catálogo)"))</f>
        <v/>
      </c>
      <c r="AB314" s="24">
        <f>IF($G314="","",IFERROR(INDEX('CAT_PUESTOS'!$B$4:$B$23,MATCH($G314,'CAT_PUESTOS'!$A$4:$A$23,0)),"(sin catálogo)"))</f>
        <v/>
      </c>
      <c r="AC314" s="24">
        <f>IF($H314="","",IFERROR(INDEX('CAT_ACTIVIDADES'!$B$4:$B$26,MATCH($H314,'CAT_ACTIVIDADES'!$A$4:$A$26,0)),"(sin catálogo)"))</f>
        <v/>
      </c>
      <c r="AD314" s="26">
        <f>IF($J314="","",TODAY()-$J314)</f>
        <v/>
      </c>
      <c r="AE314" s="26">
        <f>IF($J314="","",IF($J314&lt;=TODAY(),COUNTIFS(cal_fechas,"&gt;="&amp;$J314,cal_fechas,"&lt;"&amp;TODAY(),cal_habil,"sí"),-COUNTIFS(cal_fechas,"&gt;="&amp;TODAY(),cal_fechas,"&lt;"&amp;$J314,cal_habil,"sí")))</f>
        <v/>
      </c>
      <c r="AF314" s="24">
        <f>IF($AE314="","",IF($AE314&lt;0,"FUTURO",IF($AE314&gt;p_dias_backlog_max,"BACKLOG","MES CORRIENTE")))</f>
        <v/>
      </c>
      <c r="AG314" s="24">
        <f>IF($AE314="",FALSE,AND($AE314&gt;p_dias_backlog_min,$AE314&lt;=p_dias_backlog_max))</f>
        <v/>
      </c>
      <c r="AH314" s="4" t="n"/>
      <c r="AI314" s="24">
        <f>IF($AH314="","",IF((IFERROR(INDEX('ASIGNACIONES'!$J$4:$J$451,MATCH($O314&amp;"|"&amp;$S314&amp;"|"&amp;$AH314,'ASIGNACIONES'!$N$4:$N$451,0)),""))=0,"",IFERROR(INDEX('ASIGNACIONES'!$J$4:$J$451,MATCH($O314&amp;"|"&amp;$S314&amp;"|"&amp;$AH314,'ASIGNACIONES'!$N$4:$N$451,0)),"")))</f>
        <v/>
      </c>
      <c r="AJ314" s="42">
        <f>IF($AH314="","",SUMIFS('ORDENES'!$M$4:$M$1203,'ORDENES'!$AH$4:$AH$1203,$AH314,'ORDENES'!$O$4:$O$1203,$O314,'ORDENES'!$S$4:$S$1203,$S314))</f>
        <v/>
      </c>
      <c r="AK314" s="42">
        <f>IF($AJ314="","",p_factor_productividad*IFERROR(INDEX('ASIGNACIONES'!$M$4:$M$451,MATCH($O314&amp;"|"&amp;$S314&amp;"|"&amp;$AH314,'ASIGNACIONES'!$N$4:$N$451,0)),0)-$AJ314)</f>
        <v/>
      </c>
      <c r="AL314" s="32">
        <f>IF($A314="","",IFERROR(INDEX('2_IMPORTAR_EJECUCION'!$F$9:$F$1208,MATCH($AU314,'2_IMPORTAR_EJECUCION'!$J$9:$J$1208,0)),0))</f>
        <v/>
      </c>
      <c r="AM314" s="32">
        <f>IF($A314="","",MAX(0,IFERROR(INDEX('2_IMPORTAR_EJECUCION'!$H$9:$H$1208,MATCH($AU314,'2_IMPORTAR_EJECUCION'!$J$9:$J$1208,0)),0)-$AL314))</f>
        <v/>
      </c>
      <c r="AN314" s="32">
        <f>IF($A314="","",$AL314+$AM314)</f>
        <v/>
      </c>
      <c r="AO314" s="24">
        <f>IF($A314="","",IF(OR((IFERROR(INDEX('CAT_ACTIVIDADES'!$D$4:$D$26,MATCH($H314,'CAT_ACTIVIDADES'!$A$4:$A$26,0)),""))=0,(IFERROR(INDEX('CAT_ACTIVIDADES'!$D$4:$D$26,MATCH($H314,'CAT_ACTIVIDADES'!$A$4:$A$26,0)),""))=""),"SIN CLASIFICAR",IFERROR(INDEX('CAT_ACTIVIDADES'!$D$4:$D$26,MATCH($H314,'CAT_ACTIVIDADES'!$A$4:$A$26,0)),"")))</f>
        <v/>
      </c>
      <c r="AP314" s="4" t="n"/>
      <c r="AQ314" s="4" t="n"/>
      <c r="AR314" s="4" t="n"/>
      <c r="AS314" s="24">
        <f>IF($AR314="","",HYPERLINK(p_ruta_base_checklists&amp;$AR314,"abrir"))</f>
        <v/>
      </c>
      <c r="AT314" s="4" t="n"/>
      <c r="AU314" s="24">
        <f>IF($A314="","",$A314&amp;IF($B314="","0010",$B314))</f>
        <v/>
      </c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41" t="n"/>
      <c r="K315" s="5" t="n"/>
      <c r="L315" s="18" t="n"/>
      <c r="M315" s="24">
        <f>IF($A315="","",IFERROR(INDEX('AJUSTES'!$B$4:$B$303,MATCH($AU315,'AJUSTES'!$A$4:$A$303,0)),IF($K315="","",$K315)))</f>
        <v/>
      </c>
      <c r="N315" s="24">
        <f>IF($A315="","",IFERROR(INDEX('CAT_ESTADOS_ERP'!$B$4:$B$22,MATCH(IFERROR(INDEX('2_IMPORTAR_EJECUCION'!$C$9:$C$1208,MATCH($AU315,'2_IMPORTAR_EJECUCION'!$J$9:$J$1208,0)),""),'CAT_ESTADOS_ERP'!$A$4:$A$22,0)),"Pendiente"))</f>
        <v/>
      </c>
      <c r="O315" s="24">
        <f>IF($J315="","",YEAR($J315+4-WEEKDAY($J315,2))&amp;"-S"&amp;TEXT(_xlfn.ISOWEEKNUM($J315),"00"))</f>
        <v/>
      </c>
      <c r="P315" s="24">
        <f>IF($J315="","",YEAR($J315))</f>
        <v/>
      </c>
      <c r="Q315" s="24">
        <f>IF($J315="","",MONTH($J315))</f>
        <v/>
      </c>
      <c r="R315" s="24">
        <f>IF($J315="","",$P315&amp;"-"&amp;TEXT($Q315,"00"))</f>
        <v/>
      </c>
      <c r="S315" s="24">
        <f>IF($J315="","",INDEX(lista_dias,WEEKDAY($J315,2)))</f>
        <v/>
      </c>
      <c r="T315" s="24">
        <f>IF($J315="","",IFERROR(INDEX('CALENDARIO'!$C$15:$C$214,MATCH(TEXT($J315,"yyyy-mm-dd")&amp;"|"&amp;$Y315&amp;"|"&amp;$Z315,'CALENDARIO'!$G$15:$G$214,0)),IFERROR(INDEX('CALENDARIO'!$C$15:$C$214,MATCH(TEXT($J315,"yyyy-mm-dd")&amp;"|"&amp;$Y315&amp;"|",'CALENDARIO'!$G$15:$G$214,0)),IFERROR(INDEX('CALENDARIO'!$C$15:$C$214,MATCH(TEXT($J315,"yyyy-mm-dd")&amp;"||",'CALENDARIO'!$G$15:$G$214,0)),INDEX(patronHabil,WEEKDAY($J315,2))))))</f>
        <v/>
      </c>
      <c r="U315" s="24">
        <f>IF($I315="","",IFERROR(INDEX('CAT_TIPOS_OT'!$C$4:$C$23,MATCH($I315,'CAT_TIPOS_OT'!$A$4:$A$23,0)),"sin_clasificar"))</f>
        <v/>
      </c>
      <c r="V315" s="24">
        <f>IF($I315="","",IF(IFERROR(INDEX('CAT_TIPOS_OT'!$D$4:$D$23,MATCH($I315,'CAT_TIPOS_OT'!$A$4:$A$23,0)),"SIN CLASIFICAR")="","SIN CLASIFICAR",IFERROR(INDEX('CAT_TIPOS_OT'!$D$4:$D$23,MATCH($I315,'CAT_TIPOS_OT'!$A$4:$A$23,0)),"SIN CLASIFICAR")))</f>
        <v/>
      </c>
      <c r="W315" s="24">
        <f>IF($H315="","",IF(IFERROR(INDEX('CAT_ACTIVIDADES'!$F$4:$F$26,MATCH($H315,'CAT_ACTIVIDADES'!$A$4:$A$26,0)),"")=0,"",IFERROR(INDEX('CAT_ACTIVIDADES'!$F$4:$F$26,MATCH($H315,'CAT_ACTIVIDADES'!$A$4:$A$26,0)),"")))</f>
        <v/>
      </c>
      <c r="X315" s="24">
        <f>IF($F315="","",IFERROR(INDEX('CAT_CENTROS_COSTO'!$F$4:$F$28,MATCH($F315,'CAT_CENTROS_COSTO'!$A$4:$A$28,0)),"(sin catálogo)"))</f>
        <v/>
      </c>
      <c r="Y315" s="24">
        <f>IF($F315="","",IFERROR(INDEX('CAT_CENTROS_COSTO'!$D$4:$D$28,MATCH($F315,'CAT_CENTROS_COSTO'!$A$4:$A$28,0)),"(sin catálogo)"))</f>
        <v/>
      </c>
      <c r="Z315" s="24">
        <f>IF($F315="","",IF((IFERROR(INDEX('CAT_CENTROS_COSTO'!$E$4:$E$28,MATCH($F315,'CAT_CENTROS_COSTO'!$A$4:$A$28,0)),""))&lt;&gt;"",IFERROR(INDEX('CAT_CENTROS_COSTO'!$E$4:$E$28,MATCH($F315,'CAT_CENTROS_COSTO'!$A$4:$A$28,0)),""),$Y315))</f>
        <v/>
      </c>
      <c r="AA315" s="24">
        <f>IF($F315="","",IFERROR(INDEX('CAT_CENTROS_COSTO'!$G$4:$G$28,MATCH($F315,'CAT_CENTROS_COSTO'!$A$4:$A$28,0)),"(sin catálogo)"))</f>
        <v/>
      </c>
      <c r="AB315" s="24">
        <f>IF($G315="","",IFERROR(INDEX('CAT_PUESTOS'!$B$4:$B$23,MATCH($G315,'CAT_PUESTOS'!$A$4:$A$23,0)),"(sin catálogo)"))</f>
        <v/>
      </c>
      <c r="AC315" s="24">
        <f>IF($H315="","",IFERROR(INDEX('CAT_ACTIVIDADES'!$B$4:$B$26,MATCH($H315,'CAT_ACTIVIDADES'!$A$4:$A$26,0)),"(sin catálogo)"))</f>
        <v/>
      </c>
      <c r="AD315" s="26">
        <f>IF($J315="","",TODAY()-$J315)</f>
        <v/>
      </c>
      <c r="AE315" s="26">
        <f>IF($J315="","",IF($J315&lt;=TODAY(),COUNTIFS(cal_fechas,"&gt;="&amp;$J315,cal_fechas,"&lt;"&amp;TODAY(),cal_habil,"sí"),-COUNTIFS(cal_fechas,"&gt;="&amp;TODAY(),cal_fechas,"&lt;"&amp;$J315,cal_habil,"sí")))</f>
        <v/>
      </c>
      <c r="AF315" s="24">
        <f>IF($AE315="","",IF($AE315&lt;0,"FUTURO",IF($AE315&gt;p_dias_backlog_max,"BACKLOG","MES CORRIENTE")))</f>
        <v/>
      </c>
      <c r="AG315" s="24">
        <f>IF($AE315="",FALSE,AND($AE315&gt;p_dias_backlog_min,$AE315&lt;=p_dias_backlog_max))</f>
        <v/>
      </c>
      <c r="AH315" s="4" t="n"/>
      <c r="AI315" s="24">
        <f>IF($AH315="","",IF((IFERROR(INDEX('ASIGNACIONES'!$J$4:$J$451,MATCH($O315&amp;"|"&amp;$S315&amp;"|"&amp;$AH315,'ASIGNACIONES'!$N$4:$N$451,0)),""))=0,"",IFERROR(INDEX('ASIGNACIONES'!$J$4:$J$451,MATCH($O315&amp;"|"&amp;$S315&amp;"|"&amp;$AH315,'ASIGNACIONES'!$N$4:$N$451,0)),"")))</f>
        <v/>
      </c>
      <c r="AJ315" s="42">
        <f>IF($AH315="","",SUMIFS('ORDENES'!$M$4:$M$1203,'ORDENES'!$AH$4:$AH$1203,$AH315,'ORDENES'!$O$4:$O$1203,$O315,'ORDENES'!$S$4:$S$1203,$S315))</f>
        <v/>
      </c>
      <c r="AK315" s="42">
        <f>IF($AJ315="","",p_factor_productividad*IFERROR(INDEX('ASIGNACIONES'!$M$4:$M$451,MATCH($O315&amp;"|"&amp;$S315&amp;"|"&amp;$AH315,'ASIGNACIONES'!$N$4:$N$451,0)),0)-$AJ315)</f>
        <v/>
      </c>
      <c r="AL315" s="32">
        <f>IF($A315="","",IFERROR(INDEX('2_IMPORTAR_EJECUCION'!$F$9:$F$1208,MATCH($AU315,'2_IMPORTAR_EJECUCION'!$J$9:$J$1208,0)),0))</f>
        <v/>
      </c>
      <c r="AM315" s="32">
        <f>IF($A315="","",MAX(0,IFERROR(INDEX('2_IMPORTAR_EJECUCION'!$H$9:$H$1208,MATCH($AU315,'2_IMPORTAR_EJECUCION'!$J$9:$J$1208,0)),0)-$AL315))</f>
        <v/>
      </c>
      <c r="AN315" s="32">
        <f>IF($A315="","",$AL315+$AM315)</f>
        <v/>
      </c>
      <c r="AO315" s="24">
        <f>IF($A315="","",IF(OR((IFERROR(INDEX('CAT_ACTIVIDADES'!$D$4:$D$26,MATCH($H315,'CAT_ACTIVIDADES'!$A$4:$A$26,0)),""))=0,(IFERROR(INDEX('CAT_ACTIVIDADES'!$D$4:$D$26,MATCH($H315,'CAT_ACTIVIDADES'!$A$4:$A$26,0)),""))=""),"SIN CLASIFICAR",IFERROR(INDEX('CAT_ACTIVIDADES'!$D$4:$D$26,MATCH($H315,'CAT_ACTIVIDADES'!$A$4:$A$26,0)),"")))</f>
        <v/>
      </c>
      <c r="AP315" s="4" t="n"/>
      <c r="AQ315" s="4" t="n"/>
      <c r="AR315" s="4" t="n"/>
      <c r="AS315" s="24">
        <f>IF($AR315="","",HYPERLINK(p_ruta_base_checklists&amp;$AR315,"abrir"))</f>
        <v/>
      </c>
      <c r="AT315" s="4" t="n"/>
      <c r="AU315" s="24">
        <f>IF($A315="","",$A315&amp;IF($B315="","0010",$B315))</f>
        <v/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41" t="n"/>
      <c r="K316" s="5" t="n"/>
      <c r="L316" s="18" t="n"/>
      <c r="M316" s="24">
        <f>IF($A316="","",IFERROR(INDEX('AJUSTES'!$B$4:$B$303,MATCH($AU316,'AJUSTES'!$A$4:$A$303,0)),IF($K316="","",$K316)))</f>
        <v/>
      </c>
      <c r="N316" s="24">
        <f>IF($A316="","",IFERROR(INDEX('CAT_ESTADOS_ERP'!$B$4:$B$22,MATCH(IFERROR(INDEX('2_IMPORTAR_EJECUCION'!$C$9:$C$1208,MATCH($AU316,'2_IMPORTAR_EJECUCION'!$J$9:$J$1208,0)),""),'CAT_ESTADOS_ERP'!$A$4:$A$22,0)),"Pendiente"))</f>
        <v/>
      </c>
      <c r="O316" s="24">
        <f>IF($J316="","",YEAR($J316+4-WEEKDAY($J316,2))&amp;"-S"&amp;TEXT(_xlfn.ISOWEEKNUM($J316),"00"))</f>
        <v/>
      </c>
      <c r="P316" s="24">
        <f>IF($J316="","",YEAR($J316))</f>
        <v/>
      </c>
      <c r="Q316" s="24">
        <f>IF($J316="","",MONTH($J316))</f>
        <v/>
      </c>
      <c r="R316" s="24">
        <f>IF($J316="","",$P316&amp;"-"&amp;TEXT($Q316,"00"))</f>
        <v/>
      </c>
      <c r="S316" s="24">
        <f>IF($J316="","",INDEX(lista_dias,WEEKDAY($J316,2)))</f>
        <v/>
      </c>
      <c r="T316" s="24">
        <f>IF($J316="","",IFERROR(INDEX('CALENDARIO'!$C$15:$C$214,MATCH(TEXT($J316,"yyyy-mm-dd")&amp;"|"&amp;$Y316&amp;"|"&amp;$Z316,'CALENDARIO'!$G$15:$G$214,0)),IFERROR(INDEX('CALENDARIO'!$C$15:$C$214,MATCH(TEXT($J316,"yyyy-mm-dd")&amp;"|"&amp;$Y316&amp;"|",'CALENDARIO'!$G$15:$G$214,0)),IFERROR(INDEX('CALENDARIO'!$C$15:$C$214,MATCH(TEXT($J316,"yyyy-mm-dd")&amp;"||",'CALENDARIO'!$G$15:$G$214,0)),INDEX(patronHabil,WEEKDAY($J316,2))))))</f>
        <v/>
      </c>
      <c r="U316" s="24">
        <f>IF($I316="","",IFERROR(INDEX('CAT_TIPOS_OT'!$C$4:$C$23,MATCH($I316,'CAT_TIPOS_OT'!$A$4:$A$23,0)),"sin_clasificar"))</f>
        <v/>
      </c>
      <c r="V316" s="24">
        <f>IF($I316="","",IF(IFERROR(INDEX('CAT_TIPOS_OT'!$D$4:$D$23,MATCH($I316,'CAT_TIPOS_OT'!$A$4:$A$23,0)),"SIN CLASIFICAR")="","SIN CLASIFICAR",IFERROR(INDEX('CAT_TIPOS_OT'!$D$4:$D$23,MATCH($I316,'CAT_TIPOS_OT'!$A$4:$A$23,0)),"SIN CLASIFICAR")))</f>
        <v/>
      </c>
      <c r="W316" s="24">
        <f>IF($H316="","",IF(IFERROR(INDEX('CAT_ACTIVIDADES'!$F$4:$F$26,MATCH($H316,'CAT_ACTIVIDADES'!$A$4:$A$26,0)),"")=0,"",IFERROR(INDEX('CAT_ACTIVIDADES'!$F$4:$F$26,MATCH($H316,'CAT_ACTIVIDADES'!$A$4:$A$26,0)),"")))</f>
        <v/>
      </c>
      <c r="X316" s="24">
        <f>IF($F316="","",IFERROR(INDEX('CAT_CENTROS_COSTO'!$F$4:$F$28,MATCH($F316,'CAT_CENTROS_COSTO'!$A$4:$A$28,0)),"(sin catálogo)"))</f>
        <v/>
      </c>
      <c r="Y316" s="24">
        <f>IF($F316="","",IFERROR(INDEX('CAT_CENTROS_COSTO'!$D$4:$D$28,MATCH($F316,'CAT_CENTROS_COSTO'!$A$4:$A$28,0)),"(sin catálogo)"))</f>
        <v/>
      </c>
      <c r="Z316" s="24">
        <f>IF($F316="","",IF((IFERROR(INDEX('CAT_CENTROS_COSTO'!$E$4:$E$28,MATCH($F316,'CAT_CENTROS_COSTO'!$A$4:$A$28,0)),""))&lt;&gt;"",IFERROR(INDEX('CAT_CENTROS_COSTO'!$E$4:$E$28,MATCH($F316,'CAT_CENTROS_COSTO'!$A$4:$A$28,0)),""),$Y316))</f>
        <v/>
      </c>
      <c r="AA316" s="24">
        <f>IF($F316="","",IFERROR(INDEX('CAT_CENTROS_COSTO'!$G$4:$G$28,MATCH($F316,'CAT_CENTROS_COSTO'!$A$4:$A$28,0)),"(sin catálogo)"))</f>
        <v/>
      </c>
      <c r="AB316" s="24">
        <f>IF($G316="","",IFERROR(INDEX('CAT_PUESTOS'!$B$4:$B$23,MATCH($G316,'CAT_PUESTOS'!$A$4:$A$23,0)),"(sin catálogo)"))</f>
        <v/>
      </c>
      <c r="AC316" s="24">
        <f>IF($H316="","",IFERROR(INDEX('CAT_ACTIVIDADES'!$B$4:$B$26,MATCH($H316,'CAT_ACTIVIDADES'!$A$4:$A$26,0)),"(sin catálogo)"))</f>
        <v/>
      </c>
      <c r="AD316" s="26">
        <f>IF($J316="","",TODAY()-$J316)</f>
        <v/>
      </c>
      <c r="AE316" s="26">
        <f>IF($J316="","",IF($J316&lt;=TODAY(),COUNTIFS(cal_fechas,"&gt;="&amp;$J316,cal_fechas,"&lt;"&amp;TODAY(),cal_habil,"sí"),-COUNTIFS(cal_fechas,"&gt;="&amp;TODAY(),cal_fechas,"&lt;"&amp;$J316,cal_habil,"sí")))</f>
        <v/>
      </c>
      <c r="AF316" s="24">
        <f>IF($AE316="","",IF($AE316&lt;0,"FUTURO",IF($AE316&gt;p_dias_backlog_max,"BACKLOG","MES CORRIENTE")))</f>
        <v/>
      </c>
      <c r="AG316" s="24">
        <f>IF($AE316="",FALSE,AND($AE316&gt;p_dias_backlog_min,$AE316&lt;=p_dias_backlog_max))</f>
        <v/>
      </c>
      <c r="AH316" s="4" t="n"/>
      <c r="AI316" s="24">
        <f>IF($AH316="","",IF((IFERROR(INDEX('ASIGNACIONES'!$J$4:$J$451,MATCH($O316&amp;"|"&amp;$S316&amp;"|"&amp;$AH316,'ASIGNACIONES'!$N$4:$N$451,0)),""))=0,"",IFERROR(INDEX('ASIGNACIONES'!$J$4:$J$451,MATCH($O316&amp;"|"&amp;$S316&amp;"|"&amp;$AH316,'ASIGNACIONES'!$N$4:$N$451,0)),"")))</f>
        <v/>
      </c>
      <c r="AJ316" s="42">
        <f>IF($AH316="","",SUMIFS('ORDENES'!$M$4:$M$1203,'ORDENES'!$AH$4:$AH$1203,$AH316,'ORDENES'!$O$4:$O$1203,$O316,'ORDENES'!$S$4:$S$1203,$S316))</f>
        <v/>
      </c>
      <c r="AK316" s="42">
        <f>IF($AJ316="","",p_factor_productividad*IFERROR(INDEX('ASIGNACIONES'!$M$4:$M$451,MATCH($O316&amp;"|"&amp;$S316&amp;"|"&amp;$AH316,'ASIGNACIONES'!$N$4:$N$451,0)),0)-$AJ316)</f>
        <v/>
      </c>
      <c r="AL316" s="32">
        <f>IF($A316="","",IFERROR(INDEX('2_IMPORTAR_EJECUCION'!$F$9:$F$1208,MATCH($AU316,'2_IMPORTAR_EJECUCION'!$J$9:$J$1208,0)),0))</f>
        <v/>
      </c>
      <c r="AM316" s="32">
        <f>IF($A316="","",MAX(0,IFERROR(INDEX('2_IMPORTAR_EJECUCION'!$H$9:$H$1208,MATCH($AU316,'2_IMPORTAR_EJECUCION'!$J$9:$J$1208,0)),0)-$AL316))</f>
        <v/>
      </c>
      <c r="AN316" s="32">
        <f>IF($A316="","",$AL316+$AM316)</f>
        <v/>
      </c>
      <c r="AO316" s="24">
        <f>IF($A316="","",IF(OR((IFERROR(INDEX('CAT_ACTIVIDADES'!$D$4:$D$26,MATCH($H316,'CAT_ACTIVIDADES'!$A$4:$A$26,0)),""))=0,(IFERROR(INDEX('CAT_ACTIVIDADES'!$D$4:$D$26,MATCH($H316,'CAT_ACTIVIDADES'!$A$4:$A$26,0)),""))=""),"SIN CLASIFICAR",IFERROR(INDEX('CAT_ACTIVIDADES'!$D$4:$D$26,MATCH($H316,'CAT_ACTIVIDADES'!$A$4:$A$26,0)),"")))</f>
        <v/>
      </c>
      <c r="AP316" s="4" t="n"/>
      <c r="AQ316" s="4" t="n"/>
      <c r="AR316" s="4" t="n"/>
      <c r="AS316" s="24">
        <f>IF($AR316="","",HYPERLINK(p_ruta_base_checklists&amp;$AR316,"abrir"))</f>
        <v/>
      </c>
      <c r="AT316" s="4" t="n"/>
      <c r="AU316" s="24">
        <f>IF($A316="","",$A316&amp;IF($B316="","0010",$B316))</f>
        <v/>
      </c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41" t="n"/>
      <c r="K317" s="5" t="n"/>
      <c r="L317" s="18" t="n"/>
      <c r="M317" s="24">
        <f>IF($A317="","",IFERROR(INDEX('AJUSTES'!$B$4:$B$303,MATCH($AU317,'AJUSTES'!$A$4:$A$303,0)),IF($K317="","",$K317)))</f>
        <v/>
      </c>
      <c r="N317" s="24">
        <f>IF($A317="","",IFERROR(INDEX('CAT_ESTADOS_ERP'!$B$4:$B$22,MATCH(IFERROR(INDEX('2_IMPORTAR_EJECUCION'!$C$9:$C$1208,MATCH($AU317,'2_IMPORTAR_EJECUCION'!$J$9:$J$1208,0)),""),'CAT_ESTADOS_ERP'!$A$4:$A$22,0)),"Pendiente"))</f>
        <v/>
      </c>
      <c r="O317" s="24">
        <f>IF($J317="","",YEAR($J317+4-WEEKDAY($J317,2))&amp;"-S"&amp;TEXT(_xlfn.ISOWEEKNUM($J317),"00"))</f>
        <v/>
      </c>
      <c r="P317" s="24">
        <f>IF($J317="","",YEAR($J317))</f>
        <v/>
      </c>
      <c r="Q317" s="24">
        <f>IF($J317="","",MONTH($J317))</f>
        <v/>
      </c>
      <c r="R317" s="24">
        <f>IF($J317="","",$P317&amp;"-"&amp;TEXT($Q317,"00"))</f>
        <v/>
      </c>
      <c r="S317" s="24">
        <f>IF($J317="","",INDEX(lista_dias,WEEKDAY($J317,2)))</f>
        <v/>
      </c>
      <c r="T317" s="24">
        <f>IF($J317="","",IFERROR(INDEX('CALENDARIO'!$C$15:$C$214,MATCH(TEXT($J317,"yyyy-mm-dd")&amp;"|"&amp;$Y317&amp;"|"&amp;$Z317,'CALENDARIO'!$G$15:$G$214,0)),IFERROR(INDEX('CALENDARIO'!$C$15:$C$214,MATCH(TEXT($J317,"yyyy-mm-dd")&amp;"|"&amp;$Y317&amp;"|",'CALENDARIO'!$G$15:$G$214,0)),IFERROR(INDEX('CALENDARIO'!$C$15:$C$214,MATCH(TEXT($J317,"yyyy-mm-dd")&amp;"||",'CALENDARIO'!$G$15:$G$214,0)),INDEX(patronHabil,WEEKDAY($J317,2))))))</f>
        <v/>
      </c>
      <c r="U317" s="24">
        <f>IF($I317="","",IFERROR(INDEX('CAT_TIPOS_OT'!$C$4:$C$23,MATCH($I317,'CAT_TIPOS_OT'!$A$4:$A$23,0)),"sin_clasificar"))</f>
        <v/>
      </c>
      <c r="V317" s="24">
        <f>IF($I317="","",IF(IFERROR(INDEX('CAT_TIPOS_OT'!$D$4:$D$23,MATCH($I317,'CAT_TIPOS_OT'!$A$4:$A$23,0)),"SIN CLASIFICAR")="","SIN CLASIFICAR",IFERROR(INDEX('CAT_TIPOS_OT'!$D$4:$D$23,MATCH($I317,'CAT_TIPOS_OT'!$A$4:$A$23,0)),"SIN CLASIFICAR")))</f>
        <v/>
      </c>
      <c r="W317" s="24">
        <f>IF($H317="","",IF(IFERROR(INDEX('CAT_ACTIVIDADES'!$F$4:$F$26,MATCH($H317,'CAT_ACTIVIDADES'!$A$4:$A$26,0)),"")=0,"",IFERROR(INDEX('CAT_ACTIVIDADES'!$F$4:$F$26,MATCH($H317,'CAT_ACTIVIDADES'!$A$4:$A$26,0)),"")))</f>
        <v/>
      </c>
      <c r="X317" s="24">
        <f>IF($F317="","",IFERROR(INDEX('CAT_CENTROS_COSTO'!$F$4:$F$28,MATCH($F317,'CAT_CENTROS_COSTO'!$A$4:$A$28,0)),"(sin catálogo)"))</f>
        <v/>
      </c>
      <c r="Y317" s="24">
        <f>IF($F317="","",IFERROR(INDEX('CAT_CENTROS_COSTO'!$D$4:$D$28,MATCH($F317,'CAT_CENTROS_COSTO'!$A$4:$A$28,0)),"(sin catálogo)"))</f>
        <v/>
      </c>
      <c r="Z317" s="24">
        <f>IF($F317="","",IF((IFERROR(INDEX('CAT_CENTROS_COSTO'!$E$4:$E$28,MATCH($F317,'CAT_CENTROS_COSTO'!$A$4:$A$28,0)),""))&lt;&gt;"",IFERROR(INDEX('CAT_CENTROS_COSTO'!$E$4:$E$28,MATCH($F317,'CAT_CENTROS_COSTO'!$A$4:$A$28,0)),""),$Y317))</f>
        <v/>
      </c>
      <c r="AA317" s="24">
        <f>IF($F317="","",IFERROR(INDEX('CAT_CENTROS_COSTO'!$G$4:$G$28,MATCH($F317,'CAT_CENTROS_COSTO'!$A$4:$A$28,0)),"(sin catálogo)"))</f>
        <v/>
      </c>
      <c r="AB317" s="24">
        <f>IF($G317="","",IFERROR(INDEX('CAT_PUESTOS'!$B$4:$B$23,MATCH($G317,'CAT_PUESTOS'!$A$4:$A$23,0)),"(sin catálogo)"))</f>
        <v/>
      </c>
      <c r="AC317" s="24">
        <f>IF($H317="","",IFERROR(INDEX('CAT_ACTIVIDADES'!$B$4:$B$26,MATCH($H317,'CAT_ACTIVIDADES'!$A$4:$A$26,0)),"(sin catálogo)"))</f>
        <v/>
      </c>
      <c r="AD317" s="26">
        <f>IF($J317="","",TODAY()-$J317)</f>
        <v/>
      </c>
      <c r="AE317" s="26">
        <f>IF($J317="","",IF($J317&lt;=TODAY(),COUNTIFS(cal_fechas,"&gt;="&amp;$J317,cal_fechas,"&lt;"&amp;TODAY(),cal_habil,"sí"),-COUNTIFS(cal_fechas,"&gt;="&amp;TODAY(),cal_fechas,"&lt;"&amp;$J317,cal_habil,"sí")))</f>
        <v/>
      </c>
      <c r="AF317" s="24">
        <f>IF($AE317="","",IF($AE317&lt;0,"FUTURO",IF($AE317&gt;p_dias_backlog_max,"BACKLOG","MES CORRIENTE")))</f>
        <v/>
      </c>
      <c r="AG317" s="24">
        <f>IF($AE317="",FALSE,AND($AE317&gt;p_dias_backlog_min,$AE317&lt;=p_dias_backlog_max))</f>
        <v/>
      </c>
      <c r="AH317" s="4" t="n"/>
      <c r="AI317" s="24">
        <f>IF($AH317="","",IF((IFERROR(INDEX('ASIGNACIONES'!$J$4:$J$451,MATCH($O317&amp;"|"&amp;$S317&amp;"|"&amp;$AH317,'ASIGNACIONES'!$N$4:$N$451,0)),""))=0,"",IFERROR(INDEX('ASIGNACIONES'!$J$4:$J$451,MATCH($O317&amp;"|"&amp;$S317&amp;"|"&amp;$AH317,'ASIGNACIONES'!$N$4:$N$451,0)),"")))</f>
        <v/>
      </c>
      <c r="AJ317" s="42">
        <f>IF($AH317="","",SUMIFS('ORDENES'!$M$4:$M$1203,'ORDENES'!$AH$4:$AH$1203,$AH317,'ORDENES'!$O$4:$O$1203,$O317,'ORDENES'!$S$4:$S$1203,$S317))</f>
        <v/>
      </c>
      <c r="AK317" s="42">
        <f>IF($AJ317="","",p_factor_productividad*IFERROR(INDEX('ASIGNACIONES'!$M$4:$M$451,MATCH($O317&amp;"|"&amp;$S317&amp;"|"&amp;$AH317,'ASIGNACIONES'!$N$4:$N$451,0)),0)-$AJ317)</f>
        <v/>
      </c>
      <c r="AL317" s="32">
        <f>IF($A317="","",IFERROR(INDEX('2_IMPORTAR_EJECUCION'!$F$9:$F$1208,MATCH($AU317,'2_IMPORTAR_EJECUCION'!$J$9:$J$1208,0)),0))</f>
        <v/>
      </c>
      <c r="AM317" s="32">
        <f>IF($A317="","",MAX(0,IFERROR(INDEX('2_IMPORTAR_EJECUCION'!$H$9:$H$1208,MATCH($AU317,'2_IMPORTAR_EJECUCION'!$J$9:$J$1208,0)),0)-$AL317))</f>
        <v/>
      </c>
      <c r="AN317" s="32">
        <f>IF($A317="","",$AL317+$AM317)</f>
        <v/>
      </c>
      <c r="AO317" s="24">
        <f>IF($A317="","",IF(OR((IFERROR(INDEX('CAT_ACTIVIDADES'!$D$4:$D$26,MATCH($H317,'CAT_ACTIVIDADES'!$A$4:$A$26,0)),""))=0,(IFERROR(INDEX('CAT_ACTIVIDADES'!$D$4:$D$26,MATCH($H317,'CAT_ACTIVIDADES'!$A$4:$A$26,0)),""))=""),"SIN CLASIFICAR",IFERROR(INDEX('CAT_ACTIVIDADES'!$D$4:$D$26,MATCH($H317,'CAT_ACTIVIDADES'!$A$4:$A$26,0)),"")))</f>
        <v/>
      </c>
      <c r="AP317" s="4" t="n"/>
      <c r="AQ317" s="4" t="n"/>
      <c r="AR317" s="4" t="n"/>
      <c r="AS317" s="24">
        <f>IF($AR317="","",HYPERLINK(p_ruta_base_checklists&amp;$AR317,"abrir"))</f>
        <v/>
      </c>
      <c r="AT317" s="4" t="n"/>
      <c r="AU317" s="24">
        <f>IF($A317="","",$A317&amp;IF($B317="","0010",$B317))</f>
        <v/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41" t="n"/>
      <c r="K318" s="5" t="n"/>
      <c r="L318" s="18" t="n"/>
      <c r="M318" s="24">
        <f>IF($A318="","",IFERROR(INDEX('AJUSTES'!$B$4:$B$303,MATCH($AU318,'AJUSTES'!$A$4:$A$303,0)),IF($K318="","",$K318)))</f>
        <v/>
      </c>
      <c r="N318" s="24">
        <f>IF($A318="","",IFERROR(INDEX('CAT_ESTADOS_ERP'!$B$4:$B$22,MATCH(IFERROR(INDEX('2_IMPORTAR_EJECUCION'!$C$9:$C$1208,MATCH($AU318,'2_IMPORTAR_EJECUCION'!$J$9:$J$1208,0)),""),'CAT_ESTADOS_ERP'!$A$4:$A$22,0)),"Pendiente"))</f>
        <v/>
      </c>
      <c r="O318" s="24">
        <f>IF($J318="","",YEAR($J318+4-WEEKDAY($J318,2))&amp;"-S"&amp;TEXT(_xlfn.ISOWEEKNUM($J318),"00"))</f>
        <v/>
      </c>
      <c r="P318" s="24">
        <f>IF($J318="","",YEAR($J318))</f>
        <v/>
      </c>
      <c r="Q318" s="24">
        <f>IF($J318="","",MONTH($J318))</f>
        <v/>
      </c>
      <c r="R318" s="24">
        <f>IF($J318="","",$P318&amp;"-"&amp;TEXT($Q318,"00"))</f>
        <v/>
      </c>
      <c r="S318" s="24">
        <f>IF($J318="","",INDEX(lista_dias,WEEKDAY($J318,2)))</f>
        <v/>
      </c>
      <c r="T318" s="24">
        <f>IF($J318="","",IFERROR(INDEX('CALENDARIO'!$C$15:$C$214,MATCH(TEXT($J318,"yyyy-mm-dd")&amp;"|"&amp;$Y318&amp;"|"&amp;$Z318,'CALENDARIO'!$G$15:$G$214,0)),IFERROR(INDEX('CALENDARIO'!$C$15:$C$214,MATCH(TEXT($J318,"yyyy-mm-dd")&amp;"|"&amp;$Y318&amp;"|",'CALENDARIO'!$G$15:$G$214,0)),IFERROR(INDEX('CALENDARIO'!$C$15:$C$214,MATCH(TEXT($J318,"yyyy-mm-dd")&amp;"||",'CALENDARIO'!$G$15:$G$214,0)),INDEX(patronHabil,WEEKDAY($J318,2))))))</f>
        <v/>
      </c>
      <c r="U318" s="24">
        <f>IF($I318="","",IFERROR(INDEX('CAT_TIPOS_OT'!$C$4:$C$23,MATCH($I318,'CAT_TIPOS_OT'!$A$4:$A$23,0)),"sin_clasificar"))</f>
        <v/>
      </c>
      <c r="V318" s="24">
        <f>IF($I318="","",IF(IFERROR(INDEX('CAT_TIPOS_OT'!$D$4:$D$23,MATCH($I318,'CAT_TIPOS_OT'!$A$4:$A$23,0)),"SIN CLASIFICAR")="","SIN CLASIFICAR",IFERROR(INDEX('CAT_TIPOS_OT'!$D$4:$D$23,MATCH($I318,'CAT_TIPOS_OT'!$A$4:$A$23,0)),"SIN CLASIFICAR")))</f>
        <v/>
      </c>
      <c r="W318" s="24">
        <f>IF($H318="","",IF(IFERROR(INDEX('CAT_ACTIVIDADES'!$F$4:$F$26,MATCH($H318,'CAT_ACTIVIDADES'!$A$4:$A$26,0)),"")=0,"",IFERROR(INDEX('CAT_ACTIVIDADES'!$F$4:$F$26,MATCH($H318,'CAT_ACTIVIDADES'!$A$4:$A$26,0)),"")))</f>
        <v/>
      </c>
      <c r="X318" s="24">
        <f>IF($F318="","",IFERROR(INDEX('CAT_CENTROS_COSTO'!$F$4:$F$28,MATCH($F318,'CAT_CENTROS_COSTO'!$A$4:$A$28,0)),"(sin catálogo)"))</f>
        <v/>
      </c>
      <c r="Y318" s="24">
        <f>IF($F318="","",IFERROR(INDEX('CAT_CENTROS_COSTO'!$D$4:$D$28,MATCH($F318,'CAT_CENTROS_COSTO'!$A$4:$A$28,0)),"(sin catálogo)"))</f>
        <v/>
      </c>
      <c r="Z318" s="24">
        <f>IF($F318="","",IF((IFERROR(INDEX('CAT_CENTROS_COSTO'!$E$4:$E$28,MATCH($F318,'CAT_CENTROS_COSTO'!$A$4:$A$28,0)),""))&lt;&gt;"",IFERROR(INDEX('CAT_CENTROS_COSTO'!$E$4:$E$28,MATCH($F318,'CAT_CENTROS_COSTO'!$A$4:$A$28,0)),""),$Y318))</f>
        <v/>
      </c>
      <c r="AA318" s="24">
        <f>IF($F318="","",IFERROR(INDEX('CAT_CENTROS_COSTO'!$G$4:$G$28,MATCH($F318,'CAT_CENTROS_COSTO'!$A$4:$A$28,0)),"(sin catálogo)"))</f>
        <v/>
      </c>
      <c r="AB318" s="24">
        <f>IF($G318="","",IFERROR(INDEX('CAT_PUESTOS'!$B$4:$B$23,MATCH($G318,'CAT_PUESTOS'!$A$4:$A$23,0)),"(sin catálogo)"))</f>
        <v/>
      </c>
      <c r="AC318" s="24">
        <f>IF($H318="","",IFERROR(INDEX('CAT_ACTIVIDADES'!$B$4:$B$26,MATCH($H318,'CAT_ACTIVIDADES'!$A$4:$A$26,0)),"(sin catálogo)"))</f>
        <v/>
      </c>
      <c r="AD318" s="26">
        <f>IF($J318="","",TODAY()-$J318)</f>
        <v/>
      </c>
      <c r="AE318" s="26">
        <f>IF($J318="","",IF($J318&lt;=TODAY(),COUNTIFS(cal_fechas,"&gt;="&amp;$J318,cal_fechas,"&lt;"&amp;TODAY(),cal_habil,"sí"),-COUNTIFS(cal_fechas,"&gt;="&amp;TODAY(),cal_fechas,"&lt;"&amp;$J318,cal_habil,"sí")))</f>
        <v/>
      </c>
      <c r="AF318" s="24">
        <f>IF($AE318="","",IF($AE318&lt;0,"FUTURO",IF($AE318&gt;p_dias_backlog_max,"BACKLOG","MES CORRIENTE")))</f>
        <v/>
      </c>
      <c r="AG318" s="24">
        <f>IF($AE318="",FALSE,AND($AE318&gt;p_dias_backlog_min,$AE318&lt;=p_dias_backlog_max))</f>
        <v/>
      </c>
      <c r="AH318" s="4" t="n"/>
      <c r="AI318" s="24">
        <f>IF($AH318="","",IF((IFERROR(INDEX('ASIGNACIONES'!$J$4:$J$451,MATCH($O318&amp;"|"&amp;$S318&amp;"|"&amp;$AH318,'ASIGNACIONES'!$N$4:$N$451,0)),""))=0,"",IFERROR(INDEX('ASIGNACIONES'!$J$4:$J$451,MATCH($O318&amp;"|"&amp;$S318&amp;"|"&amp;$AH318,'ASIGNACIONES'!$N$4:$N$451,0)),"")))</f>
        <v/>
      </c>
      <c r="AJ318" s="42">
        <f>IF($AH318="","",SUMIFS('ORDENES'!$M$4:$M$1203,'ORDENES'!$AH$4:$AH$1203,$AH318,'ORDENES'!$O$4:$O$1203,$O318,'ORDENES'!$S$4:$S$1203,$S318))</f>
        <v/>
      </c>
      <c r="AK318" s="42">
        <f>IF($AJ318="","",p_factor_productividad*IFERROR(INDEX('ASIGNACIONES'!$M$4:$M$451,MATCH($O318&amp;"|"&amp;$S318&amp;"|"&amp;$AH318,'ASIGNACIONES'!$N$4:$N$451,0)),0)-$AJ318)</f>
        <v/>
      </c>
      <c r="AL318" s="32">
        <f>IF($A318="","",IFERROR(INDEX('2_IMPORTAR_EJECUCION'!$F$9:$F$1208,MATCH($AU318,'2_IMPORTAR_EJECUCION'!$J$9:$J$1208,0)),0))</f>
        <v/>
      </c>
      <c r="AM318" s="32">
        <f>IF($A318="","",MAX(0,IFERROR(INDEX('2_IMPORTAR_EJECUCION'!$H$9:$H$1208,MATCH($AU318,'2_IMPORTAR_EJECUCION'!$J$9:$J$1208,0)),0)-$AL318))</f>
        <v/>
      </c>
      <c r="AN318" s="32">
        <f>IF($A318="","",$AL318+$AM318)</f>
        <v/>
      </c>
      <c r="AO318" s="24">
        <f>IF($A318="","",IF(OR((IFERROR(INDEX('CAT_ACTIVIDADES'!$D$4:$D$26,MATCH($H318,'CAT_ACTIVIDADES'!$A$4:$A$26,0)),""))=0,(IFERROR(INDEX('CAT_ACTIVIDADES'!$D$4:$D$26,MATCH($H318,'CAT_ACTIVIDADES'!$A$4:$A$26,0)),""))=""),"SIN CLASIFICAR",IFERROR(INDEX('CAT_ACTIVIDADES'!$D$4:$D$26,MATCH($H318,'CAT_ACTIVIDADES'!$A$4:$A$26,0)),"")))</f>
        <v/>
      </c>
      <c r="AP318" s="4" t="n"/>
      <c r="AQ318" s="4" t="n"/>
      <c r="AR318" s="4" t="n"/>
      <c r="AS318" s="24">
        <f>IF($AR318="","",HYPERLINK(p_ruta_base_checklists&amp;$AR318,"abrir"))</f>
        <v/>
      </c>
      <c r="AT318" s="4" t="n"/>
      <c r="AU318" s="24">
        <f>IF($A318="","",$A318&amp;IF($B318="","0010",$B318))</f>
        <v/>
      </c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41" t="n"/>
      <c r="K319" s="5" t="n"/>
      <c r="L319" s="18" t="n"/>
      <c r="M319" s="24">
        <f>IF($A319="","",IFERROR(INDEX('AJUSTES'!$B$4:$B$303,MATCH($AU319,'AJUSTES'!$A$4:$A$303,0)),IF($K319="","",$K319)))</f>
        <v/>
      </c>
      <c r="N319" s="24">
        <f>IF($A319="","",IFERROR(INDEX('CAT_ESTADOS_ERP'!$B$4:$B$22,MATCH(IFERROR(INDEX('2_IMPORTAR_EJECUCION'!$C$9:$C$1208,MATCH($AU319,'2_IMPORTAR_EJECUCION'!$J$9:$J$1208,0)),""),'CAT_ESTADOS_ERP'!$A$4:$A$22,0)),"Pendiente"))</f>
        <v/>
      </c>
      <c r="O319" s="24">
        <f>IF($J319="","",YEAR($J319+4-WEEKDAY($J319,2))&amp;"-S"&amp;TEXT(_xlfn.ISOWEEKNUM($J319),"00"))</f>
        <v/>
      </c>
      <c r="P319" s="24">
        <f>IF($J319="","",YEAR($J319))</f>
        <v/>
      </c>
      <c r="Q319" s="24">
        <f>IF($J319="","",MONTH($J319))</f>
        <v/>
      </c>
      <c r="R319" s="24">
        <f>IF($J319="","",$P319&amp;"-"&amp;TEXT($Q319,"00"))</f>
        <v/>
      </c>
      <c r="S319" s="24">
        <f>IF($J319="","",INDEX(lista_dias,WEEKDAY($J319,2)))</f>
        <v/>
      </c>
      <c r="T319" s="24">
        <f>IF($J319="","",IFERROR(INDEX('CALENDARIO'!$C$15:$C$214,MATCH(TEXT($J319,"yyyy-mm-dd")&amp;"|"&amp;$Y319&amp;"|"&amp;$Z319,'CALENDARIO'!$G$15:$G$214,0)),IFERROR(INDEX('CALENDARIO'!$C$15:$C$214,MATCH(TEXT($J319,"yyyy-mm-dd")&amp;"|"&amp;$Y319&amp;"|",'CALENDARIO'!$G$15:$G$214,0)),IFERROR(INDEX('CALENDARIO'!$C$15:$C$214,MATCH(TEXT($J319,"yyyy-mm-dd")&amp;"||",'CALENDARIO'!$G$15:$G$214,0)),INDEX(patronHabil,WEEKDAY($J319,2))))))</f>
        <v/>
      </c>
      <c r="U319" s="24">
        <f>IF($I319="","",IFERROR(INDEX('CAT_TIPOS_OT'!$C$4:$C$23,MATCH($I319,'CAT_TIPOS_OT'!$A$4:$A$23,0)),"sin_clasificar"))</f>
        <v/>
      </c>
      <c r="V319" s="24">
        <f>IF($I319="","",IF(IFERROR(INDEX('CAT_TIPOS_OT'!$D$4:$D$23,MATCH($I319,'CAT_TIPOS_OT'!$A$4:$A$23,0)),"SIN CLASIFICAR")="","SIN CLASIFICAR",IFERROR(INDEX('CAT_TIPOS_OT'!$D$4:$D$23,MATCH($I319,'CAT_TIPOS_OT'!$A$4:$A$23,0)),"SIN CLASIFICAR")))</f>
        <v/>
      </c>
      <c r="W319" s="24">
        <f>IF($H319="","",IF(IFERROR(INDEX('CAT_ACTIVIDADES'!$F$4:$F$26,MATCH($H319,'CAT_ACTIVIDADES'!$A$4:$A$26,0)),"")=0,"",IFERROR(INDEX('CAT_ACTIVIDADES'!$F$4:$F$26,MATCH($H319,'CAT_ACTIVIDADES'!$A$4:$A$26,0)),"")))</f>
        <v/>
      </c>
      <c r="X319" s="24">
        <f>IF($F319="","",IFERROR(INDEX('CAT_CENTROS_COSTO'!$F$4:$F$28,MATCH($F319,'CAT_CENTROS_COSTO'!$A$4:$A$28,0)),"(sin catálogo)"))</f>
        <v/>
      </c>
      <c r="Y319" s="24">
        <f>IF($F319="","",IFERROR(INDEX('CAT_CENTROS_COSTO'!$D$4:$D$28,MATCH($F319,'CAT_CENTROS_COSTO'!$A$4:$A$28,0)),"(sin catálogo)"))</f>
        <v/>
      </c>
      <c r="Z319" s="24">
        <f>IF($F319="","",IF((IFERROR(INDEX('CAT_CENTROS_COSTO'!$E$4:$E$28,MATCH($F319,'CAT_CENTROS_COSTO'!$A$4:$A$28,0)),""))&lt;&gt;"",IFERROR(INDEX('CAT_CENTROS_COSTO'!$E$4:$E$28,MATCH($F319,'CAT_CENTROS_COSTO'!$A$4:$A$28,0)),""),$Y319))</f>
        <v/>
      </c>
      <c r="AA319" s="24">
        <f>IF($F319="","",IFERROR(INDEX('CAT_CENTROS_COSTO'!$G$4:$G$28,MATCH($F319,'CAT_CENTROS_COSTO'!$A$4:$A$28,0)),"(sin catálogo)"))</f>
        <v/>
      </c>
      <c r="AB319" s="24">
        <f>IF($G319="","",IFERROR(INDEX('CAT_PUESTOS'!$B$4:$B$23,MATCH($G319,'CAT_PUESTOS'!$A$4:$A$23,0)),"(sin catálogo)"))</f>
        <v/>
      </c>
      <c r="AC319" s="24">
        <f>IF($H319="","",IFERROR(INDEX('CAT_ACTIVIDADES'!$B$4:$B$26,MATCH($H319,'CAT_ACTIVIDADES'!$A$4:$A$26,0)),"(sin catálogo)"))</f>
        <v/>
      </c>
      <c r="AD319" s="26">
        <f>IF($J319="","",TODAY()-$J319)</f>
        <v/>
      </c>
      <c r="AE319" s="26">
        <f>IF($J319="","",IF($J319&lt;=TODAY(),COUNTIFS(cal_fechas,"&gt;="&amp;$J319,cal_fechas,"&lt;"&amp;TODAY(),cal_habil,"sí"),-COUNTIFS(cal_fechas,"&gt;="&amp;TODAY(),cal_fechas,"&lt;"&amp;$J319,cal_habil,"sí")))</f>
        <v/>
      </c>
      <c r="AF319" s="24">
        <f>IF($AE319="","",IF($AE319&lt;0,"FUTURO",IF($AE319&gt;p_dias_backlog_max,"BACKLOG","MES CORRIENTE")))</f>
        <v/>
      </c>
      <c r="AG319" s="24">
        <f>IF($AE319="",FALSE,AND($AE319&gt;p_dias_backlog_min,$AE319&lt;=p_dias_backlog_max))</f>
        <v/>
      </c>
      <c r="AH319" s="4" t="n"/>
      <c r="AI319" s="24">
        <f>IF($AH319="","",IF((IFERROR(INDEX('ASIGNACIONES'!$J$4:$J$451,MATCH($O319&amp;"|"&amp;$S319&amp;"|"&amp;$AH319,'ASIGNACIONES'!$N$4:$N$451,0)),""))=0,"",IFERROR(INDEX('ASIGNACIONES'!$J$4:$J$451,MATCH($O319&amp;"|"&amp;$S319&amp;"|"&amp;$AH319,'ASIGNACIONES'!$N$4:$N$451,0)),"")))</f>
        <v/>
      </c>
      <c r="AJ319" s="42">
        <f>IF($AH319="","",SUMIFS('ORDENES'!$M$4:$M$1203,'ORDENES'!$AH$4:$AH$1203,$AH319,'ORDENES'!$O$4:$O$1203,$O319,'ORDENES'!$S$4:$S$1203,$S319))</f>
        <v/>
      </c>
      <c r="AK319" s="42">
        <f>IF($AJ319="","",p_factor_productividad*IFERROR(INDEX('ASIGNACIONES'!$M$4:$M$451,MATCH($O319&amp;"|"&amp;$S319&amp;"|"&amp;$AH319,'ASIGNACIONES'!$N$4:$N$451,0)),0)-$AJ319)</f>
        <v/>
      </c>
      <c r="AL319" s="32">
        <f>IF($A319="","",IFERROR(INDEX('2_IMPORTAR_EJECUCION'!$F$9:$F$1208,MATCH($AU319,'2_IMPORTAR_EJECUCION'!$J$9:$J$1208,0)),0))</f>
        <v/>
      </c>
      <c r="AM319" s="32">
        <f>IF($A319="","",MAX(0,IFERROR(INDEX('2_IMPORTAR_EJECUCION'!$H$9:$H$1208,MATCH($AU319,'2_IMPORTAR_EJECUCION'!$J$9:$J$1208,0)),0)-$AL319))</f>
        <v/>
      </c>
      <c r="AN319" s="32">
        <f>IF($A319="","",$AL319+$AM319)</f>
        <v/>
      </c>
      <c r="AO319" s="24">
        <f>IF($A319="","",IF(OR((IFERROR(INDEX('CAT_ACTIVIDADES'!$D$4:$D$26,MATCH($H319,'CAT_ACTIVIDADES'!$A$4:$A$26,0)),""))=0,(IFERROR(INDEX('CAT_ACTIVIDADES'!$D$4:$D$26,MATCH($H319,'CAT_ACTIVIDADES'!$A$4:$A$26,0)),""))=""),"SIN CLASIFICAR",IFERROR(INDEX('CAT_ACTIVIDADES'!$D$4:$D$26,MATCH($H319,'CAT_ACTIVIDADES'!$A$4:$A$26,0)),"")))</f>
        <v/>
      </c>
      <c r="AP319" s="4" t="n"/>
      <c r="AQ319" s="4" t="n"/>
      <c r="AR319" s="4" t="n"/>
      <c r="AS319" s="24">
        <f>IF($AR319="","",HYPERLINK(p_ruta_base_checklists&amp;$AR319,"abrir"))</f>
        <v/>
      </c>
      <c r="AT319" s="4" t="n"/>
      <c r="AU319" s="24">
        <f>IF($A319="","",$A319&amp;IF($B319="","0010",$B319))</f>
        <v/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41" t="n"/>
      <c r="K320" s="5" t="n"/>
      <c r="L320" s="18" t="n"/>
      <c r="M320" s="24">
        <f>IF($A320="","",IFERROR(INDEX('AJUSTES'!$B$4:$B$303,MATCH($AU320,'AJUSTES'!$A$4:$A$303,0)),IF($K320="","",$K320)))</f>
        <v/>
      </c>
      <c r="N320" s="24">
        <f>IF($A320="","",IFERROR(INDEX('CAT_ESTADOS_ERP'!$B$4:$B$22,MATCH(IFERROR(INDEX('2_IMPORTAR_EJECUCION'!$C$9:$C$1208,MATCH($AU320,'2_IMPORTAR_EJECUCION'!$J$9:$J$1208,0)),""),'CAT_ESTADOS_ERP'!$A$4:$A$22,0)),"Pendiente"))</f>
        <v/>
      </c>
      <c r="O320" s="24">
        <f>IF($J320="","",YEAR($J320+4-WEEKDAY($J320,2))&amp;"-S"&amp;TEXT(_xlfn.ISOWEEKNUM($J320),"00"))</f>
        <v/>
      </c>
      <c r="P320" s="24">
        <f>IF($J320="","",YEAR($J320))</f>
        <v/>
      </c>
      <c r="Q320" s="24">
        <f>IF($J320="","",MONTH($J320))</f>
        <v/>
      </c>
      <c r="R320" s="24">
        <f>IF($J320="","",$P320&amp;"-"&amp;TEXT($Q320,"00"))</f>
        <v/>
      </c>
      <c r="S320" s="24">
        <f>IF($J320="","",INDEX(lista_dias,WEEKDAY($J320,2)))</f>
        <v/>
      </c>
      <c r="T320" s="24">
        <f>IF($J320="","",IFERROR(INDEX('CALENDARIO'!$C$15:$C$214,MATCH(TEXT($J320,"yyyy-mm-dd")&amp;"|"&amp;$Y320&amp;"|"&amp;$Z320,'CALENDARIO'!$G$15:$G$214,0)),IFERROR(INDEX('CALENDARIO'!$C$15:$C$214,MATCH(TEXT($J320,"yyyy-mm-dd")&amp;"|"&amp;$Y320&amp;"|",'CALENDARIO'!$G$15:$G$214,0)),IFERROR(INDEX('CALENDARIO'!$C$15:$C$214,MATCH(TEXT($J320,"yyyy-mm-dd")&amp;"||",'CALENDARIO'!$G$15:$G$214,0)),INDEX(patronHabil,WEEKDAY($J320,2))))))</f>
        <v/>
      </c>
      <c r="U320" s="24">
        <f>IF($I320="","",IFERROR(INDEX('CAT_TIPOS_OT'!$C$4:$C$23,MATCH($I320,'CAT_TIPOS_OT'!$A$4:$A$23,0)),"sin_clasificar"))</f>
        <v/>
      </c>
      <c r="V320" s="24">
        <f>IF($I320="","",IF(IFERROR(INDEX('CAT_TIPOS_OT'!$D$4:$D$23,MATCH($I320,'CAT_TIPOS_OT'!$A$4:$A$23,0)),"SIN CLASIFICAR")="","SIN CLASIFICAR",IFERROR(INDEX('CAT_TIPOS_OT'!$D$4:$D$23,MATCH($I320,'CAT_TIPOS_OT'!$A$4:$A$23,0)),"SIN CLASIFICAR")))</f>
        <v/>
      </c>
      <c r="W320" s="24">
        <f>IF($H320="","",IF(IFERROR(INDEX('CAT_ACTIVIDADES'!$F$4:$F$26,MATCH($H320,'CAT_ACTIVIDADES'!$A$4:$A$26,0)),"")=0,"",IFERROR(INDEX('CAT_ACTIVIDADES'!$F$4:$F$26,MATCH($H320,'CAT_ACTIVIDADES'!$A$4:$A$26,0)),"")))</f>
        <v/>
      </c>
      <c r="X320" s="24">
        <f>IF($F320="","",IFERROR(INDEX('CAT_CENTROS_COSTO'!$F$4:$F$28,MATCH($F320,'CAT_CENTROS_COSTO'!$A$4:$A$28,0)),"(sin catálogo)"))</f>
        <v/>
      </c>
      <c r="Y320" s="24">
        <f>IF($F320="","",IFERROR(INDEX('CAT_CENTROS_COSTO'!$D$4:$D$28,MATCH($F320,'CAT_CENTROS_COSTO'!$A$4:$A$28,0)),"(sin catálogo)"))</f>
        <v/>
      </c>
      <c r="Z320" s="24">
        <f>IF($F320="","",IF((IFERROR(INDEX('CAT_CENTROS_COSTO'!$E$4:$E$28,MATCH($F320,'CAT_CENTROS_COSTO'!$A$4:$A$28,0)),""))&lt;&gt;"",IFERROR(INDEX('CAT_CENTROS_COSTO'!$E$4:$E$28,MATCH($F320,'CAT_CENTROS_COSTO'!$A$4:$A$28,0)),""),$Y320))</f>
        <v/>
      </c>
      <c r="AA320" s="24">
        <f>IF($F320="","",IFERROR(INDEX('CAT_CENTROS_COSTO'!$G$4:$G$28,MATCH($F320,'CAT_CENTROS_COSTO'!$A$4:$A$28,0)),"(sin catálogo)"))</f>
        <v/>
      </c>
      <c r="AB320" s="24">
        <f>IF($G320="","",IFERROR(INDEX('CAT_PUESTOS'!$B$4:$B$23,MATCH($G320,'CAT_PUESTOS'!$A$4:$A$23,0)),"(sin catálogo)"))</f>
        <v/>
      </c>
      <c r="AC320" s="24">
        <f>IF($H320="","",IFERROR(INDEX('CAT_ACTIVIDADES'!$B$4:$B$26,MATCH($H320,'CAT_ACTIVIDADES'!$A$4:$A$26,0)),"(sin catálogo)"))</f>
        <v/>
      </c>
      <c r="AD320" s="26">
        <f>IF($J320="","",TODAY()-$J320)</f>
        <v/>
      </c>
      <c r="AE320" s="26">
        <f>IF($J320="","",IF($J320&lt;=TODAY(),COUNTIFS(cal_fechas,"&gt;="&amp;$J320,cal_fechas,"&lt;"&amp;TODAY(),cal_habil,"sí"),-COUNTIFS(cal_fechas,"&gt;="&amp;TODAY(),cal_fechas,"&lt;"&amp;$J320,cal_habil,"sí")))</f>
        <v/>
      </c>
      <c r="AF320" s="24">
        <f>IF($AE320="","",IF($AE320&lt;0,"FUTURO",IF($AE320&gt;p_dias_backlog_max,"BACKLOG","MES CORRIENTE")))</f>
        <v/>
      </c>
      <c r="AG320" s="24">
        <f>IF($AE320="",FALSE,AND($AE320&gt;p_dias_backlog_min,$AE320&lt;=p_dias_backlog_max))</f>
        <v/>
      </c>
      <c r="AH320" s="4" t="n"/>
      <c r="AI320" s="24">
        <f>IF($AH320="","",IF((IFERROR(INDEX('ASIGNACIONES'!$J$4:$J$451,MATCH($O320&amp;"|"&amp;$S320&amp;"|"&amp;$AH320,'ASIGNACIONES'!$N$4:$N$451,0)),""))=0,"",IFERROR(INDEX('ASIGNACIONES'!$J$4:$J$451,MATCH($O320&amp;"|"&amp;$S320&amp;"|"&amp;$AH320,'ASIGNACIONES'!$N$4:$N$451,0)),"")))</f>
        <v/>
      </c>
      <c r="AJ320" s="42">
        <f>IF($AH320="","",SUMIFS('ORDENES'!$M$4:$M$1203,'ORDENES'!$AH$4:$AH$1203,$AH320,'ORDENES'!$O$4:$O$1203,$O320,'ORDENES'!$S$4:$S$1203,$S320))</f>
        <v/>
      </c>
      <c r="AK320" s="42">
        <f>IF($AJ320="","",p_factor_productividad*IFERROR(INDEX('ASIGNACIONES'!$M$4:$M$451,MATCH($O320&amp;"|"&amp;$S320&amp;"|"&amp;$AH320,'ASIGNACIONES'!$N$4:$N$451,0)),0)-$AJ320)</f>
        <v/>
      </c>
      <c r="AL320" s="32">
        <f>IF($A320="","",IFERROR(INDEX('2_IMPORTAR_EJECUCION'!$F$9:$F$1208,MATCH($AU320,'2_IMPORTAR_EJECUCION'!$J$9:$J$1208,0)),0))</f>
        <v/>
      </c>
      <c r="AM320" s="32">
        <f>IF($A320="","",MAX(0,IFERROR(INDEX('2_IMPORTAR_EJECUCION'!$H$9:$H$1208,MATCH($AU320,'2_IMPORTAR_EJECUCION'!$J$9:$J$1208,0)),0)-$AL320))</f>
        <v/>
      </c>
      <c r="AN320" s="32">
        <f>IF($A320="","",$AL320+$AM320)</f>
        <v/>
      </c>
      <c r="AO320" s="24">
        <f>IF($A320="","",IF(OR((IFERROR(INDEX('CAT_ACTIVIDADES'!$D$4:$D$26,MATCH($H320,'CAT_ACTIVIDADES'!$A$4:$A$26,0)),""))=0,(IFERROR(INDEX('CAT_ACTIVIDADES'!$D$4:$D$26,MATCH($H320,'CAT_ACTIVIDADES'!$A$4:$A$26,0)),""))=""),"SIN CLASIFICAR",IFERROR(INDEX('CAT_ACTIVIDADES'!$D$4:$D$26,MATCH($H320,'CAT_ACTIVIDADES'!$A$4:$A$26,0)),"")))</f>
        <v/>
      </c>
      <c r="AP320" s="4" t="n"/>
      <c r="AQ320" s="4" t="n"/>
      <c r="AR320" s="4" t="n"/>
      <c r="AS320" s="24">
        <f>IF($AR320="","",HYPERLINK(p_ruta_base_checklists&amp;$AR320,"abrir"))</f>
        <v/>
      </c>
      <c r="AT320" s="4" t="n"/>
      <c r="AU320" s="24">
        <f>IF($A320="","",$A320&amp;IF($B320="","0010",$B320))</f>
        <v/>
      </c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41" t="n"/>
      <c r="K321" s="5" t="n"/>
      <c r="L321" s="18" t="n"/>
      <c r="M321" s="24">
        <f>IF($A321="","",IFERROR(INDEX('AJUSTES'!$B$4:$B$303,MATCH($AU321,'AJUSTES'!$A$4:$A$303,0)),IF($K321="","",$K321)))</f>
        <v/>
      </c>
      <c r="N321" s="24">
        <f>IF($A321="","",IFERROR(INDEX('CAT_ESTADOS_ERP'!$B$4:$B$22,MATCH(IFERROR(INDEX('2_IMPORTAR_EJECUCION'!$C$9:$C$1208,MATCH($AU321,'2_IMPORTAR_EJECUCION'!$J$9:$J$1208,0)),""),'CAT_ESTADOS_ERP'!$A$4:$A$22,0)),"Pendiente"))</f>
        <v/>
      </c>
      <c r="O321" s="24">
        <f>IF($J321="","",YEAR($J321+4-WEEKDAY($J321,2))&amp;"-S"&amp;TEXT(_xlfn.ISOWEEKNUM($J321),"00"))</f>
        <v/>
      </c>
      <c r="P321" s="24">
        <f>IF($J321="","",YEAR($J321))</f>
        <v/>
      </c>
      <c r="Q321" s="24">
        <f>IF($J321="","",MONTH($J321))</f>
        <v/>
      </c>
      <c r="R321" s="24">
        <f>IF($J321="","",$P321&amp;"-"&amp;TEXT($Q321,"00"))</f>
        <v/>
      </c>
      <c r="S321" s="24">
        <f>IF($J321="","",INDEX(lista_dias,WEEKDAY($J321,2)))</f>
        <v/>
      </c>
      <c r="T321" s="24">
        <f>IF($J321="","",IFERROR(INDEX('CALENDARIO'!$C$15:$C$214,MATCH(TEXT($J321,"yyyy-mm-dd")&amp;"|"&amp;$Y321&amp;"|"&amp;$Z321,'CALENDARIO'!$G$15:$G$214,0)),IFERROR(INDEX('CALENDARIO'!$C$15:$C$214,MATCH(TEXT($J321,"yyyy-mm-dd")&amp;"|"&amp;$Y321&amp;"|",'CALENDARIO'!$G$15:$G$214,0)),IFERROR(INDEX('CALENDARIO'!$C$15:$C$214,MATCH(TEXT($J321,"yyyy-mm-dd")&amp;"||",'CALENDARIO'!$G$15:$G$214,0)),INDEX(patronHabil,WEEKDAY($J321,2))))))</f>
        <v/>
      </c>
      <c r="U321" s="24">
        <f>IF($I321="","",IFERROR(INDEX('CAT_TIPOS_OT'!$C$4:$C$23,MATCH($I321,'CAT_TIPOS_OT'!$A$4:$A$23,0)),"sin_clasificar"))</f>
        <v/>
      </c>
      <c r="V321" s="24">
        <f>IF($I321="","",IF(IFERROR(INDEX('CAT_TIPOS_OT'!$D$4:$D$23,MATCH($I321,'CAT_TIPOS_OT'!$A$4:$A$23,0)),"SIN CLASIFICAR")="","SIN CLASIFICAR",IFERROR(INDEX('CAT_TIPOS_OT'!$D$4:$D$23,MATCH($I321,'CAT_TIPOS_OT'!$A$4:$A$23,0)),"SIN CLASIFICAR")))</f>
        <v/>
      </c>
      <c r="W321" s="24">
        <f>IF($H321="","",IF(IFERROR(INDEX('CAT_ACTIVIDADES'!$F$4:$F$26,MATCH($H321,'CAT_ACTIVIDADES'!$A$4:$A$26,0)),"")=0,"",IFERROR(INDEX('CAT_ACTIVIDADES'!$F$4:$F$26,MATCH($H321,'CAT_ACTIVIDADES'!$A$4:$A$26,0)),"")))</f>
        <v/>
      </c>
      <c r="X321" s="24">
        <f>IF($F321="","",IFERROR(INDEX('CAT_CENTROS_COSTO'!$F$4:$F$28,MATCH($F321,'CAT_CENTROS_COSTO'!$A$4:$A$28,0)),"(sin catálogo)"))</f>
        <v/>
      </c>
      <c r="Y321" s="24">
        <f>IF($F321="","",IFERROR(INDEX('CAT_CENTROS_COSTO'!$D$4:$D$28,MATCH($F321,'CAT_CENTROS_COSTO'!$A$4:$A$28,0)),"(sin catálogo)"))</f>
        <v/>
      </c>
      <c r="Z321" s="24">
        <f>IF($F321="","",IF((IFERROR(INDEX('CAT_CENTROS_COSTO'!$E$4:$E$28,MATCH($F321,'CAT_CENTROS_COSTO'!$A$4:$A$28,0)),""))&lt;&gt;"",IFERROR(INDEX('CAT_CENTROS_COSTO'!$E$4:$E$28,MATCH($F321,'CAT_CENTROS_COSTO'!$A$4:$A$28,0)),""),$Y321))</f>
        <v/>
      </c>
      <c r="AA321" s="24">
        <f>IF($F321="","",IFERROR(INDEX('CAT_CENTROS_COSTO'!$G$4:$G$28,MATCH($F321,'CAT_CENTROS_COSTO'!$A$4:$A$28,0)),"(sin catálogo)"))</f>
        <v/>
      </c>
      <c r="AB321" s="24">
        <f>IF($G321="","",IFERROR(INDEX('CAT_PUESTOS'!$B$4:$B$23,MATCH($G321,'CAT_PUESTOS'!$A$4:$A$23,0)),"(sin catálogo)"))</f>
        <v/>
      </c>
      <c r="AC321" s="24">
        <f>IF($H321="","",IFERROR(INDEX('CAT_ACTIVIDADES'!$B$4:$B$26,MATCH($H321,'CAT_ACTIVIDADES'!$A$4:$A$26,0)),"(sin catálogo)"))</f>
        <v/>
      </c>
      <c r="AD321" s="26">
        <f>IF($J321="","",TODAY()-$J321)</f>
        <v/>
      </c>
      <c r="AE321" s="26">
        <f>IF($J321="","",IF($J321&lt;=TODAY(),COUNTIFS(cal_fechas,"&gt;="&amp;$J321,cal_fechas,"&lt;"&amp;TODAY(),cal_habil,"sí"),-COUNTIFS(cal_fechas,"&gt;="&amp;TODAY(),cal_fechas,"&lt;"&amp;$J321,cal_habil,"sí")))</f>
        <v/>
      </c>
      <c r="AF321" s="24">
        <f>IF($AE321="","",IF($AE321&lt;0,"FUTURO",IF($AE321&gt;p_dias_backlog_max,"BACKLOG","MES CORRIENTE")))</f>
        <v/>
      </c>
      <c r="AG321" s="24">
        <f>IF($AE321="",FALSE,AND($AE321&gt;p_dias_backlog_min,$AE321&lt;=p_dias_backlog_max))</f>
        <v/>
      </c>
      <c r="AH321" s="4" t="n"/>
      <c r="AI321" s="24">
        <f>IF($AH321="","",IF((IFERROR(INDEX('ASIGNACIONES'!$J$4:$J$451,MATCH($O321&amp;"|"&amp;$S321&amp;"|"&amp;$AH321,'ASIGNACIONES'!$N$4:$N$451,0)),""))=0,"",IFERROR(INDEX('ASIGNACIONES'!$J$4:$J$451,MATCH($O321&amp;"|"&amp;$S321&amp;"|"&amp;$AH321,'ASIGNACIONES'!$N$4:$N$451,0)),"")))</f>
        <v/>
      </c>
      <c r="AJ321" s="42">
        <f>IF($AH321="","",SUMIFS('ORDENES'!$M$4:$M$1203,'ORDENES'!$AH$4:$AH$1203,$AH321,'ORDENES'!$O$4:$O$1203,$O321,'ORDENES'!$S$4:$S$1203,$S321))</f>
        <v/>
      </c>
      <c r="AK321" s="42">
        <f>IF($AJ321="","",p_factor_productividad*IFERROR(INDEX('ASIGNACIONES'!$M$4:$M$451,MATCH($O321&amp;"|"&amp;$S321&amp;"|"&amp;$AH321,'ASIGNACIONES'!$N$4:$N$451,0)),0)-$AJ321)</f>
        <v/>
      </c>
      <c r="AL321" s="32">
        <f>IF($A321="","",IFERROR(INDEX('2_IMPORTAR_EJECUCION'!$F$9:$F$1208,MATCH($AU321,'2_IMPORTAR_EJECUCION'!$J$9:$J$1208,0)),0))</f>
        <v/>
      </c>
      <c r="AM321" s="32">
        <f>IF($A321="","",MAX(0,IFERROR(INDEX('2_IMPORTAR_EJECUCION'!$H$9:$H$1208,MATCH($AU321,'2_IMPORTAR_EJECUCION'!$J$9:$J$1208,0)),0)-$AL321))</f>
        <v/>
      </c>
      <c r="AN321" s="32">
        <f>IF($A321="","",$AL321+$AM321)</f>
        <v/>
      </c>
      <c r="AO321" s="24">
        <f>IF($A321="","",IF(OR((IFERROR(INDEX('CAT_ACTIVIDADES'!$D$4:$D$26,MATCH($H321,'CAT_ACTIVIDADES'!$A$4:$A$26,0)),""))=0,(IFERROR(INDEX('CAT_ACTIVIDADES'!$D$4:$D$26,MATCH($H321,'CAT_ACTIVIDADES'!$A$4:$A$26,0)),""))=""),"SIN CLASIFICAR",IFERROR(INDEX('CAT_ACTIVIDADES'!$D$4:$D$26,MATCH($H321,'CAT_ACTIVIDADES'!$A$4:$A$26,0)),"")))</f>
        <v/>
      </c>
      <c r="AP321" s="4" t="n"/>
      <c r="AQ321" s="4" t="n"/>
      <c r="AR321" s="4" t="n"/>
      <c r="AS321" s="24">
        <f>IF($AR321="","",HYPERLINK(p_ruta_base_checklists&amp;$AR321,"abrir"))</f>
        <v/>
      </c>
      <c r="AT321" s="4" t="n"/>
      <c r="AU321" s="24">
        <f>IF($A321="","",$A321&amp;IF($B321="","0010",$B321))</f>
        <v/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41" t="n"/>
      <c r="K322" s="5" t="n"/>
      <c r="L322" s="18" t="n"/>
      <c r="M322" s="24">
        <f>IF($A322="","",IFERROR(INDEX('AJUSTES'!$B$4:$B$303,MATCH($AU322,'AJUSTES'!$A$4:$A$303,0)),IF($K322="","",$K322)))</f>
        <v/>
      </c>
      <c r="N322" s="24">
        <f>IF($A322="","",IFERROR(INDEX('CAT_ESTADOS_ERP'!$B$4:$B$22,MATCH(IFERROR(INDEX('2_IMPORTAR_EJECUCION'!$C$9:$C$1208,MATCH($AU322,'2_IMPORTAR_EJECUCION'!$J$9:$J$1208,0)),""),'CAT_ESTADOS_ERP'!$A$4:$A$22,0)),"Pendiente"))</f>
        <v/>
      </c>
      <c r="O322" s="24">
        <f>IF($J322="","",YEAR($J322+4-WEEKDAY($J322,2))&amp;"-S"&amp;TEXT(_xlfn.ISOWEEKNUM($J322),"00"))</f>
        <v/>
      </c>
      <c r="P322" s="24">
        <f>IF($J322="","",YEAR($J322))</f>
        <v/>
      </c>
      <c r="Q322" s="24">
        <f>IF($J322="","",MONTH($J322))</f>
        <v/>
      </c>
      <c r="R322" s="24">
        <f>IF($J322="","",$P322&amp;"-"&amp;TEXT($Q322,"00"))</f>
        <v/>
      </c>
      <c r="S322" s="24">
        <f>IF($J322="","",INDEX(lista_dias,WEEKDAY($J322,2)))</f>
        <v/>
      </c>
      <c r="T322" s="24">
        <f>IF($J322="","",IFERROR(INDEX('CALENDARIO'!$C$15:$C$214,MATCH(TEXT($J322,"yyyy-mm-dd")&amp;"|"&amp;$Y322&amp;"|"&amp;$Z322,'CALENDARIO'!$G$15:$G$214,0)),IFERROR(INDEX('CALENDARIO'!$C$15:$C$214,MATCH(TEXT($J322,"yyyy-mm-dd")&amp;"|"&amp;$Y322&amp;"|",'CALENDARIO'!$G$15:$G$214,0)),IFERROR(INDEX('CALENDARIO'!$C$15:$C$214,MATCH(TEXT($J322,"yyyy-mm-dd")&amp;"||",'CALENDARIO'!$G$15:$G$214,0)),INDEX(patronHabil,WEEKDAY($J322,2))))))</f>
        <v/>
      </c>
      <c r="U322" s="24">
        <f>IF($I322="","",IFERROR(INDEX('CAT_TIPOS_OT'!$C$4:$C$23,MATCH($I322,'CAT_TIPOS_OT'!$A$4:$A$23,0)),"sin_clasificar"))</f>
        <v/>
      </c>
      <c r="V322" s="24">
        <f>IF($I322="","",IF(IFERROR(INDEX('CAT_TIPOS_OT'!$D$4:$D$23,MATCH($I322,'CAT_TIPOS_OT'!$A$4:$A$23,0)),"SIN CLASIFICAR")="","SIN CLASIFICAR",IFERROR(INDEX('CAT_TIPOS_OT'!$D$4:$D$23,MATCH($I322,'CAT_TIPOS_OT'!$A$4:$A$23,0)),"SIN CLASIFICAR")))</f>
        <v/>
      </c>
      <c r="W322" s="24">
        <f>IF($H322="","",IF(IFERROR(INDEX('CAT_ACTIVIDADES'!$F$4:$F$26,MATCH($H322,'CAT_ACTIVIDADES'!$A$4:$A$26,0)),"")=0,"",IFERROR(INDEX('CAT_ACTIVIDADES'!$F$4:$F$26,MATCH($H322,'CAT_ACTIVIDADES'!$A$4:$A$26,0)),"")))</f>
        <v/>
      </c>
      <c r="X322" s="24">
        <f>IF($F322="","",IFERROR(INDEX('CAT_CENTROS_COSTO'!$F$4:$F$28,MATCH($F322,'CAT_CENTROS_COSTO'!$A$4:$A$28,0)),"(sin catálogo)"))</f>
        <v/>
      </c>
      <c r="Y322" s="24">
        <f>IF($F322="","",IFERROR(INDEX('CAT_CENTROS_COSTO'!$D$4:$D$28,MATCH($F322,'CAT_CENTROS_COSTO'!$A$4:$A$28,0)),"(sin catálogo)"))</f>
        <v/>
      </c>
      <c r="Z322" s="24">
        <f>IF($F322="","",IF((IFERROR(INDEX('CAT_CENTROS_COSTO'!$E$4:$E$28,MATCH($F322,'CAT_CENTROS_COSTO'!$A$4:$A$28,0)),""))&lt;&gt;"",IFERROR(INDEX('CAT_CENTROS_COSTO'!$E$4:$E$28,MATCH($F322,'CAT_CENTROS_COSTO'!$A$4:$A$28,0)),""),$Y322))</f>
        <v/>
      </c>
      <c r="AA322" s="24">
        <f>IF($F322="","",IFERROR(INDEX('CAT_CENTROS_COSTO'!$G$4:$G$28,MATCH($F322,'CAT_CENTROS_COSTO'!$A$4:$A$28,0)),"(sin catálogo)"))</f>
        <v/>
      </c>
      <c r="AB322" s="24">
        <f>IF($G322="","",IFERROR(INDEX('CAT_PUESTOS'!$B$4:$B$23,MATCH($G322,'CAT_PUESTOS'!$A$4:$A$23,0)),"(sin catálogo)"))</f>
        <v/>
      </c>
      <c r="AC322" s="24">
        <f>IF($H322="","",IFERROR(INDEX('CAT_ACTIVIDADES'!$B$4:$B$26,MATCH($H322,'CAT_ACTIVIDADES'!$A$4:$A$26,0)),"(sin catálogo)"))</f>
        <v/>
      </c>
      <c r="AD322" s="26">
        <f>IF($J322="","",TODAY()-$J322)</f>
        <v/>
      </c>
      <c r="AE322" s="26">
        <f>IF($J322="","",IF($J322&lt;=TODAY(),COUNTIFS(cal_fechas,"&gt;="&amp;$J322,cal_fechas,"&lt;"&amp;TODAY(),cal_habil,"sí"),-COUNTIFS(cal_fechas,"&gt;="&amp;TODAY(),cal_fechas,"&lt;"&amp;$J322,cal_habil,"sí")))</f>
        <v/>
      </c>
      <c r="AF322" s="24">
        <f>IF($AE322="","",IF($AE322&lt;0,"FUTURO",IF($AE322&gt;p_dias_backlog_max,"BACKLOG","MES CORRIENTE")))</f>
        <v/>
      </c>
      <c r="AG322" s="24">
        <f>IF($AE322="",FALSE,AND($AE322&gt;p_dias_backlog_min,$AE322&lt;=p_dias_backlog_max))</f>
        <v/>
      </c>
      <c r="AH322" s="4" t="n"/>
      <c r="AI322" s="24">
        <f>IF($AH322="","",IF((IFERROR(INDEX('ASIGNACIONES'!$J$4:$J$451,MATCH($O322&amp;"|"&amp;$S322&amp;"|"&amp;$AH322,'ASIGNACIONES'!$N$4:$N$451,0)),""))=0,"",IFERROR(INDEX('ASIGNACIONES'!$J$4:$J$451,MATCH($O322&amp;"|"&amp;$S322&amp;"|"&amp;$AH322,'ASIGNACIONES'!$N$4:$N$451,0)),"")))</f>
        <v/>
      </c>
      <c r="AJ322" s="42">
        <f>IF($AH322="","",SUMIFS('ORDENES'!$M$4:$M$1203,'ORDENES'!$AH$4:$AH$1203,$AH322,'ORDENES'!$O$4:$O$1203,$O322,'ORDENES'!$S$4:$S$1203,$S322))</f>
        <v/>
      </c>
      <c r="AK322" s="42">
        <f>IF($AJ322="","",p_factor_productividad*IFERROR(INDEX('ASIGNACIONES'!$M$4:$M$451,MATCH($O322&amp;"|"&amp;$S322&amp;"|"&amp;$AH322,'ASIGNACIONES'!$N$4:$N$451,0)),0)-$AJ322)</f>
        <v/>
      </c>
      <c r="AL322" s="32">
        <f>IF($A322="","",IFERROR(INDEX('2_IMPORTAR_EJECUCION'!$F$9:$F$1208,MATCH($AU322,'2_IMPORTAR_EJECUCION'!$J$9:$J$1208,0)),0))</f>
        <v/>
      </c>
      <c r="AM322" s="32">
        <f>IF($A322="","",MAX(0,IFERROR(INDEX('2_IMPORTAR_EJECUCION'!$H$9:$H$1208,MATCH($AU322,'2_IMPORTAR_EJECUCION'!$J$9:$J$1208,0)),0)-$AL322))</f>
        <v/>
      </c>
      <c r="AN322" s="32">
        <f>IF($A322="","",$AL322+$AM322)</f>
        <v/>
      </c>
      <c r="AO322" s="24">
        <f>IF($A322="","",IF(OR((IFERROR(INDEX('CAT_ACTIVIDADES'!$D$4:$D$26,MATCH($H322,'CAT_ACTIVIDADES'!$A$4:$A$26,0)),""))=0,(IFERROR(INDEX('CAT_ACTIVIDADES'!$D$4:$D$26,MATCH($H322,'CAT_ACTIVIDADES'!$A$4:$A$26,0)),""))=""),"SIN CLASIFICAR",IFERROR(INDEX('CAT_ACTIVIDADES'!$D$4:$D$26,MATCH($H322,'CAT_ACTIVIDADES'!$A$4:$A$26,0)),"")))</f>
        <v/>
      </c>
      <c r="AP322" s="4" t="n"/>
      <c r="AQ322" s="4" t="n"/>
      <c r="AR322" s="4" t="n"/>
      <c r="AS322" s="24">
        <f>IF($AR322="","",HYPERLINK(p_ruta_base_checklists&amp;$AR322,"abrir"))</f>
        <v/>
      </c>
      <c r="AT322" s="4" t="n"/>
      <c r="AU322" s="24">
        <f>IF($A322="","",$A322&amp;IF($B322="","0010",$B322))</f>
        <v/>
      </c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41" t="n"/>
      <c r="K323" s="5" t="n"/>
      <c r="L323" s="18" t="n"/>
      <c r="M323" s="24">
        <f>IF($A323="","",IFERROR(INDEX('AJUSTES'!$B$4:$B$303,MATCH($AU323,'AJUSTES'!$A$4:$A$303,0)),IF($K323="","",$K323)))</f>
        <v/>
      </c>
      <c r="N323" s="24">
        <f>IF($A323="","",IFERROR(INDEX('CAT_ESTADOS_ERP'!$B$4:$B$22,MATCH(IFERROR(INDEX('2_IMPORTAR_EJECUCION'!$C$9:$C$1208,MATCH($AU323,'2_IMPORTAR_EJECUCION'!$J$9:$J$1208,0)),""),'CAT_ESTADOS_ERP'!$A$4:$A$22,0)),"Pendiente"))</f>
        <v/>
      </c>
      <c r="O323" s="24">
        <f>IF($J323="","",YEAR($J323+4-WEEKDAY($J323,2))&amp;"-S"&amp;TEXT(_xlfn.ISOWEEKNUM($J323),"00"))</f>
        <v/>
      </c>
      <c r="P323" s="24">
        <f>IF($J323="","",YEAR($J323))</f>
        <v/>
      </c>
      <c r="Q323" s="24">
        <f>IF($J323="","",MONTH($J323))</f>
        <v/>
      </c>
      <c r="R323" s="24">
        <f>IF($J323="","",$P323&amp;"-"&amp;TEXT($Q323,"00"))</f>
        <v/>
      </c>
      <c r="S323" s="24">
        <f>IF($J323="","",INDEX(lista_dias,WEEKDAY($J323,2)))</f>
        <v/>
      </c>
      <c r="T323" s="24">
        <f>IF($J323="","",IFERROR(INDEX('CALENDARIO'!$C$15:$C$214,MATCH(TEXT($J323,"yyyy-mm-dd")&amp;"|"&amp;$Y323&amp;"|"&amp;$Z323,'CALENDARIO'!$G$15:$G$214,0)),IFERROR(INDEX('CALENDARIO'!$C$15:$C$214,MATCH(TEXT($J323,"yyyy-mm-dd")&amp;"|"&amp;$Y323&amp;"|",'CALENDARIO'!$G$15:$G$214,0)),IFERROR(INDEX('CALENDARIO'!$C$15:$C$214,MATCH(TEXT($J323,"yyyy-mm-dd")&amp;"||",'CALENDARIO'!$G$15:$G$214,0)),INDEX(patronHabil,WEEKDAY($J323,2))))))</f>
        <v/>
      </c>
      <c r="U323" s="24">
        <f>IF($I323="","",IFERROR(INDEX('CAT_TIPOS_OT'!$C$4:$C$23,MATCH($I323,'CAT_TIPOS_OT'!$A$4:$A$23,0)),"sin_clasificar"))</f>
        <v/>
      </c>
      <c r="V323" s="24">
        <f>IF($I323="","",IF(IFERROR(INDEX('CAT_TIPOS_OT'!$D$4:$D$23,MATCH($I323,'CAT_TIPOS_OT'!$A$4:$A$23,0)),"SIN CLASIFICAR")="","SIN CLASIFICAR",IFERROR(INDEX('CAT_TIPOS_OT'!$D$4:$D$23,MATCH($I323,'CAT_TIPOS_OT'!$A$4:$A$23,0)),"SIN CLASIFICAR")))</f>
        <v/>
      </c>
      <c r="W323" s="24">
        <f>IF($H323="","",IF(IFERROR(INDEX('CAT_ACTIVIDADES'!$F$4:$F$26,MATCH($H323,'CAT_ACTIVIDADES'!$A$4:$A$26,0)),"")=0,"",IFERROR(INDEX('CAT_ACTIVIDADES'!$F$4:$F$26,MATCH($H323,'CAT_ACTIVIDADES'!$A$4:$A$26,0)),"")))</f>
        <v/>
      </c>
      <c r="X323" s="24">
        <f>IF($F323="","",IFERROR(INDEX('CAT_CENTROS_COSTO'!$F$4:$F$28,MATCH($F323,'CAT_CENTROS_COSTO'!$A$4:$A$28,0)),"(sin catálogo)"))</f>
        <v/>
      </c>
      <c r="Y323" s="24">
        <f>IF($F323="","",IFERROR(INDEX('CAT_CENTROS_COSTO'!$D$4:$D$28,MATCH($F323,'CAT_CENTROS_COSTO'!$A$4:$A$28,0)),"(sin catálogo)"))</f>
        <v/>
      </c>
      <c r="Z323" s="24">
        <f>IF($F323="","",IF((IFERROR(INDEX('CAT_CENTROS_COSTO'!$E$4:$E$28,MATCH($F323,'CAT_CENTROS_COSTO'!$A$4:$A$28,0)),""))&lt;&gt;"",IFERROR(INDEX('CAT_CENTROS_COSTO'!$E$4:$E$28,MATCH($F323,'CAT_CENTROS_COSTO'!$A$4:$A$28,0)),""),$Y323))</f>
        <v/>
      </c>
      <c r="AA323" s="24">
        <f>IF($F323="","",IFERROR(INDEX('CAT_CENTROS_COSTO'!$G$4:$G$28,MATCH($F323,'CAT_CENTROS_COSTO'!$A$4:$A$28,0)),"(sin catálogo)"))</f>
        <v/>
      </c>
      <c r="AB323" s="24">
        <f>IF($G323="","",IFERROR(INDEX('CAT_PUESTOS'!$B$4:$B$23,MATCH($G323,'CAT_PUESTOS'!$A$4:$A$23,0)),"(sin catálogo)"))</f>
        <v/>
      </c>
      <c r="AC323" s="24">
        <f>IF($H323="","",IFERROR(INDEX('CAT_ACTIVIDADES'!$B$4:$B$26,MATCH($H323,'CAT_ACTIVIDADES'!$A$4:$A$26,0)),"(sin catálogo)"))</f>
        <v/>
      </c>
      <c r="AD323" s="26">
        <f>IF($J323="","",TODAY()-$J323)</f>
        <v/>
      </c>
      <c r="AE323" s="26">
        <f>IF($J323="","",IF($J323&lt;=TODAY(),COUNTIFS(cal_fechas,"&gt;="&amp;$J323,cal_fechas,"&lt;"&amp;TODAY(),cal_habil,"sí"),-COUNTIFS(cal_fechas,"&gt;="&amp;TODAY(),cal_fechas,"&lt;"&amp;$J323,cal_habil,"sí")))</f>
        <v/>
      </c>
      <c r="AF323" s="24">
        <f>IF($AE323="","",IF($AE323&lt;0,"FUTURO",IF($AE323&gt;p_dias_backlog_max,"BACKLOG","MES CORRIENTE")))</f>
        <v/>
      </c>
      <c r="AG323" s="24">
        <f>IF($AE323="",FALSE,AND($AE323&gt;p_dias_backlog_min,$AE323&lt;=p_dias_backlog_max))</f>
        <v/>
      </c>
      <c r="AH323" s="4" t="n"/>
      <c r="AI323" s="24">
        <f>IF($AH323="","",IF((IFERROR(INDEX('ASIGNACIONES'!$J$4:$J$451,MATCH($O323&amp;"|"&amp;$S323&amp;"|"&amp;$AH323,'ASIGNACIONES'!$N$4:$N$451,0)),""))=0,"",IFERROR(INDEX('ASIGNACIONES'!$J$4:$J$451,MATCH($O323&amp;"|"&amp;$S323&amp;"|"&amp;$AH323,'ASIGNACIONES'!$N$4:$N$451,0)),"")))</f>
        <v/>
      </c>
      <c r="AJ323" s="42">
        <f>IF($AH323="","",SUMIFS('ORDENES'!$M$4:$M$1203,'ORDENES'!$AH$4:$AH$1203,$AH323,'ORDENES'!$O$4:$O$1203,$O323,'ORDENES'!$S$4:$S$1203,$S323))</f>
        <v/>
      </c>
      <c r="AK323" s="42">
        <f>IF($AJ323="","",p_factor_productividad*IFERROR(INDEX('ASIGNACIONES'!$M$4:$M$451,MATCH($O323&amp;"|"&amp;$S323&amp;"|"&amp;$AH323,'ASIGNACIONES'!$N$4:$N$451,0)),0)-$AJ323)</f>
        <v/>
      </c>
      <c r="AL323" s="32">
        <f>IF($A323="","",IFERROR(INDEX('2_IMPORTAR_EJECUCION'!$F$9:$F$1208,MATCH($AU323,'2_IMPORTAR_EJECUCION'!$J$9:$J$1208,0)),0))</f>
        <v/>
      </c>
      <c r="AM323" s="32">
        <f>IF($A323="","",MAX(0,IFERROR(INDEX('2_IMPORTAR_EJECUCION'!$H$9:$H$1208,MATCH($AU323,'2_IMPORTAR_EJECUCION'!$J$9:$J$1208,0)),0)-$AL323))</f>
        <v/>
      </c>
      <c r="AN323" s="32">
        <f>IF($A323="","",$AL323+$AM323)</f>
        <v/>
      </c>
      <c r="AO323" s="24">
        <f>IF($A323="","",IF(OR((IFERROR(INDEX('CAT_ACTIVIDADES'!$D$4:$D$26,MATCH($H323,'CAT_ACTIVIDADES'!$A$4:$A$26,0)),""))=0,(IFERROR(INDEX('CAT_ACTIVIDADES'!$D$4:$D$26,MATCH($H323,'CAT_ACTIVIDADES'!$A$4:$A$26,0)),""))=""),"SIN CLASIFICAR",IFERROR(INDEX('CAT_ACTIVIDADES'!$D$4:$D$26,MATCH($H323,'CAT_ACTIVIDADES'!$A$4:$A$26,0)),"")))</f>
        <v/>
      </c>
      <c r="AP323" s="4" t="n"/>
      <c r="AQ323" s="4" t="n"/>
      <c r="AR323" s="4" t="n"/>
      <c r="AS323" s="24">
        <f>IF($AR323="","",HYPERLINK(p_ruta_base_checklists&amp;$AR323,"abrir"))</f>
        <v/>
      </c>
      <c r="AT323" s="4" t="n"/>
      <c r="AU323" s="24">
        <f>IF($A323="","",$A323&amp;IF($B323="","0010",$B323))</f>
        <v/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41" t="n"/>
      <c r="K324" s="5" t="n"/>
      <c r="L324" s="18" t="n"/>
      <c r="M324" s="24">
        <f>IF($A324="","",IFERROR(INDEX('AJUSTES'!$B$4:$B$303,MATCH($AU324,'AJUSTES'!$A$4:$A$303,0)),IF($K324="","",$K324)))</f>
        <v/>
      </c>
      <c r="N324" s="24">
        <f>IF($A324="","",IFERROR(INDEX('CAT_ESTADOS_ERP'!$B$4:$B$22,MATCH(IFERROR(INDEX('2_IMPORTAR_EJECUCION'!$C$9:$C$1208,MATCH($AU324,'2_IMPORTAR_EJECUCION'!$J$9:$J$1208,0)),""),'CAT_ESTADOS_ERP'!$A$4:$A$22,0)),"Pendiente"))</f>
        <v/>
      </c>
      <c r="O324" s="24">
        <f>IF($J324="","",YEAR($J324+4-WEEKDAY($J324,2))&amp;"-S"&amp;TEXT(_xlfn.ISOWEEKNUM($J324),"00"))</f>
        <v/>
      </c>
      <c r="P324" s="24">
        <f>IF($J324="","",YEAR($J324))</f>
        <v/>
      </c>
      <c r="Q324" s="24">
        <f>IF($J324="","",MONTH($J324))</f>
        <v/>
      </c>
      <c r="R324" s="24">
        <f>IF($J324="","",$P324&amp;"-"&amp;TEXT($Q324,"00"))</f>
        <v/>
      </c>
      <c r="S324" s="24">
        <f>IF($J324="","",INDEX(lista_dias,WEEKDAY($J324,2)))</f>
        <v/>
      </c>
      <c r="T324" s="24">
        <f>IF($J324="","",IFERROR(INDEX('CALENDARIO'!$C$15:$C$214,MATCH(TEXT($J324,"yyyy-mm-dd")&amp;"|"&amp;$Y324&amp;"|"&amp;$Z324,'CALENDARIO'!$G$15:$G$214,0)),IFERROR(INDEX('CALENDARIO'!$C$15:$C$214,MATCH(TEXT($J324,"yyyy-mm-dd")&amp;"|"&amp;$Y324&amp;"|",'CALENDARIO'!$G$15:$G$214,0)),IFERROR(INDEX('CALENDARIO'!$C$15:$C$214,MATCH(TEXT($J324,"yyyy-mm-dd")&amp;"||",'CALENDARIO'!$G$15:$G$214,0)),INDEX(patronHabil,WEEKDAY($J324,2))))))</f>
        <v/>
      </c>
      <c r="U324" s="24">
        <f>IF($I324="","",IFERROR(INDEX('CAT_TIPOS_OT'!$C$4:$C$23,MATCH($I324,'CAT_TIPOS_OT'!$A$4:$A$23,0)),"sin_clasificar"))</f>
        <v/>
      </c>
      <c r="V324" s="24">
        <f>IF($I324="","",IF(IFERROR(INDEX('CAT_TIPOS_OT'!$D$4:$D$23,MATCH($I324,'CAT_TIPOS_OT'!$A$4:$A$23,0)),"SIN CLASIFICAR")="","SIN CLASIFICAR",IFERROR(INDEX('CAT_TIPOS_OT'!$D$4:$D$23,MATCH($I324,'CAT_TIPOS_OT'!$A$4:$A$23,0)),"SIN CLASIFICAR")))</f>
        <v/>
      </c>
      <c r="W324" s="24">
        <f>IF($H324="","",IF(IFERROR(INDEX('CAT_ACTIVIDADES'!$F$4:$F$26,MATCH($H324,'CAT_ACTIVIDADES'!$A$4:$A$26,0)),"")=0,"",IFERROR(INDEX('CAT_ACTIVIDADES'!$F$4:$F$26,MATCH($H324,'CAT_ACTIVIDADES'!$A$4:$A$26,0)),"")))</f>
        <v/>
      </c>
      <c r="X324" s="24">
        <f>IF($F324="","",IFERROR(INDEX('CAT_CENTROS_COSTO'!$F$4:$F$28,MATCH($F324,'CAT_CENTROS_COSTO'!$A$4:$A$28,0)),"(sin catálogo)"))</f>
        <v/>
      </c>
      <c r="Y324" s="24">
        <f>IF($F324="","",IFERROR(INDEX('CAT_CENTROS_COSTO'!$D$4:$D$28,MATCH($F324,'CAT_CENTROS_COSTO'!$A$4:$A$28,0)),"(sin catálogo)"))</f>
        <v/>
      </c>
      <c r="Z324" s="24">
        <f>IF($F324="","",IF((IFERROR(INDEX('CAT_CENTROS_COSTO'!$E$4:$E$28,MATCH($F324,'CAT_CENTROS_COSTO'!$A$4:$A$28,0)),""))&lt;&gt;"",IFERROR(INDEX('CAT_CENTROS_COSTO'!$E$4:$E$28,MATCH($F324,'CAT_CENTROS_COSTO'!$A$4:$A$28,0)),""),$Y324))</f>
        <v/>
      </c>
      <c r="AA324" s="24">
        <f>IF($F324="","",IFERROR(INDEX('CAT_CENTROS_COSTO'!$G$4:$G$28,MATCH($F324,'CAT_CENTROS_COSTO'!$A$4:$A$28,0)),"(sin catálogo)"))</f>
        <v/>
      </c>
      <c r="AB324" s="24">
        <f>IF($G324="","",IFERROR(INDEX('CAT_PUESTOS'!$B$4:$B$23,MATCH($G324,'CAT_PUESTOS'!$A$4:$A$23,0)),"(sin catálogo)"))</f>
        <v/>
      </c>
      <c r="AC324" s="24">
        <f>IF($H324="","",IFERROR(INDEX('CAT_ACTIVIDADES'!$B$4:$B$26,MATCH($H324,'CAT_ACTIVIDADES'!$A$4:$A$26,0)),"(sin catálogo)"))</f>
        <v/>
      </c>
      <c r="AD324" s="26">
        <f>IF($J324="","",TODAY()-$J324)</f>
        <v/>
      </c>
      <c r="AE324" s="26">
        <f>IF($J324="","",IF($J324&lt;=TODAY(),COUNTIFS(cal_fechas,"&gt;="&amp;$J324,cal_fechas,"&lt;"&amp;TODAY(),cal_habil,"sí"),-COUNTIFS(cal_fechas,"&gt;="&amp;TODAY(),cal_fechas,"&lt;"&amp;$J324,cal_habil,"sí")))</f>
        <v/>
      </c>
      <c r="AF324" s="24">
        <f>IF($AE324="","",IF($AE324&lt;0,"FUTURO",IF($AE324&gt;p_dias_backlog_max,"BACKLOG","MES CORRIENTE")))</f>
        <v/>
      </c>
      <c r="AG324" s="24">
        <f>IF($AE324="",FALSE,AND($AE324&gt;p_dias_backlog_min,$AE324&lt;=p_dias_backlog_max))</f>
        <v/>
      </c>
      <c r="AH324" s="4" t="n"/>
      <c r="AI324" s="24">
        <f>IF($AH324="","",IF((IFERROR(INDEX('ASIGNACIONES'!$J$4:$J$451,MATCH($O324&amp;"|"&amp;$S324&amp;"|"&amp;$AH324,'ASIGNACIONES'!$N$4:$N$451,0)),""))=0,"",IFERROR(INDEX('ASIGNACIONES'!$J$4:$J$451,MATCH($O324&amp;"|"&amp;$S324&amp;"|"&amp;$AH324,'ASIGNACIONES'!$N$4:$N$451,0)),"")))</f>
        <v/>
      </c>
      <c r="AJ324" s="42">
        <f>IF($AH324="","",SUMIFS('ORDENES'!$M$4:$M$1203,'ORDENES'!$AH$4:$AH$1203,$AH324,'ORDENES'!$O$4:$O$1203,$O324,'ORDENES'!$S$4:$S$1203,$S324))</f>
        <v/>
      </c>
      <c r="AK324" s="42">
        <f>IF($AJ324="","",p_factor_productividad*IFERROR(INDEX('ASIGNACIONES'!$M$4:$M$451,MATCH($O324&amp;"|"&amp;$S324&amp;"|"&amp;$AH324,'ASIGNACIONES'!$N$4:$N$451,0)),0)-$AJ324)</f>
        <v/>
      </c>
      <c r="AL324" s="32">
        <f>IF($A324="","",IFERROR(INDEX('2_IMPORTAR_EJECUCION'!$F$9:$F$1208,MATCH($AU324,'2_IMPORTAR_EJECUCION'!$J$9:$J$1208,0)),0))</f>
        <v/>
      </c>
      <c r="AM324" s="32">
        <f>IF($A324="","",MAX(0,IFERROR(INDEX('2_IMPORTAR_EJECUCION'!$H$9:$H$1208,MATCH($AU324,'2_IMPORTAR_EJECUCION'!$J$9:$J$1208,0)),0)-$AL324))</f>
        <v/>
      </c>
      <c r="AN324" s="32">
        <f>IF($A324="","",$AL324+$AM324)</f>
        <v/>
      </c>
      <c r="AO324" s="24">
        <f>IF($A324="","",IF(OR((IFERROR(INDEX('CAT_ACTIVIDADES'!$D$4:$D$26,MATCH($H324,'CAT_ACTIVIDADES'!$A$4:$A$26,0)),""))=0,(IFERROR(INDEX('CAT_ACTIVIDADES'!$D$4:$D$26,MATCH($H324,'CAT_ACTIVIDADES'!$A$4:$A$26,0)),""))=""),"SIN CLASIFICAR",IFERROR(INDEX('CAT_ACTIVIDADES'!$D$4:$D$26,MATCH($H324,'CAT_ACTIVIDADES'!$A$4:$A$26,0)),"")))</f>
        <v/>
      </c>
      <c r="AP324" s="4" t="n"/>
      <c r="AQ324" s="4" t="n"/>
      <c r="AR324" s="4" t="n"/>
      <c r="AS324" s="24">
        <f>IF($AR324="","",HYPERLINK(p_ruta_base_checklists&amp;$AR324,"abrir"))</f>
        <v/>
      </c>
      <c r="AT324" s="4" t="n"/>
      <c r="AU324" s="24">
        <f>IF($A324="","",$A324&amp;IF($B324="","0010",$B324))</f>
        <v/>
      </c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41" t="n"/>
      <c r="K325" s="5" t="n"/>
      <c r="L325" s="18" t="n"/>
      <c r="M325" s="24">
        <f>IF($A325="","",IFERROR(INDEX('AJUSTES'!$B$4:$B$303,MATCH($AU325,'AJUSTES'!$A$4:$A$303,0)),IF($K325="","",$K325)))</f>
        <v/>
      </c>
      <c r="N325" s="24">
        <f>IF($A325="","",IFERROR(INDEX('CAT_ESTADOS_ERP'!$B$4:$B$22,MATCH(IFERROR(INDEX('2_IMPORTAR_EJECUCION'!$C$9:$C$1208,MATCH($AU325,'2_IMPORTAR_EJECUCION'!$J$9:$J$1208,0)),""),'CAT_ESTADOS_ERP'!$A$4:$A$22,0)),"Pendiente"))</f>
        <v/>
      </c>
      <c r="O325" s="24">
        <f>IF($J325="","",YEAR($J325+4-WEEKDAY($J325,2))&amp;"-S"&amp;TEXT(_xlfn.ISOWEEKNUM($J325),"00"))</f>
        <v/>
      </c>
      <c r="P325" s="24">
        <f>IF($J325="","",YEAR($J325))</f>
        <v/>
      </c>
      <c r="Q325" s="24">
        <f>IF($J325="","",MONTH($J325))</f>
        <v/>
      </c>
      <c r="R325" s="24">
        <f>IF($J325="","",$P325&amp;"-"&amp;TEXT($Q325,"00"))</f>
        <v/>
      </c>
      <c r="S325" s="24">
        <f>IF($J325="","",INDEX(lista_dias,WEEKDAY($J325,2)))</f>
        <v/>
      </c>
      <c r="T325" s="24">
        <f>IF($J325="","",IFERROR(INDEX('CALENDARIO'!$C$15:$C$214,MATCH(TEXT($J325,"yyyy-mm-dd")&amp;"|"&amp;$Y325&amp;"|"&amp;$Z325,'CALENDARIO'!$G$15:$G$214,0)),IFERROR(INDEX('CALENDARIO'!$C$15:$C$214,MATCH(TEXT($J325,"yyyy-mm-dd")&amp;"|"&amp;$Y325&amp;"|",'CALENDARIO'!$G$15:$G$214,0)),IFERROR(INDEX('CALENDARIO'!$C$15:$C$214,MATCH(TEXT($J325,"yyyy-mm-dd")&amp;"||",'CALENDARIO'!$G$15:$G$214,0)),INDEX(patronHabil,WEEKDAY($J325,2))))))</f>
        <v/>
      </c>
      <c r="U325" s="24">
        <f>IF($I325="","",IFERROR(INDEX('CAT_TIPOS_OT'!$C$4:$C$23,MATCH($I325,'CAT_TIPOS_OT'!$A$4:$A$23,0)),"sin_clasificar"))</f>
        <v/>
      </c>
      <c r="V325" s="24">
        <f>IF($I325="","",IF(IFERROR(INDEX('CAT_TIPOS_OT'!$D$4:$D$23,MATCH($I325,'CAT_TIPOS_OT'!$A$4:$A$23,0)),"SIN CLASIFICAR")="","SIN CLASIFICAR",IFERROR(INDEX('CAT_TIPOS_OT'!$D$4:$D$23,MATCH($I325,'CAT_TIPOS_OT'!$A$4:$A$23,0)),"SIN CLASIFICAR")))</f>
        <v/>
      </c>
      <c r="W325" s="24">
        <f>IF($H325="","",IF(IFERROR(INDEX('CAT_ACTIVIDADES'!$F$4:$F$26,MATCH($H325,'CAT_ACTIVIDADES'!$A$4:$A$26,0)),"")=0,"",IFERROR(INDEX('CAT_ACTIVIDADES'!$F$4:$F$26,MATCH($H325,'CAT_ACTIVIDADES'!$A$4:$A$26,0)),"")))</f>
        <v/>
      </c>
      <c r="X325" s="24">
        <f>IF($F325="","",IFERROR(INDEX('CAT_CENTROS_COSTO'!$F$4:$F$28,MATCH($F325,'CAT_CENTROS_COSTO'!$A$4:$A$28,0)),"(sin catálogo)"))</f>
        <v/>
      </c>
      <c r="Y325" s="24">
        <f>IF($F325="","",IFERROR(INDEX('CAT_CENTROS_COSTO'!$D$4:$D$28,MATCH($F325,'CAT_CENTROS_COSTO'!$A$4:$A$28,0)),"(sin catálogo)"))</f>
        <v/>
      </c>
      <c r="Z325" s="24">
        <f>IF($F325="","",IF((IFERROR(INDEX('CAT_CENTROS_COSTO'!$E$4:$E$28,MATCH($F325,'CAT_CENTROS_COSTO'!$A$4:$A$28,0)),""))&lt;&gt;"",IFERROR(INDEX('CAT_CENTROS_COSTO'!$E$4:$E$28,MATCH($F325,'CAT_CENTROS_COSTO'!$A$4:$A$28,0)),""),$Y325))</f>
        <v/>
      </c>
      <c r="AA325" s="24">
        <f>IF($F325="","",IFERROR(INDEX('CAT_CENTROS_COSTO'!$G$4:$G$28,MATCH($F325,'CAT_CENTROS_COSTO'!$A$4:$A$28,0)),"(sin catálogo)"))</f>
        <v/>
      </c>
      <c r="AB325" s="24">
        <f>IF($G325="","",IFERROR(INDEX('CAT_PUESTOS'!$B$4:$B$23,MATCH($G325,'CAT_PUESTOS'!$A$4:$A$23,0)),"(sin catálogo)"))</f>
        <v/>
      </c>
      <c r="AC325" s="24">
        <f>IF($H325="","",IFERROR(INDEX('CAT_ACTIVIDADES'!$B$4:$B$26,MATCH($H325,'CAT_ACTIVIDADES'!$A$4:$A$26,0)),"(sin catálogo)"))</f>
        <v/>
      </c>
      <c r="AD325" s="26">
        <f>IF($J325="","",TODAY()-$J325)</f>
        <v/>
      </c>
      <c r="AE325" s="26">
        <f>IF($J325="","",IF($J325&lt;=TODAY(),COUNTIFS(cal_fechas,"&gt;="&amp;$J325,cal_fechas,"&lt;"&amp;TODAY(),cal_habil,"sí"),-COUNTIFS(cal_fechas,"&gt;="&amp;TODAY(),cal_fechas,"&lt;"&amp;$J325,cal_habil,"sí")))</f>
        <v/>
      </c>
      <c r="AF325" s="24">
        <f>IF($AE325="","",IF($AE325&lt;0,"FUTURO",IF($AE325&gt;p_dias_backlog_max,"BACKLOG","MES CORRIENTE")))</f>
        <v/>
      </c>
      <c r="AG325" s="24">
        <f>IF($AE325="",FALSE,AND($AE325&gt;p_dias_backlog_min,$AE325&lt;=p_dias_backlog_max))</f>
        <v/>
      </c>
      <c r="AH325" s="4" t="n"/>
      <c r="AI325" s="24">
        <f>IF($AH325="","",IF((IFERROR(INDEX('ASIGNACIONES'!$J$4:$J$451,MATCH($O325&amp;"|"&amp;$S325&amp;"|"&amp;$AH325,'ASIGNACIONES'!$N$4:$N$451,0)),""))=0,"",IFERROR(INDEX('ASIGNACIONES'!$J$4:$J$451,MATCH($O325&amp;"|"&amp;$S325&amp;"|"&amp;$AH325,'ASIGNACIONES'!$N$4:$N$451,0)),"")))</f>
        <v/>
      </c>
      <c r="AJ325" s="42">
        <f>IF($AH325="","",SUMIFS('ORDENES'!$M$4:$M$1203,'ORDENES'!$AH$4:$AH$1203,$AH325,'ORDENES'!$O$4:$O$1203,$O325,'ORDENES'!$S$4:$S$1203,$S325))</f>
        <v/>
      </c>
      <c r="AK325" s="42">
        <f>IF($AJ325="","",p_factor_productividad*IFERROR(INDEX('ASIGNACIONES'!$M$4:$M$451,MATCH($O325&amp;"|"&amp;$S325&amp;"|"&amp;$AH325,'ASIGNACIONES'!$N$4:$N$451,0)),0)-$AJ325)</f>
        <v/>
      </c>
      <c r="AL325" s="32">
        <f>IF($A325="","",IFERROR(INDEX('2_IMPORTAR_EJECUCION'!$F$9:$F$1208,MATCH($AU325,'2_IMPORTAR_EJECUCION'!$J$9:$J$1208,0)),0))</f>
        <v/>
      </c>
      <c r="AM325" s="32">
        <f>IF($A325="","",MAX(0,IFERROR(INDEX('2_IMPORTAR_EJECUCION'!$H$9:$H$1208,MATCH($AU325,'2_IMPORTAR_EJECUCION'!$J$9:$J$1208,0)),0)-$AL325))</f>
        <v/>
      </c>
      <c r="AN325" s="32">
        <f>IF($A325="","",$AL325+$AM325)</f>
        <v/>
      </c>
      <c r="AO325" s="24">
        <f>IF($A325="","",IF(OR((IFERROR(INDEX('CAT_ACTIVIDADES'!$D$4:$D$26,MATCH($H325,'CAT_ACTIVIDADES'!$A$4:$A$26,0)),""))=0,(IFERROR(INDEX('CAT_ACTIVIDADES'!$D$4:$D$26,MATCH($H325,'CAT_ACTIVIDADES'!$A$4:$A$26,0)),""))=""),"SIN CLASIFICAR",IFERROR(INDEX('CAT_ACTIVIDADES'!$D$4:$D$26,MATCH($H325,'CAT_ACTIVIDADES'!$A$4:$A$26,0)),"")))</f>
        <v/>
      </c>
      <c r="AP325" s="4" t="n"/>
      <c r="AQ325" s="4" t="n"/>
      <c r="AR325" s="4" t="n"/>
      <c r="AS325" s="24">
        <f>IF($AR325="","",HYPERLINK(p_ruta_base_checklists&amp;$AR325,"abrir"))</f>
        <v/>
      </c>
      <c r="AT325" s="4" t="n"/>
      <c r="AU325" s="24">
        <f>IF($A325="","",$A325&amp;IF($B325="","0010",$B325))</f>
        <v/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41" t="n"/>
      <c r="K326" s="5" t="n"/>
      <c r="L326" s="18" t="n"/>
      <c r="M326" s="24">
        <f>IF($A326="","",IFERROR(INDEX('AJUSTES'!$B$4:$B$303,MATCH($AU326,'AJUSTES'!$A$4:$A$303,0)),IF($K326="","",$K326)))</f>
        <v/>
      </c>
      <c r="N326" s="24">
        <f>IF($A326="","",IFERROR(INDEX('CAT_ESTADOS_ERP'!$B$4:$B$22,MATCH(IFERROR(INDEX('2_IMPORTAR_EJECUCION'!$C$9:$C$1208,MATCH($AU326,'2_IMPORTAR_EJECUCION'!$J$9:$J$1208,0)),""),'CAT_ESTADOS_ERP'!$A$4:$A$22,0)),"Pendiente"))</f>
        <v/>
      </c>
      <c r="O326" s="24">
        <f>IF($J326="","",YEAR($J326+4-WEEKDAY($J326,2))&amp;"-S"&amp;TEXT(_xlfn.ISOWEEKNUM($J326),"00"))</f>
        <v/>
      </c>
      <c r="P326" s="24">
        <f>IF($J326="","",YEAR($J326))</f>
        <v/>
      </c>
      <c r="Q326" s="24">
        <f>IF($J326="","",MONTH($J326))</f>
        <v/>
      </c>
      <c r="R326" s="24">
        <f>IF($J326="","",$P326&amp;"-"&amp;TEXT($Q326,"00"))</f>
        <v/>
      </c>
      <c r="S326" s="24">
        <f>IF($J326="","",INDEX(lista_dias,WEEKDAY($J326,2)))</f>
        <v/>
      </c>
      <c r="T326" s="24">
        <f>IF($J326="","",IFERROR(INDEX('CALENDARIO'!$C$15:$C$214,MATCH(TEXT($J326,"yyyy-mm-dd")&amp;"|"&amp;$Y326&amp;"|"&amp;$Z326,'CALENDARIO'!$G$15:$G$214,0)),IFERROR(INDEX('CALENDARIO'!$C$15:$C$214,MATCH(TEXT($J326,"yyyy-mm-dd")&amp;"|"&amp;$Y326&amp;"|",'CALENDARIO'!$G$15:$G$214,0)),IFERROR(INDEX('CALENDARIO'!$C$15:$C$214,MATCH(TEXT($J326,"yyyy-mm-dd")&amp;"||",'CALENDARIO'!$G$15:$G$214,0)),INDEX(patronHabil,WEEKDAY($J326,2))))))</f>
        <v/>
      </c>
      <c r="U326" s="24">
        <f>IF($I326="","",IFERROR(INDEX('CAT_TIPOS_OT'!$C$4:$C$23,MATCH($I326,'CAT_TIPOS_OT'!$A$4:$A$23,0)),"sin_clasificar"))</f>
        <v/>
      </c>
      <c r="V326" s="24">
        <f>IF($I326="","",IF(IFERROR(INDEX('CAT_TIPOS_OT'!$D$4:$D$23,MATCH($I326,'CAT_TIPOS_OT'!$A$4:$A$23,0)),"SIN CLASIFICAR")="","SIN CLASIFICAR",IFERROR(INDEX('CAT_TIPOS_OT'!$D$4:$D$23,MATCH($I326,'CAT_TIPOS_OT'!$A$4:$A$23,0)),"SIN CLASIFICAR")))</f>
        <v/>
      </c>
      <c r="W326" s="24">
        <f>IF($H326="","",IF(IFERROR(INDEX('CAT_ACTIVIDADES'!$F$4:$F$26,MATCH($H326,'CAT_ACTIVIDADES'!$A$4:$A$26,0)),"")=0,"",IFERROR(INDEX('CAT_ACTIVIDADES'!$F$4:$F$26,MATCH($H326,'CAT_ACTIVIDADES'!$A$4:$A$26,0)),"")))</f>
        <v/>
      </c>
      <c r="X326" s="24">
        <f>IF($F326="","",IFERROR(INDEX('CAT_CENTROS_COSTO'!$F$4:$F$28,MATCH($F326,'CAT_CENTROS_COSTO'!$A$4:$A$28,0)),"(sin catálogo)"))</f>
        <v/>
      </c>
      <c r="Y326" s="24">
        <f>IF($F326="","",IFERROR(INDEX('CAT_CENTROS_COSTO'!$D$4:$D$28,MATCH($F326,'CAT_CENTROS_COSTO'!$A$4:$A$28,0)),"(sin catálogo)"))</f>
        <v/>
      </c>
      <c r="Z326" s="24">
        <f>IF($F326="","",IF((IFERROR(INDEX('CAT_CENTROS_COSTO'!$E$4:$E$28,MATCH($F326,'CAT_CENTROS_COSTO'!$A$4:$A$28,0)),""))&lt;&gt;"",IFERROR(INDEX('CAT_CENTROS_COSTO'!$E$4:$E$28,MATCH($F326,'CAT_CENTROS_COSTO'!$A$4:$A$28,0)),""),$Y326))</f>
        <v/>
      </c>
      <c r="AA326" s="24">
        <f>IF($F326="","",IFERROR(INDEX('CAT_CENTROS_COSTO'!$G$4:$G$28,MATCH($F326,'CAT_CENTROS_COSTO'!$A$4:$A$28,0)),"(sin catálogo)"))</f>
        <v/>
      </c>
      <c r="AB326" s="24">
        <f>IF($G326="","",IFERROR(INDEX('CAT_PUESTOS'!$B$4:$B$23,MATCH($G326,'CAT_PUESTOS'!$A$4:$A$23,0)),"(sin catálogo)"))</f>
        <v/>
      </c>
      <c r="AC326" s="24">
        <f>IF($H326="","",IFERROR(INDEX('CAT_ACTIVIDADES'!$B$4:$B$26,MATCH($H326,'CAT_ACTIVIDADES'!$A$4:$A$26,0)),"(sin catálogo)"))</f>
        <v/>
      </c>
      <c r="AD326" s="26">
        <f>IF($J326="","",TODAY()-$J326)</f>
        <v/>
      </c>
      <c r="AE326" s="26">
        <f>IF($J326="","",IF($J326&lt;=TODAY(),COUNTIFS(cal_fechas,"&gt;="&amp;$J326,cal_fechas,"&lt;"&amp;TODAY(),cal_habil,"sí"),-COUNTIFS(cal_fechas,"&gt;="&amp;TODAY(),cal_fechas,"&lt;"&amp;$J326,cal_habil,"sí")))</f>
        <v/>
      </c>
      <c r="AF326" s="24">
        <f>IF($AE326="","",IF($AE326&lt;0,"FUTURO",IF($AE326&gt;p_dias_backlog_max,"BACKLOG","MES CORRIENTE")))</f>
        <v/>
      </c>
      <c r="AG326" s="24">
        <f>IF($AE326="",FALSE,AND($AE326&gt;p_dias_backlog_min,$AE326&lt;=p_dias_backlog_max))</f>
        <v/>
      </c>
      <c r="AH326" s="4" t="n"/>
      <c r="AI326" s="24">
        <f>IF($AH326="","",IF((IFERROR(INDEX('ASIGNACIONES'!$J$4:$J$451,MATCH($O326&amp;"|"&amp;$S326&amp;"|"&amp;$AH326,'ASIGNACIONES'!$N$4:$N$451,0)),""))=0,"",IFERROR(INDEX('ASIGNACIONES'!$J$4:$J$451,MATCH($O326&amp;"|"&amp;$S326&amp;"|"&amp;$AH326,'ASIGNACIONES'!$N$4:$N$451,0)),"")))</f>
        <v/>
      </c>
      <c r="AJ326" s="42">
        <f>IF($AH326="","",SUMIFS('ORDENES'!$M$4:$M$1203,'ORDENES'!$AH$4:$AH$1203,$AH326,'ORDENES'!$O$4:$O$1203,$O326,'ORDENES'!$S$4:$S$1203,$S326))</f>
        <v/>
      </c>
      <c r="AK326" s="42">
        <f>IF($AJ326="","",p_factor_productividad*IFERROR(INDEX('ASIGNACIONES'!$M$4:$M$451,MATCH($O326&amp;"|"&amp;$S326&amp;"|"&amp;$AH326,'ASIGNACIONES'!$N$4:$N$451,0)),0)-$AJ326)</f>
        <v/>
      </c>
      <c r="AL326" s="32">
        <f>IF($A326="","",IFERROR(INDEX('2_IMPORTAR_EJECUCION'!$F$9:$F$1208,MATCH($AU326,'2_IMPORTAR_EJECUCION'!$J$9:$J$1208,0)),0))</f>
        <v/>
      </c>
      <c r="AM326" s="32">
        <f>IF($A326="","",MAX(0,IFERROR(INDEX('2_IMPORTAR_EJECUCION'!$H$9:$H$1208,MATCH($AU326,'2_IMPORTAR_EJECUCION'!$J$9:$J$1208,0)),0)-$AL326))</f>
        <v/>
      </c>
      <c r="AN326" s="32">
        <f>IF($A326="","",$AL326+$AM326)</f>
        <v/>
      </c>
      <c r="AO326" s="24">
        <f>IF($A326="","",IF(OR((IFERROR(INDEX('CAT_ACTIVIDADES'!$D$4:$D$26,MATCH($H326,'CAT_ACTIVIDADES'!$A$4:$A$26,0)),""))=0,(IFERROR(INDEX('CAT_ACTIVIDADES'!$D$4:$D$26,MATCH($H326,'CAT_ACTIVIDADES'!$A$4:$A$26,0)),""))=""),"SIN CLASIFICAR",IFERROR(INDEX('CAT_ACTIVIDADES'!$D$4:$D$26,MATCH($H326,'CAT_ACTIVIDADES'!$A$4:$A$26,0)),"")))</f>
        <v/>
      </c>
      <c r="AP326" s="4" t="n"/>
      <c r="AQ326" s="4" t="n"/>
      <c r="AR326" s="4" t="n"/>
      <c r="AS326" s="24">
        <f>IF($AR326="","",HYPERLINK(p_ruta_base_checklists&amp;$AR326,"abrir"))</f>
        <v/>
      </c>
      <c r="AT326" s="4" t="n"/>
      <c r="AU326" s="24">
        <f>IF($A326="","",$A326&amp;IF($B326="","0010",$B326))</f>
        <v/>
      </c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41" t="n"/>
      <c r="K327" s="5" t="n"/>
      <c r="L327" s="18" t="n"/>
      <c r="M327" s="24">
        <f>IF($A327="","",IFERROR(INDEX('AJUSTES'!$B$4:$B$303,MATCH($AU327,'AJUSTES'!$A$4:$A$303,0)),IF($K327="","",$K327)))</f>
        <v/>
      </c>
      <c r="N327" s="24">
        <f>IF($A327="","",IFERROR(INDEX('CAT_ESTADOS_ERP'!$B$4:$B$22,MATCH(IFERROR(INDEX('2_IMPORTAR_EJECUCION'!$C$9:$C$1208,MATCH($AU327,'2_IMPORTAR_EJECUCION'!$J$9:$J$1208,0)),""),'CAT_ESTADOS_ERP'!$A$4:$A$22,0)),"Pendiente"))</f>
        <v/>
      </c>
      <c r="O327" s="24">
        <f>IF($J327="","",YEAR($J327+4-WEEKDAY($J327,2))&amp;"-S"&amp;TEXT(_xlfn.ISOWEEKNUM($J327),"00"))</f>
        <v/>
      </c>
      <c r="P327" s="24">
        <f>IF($J327="","",YEAR($J327))</f>
        <v/>
      </c>
      <c r="Q327" s="24">
        <f>IF($J327="","",MONTH($J327))</f>
        <v/>
      </c>
      <c r="R327" s="24">
        <f>IF($J327="","",$P327&amp;"-"&amp;TEXT($Q327,"00"))</f>
        <v/>
      </c>
      <c r="S327" s="24">
        <f>IF($J327="","",INDEX(lista_dias,WEEKDAY($J327,2)))</f>
        <v/>
      </c>
      <c r="T327" s="24">
        <f>IF($J327="","",IFERROR(INDEX('CALENDARIO'!$C$15:$C$214,MATCH(TEXT($J327,"yyyy-mm-dd")&amp;"|"&amp;$Y327&amp;"|"&amp;$Z327,'CALENDARIO'!$G$15:$G$214,0)),IFERROR(INDEX('CALENDARIO'!$C$15:$C$214,MATCH(TEXT($J327,"yyyy-mm-dd")&amp;"|"&amp;$Y327&amp;"|",'CALENDARIO'!$G$15:$G$214,0)),IFERROR(INDEX('CALENDARIO'!$C$15:$C$214,MATCH(TEXT($J327,"yyyy-mm-dd")&amp;"||",'CALENDARIO'!$G$15:$G$214,0)),INDEX(patronHabil,WEEKDAY($J327,2))))))</f>
        <v/>
      </c>
      <c r="U327" s="24">
        <f>IF($I327="","",IFERROR(INDEX('CAT_TIPOS_OT'!$C$4:$C$23,MATCH($I327,'CAT_TIPOS_OT'!$A$4:$A$23,0)),"sin_clasificar"))</f>
        <v/>
      </c>
      <c r="V327" s="24">
        <f>IF($I327="","",IF(IFERROR(INDEX('CAT_TIPOS_OT'!$D$4:$D$23,MATCH($I327,'CAT_TIPOS_OT'!$A$4:$A$23,0)),"SIN CLASIFICAR")="","SIN CLASIFICAR",IFERROR(INDEX('CAT_TIPOS_OT'!$D$4:$D$23,MATCH($I327,'CAT_TIPOS_OT'!$A$4:$A$23,0)),"SIN CLASIFICAR")))</f>
        <v/>
      </c>
      <c r="W327" s="24">
        <f>IF($H327="","",IF(IFERROR(INDEX('CAT_ACTIVIDADES'!$F$4:$F$26,MATCH($H327,'CAT_ACTIVIDADES'!$A$4:$A$26,0)),"")=0,"",IFERROR(INDEX('CAT_ACTIVIDADES'!$F$4:$F$26,MATCH($H327,'CAT_ACTIVIDADES'!$A$4:$A$26,0)),"")))</f>
        <v/>
      </c>
      <c r="X327" s="24">
        <f>IF($F327="","",IFERROR(INDEX('CAT_CENTROS_COSTO'!$F$4:$F$28,MATCH($F327,'CAT_CENTROS_COSTO'!$A$4:$A$28,0)),"(sin catálogo)"))</f>
        <v/>
      </c>
      <c r="Y327" s="24">
        <f>IF($F327="","",IFERROR(INDEX('CAT_CENTROS_COSTO'!$D$4:$D$28,MATCH($F327,'CAT_CENTROS_COSTO'!$A$4:$A$28,0)),"(sin catálogo)"))</f>
        <v/>
      </c>
      <c r="Z327" s="24">
        <f>IF($F327="","",IF((IFERROR(INDEX('CAT_CENTROS_COSTO'!$E$4:$E$28,MATCH($F327,'CAT_CENTROS_COSTO'!$A$4:$A$28,0)),""))&lt;&gt;"",IFERROR(INDEX('CAT_CENTROS_COSTO'!$E$4:$E$28,MATCH($F327,'CAT_CENTROS_COSTO'!$A$4:$A$28,0)),""),$Y327))</f>
        <v/>
      </c>
      <c r="AA327" s="24">
        <f>IF($F327="","",IFERROR(INDEX('CAT_CENTROS_COSTO'!$G$4:$G$28,MATCH($F327,'CAT_CENTROS_COSTO'!$A$4:$A$28,0)),"(sin catálogo)"))</f>
        <v/>
      </c>
      <c r="AB327" s="24">
        <f>IF($G327="","",IFERROR(INDEX('CAT_PUESTOS'!$B$4:$B$23,MATCH($G327,'CAT_PUESTOS'!$A$4:$A$23,0)),"(sin catálogo)"))</f>
        <v/>
      </c>
      <c r="AC327" s="24">
        <f>IF($H327="","",IFERROR(INDEX('CAT_ACTIVIDADES'!$B$4:$B$26,MATCH($H327,'CAT_ACTIVIDADES'!$A$4:$A$26,0)),"(sin catálogo)"))</f>
        <v/>
      </c>
      <c r="AD327" s="26">
        <f>IF($J327="","",TODAY()-$J327)</f>
        <v/>
      </c>
      <c r="AE327" s="26">
        <f>IF($J327="","",IF($J327&lt;=TODAY(),COUNTIFS(cal_fechas,"&gt;="&amp;$J327,cal_fechas,"&lt;"&amp;TODAY(),cal_habil,"sí"),-COUNTIFS(cal_fechas,"&gt;="&amp;TODAY(),cal_fechas,"&lt;"&amp;$J327,cal_habil,"sí")))</f>
        <v/>
      </c>
      <c r="AF327" s="24">
        <f>IF($AE327="","",IF($AE327&lt;0,"FUTURO",IF($AE327&gt;p_dias_backlog_max,"BACKLOG","MES CORRIENTE")))</f>
        <v/>
      </c>
      <c r="AG327" s="24">
        <f>IF($AE327="",FALSE,AND($AE327&gt;p_dias_backlog_min,$AE327&lt;=p_dias_backlog_max))</f>
        <v/>
      </c>
      <c r="AH327" s="4" t="n"/>
      <c r="AI327" s="24">
        <f>IF($AH327="","",IF((IFERROR(INDEX('ASIGNACIONES'!$J$4:$J$451,MATCH($O327&amp;"|"&amp;$S327&amp;"|"&amp;$AH327,'ASIGNACIONES'!$N$4:$N$451,0)),""))=0,"",IFERROR(INDEX('ASIGNACIONES'!$J$4:$J$451,MATCH($O327&amp;"|"&amp;$S327&amp;"|"&amp;$AH327,'ASIGNACIONES'!$N$4:$N$451,0)),"")))</f>
        <v/>
      </c>
      <c r="AJ327" s="42">
        <f>IF($AH327="","",SUMIFS('ORDENES'!$M$4:$M$1203,'ORDENES'!$AH$4:$AH$1203,$AH327,'ORDENES'!$O$4:$O$1203,$O327,'ORDENES'!$S$4:$S$1203,$S327))</f>
        <v/>
      </c>
      <c r="AK327" s="42">
        <f>IF($AJ327="","",p_factor_productividad*IFERROR(INDEX('ASIGNACIONES'!$M$4:$M$451,MATCH($O327&amp;"|"&amp;$S327&amp;"|"&amp;$AH327,'ASIGNACIONES'!$N$4:$N$451,0)),0)-$AJ327)</f>
        <v/>
      </c>
      <c r="AL327" s="32">
        <f>IF($A327="","",IFERROR(INDEX('2_IMPORTAR_EJECUCION'!$F$9:$F$1208,MATCH($AU327,'2_IMPORTAR_EJECUCION'!$J$9:$J$1208,0)),0))</f>
        <v/>
      </c>
      <c r="AM327" s="32">
        <f>IF($A327="","",MAX(0,IFERROR(INDEX('2_IMPORTAR_EJECUCION'!$H$9:$H$1208,MATCH($AU327,'2_IMPORTAR_EJECUCION'!$J$9:$J$1208,0)),0)-$AL327))</f>
        <v/>
      </c>
      <c r="AN327" s="32">
        <f>IF($A327="","",$AL327+$AM327)</f>
        <v/>
      </c>
      <c r="AO327" s="24">
        <f>IF($A327="","",IF(OR((IFERROR(INDEX('CAT_ACTIVIDADES'!$D$4:$D$26,MATCH($H327,'CAT_ACTIVIDADES'!$A$4:$A$26,0)),""))=0,(IFERROR(INDEX('CAT_ACTIVIDADES'!$D$4:$D$26,MATCH($H327,'CAT_ACTIVIDADES'!$A$4:$A$26,0)),""))=""),"SIN CLASIFICAR",IFERROR(INDEX('CAT_ACTIVIDADES'!$D$4:$D$26,MATCH($H327,'CAT_ACTIVIDADES'!$A$4:$A$26,0)),"")))</f>
        <v/>
      </c>
      <c r="AP327" s="4" t="n"/>
      <c r="AQ327" s="4" t="n"/>
      <c r="AR327" s="4" t="n"/>
      <c r="AS327" s="24">
        <f>IF($AR327="","",HYPERLINK(p_ruta_base_checklists&amp;$AR327,"abrir"))</f>
        <v/>
      </c>
      <c r="AT327" s="4" t="n"/>
      <c r="AU327" s="24">
        <f>IF($A327="","",$A327&amp;IF($B327="","0010",$B327))</f>
        <v/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41" t="n"/>
      <c r="K328" s="5" t="n"/>
      <c r="L328" s="18" t="n"/>
      <c r="M328" s="24">
        <f>IF($A328="","",IFERROR(INDEX('AJUSTES'!$B$4:$B$303,MATCH($AU328,'AJUSTES'!$A$4:$A$303,0)),IF($K328="","",$K328)))</f>
        <v/>
      </c>
      <c r="N328" s="24">
        <f>IF($A328="","",IFERROR(INDEX('CAT_ESTADOS_ERP'!$B$4:$B$22,MATCH(IFERROR(INDEX('2_IMPORTAR_EJECUCION'!$C$9:$C$1208,MATCH($AU328,'2_IMPORTAR_EJECUCION'!$J$9:$J$1208,0)),""),'CAT_ESTADOS_ERP'!$A$4:$A$22,0)),"Pendiente"))</f>
        <v/>
      </c>
      <c r="O328" s="24">
        <f>IF($J328="","",YEAR($J328+4-WEEKDAY($J328,2))&amp;"-S"&amp;TEXT(_xlfn.ISOWEEKNUM($J328),"00"))</f>
        <v/>
      </c>
      <c r="P328" s="24">
        <f>IF($J328="","",YEAR($J328))</f>
        <v/>
      </c>
      <c r="Q328" s="24">
        <f>IF($J328="","",MONTH($J328))</f>
        <v/>
      </c>
      <c r="R328" s="24">
        <f>IF($J328="","",$P328&amp;"-"&amp;TEXT($Q328,"00"))</f>
        <v/>
      </c>
      <c r="S328" s="24">
        <f>IF($J328="","",INDEX(lista_dias,WEEKDAY($J328,2)))</f>
        <v/>
      </c>
      <c r="T328" s="24">
        <f>IF($J328="","",IFERROR(INDEX('CALENDARIO'!$C$15:$C$214,MATCH(TEXT($J328,"yyyy-mm-dd")&amp;"|"&amp;$Y328&amp;"|"&amp;$Z328,'CALENDARIO'!$G$15:$G$214,0)),IFERROR(INDEX('CALENDARIO'!$C$15:$C$214,MATCH(TEXT($J328,"yyyy-mm-dd")&amp;"|"&amp;$Y328&amp;"|",'CALENDARIO'!$G$15:$G$214,0)),IFERROR(INDEX('CALENDARIO'!$C$15:$C$214,MATCH(TEXT($J328,"yyyy-mm-dd")&amp;"||",'CALENDARIO'!$G$15:$G$214,0)),INDEX(patronHabil,WEEKDAY($J328,2))))))</f>
        <v/>
      </c>
      <c r="U328" s="24">
        <f>IF($I328="","",IFERROR(INDEX('CAT_TIPOS_OT'!$C$4:$C$23,MATCH($I328,'CAT_TIPOS_OT'!$A$4:$A$23,0)),"sin_clasificar"))</f>
        <v/>
      </c>
      <c r="V328" s="24">
        <f>IF($I328="","",IF(IFERROR(INDEX('CAT_TIPOS_OT'!$D$4:$D$23,MATCH($I328,'CAT_TIPOS_OT'!$A$4:$A$23,0)),"SIN CLASIFICAR")="","SIN CLASIFICAR",IFERROR(INDEX('CAT_TIPOS_OT'!$D$4:$D$23,MATCH($I328,'CAT_TIPOS_OT'!$A$4:$A$23,0)),"SIN CLASIFICAR")))</f>
        <v/>
      </c>
      <c r="W328" s="24">
        <f>IF($H328="","",IF(IFERROR(INDEX('CAT_ACTIVIDADES'!$F$4:$F$26,MATCH($H328,'CAT_ACTIVIDADES'!$A$4:$A$26,0)),"")=0,"",IFERROR(INDEX('CAT_ACTIVIDADES'!$F$4:$F$26,MATCH($H328,'CAT_ACTIVIDADES'!$A$4:$A$26,0)),"")))</f>
        <v/>
      </c>
      <c r="X328" s="24">
        <f>IF($F328="","",IFERROR(INDEX('CAT_CENTROS_COSTO'!$F$4:$F$28,MATCH($F328,'CAT_CENTROS_COSTO'!$A$4:$A$28,0)),"(sin catálogo)"))</f>
        <v/>
      </c>
      <c r="Y328" s="24">
        <f>IF($F328="","",IFERROR(INDEX('CAT_CENTROS_COSTO'!$D$4:$D$28,MATCH($F328,'CAT_CENTROS_COSTO'!$A$4:$A$28,0)),"(sin catálogo)"))</f>
        <v/>
      </c>
      <c r="Z328" s="24">
        <f>IF($F328="","",IF((IFERROR(INDEX('CAT_CENTROS_COSTO'!$E$4:$E$28,MATCH($F328,'CAT_CENTROS_COSTO'!$A$4:$A$28,0)),""))&lt;&gt;"",IFERROR(INDEX('CAT_CENTROS_COSTO'!$E$4:$E$28,MATCH($F328,'CAT_CENTROS_COSTO'!$A$4:$A$28,0)),""),$Y328))</f>
        <v/>
      </c>
      <c r="AA328" s="24">
        <f>IF($F328="","",IFERROR(INDEX('CAT_CENTROS_COSTO'!$G$4:$G$28,MATCH($F328,'CAT_CENTROS_COSTO'!$A$4:$A$28,0)),"(sin catálogo)"))</f>
        <v/>
      </c>
      <c r="AB328" s="24">
        <f>IF($G328="","",IFERROR(INDEX('CAT_PUESTOS'!$B$4:$B$23,MATCH($G328,'CAT_PUESTOS'!$A$4:$A$23,0)),"(sin catálogo)"))</f>
        <v/>
      </c>
      <c r="AC328" s="24">
        <f>IF($H328="","",IFERROR(INDEX('CAT_ACTIVIDADES'!$B$4:$B$26,MATCH($H328,'CAT_ACTIVIDADES'!$A$4:$A$26,0)),"(sin catálogo)"))</f>
        <v/>
      </c>
      <c r="AD328" s="26">
        <f>IF($J328="","",TODAY()-$J328)</f>
        <v/>
      </c>
      <c r="AE328" s="26">
        <f>IF($J328="","",IF($J328&lt;=TODAY(),COUNTIFS(cal_fechas,"&gt;="&amp;$J328,cal_fechas,"&lt;"&amp;TODAY(),cal_habil,"sí"),-COUNTIFS(cal_fechas,"&gt;="&amp;TODAY(),cal_fechas,"&lt;"&amp;$J328,cal_habil,"sí")))</f>
        <v/>
      </c>
      <c r="AF328" s="24">
        <f>IF($AE328="","",IF($AE328&lt;0,"FUTURO",IF($AE328&gt;p_dias_backlog_max,"BACKLOG","MES CORRIENTE")))</f>
        <v/>
      </c>
      <c r="AG328" s="24">
        <f>IF($AE328="",FALSE,AND($AE328&gt;p_dias_backlog_min,$AE328&lt;=p_dias_backlog_max))</f>
        <v/>
      </c>
      <c r="AH328" s="4" t="n"/>
      <c r="AI328" s="24">
        <f>IF($AH328="","",IF((IFERROR(INDEX('ASIGNACIONES'!$J$4:$J$451,MATCH($O328&amp;"|"&amp;$S328&amp;"|"&amp;$AH328,'ASIGNACIONES'!$N$4:$N$451,0)),""))=0,"",IFERROR(INDEX('ASIGNACIONES'!$J$4:$J$451,MATCH($O328&amp;"|"&amp;$S328&amp;"|"&amp;$AH328,'ASIGNACIONES'!$N$4:$N$451,0)),"")))</f>
        <v/>
      </c>
      <c r="AJ328" s="42">
        <f>IF($AH328="","",SUMIFS('ORDENES'!$M$4:$M$1203,'ORDENES'!$AH$4:$AH$1203,$AH328,'ORDENES'!$O$4:$O$1203,$O328,'ORDENES'!$S$4:$S$1203,$S328))</f>
        <v/>
      </c>
      <c r="AK328" s="42">
        <f>IF($AJ328="","",p_factor_productividad*IFERROR(INDEX('ASIGNACIONES'!$M$4:$M$451,MATCH($O328&amp;"|"&amp;$S328&amp;"|"&amp;$AH328,'ASIGNACIONES'!$N$4:$N$451,0)),0)-$AJ328)</f>
        <v/>
      </c>
      <c r="AL328" s="32">
        <f>IF($A328="","",IFERROR(INDEX('2_IMPORTAR_EJECUCION'!$F$9:$F$1208,MATCH($AU328,'2_IMPORTAR_EJECUCION'!$J$9:$J$1208,0)),0))</f>
        <v/>
      </c>
      <c r="AM328" s="32">
        <f>IF($A328="","",MAX(0,IFERROR(INDEX('2_IMPORTAR_EJECUCION'!$H$9:$H$1208,MATCH($AU328,'2_IMPORTAR_EJECUCION'!$J$9:$J$1208,0)),0)-$AL328))</f>
        <v/>
      </c>
      <c r="AN328" s="32">
        <f>IF($A328="","",$AL328+$AM328)</f>
        <v/>
      </c>
      <c r="AO328" s="24">
        <f>IF($A328="","",IF(OR((IFERROR(INDEX('CAT_ACTIVIDADES'!$D$4:$D$26,MATCH($H328,'CAT_ACTIVIDADES'!$A$4:$A$26,0)),""))=0,(IFERROR(INDEX('CAT_ACTIVIDADES'!$D$4:$D$26,MATCH($H328,'CAT_ACTIVIDADES'!$A$4:$A$26,0)),""))=""),"SIN CLASIFICAR",IFERROR(INDEX('CAT_ACTIVIDADES'!$D$4:$D$26,MATCH($H328,'CAT_ACTIVIDADES'!$A$4:$A$26,0)),"")))</f>
        <v/>
      </c>
      <c r="AP328" s="4" t="n"/>
      <c r="AQ328" s="4" t="n"/>
      <c r="AR328" s="4" t="n"/>
      <c r="AS328" s="24">
        <f>IF($AR328="","",HYPERLINK(p_ruta_base_checklists&amp;$AR328,"abrir"))</f>
        <v/>
      </c>
      <c r="AT328" s="4" t="n"/>
      <c r="AU328" s="24">
        <f>IF($A328="","",$A328&amp;IF($B328="","0010",$B328))</f>
        <v/>
      </c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41" t="n"/>
      <c r="K329" s="5" t="n"/>
      <c r="L329" s="18" t="n"/>
      <c r="M329" s="24">
        <f>IF($A329="","",IFERROR(INDEX('AJUSTES'!$B$4:$B$303,MATCH($AU329,'AJUSTES'!$A$4:$A$303,0)),IF($K329="","",$K329)))</f>
        <v/>
      </c>
      <c r="N329" s="24">
        <f>IF($A329="","",IFERROR(INDEX('CAT_ESTADOS_ERP'!$B$4:$B$22,MATCH(IFERROR(INDEX('2_IMPORTAR_EJECUCION'!$C$9:$C$1208,MATCH($AU329,'2_IMPORTAR_EJECUCION'!$J$9:$J$1208,0)),""),'CAT_ESTADOS_ERP'!$A$4:$A$22,0)),"Pendiente"))</f>
        <v/>
      </c>
      <c r="O329" s="24">
        <f>IF($J329="","",YEAR($J329+4-WEEKDAY($J329,2))&amp;"-S"&amp;TEXT(_xlfn.ISOWEEKNUM($J329),"00"))</f>
        <v/>
      </c>
      <c r="P329" s="24">
        <f>IF($J329="","",YEAR($J329))</f>
        <v/>
      </c>
      <c r="Q329" s="24">
        <f>IF($J329="","",MONTH($J329))</f>
        <v/>
      </c>
      <c r="R329" s="24">
        <f>IF($J329="","",$P329&amp;"-"&amp;TEXT($Q329,"00"))</f>
        <v/>
      </c>
      <c r="S329" s="24">
        <f>IF($J329="","",INDEX(lista_dias,WEEKDAY($J329,2)))</f>
        <v/>
      </c>
      <c r="T329" s="24">
        <f>IF($J329="","",IFERROR(INDEX('CALENDARIO'!$C$15:$C$214,MATCH(TEXT($J329,"yyyy-mm-dd")&amp;"|"&amp;$Y329&amp;"|"&amp;$Z329,'CALENDARIO'!$G$15:$G$214,0)),IFERROR(INDEX('CALENDARIO'!$C$15:$C$214,MATCH(TEXT($J329,"yyyy-mm-dd")&amp;"|"&amp;$Y329&amp;"|",'CALENDARIO'!$G$15:$G$214,0)),IFERROR(INDEX('CALENDARIO'!$C$15:$C$214,MATCH(TEXT($J329,"yyyy-mm-dd")&amp;"||",'CALENDARIO'!$G$15:$G$214,0)),INDEX(patronHabil,WEEKDAY($J329,2))))))</f>
        <v/>
      </c>
      <c r="U329" s="24">
        <f>IF($I329="","",IFERROR(INDEX('CAT_TIPOS_OT'!$C$4:$C$23,MATCH($I329,'CAT_TIPOS_OT'!$A$4:$A$23,0)),"sin_clasificar"))</f>
        <v/>
      </c>
      <c r="V329" s="24">
        <f>IF($I329="","",IF(IFERROR(INDEX('CAT_TIPOS_OT'!$D$4:$D$23,MATCH($I329,'CAT_TIPOS_OT'!$A$4:$A$23,0)),"SIN CLASIFICAR")="","SIN CLASIFICAR",IFERROR(INDEX('CAT_TIPOS_OT'!$D$4:$D$23,MATCH($I329,'CAT_TIPOS_OT'!$A$4:$A$23,0)),"SIN CLASIFICAR")))</f>
        <v/>
      </c>
      <c r="W329" s="24">
        <f>IF($H329="","",IF(IFERROR(INDEX('CAT_ACTIVIDADES'!$F$4:$F$26,MATCH($H329,'CAT_ACTIVIDADES'!$A$4:$A$26,0)),"")=0,"",IFERROR(INDEX('CAT_ACTIVIDADES'!$F$4:$F$26,MATCH($H329,'CAT_ACTIVIDADES'!$A$4:$A$26,0)),"")))</f>
        <v/>
      </c>
      <c r="X329" s="24">
        <f>IF($F329="","",IFERROR(INDEX('CAT_CENTROS_COSTO'!$F$4:$F$28,MATCH($F329,'CAT_CENTROS_COSTO'!$A$4:$A$28,0)),"(sin catálogo)"))</f>
        <v/>
      </c>
      <c r="Y329" s="24">
        <f>IF($F329="","",IFERROR(INDEX('CAT_CENTROS_COSTO'!$D$4:$D$28,MATCH($F329,'CAT_CENTROS_COSTO'!$A$4:$A$28,0)),"(sin catálogo)"))</f>
        <v/>
      </c>
      <c r="Z329" s="24">
        <f>IF($F329="","",IF((IFERROR(INDEX('CAT_CENTROS_COSTO'!$E$4:$E$28,MATCH($F329,'CAT_CENTROS_COSTO'!$A$4:$A$28,0)),""))&lt;&gt;"",IFERROR(INDEX('CAT_CENTROS_COSTO'!$E$4:$E$28,MATCH($F329,'CAT_CENTROS_COSTO'!$A$4:$A$28,0)),""),$Y329))</f>
        <v/>
      </c>
      <c r="AA329" s="24">
        <f>IF($F329="","",IFERROR(INDEX('CAT_CENTROS_COSTO'!$G$4:$G$28,MATCH($F329,'CAT_CENTROS_COSTO'!$A$4:$A$28,0)),"(sin catálogo)"))</f>
        <v/>
      </c>
      <c r="AB329" s="24">
        <f>IF($G329="","",IFERROR(INDEX('CAT_PUESTOS'!$B$4:$B$23,MATCH($G329,'CAT_PUESTOS'!$A$4:$A$23,0)),"(sin catálogo)"))</f>
        <v/>
      </c>
      <c r="AC329" s="24">
        <f>IF($H329="","",IFERROR(INDEX('CAT_ACTIVIDADES'!$B$4:$B$26,MATCH($H329,'CAT_ACTIVIDADES'!$A$4:$A$26,0)),"(sin catálogo)"))</f>
        <v/>
      </c>
      <c r="AD329" s="26">
        <f>IF($J329="","",TODAY()-$J329)</f>
        <v/>
      </c>
      <c r="AE329" s="26">
        <f>IF($J329="","",IF($J329&lt;=TODAY(),COUNTIFS(cal_fechas,"&gt;="&amp;$J329,cal_fechas,"&lt;"&amp;TODAY(),cal_habil,"sí"),-COUNTIFS(cal_fechas,"&gt;="&amp;TODAY(),cal_fechas,"&lt;"&amp;$J329,cal_habil,"sí")))</f>
        <v/>
      </c>
      <c r="AF329" s="24">
        <f>IF($AE329="","",IF($AE329&lt;0,"FUTURO",IF($AE329&gt;p_dias_backlog_max,"BACKLOG","MES CORRIENTE")))</f>
        <v/>
      </c>
      <c r="AG329" s="24">
        <f>IF($AE329="",FALSE,AND($AE329&gt;p_dias_backlog_min,$AE329&lt;=p_dias_backlog_max))</f>
        <v/>
      </c>
      <c r="AH329" s="4" t="n"/>
      <c r="AI329" s="24">
        <f>IF($AH329="","",IF((IFERROR(INDEX('ASIGNACIONES'!$J$4:$J$451,MATCH($O329&amp;"|"&amp;$S329&amp;"|"&amp;$AH329,'ASIGNACIONES'!$N$4:$N$451,0)),""))=0,"",IFERROR(INDEX('ASIGNACIONES'!$J$4:$J$451,MATCH($O329&amp;"|"&amp;$S329&amp;"|"&amp;$AH329,'ASIGNACIONES'!$N$4:$N$451,0)),"")))</f>
        <v/>
      </c>
      <c r="AJ329" s="42">
        <f>IF($AH329="","",SUMIFS('ORDENES'!$M$4:$M$1203,'ORDENES'!$AH$4:$AH$1203,$AH329,'ORDENES'!$O$4:$O$1203,$O329,'ORDENES'!$S$4:$S$1203,$S329))</f>
        <v/>
      </c>
      <c r="AK329" s="42">
        <f>IF($AJ329="","",p_factor_productividad*IFERROR(INDEX('ASIGNACIONES'!$M$4:$M$451,MATCH($O329&amp;"|"&amp;$S329&amp;"|"&amp;$AH329,'ASIGNACIONES'!$N$4:$N$451,0)),0)-$AJ329)</f>
        <v/>
      </c>
      <c r="AL329" s="32">
        <f>IF($A329="","",IFERROR(INDEX('2_IMPORTAR_EJECUCION'!$F$9:$F$1208,MATCH($AU329,'2_IMPORTAR_EJECUCION'!$J$9:$J$1208,0)),0))</f>
        <v/>
      </c>
      <c r="AM329" s="32">
        <f>IF($A329="","",MAX(0,IFERROR(INDEX('2_IMPORTAR_EJECUCION'!$H$9:$H$1208,MATCH($AU329,'2_IMPORTAR_EJECUCION'!$J$9:$J$1208,0)),0)-$AL329))</f>
        <v/>
      </c>
      <c r="AN329" s="32">
        <f>IF($A329="","",$AL329+$AM329)</f>
        <v/>
      </c>
      <c r="AO329" s="24">
        <f>IF($A329="","",IF(OR((IFERROR(INDEX('CAT_ACTIVIDADES'!$D$4:$D$26,MATCH($H329,'CAT_ACTIVIDADES'!$A$4:$A$26,0)),""))=0,(IFERROR(INDEX('CAT_ACTIVIDADES'!$D$4:$D$26,MATCH($H329,'CAT_ACTIVIDADES'!$A$4:$A$26,0)),""))=""),"SIN CLASIFICAR",IFERROR(INDEX('CAT_ACTIVIDADES'!$D$4:$D$26,MATCH($H329,'CAT_ACTIVIDADES'!$A$4:$A$26,0)),"")))</f>
        <v/>
      </c>
      <c r="AP329" s="4" t="n"/>
      <c r="AQ329" s="4" t="n"/>
      <c r="AR329" s="4" t="n"/>
      <c r="AS329" s="24">
        <f>IF($AR329="","",HYPERLINK(p_ruta_base_checklists&amp;$AR329,"abrir"))</f>
        <v/>
      </c>
      <c r="AT329" s="4" t="n"/>
      <c r="AU329" s="24">
        <f>IF($A329="","",$A329&amp;IF($B329="","0010",$B329))</f>
        <v/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41" t="n"/>
      <c r="K330" s="5" t="n"/>
      <c r="L330" s="18" t="n"/>
      <c r="M330" s="24">
        <f>IF($A330="","",IFERROR(INDEX('AJUSTES'!$B$4:$B$303,MATCH($AU330,'AJUSTES'!$A$4:$A$303,0)),IF($K330="","",$K330)))</f>
        <v/>
      </c>
      <c r="N330" s="24">
        <f>IF($A330="","",IFERROR(INDEX('CAT_ESTADOS_ERP'!$B$4:$B$22,MATCH(IFERROR(INDEX('2_IMPORTAR_EJECUCION'!$C$9:$C$1208,MATCH($AU330,'2_IMPORTAR_EJECUCION'!$J$9:$J$1208,0)),""),'CAT_ESTADOS_ERP'!$A$4:$A$22,0)),"Pendiente"))</f>
        <v/>
      </c>
      <c r="O330" s="24">
        <f>IF($J330="","",YEAR($J330+4-WEEKDAY($J330,2))&amp;"-S"&amp;TEXT(_xlfn.ISOWEEKNUM($J330),"00"))</f>
        <v/>
      </c>
      <c r="P330" s="24">
        <f>IF($J330="","",YEAR($J330))</f>
        <v/>
      </c>
      <c r="Q330" s="24">
        <f>IF($J330="","",MONTH($J330))</f>
        <v/>
      </c>
      <c r="R330" s="24">
        <f>IF($J330="","",$P330&amp;"-"&amp;TEXT($Q330,"00"))</f>
        <v/>
      </c>
      <c r="S330" s="24">
        <f>IF($J330="","",INDEX(lista_dias,WEEKDAY($J330,2)))</f>
        <v/>
      </c>
      <c r="T330" s="24">
        <f>IF($J330="","",IFERROR(INDEX('CALENDARIO'!$C$15:$C$214,MATCH(TEXT($J330,"yyyy-mm-dd")&amp;"|"&amp;$Y330&amp;"|"&amp;$Z330,'CALENDARIO'!$G$15:$G$214,0)),IFERROR(INDEX('CALENDARIO'!$C$15:$C$214,MATCH(TEXT($J330,"yyyy-mm-dd")&amp;"|"&amp;$Y330&amp;"|",'CALENDARIO'!$G$15:$G$214,0)),IFERROR(INDEX('CALENDARIO'!$C$15:$C$214,MATCH(TEXT($J330,"yyyy-mm-dd")&amp;"||",'CALENDARIO'!$G$15:$G$214,0)),INDEX(patronHabil,WEEKDAY($J330,2))))))</f>
        <v/>
      </c>
      <c r="U330" s="24">
        <f>IF($I330="","",IFERROR(INDEX('CAT_TIPOS_OT'!$C$4:$C$23,MATCH($I330,'CAT_TIPOS_OT'!$A$4:$A$23,0)),"sin_clasificar"))</f>
        <v/>
      </c>
      <c r="V330" s="24">
        <f>IF($I330="","",IF(IFERROR(INDEX('CAT_TIPOS_OT'!$D$4:$D$23,MATCH($I330,'CAT_TIPOS_OT'!$A$4:$A$23,0)),"SIN CLASIFICAR")="","SIN CLASIFICAR",IFERROR(INDEX('CAT_TIPOS_OT'!$D$4:$D$23,MATCH($I330,'CAT_TIPOS_OT'!$A$4:$A$23,0)),"SIN CLASIFICAR")))</f>
        <v/>
      </c>
      <c r="W330" s="24">
        <f>IF($H330="","",IF(IFERROR(INDEX('CAT_ACTIVIDADES'!$F$4:$F$26,MATCH($H330,'CAT_ACTIVIDADES'!$A$4:$A$26,0)),"")=0,"",IFERROR(INDEX('CAT_ACTIVIDADES'!$F$4:$F$26,MATCH($H330,'CAT_ACTIVIDADES'!$A$4:$A$26,0)),"")))</f>
        <v/>
      </c>
      <c r="X330" s="24">
        <f>IF($F330="","",IFERROR(INDEX('CAT_CENTROS_COSTO'!$F$4:$F$28,MATCH($F330,'CAT_CENTROS_COSTO'!$A$4:$A$28,0)),"(sin catálogo)"))</f>
        <v/>
      </c>
      <c r="Y330" s="24">
        <f>IF($F330="","",IFERROR(INDEX('CAT_CENTROS_COSTO'!$D$4:$D$28,MATCH($F330,'CAT_CENTROS_COSTO'!$A$4:$A$28,0)),"(sin catálogo)"))</f>
        <v/>
      </c>
      <c r="Z330" s="24">
        <f>IF($F330="","",IF((IFERROR(INDEX('CAT_CENTROS_COSTO'!$E$4:$E$28,MATCH($F330,'CAT_CENTROS_COSTO'!$A$4:$A$28,0)),""))&lt;&gt;"",IFERROR(INDEX('CAT_CENTROS_COSTO'!$E$4:$E$28,MATCH($F330,'CAT_CENTROS_COSTO'!$A$4:$A$28,0)),""),$Y330))</f>
        <v/>
      </c>
      <c r="AA330" s="24">
        <f>IF($F330="","",IFERROR(INDEX('CAT_CENTROS_COSTO'!$G$4:$G$28,MATCH($F330,'CAT_CENTROS_COSTO'!$A$4:$A$28,0)),"(sin catálogo)"))</f>
        <v/>
      </c>
      <c r="AB330" s="24">
        <f>IF($G330="","",IFERROR(INDEX('CAT_PUESTOS'!$B$4:$B$23,MATCH($G330,'CAT_PUESTOS'!$A$4:$A$23,0)),"(sin catálogo)"))</f>
        <v/>
      </c>
      <c r="AC330" s="24">
        <f>IF($H330="","",IFERROR(INDEX('CAT_ACTIVIDADES'!$B$4:$B$26,MATCH($H330,'CAT_ACTIVIDADES'!$A$4:$A$26,0)),"(sin catálogo)"))</f>
        <v/>
      </c>
      <c r="AD330" s="26">
        <f>IF($J330="","",TODAY()-$J330)</f>
        <v/>
      </c>
      <c r="AE330" s="26">
        <f>IF($J330="","",IF($J330&lt;=TODAY(),COUNTIFS(cal_fechas,"&gt;="&amp;$J330,cal_fechas,"&lt;"&amp;TODAY(),cal_habil,"sí"),-COUNTIFS(cal_fechas,"&gt;="&amp;TODAY(),cal_fechas,"&lt;"&amp;$J330,cal_habil,"sí")))</f>
        <v/>
      </c>
      <c r="AF330" s="24">
        <f>IF($AE330="","",IF($AE330&lt;0,"FUTURO",IF($AE330&gt;p_dias_backlog_max,"BACKLOG","MES CORRIENTE")))</f>
        <v/>
      </c>
      <c r="AG330" s="24">
        <f>IF($AE330="",FALSE,AND($AE330&gt;p_dias_backlog_min,$AE330&lt;=p_dias_backlog_max))</f>
        <v/>
      </c>
      <c r="AH330" s="4" t="n"/>
      <c r="AI330" s="24">
        <f>IF($AH330="","",IF((IFERROR(INDEX('ASIGNACIONES'!$J$4:$J$451,MATCH($O330&amp;"|"&amp;$S330&amp;"|"&amp;$AH330,'ASIGNACIONES'!$N$4:$N$451,0)),""))=0,"",IFERROR(INDEX('ASIGNACIONES'!$J$4:$J$451,MATCH($O330&amp;"|"&amp;$S330&amp;"|"&amp;$AH330,'ASIGNACIONES'!$N$4:$N$451,0)),"")))</f>
        <v/>
      </c>
      <c r="AJ330" s="42">
        <f>IF($AH330="","",SUMIFS('ORDENES'!$M$4:$M$1203,'ORDENES'!$AH$4:$AH$1203,$AH330,'ORDENES'!$O$4:$O$1203,$O330,'ORDENES'!$S$4:$S$1203,$S330))</f>
        <v/>
      </c>
      <c r="AK330" s="42">
        <f>IF($AJ330="","",p_factor_productividad*IFERROR(INDEX('ASIGNACIONES'!$M$4:$M$451,MATCH($O330&amp;"|"&amp;$S330&amp;"|"&amp;$AH330,'ASIGNACIONES'!$N$4:$N$451,0)),0)-$AJ330)</f>
        <v/>
      </c>
      <c r="AL330" s="32">
        <f>IF($A330="","",IFERROR(INDEX('2_IMPORTAR_EJECUCION'!$F$9:$F$1208,MATCH($AU330,'2_IMPORTAR_EJECUCION'!$J$9:$J$1208,0)),0))</f>
        <v/>
      </c>
      <c r="AM330" s="32">
        <f>IF($A330="","",MAX(0,IFERROR(INDEX('2_IMPORTAR_EJECUCION'!$H$9:$H$1208,MATCH($AU330,'2_IMPORTAR_EJECUCION'!$J$9:$J$1208,0)),0)-$AL330))</f>
        <v/>
      </c>
      <c r="AN330" s="32">
        <f>IF($A330="","",$AL330+$AM330)</f>
        <v/>
      </c>
      <c r="AO330" s="24">
        <f>IF($A330="","",IF(OR((IFERROR(INDEX('CAT_ACTIVIDADES'!$D$4:$D$26,MATCH($H330,'CAT_ACTIVIDADES'!$A$4:$A$26,0)),""))=0,(IFERROR(INDEX('CAT_ACTIVIDADES'!$D$4:$D$26,MATCH($H330,'CAT_ACTIVIDADES'!$A$4:$A$26,0)),""))=""),"SIN CLASIFICAR",IFERROR(INDEX('CAT_ACTIVIDADES'!$D$4:$D$26,MATCH($H330,'CAT_ACTIVIDADES'!$A$4:$A$26,0)),"")))</f>
        <v/>
      </c>
      <c r="AP330" s="4" t="n"/>
      <c r="AQ330" s="4" t="n"/>
      <c r="AR330" s="4" t="n"/>
      <c r="AS330" s="24">
        <f>IF($AR330="","",HYPERLINK(p_ruta_base_checklists&amp;$AR330,"abrir"))</f>
        <v/>
      </c>
      <c r="AT330" s="4" t="n"/>
      <c r="AU330" s="24">
        <f>IF($A330="","",$A330&amp;IF($B330="","0010",$B330))</f>
        <v/>
      </c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41" t="n"/>
      <c r="K331" s="5" t="n"/>
      <c r="L331" s="18" t="n"/>
      <c r="M331" s="24">
        <f>IF($A331="","",IFERROR(INDEX('AJUSTES'!$B$4:$B$303,MATCH($AU331,'AJUSTES'!$A$4:$A$303,0)),IF($K331="","",$K331)))</f>
        <v/>
      </c>
      <c r="N331" s="24">
        <f>IF($A331="","",IFERROR(INDEX('CAT_ESTADOS_ERP'!$B$4:$B$22,MATCH(IFERROR(INDEX('2_IMPORTAR_EJECUCION'!$C$9:$C$1208,MATCH($AU331,'2_IMPORTAR_EJECUCION'!$J$9:$J$1208,0)),""),'CAT_ESTADOS_ERP'!$A$4:$A$22,0)),"Pendiente"))</f>
        <v/>
      </c>
      <c r="O331" s="24">
        <f>IF($J331="","",YEAR($J331+4-WEEKDAY($J331,2))&amp;"-S"&amp;TEXT(_xlfn.ISOWEEKNUM($J331),"00"))</f>
        <v/>
      </c>
      <c r="P331" s="24">
        <f>IF($J331="","",YEAR($J331))</f>
        <v/>
      </c>
      <c r="Q331" s="24">
        <f>IF($J331="","",MONTH($J331))</f>
        <v/>
      </c>
      <c r="R331" s="24">
        <f>IF($J331="","",$P331&amp;"-"&amp;TEXT($Q331,"00"))</f>
        <v/>
      </c>
      <c r="S331" s="24">
        <f>IF($J331="","",INDEX(lista_dias,WEEKDAY($J331,2)))</f>
        <v/>
      </c>
      <c r="T331" s="24">
        <f>IF($J331="","",IFERROR(INDEX('CALENDARIO'!$C$15:$C$214,MATCH(TEXT($J331,"yyyy-mm-dd")&amp;"|"&amp;$Y331&amp;"|"&amp;$Z331,'CALENDARIO'!$G$15:$G$214,0)),IFERROR(INDEX('CALENDARIO'!$C$15:$C$214,MATCH(TEXT($J331,"yyyy-mm-dd")&amp;"|"&amp;$Y331&amp;"|",'CALENDARIO'!$G$15:$G$214,0)),IFERROR(INDEX('CALENDARIO'!$C$15:$C$214,MATCH(TEXT($J331,"yyyy-mm-dd")&amp;"||",'CALENDARIO'!$G$15:$G$214,0)),INDEX(patronHabil,WEEKDAY($J331,2))))))</f>
        <v/>
      </c>
      <c r="U331" s="24">
        <f>IF($I331="","",IFERROR(INDEX('CAT_TIPOS_OT'!$C$4:$C$23,MATCH($I331,'CAT_TIPOS_OT'!$A$4:$A$23,0)),"sin_clasificar"))</f>
        <v/>
      </c>
      <c r="V331" s="24">
        <f>IF($I331="","",IF(IFERROR(INDEX('CAT_TIPOS_OT'!$D$4:$D$23,MATCH($I331,'CAT_TIPOS_OT'!$A$4:$A$23,0)),"SIN CLASIFICAR")="","SIN CLASIFICAR",IFERROR(INDEX('CAT_TIPOS_OT'!$D$4:$D$23,MATCH($I331,'CAT_TIPOS_OT'!$A$4:$A$23,0)),"SIN CLASIFICAR")))</f>
        <v/>
      </c>
      <c r="W331" s="24">
        <f>IF($H331="","",IF(IFERROR(INDEX('CAT_ACTIVIDADES'!$F$4:$F$26,MATCH($H331,'CAT_ACTIVIDADES'!$A$4:$A$26,0)),"")=0,"",IFERROR(INDEX('CAT_ACTIVIDADES'!$F$4:$F$26,MATCH($H331,'CAT_ACTIVIDADES'!$A$4:$A$26,0)),"")))</f>
        <v/>
      </c>
      <c r="X331" s="24">
        <f>IF($F331="","",IFERROR(INDEX('CAT_CENTROS_COSTO'!$F$4:$F$28,MATCH($F331,'CAT_CENTROS_COSTO'!$A$4:$A$28,0)),"(sin catálogo)"))</f>
        <v/>
      </c>
      <c r="Y331" s="24">
        <f>IF($F331="","",IFERROR(INDEX('CAT_CENTROS_COSTO'!$D$4:$D$28,MATCH($F331,'CAT_CENTROS_COSTO'!$A$4:$A$28,0)),"(sin catálogo)"))</f>
        <v/>
      </c>
      <c r="Z331" s="24">
        <f>IF($F331="","",IF((IFERROR(INDEX('CAT_CENTROS_COSTO'!$E$4:$E$28,MATCH($F331,'CAT_CENTROS_COSTO'!$A$4:$A$28,0)),""))&lt;&gt;"",IFERROR(INDEX('CAT_CENTROS_COSTO'!$E$4:$E$28,MATCH($F331,'CAT_CENTROS_COSTO'!$A$4:$A$28,0)),""),$Y331))</f>
        <v/>
      </c>
      <c r="AA331" s="24">
        <f>IF($F331="","",IFERROR(INDEX('CAT_CENTROS_COSTO'!$G$4:$G$28,MATCH($F331,'CAT_CENTROS_COSTO'!$A$4:$A$28,0)),"(sin catálogo)"))</f>
        <v/>
      </c>
      <c r="AB331" s="24">
        <f>IF($G331="","",IFERROR(INDEX('CAT_PUESTOS'!$B$4:$B$23,MATCH($G331,'CAT_PUESTOS'!$A$4:$A$23,0)),"(sin catálogo)"))</f>
        <v/>
      </c>
      <c r="AC331" s="24">
        <f>IF($H331="","",IFERROR(INDEX('CAT_ACTIVIDADES'!$B$4:$B$26,MATCH($H331,'CAT_ACTIVIDADES'!$A$4:$A$26,0)),"(sin catálogo)"))</f>
        <v/>
      </c>
      <c r="AD331" s="26">
        <f>IF($J331="","",TODAY()-$J331)</f>
        <v/>
      </c>
      <c r="AE331" s="26">
        <f>IF($J331="","",IF($J331&lt;=TODAY(),COUNTIFS(cal_fechas,"&gt;="&amp;$J331,cal_fechas,"&lt;"&amp;TODAY(),cal_habil,"sí"),-COUNTIFS(cal_fechas,"&gt;="&amp;TODAY(),cal_fechas,"&lt;"&amp;$J331,cal_habil,"sí")))</f>
        <v/>
      </c>
      <c r="AF331" s="24">
        <f>IF($AE331="","",IF($AE331&lt;0,"FUTURO",IF($AE331&gt;p_dias_backlog_max,"BACKLOG","MES CORRIENTE")))</f>
        <v/>
      </c>
      <c r="AG331" s="24">
        <f>IF($AE331="",FALSE,AND($AE331&gt;p_dias_backlog_min,$AE331&lt;=p_dias_backlog_max))</f>
        <v/>
      </c>
      <c r="AH331" s="4" t="n"/>
      <c r="AI331" s="24">
        <f>IF($AH331="","",IF((IFERROR(INDEX('ASIGNACIONES'!$J$4:$J$451,MATCH($O331&amp;"|"&amp;$S331&amp;"|"&amp;$AH331,'ASIGNACIONES'!$N$4:$N$451,0)),""))=0,"",IFERROR(INDEX('ASIGNACIONES'!$J$4:$J$451,MATCH($O331&amp;"|"&amp;$S331&amp;"|"&amp;$AH331,'ASIGNACIONES'!$N$4:$N$451,0)),"")))</f>
        <v/>
      </c>
      <c r="AJ331" s="42">
        <f>IF($AH331="","",SUMIFS('ORDENES'!$M$4:$M$1203,'ORDENES'!$AH$4:$AH$1203,$AH331,'ORDENES'!$O$4:$O$1203,$O331,'ORDENES'!$S$4:$S$1203,$S331))</f>
        <v/>
      </c>
      <c r="AK331" s="42">
        <f>IF($AJ331="","",p_factor_productividad*IFERROR(INDEX('ASIGNACIONES'!$M$4:$M$451,MATCH($O331&amp;"|"&amp;$S331&amp;"|"&amp;$AH331,'ASIGNACIONES'!$N$4:$N$451,0)),0)-$AJ331)</f>
        <v/>
      </c>
      <c r="AL331" s="32">
        <f>IF($A331="","",IFERROR(INDEX('2_IMPORTAR_EJECUCION'!$F$9:$F$1208,MATCH($AU331,'2_IMPORTAR_EJECUCION'!$J$9:$J$1208,0)),0))</f>
        <v/>
      </c>
      <c r="AM331" s="32">
        <f>IF($A331="","",MAX(0,IFERROR(INDEX('2_IMPORTAR_EJECUCION'!$H$9:$H$1208,MATCH($AU331,'2_IMPORTAR_EJECUCION'!$J$9:$J$1208,0)),0)-$AL331))</f>
        <v/>
      </c>
      <c r="AN331" s="32">
        <f>IF($A331="","",$AL331+$AM331)</f>
        <v/>
      </c>
      <c r="AO331" s="24">
        <f>IF($A331="","",IF(OR((IFERROR(INDEX('CAT_ACTIVIDADES'!$D$4:$D$26,MATCH($H331,'CAT_ACTIVIDADES'!$A$4:$A$26,0)),""))=0,(IFERROR(INDEX('CAT_ACTIVIDADES'!$D$4:$D$26,MATCH($H331,'CAT_ACTIVIDADES'!$A$4:$A$26,0)),""))=""),"SIN CLASIFICAR",IFERROR(INDEX('CAT_ACTIVIDADES'!$D$4:$D$26,MATCH($H331,'CAT_ACTIVIDADES'!$A$4:$A$26,0)),"")))</f>
        <v/>
      </c>
      <c r="AP331" s="4" t="n"/>
      <c r="AQ331" s="4" t="n"/>
      <c r="AR331" s="4" t="n"/>
      <c r="AS331" s="24">
        <f>IF($AR331="","",HYPERLINK(p_ruta_base_checklists&amp;$AR331,"abrir"))</f>
        <v/>
      </c>
      <c r="AT331" s="4" t="n"/>
      <c r="AU331" s="24">
        <f>IF($A331="","",$A331&amp;IF($B331="","0010",$B331))</f>
        <v/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41" t="n"/>
      <c r="K332" s="5" t="n"/>
      <c r="L332" s="18" t="n"/>
      <c r="M332" s="24">
        <f>IF($A332="","",IFERROR(INDEX('AJUSTES'!$B$4:$B$303,MATCH($AU332,'AJUSTES'!$A$4:$A$303,0)),IF($K332="","",$K332)))</f>
        <v/>
      </c>
      <c r="N332" s="24">
        <f>IF($A332="","",IFERROR(INDEX('CAT_ESTADOS_ERP'!$B$4:$B$22,MATCH(IFERROR(INDEX('2_IMPORTAR_EJECUCION'!$C$9:$C$1208,MATCH($AU332,'2_IMPORTAR_EJECUCION'!$J$9:$J$1208,0)),""),'CAT_ESTADOS_ERP'!$A$4:$A$22,0)),"Pendiente"))</f>
        <v/>
      </c>
      <c r="O332" s="24">
        <f>IF($J332="","",YEAR($J332+4-WEEKDAY($J332,2))&amp;"-S"&amp;TEXT(_xlfn.ISOWEEKNUM($J332),"00"))</f>
        <v/>
      </c>
      <c r="P332" s="24">
        <f>IF($J332="","",YEAR($J332))</f>
        <v/>
      </c>
      <c r="Q332" s="24">
        <f>IF($J332="","",MONTH($J332))</f>
        <v/>
      </c>
      <c r="R332" s="24">
        <f>IF($J332="","",$P332&amp;"-"&amp;TEXT($Q332,"00"))</f>
        <v/>
      </c>
      <c r="S332" s="24">
        <f>IF($J332="","",INDEX(lista_dias,WEEKDAY($J332,2)))</f>
        <v/>
      </c>
      <c r="T332" s="24">
        <f>IF($J332="","",IFERROR(INDEX('CALENDARIO'!$C$15:$C$214,MATCH(TEXT($J332,"yyyy-mm-dd")&amp;"|"&amp;$Y332&amp;"|"&amp;$Z332,'CALENDARIO'!$G$15:$G$214,0)),IFERROR(INDEX('CALENDARIO'!$C$15:$C$214,MATCH(TEXT($J332,"yyyy-mm-dd")&amp;"|"&amp;$Y332&amp;"|",'CALENDARIO'!$G$15:$G$214,0)),IFERROR(INDEX('CALENDARIO'!$C$15:$C$214,MATCH(TEXT($J332,"yyyy-mm-dd")&amp;"||",'CALENDARIO'!$G$15:$G$214,0)),INDEX(patronHabil,WEEKDAY($J332,2))))))</f>
        <v/>
      </c>
      <c r="U332" s="24">
        <f>IF($I332="","",IFERROR(INDEX('CAT_TIPOS_OT'!$C$4:$C$23,MATCH($I332,'CAT_TIPOS_OT'!$A$4:$A$23,0)),"sin_clasificar"))</f>
        <v/>
      </c>
      <c r="V332" s="24">
        <f>IF($I332="","",IF(IFERROR(INDEX('CAT_TIPOS_OT'!$D$4:$D$23,MATCH($I332,'CAT_TIPOS_OT'!$A$4:$A$23,0)),"SIN CLASIFICAR")="","SIN CLASIFICAR",IFERROR(INDEX('CAT_TIPOS_OT'!$D$4:$D$23,MATCH($I332,'CAT_TIPOS_OT'!$A$4:$A$23,0)),"SIN CLASIFICAR")))</f>
        <v/>
      </c>
      <c r="W332" s="24">
        <f>IF($H332="","",IF(IFERROR(INDEX('CAT_ACTIVIDADES'!$F$4:$F$26,MATCH($H332,'CAT_ACTIVIDADES'!$A$4:$A$26,0)),"")=0,"",IFERROR(INDEX('CAT_ACTIVIDADES'!$F$4:$F$26,MATCH($H332,'CAT_ACTIVIDADES'!$A$4:$A$26,0)),"")))</f>
        <v/>
      </c>
      <c r="X332" s="24">
        <f>IF($F332="","",IFERROR(INDEX('CAT_CENTROS_COSTO'!$F$4:$F$28,MATCH($F332,'CAT_CENTROS_COSTO'!$A$4:$A$28,0)),"(sin catálogo)"))</f>
        <v/>
      </c>
      <c r="Y332" s="24">
        <f>IF($F332="","",IFERROR(INDEX('CAT_CENTROS_COSTO'!$D$4:$D$28,MATCH($F332,'CAT_CENTROS_COSTO'!$A$4:$A$28,0)),"(sin catálogo)"))</f>
        <v/>
      </c>
      <c r="Z332" s="24">
        <f>IF($F332="","",IF((IFERROR(INDEX('CAT_CENTROS_COSTO'!$E$4:$E$28,MATCH($F332,'CAT_CENTROS_COSTO'!$A$4:$A$28,0)),""))&lt;&gt;"",IFERROR(INDEX('CAT_CENTROS_COSTO'!$E$4:$E$28,MATCH($F332,'CAT_CENTROS_COSTO'!$A$4:$A$28,0)),""),$Y332))</f>
        <v/>
      </c>
      <c r="AA332" s="24">
        <f>IF($F332="","",IFERROR(INDEX('CAT_CENTROS_COSTO'!$G$4:$G$28,MATCH($F332,'CAT_CENTROS_COSTO'!$A$4:$A$28,0)),"(sin catálogo)"))</f>
        <v/>
      </c>
      <c r="AB332" s="24">
        <f>IF($G332="","",IFERROR(INDEX('CAT_PUESTOS'!$B$4:$B$23,MATCH($G332,'CAT_PUESTOS'!$A$4:$A$23,0)),"(sin catálogo)"))</f>
        <v/>
      </c>
      <c r="AC332" s="24">
        <f>IF($H332="","",IFERROR(INDEX('CAT_ACTIVIDADES'!$B$4:$B$26,MATCH($H332,'CAT_ACTIVIDADES'!$A$4:$A$26,0)),"(sin catálogo)"))</f>
        <v/>
      </c>
      <c r="AD332" s="26">
        <f>IF($J332="","",TODAY()-$J332)</f>
        <v/>
      </c>
      <c r="AE332" s="26">
        <f>IF($J332="","",IF($J332&lt;=TODAY(),COUNTIFS(cal_fechas,"&gt;="&amp;$J332,cal_fechas,"&lt;"&amp;TODAY(),cal_habil,"sí"),-COUNTIFS(cal_fechas,"&gt;="&amp;TODAY(),cal_fechas,"&lt;"&amp;$J332,cal_habil,"sí")))</f>
        <v/>
      </c>
      <c r="AF332" s="24">
        <f>IF($AE332="","",IF($AE332&lt;0,"FUTURO",IF($AE332&gt;p_dias_backlog_max,"BACKLOG","MES CORRIENTE")))</f>
        <v/>
      </c>
      <c r="AG332" s="24">
        <f>IF($AE332="",FALSE,AND($AE332&gt;p_dias_backlog_min,$AE332&lt;=p_dias_backlog_max))</f>
        <v/>
      </c>
      <c r="AH332" s="4" t="n"/>
      <c r="AI332" s="24">
        <f>IF($AH332="","",IF((IFERROR(INDEX('ASIGNACIONES'!$J$4:$J$451,MATCH($O332&amp;"|"&amp;$S332&amp;"|"&amp;$AH332,'ASIGNACIONES'!$N$4:$N$451,0)),""))=0,"",IFERROR(INDEX('ASIGNACIONES'!$J$4:$J$451,MATCH($O332&amp;"|"&amp;$S332&amp;"|"&amp;$AH332,'ASIGNACIONES'!$N$4:$N$451,0)),"")))</f>
        <v/>
      </c>
      <c r="AJ332" s="42">
        <f>IF($AH332="","",SUMIFS('ORDENES'!$M$4:$M$1203,'ORDENES'!$AH$4:$AH$1203,$AH332,'ORDENES'!$O$4:$O$1203,$O332,'ORDENES'!$S$4:$S$1203,$S332))</f>
        <v/>
      </c>
      <c r="AK332" s="42">
        <f>IF($AJ332="","",p_factor_productividad*IFERROR(INDEX('ASIGNACIONES'!$M$4:$M$451,MATCH($O332&amp;"|"&amp;$S332&amp;"|"&amp;$AH332,'ASIGNACIONES'!$N$4:$N$451,0)),0)-$AJ332)</f>
        <v/>
      </c>
      <c r="AL332" s="32">
        <f>IF($A332="","",IFERROR(INDEX('2_IMPORTAR_EJECUCION'!$F$9:$F$1208,MATCH($AU332,'2_IMPORTAR_EJECUCION'!$J$9:$J$1208,0)),0))</f>
        <v/>
      </c>
      <c r="AM332" s="32">
        <f>IF($A332="","",MAX(0,IFERROR(INDEX('2_IMPORTAR_EJECUCION'!$H$9:$H$1208,MATCH($AU332,'2_IMPORTAR_EJECUCION'!$J$9:$J$1208,0)),0)-$AL332))</f>
        <v/>
      </c>
      <c r="AN332" s="32">
        <f>IF($A332="","",$AL332+$AM332)</f>
        <v/>
      </c>
      <c r="AO332" s="24">
        <f>IF($A332="","",IF(OR((IFERROR(INDEX('CAT_ACTIVIDADES'!$D$4:$D$26,MATCH($H332,'CAT_ACTIVIDADES'!$A$4:$A$26,0)),""))=0,(IFERROR(INDEX('CAT_ACTIVIDADES'!$D$4:$D$26,MATCH($H332,'CAT_ACTIVIDADES'!$A$4:$A$26,0)),""))=""),"SIN CLASIFICAR",IFERROR(INDEX('CAT_ACTIVIDADES'!$D$4:$D$26,MATCH($H332,'CAT_ACTIVIDADES'!$A$4:$A$26,0)),"")))</f>
        <v/>
      </c>
      <c r="AP332" s="4" t="n"/>
      <c r="AQ332" s="4" t="n"/>
      <c r="AR332" s="4" t="n"/>
      <c r="AS332" s="24">
        <f>IF($AR332="","",HYPERLINK(p_ruta_base_checklists&amp;$AR332,"abrir"))</f>
        <v/>
      </c>
      <c r="AT332" s="4" t="n"/>
      <c r="AU332" s="24">
        <f>IF($A332="","",$A332&amp;IF($B332="","0010",$B332))</f>
        <v/>
      </c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41" t="n"/>
      <c r="K333" s="5" t="n"/>
      <c r="L333" s="18" t="n"/>
      <c r="M333" s="24">
        <f>IF($A333="","",IFERROR(INDEX('AJUSTES'!$B$4:$B$303,MATCH($AU333,'AJUSTES'!$A$4:$A$303,0)),IF($K333="","",$K333)))</f>
        <v/>
      </c>
      <c r="N333" s="24">
        <f>IF($A333="","",IFERROR(INDEX('CAT_ESTADOS_ERP'!$B$4:$B$22,MATCH(IFERROR(INDEX('2_IMPORTAR_EJECUCION'!$C$9:$C$1208,MATCH($AU333,'2_IMPORTAR_EJECUCION'!$J$9:$J$1208,0)),""),'CAT_ESTADOS_ERP'!$A$4:$A$22,0)),"Pendiente"))</f>
        <v/>
      </c>
      <c r="O333" s="24">
        <f>IF($J333="","",YEAR($J333+4-WEEKDAY($J333,2))&amp;"-S"&amp;TEXT(_xlfn.ISOWEEKNUM($J333),"00"))</f>
        <v/>
      </c>
      <c r="P333" s="24">
        <f>IF($J333="","",YEAR($J333))</f>
        <v/>
      </c>
      <c r="Q333" s="24">
        <f>IF($J333="","",MONTH($J333))</f>
        <v/>
      </c>
      <c r="R333" s="24">
        <f>IF($J333="","",$P333&amp;"-"&amp;TEXT($Q333,"00"))</f>
        <v/>
      </c>
      <c r="S333" s="24">
        <f>IF($J333="","",INDEX(lista_dias,WEEKDAY($J333,2)))</f>
        <v/>
      </c>
      <c r="T333" s="24">
        <f>IF($J333="","",IFERROR(INDEX('CALENDARIO'!$C$15:$C$214,MATCH(TEXT($J333,"yyyy-mm-dd")&amp;"|"&amp;$Y333&amp;"|"&amp;$Z333,'CALENDARIO'!$G$15:$G$214,0)),IFERROR(INDEX('CALENDARIO'!$C$15:$C$214,MATCH(TEXT($J333,"yyyy-mm-dd")&amp;"|"&amp;$Y333&amp;"|",'CALENDARIO'!$G$15:$G$214,0)),IFERROR(INDEX('CALENDARIO'!$C$15:$C$214,MATCH(TEXT($J333,"yyyy-mm-dd")&amp;"||",'CALENDARIO'!$G$15:$G$214,0)),INDEX(patronHabil,WEEKDAY($J333,2))))))</f>
        <v/>
      </c>
      <c r="U333" s="24">
        <f>IF($I333="","",IFERROR(INDEX('CAT_TIPOS_OT'!$C$4:$C$23,MATCH($I333,'CAT_TIPOS_OT'!$A$4:$A$23,0)),"sin_clasificar"))</f>
        <v/>
      </c>
      <c r="V333" s="24">
        <f>IF($I333="","",IF(IFERROR(INDEX('CAT_TIPOS_OT'!$D$4:$D$23,MATCH($I333,'CAT_TIPOS_OT'!$A$4:$A$23,0)),"SIN CLASIFICAR")="","SIN CLASIFICAR",IFERROR(INDEX('CAT_TIPOS_OT'!$D$4:$D$23,MATCH($I333,'CAT_TIPOS_OT'!$A$4:$A$23,0)),"SIN CLASIFICAR")))</f>
        <v/>
      </c>
      <c r="W333" s="24">
        <f>IF($H333="","",IF(IFERROR(INDEX('CAT_ACTIVIDADES'!$F$4:$F$26,MATCH($H333,'CAT_ACTIVIDADES'!$A$4:$A$26,0)),"")=0,"",IFERROR(INDEX('CAT_ACTIVIDADES'!$F$4:$F$26,MATCH($H333,'CAT_ACTIVIDADES'!$A$4:$A$26,0)),"")))</f>
        <v/>
      </c>
      <c r="X333" s="24">
        <f>IF($F333="","",IFERROR(INDEX('CAT_CENTROS_COSTO'!$F$4:$F$28,MATCH($F333,'CAT_CENTROS_COSTO'!$A$4:$A$28,0)),"(sin catálogo)"))</f>
        <v/>
      </c>
      <c r="Y333" s="24">
        <f>IF($F333="","",IFERROR(INDEX('CAT_CENTROS_COSTO'!$D$4:$D$28,MATCH($F333,'CAT_CENTROS_COSTO'!$A$4:$A$28,0)),"(sin catálogo)"))</f>
        <v/>
      </c>
      <c r="Z333" s="24">
        <f>IF($F333="","",IF((IFERROR(INDEX('CAT_CENTROS_COSTO'!$E$4:$E$28,MATCH($F333,'CAT_CENTROS_COSTO'!$A$4:$A$28,0)),""))&lt;&gt;"",IFERROR(INDEX('CAT_CENTROS_COSTO'!$E$4:$E$28,MATCH($F333,'CAT_CENTROS_COSTO'!$A$4:$A$28,0)),""),$Y333))</f>
        <v/>
      </c>
      <c r="AA333" s="24">
        <f>IF($F333="","",IFERROR(INDEX('CAT_CENTROS_COSTO'!$G$4:$G$28,MATCH($F333,'CAT_CENTROS_COSTO'!$A$4:$A$28,0)),"(sin catálogo)"))</f>
        <v/>
      </c>
      <c r="AB333" s="24">
        <f>IF($G333="","",IFERROR(INDEX('CAT_PUESTOS'!$B$4:$B$23,MATCH($G333,'CAT_PUESTOS'!$A$4:$A$23,0)),"(sin catálogo)"))</f>
        <v/>
      </c>
      <c r="AC333" s="24">
        <f>IF($H333="","",IFERROR(INDEX('CAT_ACTIVIDADES'!$B$4:$B$26,MATCH($H333,'CAT_ACTIVIDADES'!$A$4:$A$26,0)),"(sin catálogo)"))</f>
        <v/>
      </c>
      <c r="AD333" s="26">
        <f>IF($J333="","",TODAY()-$J333)</f>
        <v/>
      </c>
      <c r="AE333" s="26">
        <f>IF($J333="","",IF($J333&lt;=TODAY(),COUNTIFS(cal_fechas,"&gt;="&amp;$J333,cal_fechas,"&lt;"&amp;TODAY(),cal_habil,"sí"),-COUNTIFS(cal_fechas,"&gt;="&amp;TODAY(),cal_fechas,"&lt;"&amp;$J333,cal_habil,"sí")))</f>
        <v/>
      </c>
      <c r="AF333" s="24">
        <f>IF($AE333="","",IF($AE333&lt;0,"FUTURO",IF($AE333&gt;p_dias_backlog_max,"BACKLOG","MES CORRIENTE")))</f>
        <v/>
      </c>
      <c r="AG333" s="24">
        <f>IF($AE333="",FALSE,AND($AE333&gt;p_dias_backlog_min,$AE333&lt;=p_dias_backlog_max))</f>
        <v/>
      </c>
      <c r="AH333" s="4" t="n"/>
      <c r="AI333" s="24">
        <f>IF($AH333="","",IF((IFERROR(INDEX('ASIGNACIONES'!$J$4:$J$451,MATCH($O333&amp;"|"&amp;$S333&amp;"|"&amp;$AH333,'ASIGNACIONES'!$N$4:$N$451,0)),""))=0,"",IFERROR(INDEX('ASIGNACIONES'!$J$4:$J$451,MATCH($O333&amp;"|"&amp;$S333&amp;"|"&amp;$AH333,'ASIGNACIONES'!$N$4:$N$451,0)),"")))</f>
        <v/>
      </c>
      <c r="AJ333" s="42">
        <f>IF($AH333="","",SUMIFS('ORDENES'!$M$4:$M$1203,'ORDENES'!$AH$4:$AH$1203,$AH333,'ORDENES'!$O$4:$O$1203,$O333,'ORDENES'!$S$4:$S$1203,$S333))</f>
        <v/>
      </c>
      <c r="AK333" s="42">
        <f>IF($AJ333="","",p_factor_productividad*IFERROR(INDEX('ASIGNACIONES'!$M$4:$M$451,MATCH($O333&amp;"|"&amp;$S333&amp;"|"&amp;$AH333,'ASIGNACIONES'!$N$4:$N$451,0)),0)-$AJ333)</f>
        <v/>
      </c>
      <c r="AL333" s="32">
        <f>IF($A333="","",IFERROR(INDEX('2_IMPORTAR_EJECUCION'!$F$9:$F$1208,MATCH($AU333,'2_IMPORTAR_EJECUCION'!$J$9:$J$1208,0)),0))</f>
        <v/>
      </c>
      <c r="AM333" s="32">
        <f>IF($A333="","",MAX(0,IFERROR(INDEX('2_IMPORTAR_EJECUCION'!$H$9:$H$1208,MATCH($AU333,'2_IMPORTAR_EJECUCION'!$J$9:$J$1208,0)),0)-$AL333))</f>
        <v/>
      </c>
      <c r="AN333" s="32">
        <f>IF($A333="","",$AL333+$AM333)</f>
        <v/>
      </c>
      <c r="AO333" s="24">
        <f>IF($A333="","",IF(OR((IFERROR(INDEX('CAT_ACTIVIDADES'!$D$4:$D$26,MATCH($H333,'CAT_ACTIVIDADES'!$A$4:$A$26,0)),""))=0,(IFERROR(INDEX('CAT_ACTIVIDADES'!$D$4:$D$26,MATCH($H333,'CAT_ACTIVIDADES'!$A$4:$A$26,0)),""))=""),"SIN CLASIFICAR",IFERROR(INDEX('CAT_ACTIVIDADES'!$D$4:$D$26,MATCH($H333,'CAT_ACTIVIDADES'!$A$4:$A$26,0)),"")))</f>
        <v/>
      </c>
      <c r="AP333" s="4" t="n"/>
      <c r="AQ333" s="4" t="n"/>
      <c r="AR333" s="4" t="n"/>
      <c r="AS333" s="24">
        <f>IF($AR333="","",HYPERLINK(p_ruta_base_checklists&amp;$AR333,"abrir"))</f>
        <v/>
      </c>
      <c r="AT333" s="4" t="n"/>
      <c r="AU333" s="24">
        <f>IF($A333="","",$A333&amp;IF($B333="","0010",$B333))</f>
        <v/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41" t="n"/>
      <c r="K334" s="5" t="n"/>
      <c r="L334" s="18" t="n"/>
      <c r="M334" s="24">
        <f>IF($A334="","",IFERROR(INDEX('AJUSTES'!$B$4:$B$303,MATCH($AU334,'AJUSTES'!$A$4:$A$303,0)),IF($K334="","",$K334)))</f>
        <v/>
      </c>
      <c r="N334" s="24">
        <f>IF($A334="","",IFERROR(INDEX('CAT_ESTADOS_ERP'!$B$4:$B$22,MATCH(IFERROR(INDEX('2_IMPORTAR_EJECUCION'!$C$9:$C$1208,MATCH($AU334,'2_IMPORTAR_EJECUCION'!$J$9:$J$1208,0)),""),'CAT_ESTADOS_ERP'!$A$4:$A$22,0)),"Pendiente"))</f>
        <v/>
      </c>
      <c r="O334" s="24">
        <f>IF($J334="","",YEAR($J334+4-WEEKDAY($J334,2))&amp;"-S"&amp;TEXT(_xlfn.ISOWEEKNUM($J334),"00"))</f>
        <v/>
      </c>
      <c r="P334" s="24">
        <f>IF($J334="","",YEAR($J334))</f>
        <v/>
      </c>
      <c r="Q334" s="24">
        <f>IF($J334="","",MONTH($J334))</f>
        <v/>
      </c>
      <c r="R334" s="24">
        <f>IF($J334="","",$P334&amp;"-"&amp;TEXT($Q334,"00"))</f>
        <v/>
      </c>
      <c r="S334" s="24">
        <f>IF($J334="","",INDEX(lista_dias,WEEKDAY($J334,2)))</f>
        <v/>
      </c>
      <c r="T334" s="24">
        <f>IF($J334="","",IFERROR(INDEX('CALENDARIO'!$C$15:$C$214,MATCH(TEXT($J334,"yyyy-mm-dd")&amp;"|"&amp;$Y334&amp;"|"&amp;$Z334,'CALENDARIO'!$G$15:$G$214,0)),IFERROR(INDEX('CALENDARIO'!$C$15:$C$214,MATCH(TEXT($J334,"yyyy-mm-dd")&amp;"|"&amp;$Y334&amp;"|",'CALENDARIO'!$G$15:$G$214,0)),IFERROR(INDEX('CALENDARIO'!$C$15:$C$214,MATCH(TEXT($J334,"yyyy-mm-dd")&amp;"||",'CALENDARIO'!$G$15:$G$214,0)),INDEX(patronHabil,WEEKDAY($J334,2))))))</f>
        <v/>
      </c>
      <c r="U334" s="24">
        <f>IF($I334="","",IFERROR(INDEX('CAT_TIPOS_OT'!$C$4:$C$23,MATCH($I334,'CAT_TIPOS_OT'!$A$4:$A$23,0)),"sin_clasificar"))</f>
        <v/>
      </c>
      <c r="V334" s="24">
        <f>IF($I334="","",IF(IFERROR(INDEX('CAT_TIPOS_OT'!$D$4:$D$23,MATCH($I334,'CAT_TIPOS_OT'!$A$4:$A$23,0)),"SIN CLASIFICAR")="","SIN CLASIFICAR",IFERROR(INDEX('CAT_TIPOS_OT'!$D$4:$D$23,MATCH($I334,'CAT_TIPOS_OT'!$A$4:$A$23,0)),"SIN CLASIFICAR")))</f>
        <v/>
      </c>
      <c r="W334" s="24">
        <f>IF($H334="","",IF(IFERROR(INDEX('CAT_ACTIVIDADES'!$F$4:$F$26,MATCH($H334,'CAT_ACTIVIDADES'!$A$4:$A$26,0)),"")=0,"",IFERROR(INDEX('CAT_ACTIVIDADES'!$F$4:$F$26,MATCH($H334,'CAT_ACTIVIDADES'!$A$4:$A$26,0)),"")))</f>
        <v/>
      </c>
      <c r="X334" s="24">
        <f>IF($F334="","",IFERROR(INDEX('CAT_CENTROS_COSTO'!$F$4:$F$28,MATCH($F334,'CAT_CENTROS_COSTO'!$A$4:$A$28,0)),"(sin catálogo)"))</f>
        <v/>
      </c>
      <c r="Y334" s="24">
        <f>IF($F334="","",IFERROR(INDEX('CAT_CENTROS_COSTO'!$D$4:$D$28,MATCH($F334,'CAT_CENTROS_COSTO'!$A$4:$A$28,0)),"(sin catálogo)"))</f>
        <v/>
      </c>
      <c r="Z334" s="24">
        <f>IF($F334="","",IF((IFERROR(INDEX('CAT_CENTROS_COSTO'!$E$4:$E$28,MATCH($F334,'CAT_CENTROS_COSTO'!$A$4:$A$28,0)),""))&lt;&gt;"",IFERROR(INDEX('CAT_CENTROS_COSTO'!$E$4:$E$28,MATCH($F334,'CAT_CENTROS_COSTO'!$A$4:$A$28,0)),""),$Y334))</f>
        <v/>
      </c>
      <c r="AA334" s="24">
        <f>IF($F334="","",IFERROR(INDEX('CAT_CENTROS_COSTO'!$G$4:$G$28,MATCH($F334,'CAT_CENTROS_COSTO'!$A$4:$A$28,0)),"(sin catálogo)"))</f>
        <v/>
      </c>
      <c r="AB334" s="24">
        <f>IF($G334="","",IFERROR(INDEX('CAT_PUESTOS'!$B$4:$B$23,MATCH($G334,'CAT_PUESTOS'!$A$4:$A$23,0)),"(sin catálogo)"))</f>
        <v/>
      </c>
      <c r="AC334" s="24">
        <f>IF($H334="","",IFERROR(INDEX('CAT_ACTIVIDADES'!$B$4:$B$26,MATCH($H334,'CAT_ACTIVIDADES'!$A$4:$A$26,0)),"(sin catálogo)"))</f>
        <v/>
      </c>
      <c r="AD334" s="26">
        <f>IF($J334="","",TODAY()-$J334)</f>
        <v/>
      </c>
      <c r="AE334" s="26">
        <f>IF($J334="","",IF($J334&lt;=TODAY(),COUNTIFS(cal_fechas,"&gt;="&amp;$J334,cal_fechas,"&lt;"&amp;TODAY(),cal_habil,"sí"),-COUNTIFS(cal_fechas,"&gt;="&amp;TODAY(),cal_fechas,"&lt;"&amp;$J334,cal_habil,"sí")))</f>
        <v/>
      </c>
      <c r="AF334" s="24">
        <f>IF($AE334="","",IF($AE334&lt;0,"FUTURO",IF($AE334&gt;p_dias_backlog_max,"BACKLOG","MES CORRIENTE")))</f>
        <v/>
      </c>
      <c r="AG334" s="24">
        <f>IF($AE334="",FALSE,AND($AE334&gt;p_dias_backlog_min,$AE334&lt;=p_dias_backlog_max))</f>
        <v/>
      </c>
      <c r="AH334" s="4" t="n"/>
      <c r="AI334" s="24">
        <f>IF($AH334="","",IF((IFERROR(INDEX('ASIGNACIONES'!$J$4:$J$451,MATCH($O334&amp;"|"&amp;$S334&amp;"|"&amp;$AH334,'ASIGNACIONES'!$N$4:$N$451,0)),""))=0,"",IFERROR(INDEX('ASIGNACIONES'!$J$4:$J$451,MATCH($O334&amp;"|"&amp;$S334&amp;"|"&amp;$AH334,'ASIGNACIONES'!$N$4:$N$451,0)),"")))</f>
        <v/>
      </c>
      <c r="AJ334" s="42">
        <f>IF($AH334="","",SUMIFS('ORDENES'!$M$4:$M$1203,'ORDENES'!$AH$4:$AH$1203,$AH334,'ORDENES'!$O$4:$O$1203,$O334,'ORDENES'!$S$4:$S$1203,$S334))</f>
        <v/>
      </c>
      <c r="AK334" s="42">
        <f>IF($AJ334="","",p_factor_productividad*IFERROR(INDEX('ASIGNACIONES'!$M$4:$M$451,MATCH($O334&amp;"|"&amp;$S334&amp;"|"&amp;$AH334,'ASIGNACIONES'!$N$4:$N$451,0)),0)-$AJ334)</f>
        <v/>
      </c>
      <c r="AL334" s="32">
        <f>IF($A334="","",IFERROR(INDEX('2_IMPORTAR_EJECUCION'!$F$9:$F$1208,MATCH($AU334,'2_IMPORTAR_EJECUCION'!$J$9:$J$1208,0)),0))</f>
        <v/>
      </c>
      <c r="AM334" s="32">
        <f>IF($A334="","",MAX(0,IFERROR(INDEX('2_IMPORTAR_EJECUCION'!$H$9:$H$1208,MATCH($AU334,'2_IMPORTAR_EJECUCION'!$J$9:$J$1208,0)),0)-$AL334))</f>
        <v/>
      </c>
      <c r="AN334" s="32">
        <f>IF($A334="","",$AL334+$AM334)</f>
        <v/>
      </c>
      <c r="AO334" s="24">
        <f>IF($A334="","",IF(OR((IFERROR(INDEX('CAT_ACTIVIDADES'!$D$4:$D$26,MATCH($H334,'CAT_ACTIVIDADES'!$A$4:$A$26,0)),""))=0,(IFERROR(INDEX('CAT_ACTIVIDADES'!$D$4:$D$26,MATCH($H334,'CAT_ACTIVIDADES'!$A$4:$A$26,0)),""))=""),"SIN CLASIFICAR",IFERROR(INDEX('CAT_ACTIVIDADES'!$D$4:$D$26,MATCH($H334,'CAT_ACTIVIDADES'!$A$4:$A$26,0)),"")))</f>
        <v/>
      </c>
      <c r="AP334" s="4" t="n"/>
      <c r="AQ334" s="4" t="n"/>
      <c r="AR334" s="4" t="n"/>
      <c r="AS334" s="24">
        <f>IF($AR334="","",HYPERLINK(p_ruta_base_checklists&amp;$AR334,"abrir"))</f>
        <v/>
      </c>
      <c r="AT334" s="4" t="n"/>
      <c r="AU334" s="24">
        <f>IF($A334="","",$A334&amp;IF($B334="","0010",$B334))</f>
        <v/>
      </c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41" t="n"/>
      <c r="K335" s="5" t="n"/>
      <c r="L335" s="18" t="n"/>
      <c r="M335" s="24">
        <f>IF($A335="","",IFERROR(INDEX('AJUSTES'!$B$4:$B$303,MATCH($AU335,'AJUSTES'!$A$4:$A$303,0)),IF($K335="","",$K335)))</f>
        <v/>
      </c>
      <c r="N335" s="24">
        <f>IF($A335="","",IFERROR(INDEX('CAT_ESTADOS_ERP'!$B$4:$B$22,MATCH(IFERROR(INDEX('2_IMPORTAR_EJECUCION'!$C$9:$C$1208,MATCH($AU335,'2_IMPORTAR_EJECUCION'!$J$9:$J$1208,0)),""),'CAT_ESTADOS_ERP'!$A$4:$A$22,0)),"Pendiente"))</f>
        <v/>
      </c>
      <c r="O335" s="24">
        <f>IF($J335="","",YEAR($J335+4-WEEKDAY($J335,2))&amp;"-S"&amp;TEXT(_xlfn.ISOWEEKNUM($J335),"00"))</f>
        <v/>
      </c>
      <c r="P335" s="24">
        <f>IF($J335="","",YEAR($J335))</f>
        <v/>
      </c>
      <c r="Q335" s="24">
        <f>IF($J335="","",MONTH($J335))</f>
        <v/>
      </c>
      <c r="R335" s="24">
        <f>IF($J335="","",$P335&amp;"-"&amp;TEXT($Q335,"00"))</f>
        <v/>
      </c>
      <c r="S335" s="24">
        <f>IF($J335="","",INDEX(lista_dias,WEEKDAY($J335,2)))</f>
        <v/>
      </c>
      <c r="T335" s="24">
        <f>IF($J335="","",IFERROR(INDEX('CALENDARIO'!$C$15:$C$214,MATCH(TEXT($J335,"yyyy-mm-dd")&amp;"|"&amp;$Y335&amp;"|"&amp;$Z335,'CALENDARIO'!$G$15:$G$214,0)),IFERROR(INDEX('CALENDARIO'!$C$15:$C$214,MATCH(TEXT($J335,"yyyy-mm-dd")&amp;"|"&amp;$Y335&amp;"|",'CALENDARIO'!$G$15:$G$214,0)),IFERROR(INDEX('CALENDARIO'!$C$15:$C$214,MATCH(TEXT($J335,"yyyy-mm-dd")&amp;"||",'CALENDARIO'!$G$15:$G$214,0)),INDEX(patronHabil,WEEKDAY($J335,2))))))</f>
        <v/>
      </c>
      <c r="U335" s="24">
        <f>IF($I335="","",IFERROR(INDEX('CAT_TIPOS_OT'!$C$4:$C$23,MATCH($I335,'CAT_TIPOS_OT'!$A$4:$A$23,0)),"sin_clasificar"))</f>
        <v/>
      </c>
      <c r="V335" s="24">
        <f>IF($I335="","",IF(IFERROR(INDEX('CAT_TIPOS_OT'!$D$4:$D$23,MATCH($I335,'CAT_TIPOS_OT'!$A$4:$A$23,0)),"SIN CLASIFICAR")="","SIN CLASIFICAR",IFERROR(INDEX('CAT_TIPOS_OT'!$D$4:$D$23,MATCH($I335,'CAT_TIPOS_OT'!$A$4:$A$23,0)),"SIN CLASIFICAR")))</f>
        <v/>
      </c>
      <c r="W335" s="24">
        <f>IF($H335="","",IF(IFERROR(INDEX('CAT_ACTIVIDADES'!$F$4:$F$26,MATCH($H335,'CAT_ACTIVIDADES'!$A$4:$A$26,0)),"")=0,"",IFERROR(INDEX('CAT_ACTIVIDADES'!$F$4:$F$26,MATCH($H335,'CAT_ACTIVIDADES'!$A$4:$A$26,0)),"")))</f>
        <v/>
      </c>
      <c r="X335" s="24">
        <f>IF($F335="","",IFERROR(INDEX('CAT_CENTROS_COSTO'!$F$4:$F$28,MATCH($F335,'CAT_CENTROS_COSTO'!$A$4:$A$28,0)),"(sin catálogo)"))</f>
        <v/>
      </c>
      <c r="Y335" s="24">
        <f>IF($F335="","",IFERROR(INDEX('CAT_CENTROS_COSTO'!$D$4:$D$28,MATCH($F335,'CAT_CENTROS_COSTO'!$A$4:$A$28,0)),"(sin catálogo)"))</f>
        <v/>
      </c>
      <c r="Z335" s="24">
        <f>IF($F335="","",IF((IFERROR(INDEX('CAT_CENTROS_COSTO'!$E$4:$E$28,MATCH($F335,'CAT_CENTROS_COSTO'!$A$4:$A$28,0)),""))&lt;&gt;"",IFERROR(INDEX('CAT_CENTROS_COSTO'!$E$4:$E$28,MATCH($F335,'CAT_CENTROS_COSTO'!$A$4:$A$28,0)),""),$Y335))</f>
        <v/>
      </c>
      <c r="AA335" s="24">
        <f>IF($F335="","",IFERROR(INDEX('CAT_CENTROS_COSTO'!$G$4:$G$28,MATCH($F335,'CAT_CENTROS_COSTO'!$A$4:$A$28,0)),"(sin catálogo)"))</f>
        <v/>
      </c>
      <c r="AB335" s="24">
        <f>IF($G335="","",IFERROR(INDEX('CAT_PUESTOS'!$B$4:$B$23,MATCH($G335,'CAT_PUESTOS'!$A$4:$A$23,0)),"(sin catálogo)"))</f>
        <v/>
      </c>
      <c r="AC335" s="24">
        <f>IF($H335="","",IFERROR(INDEX('CAT_ACTIVIDADES'!$B$4:$B$26,MATCH($H335,'CAT_ACTIVIDADES'!$A$4:$A$26,0)),"(sin catálogo)"))</f>
        <v/>
      </c>
      <c r="AD335" s="26">
        <f>IF($J335="","",TODAY()-$J335)</f>
        <v/>
      </c>
      <c r="AE335" s="26">
        <f>IF($J335="","",IF($J335&lt;=TODAY(),COUNTIFS(cal_fechas,"&gt;="&amp;$J335,cal_fechas,"&lt;"&amp;TODAY(),cal_habil,"sí"),-COUNTIFS(cal_fechas,"&gt;="&amp;TODAY(),cal_fechas,"&lt;"&amp;$J335,cal_habil,"sí")))</f>
        <v/>
      </c>
      <c r="AF335" s="24">
        <f>IF($AE335="","",IF($AE335&lt;0,"FUTURO",IF($AE335&gt;p_dias_backlog_max,"BACKLOG","MES CORRIENTE")))</f>
        <v/>
      </c>
      <c r="AG335" s="24">
        <f>IF($AE335="",FALSE,AND($AE335&gt;p_dias_backlog_min,$AE335&lt;=p_dias_backlog_max))</f>
        <v/>
      </c>
      <c r="AH335" s="4" t="n"/>
      <c r="AI335" s="24">
        <f>IF($AH335="","",IF((IFERROR(INDEX('ASIGNACIONES'!$J$4:$J$451,MATCH($O335&amp;"|"&amp;$S335&amp;"|"&amp;$AH335,'ASIGNACIONES'!$N$4:$N$451,0)),""))=0,"",IFERROR(INDEX('ASIGNACIONES'!$J$4:$J$451,MATCH($O335&amp;"|"&amp;$S335&amp;"|"&amp;$AH335,'ASIGNACIONES'!$N$4:$N$451,0)),"")))</f>
        <v/>
      </c>
      <c r="AJ335" s="42">
        <f>IF($AH335="","",SUMIFS('ORDENES'!$M$4:$M$1203,'ORDENES'!$AH$4:$AH$1203,$AH335,'ORDENES'!$O$4:$O$1203,$O335,'ORDENES'!$S$4:$S$1203,$S335))</f>
        <v/>
      </c>
      <c r="AK335" s="42">
        <f>IF($AJ335="","",p_factor_productividad*IFERROR(INDEX('ASIGNACIONES'!$M$4:$M$451,MATCH($O335&amp;"|"&amp;$S335&amp;"|"&amp;$AH335,'ASIGNACIONES'!$N$4:$N$451,0)),0)-$AJ335)</f>
        <v/>
      </c>
      <c r="AL335" s="32">
        <f>IF($A335="","",IFERROR(INDEX('2_IMPORTAR_EJECUCION'!$F$9:$F$1208,MATCH($AU335,'2_IMPORTAR_EJECUCION'!$J$9:$J$1208,0)),0))</f>
        <v/>
      </c>
      <c r="AM335" s="32">
        <f>IF($A335="","",MAX(0,IFERROR(INDEX('2_IMPORTAR_EJECUCION'!$H$9:$H$1208,MATCH($AU335,'2_IMPORTAR_EJECUCION'!$J$9:$J$1208,0)),0)-$AL335))</f>
        <v/>
      </c>
      <c r="AN335" s="32">
        <f>IF($A335="","",$AL335+$AM335)</f>
        <v/>
      </c>
      <c r="AO335" s="24">
        <f>IF($A335="","",IF(OR((IFERROR(INDEX('CAT_ACTIVIDADES'!$D$4:$D$26,MATCH($H335,'CAT_ACTIVIDADES'!$A$4:$A$26,0)),""))=0,(IFERROR(INDEX('CAT_ACTIVIDADES'!$D$4:$D$26,MATCH($H335,'CAT_ACTIVIDADES'!$A$4:$A$26,0)),""))=""),"SIN CLASIFICAR",IFERROR(INDEX('CAT_ACTIVIDADES'!$D$4:$D$26,MATCH($H335,'CAT_ACTIVIDADES'!$A$4:$A$26,0)),"")))</f>
        <v/>
      </c>
      <c r="AP335" s="4" t="n"/>
      <c r="AQ335" s="4" t="n"/>
      <c r="AR335" s="4" t="n"/>
      <c r="AS335" s="24">
        <f>IF($AR335="","",HYPERLINK(p_ruta_base_checklists&amp;$AR335,"abrir"))</f>
        <v/>
      </c>
      <c r="AT335" s="4" t="n"/>
      <c r="AU335" s="24">
        <f>IF($A335="","",$A335&amp;IF($B335="","0010",$B335))</f>
        <v/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41" t="n"/>
      <c r="K336" s="5" t="n"/>
      <c r="L336" s="18" t="n"/>
      <c r="M336" s="24">
        <f>IF($A336="","",IFERROR(INDEX('AJUSTES'!$B$4:$B$303,MATCH($AU336,'AJUSTES'!$A$4:$A$303,0)),IF($K336="","",$K336)))</f>
        <v/>
      </c>
      <c r="N336" s="24">
        <f>IF($A336="","",IFERROR(INDEX('CAT_ESTADOS_ERP'!$B$4:$B$22,MATCH(IFERROR(INDEX('2_IMPORTAR_EJECUCION'!$C$9:$C$1208,MATCH($AU336,'2_IMPORTAR_EJECUCION'!$J$9:$J$1208,0)),""),'CAT_ESTADOS_ERP'!$A$4:$A$22,0)),"Pendiente"))</f>
        <v/>
      </c>
      <c r="O336" s="24">
        <f>IF($J336="","",YEAR($J336+4-WEEKDAY($J336,2))&amp;"-S"&amp;TEXT(_xlfn.ISOWEEKNUM($J336),"00"))</f>
        <v/>
      </c>
      <c r="P336" s="24">
        <f>IF($J336="","",YEAR($J336))</f>
        <v/>
      </c>
      <c r="Q336" s="24">
        <f>IF($J336="","",MONTH($J336))</f>
        <v/>
      </c>
      <c r="R336" s="24">
        <f>IF($J336="","",$P336&amp;"-"&amp;TEXT($Q336,"00"))</f>
        <v/>
      </c>
      <c r="S336" s="24">
        <f>IF($J336="","",INDEX(lista_dias,WEEKDAY($J336,2)))</f>
        <v/>
      </c>
      <c r="T336" s="24">
        <f>IF($J336="","",IFERROR(INDEX('CALENDARIO'!$C$15:$C$214,MATCH(TEXT($J336,"yyyy-mm-dd")&amp;"|"&amp;$Y336&amp;"|"&amp;$Z336,'CALENDARIO'!$G$15:$G$214,0)),IFERROR(INDEX('CALENDARIO'!$C$15:$C$214,MATCH(TEXT($J336,"yyyy-mm-dd")&amp;"|"&amp;$Y336&amp;"|",'CALENDARIO'!$G$15:$G$214,0)),IFERROR(INDEX('CALENDARIO'!$C$15:$C$214,MATCH(TEXT($J336,"yyyy-mm-dd")&amp;"||",'CALENDARIO'!$G$15:$G$214,0)),INDEX(patronHabil,WEEKDAY($J336,2))))))</f>
        <v/>
      </c>
      <c r="U336" s="24">
        <f>IF($I336="","",IFERROR(INDEX('CAT_TIPOS_OT'!$C$4:$C$23,MATCH($I336,'CAT_TIPOS_OT'!$A$4:$A$23,0)),"sin_clasificar"))</f>
        <v/>
      </c>
      <c r="V336" s="24">
        <f>IF($I336="","",IF(IFERROR(INDEX('CAT_TIPOS_OT'!$D$4:$D$23,MATCH($I336,'CAT_TIPOS_OT'!$A$4:$A$23,0)),"SIN CLASIFICAR")="","SIN CLASIFICAR",IFERROR(INDEX('CAT_TIPOS_OT'!$D$4:$D$23,MATCH($I336,'CAT_TIPOS_OT'!$A$4:$A$23,0)),"SIN CLASIFICAR")))</f>
        <v/>
      </c>
      <c r="W336" s="24">
        <f>IF($H336="","",IF(IFERROR(INDEX('CAT_ACTIVIDADES'!$F$4:$F$26,MATCH($H336,'CAT_ACTIVIDADES'!$A$4:$A$26,0)),"")=0,"",IFERROR(INDEX('CAT_ACTIVIDADES'!$F$4:$F$26,MATCH($H336,'CAT_ACTIVIDADES'!$A$4:$A$26,0)),"")))</f>
        <v/>
      </c>
      <c r="X336" s="24">
        <f>IF($F336="","",IFERROR(INDEX('CAT_CENTROS_COSTO'!$F$4:$F$28,MATCH($F336,'CAT_CENTROS_COSTO'!$A$4:$A$28,0)),"(sin catálogo)"))</f>
        <v/>
      </c>
      <c r="Y336" s="24">
        <f>IF($F336="","",IFERROR(INDEX('CAT_CENTROS_COSTO'!$D$4:$D$28,MATCH($F336,'CAT_CENTROS_COSTO'!$A$4:$A$28,0)),"(sin catálogo)"))</f>
        <v/>
      </c>
      <c r="Z336" s="24">
        <f>IF($F336="","",IF((IFERROR(INDEX('CAT_CENTROS_COSTO'!$E$4:$E$28,MATCH($F336,'CAT_CENTROS_COSTO'!$A$4:$A$28,0)),""))&lt;&gt;"",IFERROR(INDEX('CAT_CENTROS_COSTO'!$E$4:$E$28,MATCH($F336,'CAT_CENTROS_COSTO'!$A$4:$A$28,0)),""),$Y336))</f>
        <v/>
      </c>
      <c r="AA336" s="24">
        <f>IF($F336="","",IFERROR(INDEX('CAT_CENTROS_COSTO'!$G$4:$G$28,MATCH($F336,'CAT_CENTROS_COSTO'!$A$4:$A$28,0)),"(sin catálogo)"))</f>
        <v/>
      </c>
      <c r="AB336" s="24">
        <f>IF($G336="","",IFERROR(INDEX('CAT_PUESTOS'!$B$4:$B$23,MATCH($G336,'CAT_PUESTOS'!$A$4:$A$23,0)),"(sin catálogo)"))</f>
        <v/>
      </c>
      <c r="AC336" s="24">
        <f>IF($H336="","",IFERROR(INDEX('CAT_ACTIVIDADES'!$B$4:$B$26,MATCH($H336,'CAT_ACTIVIDADES'!$A$4:$A$26,0)),"(sin catálogo)"))</f>
        <v/>
      </c>
      <c r="AD336" s="26">
        <f>IF($J336="","",TODAY()-$J336)</f>
        <v/>
      </c>
      <c r="AE336" s="26">
        <f>IF($J336="","",IF($J336&lt;=TODAY(),COUNTIFS(cal_fechas,"&gt;="&amp;$J336,cal_fechas,"&lt;"&amp;TODAY(),cal_habil,"sí"),-COUNTIFS(cal_fechas,"&gt;="&amp;TODAY(),cal_fechas,"&lt;"&amp;$J336,cal_habil,"sí")))</f>
        <v/>
      </c>
      <c r="AF336" s="24">
        <f>IF($AE336="","",IF($AE336&lt;0,"FUTURO",IF($AE336&gt;p_dias_backlog_max,"BACKLOG","MES CORRIENTE")))</f>
        <v/>
      </c>
      <c r="AG336" s="24">
        <f>IF($AE336="",FALSE,AND($AE336&gt;p_dias_backlog_min,$AE336&lt;=p_dias_backlog_max))</f>
        <v/>
      </c>
      <c r="AH336" s="4" t="n"/>
      <c r="AI336" s="24">
        <f>IF($AH336="","",IF((IFERROR(INDEX('ASIGNACIONES'!$J$4:$J$451,MATCH($O336&amp;"|"&amp;$S336&amp;"|"&amp;$AH336,'ASIGNACIONES'!$N$4:$N$451,0)),""))=0,"",IFERROR(INDEX('ASIGNACIONES'!$J$4:$J$451,MATCH($O336&amp;"|"&amp;$S336&amp;"|"&amp;$AH336,'ASIGNACIONES'!$N$4:$N$451,0)),"")))</f>
        <v/>
      </c>
      <c r="AJ336" s="42">
        <f>IF($AH336="","",SUMIFS('ORDENES'!$M$4:$M$1203,'ORDENES'!$AH$4:$AH$1203,$AH336,'ORDENES'!$O$4:$O$1203,$O336,'ORDENES'!$S$4:$S$1203,$S336))</f>
        <v/>
      </c>
      <c r="AK336" s="42">
        <f>IF($AJ336="","",p_factor_productividad*IFERROR(INDEX('ASIGNACIONES'!$M$4:$M$451,MATCH($O336&amp;"|"&amp;$S336&amp;"|"&amp;$AH336,'ASIGNACIONES'!$N$4:$N$451,0)),0)-$AJ336)</f>
        <v/>
      </c>
      <c r="AL336" s="32">
        <f>IF($A336="","",IFERROR(INDEX('2_IMPORTAR_EJECUCION'!$F$9:$F$1208,MATCH($AU336,'2_IMPORTAR_EJECUCION'!$J$9:$J$1208,0)),0))</f>
        <v/>
      </c>
      <c r="AM336" s="32">
        <f>IF($A336="","",MAX(0,IFERROR(INDEX('2_IMPORTAR_EJECUCION'!$H$9:$H$1208,MATCH($AU336,'2_IMPORTAR_EJECUCION'!$J$9:$J$1208,0)),0)-$AL336))</f>
        <v/>
      </c>
      <c r="AN336" s="32">
        <f>IF($A336="","",$AL336+$AM336)</f>
        <v/>
      </c>
      <c r="AO336" s="24">
        <f>IF($A336="","",IF(OR((IFERROR(INDEX('CAT_ACTIVIDADES'!$D$4:$D$26,MATCH($H336,'CAT_ACTIVIDADES'!$A$4:$A$26,0)),""))=0,(IFERROR(INDEX('CAT_ACTIVIDADES'!$D$4:$D$26,MATCH($H336,'CAT_ACTIVIDADES'!$A$4:$A$26,0)),""))=""),"SIN CLASIFICAR",IFERROR(INDEX('CAT_ACTIVIDADES'!$D$4:$D$26,MATCH($H336,'CAT_ACTIVIDADES'!$A$4:$A$26,0)),"")))</f>
        <v/>
      </c>
      <c r="AP336" s="4" t="n"/>
      <c r="AQ336" s="4" t="n"/>
      <c r="AR336" s="4" t="n"/>
      <c r="AS336" s="24">
        <f>IF($AR336="","",HYPERLINK(p_ruta_base_checklists&amp;$AR336,"abrir"))</f>
        <v/>
      </c>
      <c r="AT336" s="4" t="n"/>
      <c r="AU336" s="24">
        <f>IF($A336="","",$A336&amp;IF($B336="","0010",$B336))</f>
        <v/>
      </c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41" t="n"/>
      <c r="K337" s="5" t="n"/>
      <c r="L337" s="18" t="n"/>
      <c r="M337" s="24">
        <f>IF($A337="","",IFERROR(INDEX('AJUSTES'!$B$4:$B$303,MATCH($AU337,'AJUSTES'!$A$4:$A$303,0)),IF($K337="","",$K337)))</f>
        <v/>
      </c>
      <c r="N337" s="24">
        <f>IF($A337="","",IFERROR(INDEX('CAT_ESTADOS_ERP'!$B$4:$B$22,MATCH(IFERROR(INDEX('2_IMPORTAR_EJECUCION'!$C$9:$C$1208,MATCH($AU337,'2_IMPORTAR_EJECUCION'!$J$9:$J$1208,0)),""),'CAT_ESTADOS_ERP'!$A$4:$A$22,0)),"Pendiente"))</f>
        <v/>
      </c>
      <c r="O337" s="24">
        <f>IF($J337="","",YEAR($J337+4-WEEKDAY($J337,2))&amp;"-S"&amp;TEXT(_xlfn.ISOWEEKNUM($J337),"00"))</f>
        <v/>
      </c>
      <c r="P337" s="24">
        <f>IF($J337="","",YEAR($J337))</f>
        <v/>
      </c>
      <c r="Q337" s="24">
        <f>IF($J337="","",MONTH($J337))</f>
        <v/>
      </c>
      <c r="R337" s="24">
        <f>IF($J337="","",$P337&amp;"-"&amp;TEXT($Q337,"00"))</f>
        <v/>
      </c>
      <c r="S337" s="24">
        <f>IF($J337="","",INDEX(lista_dias,WEEKDAY($J337,2)))</f>
        <v/>
      </c>
      <c r="T337" s="24">
        <f>IF($J337="","",IFERROR(INDEX('CALENDARIO'!$C$15:$C$214,MATCH(TEXT($J337,"yyyy-mm-dd")&amp;"|"&amp;$Y337&amp;"|"&amp;$Z337,'CALENDARIO'!$G$15:$G$214,0)),IFERROR(INDEX('CALENDARIO'!$C$15:$C$214,MATCH(TEXT($J337,"yyyy-mm-dd")&amp;"|"&amp;$Y337&amp;"|",'CALENDARIO'!$G$15:$G$214,0)),IFERROR(INDEX('CALENDARIO'!$C$15:$C$214,MATCH(TEXT($J337,"yyyy-mm-dd")&amp;"||",'CALENDARIO'!$G$15:$G$214,0)),INDEX(patronHabil,WEEKDAY($J337,2))))))</f>
        <v/>
      </c>
      <c r="U337" s="24">
        <f>IF($I337="","",IFERROR(INDEX('CAT_TIPOS_OT'!$C$4:$C$23,MATCH($I337,'CAT_TIPOS_OT'!$A$4:$A$23,0)),"sin_clasificar"))</f>
        <v/>
      </c>
      <c r="V337" s="24">
        <f>IF($I337="","",IF(IFERROR(INDEX('CAT_TIPOS_OT'!$D$4:$D$23,MATCH($I337,'CAT_TIPOS_OT'!$A$4:$A$23,0)),"SIN CLASIFICAR")="","SIN CLASIFICAR",IFERROR(INDEX('CAT_TIPOS_OT'!$D$4:$D$23,MATCH($I337,'CAT_TIPOS_OT'!$A$4:$A$23,0)),"SIN CLASIFICAR")))</f>
        <v/>
      </c>
      <c r="W337" s="24">
        <f>IF($H337="","",IF(IFERROR(INDEX('CAT_ACTIVIDADES'!$F$4:$F$26,MATCH($H337,'CAT_ACTIVIDADES'!$A$4:$A$26,0)),"")=0,"",IFERROR(INDEX('CAT_ACTIVIDADES'!$F$4:$F$26,MATCH($H337,'CAT_ACTIVIDADES'!$A$4:$A$26,0)),"")))</f>
        <v/>
      </c>
      <c r="X337" s="24">
        <f>IF($F337="","",IFERROR(INDEX('CAT_CENTROS_COSTO'!$F$4:$F$28,MATCH($F337,'CAT_CENTROS_COSTO'!$A$4:$A$28,0)),"(sin catálogo)"))</f>
        <v/>
      </c>
      <c r="Y337" s="24">
        <f>IF($F337="","",IFERROR(INDEX('CAT_CENTROS_COSTO'!$D$4:$D$28,MATCH($F337,'CAT_CENTROS_COSTO'!$A$4:$A$28,0)),"(sin catálogo)"))</f>
        <v/>
      </c>
      <c r="Z337" s="24">
        <f>IF($F337="","",IF((IFERROR(INDEX('CAT_CENTROS_COSTO'!$E$4:$E$28,MATCH($F337,'CAT_CENTROS_COSTO'!$A$4:$A$28,0)),""))&lt;&gt;"",IFERROR(INDEX('CAT_CENTROS_COSTO'!$E$4:$E$28,MATCH($F337,'CAT_CENTROS_COSTO'!$A$4:$A$28,0)),""),$Y337))</f>
        <v/>
      </c>
      <c r="AA337" s="24">
        <f>IF($F337="","",IFERROR(INDEX('CAT_CENTROS_COSTO'!$G$4:$G$28,MATCH($F337,'CAT_CENTROS_COSTO'!$A$4:$A$28,0)),"(sin catálogo)"))</f>
        <v/>
      </c>
      <c r="AB337" s="24">
        <f>IF($G337="","",IFERROR(INDEX('CAT_PUESTOS'!$B$4:$B$23,MATCH($G337,'CAT_PUESTOS'!$A$4:$A$23,0)),"(sin catálogo)"))</f>
        <v/>
      </c>
      <c r="AC337" s="24">
        <f>IF($H337="","",IFERROR(INDEX('CAT_ACTIVIDADES'!$B$4:$B$26,MATCH($H337,'CAT_ACTIVIDADES'!$A$4:$A$26,0)),"(sin catálogo)"))</f>
        <v/>
      </c>
      <c r="AD337" s="26">
        <f>IF($J337="","",TODAY()-$J337)</f>
        <v/>
      </c>
      <c r="AE337" s="26">
        <f>IF($J337="","",IF($J337&lt;=TODAY(),COUNTIFS(cal_fechas,"&gt;="&amp;$J337,cal_fechas,"&lt;"&amp;TODAY(),cal_habil,"sí"),-COUNTIFS(cal_fechas,"&gt;="&amp;TODAY(),cal_fechas,"&lt;"&amp;$J337,cal_habil,"sí")))</f>
        <v/>
      </c>
      <c r="AF337" s="24">
        <f>IF($AE337="","",IF($AE337&lt;0,"FUTURO",IF($AE337&gt;p_dias_backlog_max,"BACKLOG","MES CORRIENTE")))</f>
        <v/>
      </c>
      <c r="AG337" s="24">
        <f>IF($AE337="",FALSE,AND($AE337&gt;p_dias_backlog_min,$AE337&lt;=p_dias_backlog_max))</f>
        <v/>
      </c>
      <c r="AH337" s="4" t="n"/>
      <c r="AI337" s="24">
        <f>IF($AH337="","",IF((IFERROR(INDEX('ASIGNACIONES'!$J$4:$J$451,MATCH($O337&amp;"|"&amp;$S337&amp;"|"&amp;$AH337,'ASIGNACIONES'!$N$4:$N$451,0)),""))=0,"",IFERROR(INDEX('ASIGNACIONES'!$J$4:$J$451,MATCH($O337&amp;"|"&amp;$S337&amp;"|"&amp;$AH337,'ASIGNACIONES'!$N$4:$N$451,0)),"")))</f>
        <v/>
      </c>
      <c r="AJ337" s="42">
        <f>IF($AH337="","",SUMIFS('ORDENES'!$M$4:$M$1203,'ORDENES'!$AH$4:$AH$1203,$AH337,'ORDENES'!$O$4:$O$1203,$O337,'ORDENES'!$S$4:$S$1203,$S337))</f>
        <v/>
      </c>
      <c r="AK337" s="42">
        <f>IF($AJ337="","",p_factor_productividad*IFERROR(INDEX('ASIGNACIONES'!$M$4:$M$451,MATCH($O337&amp;"|"&amp;$S337&amp;"|"&amp;$AH337,'ASIGNACIONES'!$N$4:$N$451,0)),0)-$AJ337)</f>
        <v/>
      </c>
      <c r="AL337" s="32">
        <f>IF($A337="","",IFERROR(INDEX('2_IMPORTAR_EJECUCION'!$F$9:$F$1208,MATCH($AU337,'2_IMPORTAR_EJECUCION'!$J$9:$J$1208,0)),0))</f>
        <v/>
      </c>
      <c r="AM337" s="32">
        <f>IF($A337="","",MAX(0,IFERROR(INDEX('2_IMPORTAR_EJECUCION'!$H$9:$H$1208,MATCH($AU337,'2_IMPORTAR_EJECUCION'!$J$9:$J$1208,0)),0)-$AL337))</f>
        <v/>
      </c>
      <c r="AN337" s="32">
        <f>IF($A337="","",$AL337+$AM337)</f>
        <v/>
      </c>
      <c r="AO337" s="24">
        <f>IF($A337="","",IF(OR((IFERROR(INDEX('CAT_ACTIVIDADES'!$D$4:$D$26,MATCH($H337,'CAT_ACTIVIDADES'!$A$4:$A$26,0)),""))=0,(IFERROR(INDEX('CAT_ACTIVIDADES'!$D$4:$D$26,MATCH($H337,'CAT_ACTIVIDADES'!$A$4:$A$26,0)),""))=""),"SIN CLASIFICAR",IFERROR(INDEX('CAT_ACTIVIDADES'!$D$4:$D$26,MATCH($H337,'CAT_ACTIVIDADES'!$A$4:$A$26,0)),"")))</f>
        <v/>
      </c>
      <c r="AP337" s="4" t="n"/>
      <c r="AQ337" s="4" t="n"/>
      <c r="AR337" s="4" t="n"/>
      <c r="AS337" s="24">
        <f>IF($AR337="","",HYPERLINK(p_ruta_base_checklists&amp;$AR337,"abrir"))</f>
        <v/>
      </c>
      <c r="AT337" s="4" t="n"/>
      <c r="AU337" s="24">
        <f>IF($A337="","",$A337&amp;IF($B337="","0010",$B337))</f>
        <v/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41" t="n"/>
      <c r="K338" s="5" t="n"/>
      <c r="L338" s="18" t="n"/>
      <c r="M338" s="24">
        <f>IF($A338="","",IFERROR(INDEX('AJUSTES'!$B$4:$B$303,MATCH($AU338,'AJUSTES'!$A$4:$A$303,0)),IF($K338="","",$K338)))</f>
        <v/>
      </c>
      <c r="N338" s="24">
        <f>IF($A338="","",IFERROR(INDEX('CAT_ESTADOS_ERP'!$B$4:$B$22,MATCH(IFERROR(INDEX('2_IMPORTAR_EJECUCION'!$C$9:$C$1208,MATCH($AU338,'2_IMPORTAR_EJECUCION'!$J$9:$J$1208,0)),""),'CAT_ESTADOS_ERP'!$A$4:$A$22,0)),"Pendiente"))</f>
        <v/>
      </c>
      <c r="O338" s="24">
        <f>IF($J338="","",YEAR($J338+4-WEEKDAY($J338,2))&amp;"-S"&amp;TEXT(_xlfn.ISOWEEKNUM($J338),"00"))</f>
        <v/>
      </c>
      <c r="P338" s="24">
        <f>IF($J338="","",YEAR($J338))</f>
        <v/>
      </c>
      <c r="Q338" s="24">
        <f>IF($J338="","",MONTH($J338))</f>
        <v/>
      </c>
      <c r="R338" s="24">
        <f>IF($J338="","",$P338&amp;"-"&amp;TEXT($Q338,"00"))</f>
        <v/>
      </c>
      <c r="S338" s="24">
        <f>IF($J338="","",INDEX(lista_dias,WEEKDAY($J338,2)))</f>
        <v/>
      </c>
      <c r="T338" s="24">
        <f>IF($J338="","",IFERROR(INDEX('CALENDARIO'!$C$15:$C$214,MATCH(TEXT($J338,"yyyy-mm-dd")&amp;"|"&amp;$Y338&amp;"|"&amp;$Z338,'CALENDARIO'!$G$15:$G$214,0)),IFERROR(INDEX('CALENDARIO'!$C$15:$C$214,MATCH(TEXT($J338,"yyyy-mm-dd")&amp;"|"&amp;$Y338&amp;"|",'CALENDARIO'!$G$15:$G$214,0)),IFERROR(INDEX('CALENDARIO'!$C$15:$C$214,MATCH(TEXT($J338,"yyyy-mm-dd")&amp;"||",'CALENDARIO'!$G$15:$G$214,0)),INDEX(patronHabil,WEEKDAY($J338,2))))))</f>
        <v/>
      </c>
      <c r="U338" s="24">
        <f>IF($I338="","",IFERROR(INDEX('CAT_TIPOS_OT'!$C$4:$C$23,MATCH($I338,'CAT_TIPOS_OT'!$A$4:$A$23,0)),"sin_clasificar"))</f>
        <v/>
      </c>
      <c r="V338" s="24">
        <f>IF($I338="","",IF(IFERROR(INDEX('CAT_TIPOS_OT'!$D$4:$D$23,MATCH($I338,'CAT_TIPOS_OT'!$A$4:$A$23,0)),"SIN CLASIFICAR")="","SIN CLASIFICAR",IFERROR(INDEX('CAT_TIPOS_OT'!$D$4:$D$23,MATCH($I338,'CAT_TIPOS_OT'!$A$4:$A$23,0)),"SIN CLASIFICAR")))</f>
        <v/>
      </c>
      <c r="W338" s="24">
        <f>IF($H338="","",IF(IFERROR(INDEX('CAT_ACTIVIDADES'!$F$4:$F$26,MATCH($H338,'CAT_ACTIVIDADES'!$A$4:$A$26,0)),"")=0,"",IFERROR(INDEX('CAT_ACTIVIDADES'!$F$4:$F$26,MATCH($H338,'CAT_ACTIVIDADES'!$A$4:$A$26,0)),"")))</f>
        <v/>
      </c>
      <c r="X338" s="24">
        <f>IF($F338="","",IFERROR(INDEX('CAT_CENTROS_COSTO'!$F$4:$F$28,MATCH($F338,'CAT_CENTROS_COSTO'!$A$4:$A$28,0)),"(sin catálogo)"))</f>
        <v/>
      </c>
      <c r="Y338" s="24">
        <f>IF($F338="","",IFERROR(INDEX('CAT_CENTROS_COSTO'!$D$4:$D$28,MATCH($F338,'CAT_CENTROS_COSTO'!$A$4:$A$28,0)),"(sin catálogo)"))</f>
        <v/>
      </c>
      <c r="Z338" s="24">
        <f>IF($F338="","",IF((IFERROR(INDEX('CAT_CENTROS_COSTO'!$E$4:$E$28,MATCH($F338,'CAT_CENTROS_COSTO'!$A$4:$A$28,0)),""))&lt;&gt;"",IFERROR(INDEX('CAT_CENTROS_COSTO'!$E$4:$E$28,MATCH($F338,'CAT_CENTROS_COSTO'!$A$4:$A$28,0)),""),$Y338))</f>
        <v/>
      </c>
      <c r="AA338" s="24">
        <f>IF($F338="","",IFERROR(INDEX('CAT_CENTROS_COSTO'!$G$4:$G$28,MATCH($F338,'CAT_CENTROS_COSTO'!$A$4:$A$28,0)),"(sin catálogo)"))</f>
        <v/>
      </c>
      <c r="AB338" s="24">
        <f>IF($G338="","",IFERROR(INDEX('CAT_PUESTOS'!$B$4:$B$23,MATCH($G338,'CAT_PUESTOS'!$A$4:$A$23,0)),"(sin catálogo)"))</f>
        <v/>
      </c>
      <c r="AC338" s="24">
        <f>IF($H338="","",IFERROR(INDEX('CAT_ACTIVIDADES'!$B$4:$B$26,MATCH($H338,'CAT_ACTIVIDADES'!$A$4:$A$26,0)),"(sin catálogo)"))</f>
        <v/>
      </c>
      <c r="AD338" s="26">
        <f>IF($J338="","",TODAY()-$J338)</f>
        <v/>
      </c>
      <c r="AE338" s="26">
        <f>IF($J338="","",IF($J338&lt;=TODAY(),COUNTIFS(cal_fechas,"&gt;="&amp;$J338,cal_fechas,"&lt;"&amp;TODAY(),cal_habil,"sí"),-COUNTIFS(cal_fechas,"&gt;="&amp;TODAY(),cal_fechas,"&lt;"&amp;$J338,cal_habil,"sí")))</f>
        <v/>
      </c>
      <c r="AF338" s="24">
        <f>IF($AE338="","",IF($AE338&lt;0,"FUTURO",IF($AE338&gt;p_dias_backlog_max,"BACKLOG","MES CORRIENTE")))</f>
        <v/>
      </c>
      <c r="AG338" s="24">
        <f>IF($AE338="",FALSE,AND($AE338&gt;p_dias_backlog_min,$AE338&lt;=p_dias_backlog_max))</f>
        <v/>
      </c>
      <c r="AH338" s="4" t="n"/>
      <c r="AI338" s="24">
        <f>IF($AH338="","",IF((IFERROR(INDEX('ASIGNACIONES'!$J$4:$J$451,MATCH($O338&amp;"|"&amp;$S338&amp;"|"&amp;$AH338,'ASIGNACIONES'!$N$4:$N$451,0)),""))=0,"",IFERROR(INDEX('ASIGNACIONES'!$J$4:$J$451,MATCH($O338&amp;"|"&amp;$S338&amp;"|"&amp;$AH338,'ASIGNACIONES'!$N$4:$N$451,0)),"")))</f>
        <v/>
      </c>
      <c r="AJ338" s="42">
        <f>IF($AH338="","",SUMIFS('ORDENES'!$M$4:$M$1203,'ORDENES'!$AH$4:$AH$1203,$AH338,'ORDENES'!$O$4:$O$1203,$O338,'ORDENES'!$S$4:$S$1203,$S338))</f>
        <v/>
      </c>
      <c r="AK338" s="42">
        <f>IF($AJ338="","",p_factor_productividad*IFERROR(INDEX('ASIGNACIONES'!$M$4:$M$451,MATCH($O338&amp;"|"&amp;$S338&amp;"|"&amp;$AH338,'ASIGNACIONES'!$N$4:$N$451,0)),0)-$AJ338)</f>
        <v/>
      </c>
      <c r="AL338" s="32">
        <f>IF($A338="","",IFERROR(INDEX('2_IMPORTAR_EJECUCION'!$F$9:$F$1208,MATCH($AU338,'2_IMPORTAR_EJECUCION'!$J$9:$J$1208,0)),0))</f>
        <v/>
      </c>
      <c r="AM338" s="32">
        <f>IF($A338="","",MAX(0,IFERROR(INDEX('2_IMPORTAR_EJECUCION'!$H$9:$H$1208,MATCH($AU338,'2_IMPORTAR_EJECUCION'!$J$9:$J$1208,0)),0)-$AL338))</f>
        <v/>
      </c>
      <c r="AN338" s="32">
        <f>IF($A338="","",$AL338+$AM338)</f>
        <v/>
      </c>
      <c r="AO338" s="24">
        <f>IF($A338="","",IF(OR((IFERROR(INDEX('CAT_ACTIVIDADES'!$D$4:$D$26,MATCH($H338,'CAT_ACTIVIDADES'!$A$4:$A$26,0)),""))=0,(IFERROR(INDEX('CAT_ACTIVIDADES'!$D$4:$D$26,MATCH($H338,'CAT_ACTIVIDADES'!$A$4:$A$26,0)),""))=""),"SIN CLASIFICAR",IFERROR(INDEX('CAT_ACTIVIDADES'!$D$4:$D$26,MATCH($H338,'CAT_ACTIVIDADES'!$A$4:$A$26,0)),"")))</f>
        <v/>
      </c>
      <c r="AP338" s="4" t="n"/>
      <c r="AQ338" s="4" t="n"/>
      <c r="AR338" s="4" t="n"/>
      <c r="AS338" s="24">
        <f>IF($AR338="","",HYPERLINK(p_ruta_base_checklists&amp;$AR338,"abrir"))</f>
        <v/>
      </c>
      <c r="AT338" s="4" t="n"/>
      <c r="AU338" s="24">
        <f>IF($A338="","",$A338&amp;IF($B338="","0010",$B338))</f>
        <v/>
      </c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41" t="n"/>
      <c r="K339" s="5" t="n"/>
      <c r="L339" s="18" t="n"/>
      <c r="M339" s="24">
        <f>IF($A339="","",IFERROR(INDEX('AJUSTES'!$B$4:$B$303,MATCH($AU339,'AJUSTES'!$A$4:$A$303,0)),IF($K339="","",$K339)))</f>
        <v/>
      </c>
      <c r="N339" s="24">
        <f>IF($A339="","",IFERROR(INDEX('CAT_ESTADOS_ERP'!$B$4:$B$22,MATCH(IFERROR(INDEX('2_IMPORTAR_EJECUCION'!$C$9:$C$1208,MATCH($AU339,'2_IMPORTAR_EJECUCION'!$J$9:$J$1208,0)),""),'CAT_ESTADOS_ERP'!$A$4:$A$22,0)),"Pendiente"))</f>
        <v/>
      </c>
      <c r="O339" s="24">
        <f>IF($J339="","",YEAR($J339+4-WEEKDAY($J339,2))&amp;"-S"&amp;TEXT(_xlfn.ISOWEEKNUM($J339),"00"))</f>
        <v/>
      </c>
      <c r="P339" s="24">
        <f>IF($J339="","",YEAR($J339))</f>
        <v/>
      </c>
      <c r="Q339" s="24">
        <f>IF($J339="","",MONTH($J339))</f>
        <v/>
      </c>
      <c r="R339" s="24">
        <f>IF($J339="","",$P339&amp;"-"&amp;TEXT($Q339,"00"))</f>
        <v/>
      </c>
      <c r="S339" s="24">
        <f>IF($J339="","",INDEX(lista_dias,WEEKDAY($J339,2)))</f>
        <v/>
      </c>
      <c r="T339" s="24">
        <f>IF($J339="","",IFERROR(INDEX('CALENDARIO'!$C$15:$C$214,MATCH(TEXT($J339,"yyyy-mm-dd")&amp;"|"&amp;$Y339&amp;"|"&amp;$Z339,'CALENDARIO'!$G$15:$G$214,0)),IFERROR(INDEX('CALENDARIO'!$C$15:$C$214,MATCH(TEXT($J339,"yyyy-mm-dd")&amp;"|"&amp;$Y339&amp;"|",'CALENDARIO'!$G$15:$G$214,0)),IFERROR(INDEX('CALENDARIO'!$C$15:$C$214,MATCH(TEXT($J339,"yyyy-mm-dd")&amp;"||",'CALENDARIO'!$G$15:$G$214,0)),INDEX(patronHabil,WEEKDAY($J339,2))))))</f>
        <v/>
      </c>
      <c r="U339" s="24">
        <f>IF($I339="","",IFERROR(INDEX('CAT_TIPOS_OT'!$C$4:$C$23,MATCH($I339,'CAT_TIPOS_OT'!$A$4:$A$23,0)),"sin_clasificar"))</f>
        <v/>
      </c>
      <c r="V339" s="24">
        <f>IF($I339="","",IF(IFERROR(INDEX('CAT_TIPOS_OT'!$D$4:$D$23,MATCH($I339,'CAT_TIPOS_OT'!$A$4:$A$23,0)),"SIN CLASIFICAR")="","SIN CLASIFICAR",IFERROR(INDEX('CAT_TIPOS_OT'!$D$4:$D$23,MATCH($I339,'CAT_TIPOS_OT'!$A$4:$A$23,0)),"SIN CLASIFICAR")))</f>
        <v/>
      </c>
      <c r="W339" s="24">
        <f>IF($H339="","",IF(IFERROR(INDEX('CAT_ACTIVIDADES'!$F$4:$F$26,MATCH($H339,'CAT_ACTIVIDADES'!$A$4:$A$26,0)),"")=0,"",IFERROR(INDEX('CAT_ACTIVIDADES'!$F$4:$F$26,MATCH($H339,'CAT_ACTIVIDADES'!$A$4:$A$26,0)),"")))</f>
        <v/>
      </c>
      <c r="X339" s="24">
        <f>IF($F339="","",IFERROR(INDEX('CAT_CENTROS_COSTO'!$F$4:$F$28,MATCH($F339,'CAT_CENTROS_COSTO'!$A$4:$A$28,0)),"(sin catálogo)"))</f>
        <v/>
      </c>
      <c r="Y339" s="24">
        <f>IF($F339="","",IFERROR(INDEX('CAT_CENTROS_COSTO'!$D$4:$D$28,MATCH($F339,'CAT_CENTROS_COSTO'!$A$4:$A$28,0)),"(sin catálogo)"))</f>
        <v/>
      </c>
      <c r="Z339" s="24">
        <f>IF($F339="","",IF((IFERROR(INDEX('CAT_CENTROS_COSTO'!$E$4:$E$28,MATCH($F339,'CAT_CENTROS_COSTO'!$A$4:$A$28,0)),""))&lt;&gt;"",IFERROR(INDEX('CAT_CENTROS_COSTO'!$E$4:$E$28,MATCH($F339,'CAT_CENTROS_COSTO'!$A$4:$A$28,0)),""),$Y339))</f>
        <v/>
      </c>
      <c r="AA339" s="24">
        <f>IF($F339="","",IFERROR(INDEX('CAT_CENTROS_COSTO'!$G$4:$G$28,MATCH($F339,'CAT_CENTROS_COSTO'!$A$4:$A$28,0)),"(sin catálogo)"))</f>
        <v/>
      </c>
      <c r="AB339" s="24">
        <f>IF($G339="","",IFERROR(INDEX('CAT_PUESTOS'!$B$4:$B$23,MATCH($G339,'CAT_PUESTOS'!$A$4:$A$23,0)),"(sin catálogo)"))</f>
        <v/>
      </c>
      <c r="AC339" s="24">
        <f>IF($H339="","",IFERROR(INDEX('CAT_ACTIVIDADES'!$B$4:$B$26,MATCH($H339,'CAT_ACTIVIDADES'!$A$4:$A$26,0)),"(sin catálogo)"))</f>
        <v/>
      </c>
      <c r="AD339" s="26">
        <f>IF($J339="","",TODAY()-$J339)</f>
        <v/>
      </c>
      <c r="AE339" s="26">
        <f>IF($J339="","",IF($J339&lt;=TODAY(),COUNTIFS(cal_fechas,"&gt;="&amp;$J339,cal_fechas,"&lt;"&amp;TODAY(),cal_habil,"sí"),-COUNTIFS(cal_fechas,"&gt;="&amp;TODAY(),cal_fechas,"&lt;"&amp;$J339,cal_habil,"sí")))</f>
        <v/>
      </c>
      <c r="AF339" s="24">
        <f>IF($AE339="","",IF($AE339&lt;0,"FUTURO",IF($AE339&gt;p_dias_backlog_max,"BACKLOG","MES CORRIENTE")))</f>
        <v/>
      </c>
      <c r="AG339" s="24">
        <f>IF($AE339="",FALSE,AND($AE339&gt;p_dias_backlog_min,$AE339&lt;=p_dias_backlog_max))</f>
        <v/>
      </c>
      <c r="AH339" s="4" t="n"/>
      <c r="AI339" s="24">
        <f>IF($AH339="","",IF((IFERROR(INDEX('ASIGNACIONES'!$J$4:$J$451,MATCH($O339&amp;"|"&amp;$S339&amp;"|"&amp;$AH339,'ASIGNACIONES'!$N$4:$N$451,0)),""))=0,"",IFERROR(INDEX('ASIGNACIONES'!$J$4:$J$451,MATCH($O339&amp;"|"&amp;$S339&amp;"|"&amp;$AH339,'ASIGNACIONES'!$N$4:$N$451,0)),"")))</f>
        <v/>
      </c>
      <c r="AJ339" s="42">
        <f>IF($AH339="","",SUMIFS('ORDENES'!$M$4:$M$1203,'ORDENES'!$AH$4:$AH$1203,$AH339,'ORDENES'!$O$4:$O$1203,$O339,'ORDENES'!$S$4:$S$1203,$S339))</f>
        <v/>
      </c>
      <c r="AK339" s="42">
        <f>IF($AJ339="","",p_factor_productividad*IFERROR(INDEX('ASIGNACIONES'!$M$4:$M$451,MATCH($O339&amp;"|"&amp;$S339&amp;"|"&amp;$AH339,'ASIGNACIONES'!$N$4:$N$451,0)),0)-$AJ339)</f>
        <v/>
      </c>
      <c r="AL339" s="32">
        <f>IF($A339="","",IFERROR(INDEX('2_IMPORTAR_EJECUCION'!$F$9:$F$1208,MATCH($AU339,'2_IMPORTAR_EJECUCION'!$J$9:$J$1208,0)),0))</f>
        <v/>
      </c>
      <c r="AM339" s="32">
        <f>IF($A339="","",MAX(0,IFERROR(INDEX('2_IMPORTAR_EJECUCION'!$H$9:$H$1208,MATCH($AU339,'2_IMPORTAR_EJECUCION'!$J$9:$J$1208,0)),0)-$AL339))</f>
        <v/>
      </c>
      <c r="AN339" s="32">
        <f>IF($A339="","",$AL339+$AM339)</f>
        <v/>
      </c>
      <c r="AO339" s="24">
        <f>IF($A339="","",IF(OR((IFERROR(INDEX('CAT_ACTIVIDADES'!$D$4:$D$26,MATCH($H339,'CAT_ACTIVIDADES'!$A$4:$A$26,0)),""))=0,(IFERROR(INDEX('CAT_ACTIVIDADES'!$D$4:$D$26,MATCH($H339,'CAT_ACTIVIDADES'!$A$4:$A$26,0)),""))=""),"SIN CLASIFICAR",IFERROR(INDEX('CAT_ACTIVIDADES'!$D$4:$D$26,MATCH($H339,'CAT_ACTIVIDADES'!$A$4:$A$26,0)),"")))</f>
        <v/>
      </c>
      <c r="AP339" s="4" t="n"/>
      <c r="AQ339" s="4" t="n"/>
      <c r="AR339" s="4" t="n"/>
      <c r="AS339" s="24">
        <f>IF($AR339="","",HYPERLINK(p_ruta_base_checklists&amp;$AR339,"abrir"))</f>
        <v/>
      </c>
      <c r="AT339" s="4" t="n"/>
      <c r="AU339" s="24">
        <f>IF($A339="","",$A339&amp;IF($B339="","0010",$B339))</f>
        <v/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41" t="n"/>
      <c r="K340" s="5" t="n"/>
      <c r="L340" s="18" t="n"/>
      <c r="M340" s="24">
        <f>IF($A340="","",IFERROR(INDEX('AJUSTES'!$B$4:$B$303,MATCH($AU340,'AJUSTES'!$A$4:$A$303,0)),IF($K340="","",$K340)))</f>
        <v/>
      </c>
      <c r="N340" s="24">
        <f>IF($A340="","",IFERROR(INDEX('CAT_ESTADOS_ERP'!$B$4:$B$22,MATCH(IFERROR(INDEX('2_IMPORTAR_EJECUCION'!$C$9:$C$1208,MATCH($AU340,'2_IMPORTAR_EJECUCION'!$J$9:$J$1208,0)),""),'CAT_ESTADOS_ERP'!$A$4:$A$22,0)),"Pendiente"))</f>
        <v/>
      </c>
      <c r="O340" s="24">
        <f>IF($J340="","",YEAR($J340+4-WEEKDAY($J340,2))&amp;"-S"&amp;TEXT(_xlfn.ISOWEEKNUM($J340),"00"))</f>
        <v/>
      </c>
      <c r="P340" s="24">
        <f>IF($J340="","",YEAR($J340))</f>
        <v/>
      </c>
      <c r="Q340" s="24">
        <f>IF($J340="","",MONTH($J340))</f>
        <v/>
      </c>
      <c r="R340" s="24">
        <f>IF($J340="","",$P340&amp;"-"&amp;TEXT($Q340,"00"))</f>
        <v/>
      </c>
      <c r="S340" s="24">
        <f>IF($J340="","",INDEX(lista_dias,WEEKDAY($J340,2)))</f>
        <v/>
      </c>
      <c r="T340" s="24">
        <f>IF($J340="","",IFERROR(INDEX('CALENDARIO'!$C$15:$C$214,MATCH(TEXT($J340,"yyyy-mm-dd")&amp;"|"&amp;$Y340&amp;"|"&amp;$Z340,'CALENDARIO'!$G$15:$G$214,0)),IFERROR(INDEX('CALENDARIO'!$C$15:$C$214,MATCH(TEXT($J340,"yyyy-mm-dd")&amp;"|"&amp;$Y340&amp;"|",'CALENDARIO'!$G$15:$G$214,0)),IFERROR(INDEX('CALENDARIO'!$C$15:$C$214,MATCH(TEXT($J340,"yyyy-mm-dd")&amp;"||",'CALENDARIO'!$G$15:$G$214,0)),INDEX(patronHabil,WEEKDAY($J340,2))))))</f>
        <v/>
      </c>
      <c r="U340" s="24">
        <f>IF($I340="","",IFERROR(INDEX('CAT_TIPOS_OT'!$C$4:$C$23,MATCH($I340,'CAT_TIPOS_OT'!$A$4:$A$23,0)),"sin_clasificar"))</f>
        <v/>
      </c>
      <c r="V340" s="24">
        <f>IF($I340="","",IF(IFERROR(INDEX('CAT_TIPOS_OT'!$D$4:$D$23,MATCH($I340,'CAT_TIPOS_OT'!$A$4:$A$23,0)),"SIN CLASIFICAR")="","SIN CLASIFICAR",IFERROR(INDEX('CAT_TIPOS_OT'!$D$4:$D$23,MATCH($I340,'CAT_TIPOS_OT'!$A$4:$A$23,0)),"SIN CLASIFICAR")))</f>
        <v/>
      </c>
      <c r="W340" s="24">
        <f>IF($H340="","",IF(IFERROR(INDEX('CAT_ACTIVIDADES'!$F$4:$F$26,MATCH($H340,'CAT_ACTIVIDADES'!$A$4:$A$26,0)),"")=0,"",IFERROR(INDEX('CAT_ACTIVIDADES'!$F$4:$F$26,MATCH($H340,'CAT_ACTIVIDADES'!$A$4:$A$26,0)),"")))</f>
        <v/>
      </c>
      <c r="X340" s="24">
        <f>IF($F340="","",IFERROR(INDEX('CAT_CENTROS_COSTO'!$F$4:$F$28,MATCH($F340,'CAT_CENTROS_COSTO'!$A$4:$A$28,0)),"(sin catálogo)"))</f>
        <v/>
      </c>
      <c r="Y340" s="24">
        <f>IF($F340="","",IFERROR(INDEX('CAT_CENTROS_COSTO'!$D$4:$D$28,MATCH($F340,'CAT_CENTROS_COSTO'!$A$4:$A$28,0)),"(sin catálogo)"))</f>
        <v/>
      </c>
      <c r="Z340" s="24">
        <f>IF($F340="","",IF((IFERROR(INDEX('CAT_CENTROS_COSTO'!$E$4:$E$28,MATCH($F340,'CAT_CENTROS_COSTO'!$A$4:$A$28,0)),""))&lt;&gt;"",IFERROR(INDEX('CAT_CENTROS_COSTO'!$E$4:$E$28,MATCH($F340,'CAT_CENTROS_COSTO'!$A$4:$A$28,0)),""),$Y340))</f>
        <v/>
      </c>
      <c r="AA340" s="24">
        <f>IF($F340="","",IFERROR(INDEX('CAT_CENTROS_COSTO'!$G$4:$G$28,MATCH($F340,'CAT_CENTROS_COSTO'!$A$4:$A$28,0)),"(sin catálogo)"))</f>
        <v/>
      </c>
      <c r="AB340" s="24">
        <f>IF($G340="","",IFERROR(INDEX('CAT_PUESTOS'!$B$4:$B$23,MATCH($G340,'CAT_PUESTOS'!$A$4:$A$23,0)),"(sin catálogo)"))</f>
        <v/>
      </c>
      <c r="AC340" s="24">
        <f>IF($H340="","",IFERROR(INDEX('CAT_ACTIVIDADES'!$B$4:$B$26,MATCH($H340,'CAT_ACTIVIDADES'!$A$4:$A$26,0)),"(sin catálogo)"))</f>
        <v/>
      </c>
      <c r="AD340" s="26">
        <f>IF($J340="","",TODAY()-$J340)</f>
        <v/>
      </c>
      <c r="AE340" s="26">
        <f>IF($J340="","",IF($J340&lt;=TODAY(),COUNTIFS(cal_fechas,"&gt;="&amp;$J340,cal_fechas,"&lt;"&amp;TODAY(),cal_habil,"sí"),-COUNTIFS(cal_fechas,"&gt;="&amp;TODAY(),cal_fechas,"&lt;"&amp;$J340,cal_habil,"sí")))</f>
        <v/>
      </c>
      <c r="AF340" s="24">
        <f>IF($AE340="","",IF($AE340&lt;0,"FUTURO",IF($AE340&gt;p_dias_backlog_max,"BACKLOG","MES CORRIENTE")))</f>
        <v/>
      </c>
      <c r="AG340" s="24">
        <f>IF($AE340="",FALSE,AND($AE340&gt;p_dias_backlog_min,$AE340&lt;=p_dias_backlog_max))</f>
        <v/>
      </c>
      <c r="AH340" s="4" t="n"/>
      <c r="AI340" s="24">
        <f>IF($AH340="","",IF((IFERROR(INDEX('ASIGNACIONES'!$J$4:$J$451,MATCH($O340&amp;"|"&amp;$S340&amp;"|"&amp;$AH340,'ASIGNACIONES'!$N$4:$N$451,0)),""))=0,"",IFERROR(INDEX('ASIGNACIONES'!$J$4:$J$451,MATCH($O340&amp;"|"&amp;$S340&amp;"|"&amp;$AH340,'ASIGNACIONES'!$N$4:$N$451,0)),"")))</f>
        <v/>
      </c>
      <c r="AJ340" s="42">
        <f>IF($AH340="","",SUMIFS('ORDENES'!$M$4:$M$1203,'ORDENES'!$AH$4:$AH$1203,$AH340,'ORDENES'!$O$4:$O$1203,$O340,'ORDENES'!$S$4:$S$1203,$S340))</f>
        <v/>
      </c>
      <c r="AK340" s="42">
        <f>IF($AJ340="","",p_factor_productividad*IFERROR(INDEX('ASIGNACIONES'!$M$4:$M$451,MATCH($O340&amp;"|"&amp;$S340&amp;"|"&amp;$AH340,'ASIGNACIONES'!$N$4:$N$451,0)),0)-$AJ340)</f>
        <v/>
      </c>
      <c r="AL340" s="32">
        <f>IF($A340="","",IFERROR(INDEX('2_IMPORTAR_EJECUCION'!$F$9:$F$1208,MATCH($AU340,'2_IMPORTAR_EJECUCION'!$J$9:$J$1208,0)),0))</f>
        <v/>
      </c>
      <c r="AM340" s="32">
        <f>IF($A340="","",MAX(0,IFERROR(INDEX('2_IMPORTAR_EJECUCION'!$H$9:$H$1208,MATCH($AU340,'2_IMPORTAR_EJECUCION'!$J$9:$J$1208,0)),0)-$AL340))</f>
        <v/>
      </c>
      <c r="AN340" s="32">
        <f>IF($A340="","",$AL340+$AM340)</f>
        <v/>
      </c>
      <c r="AO340" s="24">
        <f>IF($A340="","",IF(OR((IFERROR(INDEX('CAT_ACTIVIDADES'!$D$4:$D$26,MATCH($H340,'CAT_ACTIVIDADES'!$A$4:$A$26,0)),""))=0,(IFERROR(INDEX('CAT_ACTIVIDADES'!$D$4:$D$26,MATCH($H340,'CAT_ACTIVIDADES'!$A$4:$A$26,0)),""))=""),"SIN CLASIFICAR",IFERROR(INDEX('CAT_ACTIVIDADES'!$D$4:$D$26,MATCH($H340,'CAT_ACTIVIDADES'!$A$4:$A$26,0)),"")))</f>
        <v/>
      </c>
      <c r="AP340" s="4" t="n"/>
      <c r="AQ340" s="4" t="n"/>
      <c r="AR340" s="4" t="n"/>
      <c r="AS340" s="24">
        <f>IF($AR340="","",HYPERLINK(p_ruta_base_checklists&amp;$AR340,"abrir"))</f>
        <v/>
      </c>
      <c r="AT340" s="4" t="n"/>
      <c r="AU340" s="24">
        <f>IF($A340="","",$A340&amp;IF($B340="","0010",$B340))</f>
        <v/>
      </c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41" t="n"/>
      <c r="K341" s="5" t="n"/>
      <c r="L341" s="18" t="n"/>
      <c r="M341" s="24">
        <f>IF($A341="","",IFERROR(INDEX('AJUSTES'!$B$4:$B$303,MATCH($AU341,'AJUSTES'!$A$4:$A$303,0)),IF($K341="","",$K341)))</f>
        <v/>
      </c>
      <c r="N341" s="24">
        <f>IF($A341="","",IFERROR(INDEX('CAT_ESTADOS_ERP'!$B$4:$B$22,MATCH(IFERROR(INDEX('2_IMPORTAR_EJECUCION'!$C$9:$C$1208,MATCH($AU341,'2_IMPORTAR_EJECUCION'!$J$9:$J$1208,0)),""),'CAT_ESTADOS_ERP'!$A$4:$A$22,0)),"Pendiente"))</f>
        <v/>
      </c>
      <c r="O341" s="24">
        <f>IF($J341="","",YEAR($J341+4-WEEKDAY($J341,2))&amp;"-S"&amp;TEXT(_xlfn.ISOWEEKNUM($J341),"00"))</f>
        <v/>
      </c>
      <c r="P341" s="24">
        <f>IF($J341="","",YEAR($J341))</f>
        <v/>
      </c>
      <c r="Q341" s="24">
        <f>IF($J341="","",MONTH($J341))</f>
        <v/>
      </c>
      <c r="R341" s="24">
        <f>IF($J341="","",$P341&amp;"-"&amp;TEXT($Q341,"00"))</f>
        <v/>
      </c>
      <c r="S341" s="24">
        <f>IF($J341="","",INDEX(lista_dias,WEEKDAY($J341,2)))</f>
        <v/>
      </c>
      <c r="T341" s="24">
        <f>IF($J341="","",IFERROR(INDEX('CALENDARIO'!$C$15:$C$214,MATCH(TEXT($J341,"yyyy-mm-dd")&amp;"|"&amp;$Y341&amp;"|"&amp;$Z341,'CALENDARIO'!$G$15:$G$214,0)),IFERROR(INDEX('CALENDARIO'!$C$15:$C$214,MATCH(TEXT($J341,"yyyy-mm-dd")&amp;"|"&amp;$Y341&amp;"|",'CALENDARIO'!$G$15:$G$214,0)),IFERROR(INDEX('CALENDARIO'!$C$15:$C$214,MATCH(TEXT($J341,"yyyy-mm-dd")&amp;"||",'CALENDARIO'!$G$15:$G$214,0)),INDEX(patronHabil,WEEKDAY($J341,2))))))</f>
        <v/>
      </c>
      <c r="U341" s="24">
        <f>IF($I341="","",IFERROR(INDEX('CAT_TIPOS_OT'!$C$4:$C$23,MATCH($I341,'CAT_TIPOS_OT'!$A$4:$A$23,0)),"sin_clasificar"))</f>
        <v/>
      </c>
      <c r="V341" s="24">
        <f>IF($I341="","",IF(IFERROR(INDEX('CAT_TIPOS_OT'!$D$4:$D$23,MATCH($I341,'CAT_TIPOS_OT'!$A$4:$A$23,0)),"SIN CLASIFICAR")="","SIN CLASIFICAR",IFERROR(INDEX('CAT_TIPOS_OT'!$D$4:$D$23,MATCH($I341,'CAT_TIPOS_OT'!$A$4:$A$23,0)),"SIN CLASIFICAR")))</f>
        <v/>
      </c>
      <c r="W341" s="24">
        <f>IF($H341="","",IF(IFERROR(INDEX('CAT_ACTIVIDADES'!$F$4:$F$26,MATCH($H341,'CAT_ACTIVIDADES'!$A$4:$A$26,0)),"")=0,"",IFERROR(INDEX('CAT_ACTIVIDADES'!$F$4:$F$26,MATCH($H341,'CAT_ACTIVIDADES'!$A$4:$A$26,0)),"")))</f>
        <v/>
      </c>
      <c r="X341" s="24">
        <f>IF($F341="","",IFERROR(INDEX('CAT_CENTROS_COSTO'!$F$4:$F$28,MATCH($F341,'CAT_CENTROS_COSTO'!$A$4:$A$28,0)),"(sin catálogo)"))</f>
        <v/>
      </c>
      <c r="Y341" s="24">
        <f>IF($F341="","",IFERROR(INDEX('CAT_CENTROS_COSTO'!$D$4:$D$28,MATCH($F341,'CAT_CENTROS_COSTO'!$A$4:$A$28,0)),"(sin catálogo)"))</f>
        <v/>
      </c>
      <c r="Z341" s="24">
        <f>IF($F341="","",IF((IFERROR(INDEX('CAT_CENTROS_COSTO'!$E$4:$E$28,MATCH($F341,'CAT_CENTROS_COSTO'!$A$4:$A$28,0)),""))&lt;&gt;"",IFERROR(INDEX('CAT_CENTROS_COSTO'!$E$4:$E$28,MATCH($F341,'CAT_CENTROS_COSTO'!$A$4:$A$28,0)),""),$Y341))</f>
        <v/>
      </c>
      <c r="AA341" s="24">
        <f>IF($F341="","",IFERROR(INDEX('CAT_CENTROS_COSTO'!$G$4:$G$28,MATCH($F341,'CAT_CENTROS_COSTO'!$A$4:$A$28,0)),"(sin catálogo)"))</f>
        <v/>
      </c>
      <c r="AB341" s="24">
        <f>IF($G341="","",IFERROR(INDEX('CAT_PUESTOS'!$B$4:$B$23,MATCH($G341,'CAT_PUESTOS'!$A$4:$A$23,0)),"(sin catálogo)"))</f>
        <v/>
      </c>
      <c r="AC341" s="24">
        <f>IF($H341="","",IFERROR(INDEX('CAT_ACTIVIDADES'!$B$4:$B$26,MATCH($H341,'CAT_ACTIVIDADES'!$A$4:$A$26,0)),"(sin catálogo)"))</f>
        <v/>
      </c>
      <c r="AD341" s="26">
        <f>IF($J341="","",TODAY()-$J341)</f>
        <v/>
      </c>
      <c r="AE341" s="26">
        <f>IF($J341="","",IF($J341&lt;=TODAY(),COUNTIFS(cal_fechas,"&gt;="&amp;$J341,cal_fechas,"&lt;"&amp;TODAY(),cal_habil,"sí"),-COUNTIFS(cal_fechas,"&gt;="&amp;TODAY(),cal_fechas,"&lt;"&amp;$J341,cal_habil,"sí")))</f>
        <v/>
      </c>
      <c r="AF341" s="24">
        <f>IF($AE341="","",IF($AE341&lt;0,"FUTURO",IF($AE341&gt;p_dias_backlog_max,"BACKLOG","MES CORRIENTE")))</f>
        <v/>
      </c>
      <c r="AG341" s="24">
        <f>IF($AE341="",FALSE,AND($AE341&gt;p_dias_backlog_min,$AE341&lt;=p_dias_backlog_max))</f>
        <v/>
      </c>
      <c r="AH341" s="4" t="n"/>
      <c r="AI341" s="24">
        <f>IF($AH341="","",IF((IFERROR(INDEX('ASIGNACIONES'!$J$4:$J$451,MATCH($O341&amp;"|"&amp;$S341&amp;"|"&amp;$AH341,'ASIGNACIONES'!$N$4:$N$451,0)),""))=0,"",IFERROR(INDEX('ASIGNACIONES'!$J$4:$J$451,MATCH($O341&amp;"|"&amp;$S341&amp;"|"&amp;$AH341,'ASIGNACIONES'!$N$4:$N$451,0)),"")))</f>
        <v/>
      </c>
      <c r="AJ341" s="42">
        <f>IF($AH341="","",SUMIFS('ORDENES'!$M$4:$M$1203,'ORDENES'!$AH$4:$AH$1203,$AH341,'ORDENES'!$O$4:$O$1203,$O341,'ORDENES'!$S$4:$S$1203,$S341))</f>
        <v/>
      </c>
      <c r="AK341" s="42">
        <f>IF($AJ341="","",p_factor_productividad*IFERROR(INDEX('ASIGNACIONES'!$M$4:$M$451,MATCH($O341&amp;"|"&amp;$S341&amp;"|"&amp;$AH341,'ASIGNACIONES'!$N$4:$N$451,0)),0)-$AJ341)</f>
        <v/>
      </c>
      <c r="AL341" s="32">
        <f>IF($A341="","",IFERROR(INDEX('2_IMPORTAR_EJECUCION'!$F$9:$F$1208,MATCH($AU341,'2_IMPORTAR_EJECUCION'!$J$9:$J$1208,0)),0))</f>
        <v/>
      </c>
      <c r="AM341" s="32">
        <f>IF($A341="","",MAX(0,IFERROR(INDEX('2_IMPORTAR_EJECUCION'!$H$9:$H$1208,MATCH($AU341,'2_IMPORTAR_EJECUCION'!$J$9:$J$1208,0)),0)-$AL341))</f>
        <v/>
      </c>
      <c r="AN341" s="32">
        <f>IF($A341="","",$AL341+$AM341)</f>
        <v/>
      </c>
      <c r="AO341" s="24">
        <f>IF($A341="","",IF(OR((IFERROR(INDEX('CAT_ACTIVIDADES'!$D$4:$D$26,MATCH($H341,'CAT_ACTIVIDADES'!$A$4:$A$26,0)),""))=0,(IFERROR(INDEX('CAT_ACTIVIDADES'!$D$4:$D$26,MATCH($H341,'CAT_ACTIVIDADES'!$A$4:$A$26,0)),""))=""),"SIN CLASIFICAR",IFERROR(INDEX('CAT_ACTIVIDADES'!$D$4:$D$26,MATCH($H341,'CAT_ACTIVIDADES'!$A$4:$A$26,0)),"")))</f>
        <v/>
      </c>
      <c r="AP341" s="4" t="n"/>
      <c r="AQ341" s="4" t="n"/>
      <c r="AR341" s="4" t="n"/>
      <c r="AS341" s="24">
        <f>IF($AR341="","",HYPERLINK(p_ruta_base_checklists&amp;$AR341,"abrir"))</f>
        <v/>
      </c>
      <c r="AT341" s="4" t="n"/>
      <c r="AU341" s="24">
        <f>IF($A341="","",$A341&amp;IF($B341="","0010",$B341))</f>
        <v/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41" t="n"/>
      <c r="K342" s="5" t="n"/>
      <c r="L342" s="18" t="n"/>
      <c r="M342" s="24">
        <f>IF($A342="","",IFERROR(INDEX('AJUSTES'!$B$4:$B$303,MATCH($AU342,'AJUSTES'!$A$4:$A$303,0)),IF($K342="","",$K342)))</f>
        <v/>
      </c>
      <c r="N342" s="24">
        <f>IF($A342="","",IFERROR(INDEX('CAT_ESTADOS_ERP'!$B$4:$B$22,MATCH(IFERROR(INDEX('2_IMPORTAR_EJECUCION'!$C$9:$C$1208,MATCH($AU342,'2_IMPORTAR_EJECUCION'!$J$9:$J$1208,0)),""),'CAT_ESTADOS_ERP'!$A$4:$A$22,0)),"Pendiente"))</f>
        <v/>
      </c>
      <c r="O342" s="24">
        <f>IF($J342="","",YEAR($J342+4-WEEKDAY($J342,2))&amp;"-S"&amp;TEXT(_xlfn.ISOWEEKNUM($J342),"00"))</f>
        <v/>
      </c>
      <c r="P342" s="24">
        <f>IF($J342="","",YEAR($J342))</f>
        <v/>
      </c>
      <c r="Q342" s="24">
        <f>IF($J342="","",MONTH($J342))</f>
        <v/>
      </c>
      <c r="R342" s="24">
        <f>IF($J342="","",$P342&amp;"-"&amp;TEXT($Q342,"00"))</f>
        <v/>
      </c>
      <c r="S342" s="24">
        <f>IF($J342="","",INDEX(lista_dias,WEEKDAY($J342,2)))</f>
        <v/>
      </c>
      <c r="T342" s="24">
        <f>IF($J342="","",IFERROR(INDEX('CALENDARIO'!$C$15:$C$214,MATCH(TEXT($J342,"yyyy-mm-dd")&amp;"|"&amp;$Y342&amp;"|"&amp;$Z342,'CALENDARIO'!$G$15:$G$214,0)),IFERROR(INDEX('CALENDARIO'!$C$15:$C$214,MATCH(TEXT($J342,"yyyy-mm-dd")&amp;"|"&amp;$Y342&amp;"|",'CALENDARIO'!$G$15:$G$214,0)),IFERROR(INDEX('CALENDARIO'!$C$15:$C$214,MATCH(TEXT($J342,"yyyy-mm-dd")&amp;"||",'CALENDARIO'!$G$15:$G$214,0)),INDEX(patronHabil,WEEKDAY($J342,2))))))</f>
        <v/>
      </c>
      <c r="U342" s="24">
        <f>IF($I342="","",IFERROR(INDEX('CAT_TIPOS_OT'!$C$4:$C$23,MATCH($I342,'CAT_TIPOS_OT'!$A$4:$A$23,0)),"sin_clasificar"))</f>
        <v/>
      </c>
      <c r="V342" s="24">
        <f>IF($I342="","",IF(IFERROR(INDEX('CAT_TIPOS_OT'!$D$4:$D$23,MATCH($I342,'CAT_TIPOS_OT'!$A$4:$A$23,0)),"SIN CLASIFICAR")="","SIN CLASIFICAR",IFERROR(INDEX('CAT_TIPOS_OT'!$D$4:$D$23,MATCH($I342,'CAT_TIPOS_OT'!$A$4:$A$23,0)),"SIN CLASIFICAR")))</f>
        <v/>
      </c>
      <c r="W342" s="24">
        <f>IF($H342="","",IF(IFERROR(INDEX('CAT_ACTIVIDADES'!$F$4:$F$26,MATCH($H342,'CAT_ACTIVIDADES'!$A$4:$A$26,0)),"")=0,"",IFERROR(INDEX('CAT_ACTIVIDADES'!$F$4:$F$26,MATCH($H342,'CAT_ACTIVIDADES'!$A$4:$A$26,0)),"")))</f>
        <v/>
      </c>
      <c r="X342" s="24">
        <f>IF($F342="","",IFERROR(INDEX('CAT_CENTROS_COSTO'!$F$4:$F$28,MATCH($F342,'CAT_CENTROS_COSTO'!$A$4:$A$28,0)),"(sin catálogo)"))</f>
        <v/>
      </c>
      <c r="Y342" s="24">
        <f>IF($F342="","",IFERROR(INDEX('CAT_CENTROS_COSTO'!$D$4:$D$28,MATCH($F342,'CAT_CENTROS_COSTO'!$A$4:$A$28,0)),"(sin catálogo)"))</f>
        <v/>
      </c>
      <c r="Z342" s="24">
        <f>IF($F342="","",IF((IFERROR(INDEX('CAT_CENTROS_COSTO'!$E$4:$E$28,MATCH($F342,'CAT_CENTROS_COSTO'!$A$4:$A$28,0)),""))&lt;&gt;"",IFERROR(INDEX('CAT_CENTROS_COSTO'!$E$4:$E$28,MATCH($F342,'CAT_CENTROS_COSTO'!$A$4:$A$28,0)),""),$Y342))</f>
        <v/>
      </c>
      <c r="AA342" s="24">
        <f>IF($F342="","",IFERROR(INDEX('CAT_CENTROS_COSTO'!$G$4:$G$28,MATCH($F342,'CAT_CENTROS_COSTO'!$A$4:$A$28,0)),"(sin catálogo)"))</f>
        <v/>
      </c>
      <c r="AB342" s="24">
        <f>IF($G342="","",IFERROR(INDEX('CAT_PUESTOS'!$B$4:$B$23,MATCH($G342,'CAT_PUESTOS'!$A$4:$A$23,0)),"(sin catálogo)"))</f>
        <v/>
      </c>
      <c r="AC342" s="24">
        <f>IF($H342="","",IFERROR(INDEX('CAT_ACTIVIDADES'!$B$4:$B$26,MATCH($H342,'CAT_ACTIVIDADES'!$A$4:$A$26,0)),"(sin catálogo)"))</f>
        <v/>
      </c>
      <c r="AD342" s="26">
        <f>IF($J342="","",TODAY()-$J342)</f>
        <v/>
      </c>
      <c r="AE342" s="26">
        <f>IF($J342="","",IF($J342&lt;=TODAY(),COUNTIFS(cal_fechas,"&gt;="&amp;$J342,cal_fechas,"&lt;"&amp;TODAY(),cal_habil,"sí"),-COUNTIFS(cal_fechas,"&gt;="&amp;TODAY(),cal_fechas,"&lt;"&amp;$J342,cal_habil,"sí")))</f>
        <v/>
      </c>
      <c r="AF342" s="24">
        <f>IF($AE342="","",IF($AE342&lt;0,"FUTURO",IF($AE342&gt;p_dias_backlog_max,"BACKLOG","MES CORRIENTE")))</f>
        <v/>
      </c>
      <c r="AG342" s="24">
        <f>IF($AE342="",FALSE,AND($AE342&gt;p_dias_backlog_min,$AE342&lt;=p_dias_backlog_max))</f>
        <v/>
      </c>
      <c r="AH342" s="4" t="n"/>
      <c r="AI342" s="24">
        <f>IF($AH342="","",IF((IFERROR(INDEX('ASIGNACIONES'!$J$4:$J$451,MATCH($O342&amp;"|"&amp;$S342&amp;"|"&amp;$AH342,'ASIGNACIONES'!$N$4:$N$451,0)),""))=0,"",IFERROR(INDEX('ASIGNACIONES'!$J$4:$J$451,MATCH($O342&amp;"|"&amp;$S342&amp;"|"&amp;$AH342,'ASIGNACIONES'!$N$4:$N$451,0)),"")))</f>
        <v/>
      </c>
      <c r="AJ342" s="42">
        <f>IF($AH342="","",SUMIFS('ORDENES'!$M$4:$M$1203,'ORDENES'!$AH$4:$AH$1203,$AH342,'ORDENES'!$O$4:$O$1203,$O342,'ORDENES'!$S$4:$S$1203,$S342))</f>
        <v/>
      </c>
      <c r="AK342" s="42">
        <f>IF($AJ342="","",p_factor_productividad*IFERROR(INDEX('ASIGNACIONES'!$M$4:$M$451,MATCH($O342&amp;"|"&amp;$S342&amp;"|"&amp;$AH342,'ASIGNACIONES'!$N$4:$N$451,0)),0)-$AJ342)</f>
        <v/>
      </c>
      <c r="AL342" s="32">
        <f>IF($A342="","",IFERROR(INDEX('2_IMPORTAR_EJECUCION'!$F$9:$F$1208,MATCH($AU342,'2_IMPORTAR_EJECUCION'!$J$9:$J$1208,0)),0))</f>
        <v/>
      </c>
      <c r="AM342" s="32">
        <f>IF($A342="","",MAX(0,IFERROR(INDEX('2_IMPORTAR_EJECUCION'!$H$9:$H$1208,MATCH($AU342,'2_IMPORTAR_EJECUCION'!$J$9:$J$1208,0)),0)-$AL342))</f>
        <v/>
      </c>
      <c r="AN342" s="32">
        <f>IF($A342="","",$AL342+$AM342)</f>
        <v/>
      </c>
      <c r="AO342" s="24">
        <f>IF($A342="","",IF(OR((IFERROR(INDEX('CAT_ACTIVIDADES'!$D$4:$D$26,MATCH($H342,'CAT_ACTIVIDADES'!$A$4:$A$26,0)),""))=0,(IFERROR(INDEX('CAT_ACTIVIDADES'!$D$4:$D$26,MATCH($H342,'CAT_ACTIVIDADES'!$A$4:$A$26,0)),""))=""),"SIN CLASIFICAR",IFERROR(INDEX('CAT_ACTIVIDADES'!$D$4:$D$26,MATCH($H342,'CAT_ACTIVIDADES'!$A$4:$A$26,0)),"")))</f>
        <v/>
      </c>
      <c r="AP342" s="4" t="n"/>
      <c r="AQ342" s="4" t="n"/>
      <c r="AR342" s="4" t="n"/>
      <c r="AS342" s="24">
        <f>IF($AR342="","",HYPERLINK(p_ruta_base_checklists&amp;$AR342,"abrir"))</f>
        <v/>
      </c>
      <c r="AT342" s="4" t="n"/>
      <c r="AU342" s="24">
        <f>IF($A342="","",$A342&amp;IF($B342="","0010",$B342))</f>
        <v/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41" t="n"/>
      <c r="K343" s="5" t="n"/>
      <c r="L343" s="18" t="n"/>
      <c r="M343" s="24">
        <f>IF($A343="","",IFERROR(INDEX('AJUSTES'!$B$4:$B$303,MATCH($AU343,'AJUSTES'!$A$4:$A$303,0)),IF($K343="","",$K343)))</f>
        <v/>
      </c>
      <c r="N343" s="24">
        <f>IF($A343="","",IFERROR(INDEX('CAT_ESTADOS_ERP'!$B$4:$B$22,MATCH(IFERROR(INDEX('2_IMPORTAR_EJECUCION'!$C$9:$C$1208,MATCH($AU343,'2_IMPORTAR_EJECUCION'!$J$9:$J$1208,0)),""),'CAT_ESTADOS_ERP'!$A$4:$A$22,0)),"Pendiente"))</f>
        <v/>
      </c>
      <c r="O343" s="24">
        <f>IF($J343="","",YEAR($J343+4-WEEKDAY($J343,2))&amp;"-S"&amp;TEXT(_xlfn.ISOWEEKNUM($J343),"00"))</f>
        <v/>
      </c>
      <c r="P343" s="24">
        <f>IF($J343="","",YEAR($J343))</f>
        <v/>
      </c>
      <c r="Q343" s="24">
        <f>IF($J343="","",MONTH($J343))</f>
        <v/>
      </c>
      <c r="R343" s="24">
        <f>IF($J343="","",$P343&amp;"-"&amp;TEXT($Q343,"00"))</f>
        <v/>
      </c>
      <c r="S343" s="24">
        <f>IF($J343="","",INDEX(lista_dias,WEEKDAY($J343,2)))</f>
        <v/>
      </c>
      <c r="T343" s="24">
        <f>IF($J343="","",IFERROR(INDEX('CALENDARIO'!$C$15:$C$214,MATCH(TEXT($J343,"yyyy-mm-dd")&amp;"|"&amp;$Y343&amp;"|"&amp;$Z343,'CALENDARIO'!$G$15:$G$214,0)),IFERROR(INDEX('CALENDARIO'!$C$15:$C$214,MATCH(TEXT($J343,"yyyy-mm-dd")&amp;"|"&amp;$Y343&amp;"|",'CALENDARIO'!$G$15:$G$214,0)),IFERROR(INDEX('CALENDARIO'!$C$15:$C$214,MATCH(TEXT($J343,"yyyy-mm-dd")&amp;"||",'CALENDARIO'!$G$15:$G$214,0)),INDEX(patronHabil,WEEKDAY($J343,2))))))</f>
        <v/>
      </c>
      <c r="U343" s="24">
        <f>IF($I343="","",IFERROR(INDEX('CAT_TIPOS_OT'!$C$4:$C$23,MATCH($I343,'CAT_TIPOS_OT'!$A$4:$A$23,0)),"sin_clasificar"))</f>
        <v/>
      </c>
      <c r="V343" s="24">
        <f>IF($I343="","",IF(IFERROR(INDEX('CAT_TIPOS_OT'!$D$4:$D$23,MATCH($I343,'CAT_TIPOS_OT'!$A$4:$A$23,0)),"SIN CLASIFICAR")="","SIN CLASIFICAR",IFERROR(INDEX('CAT_TIPOS_OT'!$D$4:$D$23,MATCH($I343,'CAT_TIPOS_OT'!$A$4:$A$23,0)),"SIN CLASIFICAR")))</f>
        <v/>
      </c>
      <c r="W343" s="24">
        <f>IF($H343="","",IF(IFERROR(INDEX('CAT_ACTIVIDADES'!$F$4:$F$26,MATCH($H343,'CAT_ACTIVIDADES'!$A$4:$A$26,0)),"")=0,"",IFERROR(INDEX('CAT_ACTIVIDADES'!$F$4:$F$26,MATCH($H343,'CAT_ACTIVIDADES'!$A$4:$A$26,0)),"")))</f>
        <v/>
      </c>
      <c r="X343" s="24">
        <f>IF($F343="","",IFERROR(INDEX('CAT_CENTROS_COSTO'!$F$4:$F$28,MATCH($F343,'CAT_CENTROS_COSTO'!$A$4:$A$28,0)),"(sin catálogo)"))</f>
        <v/>
      </c>
      <c r="Y343" s="24">
        <f>IF($F343="","",IFERROR(INDEX('CAT_CENTROS_COSTO'!$D$4:$D$28,MATCH($F343,'CAT_CENTROS_COSTO'!$A$4:$A$28,0)),"(sin catálogo)"))</f>
        <v/>
      </c>
      <c r="Z343" s="24">
        <f>IF($F343="","",IF((IFERROR(INDEX('CAT_CENTROS_COSTO'!$E$4:$E$28,MATCH($F343,'CAT_CENTROS_COSTO'!$A$4:$A$28,0)),""))&lt;&gt;"",IFERROR(INDEX('CAT_CENTROS_COSTO'!$E$4:$E$28,MATCH($F343,'CAT_CENTROS_COSTO'!$A$4:$A$28,0)),""),$Y343))</f>
        <v/>
      </c>
      <c r="AA343" s="24">
        <f>IF($F343="","",IFERROR(INDEX('CAT_CENTROS_COSTO'!$G$4:$G$28,MATCH($F343,'CAT_CENTROS_COSTO'!$A$4:$A$28,0)),"(sin catálogo)"))</f>
        <v/>
      </c>
      <c r="AB343" s="24">
        <f>IF($G343="","",IFERROR(INDEX('CAT_PUESTOS'!$B$4:$B$23,MATCH($G343,'CAT_PUESTOS'!$A$4:$A$23,0)),"(sin catálogo)"))</f>
        <v/>
      </c>
      <c r="AC343" s="24">
        <f>IF($H343="","",IFERROR(INDEX('CAT_ACTIVIDADES'!$B$4:$B$26,MATCH($H343,'CAT_ACTIVIDADES'!$A$4:$A$26,0)),"(sin catálogo)"))</f>
        <v/>
      </c>
      <c r="AD343" s="26">
        <f>IF($J343="","",TODAY()-$J343)</f>
        <v/>
      </c>
      <c r="AE343" s="26">
        <f>IF($J343="","",IF($J343&lt;=TODAY(),COUNTIFS(cal_fechas,"&gt;="&amp;$J343,cal_fechas,"&lt;"&amp;TODAY(),cal_habil,"sí"),-COUNTIFS(cal_fechas,"&gt;="&amp;TODAY(),cal_fechas,"&lt;"&amp;$J343,cal_habil,"sí")))</f>
        <v/>
      </c>
      <c r="AF343" s="24">
        <f>IF($AE343="","",IF($AE343&lt;0,"FUTURO",IF($AE343&gt;p_dias_backlog_max,"BACKLOG","MES CORRIENTE")))</f>
        <v/>
      </c>
      <c r="AG343" s="24">
        <f>IF($AE343="",FALSE,AND($AE343&gt;p_dias_backlog_min,$AE343&lt;=p_dias_backlog_max))</f>
        <v/>
      </c>
      <c r="AH343" s="4" t="n"/>
      <c r="AI343" s="24">
        <f>IF($AH343="","",IF((IFERROR(INDEX('ASIGNACIONES'!$J$4:$J$451,MATCH($O343&amp;"|"&amp;$S343&amp;"|"&amp;$AH343,'ASIGNACIONES'!$N$4:$N$451,0)),""))=0,"",IFERROR(INDEX('ASIGNACIONES'!$J$4:$J$451,MATCH($O343&amp;"|"&amp;$S343&amp;"|"&amp;$AH343,'ASIGNACIONES'!$N$4:$N$451,0)),"")))</f>
        <v/>
      </c>
      <c r="AJ343" s="42">
        <f>IF($AH343="","",SUMIFS('ORDENES'!$M$4:$M$1203,'ORDENES'!$AH$4:$AH$1203,$AH343,'ORDENES'!$O$4:$O$1203,$O343,'ORDENES'!$S$4:$S$1203,$S343))</f>
        <v/>
      </c>
      <c r="AK343" s="42">
        <f>IF($AJ343="","",p_factor_productividad*IFERROR(INDEX('ASIGNACIONES'!$M$4:$M$451,MATCH($O343&amp;"|"&amp;$S343&amp;"|"&amp;$AH343,'ASIGNACIONES'!$N$4:$N$451,0)),0)-$AJ343)</f>
        <v/>
      </c>
      <c r="AL343" s="32">
        <f>IF($A343="","",IFERROR(INDEX('2_IMPORTAR_EJECUCION'!$F$9:$F$1208,MATCH($AU343,'2_IMPORTAR_EJECUCION'!$J$9:$J$1208,0)),0))</f>
        <v/>
      </c>
      <c r="AM343" s="32">
        <f>IF($A343="","",MAX(0,IFERROR(INDEX('2_IMPORTAR_EJECUCION'!$H$9:$H$1208,MATCH($AU343,'2_IMPORTAR_EJECUCION'!$J$9:$J$1208,0)),0)-$AL343))</f>
        <v/>
      </c>
      <c r="AN343" s="32">
        <f>IF($A343="","",$AL343+$AM343)</f>
        <v/>
      </c>
      <c r="AO343" s="24">
        <f>IF($A343="","",IF(OR((IFERROR(INDEX('CAT_ACTIVIDADES'!$D$4:$D$26,MATCH($H343,'CAT_ACTIVIDADES'!$A$4:$A$26,0)),""))=0,(IFERROR(INDEX('CAT_ACTIVIDADES'!$D$4:$D$26,MATCH($H343,'CAT_ACTIVIDADES'!$A$4:$A$26,0)),""))=""),"SIN CLASIFICAR",IFERROR(INDEX('CAT_ACTIVIDADES'!$D$4:$D$26,MATCH($H343,'CAT_ACTIVIDADES'!$A$4:$A$26,0)),"")))</f>
        <v/>
      </c>
      <c r="AP343" s="4" t="n"/>
      <c r="AQ343" s="4" t="n"/>
      <c r="AR343" s="4" t="n"/>
      <c r="AS343" s="24">
        <f>IF($AR343="","",HYPERLINK(p_ruta_base_checklists&amp;$AR343,"abrir"))</f>
        <v/>
      </c>
      <c r="AT343" s="4" t="n"/>
      <c r="AU343" s="24">
        <f>IF($A343="","",$A343&amp;IF($B343="","0010",$B343))</f>
        <v/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41" t="n"/>
      <c r="K344" s="5" t="n"/>
      <c r="L344" s="18" t="n"/>
      <c r="M344" s="24">
        <f>IF($A344="","",IFERROR(INDEX('AJUSTES'!$B$4:$B$303,MATCH($AU344,'AJUSTES'!$A$4:$A$303,0)),IF($K344="","",$K344)))</f>
        <v/>
      </c>
      <c r="N344" s="24">
        <f>IF($A344="","",IFERROR(INDEX('CAT_ESTADOS_ERP'!$B$4:$B$22,MATCH(IFERROR(INDEX('2_IMPORTAR_EJECUCION'!$C$9:$C$1208,MATCH($AU344,'2_IMPORTAR_EJECUCION'!$J$9:$J$1208,0)),""),'CAT_ESTADOS_ERP'!$A$4:$A$22,0)),"Pendiente"))</f>
        <v/>
      </c>
      <c r="O344" s="24">
        <f>IF($J344="","",YEAR($J344+4-WEEKDAY($J344,2))&amp;"-S"&amp;TEXT(_xlfn.ISOWEEKNUM($J344),"00"))</f>
        <v/>
      </c>
      <c r="P344" s="24">
        <f>IF($J344="","",YEAR($J344))</f>
        <v/>
      </c>
      <c r="Q344" s="24">
        <f>IF($J344="","",MONTH($J344))</f>
        <v/>
      </c>
      <c r="R344" s="24">
        <f>IF($J344="","",$P344&amp;"-"&amp;TEXT($Q344,"00"))</f>
        <v/>
      </c>
      <c r="S344" s="24">
        <f>IF($J344="","",INDEX(lista_dias,WEEKDAY($J344,2)))</f>
        <v/>
      </c>
      <c r="T344" s="24">
        <f>IF($J344="","",IFERROR(INDEX('CALENDARIO'!$C$15:$C$214,MATCH(TEXT($J344,"yyyy-mm-dd")&amp;"|"&amp;$Y344&amp;"|"&amp;$Z344,'CALENDARIO'!$G$15:$G$214,0)),IFERROR(INDEX('CALENDARIO'!$C$15:$C$214,MATCH(TEXT($J344,"yyyy-mm-dd")&amp;"|"&amp;$Y344&amp;"|",'CALENDARIO'!$G$15:$G$214,0)),IFERROR(INDEX('CALENDARIO'!$C$15:$C$214,MATCH(TEXT($J344,"yyyy-mm-dd")&amp;"||",'CALENDARIO'!$G$15:$G$214,0)),INDEX(patronHabil,WEEKDAY($J344,2))))))</f>
        <v/>
      </c>
      <c r="U344" s="24">
        <f>IF($I344="","",IFERROR(INDEX('CAT_TIPOS_OT'!$C$4:$C$23,MATCH($I344,'CAT_TIPOS_OT'!$A$4:$A$23,0)),"sin_clasificar"))</f>
        <v/>
      </c>
      <c r="V344" s="24">
        <f>IF($I344="","",IF(IFERROR(INDEX('CAT_TIPOS_OT'!$D$4:$D$23,MATCH($I344,'CAT_TIPOS_OT'!$A$4:$A$23,0)),"SIN CLASIFICAR")="","SIN CLASIFICAR",IFERROR(INDEX('CAT_TIPOS_OT'!$D$4:$D$23,MATCH($I344,'CAT_TIPOS_OT'!$A$4:$A$23,0)),"SIN CLASIFICAR")))</f>
        <v/>
      </c>
      <c r="W344" s="24">
        <f>IF($H344="","",IF(IFERROR(INDEX('CAT_ACTIVIDADES'!$F$4:$F$26,MATCH($H344,'CAT_ACTIVIDADES'!$A$4:$A$26,0)),"")=0,"",IFERROR(INDEX('CAT_ACTIVIDADES'!$F$4:$F$26,MATCH($H344,'CAT_ACTIVIDADES'!$A$4:$A$26,0)),"")))</f>
        <v/>
      </c>
      <c r="X344" s="24">
        <f>IF($F344="","",IFERROR(INDEX('CAT_CENTROS_COSTO'!$F$4:$F$28,MATCH($F344,'CAT_CENTROS_COSTO'!$A$4:$A$28,0)),"(sin catálogo)"))</f>
        <v/>
      </c>
      <c r="Y344" s="24">
        <f>IF($F344="","",IFERROR(INDEX('CAT_CENTROS_COSTO'!$D$4:$D$28,MATCH($F344,'CAT_CENTROS_COSTO'!$A$4:$A$28,0)),"(sin catálogo)"))</f>
        <v/>
      </c>
      <c r="Z344" s="24">
        <f>IF($F344="","",IF((IFERROR(INDEX('CAT_CENTROS_COSTO'!$E$4:$E$28,MATCH($F344,'CAT_CENTROS_COSTO'!$A$4:$A$28,0)),""))&lt;&gt;"",IFERROR(INDEX('CAT_CENTROS_COSTO'!$E$4:$E$28,MATCH($F344,'CAT_CENTROS_COSTO'!$A$4:$A$28,0)),""),$Y344))</f>
        <v/>
      </c>
      <c r="AA344" s="24">
        <f>IF($F344="","",IFERROR(INDEX('CAT_CENTROS_COSTO'!$G$4:$G$28,MATCH($F344,'CAT_CENTROS_COSTO'!$A$4:$A$28,0)),"(sin catálogo)"))</f>
        <v/>
      </c>
      <c r="AB344" s="24">
        <f>IF($G344="","",IFERROR(INDEX('CAT_PUESTOS'!$B$4:$B$23,MATCH($G344,'CAT_PUESTOS'!$A$4:$A$23,0)),"(sin catálogo)"))</f>
        <v/>
      </c>
      <c r="AC344" s="24">
        <f>IF($H344="","",IFERROR(INDEX('CAT_ACTIVIDADES'!$B$4:$B$26,MATCH($H344,'CAT_ACTIVIDADES'!$A$4:$A$26,0)),"(sin catálogo)"))</f>
        <v/>
      </c>
      <c r="AD344" s="26">
        <f>IF($J344="","",TODAY()-$J344)</f>
        <v/>
      </c>
      <c r="AE344" s="26">
        <f>IF($J344="","",IF($J344&lt;=TODAY(),COUNTIFS(cal_fechas,"&gt;="&amp;$J344,cal_fechas,"&lt;"&amp;TODAY(),cal_habil,"sí"),-COUNTIFS(cal_fechas,"&gt;="&amp;TODAY(),cal_fechas,"&lt;"&amp;$J344,cal_habil,"sí")))</f>
        <v/>
      </c>
      <c r="AF344" s="24">
        <f>IF($AE344="","",IF($AE344&lt;0,"FUTURO",IF($AE344&gt;p_dias_backlog_max,"BACKLOG","MES CORRIENTE")))</f>
        <v/>
      </c>
      <c r="AG344" s="24">
        <f>IF($AE344="",FALSE,AND($AE344&gt;p_dias_backlog_min,$AE344&lt;=p_dias_backlog_max))</f>
        <v/>
      </c>
      <c r="AH344" s="4" t="n"/>
      <c r="AI344" s="24">
        <f>IF($AH344="","",IF((IFERROR(INDEX('ASIGNACIONES'!$J$4:$J$451,MATCH($O344&amp;"|"&amp;$S344&amp;"|"&amp;$AH344,'ASIGNACIONES'!$N$4:$N$451,0)),""))=0,"",IFERROR(INDEX('ASIGNACIONES'!$J$4:$J$451,MATCH($O344&amp;"|"&amp;$S344&amp;"|"&amp;$AH344,'ASIGNACIONES'!$N$4:$N$451,0)),"")))</f>
        <v/>
      </c>
      <c r="AJ344" s="42">
        <f>IF($AH344="","",SUMIFS('ORDENES'!$M$4:$M$1203,'ORDENES'!$AH$4:$AH$1203,$AH344,'ORDENES'!$O$4:$O$1203,$O344,'ORDENES'!$S$4:$S$1203,$S344))</f>
        <v/>
      </c>
      <c r="AK344" s="42">
        <f>IF($AJ344="","",p_factor_productividad*IFERROR(INDEX('ASIGNACIONES'!$M$4:$M$451,MATCH($O344&amp;"|"&amp;$S344&amp;"|"&amp;$AH344,'ASIGNACIONES'!$N$4:$N$451,0)),0)-$AJ344)</f>
        <v/>
      </c>
      <c r="AL344" s="32">
        <f>IF($A344="","",IFERROR(INDEX('2_IMPORTAR_EJECUCION'!$F$9:$F$1208,MATCH($AU344,'2_IMPORTAR_EJECUCION'!$J$9:$J$1208,0)),0))</f>
        <v/>
      </c>
      <c r="AM344" s="32">
        <f>IF($A344="","",MAX(0,IFERROR(INDEX('2_IMPORTAR_EJECUCION'!$H$9:$H$1208,MATCH($AU344,'2_IMPORTAR_EJECUCION'!$J$9:$J$1208,0)),0)-$AL344))</f>
        <v/>
      </c>
      <c r="AN344" s="32">
        <f>IF($A344="","",$AL344+$AM344)</f>
        <v/>
      </c>
      <c r="AO344" s="24">
        <f>IF($A344="","",IF(OR((IFERROR(INDEX('CAT_ACTIVIDADES'!$D$4:$D$26,MATCH($H344,'CAT_ACTIVIDADES'!$A$4:$A$26,0)),""))=0,(IFERROR(INDEX('CAT_ACTIVIDADES'!$D$4:$D$26,MATCH($H344,'CAT_ACTIVIDADES'!$A$4:$A$26,0)),""))=""),"SIN CLASIFICAR",IFERROR(INDEX('CAT_ACTIVIDADES'!$D$4:$D$26,MATCH($H344,'CAT_ACTIVIDADES'!$A$4:$A$26,0)),"")))</f>
        <v/>
      </c>
      <c r="AP344" s="4" t="n"/>
      <c r="AQ344" s="4" t="n"/>
      <c r="AR344" s="4" t="n"/>
      <c r="AS344" s="24">
        <f>IF($AR344="","",HYPERLINK(p_ruta_base_checklists&amp;$AR344,"abrir"))</f>
        <v/>
      </c>
      <c r="AT344" s="4" t="n"/>
      <c r="AU344" s="24">
        <f>IF($A344="","",$A344&amp;IF($B344="","0010",$B344))</f>
        <v/>
      </c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41" t="n"/>
      <c r="K345" s="5" t="n"/>
      <c r="L345" s="18" t="n"/>
      <c r="M345" s="24">
        <f>IF($A345="","",IFERROR(INDEX('AJUSTES'!$B$4:$B$303,MATCH($AU345,'AJUSTES'!$A$4:$A$303,0)),IF($K345="","",$K345)))</f>
        <v/>
      </c>
      <c r="N345" s="24">
        <f>IF($A345="","",IFERROR(INDEX('CAT_ESTADOS_ERP'!$B$4:$B$22,MATCH(IFERROR(INDEX('2_IMPORTAR_EJECUCION'!$C$9:$C$1208,MATCH($AU345,'2_IMPORTAR_EJECUCION'!$J$9:$J$1208,0)),""),'CAT_ESTADOS_ERP'!$A$4:$A$22,0)),"Pendiente"))</f>
        <v/>
      </c>
      <c r="O345" s="24">
        <f>IF($J345="","",YEAR($J345+4-WEEKDAY($J345,2))&amp;"-S"&amp;TEXT(_xlfn.ISOWEEKNUM($J345),"00"))</f>
        <v/>
      </c>
      <c r="P345" s="24">
        <f>IF($J345="","",YEAR($J345))</f>
        <v/>
      </c>
      <c r="Q345" s="24">
        <f>IF($J345="","",MONTH($J345))</f>
        <v/>
      </c>
      <c r="R345" s="24">
        <f>IF($J345="","",$P345&amp;"-"&amp;TEXT($Q345,"00"))</f>
        <v/>
      </c>
      <c r="S345" s="24">
        <f>IF($J345="","",INDEX(lista_dias,WEEKDAY($J345,2)))</f>
        <v/>
      </c>
      <c r="T345" s="24">
        <f>IF($J345="","",IFERROR(INDEX('CALENDARIO'!$C$15:$C$214,MATCH(TEXT($J345,"yyyy-mm-dd")&amp;"|"&amp;$Y345&amp;"|"&amp;$Z345,'CALENDARIO'!$G$15:$G$214,0)),IFERROR(INDEX('CALENDARIO'!$C$15:$C$214,MATCH(TEXT($J345,"yyyy-mm-dd")&amp;"|"&amp;$Y345&amp;"|",'CALENDARIO'!$G$15:$G$214,0)),IFERROR(INDEX('CALENDARIO'!$C$15:$C$214,MATCH(TEXT($J345,"yyyy-mm-dd")&amp;"||",'CALENDARIO'!$G$15:$G$214,0)),INDEX(patronHabil,WEEKDAY($J345,2))))))</f>
        <v/>
      </c>
      <c r="U345" s="24">
        <f>IF($I345="","",IFERROR(INDEX('CAT_TIPOS_OT'!$C$4:$C$23,MATCH($I345,'CAT_TIPOS_OT'!$A$4:$A$23,0)),"sin_clasificar"))</f>
        <v/>
      </c>
      <c r="V345" s="24">
        <f>IF($I345="","",IF(IFERROR(INDEX('CAT_TIPOS_OT'!$D$4:$D$23,MATCH($I345,'CAT_TIPOS_OT'!$A$4:$A$23,0)),"SIN CLASIFICAR")="","SIN CLASIFICAR",IFERROR(INDEX('CAT_TIPOS_OT'!$D$4:$D$23,MATCH($I345,'CAT_TIPOS_OT'!$A$4:$A$23,0)),"SIN CLASIFICAR")))</f>
        <v/>
      </c>
      <c r="W345" s="24">
        <f>IF($H345="","",IF(IFERROR(INDEX('CAT_ACTIVIDADES'!$F$4:$F$26,MATCH($H345,'CAT_ACTIVIDADES'!$A$4:$A$26,0)),"")=0,"",IFERROR(INDEX('CAT_ACTIVIDADES'!$F$4:$F$26,MATCH($H345,'CAT_ACTIVIDADES'!$A$4:$A$26,0)),"")))</f>
        <v/>
      </c>
      <c r="X345" s="24">
        <f>IF($F345="","",IFERROR(INDEX('CAT_CENTROS_COSTO'!$F$4:$F$28,MATCH($F345,'CAT_CENTROS_COSTO'!$A$4:$A$28,0)),"(sin catálogo)"))</f>
        <v/>
      </c>
      <c r="Y345" s="24">
        <f>IF($F345="","",IFERROR(INDEX('CAT_CENTROS_COSTO'!$D$4:$D$28,MATCH($F345,'CAT_CENTROS_COSTO'!$A$4:$A$28,0)),"(sin catálogo)"))</f>
        <v/>
      </c>
      <c r="Z345" s="24">
        <f>IF($F345="","",IF((IFERROR(INDEX('CAT_CENTROS_COSTO'!$E$4:$E$28,MATCH($F345,'CAT_CENTROS_COSTO'!$A$4:$A$28,0)),""))&lt;&gt;"",IFERROR(INDEX('CAT_CENTROS_COSTO'!$E$4:$E$28,MATCH($F345,'CAT_CENTROS_COSTO'!$A$4:$A$28,0)),""),$Y345))</f>
        <v/>
      </c>
      <c r="AA345" s="24">
        <f>IF($F345="","",IFERROR(INDEX('CAT_CENTROS_COSTO'!$G$4:$G$28,MATCH($F345,'CAT_CENTROS_COSTO'!$A$4:$A$28,0)),"(sin catálogo)"))</f>
        <v/>
      </c>
      <c r="AB345" s="24">
        <f>IF($G345="","",IFERROR(INDEX('CAT_PUESTOS'!$B$4:$B$23,MATCH($G345,'CAT_PUESTOS'!$A$4:$A$23,0)),"(sin catálogo)"))</f>
        <v/>
      </c>
      <c r="AC345" s="24">
        <f>IF($H345="","",IFERROR(INDEX('CAT_ACTIVIDADES'!$B$4:$B$26,MATCH($H345,'CAT_ACTIVIDADES'!$A$4:$A$26,0)),"(sin catálogo)"))</f>
        <v/>
      </c>
      <c r="AD345" s="26">
        <f>IF($J345="","",TODAY()-$J345)</f>
        <v/>
      </c>
      <c r="AE345" s="26">
        <f>IF($J345="","",IF($J345&lt;=TODAY(),COUNTIFS(cal_fechas,"&gt;="&amp;$J345,cal_fechas,"&lt;"&amp;TODAY(),cal_habil,"sí"),-COUNTIFS(cal_fechas,"&gt;="&amp;TODAY(),cal_fechas,"&lt;"&amp;$J345,cal_habil,"sí")))</f>
        <v/>
      </c>
      <c r="AF345" s="24">
        <f>IF($AE345="","",IF($AE345&lt;0,"FUTURO",IF($AE345&gt;p_dias_backlog_max,"BACKLOG","MES CORRIENTE")))</f>
        <v/>
      </c>
      <c r="AG345" s="24">
        <f>IF($AE345="",FALSE,AND($AE345&gt;p_dias_backlog_min,$AE345&lt;=p_dias_backlog_max))</f>
        <v/>
      </c>
      <c r="AH345" s="4" t="n"/>
      <c r="AI345" s="24">
        <f>IF($AH345="","",IF((IFERROR(INDEX('ASIGNACIONES'!$J$4:$J$451,MATCH($O345&amp;"|"&amp;$S345&amp;"|"&amp;$AH345,'ASIGNACIONES'!$N$4:$N$451,0)),""))=0,"",IFERROR(INDEX('ASIGNACIONES'!$J$4:$J$451,MATCH($O345&amp;"|"&amp;$S345&amp;"|"&amp;$AH345,'ASIGNACIONES'!$N$4:$N$451,0)),"")))</f>
        <v/>
      </c>
      <c r="AJ345" s="42">
        <f>IF($AH345="","",SUMIFS('ORDENES'!$M$4:$M$1203,'ORDENES'!$AH$4:$AH$1203,$AH345,'ORDENES'!$O$4:$O$1203,$O345,'ORDENES'!$S$4:$S$1203,$S345))</f>
        <v/>
      </c>
      <c r="AK345" s="42">
        <f>IF($AJ345="","",p_factor_productividad*IFERROR(INDEX('ASIGNACIONES'!$M$4:$M$451,MATCH($O345&amp;"|"&amp;$S345&amp;"|"&amp;$AH345,'ASIGNACIONES'!$N$4:$N$451,0)),0)-$AJ345)</f>
        <v/>
      </c>
      <c r="AL345" s="32">
        <f>IF($A345="","",IFERROR(INDEX('2_IMPORTAR_EJECUCION'!$F$9:$F$1208,MATCH($AU345,'2_IMPORTAR_EJECUCION'!$J$9:$J$1208,0)),0))</f>
        <v/>
      </c>
      <c r="AM345" s="32">
        <f>IF($A345="","",MAX(0,IFERROR(INDEX('2_IMPORTAR_EJECUCION'!$H$9:$H$1208,MATCH($AU345,'2_IMPORTAR_EJECUCION'!$J$9:$J$1208,0)),0)-$AL345))</f>
        <v/>
      </c>
      <c r="AN345" s="32">
        <f>IF($A345="","",$AL345+$AM345)</f>
        <v/>
      </c>
      <c r="AO345" s="24">
        <f>IF($A345="","",IF(OR((IFERROR(INDEX('CAT_ACTIVIDADES'!$D$4:$D$26,MATCH($H345,'CAT_ACTIVIDADES'!$A$4:$A$26,0)),""))=0,(IFERROR(INDEX('CAT_ACTIVIDADES'!$D$4:$D$26,MATCH($H345,'CAT_ACTIVIDADES'!$A$4:$A$26,0)),""))=""),"SIN CLASIFICAR",IFERROR(INDEX('CAT_ACTIVIDADES'!$D$4:$D$26,MATCH($H345,'CAT_ACTIVIDADES'!$A$4:$A$26,0)),"")))</f>
        <v/>
      </c>
      <c r="AP345" s="4" t="n"/>
      <c r="AQ345" s="4" t="n"/>
      <c r="AR345" s="4" t="n"/>
      <c r="AS345" s="24">
        <f>IF($AR345="","",HYPERLINK(p_ruta_base_checklists&amp;$AR345,"abrir"))</f>
        <v/>
      </c>
      <c r="AT345" s="4" t="n"/>
      <c r="AU345" s="24">
        <f>IF($A345="","",$A345&amp;IF($B345="","0010",$B345))</f>
        <v/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41" t="n"/>
      <c r="K346" s="5" t="n"/>
      <c r="L346" s="18" t="n"/>
      <c r="M346" s="24">
        <f>IF($A346="","",IFERROR(INDEX('AJUSTES'!$B$4:$B$303,MATCH($AU346,'AJUSTES'!$A$4:$A$303,0)),IF($K346="","",$K346)))</f>
        <v/>
      </c>
      <c r="N346" s="24">
        <f>IF($A346="","",IFERROR(INDEX('CAT_ESTADOS_ERP'!$B$4:$B$22,MATCH(IFERROR(INDEX('2_IMPORTAR_EJECUCION'!$C$9:$C$1208,MATCH($AU346,'2_IMPORTAR_EJECUCION'!$J$9:$J$1208,0)),""),'CAT_ESTADOS_ERP'!$A$4:$A$22,0)),"Pendiente"))</f>
        <v/>
      </c>
      <c r="O346" s="24">
        <f>IF($J346="","",YEAR($J346+4-WEEKDAY($J346,2))&amp;"-S"&amp;TEXT(_xlfn.ISOWEEKNUM($J346),"00"))</f>
        <v/>
      </c>
      <c r="P346" s="24">
        <f>IF($J346="","",YEAR($J346))</f>
        <v/>
      </c>
      <c r="Q346" s="24">
        <f>IF($J346="","",MONTH($J346))</f>
        <v/>
      </c>
      <c r="R346" s="24">
        <f>IF($J346="","",$P346&amp;"-"&amp;TEXT($Q346,"00"))</f>
        <v/>
      </c>
      <c r="S346" s="24">
        <f>IF($J346="","",INDEX(lista_dias,WEEKDAY($J346,2)))</f>
        <v/>
      </c>
      <c r="T346" s="24">
        <f>IF($J346="","",IFERROR(INDEX('CALENDARIO'!$C$15:$C$214,MATCH(TEXT($J346,"yyyy-mm-dd")&amp;"|"&amp;$Y346&amp;"|"&amp;$Z346,'CALENDARIO'!$G$15:$G$214,0)),IFERROR(INDEX('CALENDARIO'!$C$15:$C$214,MATCH(TEXT($J346,"yyyy-mm-dd")&amp;"|"&amp;$Y346&amp;"|",'CALENDARIO'!$G$15:$G$214,0)),IFERROR(INDEX('CALENDARIO'!$C$15:$C$214,MATCH(TEXT($J346,"yyyy-mm-dd")&amp;"||",'CALENDARIO'!$G$15:$G$214,0)),INDEX(patronHabil,WEEKDAY($J346,2))))))</f>
        <v/>
      </c>
      <c r="U346" s="24">
        <f>IF($I346="","",IFERROR(INDEX('CAT_TIPOS_OT'!$C$4:$C$23,MATCH($I346,'CAT_TIPOS_OT'!$A$4:$A$23,0)),"sin_clasificar"))</f>
        <v/>
      </c>
      <c r="V346" s="24">
        <f>IF($I346="","",IF(IFERROR(INDEX('CAT_TIPOS_OT'!$D$4:$D$23,MATCH($I346,'CAT_TIPOS_OT'!$A$4:$A$23,0)),"SIN CLASIFICAR")="","SIN CLASIFICAR",IFERROR(INDEX('CAT_TIPOS_OT'!$D$4:$D$23,MATCH($I346,'CAT_TIPOS_OT'!$A$4:$A$23,0)),"SIN CLASIFICAR")))</f>
        <v/>
      </c>
      <c r="W346" s="24">
        <f>IF($H346="","",IF(IFERROR(INDEX('CAT_ACTIVIDADES'!$F$4:$F$26,MATCH($H346,'CAT_ACTIVIDADES'!$A$4:$A$26,0)),"")=0,"",IFERROR(INDEX('CAT_ACTIVIDADES'!$F$4:$F$26,MATCH($H346,'CAT_ACTIVIDADES'!$A$4:$A$26,0)),"")))</f>
        <v/>
      </c>
      <c r="X346" s="24">
        <f>IF($F346="","",IFERROR(INDEX('CAT_CENTROS_COSTO'!$F$4:$F$28,MATCH($F346,'CAT_CENTROS_COSTO'!$A$4:$A$28,0)),"(sin catálogo)"))</f>
        <v/>
      </c>
      <c r="Y346" s="24">
        <f>IF($F346="","",IFERROR(INDEX('CAT_CENTROS_COSTO'!$D$4:$D$28,MATCH($F346,'CAT_CENTROS_COSTO'!$A$4:$A$28,0)),"(sin catálogo)"))</f>
        <v/>
      </c>
      <c r="Z346" s="24">
        <f>IF($F346="","",IF((IFERROR(INDEX('CAT_CENTROS_COSTO'!$E$4:$E$28,MATCH($F346,'CAT_CENTROS_COSTO'!$A$4:$A$28,0)),""))&lt;&gt;"",IFERROR(INDEX('CAT_CENTROS_COSTO'!$E$4:$E$28,MATCH($F346,'CAT_CENTROS_COSTO'!$A$4:$A$28,0)),""),$Y346))</f>
        <v/>
      </c>
      <c r="AA346" s="24">
        <f>IF($F346="","",IFERROR(INDEX('CAT_CENTROS_COSTO'!$G$4:$G$28,MATCH($F346,'CAT_CENTROS_COSTO'!$A$4:$A$28,0)),"(sin catálogo)"))</f>
        <v/>
      </c>
      <c r="AB346" s="24">
        <f>IF($G346="","",IFERROR(INDEX('CAT_PUESTOS'!$B$4:$B$23,MATCH($G346,'CAT_PUESTOS'!$A$4:$A$23,0)),"(sin catálogo)"))</f>
        <v/>
      </c>
      <c r="AC346" s="24">
        <f>IF($H346="","",IFERROR(INDEX('CAT_ACTIVIDADES'!$B$4:$B$26,MATCH($H346,'CAT_ACTIVIDADES'!$A$4:$A$26,0)),"(sin catálogo)"))</f>
        <v/>
      </c>
      <c r="AD346" s="26">
        <f>IF($J346="","",TODAY()-$J346)</f>
        <v/>
      </c>
      <c r="AE346" s="26">
        <f>IF($J346="","",IF($J346&lt;=TODAY(),COUNTIFS(cal_fechas,"&gt;="&amp;$J346,cal_fechas,"&lt;"&amp;TODAY(),cal_habil,"sí"),-COUNTIFS(cal_fechas,"&gt;="&amp;TODAY(),cal_fechas,"&lt;"&amp;$J346,cal_habil,"sí")))</f>
        <v/>
      </c>
      <c r="AF346" s="24">
        <f>IF($AE346="","",IF($AE346&lt;0,"FUTURO",IF($AE346&gt;p_dias_backlog_max,"BACKLOG","MES CORRIENTE")))</f>
        <v/>
      </c>
      <c r="AG346" s="24">
        <f>IF($AE346="",FALSE,AND($AE346&gt;p_dias_backlog_min,$AE346&lt;=p_dias_backlog_max))</f>
        <v/>
      </c>
      <c r="AH346" s="4" t="n"/>
      <c r="AI346" s="24">
        <f>IF($AH346="","",IF((IFERROR(INDEX('ASIGNACIONES'!$J$4:$J$451,MATCH($O346&amp;"|"&amp;$S346&amp;"|"&amp;$AH346,'ASIGNACIONES'!$N$4:$N$451,0)),""))=0,"",IFERROR(INDEX('ASIGNACIONES'!$J$4:$J$451,MATCH($O346&amp;"|"&amp;$S346&amp;"|"&amp;$AH346,'ASIGNACIONES'!$N$4:$N$451,0)),"")))</f>
        <v/>
      </c>
      <c r="AJ346" s="42">
        <f>IF($AH346="","",SUMIFS('ORDENES'!$M$4:$M$1203,'ORDENES'!$AH$4:$AH$1203,$AH346,'ORDENES'!$O$4:$O$1203,$O346,'ORDENES'!$S$4:$S$1203,$S346))</f>
        <v/>
      </c>
      <c r="AK346" s="42">
        <f>IF($AJ346="","",p_factor_productividad*IFERROR(INDEX('ASIGNACIONES'!$M$4:$M$451,MATCH($O346&amp;"|"&amp;$S346&amp;"|"&amp;$AH346,'ASIGNACIONES'!$N$4:$N$451,0)),0)-$AJ346)</f>
        <v/>
      </c>
      <c r="AL346" s="32">
        <f>IF($A346="","",IFERROR(INDEX('2_IMPORTAR_EJECUCION'!$F$9:$F$1208,MATCH($AU346,'2_IMPORTAR_EJECUCION'!$J$9:$J$1208,0)),0))</f>
        <v/>
      </c>
      <c r="AM346" s="32">
        <f>IF($A346="","",MAX(0,IFERROR(INDEX('2_IMPORTAR_EJECUCION'!$H$9:$H$1208,MATCH($AU346,'2_IMPORTAR_EJECUCION'!$J$9:$J$1208,0)),0)-$AL346))</f>
        <v/>
      </c>
      <c r="AN346" s="32">
        <f>IF($A346="","",$AL346+$AM346)</f>
        <v/>
      </c>
      <c r="AO346" s="24">
        <f>IF($A346="","",IF(OR((IFERROR(INDEX('CAT_ACTIVIDADES'!$D$4:$D$26,MATCH($H346,'CAT_ACTIVIDADES'!$A$4:$A$26,0)),""))=0,(IFERROR(INDEX('CAT_ACTIVIDADES'!$D$4:$D$26,MATCH($H346,'CAT_ACTIVIDADES'!$A$4:$A$26,0)),""))=""),"SIN CLASIFICAR",IFERROR(INDEX('CAT_ACTIVIDADES'!$D$4:$D$26,MATCH($H346,'CAT_ACTIVIDADES'!$A$4:$A$26,0)),"")))</f>
        <v/>
      </c>
      <c r="AP346" s="4" t="n"/>
      <c r="AQ346" s="4" t="n"/>
      <c r="AR346" s="4" t="n"/>
      <c r="AS346" s="24">
        <f>IF($AR346="","",HYPERLINK(p_ruta_base_checklists&amp;$AR346,"abrir"))</f>
        <v/>
      </c>
      <c r="AT346" s="4" t="n"/>
      <c r="AU346" s="24">
        <f>IF($A346="","",$A346&amp;IF($B346="","0010",$B346))</f>
        <v/>
      </c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41" t="n"/>
      <c r="K347" s="5" t="n"/>
      <c r="L347" s="18" t="n"/>
      <c r="M347" s="24">
        <f>IF($A347="","",IFERROR(INDEX('AJUSTES'!$B$4:$B$303,MATCH($AU347,'AJUSTES'!$A$4:$A$303,0)),IF($K347="","",$K347)))</f>
        <v/>
      </c>
      <c r="N347" s="24">
        <f>IF($A347="","",IFERROR(INDEX('CAT_ESTADOS_ERP'!$B$4:$B$22,MATCH(IFERROR(INDEX('2_IMPORTAR_EJECUCION'!$C$9:$C$1208,MATCH($AU347,'2_IMPORTAR_EJECUCION'!$J$9:$J$1208,0)),""),'CAT_ESTADOS_ERP'!$A$4:$A$22,0)),"Pendiente"))</f>
        <v/>
      </c>
      <c r="O347" s="24">
        <f>IF($J347="","",YEAR($J347+4-WEEKDAY($J347,2))&amp;"-S"&amp;TEXT(_xlfn.ISOWEEKNUM($J347),"00"))</f>
        <v/>
      </c>
      <c r="P347" s="24">
        <f>IF($J347="","",YEAR($J347))</f>
        <v/>
      </c>
      <c r="Q347" s="24">
        <f>IF($J347="","",MONTH($J347))</f>
        <v/>
      </c>
      <c r="R347" s="24">
        <f>IF($J347="","",$P347&amp;"-"&amp;TEXT($Q347,"00"))</f>
        <v/>
      </c>
      <c r="S347" s="24">
        <f>IF($J347="","",INDEX(lista_dias,WEEKDAY($J347,2)))</f>
        <v/>
      </c>
      <c r="T347" s="24">
        <f>IF($J347="","",IFERROR(INDEX('CALENDARIO'!$C$15:$C$214,MATCH(TEXT($J347,"yyyy-mm-dd")&amp;"|"&amp;$Y347&amp;"|"&amp;$Z347,'CALENDARIO'!$G$15:$G$214,0)),IFERROR(INDEX('CALENDARIO'!$C$15:$C$214,MATCH(TEXT($J347,"yyyy-mm-dd")&amp;"|"&amp;$Y347&amp;"|",'CALENDARIO'!$G$15:$G$214,0)),IFERROR(INDEX('CALENDARIO'!$C$15:$C$214,MATCH(TEXT($J347,"yyyy-mm-dd")&amp;"||",'CALENDARIO'!$G$15:$G$214,0)),INDEX(patronHabil,WEEKDAY($J347,2))))))</f>
        <v/>
      </c>
      <c r="U347" s="24">
        <f>IF($I347="","",IFERROR(INDEX('CAT_TIPOS_OT'!$C$4:$C$23,MATCH($I347,'CAT_TIPOS_OT'!$A$4:$A$23,0)),"sin_clasificar"))</f>
        <v/>
      </c>
      <c r="V347" s="24">
        <f>IF($I347="","",IF(IFERROR(INDEX('CAT_TIPOS_OT'!$D$4:$D$23,MATCH($I347,'CAT_TIPOS_OT'!$A$4:$A$23,0)),"SIN CLASIFICAR")="","SIN CLASIFICAR",IFERROR(INDEX('CAT_TIPOS_OT'!$D$4:$D$23,MATCH($I347,'CAT_TIPOS_OT'!$A$4:$A$23,0)),"SIN CLASIFICAR")))</f>
        <v/>
      </c>
      <c r="W347" s="24">
        <f>IF($H347="","",IF(IFERROR(INDEX('CAT_ACTIVIDADES'!$F$4:$F$26,MATCH($H347,'CAT_ACTIVIDADES'!$A$4:$A$26,0)),"")=0,"",IFERROR(INDEX('CAT_ACTIVIDADES'!$F$4:$F$26,MATCH($H347,'CAT_ACTIVIDADES'!$A$4:$A$26,0)),"")))</f>
        <v/>
      </c>
      <c r="X347" s="24">
        <f>IF($F347="","",IFERROR(INDEX('CAT_CENTROS_COSTO'!$F$4:$F$28,MATCH($F347,'CAT_CENTROS_COSTO'!$A$4:$A$28,0)),"(sin catálogo)"))</f>
        <v/>
      </c>
      <c r="Y347" s="24">
        <f>IF($F347="","",IFERROR(INDEX('CAT_CENTROS_COSTO'!$D$4:$D$28,MATCH($F347,'CAT_CENTROS_COSTO'!$A$4:$A$28,0)),"(sin catálogo)"))</f>
        <v/>
      </c>
      <c r="Z347" s="24">
        <f>IF($F347="","",IF((IFERROR(INDEX('CAT_CENTROS_COSTO'!$E$4:$E$28,MATCH($F347,'CAT_CENTROS_COSTO'!$A$4:$A$28,0)),""))&lt;&gt;"",IFERROR(INDEX('CAT_CENTROS_COSTO'!$E$4:$E$28,MATCH($F347,'CAT_CENTROS_COSTO'!$A$4:$A$28,0)),""),$Y347))</f>
        <v/>
      </c>
      <c r="AA347" s="24">
        <f>IF($F347="","",IFERROR(INDEX('CAT_CENTROS_COSTO'!$G$4:$G$28,MATCH($F347,'CAT_CENTROS_COSTO'!$A$4:$A$28,0)),"(sin catálogo)"))</f>
        <v/>
      </c>
      <c r="AB347" s="24">
        <f>IF($G347="","",IFERROR(INDEX('CAT_PUESTOS'!$B$4:$B$23,MATCH($G347,'CAT_PUESTOS'!$A$4:$A$23,0)),"(sin catálogo)"))</f>
        <v/>
      </c>
      <c r="AC347" s="24">
        <f>IF($H347="","",IFERROR(INDEX('CAT_ACTIVIDADES'!$B$4:$B$26,MATCH($H347,'CAT_ACTIVIDADES'!$A$4:$A$26,0)),"(sin catálogo)"))</f>
        <v/>
      </c>
      <c r="AD347" s="26">
        <f>IF($J347="","",TODAY()-$J347)</f>
        <v/>
      </c>
      <c r="AE347" s="26">
        <f>IF($J347="","",IF($J347&lt;=TODAY(),COUNTIFS(cal_fechas,"&gt;="&amp;$J347,cal_fechas,"&lt;"&amp;TODAY(),cal_habil,"sí"),-COUNTIFS(cal_fechas,"&gt;="&amp;TODAY(),cal_fechas,"&lt;"&amp;$J347,cal_habil,"sí")))</f>
        <v/>
      </c>
      <c r="AF347" s="24">
        <f>IF($AE347="","",IF($AE347&lt;0,"FUTURO",IF($AE347&gt;p_dias_backlog_max,"BACKLOG","MES CORRIENTE")))</f>
        <v/>
      </c>
      <c r="AG347" s="24">
        <f>IF($AE347="",FALSE,AND($AE347&gt;p_dias_backlog_min,$AE347&lt;=p_dias_backlog_max))</f>
        <v/>
      </c>
      <c r="AH347" s="4" t="n"/>
      <c r="AI347" s="24">
        <f>IF($AH347="","",IF((IFERROR(INDEX('ASIGNACIONES'!$J$4:$J$451,MATCH($O347&amp;"|"&amp;$S347&amp;"|"&amp;$AH347,'ASIGNACIONES'!$N$4:$N$451,0)),""))=0,"",IFERROR(INDEX('ASIGNACIONES'!$J$4:$J$451,MATCH($O347&amp;"|"&amp;$S347&amp;"|"&amp;$AH347,'ASIGNACIONES'!$N$4:$N$451,0)),"")))</f>
        <v/>
      </c>
      <c r="AJ347" s="42">
        <f>IF($AH347="","",SUMIFS('ORDENES'!$M$4:$M$1203,'ORDENES'!$AH$4:$AH$1203,$AH347,'ORDENES'!$O$4:$O$1203,$O347,'ORDENES'!$S$4:$S$1203,$S347))</f>
        <v/>
      </c>
      <c r="AK347" s="42">
        <f>IF($AJ347="","",p_factor_productividad*IFERROR(INDEX('ASIGNACIONES'!$M$4:$M$451,MATCH($O347&amp;"|"&amp;$S347&amp;"|"&amp;$AH347,'ASIGNACIONES'!$N$4:$N$451,0)),0)-$AJ347)</f>
        <v/>
      </c>
      <c r="AL347" s="32">
        <f>IF($A347="","",IFERROR(INDEX('2_IMPORTAR_EJECUCION'!$F$9:$F$1208,MATCH($AU347,'2_IMPORTAR_EJECUCION'!$J$9:$J$1208,0)),0))</f>
        <v/>
      </c>
      <c r="AM347" s="32">
        <f>IF($A347="","",MAX(0,IFERROR(INDEX('2_IMPORTAR_EJECUCION'!$H$9:$H$1208,MATCH($AU347,'2_IMPORTAR_EJECUCION'!$J$9:$J$1208,0)),0)-$AL347))</f>
        <v/>
      </c>
      <c r="AN347" s="32">
        <f>IF($A347="","",$AL347+$AM347)</f>
        <v/>
      </c>
      <c r="AO347" s="24">
        <f>IF($A347="","",IF(OR((IFERROR(INDEX('CAT_ACTIVIDADES'!$D$4:$D$26,MATCH($H347,'CAT_ACTIVIDADES'!$A$4:$A$26,0)),""))=0,(IFERROR(INDEX('CAT_ACTIVIDADES'!$D$4:$D$26,MATCH($H347,'CAT_ACTIVIDADES'!$A$4:$A$26,0)),""))=""),"SIN CLASIFICAR",IFERROR(INDEX('CAT_ACTIVIDADES'!$D$4:$D$26,MATCH($H347,'CAT_ACTIVIDADES'!$A$4:$A$26,0)),"")))</f>
        <v/>
      </c>
      <c r="AP347" s="4" t="n"/>
      <c r="AQ347" s="4" t="n"/>
      <c r="AR347" s="4" t="n"/>
      <c r="AS347" s="24">
        <f>IF($AR347="","",HYPERLINK(p_ruta_base_checklists&amp;$AR347,"abrir"))</f>
        <v/>
      </c>
      <c r="AT347" s="4" t="n"/>
      <c r="AU347" s="24">
        <f>IF($A347="","",$A347&amp;IF($B347="","0010",$B347))</f>
        <v/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41" t="n"/>
      <c r="K348" s="5" t="n"/>
      <c r="L348" s="18" t="n"/>
      <c r="M348" s="24">
        <f>IF($A348="","",IFERROR(INDEX('AJUSTES'!$B$4:$B$303,MATCH($AU348,'AJUSTES'!$A$4:$A$303,0)),IF($K348="","",$K348)))</f>
        <v/>
      </c>
      <c r="N348" s="24">
        <f>IF($A348="","",IFERROR(INDEX('CAT_ESTADOS_ERP'!$B$4:$B$22,MATCH(IFERROR(INDEX('2_IMPORTAR_EJECUCION'!$C$9:$C$1208,MATCH($AU348,'2_IMPORTAR_EJECUCION'!$J$9:$J$1208,0)),""),'CAT_ESTADOS_ERP'!$A$4:$A$22,0)),"Pendiente"))</f>
        <v/>
      </c>
      <c r="O348" s="24">
        <f>IF($J348="","",YEAR($J348+4-WEEKDAY($J348,2))&amp;"-S"&amp;TEXT(_xlfn.ISOWEEKNUM($J348),"00"))</f>
        <v/>
      </c>
      <c r="P348" s="24">
        <f>IF($J348="","",YEAR($J348))</f>
        <v/>
      </c>
      <c r="Q348" s="24">
        <f>IF($J348="","",MONTH($J348))</f>
        <v/>
      </c>
      <c r="R348" s="24">
        <f>IF($J348="","",$P348&amp;"-"&amp;TEXT($Q348,"00"))</f>
        <v/>
      </c>
      <c r="S348" s="24">
        <f>IF($J348="","",INDEX(lista_dias,WEEKDAY($J348,2)))</f>
        <v/>
      </c>
      <c r="T348" s="24">
        <f>IF($J348="","",IFERROR(INDEX('CALENDARIO'!$C$15:$C$214,MATCH(TEXT($J348,"yyyy-mm-dd")&amp;"|"&amp;$Y348&amp;"|"&amp;$Z348,'CALENDARIO'!$G$15:$G$214,0)),IFERROR(INDEX('CALENDARIO'!$C$15:$C$214,MATCH(TEXT($J348,"yyyy-mm-dd")&amp;"|"&amp;$Y348&amp;"|",'CALENDARIO'!$G$15:$G$214,0)),IFERROR(INDEX('CALENDARIO'!$C$15:$C$214,MATCH(TEXT($J348,"yyyy-mm-dd")&amp;"||",'CALENDARIO'!$G$15:$G$214,0)),INDEX(patronHabil,WEEKDAY($J348,2))))))</f>
        <v/>
      </c>
      <c r="U348" s="24">
        <f>IF($I348="","",IFERROR(INDEX('CAT_TIPOS_OT'!$C$4:$C$23,MATCH($I348,'CAT_TIPOS_OT'!$A$4:$A$23,0)),"sin_clasificar"))</f>
        <v/>
      </c>
      <c r="V348" s="24">
        <f>IF($I348="","",IF(IFERROR(INDEX('CAT_TIPOS_OT'!$D$4:$D$23,MATCH($I348,'CAT_TIPOS_OT'!$A$4:$A$23,0)),"SIN CLASIFICAR")="","SIN CLASIFICAR",IFERROR(INDEX('CAT_TIPOS_OT'!$D$4:$D$23,MATCH($I348,'CAT_TIPOS_OT'!$A$4:$A$23,0)),"SIN CLASIFICAR")))</f>
        <v/>
      </c>
      <c r="W348" s="24">
        <f>IF($H348="","",IF(IFERROR(INDEX('CAT_ACTIVIDADES'!$F$4:$F$26,MATCH($H348,'CAT_ACTIVIDADES'!$A$4:$A$26,0)),"")=0,"",IFERROR(INDEX('CAT_ACTIVIDADES'!$F$4:$F$26,MATCH($H348,'CAT_ACTIVIDADES'!$A$4:$A$26,0)),"")))</f>
        <v/>
      </c>
      <c r="X348" s="24">
        <f>IF($F348="","",IFERROR(INDEX('CAT_CENTROS_COSTO'!$F$4:$F$28,MATCH($F348,'CAT_CENTROS_COSTO'!$A$4:$A$28,0)),"(sin catálogo)"))</f>
        <v/>
      </c>
      <c r="Y348" s="24">
        <f>IF($F348="","",IFERROR(INDEX('CAT_CENTROS_COSTO'!$D$4:$D$28,MATCH($F348,'CAT_CENTROS_COSTO'!$A$4:$A$28,0)),"(sin catálogo)"))</f>
        <v/>
      </c>
      <c r="Z348" s="24">
        <f>IF($F348="","",IF((IFERROR(INDEX('CAT_CENTROS_COSTO'!$E$4:$E$28,MATCH($F348,'CAT_CENTROS_COSTO'!$A$4:$A$28,0)),""))&lt;&gt;"",IFERROR(INDEX('CAT_CENTROS_COSTO'!$E$4:$E$28,MATCH($F348,'CAT_CENTROS_COSTO'!$A$4:$A$28,0)),""),$Y348))</f>
        <v/>
      </c>
      <c r="AA348" s="24">
        <f>IF($F348="","",IFERROR(INDEX('CAT_CENTROS_COSTO'!$G$4:$G$28,MATCH($F348,'CAT_CENTROS_COSTO'!$A$4:$A$28,0)),"(sin catálogo)"))</f>
        <v/>
      </c>
      <c r="AB348" s="24">
        <f>IF($G348="","",IFERROR(INDEX('CAT_PUESTOS'!$B$4:$B$23,MATCH($G348,'CAT_PUESTOS'!$A$4:$A$23,0)),"(sin catálogo)"))</f>
        <v/>
      </c>
      <c r="AC348" s="24">
        <f>IF($H348="","",IFERROR(INDEX('CAT_ACTIVIDADES'!$B$4:$B$26,MATCH($H348,'CAT_ACTIVIDADES'!$A$4:$A$26,0)),"(sin catálogo)"))</f>
        <v/>
      </c>
      <c r="AD348" s="26">
        <f>IF($J348="","",TODAY()-$J348)</f>
        <v/>
      </c>
      <c r="AE348" s="26">
        <f>IF($J348="","",IF($J348&lt;=TODAY(),COUNTIFS(cal_fechas,"&gt;="&amp;$J348,cal_fechas,"&lt;"&amp;TODAY(),cal_habil,"sí"),-COUNTIFS(cal_fechas,"&gt;="&amp;TODAY(),cal_fechas,"&lt;"&amp;$J348,cal_habil,"sí")))</f>
        <v/>
      </c>
      <c r="AF348" s="24">
        <f>IF($AE348="","",IF($AE348&lt;0,"FUTURO",IF($AE348&gt;p_dias_backlog_max,"BACKLOG","MES CORRIENTE")))</f>
        <v/>
      </c>
      <c r="AG348" s="24">
        <f>IF($AE348="",FALSE,AND($AE348&gt;p_dias_backlog_min,$AE348&lt;=p_dias_backlog_max))</f>
        <v/>
      </c>
      <c r="AH348" s="4" t="n"/>
      <c r="AI348" s="24">
        <f>IF($AH348="","",IF((IFERROR(INDEX('ASIGNACIONES'!$J$4:$J$451,MATCH($O348&amp;"|"&amp;$S348&amp;"|"&amp;$AH348,'ASIGNACIONES'!$N$4:$N$451,0)),""))=0,"",IFERROR(INDEX('ASIGNACIONES'!$J$4:$J$451,MATCH($O348&amp;"|"&amp;$S348&amp;"|"&amp;$AH348,'ASIGNACIONES'!$N$4:$N$451,0)),"")))</f>
        <v/>
      </c>
      <c r="AJ348" s="42">
        <f>IF($AH348="","",SUMIFS('ORDENES'!$M$4:$M$1203,'ORDENES'!$AH$4:$AH$1203,$AH348,'ORDENES'!$O$4:$O$1203,$O348,'ORDENES'!$S$4:$S$1203,$S348))</f>
        <v/>
      </c>
      <c r="AK348" s="42">
        <f>IF($AJ348="","",p_factor_productividad*IFERROR(INDEX('ASIGNACIONES'!$M$4:$M$451,MATCH($O348&amp;"|"&amp;$S348&amp;"|"&amp;$AH348,'ASIGNACIONES'!$N$4:$N$451,0)),0)-$AJ348)</f>
        <v/>
      </c>
      <c r="AL348" s="32">
        <f>IF($A348="","",IFERROR(INDEX('2_IMPORTAR_EJECUCION'!$F$9:$F$1208,MATCH($AU348,'2_IMPORTAR_EJECUCION'!$J$9:$J$1208,0)),0))</f>
        <v/>
      </c>
      <c r="AM348" s="32">
        <f>IF($A348="","",MAX(0,IFERROR(INDEX('2_IMPORTAR_EJECUCION'!$H$9:$H$1208,MATCH($AU348,'2_IMPORTAR_EJECUCION'!$J$9:$J$1208,0)),0)-$AL348))</f>
        <v/>
      </c>
      <c r="AN348" s="32">
        <f>IF($A348="","",$AL348+$AM348)</f>
        <v/>
      </c>
      <c r="AO348" s="24">
        <f>IF($A348="","",IF(OR((IFERROR(INDEX('CAT_ACTIVIDADES'!$D$4:$D$26,MATCH($H348,'CAT_ACTIVIDADES'!$A$4:$A$26,0)),""))=0,(IFERROR(INDEX('CAT_ACTIVIDADES'!$D$4:$D$26,MATCH($H348,'CAT_ACTIVIDADES'!$A$4:$A$26,0)),""))=""),"SIN CLASIFICAR",IFERROR(INDEX('CAT_ACTIVIDADES'!$D$4:$D$26,MATCH($H348,'CAT_ACTIVIDADES'!$A$4:$A$26,0)),"")))</f>
        <v/>
      </c>
      <c r="AP348" s="4" t="n"/>
      <c r="AQ348" s="4" t="n"/>
      <c r="AR348" s="4" t="n"/>
      <c r="AS348" s="24">
        <f>IF($AR348="","",HYPERLINK(p_ruta_base_checklists&amp;$AR348,"abrir"))</f>
        <v/>
      </c>
      <c r="AT348" s="4" t="n"/>
      <c r="AU348" s="24">
        <f>IF($A348="","",$A348&amp;IF($B348="","0010",$B348))</f>
        <v/>
      </c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41" t="n"/>
      <c r="K349" s="5" t="n"/>
      <c r="L349" s="18" t="n"/>
      <c r="M349" s="24">
        <f>IF($A349="","",IFERROR(INDEX('AJUSTES'!$B$4:$B$303,MATCH($AU349,'AJUSTES'!$A$4:$A$303,0)),IF($K349="","",$K349)))</f>
        <v/>
      </c>
      <c r="N349" s="24">
        <f>IF($A349="","",IFERROR(INDEX('CAT_ESTADOS_ERP'!$B$4:$B$22,MATCH(IFERROR(INDEX('2_IMPORTAR_EJECUCION'!$C$9:$C$1208,MATCH($AU349,'2_IMPORTAR_EJECUCION'!$J$9:$J$1208,0)),""),'CAT_ESTADOS_ERP'!$A$4:$A$22,0)),"Pendiente"))</f>
        <v/>
      </c>
      <c r="O349" s="24">
        <f>IF($J349="","",YEAR($J349+4-WEEKDAY($J349,2))&amp;"-S"&amp;TEXT(_xlfn.ISOWEEKNUM($J349),"00"))</f>
        <v/>
      </c>
      <c r="P349" s="24">
        <f>IF($J349="","",YEAR($J349))</f>
        <v/>
      </c>
      <c r="Q349" s="24">
        <f>IF($J349="","",MONTH($J349))</f>
        <v/>
      </c>
      <c r="R349" s="24">
        <f>IF($J349="","",$P349&amp;"-"&amp;TEXT($Q349,"00"))</f>
        <v/>
      </c>
      <c r="S349" s="24">
        <f>IF($J349="","",INDEX(lista_dias,WEEKDAY($J349,2)))</f>
        <v/>
      </c>
      <c r="T349" s="24">
        <f>IF($J349="","",IFERROR(INDEX('CALENDARIO'!$C$15:$C$214,MATCH(TEXT($J349,"yyyy-mm-dd")&amp;"|"&amp;$Y349&amp;"|"&amp;$Z349,'CALENDARIO'!$G$15:$G$214,0)),IFERROR(INDEX('CALENDARIO'!$C$15:$C$214,MATCH(TEXT($J349,"yyyy-mm-dd")&amp;"|"&amp;$Y349&amp;"|",'CALENDARIO'!$G$15:$G$214,0)),IFERROR(INDEX('CALENDARIO'!$C$15:$C$214,MATCH(TEXT($J349,"yyyy-mm-dd")&amp;"||",'CALENDARIO'!$G$15:$G$214,0)),INDEX(patronHabil,WEEKDAY($J349,2))))))</f>
        <v/>
      </c>
      <c r="U349" s="24">
        <f>IF($I349="","",IFERROR(INDEX('CAT_TIPOS_OT'!$C$4:$C$23,MATCH($I349,'CAT_TIPOS_OT'!$A$4:$A$23,0)),"sin_clasificar"))</f>
        <v/>
      </c>
      <c r="V349" s="24">
        <f>IF($I349="","",IF(IFERROR(INDEX('CAT_TIPOS_OT'!$D$4:$D$23,MATCH($I349,'CAT_TIPOS_OT'!$A$4:$A$23,0)),"SIN CLASIFICAR")="","SIN CLASIFICAR",IFERROR(INDEX('CAT_TIPOS_OT'!$D$4:$D$23,MATCH($I349,'CAT_TIPOS_OT'!$A$4:$A$23,0)),"SIN CLASIFICAR")))</f>
        <v/>
      </c>
      <c r="W349" s="24">
        <f>IF($H349="","",IF(IFERROR(INDEX('CAT_ACTIVIDADES'!$F$4:$F$26,MATCH($H349,'CAT_ACTIVIDADES'!$A$4:$A$26,0)),"")=0,"",IFERROR(INDEX('CAT_ACTIVIDADES'!$F$4:$F$26,MATCH($H349,'CAT_ACTIVIDADES'!$A$4:$A$26,0)),"")))</f>
        <v/>
      </c>
      <c r="X349" s="24">
        <f>IF($F349="","",IFERROR(INDEX('CAT_CENTROS_COSTO'!$F$4:$F$28,MATCH($F349,'CAT_CENTROS_COSTO'!$A$4:$A$28,0)),"(sin catálogo)"))</f>
        <v/>
      </c>
      <c r="Y349" s="24">
        <f>IF($F349="","",IFERROR(INDEX('CAT_CENTROS_COSTO'!$D$4:$D$28,MATCH($F349,'CAT_CENTROS_COSTO'!$A$4:$A$28,0)),"(sin catálogo)"))</f>
        <v/>
      </c>
      <c r="Z349" s="24">
        <f>IF($F349="","",IF((IFERROR(INDEX('CAT_CENTROS_COSTO'!$E$4:$E$28,MATCH($F349,'CAT_CENTROS_COSTO'!$A$4:$A$28,0)),""))&lt;&gt;"",IFERROR(INDEX('CAT_CENTROS_COSTO'!$E$4:$E$28,MATCH($F349,'CAT_CENTROS_COSTO'!$A$4:$A$28,0)),""),$Y349))</f>
        <v/>
      </c>
      <c r="AA349" s="24">
        <f>IF($F349="","",IFERROR(INDEX('CAT_CENTROS_COSTO'!$G$4:$G$28,MATCH($F349,'CAT_CENTROS_COSTO'!$A$4:$A$28,0)),"(sin catálogo)"))</f>
        <v/>
      </c>
      <c r="AB349" s="24">
        <f>IF($G349="","",IFERROR(INDEX('CAT_PUESTOS'!$B$4:$B$23,MATCH($G349,'CAT_PUESTOS'!$A$4:$A$23,0)),"(sin catálogo)"))</f>
        <v/>
      </c>
      <c r="AC349" s="24">
        <f>IF($H349="","",IFERROR(INDEX('CAT_ACTIVIDADES'!$B$4:$B$26,MATCH($H349,'CAT_ACTIVIDADES'!$A$4:$A$26,0)),"(sin catálogo)"))</f>
        <v/>
      </c>
      <c r="AD349" s="26">
        <f>IF($J349="","",TODAY()-$J349)</f>
        <v/>
      </c>
      <c r="AE349" s="26">
        <f>IF($J349="","",IF($J349&lt;=TODAY(),COUNTIFS(cal_fechas,"&gt;="&amp;$J349,cal_fechas,"&lt;"&amp;TODAY(),cal_habil,"sí"),-COUNTIFS(cal_fechas,"&gt;="&amp;TODAY(),cal_fechas,"&lt;"&amp;$J349,cal_habil,"sí")))</f>
        <v/>
      </c>
      <c r="AF349" s="24">
        <f>IF($AE349="","",IF($AE349&lt;0,"FUTURO",IF($AE349&gt;p_dias_backlog_max,"BACKLOG","MES CORRIENTE")))</f>
        <v/>
      </c>
      <c r="AG349" s="24">
        <f>IF($AE349="",FALSE,AND($AE349&gt;p_dias_backlog_min,$AE349&lt;=p_dias_backlog_max))</f>
        <v/>
      </c>
      <c r="AH349" s="4" t="n"/>
      <c r="AI349" s="24">
        <f>IF($AH349="","",IF((IFERROR(INDEX('ASIGNACIONES'!$J$4:$J$451,MATCH($O349&amp;"|"&amp;$S349&amp;"|"&amp;$AH349,'ASIGNACIONES'!$N$4:$N$451,0)),""))=0,"",IFERROR(INDEX('ASIGNACIONES'!$J$4:$J$451,MATCH($O349&amp;"|"&amp;$S349&amp;"|"&amp;$AH349,'ASIGNACIONES'!$N$4:$N$451,0)),"")))</f>
        <v/>
      </c>
      <c r="AJ349" s="42">
        <f>IF($AH349="","",SUMIFS('ORDENES'!$M$4:$M$1203,'ORDENES'!$AH$4:$AH$1203,$AH349,'ORDENES'!$O$4:$O$1203,$O349,'ORDENES'!$S$4:$S$1203,$S349))</f>
        <v/>
      </c>
      <c r="AK349" s="42">
        <f>IF($AJ349="","",p_factor_productividad*IFERROR(INDEX('ASIGNACIONES'!$M$4:$M$451,MATCH($O349&amp;"|"&amp;$S349&amp;"|"&amp;$AH349,'ASIGNACIONES'!$N$4:$N$451,0)),0)-$AJ349)</f>
        <v/>
      </c>
      <c r="AL349" s="32">
        <f>IF($A349="","",IFERROR(INDEX('2_IMPORTAR_EJECUCION'!$F$9:$F$1208,MATCH($AU349,'2_IMPORTAR_EJECUCION'!$J$9:$J$1208,0)),0))</f>
        <v/>
      </c>
      <c r="AM349" s="32">
        <f>IF($A349="","",MAX(0,IFERROR(INDEX('2_IMPORTAR_EJECUCION'!$H$9:$H$1208,MATCH($AU349,'2_IMPORTAR_EJECUCION'!$J$9:$J$1208,0)),0)-$AL349))</f>
        <v/>
      </c>
      <c r="AN349" s="32">
        <f>IF($A349="","",$AL349+$AM349)</f>
        <v/>
      </c>
      <c r="AO349" s="24">
        <f>IF($A349="","",IF(OR((IFERROR(INDEX('CAT_ACTIVIDADES'!$D$4:$D$26,MATCH($H349,'CAT_ACTIVIDADES'!$A$4:$A$26,0)),""))=0,(IFERROR(INDEX('CAT_ACTIVIDADES'!$D$4:$D$26,MATCH($H349,'CAT_ACTIVIDADES'!$A$4:$A$26,0)),""))=""),"SIN CLASIFICAR",IFERROR(INDEX('CAT_ACTIVIDADES'!$D$4:$D$26,MATCH($H349,'CAT_ACTIVIDADES'!$A$4:$A$26,0)),"")))</f>
        <v/>
      </c>
      <c r="AP349" s="4" t="n"/>
      <c r="AQ349" s="4" t="n"/>
      <c r="AR349" s="4" t="n"/>
      <c r="AS349" s="24">
        <f>IF($AR349="","",HYPERLINK(p_ruta_base_checklists&amp;$AR349,"abrir"))</f>
        <v/>
      </c>
      <c r="AT349" s="4" t="n"/>
      <c r="AU349" s="24">
        <f>IF($A349="","",$A349&amp;IF($B349="","0010",$B349))</f>
        <v/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41" t="n"/>
      <c r="K350" s="5" t="n"/>
      <c r="L350" s="18" t="n"/>
      <c r="M350" s="24">
        <f>IF($A350="","",IFERROR(INDEX('AJUSTES'!$B$4:$B$303,MATCH($AU350,'AJUSTES'!$A$4:$A$303,0)),IF($K350="","",$K350)))</f>
        <v/>
      </c>
      <c r="N350" s="24">
        <f>IF($A350="","",IFERROR(INDEX('CAT_ESTADOS_ERP'!$B$4:$B$22,MATCH(IFERROR(INDEX('2_IMPORTAR_EJECUCION'!$C$9:$C$1208,MATCH($AU350,'2_IMPORTAR_EJECUCION'!$J$9:$J$1208,0)),""),'CAT_ESTADOS_ERP'!$A$4:$A$22,0)),"Pendiente"))</f>
        <v/>
      </c>
      <c r="O350" s="24">
        <f>IF($J350="","",YEAR($J350+4-WEEKDAY($J350,2))&amp;"-S"&amp;TEXT(_xlfn.ISOWEEKNUM($J350),"00"))</f>
        <v/>
      </c>
      <c r="P350" s="24">
        <f>IF($J350="","",YEAR($J350))</f>
        <v/>
      </c>
      <c r="Q350" s="24">
        <f>IF($J350="","",MONTH($J350))</f>
        <v/>
      </c>
      <c r="R350" s="24">
        <f>IF($J350="","",$P350&amp;"-"&amp;TEXT($Q350,"00"))</f>
        <v/>
      </c>
      <c r="S350" s="24">
        <f>IF($J350="","",INDEX(lista_dias,WEEKDAY($J350,2)))</f>
        <v/>
      </c>
      <c r="T350" s="24">
        <f>IF($J350="","",IFERROR(INDEX('CALENDARIO'!$C$15:$C$214,MATCH(TEXT($J350,"yyyy-mm-dd")&amp;"|"&amp;$Y350&amp;"|"&amp;$Z350,'CALENDARIO'!$G$15:$G$214,0)),IFERROR(INDEX('CALENDARIO'!$C$15:$C$214,MATCH(TEXT($J350,"yyyy-mm-dd")&amp;"|"&amp;$Y350&amp;"|",'CALENDARIO'!$G$15:$G$214,0)),IFERROR(INDEX('CALENDARIO'!$C$15:$C$214,MATCH(TEXT($J350,"yyyy-mm-dd")&amp;"||",'CALENDARIO'!$G$15:$G$214,0)),INDEX(patronHabil,WEEKDAY($J350,2))))))</f>
        <v/>
      </c>
      <c r="U350" s="24">
        <f>IF($I350="","",IFERROR(INDEX('CAT_TIPOS_OT'!$C$4:$C$23,MATCH($I350,'CAT_TIPOS_OT'!$A$4:$A$23,0)),"sin_clasificar"))</f>
        <v/>
      </c>
      <c r="V350" s="24">
        <f>IF($I350="","",IF(IFERROR(INDEX('CAT_TIPOS_OT'!$D$4:$D$23,MATCH($I350,'CAT_TIPOS_OT'!$A$4:$A$23,0)),"SIN CLASIFICAR")="","SIN CLASIFICAR",IFERROR(INDEX('CAT_TIPOS_OT'!$D$4:$D$23,MATCH($I350,'CAT_TIPOS_OT'!$A$4:$A$23,0)),"SIN CLASIFICAR")))</f>
        <v/>
      </c>
      <c r="W350" s="24">
        <f>IF($H350="","",IF(IFERROR(INDEX('CAT_ACTIVIDADES'!$F$4:$F$26,MATCH($H350,'CAT_ACTIVIDADES'!$A$4:$A$26,0)),"")=0,"",IFERROR(INDEX('CAT_ACTIVIDADES'!$F$4:$F$26,MATCH($H350,'CAT_ACTIVIDADES'!$A$4:$A$26,0)),"")))</f>
        <v/>
      </c>
      <c r="X350" s="24">
        <f>IF($F350="","",IFERROR(INDEX('CAT_CENTROS_COSTO'!$F$4:$F$28,MATCH($F350,'CAT_CENTROS_COSTO'!$A$4:$A$28,0)),"(sin catálogo)"))</f>
        <v/>
      </c>
      <c r="Y350" s="24">
        <f>IF($F350="","",IFERROR(INDEX('CAT_CENTROS_COSTO'!$D$4:$D$28,MATCH($F350,'CAT_CENTROS_COSTO'!$A$4:$A$28,0)),"(sin catálogo)"))</f>
        <v/>
      </c>
      <c r="Z350" s="24">
        <f>IF($F350="","",IF((IFERROR(INDEX('CAT_CENTROS_COSTO'!$E$4:$E$28,MATCH($F350,'CAT_CENTROS_COSTO'!$A$4:$A$28,0)),""))&lt;&gt;"",IFERROR(INDEX('CAT_CENTROS_COSTO'!$E$4:$E$28,MATCH($F350,'CAT_CENTROS_COSTO'!$A$4:$A$28,0)),""),$Y350))</f>
        <v/>
      </c>
      <c r="AA350" s="24">
        <f>IF($F350="","",IFERROR(INDEX('CAT_CENTROS_COSTO'!$G$4:$G$28,MATCH($F350,'CAT_CENTROS_COSTO'!$A$4:$A$28,0)),"(sin catálogo)"))</f>
        <v/>
      </c>
      <c r="AB350" s="24">
        <f>IF($G350="","",IFERROR(INDEX('CAT_PUESTOS'!$B$4:$B$23,MATCH($G350,'CAT_PUESTOS'!$A$4:$A$23,0)),"(sin catálogo)"))</f>
        <v/>
      </c>
      <c r="AC350" s="24">
        <f>IF($H350="","",IFERROR(INDEX('CAT_ACTIVIDADES'!$B$4:$B$26,MATCH($H350,'CAT_ACTIVIDADES'!$A$4:$A$26,0)),"(sin catálogo)"))</f>
        <v/>
      </c>
      <c r="AD350" s="26">
        <f>IF($J350="","",TODAY()-$J350)</f>
        <v/>
      </c>
      <c r="AE350" s="26">
        <f>IF($J350="","",IF($J350&lt;=TODAY(),COUNTIFS(cal_fechas,"&gt;="&amp;$J350,cal_fechas,"&lt;"&amp;TODAY(),cal_habil,"sí"),-COUNTIFS(cal_fechas,"&gt;="&amp;TODAY(),cal_fechas,"&lt;"&amp;$J350,cal_habil,"sí")))</f>
        <v/>
      </c>
      <c r="AF350" s="24">
        <f>IF($AE350="","",IF($AE350&lt;0,"FUTURO",IF($AE350&gt;p_dias_backlog_max,"BACKLOG","MES CORRIENTE")))</f>
        <v/>
      </c>
      <c r="AG350" s="24">
        <f>IF($AE350="",FALSE,AND($AE350&gt;p_dias_backlog_min,$AE350&lt;=p_dias_backlog_max))</f>
        <v/>
      </c>
      <c r="AH350" s="4" t="n"/>
      <c r="AI350" s="24">
        <f>IF($AH350="","",IF((IFERROR(INDEX('ASIGNACIONES'!$J$4:$J$451,MATCH($O350&amp;"|"&amp;$S350&amp;"|"&amp;$AH350,'ASIGNACIONES'!$N$4:$N$451,0)),""))=0,"",IFERROR(INDEX('ASIGNACIONES'!$J$4:$J$451,MATCH($O350&amp;"|"&amp;$S350&amp;"|"&amp;$AH350,'ASIGNACIONES'!$N$4:$N$451,0)),"")))</f>
        <v/>
      </c>
      <c r="AJ350" s="42">
        <f>IF($AH350="","",SUMIFS('ORDENES'!$M$4:$M$1203,'ORDENES'!$AH$4:$AH$1203,$AH350,'ORDENES'!$O$4:$O$1203,$O350,'ORDENES'!$S$4:$S$1203,$S350))</f>
        <v/>
      </c>
      <c r="AK350" s="42">
        <f>IF($AJ350="","",p_factor_productividad*IFERROR(INDEX('ASIGNACIONES'!$M$4:$M$451,MATCH($O350&amp;"|"&amp;$S350&amp;"|"&amp;$AH350,'ASIGNACIONES'!$N$4:$N$451,0)),0)-$AJ350)</f>
        <v/>
      </c>
      <c r="AL350" s="32">
        <f>IF($A350="","",IFERROR(INDEX('2_IMPORTAR_EJECUCION'!$F$9:$F$1208,MATCH($AU350,'2_IMPORTAR_EJECUCION'!$J$9:$J$1208,0)),0))</f>
        <v/>
      </c>
      <c r="AM350" s="32">
        <f>IF($A350="","",MAX(0,IFERROR(INDEX('2_IMPORTAR_EJECUCION'!$H$9:$H$1208,MATCH($AU350,'2_IMPORTAR_EJECUCION'!$J$9:$J$1208,0)),0)-$AL350))</f>
        <v/>
      </c>
      <c r="AN350" s="32">
        <f>IF($A350="","",$AL350+$AM350)</f>
        <v/>
      </c>
      <c r="AO350" s="24">
        <f>IF($A350="","",IF(OR((IFERROR(INDEX('CAT_ACTIVIDADES'!$D$4:$D$26,MATCH($H350,'CAT_ACTIVIDADES'!$A$4:$A$26,0)),""))=0,(IFERROR(INDEX('CAT_ACTIVIDADES'!$D$4:$D$26,MATCH($H350,'CAT_ACTIVIDADES'!$A$4:$A$26,0)),""))=""),"SIN CLASIFICAR",IFERROR(INDEX('CAT_ACTIVIDADES'!$D$4:$D$26,MATCH($H350,'CAT_ACTIVIDADES'!$A$4:$A$26,0)),"")))</f>
        <v/>
      </c>
      <c r="AP350" s="4" t="n"/>
      <c r="AQ350" s="4" t="n"/>
      <c r="AR350" s="4" t="n"/>
      <c r="AS350" s="24">
        <f>IF($AR350="","",HYPERLINK(p_ruta_base_checklists&amp;$AR350,"abrir"))</f>
        <v/>
      </c>
      <c r="AT350" s="4" t="n"/>
      <c r="AU350" s="24">
        <f>IF($A350="","",$A350&amp;IF($B350="","0010",$B350))</f>
        <v/>
      </c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41" t="n"/>
      <c r="K351" s="5" t="n"/>
      <c r="L351" s="18" t="n"/>
      <c r="M351" s="24">
        <f>IF($A351="","",IFERROR(INDEX('AJUSTES'!$B$4:$B$303,MATCH($AU351,'AJUSTES'!$A$4:$A$303,0)),IF($K351="","",$K351)))</f>
        <v/>
      </c>
      <c r="N351" s="24">
        <f>IF($A351="","",IFERROR(INDEX('CAT_ESTADOS_ERP'!$B$4:$B$22,MATCH(IFERROR(INDEX('2_IMPORTAR_EJECUCION'!$C$9:$C$1208,MATCH($AU351,'2_IMPORTAR_EJECUCION'!$J$9:$J$1208,0)),""),'CAT_ESTADOS_ERP'!$A$4:$A$22,0)),"Pendiente"))</f>
        <v/>
      </c>
      <c r="O351" s="24">
        <f>IF($J351="","",YEAR($J351+4-WEEKDAY($J351,2))&amp;"-S"&amp;TEXT(_xlfn.ISOWEEKNUM($J351),"00"))</f>
        <v/>
      </c>
      <c r="P351" s="24">
        <f>IF($J351="","",YEAR($J351))</f>
        <v/>
      </c>
      <c r="Q351" s="24">
        <f>IF($J351="","",MONTH($J351))</f>
        <v/>
      </c>
      <c r="R351" s="24">
        <f>IF($J351="","",$P351&amp;"-"&amp;TEXT($Q351,"00"))</f>
        <v/>
      </c>
      <c r="S351" s="24">
        <f>IF($J351="","",INDEX(lista_dias,WEEKDAY($J351,2)))</f>
        <v/>
      </c>
      <c r="T351" s="24">
        <f>IF($J351="","",IFERROR(INDEX('CALENDARIO'!$C$15:$C$214,MATCH(TEXT($J351,"yyyy-mm-dd")&amp;"|"&amp;$Y351&amp;"|"&amp;$Z351,'CALENDARIO'!$G$15:$G$214,0)),IFERROR(INDEX('CALENDARIO'!$C$15:$C$214,MATCH(TEXT($J351,"yyyy-mm-dd")&amp;"|"&amp;$Y351&amp;"|",'CALENDARIO'!$G$15:$G$214,0)),IFERROR(INDEX('CALENDARIO'!$C$15:$C$214,MATCH(TEXT($J351,"yyyy-mm-dd")&amp;"||",'CALENDARIO'!$G$15:$G$214,0)),INDEX(patronHabil,WEEKDAY($J351,2))))))</f>
        <v/>
      </c>
      <c r="U351" s="24">
        <f>IF($I351="","",IFERROR(INDEX('CAT_TIPOS_OT'!$C$4:$C$23,MATCH($I351,'CAT_TIPOS_OT'!$A$4:$A$23,0)),"sin_clasificar"))</f>
        <v/>
      </c>
      <c r="V351" s="24">
        <f>IF($I351="","",IF(IFERROR(INDEX('CAT_TIPOS_OT'!$D$4:$D$23,MATCH($I351,'CAT_TIPOS_OT'!$A$4:$A$23,0)),"SIN CLASIFICAR")="","SIN CLASIFICAR",IFERROR(INDEX('CAT_TIPOS_OT'!$D$4:$D$23,MATCH($I351,'CAT_TIPOS_OT'!$A$4:$A$23,0)),"SIN CLASIFICAR")))</f>
        <v/>
      </c>
      <c r="W351" s="24">
        <f>IF($H351="","",IF(IFERROR(INDEX('CAT_ACTIVIDADES'!$F$4:$F$26,MATCH($H351,'CAT_ACTIVIDADES'!$A$4:$A$26,0)),"")=0,"",IFERROR(INDEX('CAT_ACTIVIDADES'!$F$4:$F$26,MATCH($H351,'CAT_ACTIVIDADES'!$A$4:$A$26,0)),"")))</f>
        <v/>
      </c>
      <c r="X351" s="24">
        <f>IF($F351="","",IFERROR(INDEX('CAT_CENTROS_COSTO'!$F$4:$F$28,MATCH($F351,'CAT_CENTROS_COSTO'!$A$4:$A$28,0)),"(sin catálogo)"))</f>
        <v/>
      </c>
      <c r="Y351" s="24">
        <f>IF($F351="","",IFERROR(INDEX('CAT_CENTROS_COSTO'!$D$4:$D$28,MATCH($F351,'CAT_CENTROS_COSTO'!$A$4:$A$28,0)),"(sin catálogo)"))</f>
        <v/>
      </c>
      <c r="Z351" s="24">
        <f>IF($F351="","",IF((IFERROR(INDEX('CAT_CENTROS_COSTO'!$E$4:$E$28,MATCH($F351,'CAT_CENTROS_COSTO'!$A$4:$A$28,0)),""))&lt;&gt;"",IFERROR(INDEX('CAT_CENTROS_COSTO'!$E$4:$E$28,MATCH($F351,'CAT_CENTROS_COSTO'!$A$4:$A$28,0)),""),$Y351))</f>
        <v/>
      </c>
      <c r="AA351" s="24">
        <f>IF($F351="","",IFERROR(INDEX('CAT_CENTROS_COSTO'!$G$4:$G$28,MATCH($F351,'CAT_CENTROS_COSTO'!$A$4:$A$28,0)),"(sin catálogo)"))</f>
        <v/>
      </c>
      <c r="AB351" s="24">
        <f>IF($G351="","",IFERROR(INDEX('CAT_PUESTOS'!$B$4:$B$23,MATCH($G351,'CAT_PUESTOS'!$A$4:$A$23,0)),"(sin catálogo)"))</f>
        <v/>
      </c>
      <c r="AC351" s="24">
        <f>IF($H351="","",IFERROR(INDEX('CAT_ACTIVIDADES'!$B$4:$B$26,MATCH($H351,'CAT_ACTIVIDADES'!$A$4:$A$26,0)),"(sin catálogo)"))</f>
        <v/>
      </c>
      <c r="AD351" s="26">
        <f>IF($J351="","",TODAY()-$J351)</f>
        <v/>
      </c>
      <c r="AE351" s="26">
        <f>IF($J351="","",IF($J351&lt;=TODAY(),COUNTIFS(cal_fechas,"&gt;="&amp;$J351,cal_fechas,"&lt;"&amp;TODAY(),cal_habil,"sí"),-COUNTIFS(cal_fechas,"&gt;="&amp;TODAY(),cal_fechas,"&lt;"&amp;$J351,cal_habil,"sí")))</f>
        <v/>
      </c>
      <c r="AF351" s="24">
        <f>IF($AE351="","",IF($AE351&lt;0,"FUTURO",IF($AE351&gt;p_dias_backlog_max,"BACKLOG","MES CORRIENTE")))</f>
        <v/>
      </c>
      <c r="AG351" s="24">
        <f>IF($AE351="",FALSE,AND($AE351&gt;p_dias_backlog_min,$AE351&lt;=p_dias_backlog_max))</f>
        <v/>
      </c>
      <c r="AH351" s="4" t="n"/>
      <c r="AI351" s="24">
        <f>IF($AH351="","",IF((IFERROR(INDEX('ASIGNACIONES'!$J$4:$J$451,MATCH($O351&amp;"|"&amp;$S351&amp;"|"&amp;$AH351,'ASIGNACIONES'!$N$4:$N$451,0)),""))=0,"",IFERROR(INDEX('ASIGNACIONES'!$J$4:$J$451,MATCH($O351&amp;"|"&amp;$S351&amp;"|"&amp;$AH351,'ASIGNACIONES'!$N$4:$N$451,0)),"")))</f>
        <v/>
      </c>
      <c r="AJ351" s="42">
        <f>IF($AH351="","",SUMIFS('ORDENES'!$M$4:$M$1203,'ORDENES'!$AH$4:$AH$1203,$AH351,'ORDENES'!$O$4:$O$1203,$O351,'ORDENES'!$S$4:$S$1203,$S351))</f>
        <v/>
      </c>
      <c r="AK351" s="42">
        <f>IF($AJ351="","",p_factor_productividad*IFERROR(INDEX('ASIGNACIONES'!$M$4:$M$451,MATCH($O351&amp;"|"&amp;$S351&amp;"|"&amp;$AH351,'ASIGNACIONES'!$N$4:$N$451,0)),0)-$AJ351)</f>
        <v/>
      </c>
      <c r="AL351" s="32">
        <f>IF($A351="","",IFERROR(INDEX('2_IMPORTAR_EJECUCION'!$F$9:$F$1208,MATCH($AU351,'2_IMPORTAR_EJECUCION'!$J$9:$J$1208,0)),0))</f>
        <v/>
      </c>
      <c r="AM351" s="32">
        <f>IF($A351="","",MAX(0,IFERROR(INDEX('2_IMPORTAR_EJECUCION'!$H$9:$H$1208,MATCH($AU351,'2_IMPORTAR_EJECUCION'!$J$9:$J$1208,0)),0)-$AL351))</f>
        <v/>
      </c>
      <c r="AN351" s="32">
        <f>IF($A351="","",$AL351+$AM351)</f>
        <v/>
      </c>
      <c r="AO351" s="24">
        <f>IF($A351="","",IF(OR((IFERROR(INDEX('CAT_ACTIVIDADES'!$D$4:$D$26,MATCH($H351,'CAT_ACTIVIDADES'!$A$4:$A$26,0)),""))=0,(IFERROR(INDEX('CAT_ACTIVIDADES'!$D$4:$D$26,MATCH($H351,'CAT_ACTIVIDADES'!$A$4:$A$26,0)),""))=""),"SIN CLASIFICAR",IFERROR(INDEX('CAT_ACTIVIDADES'!$D$4:$D$26,MATCH($H351,'CAT_ACTIVIDADES'!$A$4:$A$26,0)),"")))</f>
        <v/>
      </c>
      <c r="AP351" s="4" t="n"/>
      <c r="AQ351" s="4" t="n"/>
      <c r="AR351" s="4" t="n"/>
      <c r="AS351" s="24">
        <f>IF($AR351="","",HYPERLINK(p_ruta_base_checklists&amp;$AR351,"abrir"))</f>
        <v/>
      </c>
      <c r="AT351" s="4" t="n"/>
      <c r="AU351" s="24">
        <f>IF($A351="","",$A351&amp;IF($B351="","0010",$B351))</f>
        <v/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41" t="n"/>
      <c r="K352" s="5" t="n"/>
      <c r="L352" s="18" t="n"/>
      <c r="M352" s="24">
        <f>IF($A352="","",IFERROR(INDEX('AJUSTES'!$B$4:$B$303,MATCH($AU352,'AJUSTES'!$A$4:$A$303,0)),IF($K352="","",$K352)))</f>
        <v/>
      </c>
      <c r="N352" s="24">
        <f>IF($A352="","",IFERROR(INDEX('CAT_ESTADOS_ERP'!$B$4:$B$22,MATCH(IFERROR(INDEX('2_IMPORTAR_EJECUCION'!$C$9:$C$1208,MATCH($AU352,'2_IMPORTAR_EJECUCION'!$J$9:$J$1208,0)),""),'CAT_ESTADOS_ERP'!$A$4:$A$22,0)),"Pendiente"))</f>
        <v/>
      </c>
      <c r="O352" s="24">
        <f>IF($J352="","",YEAR($J352+4-WEEKDAY($J352,2))&amp;"-S"&amp;TEXT(_xlfn.ISOWEEKNUM($J352),"00"))</f>
        <v/>
      </c>
      <c r="P352" s="24">
        <f>IF($J352="","",YEAR($J352))</f>
        <v/>
      </c>
      <c r="Q352" s="24">
        <f>IF($J352="","",MONTH($J352))</f>
        <v/>
      </c>
      <c r="R352" s="24">
        <f>IF($J352="","",$P352&amp;"-"&amp;TEXT($Q352,"00"))</f>
        <v/>
      </c>
      <c r="S352" s="24">
        <f>IF($J352="","",INDEX(lista_dias,WEEKDAY($J352,2)))</f>
        <v/>
      </c>
      <c r="T352" s="24">
        <f>IF($J352="","",IFERROR(INDEX('CALENDARIO'!$C$15:$C$214,MATCH(TEXT($J352,"yyyy-mm-dd")&amp;"|"&amp;$Y352&amp;"|"&amp;$Z352,'CALENDARIO'!$G$15:$G$214,0)),IFERROR(INDEX('CALENDARIO'!$C$15:$C$214,MATCH(TEXT($J352,"yyyy-mm-dd")&amp;"|"&amp;$Y352&amp;"|",'CALENDARIO'!$G$15:$G$214,0)),IFERROR(INDEX('CALENDARIO'!$C$15:$C$214,MATCH(TEXT($J352,"yyyy-mm-dd")&amp;"||",'CALENDARIO'!$G$15:$G$214,0)),INDEX(patronHabil,WEEKDAY($J352,2))))))</f>
        <v/>
      </c>
      <c r="U352" s="24">
        <f>IF($I352="","",IFERROR(INDEX('CAT_TIPOS_OT'!$C$4:$C$23,MATCH($I352,'CAT_TIPOS_OT'!$A$4:$A$23,0)),"sin_clasificar"))</f>
        <v/>
      </c>
      <c r="V352" s="24">
        <f>IF($I352="","",IF(IFERROR(INDEX('CAT_TIPOS_OT'!$D$4:$D$23,MATCH($I352,'CAT_TIPOS_OT'!$A$4:$A$23,0)),"SIN CLASIFICAR")="","SIN CLASIFICAR",IFERROR(INDEX('CAT_TIPOS_OT'!$D$4:$D$23,MATCH($I352,'CAT_TIPOS_OT'!$A$4:$A$23,0)),"SIN CLASIFICAR")))</f>
        <v/>
      </c>
      <c r="W352" s="24">
        <f>IF($H352="","",IF(IFERROR(INDEX('CAT_ACTIVIDADES'!$F$4:$F$26,MATCH($H352,'CAT_ACTIVIDADES'!$A$4:$A$26,0)),"")=0,"",IFERROR(INDEX('CAT_ACTIVIDADES'!$F$4:$F$26,MATCH($H352,'CAT_ACTIVIDADES'!$A$4:$A$26,0)),"")))</f>
        <v/>
      </c>
      <c r="X352" s="24">
        <f>IF($F352="","",IFERROR(INDEX('CAT_CENTROS_COSTO'!$F$4:$F$28,MATCH($F352,'CAT_CENTROS_COSTO'!$A$4:$A$28,0)),"(sin catálogo)"))</f>
        <v/>
      </c>
      <c r="Y352" s="24">
        <f>IF($F352="","",IFERROR(INDEX('CAT_CENTROS_COSTO'!$D$4:$D$28,MATCH($F352,'CAT_CENTROS_COSTO'!$A$4:$A$28,0)),"(sin catálogo)"))</f>
        <v/>
      </c>
      <c r="Z352" s="24">
        <f>IF($F352="","",IF((IFERROR(INDEX('CAT_CENTROS_COSTO'!$E$4:$E$28,MATCH($F352,'CAT_CENTROS_COSTO'!$A$4:$A$28,0)),""))&lt;&gt;"",IFERROR(INDEX('CAT_CENTROS_COSTO'!$E$4:$E$28,MATCH($F352,'CAT_CENTROS_COSTO'!$A$4:$A$28,0)),""),$Y352))</f>
        <v/>
      </c>
      <c r="AA352" s="24">
        <f>IF($F352="","",IFERROR(INDEX('CAT_CENTROS_COSTO'!$G$4:$G$28,MATCH($F352,'CAT_CENTROS_COSTO'!$A$4:$A$28,0)),"(sin catálogo)"))</f>
        <v/>
      </c>
      <c r="AB352" s="24">
        <f>IF($G352="","",IFERROR(INDEX('CAT_PUESTOS'!$B$4:$B$23,MATCH($G352,'CAT_PUESTOS'!$A$4:$A$23,0)),"(sin catálogo)"))</f>
        <v/>
      </c>
      <c r="AC352" s="24">
        <f>IF($H352="","",IFERROR(INDEX('CAT_ACTIVIDADES'!$B$4:$B$26,MATCH($H352,'CAT_ACTIVIDADES'!$A$4:$A$26,0)),"(sin catálogo)"))</f>
        <v/>
      </c>
      <c r="AD352" s="26">
        <f>IF($J352="","",TODAY()-$J352)</f>
        <v/>
      </c>
      <c r="AE352" s="26">
        <f>IF($J352="","",IF($J352&lt;=TODAY(),COUNTIFS(cal_fechas,"&gt;="&amp;$J352,cal_fechas,"&lt;"&amp;TODAY(),cal_habil,"sí"),-COUNTIFS(cal_fechas,"&gt;="&amp;TODAY(),cal_fechas,"&lt;"&amp;$J352,cal_habil,"sí")))</f>
        <v/>
      </c>
      <c r="AF352" s="24">
        <f>IF($AE352="","",IF($AE352&lt;0,"FUTURO",IF($AE352&gt;p_dias_backlog_max,"BACKLOG","MES CORRIENTE")))</f>
        <v/>
      </c>
      <c r="AG352" s="24">
        <f>IF($AE352="",FALSE,AND($AE352&gt;p_dias_backlog_min,$AE352&lt;=p_dias_backlog_max))</f>
        <v/>
      </c>
      <c r="AH352" s="4" t="n"/>
      <c r="AI352" s="24">
        <f>IF($AH352="","",IF((IFERROR(INDEX('ASIGNACIONES'!$J$4:$J$451,MATCH($O352&amp;"|"&amp;$S352&amp;"|"&amp;$AH352,'ASIGNACIONES'!$N$4:$N$451,0)),""))=0,"",IFERROR(INDEX('ASIGNACIONES'!$J$4:$J$451,MATCH($O352&amp;"|"&amp;$S352&amp;"|"&amp;$AH352,'ASIGNACIONES'!$N$4:$N$451,0)),"")))</f>
        <v/>
      </c>
      <c r="AJ352" s="42">
        <f>IF($AH352="","",SUMIFS('ORDENES'!$M$4:$M$1203,'ORDENES'!$AH$4:$AH$1203,$AH352,'ORDENES'!$O$4:$O$1203,$O352,'ORDENES'!$S$4:$S$1203,$S352))</f>
        <v/>
      </c>
      <c r="AK352" s="42">
        <f>IF($AJ352="","",p_factor_productividad*IFERROR(INDEX('ASIGNACIONES'!$M$4:$M$451,MATCH($O352&amp;"|"&amp;$S352&amp;"|"&amp;$AH352,'ASIGNACIONES'!$N$4:$N$451,0)),0)-$AJ352)</f>
        <v/>
      </c>
      <c r="AL352" s="32">
        <f>IF($A352="","",IFERROR(INDEX('2_IMPORTAR_EJECUCION'!$F$9:$F$1208,MATCH($AU352,'2_IMPORTAR_EJECUCION'!$J$9:$J$1208,0)),0))</f>
        <v/>
      </c>
      <c r="AM352" s="32">
        <f>IF($A352="","",MAX(0,IFERROR(INDEX('2_IMPORTAR_EJECUCION'!$H$9:$H$1208,MATCH($AU352,'2_IMPORTAR_EJECUCION'!$J$9:$J$1208,0)),0)-$AL352))</f>
        <v/>
      </c>
      <c r="AN352" s="32">
        <f>IF($A352="","",$AL352+$AM352)</f>
        <v/>
      </c>
      <c r="AO352" s="24">
        <f>IF($A352="","",IF(OR((IFERROR(INDEX('CAT_ACTIVIDADES'!$D$4:$D$26,MATCH($H352,'CAT_ACTIVIDADES'!$A$4:$A$26,0)),""))=0,(IFERROR(INDEX('CAT_ACTIVIDADES'!$D$4:$D$26,MATCH($H352,'CAT_ACTIVIDADES'!$A$4:$A$26,0)),""))=""),"SIN CLASIFICAR",IFERROR(INDEX('CAT_ACTIVIDADES'!$D$4:$D$26,MATCH($H352,'CAT_ACTIVIDADES'!$A$4:$A$26,0)),"")))</f>
        <v/>
      </c>
      <c r="AP352" s="4" t="n"/>
      <c r="AQ352" s="4" t="n"/>
      <c r="AR352" s="4" t="n"/>
      <c r="AS352" s="24">
        <f>IF($AR352="","",HYPERLINK(p_ruta_base_checklists&amp;$AR352,"abrir"))</f>
        <v/>
      </c>
      <c r="AT352" s="4" t="n"/>
      <c r="AU352" s="24">
        <f>IF($A352="","",$A352&amp;IF($B352="","0010",$B352))</f>
        <v/>
      </c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41" t="n"/>
      <c r="K353" s="5" t="n"/>
      <c r="L353" s="18" t="n"/>
      <c r="M353" s="24">
        <f>IF($A353="","",IFERROR(INDEX('AJUSTES'!$B$4:$B$303,MATCH($AU353,'AJUSTES'!$A$4:$A$303,0)),IF($K353="","",$K353)))</f>
        <v/>
      </c>
      <c r="N353" s="24">
        <f>IF($A353="","",IFERROR(INDEX('CAT_ESTADOS_ERP'!$B$4:$B$22,MATCH(IFERROR(INDEX('2_IMPORTAR_EJECUCION'!$C$9:$C$1208,MATCH($AU353,'2_IMPORTAR_EJECUCION'!$J$9:$J$1208,0)),""),'CAT_ESTADOS_ERP'!$A$4:$A$22,0)),"Pendiente"))</f>
        <v/>
      </c>
      <c r="O353" s="24">
        <f>IF($J353="","",YEAR($J353+4-WEEKDAY($J353,2))&amp;"-S"&amp;TEXT(_xlfn.ISOWEEKNUM($J353),"00"))</f>
        <v/>
      </c>
      <c r="P353" s="24">
        <f>IF($J353="","",YEAR($J353))</f>
        <v/>
      </c>
      <c r="Q353" s="24">
        <f>IF($J353="","",MONTH($J353))</f>
        <v/>
      </c>
      <c r="R353" s="24">
        <f>IF($J353="","",$P353&amp;"-"&amp;TEXT($Q353,"00"))</f>
        <v/>
      </c>
      <c r="S353" s="24">
        <f>IF($J353="","",INDEX(lista_dias,WEEKDAY($J353,2)))</f>
        <v/>
      </c>
      <c r="T353" s="24">
        <f>IF($J353="","",IFERROR(INDEX('CALENDARIO'!$C$15:$C$214,MATCH(TEXT($J353,"yyyy-mm-dd")&amp;"|"&amp;$Y353&amp;"|"&amp;$Z353,'CALENDARIO'!$G$15:$G$214,0)),IFERROR(INDEX('CALENDARIO'!$C$15:$C$214,MATCH(TEXT($J353,"yyyy-mm-dd")&amp;"|"&amp;$Y353&amp;"|",'CALENDARIO'!$G$15:$G$214,0)),IFERROR(INDEX('CALENDARIO'!$C$15:$C$214,MATCH(TEXT($J353,"yyyy-mm-dd")&amp;"||",'CALENDARIO'!$G$15:$G$214,0)),INDEX(patronHabil,WEEKDAY($J353,2))))))</f>
        <v/>
      </c>
      <c r="U353" s="24">
        <f>IF($I353="","",IFERROR(INDEX('CAT_TIPOS_OT'!$C$4:$C$23,MATCH($I353,'CAT_TIPOS_OT'!$A$4:$A$23,0)),"sin_clasificar"))</f>
        <v/>
      </c>
      <c r="V353" s="24">
        <f>IF($I353="","",IF(IFERROR(INDEX('CAT_TIPOS_OT'!$D$4:$D$23,MATCH($I353,'CAT_TIPOS_OT'!$A$4:$A$23,0)),"SIN CLASIFICAR")="","SIN CLASIFICAR",IFERROR(INDEX('CAT_TIPOS_OT'!$D$4:$D$23,MATCH($I353,'CAT_TIPOS_OT'!$A$4:$A$23,0)),"SIN CLASIFICAR")))</f>
        <v/>
      </c>
      <c r="W353" s="24">
        <f>IF($H353="","",IF(IFERROR(INDEX('CAT_ACTIVIDADES'!$F$4:$F$26,MATCH($H353,'CAT_ACTIVIDADES'!$A$4:$A$26,0)),"")=0,"",IFERROR(INDEX('CAT_ACTIVIDADES'!$F$4:$F$26,MATCH($H353,'CAT_ACTIVIDADES'!$A$4:$A$26,0)),"")))</f>
        <v/>
      </c>
      <c r="X353" s="24">
        <f>IF($F353="","",IFERROR(INDEX('CAT_CENTROS_COSTO'!$F$4:$F$28,MATCH($F353,'CAT_CENTROS_COSTO'!$A$4:$A$28,0)),"(sin catálogo)"))</f>
        <v/>
      </c>
      <c r="Y353" s="24">
        <f>IF($F353="","",IFERROR(INDEX('CAT_CENTROS_COSTO'!$D$4:$D$28,MATCH($F353,'CAT_CENTROS_COSTO'!$A$4:$A$28,0)),"(sin catálogo)"))</f>
        <v/>
      </c>
      <c r="Z353" s="24">
        <f>IF($F353="","",IF((IFERROR(INDEX('CAT_CENTROS_COSTO'!$E$4:$E$28,MATCH($F353,'CAT_CENTROS_COSTO'!$A$4:$A$28,0)),""))&lt;&gt;"",IFERROR(INDEX('CAT_CENTROS_COSTO'!$E$4:$E$28,MATCH($F353,'CAT_CENTROS_COSTO'!$A$4:$A$28,0)),""),$Y353))</f>
        <v/>
      </c>
      <c r="AA353" s="24">
        <f>IF($F353="","",IFERROR(INDEX('CAT_CENTROS_COSTO'!$G$4:$G$28,MATCH($F353,'CAT_CENTROS_COSTO'!$A$4:$A$28,0)),"(sin catálogo)"))</f>
        <v/>
      </c>
      <c r="AB353" s="24">
        <f>IF($G353="","",IFERROR(INDEX('CAT_PUESTOS'!$B$4:$B$23,MATCH($G353,'CAT_PUESTOS'!$A$4:$A$23,0)),"(sin catálogo)"))</f>
        <v/>
      </c>
      <c r="AC353" s="24">
        <f>IF($H353="","",IFERROR(INDEX('CAT_ACTIVIDADES'!$B$4:$B$26,MATCH($H353,'CAT_ACTIVIDADES'!$A$4:$A$26,0)),"(sin catálogo)"))</f>
        <v/>
      </c>
      <c r="AD353" s="26">
        <f>IF($J353="","",TODAY()-$J353)</f>
        <v/>
      </c>
      <c r="AE353" s="26">
        <f>IF($J353="","",IF($J353&lt;=TODAY(),COUNTIFS(cal_fechas,"&gt;="&amp;$J353,cal_fechas,"&lt;"&amp;TODAY(),cal_habil,"sí"),-COUNTIFS(cal_fechas,"&gt;="&amp;TODAY(),cal_fechas,"&lt;"&amp;$J353,cal_habil,"sí")))</f>
        <v/>
      </c>
      <c r="AF353" s="24">
        <f>IF($AE353="","",IF($AE353&lt;0,"FUTURO",IF($AE353&gt;p_dias_backlog_max,"BACKLOG","MES CORRIENTE")))</f>
        <v/>
      </c>
      <c r="AG353" s="24">
        <f>IF($AE353="",FALSE,AND($AE353&gt;p_dias_backlog_min,$AE353&lt;=p_dias_backlog_max))</f>
        <v/>
      </c>
      <c r="AH353" s="4" t="n"/>
      <c r="AI353" s="24">
        <f>IF($AH353="","",IF((IFERROR(INDEX('ASIGNACIONES'!$J$4:$J$451,MATCH($O353&amp;"|"&amp;$S353&amp;"|"&amp;$AH353,'ASIGNACIONES'!$N$4:$N$451,0)),""))=0,"",IFERROR(INDEX('ASIGNACIONES'!$J$4:$J$451,MATCH($O353&amp;"|"&amp;$S353&amp;"|"&amp;$AH353,'ASIGNACIONES'!$N$4:$N$451,0)),"")))</f>
        <v/>
      </c>
      <c r="AJ353" s="42">
        <f>IF($AH353="","",SUMIFS('ORDENES'!$M$4:$M$1203,'ORDENES'!$AH$4:$AH$1203,$AH353,'ORDENES'!$O$4:$O$1203,$O353,'ORDENES'!$S$4:$S$1203,$S353))</f>
        <v/>
      </c>
      <c r="AK353" s="42">
        <f>IF($AJ353="","",p_factor_productividad*IFERROR(INDEX('ASIGNACIONES'!$M$4:$M$451,MATCH($O353&amp;"|"&amp;$S353&amp;"|"&amp;$AH353,'ASIGNACIONES'!$N$4:$N$451,0)),0)-$AJ353)</f>
        <v/>
      </c>
      <c r="AL353" s="32">
        <f>IF($A353="","",IFERROR(INDEX('2_IMPORTAR_EJECUCION'!$F$9:$F$1208,MATCH($AU353,'2_IMPORTAR_EJECUCION'!$J$9:$J$1208,0)),0))</f>
        <v/>
      </c>
      <c r="AM353" s="32">
        <f>IF($A353="","",MAX(0,IFERROR(INDEX('2_IMPORTAR_EJECUCION'!$H$9:$H$1208,MATCH($AU353,'2_IMPORTAR_EJECUCION'!$J$9:$J$1208,0)),0)-$AL353))</f>
        <v/>
      </c>
      <c r="AN353" s="32">
        <f>IF($A353="","",$AL353+$AM353)</f>
        <v/>
      </c>
      <c r="AO353" s="24">
        <f>IF($A353="","",IF(OR((IFERROR(INDEX('CAT_ACTIVIDADES'!$D$4:$D$26,MATCH($H353,'CAT_ACTIVIDADES'!$A$4:$A$26,0)),""))=0,(IFERROR(INDEX('CAT_ACTIVIDADES'!$D$4:$D$26,MATCH($H353,'CAT_ACTIVIDADES'!$A$4:$A$26,0)),""))=""),"SIN CLASIFICAR",IFERROR(INDEX('CAT_ACTIVIDADES'!$D$4:$D$26,MATCH($H353,'CAT_ACTIVIDADES'!$A$4:$A$26,0)),"")))</f>
        <v/>
      </c>
      <c r="AP353" s="4" t="n"/>
      <c r="AQ353" s="4" t="n"/>
      <c r="AR353" s="4" t="n"/>
      <c r="AS353" s="24">
        <f>IF($AR353="","",HYPERLINK(p_ruta_base_checklists&amp;$AR353,"abrir"))</f>
        <v/>
      </c>
      <c r="AT353" s="4" t="n"/>
      <c r="AU353" s="24">
        <f>IF($A353="","",$A353&amp;IF($B353="","0010",$B353))</f>
        <v/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41" t="n"/>
      <c r="K354" s="5" t="n"/>
      <c r="L354" s="18" t="n"/>
      <c r="M354" s="24">
        <f>IF($A354="","",IFERROR(INDEX('AJUSTES'!$B$4:$B$303,MATCH($AU354,'AJUSTES'!$A$4:$A$303,0)),IF($K354="","",$K354)))</f>
        <v/>
      </c>
      <c r="N354" s="24">
        <f>IF($A354="","",IFERROR(INDEX('CAT_ESTADOS_ERP'!$B$4:$B$22,MATCH(IFERROR(INDEX('2_IMPORTAR_EJECUCION'!$C$9:$C$1208,MATCH($AU354,'2_IMPORTAR_EJECUCION'!$J$9:$J$1208,0)),""),'CAT_ESTADOS_ERP'!$A$4:$A$22,0)),"Pendiente"))</f>
        <v/>
      </c>
      <c r="O354" s="24">
        <f>IF($J354="","",YEAR($J354+4-WEEKDAY($J354,2))&amp;"-S"&amp;TEXT(_xlfn.ISOWEEKNUM($J354),"00"))</f>
        <v/>
      </c>
      <c r="P354" s="24">
        <f>IF($J354="","",YEAR($J354))</f>
        <v/>
      </c>
      <c r="Q354" s="24">
        <f>IF($J354="","",MONTH($J354))</f>
        <v/>
      </c>
      <c r="R354" s="24">
        <f>IF($J354="","",$P354&amp;"-"&amp;TEXT($Q354,"00"))</f>
        <v/>
      </c>
      <c r="S354" s="24">
        <f>IF($J354="","",INDEX(lista_dias,WEEKDAY($J354,2)))</f>
        <v/>
      </c>
      <c r="T354" s="24">
        <f>IF($J354="","",IFERROR(INDEX('CALENDARIO'!$C$15:$C$214,MATCH(TEXT($J354,"yyyy-mm-dd")&amp;"|"&amp;$Y354&amp;"|"&amp;$Z354,'CALENDARIO'!$G$15:$G$214,0)),IFERROR(INDEX('CALENDARIO'!$C$15:$C$214,MATCH(TEXT($J354,"yyyy-mm-dd")&amp;"|"&amp;$Y354&amp;"|",'CALENDARIO'!$G$15:$G$214,0)),IFERROR(INDEX('CALENDARIO'!$C$15:$C$214,MATCH(TEXT($J354,"yyyy-mm-dd")&amp;"||",'CALENDARIO'!$G$15:$G$214,0)),INDEX(patronHabil,WEEKDAY($J354,2))))))</f>
        <v/>
      </c>
      <c r="U354" s="24">
        <f>IF($I354="","",IFERROR(INDEX('CAT_TIPOS_OT'!$C$4:$C$23,MATCH($I354,'CAT_TIPOS_OT'!$A$4:$A$23,0)),"sin_clasificar"))</f>
        <v/>
      </c>
      <c r="V354" s="24">
        <f>IF($I354="","",IF(IFERROR(INDEX('CAT_TIPOS_OT'!$D$4:$D$23,MATCH($I354,'CAT_TIPOS_OT'!$A$4:$A$23,0)),"SIN CLASIFICAR")="","SIN CLASIFICAR",IFERROR(INDEX('CAT_TIPOS_OT'!$D$4:$D$23,MATCH($I354,'CAT_TIPOS_OT'!$A$4:$A$23,0)),"SIN CLASIFICAR")))</f>
        <v/>
      </c>
      <c r="W354" s="24">
        <f>IF($H354="","",IF(IFERROR(INDEX('CAT_ACTIVIDADES'!$F$4:$F$26,MATCH($H354,'CAT_ACTIVIDADES'!$A$4:$A$26,0)),"")=0,"",IFERROR(INDEX('CAT_ACTIVIDADES'!$F$4:$F$26,MATCH($H354,'CAT_ACTIVIDADES'!$A$4:$A$26,0)),"")))</f>
        <v/>
      </c>
      <c r="X354" s="24">
        <f>IF($F354="","",IFERROR(INDEX('CAT_CENTROS_COSTO'!$F$4:$F$28,MATCH($F354,'CAT_CENTROS_COSTO'!$A$4:$A$28,0)),"(sin catálogo)"))</f>
        <v/>
      </c>
      <c r="Y354" s="24">
        <f>IF($F354="","",IFERROR(INDEX('CAT_CENTROS_COSTO'!$D$4:$D$28,MATCH($F354,'CAT_CENTROS_COSTO'!$A$4:$A$28,0)),"(sin catálogo)"))</f>
        <v/>
      </c>
      <c r="Z354" s="24">
        <f>IF($F354="","",IF((IFERROR(INDEX('CAT_CENTROS_COSTO'!$E$4:$E$28,MATCH($F354,'CAT_CENTROS_COSTO'!$A$4:$A$28,0)),""))&lt;&gt;"",IFERROR(INDEX('CAT_CENTROS_COSTO'!$E$4:$E$28,MATCH($F354,'CAT_CENTROS_COSTO'!$A$4:$A$28,0)),""),$Y354))</f>
        <v/>
      </c>
      <c r="AA354" s="24">
        <f>IF($F354="","",IFERROR(INDEX('CAT_CENTROS_COSTO'!$G$4:$G$28,MATCH($F354,'CAT_CENTROS_COSTO'!$A$4:$A$28,0)),"(sin catálogo)"))</f>
        <v/>
      </c>
      <c r="AB354" s="24">
        <f>IF($G354="","",IFERROR(INDEX('CAT_PUESTOS'!$B$4:$B$23,MATCH($G354,'CAT_PUESTOS'!$A$4:$A$23,0)),"(sin catálogo)"))</f>
        <v/>
      </c>
      <c r="AC354" s="24">
        <f>IF($H354="","",IFERROR(INDEX('CAT_ACTIVIDADES'!$B$4:$B$26,MATCH($H354,'CAT_ACTIVIDADES'!$A$4:$A$26,0)),"(sin catálogo)"))</f>
        <v/>
      </c>
      <c r="AD354" s="26">
        <f>IF($J354="","",TODAY()-$J354)</f>
        <v/>
      </c>
      <c r="AE354" s="26">
        <f>IF($J354="","",IF($J354&lt;=TODAY(),COUNTIFS(cal_fechas,"&gt;="&amp;$J354,cal_fechas,"&lt;"&amp;TODAY(),cal_habil,"sí"),-COUNTIFS(cal_fechas,"&gt;="&amp;TODAY(),cal_fechas,"&lt;"&amp;$J354,cal_habil,"sí")))</f>
        <v/>
      </c>
      <c r="AF354" s="24">
        <f>IF($AE354="","",IF($AE354&lt;0,"FUTURO",IF($AE354&gt;p_dias_backlog_max,"BACKLOG","MES CORRIENTE")))</f>
        <v/>
      </c>
      <c r="AG354" s="24">
        <f>IF($AE354="",FALSE,AND($AE354&gt;p_dias_backlog_min,$AE354&lt;=p_dias_backlog_max))</f>
        <v/>
      </c>
      <c r="AH354" s="4" t="n"/>
      <c r="AI354" s="24">
        <f>IF($AH354="","",IF((IFERROR(INDEX('ASIGNACIONES'!$J$4:$J$451,MATCH($O354&amp;"|"&amp;$S354&amp;"|"&amp;$AH354,'ASIGNACIONES'!$N$4:$N$451,0)),""))=0,"",IFERROR(INDEX('ASIGNACIONES'!$J$4:$J$451,MATCH($O354&amp;"|"&amp;$S354&amp;"|"&amp;$AH354,'ASIGNACIONES'!$N$4:$N$451,0)),"")))</f>
        <v/>
      </c>
      <c r="AJ354" s="42">
        <f>IF($AH354="","",SUMIFS('ORDENES'!$M$4:$M$1203,'ORDENES'!$AH$4:$AH$1203,$AH354,'ORDENES'!$O$4:$O$1203,$O354,'ORDENES'!$S$4:$S$1203,$S354))</f>
        <v/>
      </c>
      <c r="AK354" s="42">
        <f>IF($AJ354="","",p_factor_productividad*IFERROR(INDEX('ASIGNACIONES'!$M$4:$M$451,MATCH($O354&amp;"|"&amp;$S354&amp;"|"&amp;$AH354,'ASIGNACIONES'!$N$4:$N$451,0)),0)-$AJ354)</f>
        <v/>
      </c>
      <c r="AL354" s="32">
        <f>IF($A354="","",IFERROR(INDEX('2_IMPORTAR_EJECUCION'!$F$9:$F$1208,MATCH($AU354,'2_IMPORTAR_EJECUCION'!$J$9:$J$1208,0)),0))</f>
        <v/>
      </c>
      <c r="AM354" s="32">
        <f>IF($A354="","",MAX(0,IFERROR(INDEX('2_IMPORTAR_EJECUCION'!$H$9:$H$1208,MATCH($AU354,'2_IMPORTAR_EJECUCION'!$J$9:$J$1208,0)),0)-$AL354))</f>
        <v/>
      </c>
      <c r="AN354" s="32">
        <f>IF($A354="","",$AL354+$AM354)</f>
        <v/>
      </c>
      <c r="AO354" s="24">
        <f>IF($A354="","",IF(OR((IFERROR(INDEX('CAT_ACTIVIDADES'!$D$4:$D$26,MATCH($H354,'CAT_ACTIVIDADES'!$A$4:$A$26,0)),""))=0,(IFERROR(INDEX('CAT_ACTIVIDADES'!$D$4:$D$26,MATCH($H354,'CAT_ACTIVIDADES'!$A$4:$A$26,0)),""))=""),"SIN CLASIFICAR",IFERROR(INDEX('CAT_ACTIVIDADES'!$D$4:$D$26,MATCH($H354,'CAT_ACTIVIDADES'!$A$4:$A$26,0)),"")))</f>
        <v/>
      </c>
      <c r="AP354" s="4" t="n"/>
      <c r="AQ354" s="4" t="n"/>
      <c r="AR354" s="4" t="n"/>
      <c r="AS354" s="24">
        <f>IF($AR354="","",HYPERLINK(p_ruta_base_checklists&amp;$AR354,"abrir"))</f>
        <v/>
      </c>
      <c r="AT354" s="4" t="n"/>
      <c r="AU354" s="24">
        <f>IF($A354="","",$A354&amp;IF($B354="","0010",$B354))</f>
        <v/>
      </c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41" t="n"/>
      <c r="K355" s="5" t="n"/>
      <c r="L355" s="18" t="n"/>
      <c r="M355" s="24">
        <f>IF($A355="","",IFERROR(INDEX('AJUSTES'!$B$4:$B$303,MATCH($AU355,'AJUSTES'!$A$4:$A$303,0)),IF($K355="","",$K355)))</f>
        <v/>
      </c>
      <c r="N355" s="24">
        <f>IF($A355="","",IFERROR(INDEX('CAT_ESTADOS_ERP'!$B$4:$B$22,MATCH(IFERROR(INDEX('2_IMPORTAR_EJECUCION'!$C$9:$C$1208,MATCH($AU355,'2_IMPORTAR_EJECUCION'!$J$9:$J$1208,0)),""),'CAT_ESTADOS_ERP'!$A$4:$A$22,0)),"Pendiente"))</f>
        <v/>
      </c>
      <c r="O355" s="24">
        <f>IF($J355="","",YEAR($J355+4-WEEKDAY($J355,2))&amp;"-S"&amp;TEXT(_xlfn.ISOWEEKNUM($J355),"00"))</f>
        <v/>
      </c>
      <c r="P355" s="24">
        <f>IF($J355="","",YEAR($J355))</f>
        <v/>
      </c>
      <c r="Q355" s="24">
        <f>IF($J355="","",MONTH($J355))</f>
        <v/>
      </c>
      <c r="R355" s="24">
        <f>IF($J355="","",$P355&amp;"-"&amp;TEXT($Q355,"00"))</f>
        <v/>
      </c>
      <c r="S355" s="24">
        <f>IF($J355="","",INDEX(lista_dias,WEEKDAY($J355,2)))</f>
        <v/>
      </c>
      <c r="T355" s="24">
        <f>IF($J355="","",IFERROR(INDEX('CALENDARIO'!$C$15:$C$214,MATCH(TEXT($J355,"yyyy-mm-dd")&amp;"|"&amp;$Y355&amp;"|"&amp;$Z355,'CALENDARIO'!$G$15:$G$214,0)),IFERROR(INDEX('CALENDARIO'!$C$15:$C$214,MATCH(TEXT($J355,"yyyy-mm-dd")&amp;"|"&amp;$Y355&amp;"|",'CALENDARIO'!$G$15:$G$214,0)),IFERROR(INDEX('CALENDARIO'!$C$15:$C$214,MATCH(TEXT($J355,"yyyy-mm-dd")&amp;"||",'CALENDARIO'!$G$15:$G$214,0)),INDEX(patronHabil,WEEKDAY($J355,2))))))</f>
        <v/>
      </c>
      <c r="U355" s="24">
        <f>IF($I355="","",IFERROR(INDEX('CAT_TIPOS_OT'!$C$4:$C$23,MATCH($I355,'CAT_TIPOS_OT'!$A$4:$A$23,0)),"sin_clasificar"))</f>
        <v/>
      </c>
      <c r="V355" s="24">
        <f>IF($I355="","",IF(IFERROR(INDEX('CAT_TIPOS_OT'!$D$4:$D$23,MATCH($I355,'CAT_TIPOS_OT'!$A$4:$A$23,0)),"SIN CLASIFICAR")="","SIN CLASIFICAR",IFERROR(INDEX('CAT_TIPOS_OT'!$D$4:$D$23,MATCH($I355,'CAT_TIPOS_OT'!$A$4:$A$23,0)),"SIN CLASIFICAR")))</f>
        <v/>
      </c>
      <c r="W355" s="24">
        <f>IF($H355="","",IF(IFERROR(INDEX('CAT_ACTIVIDADES'!$F$4:$F$26,MATCH($H355,'CAT_ACTIVIDADES'!$A$4:$A$26,0)),"")=0,"",IFERROR(INDEX('CAT_ACTIVIDADES'!$F$4:$F$26,MATCH($H355,'CAT_ACTIVIDADES'!$A$4:$A$26,0)),"")))</f>
        <v/>
      </c>
      <c r="X355" s="24">
        <f>IF($F355="","",IFERROR(INDEX('CAT_CENTROS_COSTO'!$F$4:$F$28,MATCH($F355,'CAT_CENTROS_COSTO'!$A$4:$A$28,0)),"(sin catálogo)"))</f>
        <v/>
      </c>
      <c r="Y355" s="24">
        <f>IF($F355="","",IFERROR(INDEX('CAT_CENTROS_COSTO'!$D$4:$D$28,MATCH($F355,'CAT_CENTROS_COSTO'!$A$4:$A$28,0)),"(sin catálogo)"))</f>
        <v/>
      </c>
      <c r="Z355" s="24">
        <f>IF($F355="","",IF((IFERROR(INDEX('CAT_CENTROS_COSTO'!$E$4:$E$28,MATCH($F355,'CAT_CENTROS_COSTO'!$A$4:$A$28,0)),""))&lt;&gt;"",IFERROR(INDEX('CAT_CENTROS_COSTO'!$E$4:$E$28,MATCH($F355,'CAT_CENTROS_COSTO'!$A$4:$A$28,0)),""),$Y355))</f>
        <v/>
      </c>
      <c r="AA355" s="24">
        <f>IF($F355="","",IFERROR(INDEX('CAT_CENTROS_COSTO'!$G$4:$G$28,MATCH($F355,'CAT_CENTROS_COSTO'!$A$4:$A$28,0)),"(sin catálogo)"))</f>
        <v/>
      </c>
      <c r="AB355" s="24">
        <f>IF($G355="","",IFERROR(INDEX('CAT_PUESTOS'!$B$4:$B$23,MATCH($G355,'CAT_PUESTOS'!$A$4:$A$23,0)),"(sin catálogo)"))</f>
        <v/>
      </c>
      <c r="AC355" s="24">
        <f>IF($H355="","",IFERROR(INDEX('CAT_ACTIVIDADES'!$B$4:$B$26,MATCH($H355,'CAT_ACTIVIDADES'!$A$4:$A$26,0)),"(sin catálogo)"))</f>
        <v/>
      </c>
      <c r="AD355" s="26">
        <f>IF($J355="","",TODAY()-$J355)</f>
        <v/>
      </c>
      <c r="AE355" s="26">
        <f>IF($J355="","",IF($J355&lt;=TODAY(),COUNTIFS(cal_fechas,"&gt;="&amp;$J355,cal_fechas,"&lt;"&amp;TODAY(),cal_habil,"sí"),-COUNTIFS(cal_fechas,"&gt;="&amp;TODAY(),cal_fechas,"&lt;"&amp;$J355,cal_habil,"sí")))</f>
        <v/>
      </c>
      <c r="AF355" s="24">
        <f>IF($AE355="","",IF($AE355&lt;0,"FUTURO",IF($AE355&gt;p_dias_backlog_max,"BACKLOG","MES CORRIENTE")))</f>
        <v/>
      </c>
      <c r="AG355" s="24">
        <f>IF($AE355="",FALSE,AND($AE355&gt;p_dias_backlog_min,$AE355&lt;=p_dias_backlog_max))</f>
        <v/>
      </c>
      <c r="AH355" s="4" t="n"/>
      <c r="AI355" s="24">
        <f>IF($AH355="","",IF((IFERROR(INDEX('ASIGNACIONES'!$J$4:$J$451,MATCH($O355&amp;"|"&amp;$S355&amp;"|"&amp;$AH355,'ASIGNACIONES'!$N$4:$N$451,0)),""))=0,"",IFERROR(INDEX('ASIGNACIONES'!$J$4:$J$451,MATCH($O355&amp;"|"&amp;$S355&amp;"|"&amp;$AH355,'ASIGNACIONES'!$N$4:$N$451,0)),"")))</f>
        <v/>
      </c>
      <c r="AJ355" s="42">
        <f>IF($AH355="","",SUMIFS('ORDENES'!$M$4:$M$1203,'ORDENES'!$AH$4:$AH$1203,$AH355,'ORDENES'!$O$4:$O$1203,$O355,'ORDENES'!$S$4:$S$1203,$S355))</f>
        <v/>
      </c>
      <c r="AK355" s="42">
        <f>IF($AJ355="","",p_factor_productividad*IFERROR(INDEX('ASIGNACIONES'!$M$4:$M$451,MATCH($O355&amp;"|"&amp;$S355&amp;"|"&amp;$AH355,'ASIGNACIONES'!$N$4:$N$451,0)),0)-$AJ355)</f>
        <v/>
      </c>
      <c r="AL355" s="32">
        <f>IF($A355="","",IFERROR(INDEX('2_IMPORTAR_EJECUCION'!$F$9:$F$1208,MATCH($AU355,'2_IMPORTAR_EJECUCION'!$J$9:$J$1208,0)),0))</f>
        <v/>
      </c>
      <c r="AM355" s="32">
        <f>IF($A355="","",MAX(0,IFERROR(INDEX('2_IMPORTAR_EJECUCION'!$H$9:$H$1208,MATCH($AU355,'2_IMPORTAR_EJECUCION'!$J$9:$J$1208,0)),0)-$AL355))</f>
        <v/>
      </c>
      <c r="AN355" s="32">
        <f>IF($A355="","",$AL355+$AM355)</f>
        <v/>
      </c>
      <c r="AO355" s="24">
        <f>IF($A355="","",IF(OR((IFERROR(INDEX('CAT_ACTIVIDADES'!$D$4:$D$26,MATCH($H355,'CAT_ACTIVIDADES'!$A$4:$A$26,0)),""))=0,(IFERROR(INDEX('CAT_ACTIVIDADES'!$D$4:$D$26,MATCH($H355,'CAT_ACTIVIDADES'!$A$4:$A$26,0)),""))=""),"SIN CLASIFICAR",IFERROR(INDEX('CAT_ACTIVIDADES'!$D$4:$D$26,MATCH($H355,'CAT_ACTIVIDADES'!$A$4:$A$26,0)),"")))</f>
        <v/>
      </c>
      <c r="AP355" s="4" t="n"/>
      <c r="AQ355" s="4" t="n"/>
      <c r="AR355" s="4" t="n"/>
      <c r="AS355" s="24">
        <f>IF($AR355="","",HYPERLINK(p_ruta_base_checklists&amp;$AR355,"abrir"))</f>
        <v/>
      </c>
      <c r="AT355" s="4" t="n"/>
      <c r="AU355" s="24">
        <f>IF($A355="","",$A355&amp;IF($B355="","0010",$B355))</f>
        <v/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41" t="n"/>
      <c r="K356" s="5" t="n"/>
      <c r="L356" s="18" t="n"/>
      <c r="M356" s="24">
        <f>IF($A356="","",IFERROR(INDEX('AJUSTES'!$B$4:$B$303,MATCH($AU356,'AJUSTES'!$A$4:$A$303,0)),IF($K356="","",$K356)))</f>
        <v/>
      </c>
      <c r="N356" s="24">
        <f>IF($A356="","",IFERROR(INDEX('CAT_ESTADOS_ERP'!$B$4:$B$22,MATCH(IFERROR(INDEX('2_IMPORTAR_EJECUCION'!$C$9:$C$1208,MATCH($AU356,'2_IMPORTAR_EJECUCION'!$J$9:$J$1208,0)),""),'CAT_ESTADOS_ERP'!$A$4:$A$22,0)),"Pendiente"))</f>
        <v/>
      </c>
      <c r="O356" s="24">
        <f>IF($J356="","",YEAR($J356+4-WEEKDAY($J356,2))&amp;"-S"&amp;TEXT(_xlfn.ISOWEEKNUM($J356),"00"))</f>
        <v/>
      </c>
      <c r="P356" s="24">
        <f>IF($J356="","",YEAR($J356))</f>
        <v/>
      </c>
      <c r="Q356" s="24">
        <f>IF($J356="","",MONTH($J356))</f>
        <v/>
      </c>
      <c r="R356" s="24">
        <f>IF($J356="","",$P356&amp;"-"&amp;TEXT($Q356,"00"))</f>
        <v/>
      </c>
      <c r="S356" s="24">
        <f>IF($J356="","",INDEX(lista_dias,WEEKDAY($J356,2)))</f>
        <v/>
      </c>
      <c r="T356" s="24">
        <f>IF($J356="","",IFERROR(INDEX('CALENDARIO'!$C$15:$C$214,MATCH(TEXT($J356,"yyyy-mm-dd")&amp;"|"&amp;$Y356&amp;"|"&amp;$Z356,'CALENDARIO'!$G$15:$G$214,0)),IFERROR(INDEX('CALENDARIO'!$C$15:$C$214,MATCH(TEXT($J356,"yyyy-mm-dd")&amp;"|"&amp;$Y356&amp;"|",'CALENDARIO'!$G$15:$G$214,0)),IFERROR(INDEX('CALENDARIO'!$C$15:$C$214,MATCH(TEXT($J356,"yyyy-mm-dd")&amp;"||",'CALENDARIO'!$G$15:$G$214,0)),INDEX(patronHabil,WEEKDAY($J356,2))))))</f>
        <v/>
      </c>
      <c r="U356" s="24">
        <f>IF($I356="","",IFERROR(INDEX('CAT_TIPOS_OT'!$C$4:$C$23,MATCH($I356,'CAT_TIPOS_OT'!$A$4:$A$23,0)),"sin_clasificar"))</f>
        <v/>
      </c>
      <c r="V356" s="24">
        <f>IF($I356="","",IF(IFERROR(INDEX('CAT_TIPOS_OT'!$D$4:$D$23,MATCH($I356,'CAT_TIPOS_OT'!$A$4:$A$23,0)),"SIN CLASIFICAR")="","SIN CLASIFICAR",IFERROR(INDEX('CAT_TIPOS_OT'!$D$4:$D$23,MATCH($I356,'CAT_TIPOS_OT'!$A$4:$A$23,0)),"SIN CLASIFICAR")))</f>
        <v/>
      </c>
      <c r="W356" s="24">
        <f>IF($H356="","",IF(IFERROR(INDEX('CAT_ACTIVIDADES'!$F$4:$F$26,MATCH($H356,'CAT_ACTIVIDADES'!$A$4:$A$26,0)),"")=0,"",IFERROR(INDEX('CAT_ACTIVIDADES'!$F$4:$F$26,MATCH($H356,'CAT_ACTIVIDADES'!$A$4:$A$26,0)),"")))</f>
        <v/>
      </c>
      <c r="X356" s="24">
        <f>IF($F356="","",IFERROR(INDEX('CAT_CENTROS_COSTO'!$F$4:$F$28,MATCH($F356,'CAT_CENTROS_COSTO'!$A$4:$A$28,0)),"(sin catálogo)"))</f>
        <v/>
      </c>
      <c r="Y356" s="24">
        <f>IF($F356="","",IFERROR(INDEX('CAT_CENTROS_COSTO'!$D$4:$D$28,MATCH($F356,'CAT_CENTROS_COSTO'!$A$4:$A$28,0)),"(sin catálogo)"))</f>
        <v/>
      </c>
      <c r="Z356" s="24">
        <f>IF($F356="","",IF((IFERROR(INDEX('CAT_CENTROS_COSTO'!$E$4:$E$28,MATCH($F356,'CAT_CENTROS_COSTO'!$A$4:$A$28,0)),""))&lt;&gt;"",IFERROR(INDEX('CAT_CENTROS_COSTO'!$E$4:$E$28,MATCH($F356,'CAT_CENTROS_COSTO'!$A$4:$A$28,0)),""),$Y356))</f>
        <v/>
      </c>
      <c r="AA356" s="24">
        <f>IF($F356="","",IFERROR(INDEX('CAT_CENTROS_COSTO'!$G$4:$G$28,MATCH($F356,'CAT_CENTROS_COSTO'!$A$4:$A$28,0)),"(sin catálogo)"))</f>
        <v/>
      </c>
      <c r="AB356" s="24">
        <f>IF($G356="","",IFERROR(INDEX('CAT_PUESTOS'!$B$4:$B$23,MATCH($G356,'CAT_PUESTOS'!$A$4:$A$23,0)),"(sin catálogo)"))</f>
        <v/>
      </c>
      <c r="AC356" s="24">
        <f>IF($H356="","",IFERROR(INDEX('CAT_ACTIVIDADES'!$B$4:$B$26,MATCH($H356,'CAT_ACTIVIDADES'!$A$4:$A$26,0)),"(sin catálogo)"))</f>
        <v/>
      </c>
      <c r="AD356" s="26">
        <f>IF($J356="","",TODAY()-$J356)</f>
        <v/>
      </c>
      <c r="AE356" s="26">
        <f>IF($J356="","",IF($J356&lt;=TODAY(),COUNTIFS(cal_fechas,"&gt;="&amp;$J356,cal_fechas,"&lt;"&amp;TODAY(),cal_habil,"sí"),-COUNTIFS(cal_fechas,"&gt;="&amp;TODAY(),cal_fechas,"&lt;"&amp;$J356,cal_habil,"sí")))</f>
        <v/>
      </c>
      <c r="AF356" s="24">
        <f>IF($AE356="","",IF($AE356&lt;0,"FUTURO",IF($AE356&gt;p_dias_backlog_max,"BACKLOG","MES CORRIENTE")))</f>
        <v/>
      </c>
      <c r="AG356" s="24">
        <f>IF($AE356="",FALSE,AND($AE356&gt;p_dias_backlog_min,$AE356&lt;=p_dias_backlog_max))</f>
        <v/>
      </c>
      <c r="AH356" s="4" t="n"/>
      <c r="AI356" s="24">
        <f>IF($AH356="","",IF((IFERROR(INDEX('ASIGNACIONES'!$J$4:$J$451,MATCH($O356&amp;"|"&amp;$S356&amp;"|"&amp;$AH356,'ASIGNACIONES'!$N$4:$N$451,0)),""))=0,"",IFERROR(INDEX('ASIGNACIONES'!$J$4:$J$451,MATCH($O356&amp;"|"&amp;$S356&amp;"|"&amp;$AH356,'ASIGNACIONES'!$N$4:$N$451,0)),"")))</f>
        <v/>
      </c>
      <c r="AJ356" s="42">
        <f>IF($AH356="","",SUMIFS('ORDENES'!$M$4:$M$1203,'ORDENES'!$AH$4:$AH$1203,$AH356,'ORDENES'!$O$4:$O$1203,$O356,'ORDENES'!$S$4:$S$1203,$S356))</f>
        <v/>
      </c>
      <c r="AK356" s="42">
        <f>IF($AJ356="","",p_factor_productividad*IFERROR(INDEX('ASIGNACIONES'!$M$4:$M$451,MATCH($O356&amp;"|"&amp;$S356&amp;"|"&amp;$AH356,'ASIGNACIONES'!$N$4:$N$451,0)),0)-$AJ356)</f>
        <v/>
      </c>
      <c r="AL356" s="32">
        <f>IF($A356="","",IFERROR(INDEX('2_IMPORTAR_EJECUCION'!$F$9:$F$1208,MATCH($AU356,'2_IMPORTAR_EJECUCION'!$J$9:$J$1208,0)),0))</f>
        <v/>
      </c>
      <c r="AM356" s="32">
        <f>IF($A356="","",MAX(0,IFERROR(INDEX('2_IMPORTAR_EJECUCION'!$H$9:$H$1208,MATCH($AU356,'2_IMPORTAR_EJECUCION'!$J$9:$J$1208,0)),0)-$AL356))</f>
        <v/>
      </c>
      <c r="AN356" s="32">
        <f>IF($A356="","",$AL356+$AM356)</f>
        <v/>
      </c>
      <c r="AO356" s="24">
        <f>IF($A356="","",IF(OR((IFERROR(INDEX('CAT_ACTIVIDADES'!$D$4:$D$26,MATCH($H356,'CAT_ACTIVIDADES'!$A$4:$A$26,0)),""))=0,(IFERROR(INDEX('CAT_ACTIVIDADES'!$D$4:$D$26,MATCH($H356,'CAT_ACTIVIDADES'!$A$4:$A$26,0)),""))=""),"SIN CLASIFICAR",IFERROR(INDEX('CAT_ACTIVIDADES'!$D$4:$D$26,MATCH($H356,'CAT_ACTIVIDADES'!$A$4:$A$26,0)),"")))</f>
        <v/>
      </c>
      <c r="AP356" s="4" t="n"/>
      <c r="AQ356" s="4" t="n"/>
      <c r="AR356" s="4" t="n"/>
      <c r="AS356" s="24">
        <f>IF($AR356="","",HYPERLINK(p_ruta_base_checklists&amp;$AR356,"abrir"))</f>
        <v/>
      </c>
      <c r="AT356" s="4" t="n"/>
      <c r="AU356" s="24">
        <f>IF($A356="","",$A356&amp;IF($B356="","0010",$B356))</f>
        <v/>
      </c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41" t="n"/>
      <c r="K357" s="5" t="n"/>
      <c r="L357" s="18" t="n"/>
      <c r="M357" s="24">
        <f>IF($A357="","",IFERROR(INDEX('AJUSTES'!$B$4:$B$303,MATCH($AU357,'AJUSTES'!$A$4:$A$303,0)),IF($K357="","",$K357)))</f>
        <v/>
      </c>
      <c r="N357" s="24">
        <f>IF($A357="","",IFERROR(INDEX('CAT_ESTADOS_ERP'!$B$4:$B$22,MATCH(IFERROR(INDEX('2_IMPORTAR_EJECUCION'!$C$9:$C$1208,MATCH($AU357,'2_IMPORTAR_EJECUCION'!$J$9:$J$1208,0)),""),'CAT_ESTADOS_ERP'!$A$4:$A$22,0)),"Pendiente"))</f>
        <v/>
      </c>
      <c r="O357" s="24">
        <f>IF($J357="","",YEAR($J357+4-WEEKDAY($J357,2))&amp;"-S"&amp;TEXT(_xlfn.ISOWEEKNUM($J357),"00"))</f>
        <v/>
      </c>
      <c r="P357" s="24">
        <f>IF($J357="","",YEAR($J357))</f>
        <v/>
      </c>
      <c r="Q357" s="24">
        <f>IF($J357="","",MONTH($J357))</f>
        <v/>
      </c>
      <c r="R357" s="24">
        <f>IF($J357="","",$P357&amp;"-"&amp;TEXT($Q357,"00"))</f>
        <v/>
      </c>
      <c r="S357" s="24">
        <f>IF($J357="","",INDEX(lista_dias,WEEKDAY($J357,2)))</f>
        <v/>
      </c>
      <c r="T357" s="24">
        <f>IF($J357="","",IFERROR(INDEX('CALENDARIO'!$C$15:$C$214,MATCH(TEXT($J357,"yyyy-mm-dd")&amp;"|"&amp;$Y357&amp;"|"&amp;$Z357,'CALENDARIO'!$G$15:$G$214,0)),IFERROR(INDEX('CALENDARIO'!$C$15:$C$214,MATCH(TEXT($J357,"yyyy-mm-dd")&amp;"|"&amp;$Y357&amp;"|",'CALENDARIO'!$G$15:$G$214,0)),IFERROR(INDEX('CALENDARIO'!$C$15:$C$214,MATCH(TEXT($J357,"yyyy-mm-dd")&amp;"||",'CALENDARIO'!$G$15:$G$214,0)),INDEX(patronHabil,WEEKDAY($J357,2))))))</f>
        <v/>
      </c>
      <c r="U357" s="24">
        <f>IF($I357="","",IFERROR(INDEX('CAT_TIPOS_OT'!$C$4:$C$23,MATCH($I357,'CAT_TIPOS_OT'!$A$4:$A$23,0)),"sin_clasificar"))</f>
        <v/>
      </c>
      <c r="V357" s="24">
        <f>IF($I357="","",IF(IFERROR(INDEX('CAT_TIPOS_OT'!$D$4:$D$23,MATCH($I357,'CAT_TIPOS_OT'!$A$4:$A$23,0)),"SIN CLASIFICAR")="","SIN CLASIFICAR",IFERROR(INDEX('CAT_TIPOS_OT'!$D$4:$D$23,MATCH($I357,'CAT_TIPOS_OT'!$A$4:$A$23,0)),"SIN CLASIFICAR")))</f>
        <v/>
      </c>
      <c r="W357" s="24">
        <f>IF($H357="","",IF(IFERROR(INDEX('CAT_ACTIVIDADES'!$F$4:$F$26,MATCH($H357,'CAT_ACTIVIDADES'!$A$4:$A$26,0)),"")=0,"",IFERROR(INDEX('CAT_ACTIVIDADES'!$F$4:$F$26,MATCH($H357,'CAT_ACTIVIDADES'!$A$4:$A$26,0)),"")))</f>
        <v/>
      </c>
      <c r="X357" s="24">
        <f>IF($F357="","",IFERROR(INDEX('CAT_CENTROS_COSTO'!$F$4:$F$28,MATCH($F357,'CAT_CENTROS_COSTO'!$A$4:$A$28,0)),"(sin catálogo)"))</f>
        <v/>
      </c>
      <c r="Y357" s="24">
        <f>IF($F357="","",IFERROR(INDEX('CAT_CENTROS_COSTO'!$D$4:$D$28,MATCH($F357,'CAT_CENTROS_COSTO'!$A$4:$A$28,0)),"(sin catálogo)"))</f>
        <v/>
      </c>
      <c r="Z357" s="24">
        <f>IF($F357="","",IF((IFERROR(INDEX('CAT_CENTROS_COSTO'!$E$4:$E$28,MATCH($F357,'CAT_CENTROS_COSTO'!$A$4:$A$28,0)),""))&lt;&gt;"",IFERROR(INDEX('CAT_CENTROS_COSTO'!$E$4:$E$28,MATCH($F357,'CAT_CENTROS_COSTO'!$A$4:$A$28,0)),""),$Y357))</f>
        <v/>
      </c>
      <c r="AA357" s="24">
        <f>IF($F357="","",IFERROR(INDEX('CAT_CENTROS_COSTO'!$G$4:$G$28,MATCH($F357,'CAT_CENTROS_COSTO'!$A$4:$A$28,0)),"(sin catálogo)"))</f>
        <v/>
      </c>
      <c r="AB357" s="24">
        <f>IF($G357="","",IFERROR(INDEX('CAT_PUESTOS'!$B$4:$B$23,MATCH($G357,'CAT_PUESTOS'!$A$4:$A$23,0)),"(sin catálogo)"))</f>
        <v/>
      </c>
      <c r="AC357" s="24">
        <f>IF($H357="","",IFERROR(INDEX('CAT_ACTIVIDADES'!$B$4:$B$26,MATCH($H357,'CAT_ACTIVIDADES'!$A$4:$A$26,0)),"(sin catálogo)"))</f>
        <v/>
      </c>
      <c r="AD357" s="26">
        <f>IF($J357="","",TODAY()-$J357)</f>
        <v/>
      </c>
      <c r="AE357" s="26">
        <f>IF($J357="","",IF($J357&lt;=TODAY(),COUNTIFS(cal_fechas,"&gt;="&amp;$J357,cal_fechas,"&lt;"&amp;TODAY(),cal_habil,"sí"),-COUNTIFS(cal_fechas,"&gt;="&amp;TODAY(),cal_fechas,"&lt;"&amp;$J357,cal_habil,"sí")))</f>
        <v/>
      </c>
      <c r="AF357" s="24">
        <f>IF($AE357="","",IF($AE357&lt;0,"FUTURO",IF($AE357&gt;p_dias_backlog_max,"BACKLOG","MES CORRIENTE")))</f>
        <v/>
      </c>
      <c r="AG357" s="24">
        <f>IF($AE357="",FALSE,AND($AE357&gt;p_dias_backlog_min,$AE357&lt;=p_dias_backlog_max))</f>
        <v/>
      </c>
      <c r="AH357" s="4" t="n"/>
      <c r="AI357" s="24">
        <f>IF($AH357="","",IF((IFERROR(INDEX('ASIGNACIONES'!$J$4:$J$451,MATCH($O357&amp;"|"&amp;$S357&amp;"|"&amp;$AH357,'ASIGNACIONES'!$N$4:$N$451,0)),""))=0,"",IFERROR(INDEX('ASIGNACIONES'!$J$4:$J$451,MATCH($O357&amp;"|"&amp;$S357&amp;"|"&amp;$AH357,'ASIGNACIONES'!$N$4:$N$451,0)),"")))</f>
        <v/>
      </c>
      <c r="AJ357" s="42">
        <f>IF($AH357="","",SUMIFS('ORDENES'!$M$4:$M$1203,'ORDENES'!$AH$4:$AH$1203,$AH357,'ORDENES'!$O$4:$O$1203,$O357,'ORDENES'!$S$4:$S$1203,$S357))</f>
        <v/>
      </c>
      <c r="AK357" s="42">
        <f>IF($AJ357="","",p_factor_productividad*IFERROR(INDEX('ASIGNACIONES'!$M$4:$M$451,MATCH($O357&amp;"|"&amp;$S357&amp;"|"&amp;$AH357,'ASIGNACIONES'!$N$4:$N$451,0)),0)-$AJ357)</f>
        <v/>
      </c>
      <c r="AL357" s="32">
        <f>IF($A357="","",IFERROR(INDEX('2_IMPORTAR_EJECUCION'!$F$9:$F$1208,MATCH($AU357,'2_IMPORTAR_EJECUCION'!$J$9:$J$1208,0)),0))</f>
        <v/>
      </c>
      <c r="AM357" s="32">
        <f>IF($A357="","",MAX(0,IFERROR(INDEX('2_IMPORTAR_EJECUCION'!$H$9:$H$1208,MATCH($AU357,'2_IMPORTAR_EJECUCION'!$J$9:$J$1208,0)),0)-$AL357))</f>
        <v/>
      </c>
      <c r="AN357" s="32">
        <f>IF($A357="","",$AL357+$AM357)</f>
        <v/>
      </c>
      <c r="AO357" s="24">
        <f>IF($A357="","",IF(OR((IFERROR(INDEX('CAT_ACTIVIDADES'!$D$4:$D$26,MATCH($H357,'CAT_ACTIVIDADES'!$A$4:$A$26,0)),""))=0,(IFERROR(INDEX('CAT_ACTIVIDADES'!$D$4:$D$26,MATCH($H357,'CAT_ACTIVIDADES'!$A$4:$A$26,0)),""))=""),"SIN CLASIFICAR",IFERROR(INDEX('CAT_ACTIVIDADES'!$D$4:$D$26,MATCH($H357,'CAT_ACTIVIDADES'!$A$4:$A$26,0)),"")))</f>
        <v/>
      </c>
      <c r="AP357" s="4" t="n"/>
      <c r="AQ357" s="4" t="n"/>
      <c r="AR357" s="4" t="n"/>
      <c r="AS357" s="24">
        <f>IF($AR357="","",HYPERLINK(p_ruta_base_checklists&amp;$AR357,"abrir"))</f>
        <v/>
      </c>
      <c r="AT357" s="4" t="n"/>
      <c r="AU357" s="24">
        <f>IF($A357="","",$A357&amp;IF($B357="","0010",$B357))</f>
        <v/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41" t="n"/>
      <c r="K358" s="5" t="n"/>
      <c r="L358" s="18" t="n"/>
      <c r="M358" s="24">
        <f>IF($A358="","",IFERROR(INDEX('AJUSTES'!$B$4:$B$303,MATCH($AU358,'AJUSTES'!$A$4:$A$303,0)),IF($K358="","",$K358)))</f>
        <v/>
      </c>
      <c r="N358" s="24">
        <f>IF($A358="","",IFERROR(INDEX('CAT_ESTADOS_ERP'!$B$4:$B$22,MATCH(IFERROR(INDEX('2_IMPORTAR_EJECUCION'!$C$9:$C$1208,MATCH($AU358,'2_IMPORTAR_EJECUCION'!$J$9:$J$1208,0)),""),'CAT_ESTADOS_ERP'!$A$4:$A$22,0)),"Pendiente"))</f>
        <v/>
      </c>
      <c r="O358" s="24">
        <f>IF($J358="","",YEAR($J358+4-WEEKDAY($J358,2))&amp;"-S"&amp;TEXT(_xlfn.ISOWEEKNUM($J358),"00"))</f>
        <v/>
      </c>
      <c r="P358" s="24">
        <f>IF($J358="","",YEAR($J358))</f>
        <v/>
      </c>
      <c r="Q358" s="24">
        <f>IF($J358="","",MONTH($J358))</f>
        <v/>
      </c>
      <c r="R358" s="24">
        <f>IF($J358="","",$P358&amp;"-"&amp;TEXT($Q358,"00"))</f>
        <v/>
      </c>
      <c r="S358" s="24">
        <f>IF($J358="","",INDEX(lista_dias,WEEKDAY($J358,2)))</f>
        <v/>
      </c>
      <c r="T358" s="24">
        <f>IF($J358="","",IFERROR(INDEX('CALENDARIO'!$C$15:$C$214,MATCH(TEXT($J358,"yyyy-mm-dd")&amp;"|"&amp;$Y358&amp;"|"&amp;$Z358,'CALENDARIO'!$G$15:$G$214,0)),IFERROR(INDEX('CALENDARIO'!$C$15:$C$214,MATCH(TEXT($J358,"yyyy-mm-dd")&amp;"|"&amp;$Y358&amp;"|",'CALENDARIO'!$G$15:$G$214,0)),IFERROR(INDEX('CALENDARIO'!$C$15:$C$214,MATCH(TEXT($J358,"yyyy-mm-dd")&amp;"||",'CALENDARIO'!$G$15:$G$214,0)),INDEX(patronHabil,WEEKDAY($J358,2))))))</f>
        <v/>
      </c>
      <c r="U358" s="24">
        <f>IF($I358="","",IFERROR(INDEX('CAT_TIPOS_OT'!$C$4:$C$23,MATCH($I358,'CAT_TIPOS_OT'!$A$4:$A$23,0)),"sin_clasificar"))</f>
        <v/>
      </c>
      <c r="V358" s="24">
        <f>IF($I358="","",IF(IFERROR(INDEX('CAT_TIPOS_OT'!$D$4:$D$23,MATCH($I358,'CAT_TIPOS_OT'!$A$4:$A$23,0)),"SIN CLASIFICAR")="","SIN CLASIFICAR",IFERROR(INDEX('CAT_TIPOS_OT'!$D$4:$D$23,MATCH($I358,'CAT_TIPOS_OT'!$A$4:$A$23,0)),"SIN CLASIFICAR")))</f>
        <v/>
      </c>
      <c r="W358" s="24">
        <f>IF($H358="","",IF(IFERROR(INDEX('CAT_ACTIVIDADES'!$F$4:$F$26,MATCH($H358,'CAT_ACTIVIDADES'!$A$4:$A$26,0)),"")=0,"",IFERROR(INDEX('CAT_ACTIVIDADES'!$F$4:$F$26,MATCH($H358,'CAT_ACTIVIDADES'!$A$4:$A$26,0)),"")))</f>
        <v/>
      </c>
      <c r="X358" s="24">
        <f>IF($F358="","",IFERROR(INDEX('CAT_CENTROS_COSTO'!$F$4:$F$28,MATCH($F358,'CAT_CENTROS_COSTO'!$A$4:$A$28,0)),"(sin catálogo)"))</f>
        <v/>
      </c>
      <c r="Y358" s="24">
        <f>IF($F358="","",IFERROR(INDEX('CAT_CENTROS_COSTO'!$D$4:$D$28,MATCH($F358,'CAT_CENTROS_COSTO'!$A$4:$A$28,0)),"(sin catálogo)"))</f>
        <v/>
      </c>
      <c r="Z358" s="24">
        <f>IF($F358="","",IF((IFERROR(INDEX('CAT_CENTROS_COSTO'!$E$4:$E$28,MATCH($F358,'CAT_CENTROS_COSTO'!$A$4:$A$28,0)),""))&lt;&gt;"",IFERROR(INDEX('CAT_CENTROS_COSTO'!$E$4:$E$28,MATCH($F358,'CAT_CENTROS_COSTO'!$A$4:$A$28,0)),""),$Y358))</f>
        <v/>
      </c>
      <c r="AA358" s="24">
        <f>IF($F358="","",IFERROR(INDEX('CAT_CENTROS_COSTO'!$G$4:$G$28,MATCH($F358,'CAT_CENTROS_COSTO'!$A$4:$A$28,0)),"(sin catálogo)"))</f>
        <v/>
      </c>
      <c r="AB358" s="24">
        <f>IF($G358="","",IFERROR(INDEX('CAT_PUESTOS'!$B$4:$B$23,MATCH($G358,'CAT_PUESTOS'!$A$4:$A$23,0)),"(sin catálogo)"))</f>
        <v/>
      </c>
      <c r="AC358" s="24">
        <f>IF($H358="","",IFERROR(INDEX('CAT_ACTIVIDADES'!$B$4:$B$26,MATCH($H358,'CAT_ACTIVIDADES'!$A$4:$A$26,0)),"(sin catálogo)"))</f>
        <v/>
      </c>
      <c r="AD358" s="26">
        <f>IF($J358="","",TODAY()-$J358)</f>
        <v/>
      </c>
      <c r="AE358" s="26">
        <f>IF($J358="","",IF($J358&lt;=TODAY(),COUNTIFS(cal_fechas,"&gt;="&amp;$J358,cal_fechas,"&lt;"&amp;TODAY(),cal_habil,"sí"),-COUNTIFS(cal_fechas,"&gt;="&amp;TODAY(),cal_fechas,"&lt;"&amp;$J358,cal_habil,"sí")))</f>
        <v/>
      </c>
      <c r="AF358" s="24">
        <f>IF($AE358="","",IF($AE358&lt;0,"FUTURO",IF($AE358&gt;p_dias_backlog_max,"BACKLOG","MES CORRIENTE")))</f>
        <v/>
      </c>
      <c r="AG358" s="24">
        <f>IF($AE358="",FALSE,AND($AE358&gt;p_dias_backlog_min,$AE358&lt;=p_dias_backlog_max))</f>
        <v/>
      </c>
      <c r="AH358" s="4" t="n"/>
      <c r="AI358" s="24">
        <f>IF($AH358="","",IF((IFERROR(INDEX('ASIGNACIONES'!$J$4:$J$451,MATCH($O358&amp;"|"&amp;$S358&amp;"|"&amp;$AH358,'ASIGNACIONES'!$N$4:$N$451,0)),""))=0,"",IFERROR(INDEX('ASIGNACIONES'!$J$4:$J$451,MATCH($O358&amp;"|"&amp;$S358&amp;"|"&amp;$AH358,'ASIGNACIONES'!$N$4:$N$451,0)),"")))</f>
        <v/>
      </c>
      <c r="AJ358" s="42">
        <f>IF($AH358="","",SUMIFS('ORDENES'!$M$4:$M$1203,'ORDENES'!$AH$4:$AH$1203,$AH358,'ORDENES'!$O$4:$O$1203,$O358,'ORDENES'!$S$4:$S$1203,$S358))</f>
        <v/>
      </c>
      <c r="AK358" s="42">
        <f>IF($AJ358="","",p_factor_productividad*IFERROR(INDEX('ASIGNACIONES'!$M$4:$M$451,MATCH($O358&amp;"|"&amp;$S358&amp;"|"&amp;$AH358,'ASIGNACIONES'!$N$4:$N$451,0)),0)-$AJ358)</f>
        <v/>
      </c>
      <c r="AL358" s="32">
        <f>IF($A358="","",IFERROR(INDEX('2_IMPORTAR_EJECUCION'!$F$9:$F$1208,MATCH($AU358,'2_IMPORTAR_EJECUCION'!$J$9:$J$1208,0)),0))</f>
        <v/>
      </c>
      <c r="AM358" s="32">
        <f>IF($A358="","",MAX(0,IFERROR(INDEX('2_IMPORTAR_EJECUCION'!$H$9:$H$1208,MATCH($AU358,'2_IMPORTAR_EJECUCION'!$J$9:$J$1208,0)),0)-$AL358))</f>
        <v/>
      </c>
      <c r="AN358" s="32">
        <f>IF($A358="","",$AL358+$AM358)</f>
        <v/>
      </c>
      <c r="AO358" s="24">
        <f>IF($A358="","",IF(OR((IFERROR(INDEX('CAT_ACTIVIDADES'!$D$4:$D$26,MATCH($H358,'CAT_ACTIVIDADES'!$A$4:$A$26,0)),""))=0,(IFERROR(INDEX('CAT_ACTIVIDADES'!$D$4:$D$26,MATCH($H358,'CAT_ACTIVIDADES'!$A$4:$A$26,0)),""))=""),"SIN CLASIFICAR",IFERROR(INDEX('CAT_ACTIVIDADES'!$D$4:$D$26,MATCH($H358,'CAT_ACTIVIDADES'!$A$4:$A$26,0)),"")))</f>
        <v/>
      </c>
      <c r="AP358" s="4" t="n"/>
      <c r="AQ358" s="4" t="n"/>
      <c r="AR358" s="4" t="n"/>
      <c r="AS358" s="24">
        <f>IF($AR358="","",HYPERLINK(p_ruta_base_checklists&amp;$AR358,"abrir"))</f>
        <v/>
      </c>
      <c r="AT358" s="4" t="n"/>
      <c r="AU358" s="24">
        <f>IF($A358="","",$A358&amp;IF($B358="","0010",$B358))</f>
        <v/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41" t="n"/>
      <c r="K359" s="5" t="n"/>
      <c r="L359" s="18" t="n"/>
      <c r="M359" s="24">
        <f>IF($A359="","",IFERROR(INDEX('AJUSTES'!$B$4:$B$303,MATCH($AU359,'AJUSTES'!$A$4:$A$303,0)),IF($K359="","",$K359)))</f>
        <v/>
      </c>
      <c r="N359" s="24">
        <f>IF($A359="","",IFERROR(INDEX('CAT_ESTADOS_ERP'!$B$4:$B$22,MATCH(IFERROR(INDEX('2_IMPORTAR_EJECUCION'!$C$9:$C$1208,MATCH($AU359,'2_IMPORTAR_EJECUCION'!$J$9:$J$1208,0)),""),'CAT_ESTADOS_ERP'!$A$4:$A$22,0)),"Pendiente"))</f>
        <v/>
      </c>
      <c r="O359" s="24">
        <f>IF($J359="","",YEAR($J359+4-WEEKDAY($J359,2))&amp;"-S"&amp;TEXT(_xlfn.ISOWEEKNUM($J359),"00"))</f>
        <v/>
      </c>
      <c r="P359" s="24">
        <f>IF($J359="","",YEAR($J359))</f>
        <v/>
      </c>
      <c r="Q359" s="24">
        <f>IF($J359="","",MONTH($J359))</f>
        <v/>
      </c>
      <c r="R359" s="24">
        <f>IF($J359="","",$P359&amp;"-"&amp;TEXT($Q359,"00"))</f>
        <v/>
      </c>
      <c r="S359" s="24">
        <f>IF($J359="","",INDEX(lista_dias,WEEKDAY($J359,2)))</f>
        <v/>
      </c>
      <c r="T359" s="24">
        <f>IF($J359="","",IFERROR(INDEX('CALENDARIO'!$C$15:$C$214,MATCH(TEXT($J359,"yyyy-mm-dd")&amp;"|"&amp;$Y359&amp;"|"&amp;$Z359,'CALENDARIO'!$G$15:$G$214,0)),IFERROR(INDEX('CALENDARIO'!$C$15:$C$214,MATCH(TEXT($J359,"yyyy-mm-dd")&amp;"|"&amp;$Y359&amp;"|",'CALENDARIO'!$G$15:$G$214,0)),IFERROR(INDEX('CALENDARIO'!$C$15:$C$214,MATCH(TEXT($J359,"yyyy-mm-dd")&amp;"||",'CALENDARIO'!$G$15:$G$214,0)),INDEX(patronHabil,WEEKDAY($J359,2))))))</f>
        <v/>
      </c>
      <c r="U359" s="24">
        <f>IF($I359="","",IFERROR(INDEX('CAT_TIPOS_OT'!$C$4:$C$23,MATCH($I359,'CAT_TIPOS_OT'!$A$4:$A$23,0)),"sin_clasificar"))</f>
        <v/>
      </c>
      <c r="V359" s="24">
        <f>IF($I359="","",IF(IFERROR(INDEX('CAT_TIPOS_OT'!$D$4:$D$23,MATCH($I359,'CAT_TIPOS_OT'!$A$4:$A$23,0)),"SIN CLASIFICAR")="","SIN CLASIFICAR",IFERROR(INDEX('CAT_TIPOS_OT'!$D$4:$D$23,MATCH($I359,'CAT_TIPOS_OT'!$A$4:$A$23,0)),"SIN CLASIFICAR")))</f>
        <v/>
      </c>
      <c r="W359" s="24">
        <f>IF($H359="","",IF(IFERROR(INDEX('CAT_ACTIVIDADES'!$F$4:$F$26,MATCH($H359,'CAT_ACTIVIDADES'!$A$4:$A$26,0)),"")=0,"",IFERROR(INDEX('CAT_ACTIVIDADES'!$F$4:$F$26,MATCH($H359,'CAT_ACTIVIDADES'!$A$4:$A$26,0)),"")))</f>
        <v/>
      </c>
      <c r="X359" s="24">
        <f>IF($F359="","",IFERROR(INDEX('CAT_CENTROS_COSTO'!$F$4:$F$28,MATCH($F359,'CAT_CENTROS_COSTO'!$A$4:$A$28,0)),"(sin catálogo)"))</f>
        <v/>
      </c>
      <c r="Y359" s="24">
        <f>IF($F359="","",IFERROR(INDEX('CAT_CENTROS_COSTO'!$D$4:$D$28,MATCH($F359,'CAT_CENTROS_COSTO'!$A$4:$A$28,0)),"(sin catálogo)"))</f>
        <v/>
      </c>
      <c r="Z359" s="24">
        <f>IF($F359="","",IF((IFERROR(INDEX('CAT_CENTROS_COSTO'!$E$4:$E$28,MATCH($F359,'CAT_CENTROS_COSTO'!$A$4:$A$28,0)),""))&lt;&gt;"",IFERROR(INDEX('CAT_CENTROS_COSTO'!$E$4:$E$28,MATCH($F359,'CAT_CENTROS_COSTO'!$A$4:$A$28,0)),""),$Y359))</f>
        <v/>
      </c>
      <c r="AA359" s="24">
        <f>IF($F359="","",IFERROR(INDEX('CAT_CENTROS_COSTO'!$G$4:$G$28,MATCH($F359,'CAT_CENTROS_COSTO'!$A$4:$A$28,0)),"(sin catálogo)"))</f>
        <v/>
      </c>
      <c r="AB359" s="24">
        <f>IF($G359="","",IFERROR(INDEX('CAT_PUESTOS'!$B$4:$B$23,MATCH($G359,'CAT_PUESTOS'!$A$4:$A$23,0)),"(sin catálogo)"))</f>
        <v/>
      </c>
      <c r="AC359" s="24">
        <f>IF($H359="","",IFERROR(INDEX('CAT_ACTIVIDADES'!$B$4:$B$26,MATCH($H359,'CAT_ACTIVIDADES'!$A$4:$A$26,0)),"(sin catálogo)"))</f>
        <v/>
      </c>
      <c r="AD359" s="26">
        <f>IF($J359="","",TODAY()-$J359)</f>
        <v/>
      </c>
      <c r="AE359" s="26">
        <f>IF($J359="","",IF($J359&lt;=TODAY(),COUNTIFS(cal_fechas,"&gt;="&amp;$J359,cal_fechas,"&lt;"&amp;TODAY(),cal_habil,"sí"),-COUNTIFS(cal_fechas,"&gt;="&amp;TODAY(),cal_fechas,"&lt;"&amp;$J359,cal_habil,"sí")))</f>
        <v/>
      </c>
      <c r="AF359" s="24">
        <f>IF($AE359="","",IF($AE359&lt;0,"FUTURO",IF($AE359&gt;p_dias_backlog_max,"BACKLOG","MES CORRIENTE")))</f>
        <v/>
      </c>
      <c r="AG359" s="24">
        <f>IF($AE359="",FALSE,AND($AE359&gt;p_dias_backlog_min,$AE359&lt;=p_dias_backlog_max))</f>
        <v/>
      </c>
      <c r="AH359" s="4" t="n"/>
      <c r="AI359" s="24">
        <f>IF($AH359="","",IF((IFERROR(INDEX('ASIGNACIONES'!$J$4:$J$451,MATCH($O359&amp;"|"&amp;$S359&amp;"|"&amp;$AH359,'ASIGNACIONES'!$N$4:$N$451,0)),""))=0,"",IFERROR(INDEX('ASIGNACIONES'!$J$4:$J$451,MATCH($O359&amp;"|"&amp;$S359&amp;"|"&amp;$AH359,'ASIGNACIONES'!$N$4:$N$451,0)),"")))</f>
        <v/>
      </c>
      <c r="AJ359" s="42">
        <f>IF($AH359="","",SUMIFS('ORDENES'!$M$4:$M$1203,'ORDENES'!$AH$4:$AH$1203,$AH359,'ORDENES'!$O$4:$O$1203,$O359,'ORDENES'!$S$4:$S$1203,$S359))</f>
        <v/>
      </c>
      <c r="AK359" s="42">
        <f>IF($AJ359="","",p_factor_productividad*IFERROR(INDEX('ASIGNACIONES'!$M$4:$M$451,MATCH($O359&amp;"|"&amp;$S359&amp;"|"&amp;$AH359,'ASIGNACIONES'!$N$4:$N$451,0)),0)-$AJ359)</f>
        <v/>
      </c>
      <c r="AL359" s="32">
        <f>IF($A359="","",IFERROR(INDEX('2_IMPORTAR_EJECUCION'!$F$9:$F$1208,MATCH($AU359,'2_IMPORTAR_EJECUCION'!$J$9:$J$1208,0)),0))</f>
        <v/>
      </c>
      <c r="AM359" s="32">
        <f>IF($A359="","",MAX(0,IFERROR(INDEX('2_IMPORTAR_EJECUCION'!$H$9:$H$1208,MATCH($AU359,'2_IMPORTAR_EJECUCION'!$J$9:$J$1208,0)),0)-$AL359))</f>
        <v/>
      </c>
      <c r="AN359" s="32">
        <f>IF($A359="","",$AL359+$AM359)</f>
        <v/>
      </c>
      <c r="AO359" s="24">
        <f>IF($A359="","",IF(OR((IFERROR(INDEX('CAT_ACTIVIDADES'!$D$4:$D$26,MATCH($H359,'CAT_ACTIVIDADES'!$A$4:$A$26,0)),""))=0,(IFERROR(INDEX('CAT_ACTIVIDADES'!$D$4:$D$26,MATCH($H359,'CAT_ACTIVIDADES'!$A$4:$A$26,0)),""))=""),"SIN CLASIFICAR",IFERROR(INDEX('CAT_ACTIVIDADES'!$D$4:$D$26,MATCH($H359,'CAT_ACTIVIDADES'!$A$4:$A$26,0)),"")))</f>
        <v/>
      </c>
      <c r="AP359" s="4" t="n"/>
      <c r="AQ359" s="4" t="n"/>
      <c r="AR359" s="4" t="n"/>
      <c r="AS359" s="24">
        <f>IF($AR359="","",HYPERLINK(p_ruta_base_checklists&amp;$AR359,"abrir"))</f>
        <v/>
      </c>
      <c r="AT359" s="4" t="n"/>
      <c r="AU359" s="24">
        <f>IF($A359="","",$A359&amp;IF($B359="","0010",$B359))</f>
        <v/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41" t="n"/>
      <c r="K360" s="5" t="n"/>
      <c r="L360" s="18" t="n"/>
      <c r="M360" s="24">
        <f>IF($A360="","",IFERROR(INDEX('AJUSTES'!$B$4:$B$303,MATCH($AU360,'AJUSTES'!$A$4:$A$303,0)),IF($K360="","",$K360)))</f>
        <v/>
      </c>
      <c r="N360" s="24">
        <f>IF($A360="","",IFERROR(INDEX('CAT_ESTADOS_ERP'!$B$4:$B$22,MATCH(IFERROR(INDEX('2_IMPORTAR_EJECUCION'!$C$9:$C$1208,MATCH($AU360,'2_IMPORTAR_EJECUCION'!$J$9:$J$1208,0)),""),'CAT_ESTADOS_ERP'!$A$4:$A$22,0)),"Pendiente"))</f>
        <v/>
      </c>
      <c r="O360" s="24">
        <f>IF($J360="","",YEAR($J360+4-WEEKDAY($J360,2))&amp;"-S"&amp;TEXT(_xlfn.ISOWEEKNUM($J360),"00"))</f>
        <v/>
      </c>
      <c r="P360" s="24">
        <f>IF($J360="","",YEAR($J360))</f>
        <v/>
      </c>
      <c r="Q360" s="24">
        <f>IF($J360="","",MONTH($J360))</f>
        <v/>
      </c>
      <c r="R360" s="24">
        <f>IF($J360="","",$P360&amp;"-"&amp;TEXT($Q360,"00"))</f>
        <v/>
      </c>
      <c r="S360" s="24">
        <f>IF($J360="","",INDEX(lista_dias,WEEKDAY($J360,2)))</f>
        <v/>
      </c>
      <c r="T360" s="24">
        <f>IF($J360="","",IFERROR(INDEX('CALENDARIO'!$C$15:$C$214,MATCH(TEXT($J360,"yyyy-mm-dd")&amp;"|"&amp;$Y360&amp;"|"&amp;$Z360,'CALENDARIO'!$G$15:$G$214,0)),IFERROR(INDEX('CALENDARIO'!$C$15:$C$214,MATCH(TEXT($J360,"yyyy-mm-dd")&amp;"|"&amp;$Y360&amp;"|",'CALENDARIO'!$G$15:$G$214,0)),IFERROR(INDEX('CALENDARIO'!$C$15:$C$214,MATCH(TEXT($J360,"yyyy-mm-dd")&amp;"||",'CALENDARIO'!$G$15:$G$214,0)),INDEX(patronHabil,WEEKDAY($J360,2))))))</f>
        <v/>
      </c>
      <c r="U360" s="24">
        <f>IF($I360="","",IFERROR(INDEX('CAT_TIPOS_OT'!$C$4:$C$23,MATCH($I360,'CAT_TIPOS_OT'!$A$4:$A$23,0)),"sin_clasificar"))</f>
        <v/>
      </c>
      <c r="V360" s="24">
        <f>IF($I360="","",IF(IFERROR(INDEX('CAT_TIPOS_OT'!$D$4:$D$23,MATCH($I360,'CAT_TIPOS_OT'!$A$4:$A$23,0)),"SIN CLASIFICAR")="","SIN CLASIFICAR",IFERROR(INDEX('CAT_TIPOS_OT'!$D$4:$D$23,MATCH($I360,'CAT_TIPOS_OT'!$A$4:$A$23,0)),"SIN CLASIFICAR")))</f>
        <v/>
      </c>
      <c r="W360" s="24">
        <f>IF($H360="","",IF(IFERROR(INDEX('CAT_ACTIVIDADES'!$F$4:$F$26,MATCH($H360,'CAT_ACTIVIDADES'!$A$4:$A$26,0)),"")=0,"",IFERROR(INDEX('CAT_ACTIVIDADES'!$F$4:$F$26,MATCH($H360,'CAT_ACTIVIDADES'!$A$4:$A$26,0)),"")))</f>
        <v/>
      </c>
      <c r="X360" s="24">
        <f>IF($F360="","",IFERROR(INDEX('CAT_CENTROS_COSTO'!$F$4:$F$28,MATCH($F360,'CAT_CENTROS_COSTO'!$A$4:$A$28,0)),"(sin catálogo)"))</f>
        <v/>
      </c>
      <c r="Y360" s="24">
        <f>IF($F360="","",IFERROR(INDEX('CAT_CENTROS_COSTO'!$D$4:$D$28,MATCH($F360,'CAT_CENTROS_COSTO'!$A$4:$A$28,0)),"(sin catálogo)"))</f>
        <v/>
      </c>
      <c r="Z360" s="24">
        <f>IF($F360="","",IF((IFERROR(INDEX('CAT_CENTROS_COSTO'!$E$4:$E$28,MATCH($F360,'CAT_CENTROS_COSTO'!$A$4:$A$28,0)),""))&lt;&gt;"",IFERROR(INDEX('CAT_CENTROS_COSTO'!$E$4:$E$28,MATCH($F360,'CAT_CENTROS_COSTO'!$A$4:$A$28,0)),""),$Y360))</f>
        <v/>
      </c>
      <c r="AA360" s="24">
        <f>IF($F360="","",IFERROR(INDEX('CAT_CENTROS_COSTO'!$G$4:$G$28,MATCH($F360,'CAT_CENTROS_COSTO'!$A$4:$A$28,0)),"(sin catálogo)"))</f>
        <v/>
      </c>
      <c r="AB360" s="24">
        <f>IF($G360="","",IFERROR(INDEX('CAT_PUESTOS'!$B$4:$B$23,MATCH($G360,'CAT_PUESTOS'!$A$4:$A$23,0)),"(sin catálogo)"))</f>
        <v/>
      </c>
      <c r="AC360" s="24">
        <f>IF($H360="","",IFERROR(INDEX('CAT_ACTIVIDADES'!$B$4:$B$26,MATCH($H360,'CAT_ACTIVIDADES'!$A$4:$A$26,0)),"(sin catálogo)"))</f>
        <v/>
      </c>
      <c r="AD360" s="26">
        <f>IF($J360="","",TODAY()-$J360)</f>
        <v/>
      </c>
      <c r="AE360" s="26">
        <f>IF($J360="","",IF($J360&lt;=TODAY(),COUNTIFS(cal_fechas,"&gt;="&amp;$J360,cal_fechas,"&lt;"&amp;TODAY(),cal_habil,"sí"),-COUNTIFS(cal_fechas,"&gt;="&amp;TODAY(),cal_fechas,"&lt;"&amp;$J360,cal_habil,"sí")))</f>
        <v/>
      </c>
      <c r="AF360" s="24">
        <f>IF($AE360="","",IF($AE360&lt;0,"FUTURO",IF($AE360&gt;p_dias_backlog_max,"BACKLOG","MES CORRIENTE")))</f>
        <v/>
      </c>
      <c r="AG360" s="24">
        <f>IF($AE360="",FALSE,AND($AE360&gt;p_dias_backlog_min,$AE360&lt;=p_dias_backlog_max))</f>
        <v/>
      </c>
      <c r="AH360" s="4" t="n"/>
      <c r="AI360" s="24">
        <f>IF($AH360="","",IF((IFERROR(INDEX('ASIGNACIONES'!$J$4:$J$451,MATCH($O360&amp;"|"&amp;$S360&amp;"|"&amp;$AH360,'ASIGNACIONES'!$N$4:$N$451,0)),""))=0,"",IFERROR(INDEX('ASIGNACIONES'!$J$4:$J$451,MATCH($O360&amp;"|"&amp;$S360&amp;"|"&amp;$AH360,'ASIGNACIONES'!$N$4:$N$451,0)),"")))</f>
        <v/>
      </c>
      <c r="AJ360" s="42">
        <f>IF($AH360="","",SUMIFS('ORDENES'!$M$4:$M$1203,'ORDENES'!$AH$4:$AH$1203,$AH360,'ORDENES'!$O$4:$O$1203,$O360,'ORDENES'!$S$4:$S$1203,$S360))</f>
        <v/>
      </c>
      <c r="AK360" s="42">
        <f>IF($AJ360="","",p_factor_productividad*IFERROR(INDEX('ASIGNACIONES'!$M$4:$M$451,MATCH($O360&amp;"|"&amp;$S360&amp;"|"&amp;$AH360,'ASIGNACIONES'!$N$4:$N$451,0)),0)-$AJ360)</f>
        <v/>
      </c>
      <c r="AL360" s="32">
        <f>IF($A360="","",IFERROR(INDEX('2_IMPORTAR_EJECUCION'!$F$9:$F$1208,MATCH($AU360,'2_IMPORTAR_EJECUCION'!$J$9:$J$1208,0)),0))</f>
        <v/>
      </c>
      <c r="AM360" s="32">
        <f>IF($A360="","",MAX(0,IFERROR(INDEX('2_IMPORTAR_EJECUCION'!$H$9:$H$1208,MATCH($AU360,'2_IMPORTAR_EJECUCION'!$J$9:$J$1208,0)),0)-$AL360))</f>
        <v/>
      </c>
      <c r="AN360" s="32">
        <f>IF($A360="","",$AL360+$AM360)</f>
        <v/>
      </c>
      <c r="AO360" s="24">
        <f>IF($A360="","",IF(OR((IFERROR(INDEX('CAT_ACTIVIDADES'!$D$4:$D$26,MATCH($H360,'CAT_ACTIVIDADES'!$A$4:$A$26,0)),""))=0,(IFERROR(INDEX('CAT_ACTIVIDADES'!$D$4:$D$26,MATCH($H360,'CAT_ACTIVIDADES'!$A$4:$A$26,0)),""))=""),"SIN CLASIFICAR",IFERROR(INDEX('CAT_ACTIVIDADES'!$D$4:$D$26,MATCH($H360,'CAT_ACTIVIDADES'!$A$4:$A$26,0)),"")))</f>
        <v/>
      </c>
      <c r="AP360" s="4" t="n"/>
      <c r="AQ360" s="4" t="n"/>
      <c r="AR360" s="4" t="n"/>
      <c r="AS360" s="24">
        <f>IF($AR360="","",HYPERLINK(p_ruta_base_checklists&amp;$AR360,"abrir"))</f>
        <v/>
      </c>
      <c r="AT360" s="4" t="n"/>
      <c r="AU360" s="24">
        <f>IF($A360="","",$A360&amp;IF($B360="","0010",$B360))</f>
        <v/>
      </c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41" t="n"/>
      <c r="K361" s="5" t="n"/>
      <c r="L361" s="18" t="n"/>
      <c r="M361" s="24">
        <f>IF($A361="","",IFERROR(INDEX('AJUSTES'!$B$4:$B$303,MATCH($AU361,'AJUSTES'!$A$4:$A$303,0)),IF($K361="","",$K361)))</f>
        <v/>
      </c>
      <c r="N361" s="24">
        <f>IF($A361="","",IFERROR(INDEX('CAT_ESTADOS_ERP'!$B$4:$B$22,MATCH(IFERROR(INDEX('2_IMPORTAR_EJECUCION'!$C$9:$C$1208,MATCH($AU361,'2_IMPORTAR_EJECUCION'!$J$9:$J$1208,0)),""),'CAT_ESTADOS_ERP'!$A$4:$A$22,0)),"Pendiente"))</f>
        <v/>
      </c>
      <c r="O361" s="24">
        <f>IF($J361="","",YEAR($J361+4-WEEKDAY($J361,2))&amp;"-S"&amp;TEXT(_xlfn.ISOWEEKNUM($J361),"00"))</f>
        <v/>
      </c>
      <c r="P361" s="24">
        <f>IF($J361="","",YEAR($J361))</f>
        <v/>
      </c>
      <c r="Q361" s="24">
        <f>IF($J361="","",MONTH($J361))</f>
        <v/>
      </c>
      <c r="R361" s="24">
        <f>IF($J361="","",$P361&amp;"-"&amp;TEXT($Q361,"00"))</f>
        <v/>
      </c>
      <c r="S361" s="24">
        <f>IF($J361="","",INDEX(lista_dias,WEEKDAY($J361,2)))</f>
        <v/>
      </c>
      <c r="T361" s="24">
        <f>IF($J361="","",IFERROR(INDEX('CALENDARIO'!$C$15:$C$214,MATCH(TEXT($J361,"yyyy-mm-dd")&amp;"|"&amp;$Y361&amp;"|"&amp;$Z361,'CALENDARIO'!$G$15:$G$214,0)),IFERROR(INDEX('CALENDARIO'!$C$15:$C$214,MATCH(TEXT($J361,"yyyy-mm-dd")&amp;"|"&amp;$Y361&amp;"|",'CALENDARIO'!$G$15:$G$214,0)),IFERROR(INDEX('CALENDARIO'!$C$15:$C$214,MATCH(TEXT($J361,"yyyy-mm-dd")&amp;"||",'CALENDARIO'!$G$15:$G$214,0)),INDEX(patronHabil,WEEKDAY($J361,2))))))</f>
        <v/>
      </c>
      <c r="U361" s="24">
        <f>IF($I361="","",IFERROR(INDEX('CAT_TIPOS_OT'!$C$4:$C$23,MATCH($I361,'CAT_TIPOS_OT'!$A$4:$A$23,0)),"sin_clasificar"))</f>
        <v/>
      </c>
      <c r="V361" s="24">
        <f>IF($I361="","",IF(IFERROR(INDEX('CAT_TIPOS_OT'!$D$4:$D$23,MATCH($I361,'CAT_TIPOS_OT'!$A$4:$A$23,0)),"SIN CLASIFICAR")="","SIN CLASIFICAR",IFERROR(INDEX('CAT_TIPOS_OT'!$D$4:$D$23,MATCH($I361,'CAT_TIPOS_OT'!$A$4:$A$23,0)),"SIN CLASIFICAR")))</f>
        <v/>
      </c>
      <c r="W361" s="24">
        <f>IF($H361="","",IF(IFERROR(INDEX('CAT_ACTIVIDADES'!$F$4:$F$26,MATCH($H361,'CAT_ACTIVIDADES'!$A$4:$A$26,0)),"")=0,"",IFERROR(INDEX('CAT_ACTIVIDADES'!$F$4:$F$26,MATCH($H361,'CAT_ACTIVIDADES'!$A$4:$A$26,0)),"")))</f>
        <v/>
      </c>
      <c r="X361" s="24">
        <f>IF($F361="","",IFERROR(INDEX('CAT_CENTROS_COSTO'!$F$4:$F$28,MATCH($F361,'CAT_CENTROS_COSTO'!$A$4:$A$28,0)),"(sin catálogo)"))</f>
        <v/>
      </c>
      <c r="Y361" s="24">
        <f>IF($F361="","",IFERROR(INDEX('CAT_CENTROS_COSTO'!$D$4:$D$28,MATCH($F361,'CAT_CENTROS_COSTO'!$A$4:$A$28,0)),"(sin catálogo)"))</f>
        <v/>
      </c>
      <c r="Z361" s="24">
        <f>IF($F361="","",IF((IFERROR(INDEX('CAT_CENTROS_COSTO'!$E$4:$E$28,MATCH($F361,'CAT_CENTROS_COSTO'!$A$4:$A$28,0)),""))&lt;&gt;"",IFERROR(INDEX('CAT_CENTROS_COSTO'!$E$4:$E$28,MATCH($F361,'CAT_CENTROS_COSTO'!$A$4:$A$28,0)),""),$Y361))</f>
        <v/>
      </c>
      <c r="AA361" s="24">
        <f>IF($F361="","",IFERROR(INDEX('CAT_CENTROS_COSTO'!$G$4:$G$28,MATCH($F361,'CAT_CENTROS_COSTO'!$A$4:$A$28,0)),"(sin catálogo)"))</f>
        <v/>
      </c>
      <c r="AB361" s="24">
        <f>IF($G361="","",IFERROR(INDEX('CAT_PUESTOS'!$B$4:$B$23,MATCH($G361,'CAT_PUESTOS'!$A$4:$A$23,0)),"(sin catálogo)"))</f>
        <v/>
      </c>
      <c r="AC361" s="24">
        <f>IF($H361="","",IFERROR(INDEX('CAT_ACTIVIDADES'!$B$4:$B$26,MATCH($H361,'CAT_ACTIVIDADES'!$A$4:$A$26,0)),"(sin catálogo)"))</f>
        <v/>
      </c>
      <c r="AD361" s="26">
        <f>IF($J361="","",TODAY()-$J361)</f>
        <v/>
      </c>
      <c r="AE361" s="26">
        <f>IF($J361="","",IF($J361&lt;=TODAY(),COUNTIFS(cal_fechas,"&gt;="&amp;$J361,cal_fechas,"&lt;"&amp;TODAY(),cal_habil,"sí"),-COUNTIFS(cal_fechas,"&gt;="&amp;TODAY(),cal_fechas,"&lt;"&amp;$J361,cal_habil,"sí")))</f>
        <v/>
      </c>
      <c r="AF361" s="24">
        <f>IF($AE361="","",IF($AE361&lt;0,"FUTURO",IF($AE361&gt;p_dias_backlog_max,"BACKLOG","MES CORRIENTE")))</f>
        <v/>
      </c>
      <c r="AG361" s="24">
        <f>IF($AE361="",FALSE,AND($AE361&gt;p_dias_backlog_min,$AE361&lt;=p_dias_backlog_max))</f>
        <v/>
      </c>
      <c r="AH361" s="4" t="n"/>
      <c r="AI361" s="24">
        <f>IF($AH361="","",IF((IFERROR(INDEX('ASIGNACIONES'!$J$4:$J$451,MATCH($O361&amp;"|"&amp;$S361&amp;"|"&amp;$AH361,'ASIGNACIONES'!$N$4:$N$451,0)),""))=0,"",IFERROR(INDEX('ASIGNACIONES'!$J$4:$J$451,MATCH($O361&amp;"|"&amp;$S361&amp;"|"&amp;$AH361,'ASIGNACIONES'!$N$4:$N$451,0)),"")))</f>
        <v/>
      </c>
      <c r="AJ361" s="42">
        <f>IF($AH361="","",SUMIFS('ORDENES'!$M$4:$M$1203,'ORDENES'!$AH$4:$AH$1203,$AH361,'ORDENES'!$O$4:$O$1203,$O361,'ORDENES'!$S$4:$S$1203,$S361))</f>
        <v/>
      </c>
      <c r="AK361" s="42">
        <f>IF($AJ361="","",p_factor_productividad*IFERROR(INDEX('ASIGNACIONES'!$M$4:$M$451,MATCH($O361&amp;"|"&amp;$S361&amp;"|"&amp;$AH361,'ASIGNACIONES'!$N$4:$N$451,0)),0)-$AJ361)</f>
        <v/>
      </c>
      <c r="AL361" s="32">
        <f>IF($A361="","",IFERROR(INDEX('2_IMPORTAR_EJECUCION'!$F$9:$F$1208,MATCH($AU361,'2_IMPORTAR_EJECUCION'!$J$9:$J$1208,0)),0))</f>
        <v/>
      </c>
      <c r="AM361" s="32">
        <f>IF($A361="","",MAX(0,IFERROR(INDEX('2_IMPORTAR_EJECUCION'!$H$9:$H$1208,MATCH($AU361,'2_IMPORTAR_EJECUCION'!$J$9:$J$1208,0)),0)-$AL361))</f>
        <v/>
      </c>
      <c r="AN361" s="32">
        <f>IF($A361="","",$AL361+$AM361)</f>
        <v/>
      </c>
      <c r="AO361" s="24">
        <f>IF($A361="","",IF(OR((IFERROR(INDEX('CAT_ACTIVIDADES'!$D$4:$D$26,MATCH($H361,'CAT_ACTIVIDADES'!$A$4:$A$26,0)),""))=0,(IFERROR(INDEX('CAT_ACTIVIDADES'!$D$4:$D$26,MATCH($H361,'CAT_ACTIVIDADES'!$A$4:$A$26,0)),""))=""),"SIN CLASIFICAR",IFERROR(INDEX('CAT_ACTIVIDADES'!$D$4:$D$26,MATCH($H361,'CAT_ACTIVIDADES'!$A$4:$A$26,0)),"")))</f>
        <v/>
      </c>
      <c r="AP361" s="4" t="n"/>
      <c r="AQ361" s="4" t="n"/>
      <c r="AR361" s="4" t="n"/>
      <c r="AS361" s="24">
        <f>IF($AR361="","",HYPERLINK(p_ruta_base_checklists&amp;$AR361,"abrir"))</f>
        <v/>
      </c>
      <c r="AT361" s="4" t="n"/>
      <c r="AU361" s="24">
        <f>IF($A361="","",$A361&amp;IF($B361="","0010",$B361))</f>
        <v/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41" t="n"/>
      <c r="K362" s="5" t="n"/>
      <c r="L362" s="18" t="n"/>
      <c r="M362" s="24">
        <f>IF($A362="","",IFERROR(INDEX('AJUSTES'!$B$4:$B$303,MATCH($AU362,'AJUSTES'!$A$4:$A$303,0)),IF($K362="","",$K362)))</f>
        <v/>
      </c>
      <c r="N362" s="24">
        <f>IF($A362="","",IFERROR(INDEX('CAT_ESTADOS_ERP'!$B$4:$B$22,MATCH(IFERROR(INDEX('2_IMPORTAR_EJECUCION'!$C$9:$C$1208,MATCH($AU362,'2_IMPORTAR_EJECUCION'!$J$9:$J$1208,0)),""),'CAT_ESTADOS_ERP'!$A$4:$A$22,0)),"Pendiente"))</f>
        <v/>
      </c>
      <c r="O362" s="24">
        <f>IF($J362="","",YEAR($J362+4-WEEKDAY($J362,2))&amp;"-S"&amp;TEXT(_xlfn.ISOWEEKNUM($J362),"00"))</f>
        <v/>
      </c>
      <c r="P362" s="24">
        <f>IF($J362="","",YEAR($J362))</f>
        <v/>
      </c>
      <c r="Q362" s="24">
        <f>IF($J362="","",MONTH($J362))</f>
        <v/>
      </c>
      <c r="R362" s="24">
        <f>IF($J362="","",$P362&amp;"-"&amp;TEXT($Q362,"00"))</f>
        <v/>
      </c>
      <c r="S362" s="24">
        <f>IF($J362="","",INDEX(lista_dias,WEEKDAY($J362,2)))</f>
        <v/>
      </c>
      <c r="T362" s="24">
        <f>IF($J362="","",IFERROR(INDEX('CALENDARIO'!$C$15:$C$214,MATCH(TEXT($J362,"yyyy-mm-dd")&amp;"|"&amp;$Y362&amp;"|"&amp;$Z362,'CALENDARIO'!$G$15:$G$214,0)),IFERROR(INDEX('CALENDARIO'!$C$15:$C$214,MATCH(TEXT($J362,"yyyy-mm-dd")&amp;"|"&amp;$Y362&amp;"|",'CALENDARIO'!$G$15:$G$214,0)),IFERROR(INDEX('CALENDARIO'!$C$15:$C$214,MATCH(TEXT($J362,"yyyy-mm-dd")&amp;"||",'CALENDARIO'!$G$15:$G$214,0)),INDEX(patronHabil,WEEKDAY($J362,2))))))</f>
        <v/>
      </c>
      <c r="U362" s="24">
        <f>IF($I362="","",IFERROR(INDEX('CAT_TIPOS_OT'!$C$4:$C$23,MATCH($I362,'CAT_TIPOS_OT'!$A$4:$A$23,0)),"sin_clasificar"))</f>
        <v/>
      </c>
      <c r="V362" s="24">
        <f>IF($I362="","",IF(IFERROR(INDEX('CAT_TIPOS_OT'!$D$4:$D$23,MATCH($I362,'CAT_TIPOS_OT'!$A$4:$A$23,0)),"SIN CLASIFICAR")="","SIN CLASIFICAR",IFERROR(INDEX('CAT_TIPOS_OT'!$D$4:$D$23,MATCH($I362,'CAT_TIPOS_OT'!$A$4:$A$23,0)),"SIN CLASIFICAR")))</f>
        <v/>
      </c>
      <c r="W362" s="24">
        <f>IF($H362="","",IF(IFERROR(INDEX('CAT_ACTIVIDADES'!$F$4:$F$26,MATCH($H362,'CAT_ACTIVIDADES'!$A$4:$A$26,0)),"")=0,"",IFERROR(INDEX('CAT_ACTIVIDADES'!$F$4:$F$26,MATCH($H362,'CAT_ACTIVIDADES'!$A$4:$A$26,0)),"")))</f>
        <v/>
      </c>
      <c r="X362" s="24">
        <f>IF($F362="","",IFERROR(INDEX('CAT_CENTROS_COSTO'!$F$4:$F$28,MATCH($F362,'CAT_CENTROS_COSTO'!$A$4:$A$28,0)),"(sin catálogo)"))</f>
        <v/>
      </c>
      <c r="Y362" s="24">
        <f>IF($F362="","",IFERROR(INDEX('CAT_CENTROS_COSTO'!$D$4:$D$28,MATCH($F362,'CAT_CENTROS_COSTO'!$A$4:$A$28,0)),"(sin catálogo)"))</f>
        <v/>
      </c>
      <c r="Z362" s="24">
        <f>IF($F362="","",IF((IFERROR(INDEX('CAT_CENTROS_COSTO'!$E$4:$E$28,MATCH($F362,'CAT_CENTROS_COSTO'!$A$4:$A$28,0)),""))&lt;&gt;"",IFERROR(INDEX('CAT_CENTROS_COSTO'!$E$4:$E$28,MATCH($F362,'CAT_CENTROS_COSTO'!$A$4:$A$28,0)),""),$Y362))</f>
        <v/>
      </c>
      <c r="AA362" s="24">
        <f>IF($F362="","",IFERROR(INDEX('CAT_CENTROS_COSTO'!$G$4:$G$28,MATCH($F362,'CAT_CENTROS_COSTO'!$A$4:$A$28,0)),"(sin catálogo)"))</f>
        <v/>
      </c>
      <c r="AB362" s="24">
        <f>IF($G362="","",IFERROR(INDEX('CAT_PUESTOS'!$B$4:$B$23,MATCH($G362,'CAT_PUESTOS'!$A$4:$A$23,0)),"(sin catálogo)"))</f>
        <v/>
      </c>
      <c r="AC362" s="24">
        <f>IF($H362="","",IFERROR(INDEX('CAT_ACTIVIDADES'!$B$4:$B$26,MATCH($H362,'CAT_ACTIVIDADES'!$A$4:$A$26,0)),"(sin catálogo)"))</f>
        <v/>
      </c>
      <c r="AD362" s="26">
        <f>IF($J362="","",TODAY()-$J362)</f>
        <v/>
      </c>
      <c r="AE362" s="26">
        <f>IF($J362="","",IF($J362&lt;=TODAY(),COUNTIFS(cal_fechas,"&gt;="&amp;$J362,cal_fechas,"&lt;"&amp;TODAY(),cal_habil,"sí"),-COUNTIFS(cal_fechas,"&gt;="&amp;TODAY(),cal_fechas,"&lt;"&amp;$J362,cal_habil,"sí")))</f>
        <v/>
      </c>
      <c r="AF362" s="24">
        <f>IF($AE362="","",IF($AE362&lt;0,"FUTURO",IF($AE362&gt;p_dias_backlog_max,"BACKLOG","MES CORRIENTE")))</f>
        <v/>
      </c>
      <c r="AG362" s="24">
        <f>IF($AE362="",FALSE,AND($AE362&gt;p_dias_backlog_min,$AE362&lt;=p_dias_backlog_max))</f>
        <v/>
      </c>
      <c r="AH362" s="4" t="n"/>
      <c r="AI362" s="24">
        <f>IF($AH362="","",IF((IFERROR(INDEX('ASIGNACIONES'!$J$4:$J$451,MATCH($O362&amp;"|"&amp;$S362&amp;"|"&amp;$AH362,'ASIGNACIONES'!$N$4:$N$451,0)),""))=0,"",IFERROR(INDEX('ASIGNACIONES'!$J$4:$J$451,MATCH($O362&amp;"|"&amp;$S362&amp;"|"&amp;$AH362,'ASIGNACIONES'!$N$4:$N$451,0)),"")))</f>
        <v/>
      </c>
      <c r="AJ362" s="42">
        <f>IF($AH362="","",SUMIFS('ORDENES'!$M$4:$M$1203,'ORDENES'!$AH$4:$AH$1203,$AH362,'ORDENES'!$O$4:$O$1203,$O362,'ORDENES'!$S$4:$S$1203,$S362))</f>
        <v/>
      </c>
      <c r="AK362" s="42">
        <f>IF($AJ362="","",p_factor_productividad*IFERROR(INDEX('ASIGNACIONES'!$M$4:$M$451,MATCH($O362&amp;"|"&amp;$S362&amp;"|"&amp;$AH362,'ASIGNACIONES'!$N$4:$N$451,0)),0)-$AJ362)</f>
        <v/>
      </c>
      <c r="AL362" s="32">
        <f>IF($A362="","",IFERROR(INDEX('2_IMPORTAR_EJECUCION'!$F$9:$F$1208,MATCH($AU362,'2_IMPORTAR_EJECUCION'!$J$9:$J$1208,0)),0))</f>
        <v/>
      </c>
      <c r="AM362" s="32">
        <f>IF($A362="","",MAX(0,IFERROR(INDEX('2_IMPORTAR_EJECUCION'!$H$9:$H$1208,MATCH($AU362,'2_IMPORTAR_EJECUCION'!$J$9:$J$1208,0)),0)-$AL362))</f>
        <v/>
      </c>
      <c r="AN362" s="32">
        <f>IF($A362="","",$AL362+$AM362)</f>
        <v/>
      </c>
      <c r="AO362" s="24">
        <f>IF($A362="","",IF(OR((IFERROR(INDEX('CAT_ACTIVIDADES'!$D$4:$D$26,MATCH($H362,'CAT_ACTIVIDADES'!$A$4:$A$26,0)),""))=0,(IFERROR(INDEX('CAT_ACTIVIDADES'!$D$4:$D$26,MATCH($H362,'CAT_ACTIVIDADES'!$A$4:$A$26,0)),""))=""),"SIN CLASIFICAR",IFERROR(INDEX('CAT_ACTIVIDADES'!$D$4:$D$26,MATCH($H362,'CAT_ACTIVIDADES'!$A$4:$A$26,0)),"")))</f>
        <v/>
      </c>
      <c r="AP362" s="4" t="n"/>
      <c r="AQ362" s="4" t="n"/>
      <c r="AR362" s="4" t="n"/>
      <c r="AS362" s="24">
        <f>IF($AR362="","",HYPERLINK(p_ruta_base_checklists&amp;$AR362,"abrir"))</f>
        <v/>
      </c>
      <c r="AT362" s="4" t="n"/>
      <c r="AU362" s="24">
        <f>IF($A362="","",$A362&amp;IF($B362="","0010",$B362))</f>
        <v/>
      </c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41" t="n"/>
      <c r="K363" s="5" t="n"/>
      <c r="L363" s="18" t="n"/>
      <c r="M363" s="24">
        <f>IF($A363="","",IFERROR(INDEX('AJUSTES'!$B$4:$B$303,MATCH($AU363,'AJUSTES'!$A$4:$A$303,0)),IF($K363="","",$K363)))</f>
        <v/>
      </c>
      <c r="N363" s="24">
        <f>IF($A363="","",IFERROR(INDEX('CAT_ESTADOS_ERP'!$B$4:$B$22,MATCH(IFERROR(INDEX('2_IMPORTAR_EJECUCION'!$C$9:$C$1208,MATCH($AU363,'2_IMPORTAR_EJECUCION'!$J$9:$J$1208,0)),""),'CAT_ESTADOS_ERP'!$A$4:$A$22,0)),"Pendiente"))</f>
        <v/>
      </c>
      <c r="O363" s="24">
        <f>IF($J363="","",YEAR($J363+4-WEEKDAY($J363,2))&amp;"-S"&amp;TEXT(_xlfn.ISOWEEKNUM($J363),"00"))</f>
        <v/>
      </c>
      <c r="P363" s="24">
        <f>IF($J363="","",YEAR($J363))</f>
        <v/>
      </c>
      <c r="Q363" s="24">
        <f>IF($J363="","",MONTH($J363))</f>
        <v/>
      </c>
      <c r="R363" s="24">
        <f>IF($J363="","",$P363&amp;"-"&amp;TEXT($Q363,"00"))</f>
        <v/>
      </c>
      <c r="S363" s="24">
        <f>IF($J363="","",INDEX(lista_dias,WEEKDAY($J363,2)))</f>
        <v/>
      </c>
      <c r="T363" s="24">
        <f>IF($J363="","",IFERROR(INDEX('CALENDARIO'!$C$15:$C$214,MATCH(TEXT($J363,"yyyy-mm-dd")&amp;"|"&amp;$Y363&amp;"|"&amp;$Z363,'CALENDARIO'!$G$15:$G$214,0)),IFERROR(INDEX('CALENDARIO'!$C$15:$C$214,MATCH(TEXT($J363,"yyyy-mm-dd")&amp;"|"&amp;$Y363&amp;"|",'CALENDARIO'!$G$15:$G$214,0)),IFERROR(INDEX('CALENDARIO'!$C$15:$C$214,MATCH(TEXT($J363,"yyyy-mm-dd")&amp;"||",'CALENDARIO'!$G$15:$G$214,0)),INDEX(patronHabil,WEEKDAY($J363,2))))))</f>
        <v/>
      </c>
      <c r="U363" s="24">
        <f>IF($I363="","",IFERROR(INDEX('CAT_TIPOS_OT'!$C$4:$C$23,MATCH($I363,'CAT_TIPOS_OT'!$A$4:$A$23,0)),"sin_clasificar"))</f>
        <v/>
      </c>
      <c r="V363" s="24">
        <f>IF($I363="","",IF(IFERROR(INDEX('CAT_TIPOS_OT'!$D$4:$D$23,MATCH($I363,'CAT_TIPOS_OT'!$A$4:$A$23,0)),"SIN CLASIFICAR")="","SIN CLASIFICAR",IFERROR(INDEX('CAT_TIPOS_OT'!$D$4:$D$23,MATCH($I363,'CAT_TIPOS_OT'!$A$4:$A$23,0)),"SIN CLASIFICAR")))</f>
        <v/>
      </c>
      <c r="W363" s="24">
        <f>IF($H363="","",IF(IFERROR(INDEX('CAT_ACTIVIDADES'!$F$4:$F$26,MATCH($H363,'CAT_ACTIVIDADES'!$A$4:$A$26,0)),"")=0,"",IFERROR(INDEX('CAT_ACTIVIDADES'!$F$4:$F$26,MATCH($H363,'CAT_ACTIVIDADES'!$A$4:$A$26,0)),"")))</f>
        <v/>
      </c>
      <c r="X363" s="24">
        <f>IF($F363="","",IFERROR(INDEX('CAT_CENTROS_COSTO'!$F$4:$F$28,MATCH($F363,'CAT_CENTROS_COSTO'!$A$4:$A$28,0)),"(sin catálogo)"))</f>
        <v/>
      </c>
      <c r="Y363" s="24">
        <f>IF($F363="","",IFERROR(INDEX('CAT_CENTROS_COSTO'!$D$4:$D$28,MATCH($F363,'CAT_CENTROS_COSTO'!$A$4:$A$28,0)),"(sin catálogo)"))</f>
        <v/>
      </c>
      <c r="Z363" s="24">
        <f>IF($F363="","",IF((IFERROR(INDEX('CAT_CENTROS_COSTO'!$E$4:$E$28,MATCH($F363,'CAT_CENTROS_COSTO'!$A$4:$A$28,0)),""))&lt;&gt;"",IFERROR(INDEX('CAT_CENTROS_COSTO'!$E$4:$E$28,MATCH($F363,'CAT_CENTROS_COSTO'!$A$4:$A$28,0)),""),$Y363))</f>
        <v/>
      </c>
      <c r="AA363" s="24">
        <f>IF($F363="","",IFERROR(INDEX('CAT_CENTROS_COSTO'!$G$4:$G$28,MATCH($F363,'CAT_CENTROS_COSTO'!$A$4:$A$28,0)),"(sin catálogo)"))</f>
        <v/>
      </c>
      <c r="AB363" s="24">
        <f>IF($G363="","",IFERROR(INDEX('CAT_PUESTOS'!$B$4:$B$23,MATCH($G363,'CAT_PUESTOS'!$A$4:$A$23,0)),"(sin catálogo)"))</f>
        <v/>
      </c>
      <c r="AC363" s="24">
        <f>IF($H363="","",IFERROR(INDEX('CAT_ACTIVIDADES'!$B$4:$B$26,MATCH($H363,'CAT_ACTIVIDADES'!$A$4:$A$26,0)),"(sin catálogo)"))</f>
        <v/>
      </c>
      <c r="AD363" s="26">
        <f>IF($J363="","",TODAY()-$J363)</f>
        <v/>
      </c>
      <c r="AE363" s="26">
        <f>IF($J363="","",IF($J363&lt;=TODAY(),COUNTIFS(cal_fechas,"&gt;="&amp;$J363,cal_fechas,"&lt;"&amp;TODAY(),cal_habil,"sí"),-COUNTIFS(cal_fechas,"&gt;="&amp;TODAY(),cal_fechas,"&lt;"&amp;$J363,cal_habil,"sí")))</f>
        <v/>
      </c>
      <c r="AF363" s="24">
        <f>IF($AE363="","",IF($AE363&lt;0,"FUTURO",IF($AE363&gt;p_dias_backlog_max,"BACKLOG","MES CORRIENTE")))</f>
        <v/>
      </c>
      <c r="AG363" s="24">
        <f>IF($AE363="",FALSE,AND($AE363&gt;p_dias_backlog_min,$AE363&lt;=p_dias_backlog_max))</f>
        <v/>
      </c>
      <c r="AH363" s="4" t="n"/>
      <c r="AI363" s="24">
        <f>IF($AH363="","",IF((IFERROR(INDEX('ASIGNACIONES'!$J$4:$J$451,MATCH($O363&amp;"|"&amp;$S363&amp;"|"&amp;$AH363,'ASIGNACIONES'!$N$4:$N$451,0)),""))=0,"",IFERROR(INDEX('ASIGNACIONES'!$J$4:$J$451,MATCH($O363&amp;"|"&amp;$S363&amp;"|"&amp;$AH363,'ASIGNACIONES'!$N$4:$N$451,0)),"")))</f>
        <v/>
      </c>
      <c r="AJ363" s="42">
        <f>IF($AH363="","",SUMIFS('ORDENES'!$M$4:$M$1203,'ORDENES'!$AH$4:$AH$1203,$AH363,'ORDENES'!$O$4:$O$1203,$O363,'ORDENES'!$S$4:$S$1203,$S363))</f>
        <v/>
      </c>
      <c r="AK363" s="42">
        <f>IF($AJ363="","",p_factor_productividad*IFERROR(INDEX('ASIGNACIONES'!$M$4:$M$451,MATCH($O363&amp;"|"&amp;$S363&amp;"|"&amp;$AH363,'ASIGNACIONES'!$N$4:$N$451,0)),0)-$AJ363)</f>
        <v/>
      </c>
      <c r="AL363" s="32">
        <f>IF($A363="","",IFERROR(INDEX('2_IMPORTAR_EJECUCION'!$F$9:$F$1208,MATCH($AU363,'2_IMPORTAR_EJECUCION'!$J$9:$J$1208,0)),0))</f>
        <v/>
      </c>
      <c r="AM363" s="32">
        <f>IF($A363="","",MAX(0,IFERROR(INDEX('2_IMPORTAR_EJECUCION'!$H$9:$H$1208,MATCH($AU363,'2_IMPORTAR_EJECUCION'!$J$9:$J$1208,0)),0)-$AL363))</f>
        <v/>
      </c>
      <c r="AN363" s="32">
        <f>IF($A363="","",$AL363+$AM363)</f>
        <v/>
      </c>
      <c r="AO363" s="24">
        <f>IF($A363="","",IF(OR((IFERROR(INDEX('CAT_ACTIVIDADES'!$D$4:$D$26,MATCH($H363,'CAT_ACTIVIDADES'!$A$4:$A$26,0)),""))=0,(IFERROR(INDEX('CAT_ACTIVIDADES'!$D$4:$D$26,MATCH($H363,'CAT_ACTIVIDADES'!$A$4:$A$26,0)),""))=""),"SIN CLASIFICAR",IFERROR(INDEX('CAT_ACTIVIDADES'!$D$4:$D$26,MATCH($H363,'CAT_ACTIVIDADES'!$A$4:$A$26,0)),"")))</f>
        <v/>
      </c>
      <c r="AP363" s="4" t="n"/>
      <c r="AQ363" s="4" t="n"/>
      <c r="AR363" s="4" t="n"/>
      <c r="AS363" s="24">
        <f>IF($AR363="","",HYPERLINK(p_ruta_base_checklists&amp;$AR363,"abrir"))</f>
        <v/>
      </c>
      <c r="AT363" s="4" t="n"/>
      <c r="AU363" s="24">
        <f>IF($A363="","",$A363&amp;IF($B363="","0010",$B363))</f>
        <v/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41" t="n"/>
      <c r="K364" s="5" t="n"/>
      <c r="L364" s="18" t="n"/>
      <c r="M364" s="24">
        <f>IF($A364="","",IFERROR(INDEX('AJUSTES'!$B$4:$B$303,MATCH($AU364,'AJUSTES'!$A$4:$A$303,0)),IF($K364="","",$K364)))</f>
        <v/>
      </c>
      <c r="N364" s="24">
        <f>IF($A364="","",IFERROR(INDEX('CAT_ESTADOS_ERP'!$B$4:$B$22,MATCH(IFERROR(INDEX('2_IMPORTAR_EJECUCION'!$C$9:$C$1208,MATCH($AU364,'2_IMPORTAR_EJECUCION'!$J$9:$J$1208,0)),""),'CAT_ESTADOS_ERP'!$A$4:$A$22,0)),"Pendiente"))</f>
        <v/>
      </c>
      <c r="O364" s="24">
        <f>IF($J364="","",YEAR($J364+4-WEEKDAY($J364,2))&amp;"-S"&amp;TEXT(_xlfn.ISOWEEKNUM($J364),"00"))</f>
        <v/>
      </c>
      <c r="P364" s="24">
        <f>IF($J364="","",YEAR($J364))</f>
        <v/>
      </c>
      <c r="Q364" s="24">
        <f>IF($J364="","",MONTH($J364))</f>
        <v/>
      </c>
      <c r="R364" s="24">
        <f>IF($J364="","",$P364&amp;"-"&amp;TEXT($Q364,"00"))</f>
        <v/>
      </c>
      <c r="S364" s="24">
        <f>IF($J364="","",INDEX(lista_dias,WEEKDAY($J364,2)))</f>
        <v/>
      </c>
      <c r="T364" s="24">
        <f>IF($J364="","",IFERROR(INDEX('CALENDARIO'!$C$15:$C$214,MATCH(TEXT($J364,"yyyy-mm-dd")&amp;"|"&amp;$Y364&amp;"|"&amp;$Z364,'CALENDARIO'!$G$15:$G$214,0)),IFERROR(INDEX('CALENDARIO'!$C$15:$C$214,MATCH(TEXT($J364,"yyyy-mm-dd")&amp;"|"&amp;$Y364&amp;"|",'CALENDARIO'!$G$15:$G$214,0)),IFERROR(INDEX('CALENDARIO'!$C$15:$C$214,MATCH(TEXT($J364,"yyyy-mm-dd")&amp;"||",'CALENDARIO'!$G$15:$G$214,0)),INDEX(patronHabil,WEEKDAY($J364,2))))))</f>
        <v/>
      </c>
      <c r="U364" s="24">
        <f>IF($I364="","",IFERROR(INDEX('CAT_TIPOS_OT'!$C$4:$C$23,MATCH($I364,'CAT_TIPOS_OT'!$A$4:$A$23,0)),"sin_clasificar"))</f>
        <v/>
      </c>
      <c r="V364" s="24">
        <f>IF($I364="","",IF(IFERROR(INDEX('CAT_TIPOS_OT'!$D$4:$D$23,MATCH($I364,'CAT_TIPOS_OT'!$A$4:$A$23,0)),"SIN CLASIFICAR")="","SIN CLASIFICAR",IFERROR(INDEX('CAT_TIPOS_OT'!$D$4:$D$23,MATCH($I364,'CAT_TIPOS_OT'!$A$4:$A$23,0)),"SIN CLASIFICAR")))</f>
        <v/>
      </c>
      <c r="W364" s="24">
        <f>IF($H364="","",IF(IFERROR(INDEX('CAT_ACTIVIDADES'!$F$4:$F$26,MATCH($H364,'CAT_ACTIVIDADES'!$A$4:$A$26,0)),"")=0,"",IFERROR(INDEX('CAT_ACTIVIDADES'!$F$4:$F$26,MATCH($H364,'CAT_ACTIVIDADES'!$A$4:$A$26,0)),"")))</f>
        <v/>
      </c>
      <c r="X364" s="24">
        <f>IF($F364="","",IFERROR(INDEX('CAT_CENTROS_COSTO'!$F$4:$F$28,MATCH($F364,'CAT_CENTROS_COSTO'!$A$4:$A$28,0)),"(sin catálogo)"))</f>
        <v/>
      </c>
      <c r="Y364" s="24">
        <f>IF($F364="","",IFERROR(INDEX('CAT_CENTROS_COSTO'!$D$4:$D$28,MATCH($F364,'CAT_CENTROS_COSTO'!$A$4:$A$28,0)),"(sin catálogo)"))</f>
        <v/>
      </c>
      <c r="Z364" s="24">
        <f>IF($F364="","",IF((IFERROR(INDEX('CAT_CENTROS_COSTO'!$E$4:$E$28,MATCH($F364,'CAT_CENTROS_COSTO'!$A$4:$A$28,0)),""))&lt;&gt;"",IFERROR(INDEX('CAT_CENTROS_COSTO'!$E$4:$E$28,MATCH($F364,'CAT_CENTROS_COSTO'!$A$4:$A$28,0)),""),$Y364))</f>
        <v/>
      </c>
      <c r="AA364" s="24">
        <f>IF($F364="","",IFERROR(INDEX('CAT_CENTROS_COSTO'!$G$4:$G$28,MATCH($F364,'CAT_CENTROS_COSTO'!$A$4:$A$28,0)),"(sin catálogo)"))</f>
        <v/>
      </c>
      <c r="AB364" s="24">
        <f>IF($G364="","",IFERROR(INDEX('CAT_PUESTOS'!$B$4:$B$23,MATCH($G364,'CAT_PUESTOS'!$A$4:$A$23,0)),"(sin catálogo)"))</f>
        <v/>
      </c>
      <c r="AC364" s="24">
        <f>IF($H364="","",IFERROR(INDEX('CAT_ACTIVIDADES'!$B$4:$B$26,MATCH($H364,'CAT_ACTIVIDADES'!$A$4:$A$26,0)),"(sin catálogo)"))</f>
        <v/>
      </c>
      <c r="AD364" s="26">
        <f>IF($J364="","",TODAY()-$J364)</f>
        <v/>
      </c>
      <c r="AE364" s="26">
        <f>IF($J364="","",IF($J364&lt;=TODAY(),COUNTIFS(cal_fechas,"&gt;="&amp;$J364,cal_fechas,"&lt;"&amp;TODAY(),cal_habil,"sí"),-COUNTIFS(cal_fechas,"&gt;="&amp;TODAY(),cal_fechas,"&lt;"&amp;$J364,cal_habil,"sí")))</f>
        <v/>
      </c>
      <c r="AF364" s="24">
        <f>IF($AE364="","",IF($AE364&lt;0,"FUTURO",IF($AE364&gt;p_dias_backlog_max,"BACKLOG","MES CORRIENTE")))</f>
        <v/>
      </c>
      <c r="AG364" s="24">
        <f>IF($AE364="",FALSE,AND($AE364&gt;p_dias_backlog_min,$AE364&lt;=p_dias_backlog_max))</f>
        <v/>
      </c>
      <c r="AH364" s="4" t="n"/>
      <c r="AI364" s="24">
        <f>IF($AH364="","",IF((IFERROR(INDEX('ASIGNACIONES'!$J$4:$J$451,MATCH($O364&amp;"|"&amp;$S364&amp;"|"&amp;$AH364,'ASIGNACIONES'!$N$4:$N$451,0)),""))=0,"",IFERROR(INDEX('ASIGNACIONES'!$J$4:$J$451,MATCH($O364&amp;"|"&amp;$S364&amp;"|"&amp;$AH364,'ASIGNACIONES'!$N$4:$N$451,0)),"")))</f>
        <v/>
      </c>
      <c r="AJ364" s="42">
        <f>IF($AH364="","",SUMIFS('ORDENES'!$M$4:$M$1203,'ORDENES'!$AH$4:$AH$1203,$AH364,'ORDENES'!$O$4:$O$1203,$O364,'ORDENES'!$S$4:$S$1203,$S364))</f>
        <v/>
      </c>
      <c r="AK364" s="42">
        <f>IF($AJ364="","",p_factor_productividad*IFERROR(INDEX('ASIGNACIONES'!$M$4:$M$451,MATCH($O364&amp;"|"&amp;$S364&amp;"|"&amp;$AH364,'ASIGNACIONES'!$N$4:$N$451,0)),0)-$AJ364)</f>
        <v/>
      </c>
      <c r="AL364" s="32">
        <f>IF($A364="","",IFERROR(INDEX('2_IMPORTAR_EJECUCION'!$F$9:$F$1208,MATCH($AU364,'2_IMPORTAR_EJECUCION'!$J$9:$J$1208,0)),0))</f>
        <v/>
      </c>
      <c r="AM364" s="32">
        <f>IF($A364="","",MAX(0,IFERROR(INDEX('2_IMPORTAR_EJECUCION'!$H$9:$H$1208,MATCH($AU364,'2_IMPORTAR_EJECUCION'!$J$9:$J$1208,0)),0)-$AL364))</f>
        <v/>
      </c>
      <c r="AN364" s="32">
        <f>IF($A364="","",$AL364+$AM364)</f>
        <v/>
      </c>
      <c r="AO364" s="24">
        <f>IF($A364="","",IF(OR((IFERROR(INDEX('CAT_ACTIVIDADES'!$D$4:$D$26,MATCH($H364,'CAT_ACTIVIDADES'!$A$4:$A$26,0)),""))=0,(IFERROR(INDEX('CAT_ACTIVIDADES'!$D$4:$D$26,MATCH($H364,'CAT_ACTIVIDADES'!$A$4:$A$26,0)),""))=""),"SIN CLASIFICAR",IFERROR(INDEX('CAT_ACTIVIDADES'!$D$4:$D$26,MATCH($H364,'CAT_ACTIVIDADES'!$A$4:$A$26,0)),"")))</f>
        <v/>
      </c>
      <c r="AP364" s="4" t="n"/>
      <c r="AQ364" s="4" t="n"/>
      <c r="AR364" s="4" t="n"/>
      <c r="AS364" s="24">
        <f>IF($AR364="","",HYPERLINK(p_ruta_base_checklists&amp;$AR364,"abrir"))</f>
        <v/>
      </c>
      <c r="AT364" s="4" t="n"/>
      <c r="AU364" s="24">
        <f>IF($A364="","",$A364&amp;IF($B364="","0010",$B364))</f>
        <v/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41" t="n"/>
      <c r="K365" s="5" t="n"/>
      <c r="L365" s="18" t="n"/>
      <c r="M365" s="24">
        <f>IF($A365="","",IFERROR(INDEX('AJUSTES'!$B$4:$B$303,MATCH($AU365,'AJUSTES'!$A$4:$A$303,0)),IF($K365="","",$K365)))</f>
        <v/>
      </c>
      <c r="N365" s="24">
        <f>IF($A365="","",IFERROR(INDEX('CAT_ESTADOS_ERP'!$B$4:$B$22,MATCH(IFERROR(INDEX('2_IMPORTAR_EJECUCION'!$C$9:$C$1208,MATCH($AU365,'2_IMPORTAR_EJECUCION'!$J$9:$J$1208,0)),""),'CAT_ESTADOS_ERP'!$A$4:$A$22,0)),"Pendiente"))</f>
        <v/>
      </c>
      <c r="O365" s="24">
        <f>IF($J365="","",YEAR($J365+4-WEEKDAY($J365,2))&amp;"-S"&amp;TEXT(_xlfn.ISOWEEKNUM($J365),"00"))</f>
        <v/>
      </c>
      <c r="P365" s="24">
        <f>IF($J365="","",YEAR($J365))</f>
        <v/>
      </c>
      <c r="Q365" s="24">
        <f>IF($J365="","",MONTH($J365))</f>
        <v/>
      </c>
      <c r="R365" s="24">
        <f>IF($J365="","",$P365&amp;"-"&amp;TEXT($Q365,"00"))</f>
        <v/>
      </c>
      <c r="S365" s="24">
        <f>IF($J365="","",INDEX(lista_dias,WEEKDAY($J365,2)))</f>
        <v/>
      </c>
      <c r="T365" s="24">
        <f>IF($J365="","",IFERROR(INDEX('CALENDARIO'!$C$15:$C$214,MATCH(TEXT($J365,"yyyy-mm-dd")&amp;"|"&amp;$Y365&amp;"|"&amp;$Z365,'CALENDARIO'!$G$15:$G$214,0)),IFERROR(INDEX('CALENDARIO'!$C$15:$C$214,MATCH(TEXT($J365,"yyyy-mm-dd")&amp;"|"&amp;$Y365&amp;"|",'CALENDARIO'!$G$15:$G$214,0)),IFERROR(INDEX('CALENDARIO'!$C$15:$C$214,MATCH(TEXT($J365,"yyyy-mm-dd")&amp;"||",'CALENDARIO'!$G$15:$G$214,0)),INDEX(patronHabil,WEEKDAY($J365,2))))))</f>
        <v/>
      </c>
      <c r="U365" s="24">
        <f>IF($I365="","",IFERROR(INDEX('CAT_TIPOS_OT'!$C$4:$C$23,MATCH($I365,'CAT_TIPOS_OT'!$A$4:$A$23,0)),"sin_clasificar"))</f>
        <v/>
      </c>
      <c r="V365" s="24">
        <f>IF($I365="","",IF(IFERROR(INDEX('CAT_TIPOS_OT'!$D$4:$D$23,MATCH($I365,'CAT_TIPOS_OT'!$A$4:$A$23,0)),"SIN CLASIFICAR")="","SIN CLASIFICAR",IFERROR(INDEX('CAT_TIPOS_OT'!$D$4:$D$23,MATCH($I365,'CAT_TIPOS_OT'!$A$4:$A$23,0)),"SIN CLASIFICAR")))</f>
        <v/>
      </c>
      <c r="W365" s="24">
        <f>IF($H365="","",IF(IFERROR(INDEX('CAT_ACTIVIDADES'!$F$4:$F$26,MATCH($H365,'CAT_ACTIVIDADES'!$A$4:$A$26,0)),"")=0,"",IFERROR(INDEX('CAT_ACTIVIDADES'!$F$4:$F$26,MATCH($H365,'CAT_ACTIVIDADES'!$A$4:$A$26,0)),"")))</f>
        <v/>
      </c>
      <c r="X365" s="24">
        <f>IF($F365="","",IFERROR(INDEX('CAT_CENTROS_COSTO'!$F$4:$F$28,MATCH($F365,'CAT_CENTROS_COSTO'!$A$4:$A$28,0)),"(sin catálogo)"))</f>
        <v/>
      </c>
      <c r="Y365" s="24">
        <f>IF($F365="","",IFERROR(INDEX('CAT_CENTROS_COSTO'!$D$4:$D$28,MATCH($F365,'CAT_CENTROS_COSTO'!$A$4:$A$28,0)),"(sin catálogo)"))</f>
        <v/>
      </c>
      <c r="Z365" s="24">
        <f>IF($F365="","",IF((IFERROR(INDEX('CAT_CENTROS_COSTO'!$E$4:$E$28,MATCH($F365,'CAT_CENTROS_COSTO'!$A$4:$A$28,0)),""))&lt;&gt;"",IFERROR(INDEX('CAT_CENTROS_COSTO'!$E$4:$E$28,MATCH($F365,'CAT_CENTROS_COSTO'!$A$4:$A$28,0)),""),$Y365))</f>
        <v/>
      </c>
      <c r="AA365" s="24">
        <f>IF($F365="","",IFERROR(INDEX('CAT_CENTROS_COSTO'!$G$4:$G$28,MATCH($F365,'CAT_CENTROS_COSTO'!$A$4:$A$28,0)),"(sin catálogo)"))</f>
        <v/>
      </c>
      <c r="AB365" s="24">
        <f>IF($G365="","",IFERROR(INDEX('CAT_PUESTOS'!$B$4:$B$23,MATCH($G365,'CAT_PUESTOS'!$A$4:$A$23,0)),"(sin catálogo)"))</f>
        <v/>
      </c>
      <c r="AC365" s="24">
        <f>IF($H365="","",IFERROR(INDEX('CAT_ACTIVIDADES'!$B$4:$B$26,MATCH($H365,'CAT_ACTIVIDADES'!$A$4:$A$26,0)),"(sin catálogo)"))</f>
        <v/>
      </c>
      <c r="AD365" s="26">
        <f>IF($J365="","",TODAY()-$J365)</f>
        <v/>
      </c>
      <c r="AE365" s="26">
        <f>IF($J365="","",IF($J365&lt;=TODAY(),COUNTIFS(cal_fechas,"&gt;="&amp;$J365,cal_fechas,"&lt;"&amp;TODAY(),cal_habil,"sí"),-COUNTIFS(cal_fechas,"&gt;="&amp;TODAY(),cal_fechas,"&lt;"&amp;$J365,cal_habil,"sí")))</f>
        <v/>
      </c>
      <c r="AF365" s="24">
        <f>IF($AE365="","",IF($AE365&lt;0,"FUTURO",IF($AE365&gt;p_dias_backlog_max,"BACKLOG","MES CORRIENTE")))</f>
        <v/>
      </c>
      <c r="AG365" s="24">
        <f>IF($AE365="",FALSE,AND($AE365&gt;p_dias_backlog_min,$AE365&lt;=p_dias_backlog_max))</f>
        <v/>
      </c>
      <c r="AH365" s="4" t="n"/>
      <c r="AI365" s="24">
        <f>IF($AH365="","",IF((IFERROR(INDEX('ASIGNACIONES'!$J$4:$J$451,MATCH($O365&amp;"|"&amp;$S365&amp;"|"&amp;$AH365,'ASIGNACIONES'!$N$4:$N$451,0)),""))=0,"",IFERROR(INDEX('ASIGNACIONES'!$J$4:$J$451,MATCH($O365&amp;"|"&amp;$S365&amp;"|"&amp;$AH365,'ASIGNACIONES'!$N$4:$N$451,0)),"")))</f>
        <v/>
      </c>
      <c r="AJ365" s="42">
        <f>IF($AH365="","",SUMIFS('ORDENES'!$M$4:$M$1203,'ORDENES'!$AH$4:$AH$1203,$AH365,'ORDENES'!$O$4:$O$1203,$O365,'ORDENES'!$S$4:$S$1203,$S365))</f>
        <v/>
      </c>
      <c r="AK365" s="42">
        <f>IF($AJ365="","",p_factor_productividad*IFERROR(INDEX('ASIGNACIONES'!$M$4:$M$451,MATCH($O365&amp;"|"&amp;$S365&amp;"|"&amp;$AH365,'ASIGNACIONES'!$N$4:$N$451,0)),0)-$AJ365)</f>
        <v/>
      </c>
      <c r="AL365" s="32">
        <f>IF($A365="","",IFERROR(INDEX('2_IMPORTAR_EJECUCION'!$F$9:$F$1208,MATCH($AU365,'2_IMPORTAR_EJECUCION'!$J$9:$J$1208,0)),0))</f>
        <v/>
      </c>
      <c r="AM365" s="32">
        <f>IF($A365="","",MAX(0,IFERROR(INDEX('2_IMPORTAR_EJECUCION'!$H$9:$H$1208,MATCH($AU365,'2_IMPORTAR_EJECUCION'!$J$9:$J$1208,0)),0)-$AL365))</f>
        <v/>
      </c>
      <c r="AN365" s="32">
        <f>IF($A365="","",$AL365+$AM365)</f>
        <v/>
      </c>
      <c r="AO365" s="24">
        <f>IF($A365="","",IF(OR((IFERROR(INDEX('CAT_ACTIVIDADES'!$D$4:$D$26,MATCH($H365,'CAT_ACTIVIDADES'!$A$4:$A$26,0)),""))=0,(IFERROR(INDEX('CAT_ACTIVIDADES'!$D$4:$D$26,MATCH($H365,'CAT_ACTIVIDADES'!$A$4:$A$26,0)),""))=""),"SIN CLASIFICAR",IFERROR(INDEX('CAT_ACTIVIDADES'!$D$4:$D$26,MATCH($H365,'CAT_ACTIVIDADES'!$A$4:$A$26,0)),"")))</f>
        <v/>
      </c>
      <c r="AP365" s="4" t="n"/>
      <c r="AQ365" s="4" t="n"/>
      <c r="AR365" s="4" t="n"/>
      <c r="AS365" s="24">
        <f>IF($AR365="","",HYPERLINK(p_ruta_base_checklists&amp;$AR365,"abrir"))</f>
        <v/>
      </c>
      <c r="AT365" s="4" t="n"/>
      <c r="AU365" s="24">
        <f>IF($A365="","",$A365&amp;IF($B365="","0010",$B365))</f>
        <v/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41" t="n"/>
      <c r="K366" s="5" t="n"/>
      <c r="L366" s="18" t="n"/>
      <c r="M366" s="24">
        <f>IF($A366="","",IFERROR(INDEX('AJUSTES'!$B$4:$B$303,MATCH($AU366,'AJUSTES'!$A$4:$A$303,0)),IF($K366="","",$K366)))</f>
        <v/>
      </c>
      <c r="N366" s="24">
        <f>IF($A366="","",IFERROR(INDEX('CAT_ESTADOS_ERP'!$B$4:$B$22,MATCH(IFERROR(INDEX('2_IMPORTAR_EJECUCION'!$C$9:$C$1208,MATCH($AU366,'2_IMPORTAR_EJECUCION'!$J$9:$J$1208,0)),""),'CAT_ESTADOS_ERP'!$A$4:$A$22,0)),"Pendiente"))</f>
        <v/>
      </c>
      <c r="O366" s="24">
        <f>IF($J366="","",YEAR($J366+4-WEEKDAY($J366,2))&amp;"-S"&amp;TEXT(_xlfn.ISOWEEKNUM($J366),"00"))</f>
        <v/>
      </c>
      <c r="P366" s="24">
        <f>IF($J366="","",YEAR($J366))</f>
        <v/>
      </c>
      <c r="Q366" s="24">
        <f>IF($J366="","",MONTH($J366))</f>
        <v/>
      </c>
      <c r="R366" s="24">
        <f>IF($J366="","",$P366&amp;"-"&amp;TEXT($Q366,"00"))</f>
        <v/>
      </c>
      <c r="S366" s="24">
        <f>IF($J366="","",INDEX(lista_dias,WEEKDAY($J366,2)))</f>
        <v/>
      </c>
      <c r="T366" s="24">
        <f>IF($J366="","",IFERROR(INDEX('CALENDARIO'!$C$15:$C$214,MATCH(TEXT($J366,"yyyy-mm-dd")&amp;"|"&amp;$Y366&amp;"|"&amp;$Z366,'CALENDARIO'!$G$15:$G$214,0)),IFERROR(INDEX('CALENDARIO'!$C$15:$C$214,MATCH(TEXT($J366,"yyyy-mm-dd")&amp;"|"&amp;$Y366&amp;"|",'CALENDARIO'!$G$15:$G$214,0)),IFERROR(INDEX('CALENDARIO'!$C$15:$C$214,MATCH(TEXT($J366,"yyyy-mm-dd")&amp;"||",'CALENDARIO'!$G$15:$G$214,0)),INDEX(patronHabil,WEEKDAY($J366,2))))))</f>
        <v/>
      </c>
      <c r="U366" s="24">
        <f>IF($I366="","",IFERROR(INDEX('CAT_TIPOS_OT'!$C$4:$C$23,MATCH($I366,'CAT_TIPOS_OT'!$A$4:$A$23,0)),"sin_clasificar"))</f>
        <v/>
      </c>
      <c r="V366" s="24">
        <f>IF($I366="","",IF(IFERROR(INDEX('CAT_TIPOS_OT'!$D$4:$D$23,MATCH($I366,'CAT_TIPOS_OT'!$A$4:$A$23,0)),"SIN CLASIFICAR")="","SIN CLASIFICAR",IFERROR(INDEX('CAT_TIPOS_OT'!$D$4:$D$23,MATCH($I366,'CAT_TIPOS_OT'!$A$4:$A$23,0)),"SIN CLASIFICAR")))</f>
        <v/>
      </c>
      <c r="W366" s="24">
        <f>IF($H366="","",IF(IFERROR(INDEX('CAT_ACTIVIDADES'!$F$4:$F$26,MATCH($H366,'CAT_ACTIVIDADES'!$A$4:$A$26,0)),"")=0,"",IFERROR(INDEX('CAT_ACTIVIDADES'!$F$4:$F$26,MATCH($H366,'CAT_ACTIVIDADES'!$A$4:$A$26,0)),"")))</f>
        <v/>
      </c>
      <c r="X366" s="24">
        <f>IF($F366="","",IFERROR(INDEX('CAT_CENTROS_COSTO'!$F$4:$F$28,MATCH($F366,'CAT_CENTROS_COSTO'!$A$4:$A$28,0)),"(sin catálogo)"))</f>
        <v/>
      </c>
      <c r="Y366" s="24">
        <f>IF($F366="","",IFERROR(INDEX('CAT_CENTROS_COSTO'!$D$4:$D$28,MATCH($F366,'CAT_CENTROS_COSTO'!$A$4:$A$28,0)),"(sin catálogo)"))</f>
        <v/>
      </c>
      <c r="Z366" s="24">
        <f>IF($F366="","",IF((IFERROR(INDEX('CAT_CENTROS_COSTO'!$E$4:$E$28,MATCH($F366,'CAT_CENTROS_COSTO'!$A$4:$A$28,0)),""))&lt;&gt;"",IFERROR(INDEX('CAT_CENTROS_COSTO'!$E$4:$E$28,MATCH($F366,'CAT_CENTROS_COSTO'!$A$4:$A$28,0)),""),$Y366))</f>
        <v/>
      </c>
      <c r="AA366" s="24">
        <f>IF($F366="","",IFERROR(INDEX('CAT_CENTROS_COSTO'!$G$4:$G$28,MATCH($F366,'CAT_CENTROS_COSTO'!$A$4:$A$28,0)),"(sin catálogo)"))</f>
        <v/>
      </c>
      <c r="AB366" s="24">
        <f>IF($G366="","",IFERROR(INDEX('CAT_PUESTOS'!$B$4:$B$23,MATCH($G366,'CAT_PUESTOS'!$A$4:$A$23,0)),"(sin catálogo)"))</f>
        <v/>
      </c>
      <c r="AC366" s="24">
        <f>IF($H366="","",IFERROR(INDEX('CAT_ACTIVIDADES'!$B$4:$B$26,MATCH($H366,'CAT_ACTIVIDADES'!$A$4:$A$26,0)),"(sin catálogo)"))</f>
        <v/>
      </c>
      <c r="AD366" s="26">
        <f>IF($J366="","",TODAY()-$J366)</f>
        <v/>
      </c>
      <c r="AE366" s="26">
        <f>IF($J366="","",IF($J366&lt;=TODAY(),COUNTIFS(cal_fechas,"&gt;="&amp;$J366,cal_fechas,"&lt;"&amp;TODAY(),cal_habil,"sí"),-COUNTIFS(cal_fechas,"&gt;="&amp;TODAY(),cal_fechas,"&lt;"&amp;$J366,cal_habil,"sí")))</f>
        <v/>
      </c>
      <c r="AF366" s="24">
        <f>IF($AE366="","",IF($AE366&lt;0,"FUTURO",IF($AE366&gt;p_dias_backlog_max,"BACKLOG","MES CORRIENTE")))</f>
        <v/>
      </c>
      <c r="AG366" s="24">
        <f>IF($AE366="",FALSE,AND($AE366&gt;p_dias_backlog_min,$AE366&lt;=p_dias_backlog_max))</f>
        <v/>
      </c>
      <c r="AH366" s="4" t="n"/>
      <c r="AI366" s="24">
        <f>IF($AH366="","",IF((IFERROR(INDEX('ASIGNACIONES'!$J$4:$J$451,MATCH($O366&amp;"|"&amp;$S366&amp;"|"&amp;$AH366,'ASIGNACIONES'!$N$4:$N$451,0)),""))=0,"",IFERROR(INDEX('ASIGNACIONES'!$J$4:$J$451,MATCH($O366&amp;"|"&amp;$S366&amp;"|"&amp;$AH366,'ASIGNACIONES'!$N$4:$N$451,0)),"")))</f>
        <v/>
      </c>
      <c r="AJ366" s="42">
        <f>IF($AH366="","",SUMIFS('ORDENES'!$M$4:$M$1203,'ORDENES'!$AH$4:$AH$1203,$AH366,'ORDENES'!$O$4:$O$1203,$O366,'ORDENES'!$S$4:$S$1203,$S366))</f>
        <v/>
      </c>
      <c r="AK366" s="42">
        <f>IF($AJ366="","",p_factor_productividad*IFERROR(INDEX('ASIGNACIONES'!$M$4:$M$451,MATCH($O366&amp;"|"&amp;$S366&amp;"|"&amp;$AH366,'ASIGNACIONES'!$N$4:$N$451,0)),0)-$AJ366)</f>
        <v/>
      </c>
      <c r="AL366" s="32">
        <f>IF($A366="","",IFERROR(INDEX('2_IMPORTAR_EJECUCION'!$F$9:$F$1208,MATCH($AU366,'2_IMPORTAR_EJECUCION'!$J$9:$J$1208,0)),0))</f>
        <v/>
      </c>
      <c r="AM366" s="32">
        <f>IF($A366="","",MAX(0,IFERROR(INDEX('2_IMPORTAR_EJECUCION'!$H$9:$H$1208,MATCH($AU366,'2_IMPORTAR_EJECUCION'!$J$9:$J$1208,0)),0)-$AL366))</f>
        <v/>
      </c>
      <c r="AN366" s="32">
        <f>IF($A366="","",$AL366+$AM366)</f>
        <v/>
      </c>
      <c r="AO366" s="24">
        <f>IF($A366="","",IF(OR((IFERROR(INDEX('CAT_ACTIVIDADES'!$D$4:$D$26,MATCH($H366,'CAT_ACTIVIDADES'!$A$4:$A$26,0)),""))=0,(IFERROR(INDEX('CAT_ACTIVIDADES'!$D$4:$D$26,MATCH($H366,'CAT_ACTIVIDADES'!$A$4:$A$26,0)),""))=""),"SIN CLASIFICAR",IFERROR(INDEX('CAT_ACTIVIDADES'!$D$4:$D$26,MATCH($H366,'CAT_ACTIVIDADES'!$A$4:$A$26,0)),"")))</f>
        <v/>
      </c>
      <c r="AP366" s="4" t="n"/>
      <c r="AQ366" s="4" t="n"/>
      <c r="AR366" s="4" t="n"/>
      <c r="AS366" s="24">
        <f>IF($AR366="","",HYPERLINK(p_ruta_base_checklists&amp;$AR366,"abrir"))</f>
        <v/>
      </c>
      <c r="AT366" s="4" t="n"/>
      <c r="AU366" s="24">
        <f>IF($A366="","",$A366&amp;IF($B366="","0010",$B366))</f>
        <v/>
      </c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41" t="n"/>
      <c r="K367" s="5" t="n"/>
      <c r="L367" s="18" t="n"/>
      <c r="M367" s="24">
        <f>IF($A367="","",IFERROR(INDEX('AJUSTES'!$B$4:$B$303,MATCH($AU367,'AJUSTES'!$A$4:$A$303,0)),IF($K367="","",$K367)))</f>
        <v/>
      </c>
      <c r="N367" s="24">
        <f>IF($A367="","",IFERROR(INDEX('CAT_ESTADOS_ERP'!$B$4:$B$22,MATCH(IFERROR(INDEX('2_IMPORTAR_EJECUCION'!$C$9:$C$1208,MATCH($AU367,'2_IMPORTAR_EJECUCION'!$J$9:$J$1208,0)),""),'CAT_ESTADOS_ERP'!$A$4:$A$22,0)),"Pendiente"))</f>
        <v/>
      </c>
      <c r="O367" s="24">
        <f>IF($J367="","",YEAR($J367+4-WEEKDAY($J367,2))&amp;"-S"&amp;TEXT(_xlfn.ISOWEEKNUM($J367),"00"))</f>
        <v/>
      </c>
      <c r="P367" s="24">
        <f>IF($J367="","",YEAR($J367))</f>
        <v/>
      </c>
      <c r="Q367" s="24">
        <f>IF($J367="","",MONTH($J367))</f>
        <v/>
      </c>
      <c r="R367" s="24">
        <f>IF($J367="","",$P367&amp;"-"&amp;TEXT($Q367,"00"))</f>
        <v/>
      </c>
      <c r="S367" s="24">
        <f>IF($J367="","",INDEX(lista_dias,WEEKDAY($J367,2)))</f>
        <v/>
      </c>
      <c r="T367" s="24">
        <f>IF($J367="","",IFERROR(INDEX('CALENDARIO'!$C$15:$C$214,MATCH(TEXT($J367,"yyyy-mm-dd")&amp;"|"&amp;$Y367&amp;"|"&amp;$Z367,'CALENDARIO'!$G$15:$G$214,0)),IFERROR(INDEX('CALENDARIO'!$C$15:$C$214,MATCH(TEXT($J367,"yyyy-mm-dd")&amp;"|"&amp;$Y367&amp;"|",'CALENDARIO'!$G$15:$G$214,0)),IFERROR(INDEX('CALENDARIO'!$C$15:$C$214,MATCH(TEXT($J367,"yyyy-mm-dd")&amp;"||",'CALENDARIO'!$G$15:$G$214,0)),INDEX(patronHabil,WEEKDAY($J367,2))))))</f>
        <v/>
      </c>
      <c r="U367" s="24">
        <f>IF($I367="","",IFERROR(INDEX('CAT_TIPOS_OT'!$C$4:$C$23,MATCH($I367,'CAT_TIPOS_OT'!$A$4:$A$23,0)),"sin_clasificar"))</f>
        <v/>
      </c>
      <c r="V367" s="24">
        <f>IF($I367="","",IF(IFERROR(INDEX('CAT_TIPOS_OT'!$D$4:$D$23,MATCH($I367,'CAT_TIPOS_OT'!$A$4:$A$23,0)),"SIN CLASIFICAR")="","SIN CLASIFICAR",IFERROR(INDEX('CAT_TIPOS_OT'!$D$4:$D$23,MATCH($I367,'CAT_TIPOS_OT'!$A$4:$A$23,0)),"SIN CLASIFICAR")))</f>
        <v/>
      </c>
      <c r="W367" s="24">
        <f>IF($H367="","",IF(IFERROR(INDEX('CAT_ACTIVIDADES'!$F$4:$F$26,MATCH($H367,'CAT_ACTIVIDADES'!$A$4:$A$26,0)),"")=0,"",IFERROR(INDEX('CAT_ACTIVIDADES'!$F$4:$F$26,MATCH($H367,'CAT_ACTIVIDADES'!$A$4:$A$26,0)),"")))</f>
        <v/>
      </c>
      <c r="X367" s="24">
        <f>IF($F367="","",IFERROR(INDEX('CAT_CENTROS_COSTO'!$F$4:$F$28,MATCH($F367,'CAT_CENTROS_COSTO'!$A$4:$A$28,0)),"(sin catálogo)"))</f>
        <v/>
      </c>
      <c r="Y367" s="24">
        <f>IF($F367="","",IFERROR(INDEX('CAT_CENTROS_COSTO'!$D$4:$D$28,MATCH($F367,'CAT_CENTROS_COSTO'!$A$4:$A$28,0)),"(sin catálogo)"))</f>
        <v/>
      </c>
      <c r="Z367" s="24">
        <f>IF($F367="","",IF((IFERROR(INDEX('CAT_CENTROS_COSTO'!$E$4:$E$28,MATCH($F367,'CAT_CENTROS_COSTO'!$A$4:$A$28,0)),""))&lt;&gt;"",IFERROR(INDEX('CAT_CENTROS_COSTO'!$E$4:$E$28,MATCH($F367,'CAT_CENTROS_COSTO'!$A$4:$A$28,0)),""),$Y367))</f>
        <v/>
      </c>
      <c r="AA367" s="24">
        <f>IF($F367="","",IFERROR(INDEX('CAT_CENTROS_COSTO'!$G$4:$G$28,MATCH($F367,'CAT_CENTROS_COSTO'!$A$4:$A$28,0)),"(sin catálogo)"))</f>
        <v/>
      </c>
      <c r="AB367" s="24">
        <f>IF($G367="","",IFERROR(INDEX('CAT_PUESTOS'!$B$4:$B$23,MATCH($G367,'CAT_PUESTOS'!$A$4:$A$23,0)),"(sin catálogo)"))</f>
        <v/>
      </c>
      <c r="AC367" s="24">
        <f>IF($H367="","",IFERROR(INDEX('CAT_ACTIVIDADES'!$B$4:$B$26,MATCH($H367,'CAT_ACTIVIDADES'!$A$4:$A$26,0)),"(sin catálogo)"))</f>
        <v/>
      </c>
      <c r="AD367" s="26">
        <f>IF($J367="","",TODAY()-$J367)</f>
        <v/>
      </c>
      <c r="AE367" s="26">
        <f>IF($J367="","",IF($J367&lt;=TODAY(),COUNTIFS(cal_fechas,"&gt;="&amp;$J367,cal_fechas,"&lt;"&amp;TODAY(),cal_habil,"sí"),-COUNTIFS(cal_fechas,"&gt;="&amp;TODAY(),cal_fechas,"&lt;"&amp;$J367,cal_habil,"sí")))</f>
        <v/>
      </c>
      <c r="AF367" s="24">
        <f>IF($AE367="","",IF($AE367&lt;0,"FUTURO",IF($AE367&gt;p_dias_backlog_max,"BACKLOG","MES CORRIENTE")))</f>
        <v/>
      </c>
      <c r="AG367" s="24">
        <f>IF($AE367="",FALSE,AND($AE367&gt;p_dias_backlog_min,$AE367&lt;=p_dias_backlog_max))</f>
        <v/>
      </c>
      <c r="AH367" s="4" t="n"/>
      <c r="AI367" s="24">
        <f>IF($AH367="","",IF((IFERROR(INDEX('ASIGNACIONES'!$J$4:$J$451,MATCH($O367&amp;"|"&amp;$S367&amp;"|"&amp;$AH367,'ASIGNACIONES'!$N$4:$N$451,0)),""))=0,"",IFERROR(INDEX('ASIGNACIONES'!$J$4:$J$451,MATCH($O367&amp;"|"&amp;$S367&amp;"|"&amp;$AH367,'ASIGNACIONES'!$N$4:$N$451,0)),"")))</f>
        <v/>
      </c>
      <c r="AJ367" s="42">
        <f>IF($AH367="","",SUMIFS('ORDENES'!$M$4:$M$1203,'ORDENES'!$AH$4:$AH$1203,$AH367,'ORDENES'!$O$4:$O$1203,$O367,'ORDENES'!$S$4:$S$1203,$S367))</f>
        <v/>
      </c>
      <c r="AK367" s="42">
        <f>IF($AJ367="","",p_factor_productividad*IFERROR(INDEX('ASIGNACIONES'!$M$4:$M$451,MATCH($O367&amp;"|"&amp;$S367&amp;"|"&amp;$AH367,'ASIGNACIONES'!$N$4:$N$451,0)),0)-$AJ367)</f>
        <v/>
      </c>
      <c r="AL367" s="32">
        <f>IF($A367="","",IFERROR(INDEX('2_IMPORTAR_EJECUCION'!$F$9:$F$1208,MATCH($AU367,'2_IMPORTAR_EJECUCION'!$J$9:$J$1208,0)),0))</f>
        <v/>
      </c>
      <c r="AM367" s="32">
        <f>IF($A367="","",MAX(0,IFERROR(INDEX('2_IMPORTAR_EJECUCION'!$H$9:$H$1208,MATCH($AU367,'2_IMPORTAR_EJECUCION'!$J$9:$J$1208,0)),0)-$AL367))</f>
        <v/>
      </c>
      <c r="AN367" s="32">
        <f>IF($A367="","",$AL367+$AM367)</f>
        <v/>
      </c>
      <c r="AO367" s="24">
        <f>IF($A367="","",IF(OR((IFERROR(INDEX('CAT_ACTIVIDADES'!$D$4:$D$26,MATCH($H367,'CAT_ACTIVIDADES'!$A$4:$A$26,0)),""))=0,(IFERROR(INDEX('CAT_ACTIVIDADES'!$D$4:$D$26,MATCH($H367,'CAT_ACTIVIDADES'!$A$4:$A$26,0)),""))=""),"SIN CLASIFICAR",IFERROR(INDEX('CAT_ACTIVIDADES'!$D$4:$D$26,MATCH($H367,'CAT_ACTIVIDADES'!$A$4:$A$26,0)),"")))</f>
        <v/>
      </c>
      <c r="AP367" s="4" t="n"/>
      <c r="AQ367" s="4" t="n"/>
      <c r="AR367" s="4" t="n"/>
      <c r="AS367" s="24">
        <f>IF($AR367="","",HYPERLINK(p_ruta_base_checklists&amp;$AR367,"abrir"))</f>
        <v/>
      </c>
      <c r="AT367" s="4" t="n"/>
      <c r="AU367" s="24">
        <f>IF($A367="","",$A367&amp;IF($B367="","0010",$B367))</f>
        <v/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41" t="n"/>
      <c r="K368" s="5" t="n"/>
      <c r="L368" s="18" t="n"/>
      <c r="M368" s="24">
        <f>IF($A368="","",IFERROR(INDEX('AJUSTES'!$B$4:$B$303,MATCH($AU368,'AJUSTES'!$A$4:$A$303,0)),IF($K368="","",$K368)))</f>
        <v/>
      </c>
      <c r="N368" s="24">
        <f>IF($A368="","",IFERROR(INDEX('CAT_ESTADOS_ERP'!$B$4:$B$22,MATCH(IFERROR(INDEX('2_IMPORTAR_EJECUCION'!$C$9:$C$1208,MATCH($AU368,'2_IMPORTAR_EJECUCION'!$J$9:$J$1208,0)),""),'CAT_ESTADOS_ERP'!$A$4:$A$22,0)),"Pendiente"))</f>
        <v/>
      </c>
      <c r="O368" s="24">
        <f>IF($J368="","",YEAR($J368+4-WEEKDAY($J368,2))&amp;"-S"&amp;TEXT(_xlfn.ISOWEEKNUM($J368),"00"))</f>
        <v/>
      </c>
      <c r="P368" s="24">
        <f>IF($J368="","",YEAR($J368))</f>
        <v/>
      </c>
      <c r="Q368" s="24">
        <f>IF($J368="","",MONTH($J368))</f>
        <v/>
      </c>
      <c r="R368" s="24">
        <f>IF($J368="","",$P368&amp;"-"&amp;TEXT($Q368,"00"))</f>
        <v/>
      </c>
      <c r="S368" s="24">
        <f>IF($J368="","",INDEX(lista_dias,WEEKDAY($J368,2)))</f>
        <v/>
      </c>
      <c r="T368" s="24">
        <f>IF($J368="","",IFERROR(INDEX('CALENDARIO'!$C$15:$C$214,MATCH(TEXT($J368,"yyyy-mm-dd")&amp;"|"&amp;$Y368&amp;"|"&amp;$Z368,'CALENDARIO'!$G$15:$G$214,0)),IFERROR(INDEX('CALENDARIO'!$C$15:$C$214,MATCH(TEXT($J368,"yyyy-mm-dd")&amp;"|"&amp;$Y368&amp;"|",'CALENDARIO'!$G$15:$G$214,0)),IFERROR(INDEX('CALENDARIO'!$C$15:$C$214,MATCH(TEXT($J368,"yyyy-mm-dd")&amp;"||",'CALENDARIO'!$G$15:$G$214,0)),INDEX(patronHabil,WEEKDAY($J368,2))))))</f>
        <v/>
      </c>
      <c r="U368" s="24">
        <f>IF($I368="","",IFERROR(INDEX('CAT_TIPOS_OT'!$C$4:$C$23,MATCH($I368,'CAT_TIPOS_OT'!$A$4:$A$23,0)),"sin_clasificar"))</f>
        <v/>
      </c>
      <c r="V368" s="24">
        <f>IF($I368="","",IF(IFERROR(INDEX('CAT_TIPOS_OT'!$D$4:$D$23,MATCH($I368,'CAT_TIPOS_OT'!$A$4:$A$23,0)),"SIN CLASIFICAR")="","SIN CLASIFICAR",IFERROR(INDEX('CAT_TIPOS_OT'!$D$4:$D$23,MATCH($I368,'CAT_TIPOS_OT'!$A$4:$A$23,0)),"SIN CLASIFICAR")))</f>
        <v/>
      </c>
      <c r="W368" s="24">
        <f>IF($H368="","",IF(IFERROR(INDEX('CAT_ACTIVIDADES'!$F$4:$F$26,MATCH($H368,'CAT_ACTIVIDADES'!$A$4:$A$26,0)),"")=0,"",IFERROR(INDEX('CAT_ACTIVIDADES'!$F$4:$F$26,MATCH($H368,'CAT_ACTIVIDADES'!$A$4:$A$26,0)),"")))</f>
        <v/>
      </c>
      <c r="X368" s="24">
        <f>IF($F368="","",IFERROR(INDEX('CAT_CENTROS_COSTO'!$F$4:$F$28,MATCH($F368,'CAT_CENTROS_COSTO'!$A$4:$A$28,0)),"(sin catálogo)"))</f>
        <v/>
      </c>
      <c r="Y368" s="24">
        <f>IF($F368="","",IFERROR(INDEX('CAT_CENTROS_COSTO'!$D$4:$D$28,MATCH($F368,'CAT_CENTROS_COSTO'!$A$4:$A$28,0)),"(sin catálogo)"))</f>
        <v/>
      </c>
      <c r="Z368" s="24">
        <f>IF($F368="","",IF((IFERROR(INDEX('CAT_CENTROS_COSTO'!$E$4:$E$28,MATCH($F368,'CAT_CENTROS_COSTO'!$A$4:$A$28,0)),""))&lt;&gt;"",IFERROR(INDEX('CAT_CENTROS_COSTO'!$E$4:$E$28,MATCH($F368,'CAT_CENTROS_COSTO'!$A$4:$A$28,0)),""),$Y368))</f>
        <v/>
      </c>
      <c r="AA368" s="24">
        <f>IF($F368="","",IFERROR(INDEX('CAT_CENTROS_COSTO'!$G$4:$G$28,MATCH($F368,'CAT_CENTROS_COSTO'!$A$4:$A$28,0)),"(sin catálogo)"))</f>
        <v/>
      </c>
      <c r="AB368" s="24">
        <f>IF($G368="","",IFERROR(INDEX('CAT_PUESTOS'!$B$4:$B$23,MATCH($G368,'CAT_PUESTOS'!$A$4:$A$23,0)),"(sin catálogo)"))</f>
        <v/>
      </c>
      <c r="AC368" s="24">
        <f>IF($H368="","",IFERROR(INDEX('CAT_ACTIVIDADES'!$B$4:$B$26,MATCH($H368,'CAT_ACTIVIDADES'!$A$4:$A$26,0)),"(sin catálogo)"))</f>
        <v/>
      </c>
      <c r="AD368" s="26">
        <f>IF($J368="","",TODAY()-$J368)</f>
        <v/>
      </c>
      <c r="AE368" s="26">
        <f>IF($J368="","",IF($J368&lt;=TODAY(),COUNTIFS(cal_fechas,"&gt;="&amp;$J368,cal_fechas,"&lt;"&amp;TODAY(),cal_habil,"sí"),-COUNTIFS(cal_fechas,"&gt;="&amp;TODAY(),cal_fechas,"&lt;"&amp;$J368,cal_habil,"sí")))</f>
        <v/>
      </c>
      <c r="AF368" s="24">
        <f>IF($AE368="","",IF($AE368&lt;0,"FUTURO",IF($AE368&gt;p_dias_backlog_max,"BACKLOG","MES CORRIENTE")))</f>
        <v/>
      </c>
      <c r="AG368" s="24">
        <f>IF($AE368="",FALSE,AND($AE368&gt;p_dias_backlog_min,$AE368&lt;=p_dias_backlog_max))</f>
        <v/>
      </c>
      <c r="AH368" s="4" t="n"/>
      <c r="AI368" s="24">
        <f>IF($AH368="","",IF((IFERROR(INDEX('ASIGNACIONES'!$J$4:$J$451,MATCH($O368&amp;"|"&amp;$S368&amp;"|"&amp;$AH368,'ASIGNACIONES'!$N$4:$N$451,0)),""))=0,"",IFERROR(INDEX('ASIGNACIONES'!$J$4:$J$451,MATCH($O368&amp;"|"&amp;$S368&amp;"|"&amp;$AH368,'ASIGNACIONES'!$N$4:$N$451,0)),"")))</f>
        <v/>
      </c>
      <c r="AJ368" s="42">
        <f>IF($AH368="","",SUMIFS('ORDENES'!$M$4:$M$1203,'ORDENES'!$AH$4:$AH$1203,$AH368,'ORDENES'!$O$4:$O$1203,$O368,'ORDENES'!$S$4:$S$1203,$S368))</f>
        <v/>
      </c>
      <c r="AK368" s="42">
        <f>IF($AJ368="","",p_factor_productividad*IFERROR(INDEX('ASIGNACIONES'!$M$4:$M$451,MATCH($O368&amp;"|"&amp;$S368&amp;"|"&amp;$AH368,'ASIGNACIONES'!$N$4:$N$451,0)),0)-$AJ368)</f>
        <v/>
      </c>
      <c r="AL368" s="32">
        <f>IF($A368="","",IFERROR(INDEX('2_IMPORTAR_EJECUCION'!$F$9:$F$1208,MATCH($AU368,'2_IMPORTAR_EJECUCION'!$J$9:$J$1208,0)),0))</f>
        <v/>
      </c>
      <c r="AM368" s="32">
        <f>IF($A368="","",MAX(0,IFERROR(INDEX('2_IMPORTAR_EJECUCION'!$H$9:$H$1208,MATCH($AU368,'2_IMPORTAR_EJECUCION'!$J$9:$J$1208,0)),0)-$AL368))</f>
        <v/>
      </c>
      <c r="AN368" s="32">
        <f>IF($A368="","",$AL368+$AM368)</f>
        <v/>
      </c>
      <c r="AO368" s="24">
        <f>IF($A368="","",IF(OR((IFERROR(INDEX('CAT_ACTIVIDADES'!$D$4:$D$26,MATCH($H368,'CAT_ACTIVIDADES'!$A$4:$A$26,0)),""))=0,(IFERROR(INDEX('CAT_ACTIVIDADES'!$D$4:$D$26,MATCH($H368,'CAT_ACTIVIDADES'!$A$4:$A$26,0)),""))=""),"SIN CLASIFICAR",IFERROR(INDEX('CAT_ACTIVIDADES'!$D$4:$D$26,MATCH($H368,'CAT_ACTIVIDADES'!$A$4:$A$26,0)),"")))</f>
        <v/>
      </c>
      <c r="AP368" s="4" t="n"/>
      <c r="AQ368" s="4" t="n"/>
      <c r="AR368" s="4" t="n"/>
      <c r="AS368" s="24">
        <f>IF($AR368="","",HYPERLINK(p_ruta_base_checklists&amp;$AR368,"abrir"))</f>
        <v/>
      </c>
      <c r="AT368" s="4" t="n"/>
      <c r="AU368" s="24">
        <f>IF($A368="","",$A368&amp;IF($B368="","0010",$B368))</f>
        <v/>
      </c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41" t="n"/>
      <c r="K369" s="5" t="n"/>
      <c r="L369" s="18" t="n"/>
      <c r="M369" s="24">
        <f>IF($A369="","",IFERROR(INDEX('AJUSTES'!$B$4:$B$303,MATCH($AU369,'AJUSTES'!$A$4:$A$303,0)),IF($K369="","",$K369)))</f>
        <v/>
      </c>
      <c r="N369" s="24">
        <f>IF($A369="","",IFERROR(INDEX('CAT_ESTADOS_ERP'!$B$4:$B$22,MATCH(IFERROR(INDEX('2_IMPORTAR_EJECUCION'!$C$9:$C$1208,MATCH($AU369,'2_IMPORTAR_EJECUCION'!$J$9:$J$1208,0)),""),'CAT_ESTADOS_ERP'!$A$4:$A$22,0)),"Pendiente"))</f>
        <v/>
      </c>
      <c r="O369" s="24">
        <f>IF($J369="","",YEAR($J369+4-WEEKDAY($J369,2))&amp;"-S"&amp;TEXT(_xlfn.ISOWEEKNUM($J369),"00"))</f>
        <v/>
      </c>
      <c r="P369" s="24">
        <f>IF($J369="","",YEAR($J369))</f>
        <v/>
      </c>
      <c r="Q369" s="24">
        <f>IF($J369="","",MONTH($J369))</f>
        <v/>
      </c>
      <c r="R369" s="24">
        <f>IF($J369="","",$P369&amp;"-"&amp;TEXT($Q369,"00"))</f>
        <v/>
      </c>
      <c r="S369" s="24">
        <f>IF($J369="","",INDEX(lista_dias,WEEKDAY($J369,2)))</f>
        <v/>
      </c>
      <c r="T369" s="24">
        <f>IF($J369="","",IFERROR(INDEX('CALENDARIO'!$C$15:$C$214,MATCH(TEXT($J369,"yyyy-mm-dd")&amp;"|"&amp;$Y369&amp;"|"&amp;$Z369,'CALENDARIO'!$G$15:$G$214,0)),IFERROR(INDEX('CALENDARIO'!$C$15:$C$214,MATCH(TEXT($J369,"yyyy-mm-dd")&amp;"|"&amp;$Y369&amp;"|",'CALENDARIO'!$G$15:$G$214,0)),IFERROR(INDEX('CALENDARIO'!$C$15:$C$214,MATCH(TEXT($J369,"yyyy-mm-dd")&amp;"||",'CALENDARIO'!$G$15:$G$214,0)),INDEX(patronHabil,WEEKDAY($J369,2))))))</f>
        <v/>
      </c>
      <c r="U369" s="24">
        <f>IF($I369="","",IFERROR(INDEX('CAT_TIPOS_OT'!$C$4:$C$23,MATCH($I369,'CAT_TIPOS_OT'!$A$4:$A$23,0)),"sin_clasificar"))</f>
        <v/>
      </c>
      <c r="V369" s="24">
        <f>IF($I369="","",IF(IFERROR(INDEX('CAT_TIPOS_OT'!$D$4:$D$23,MATCH($I369,'CAT_TIPOS_OT'!$A$4:$A$23,0)),"SIN CLASIFICAR")="","SIN CLASIFICAR",IFERROR(INDEX('CAT_TIPOS_OT'!$D$4:$D$23,MATCH($I369,'CAT_TIPOS_OT'!$A$4:$A$23,0)),"SIN CLASIFICAR")))</f>
        <v/>
      </c>
      <c r="W369" s="24">
        <f>IF($H369="","",IF(IFERROR(INDEX('CAT_ACTIVIDADES'!$F$4:$F$26,MATCH($H369,'CAT_ACTIVIDADES'!$A$4:$A$26,0)),"")=0,"",IFERROR(INDEX('CAT_ACTIVIDADES'!$F$4:$F$26,MATCH($H369,'CAT_ACTIVIDADES'!$A$4:$A$26,0)),"")))</f>
        <v/>
      </c>
      <c r="X369" s="24">
        <f>IF($F369="","",IFERROR(INDEX('CAT_CENTROS_COSTO'!$F$4:$F$28,MATCH($F369,'CAT_CENTROS_COSTO'!$A$4:$A$28,0)),"(sin catálogo)"))</f>
        <v/>
      </c>
      <c r="Y369" s="24">
        <f>IF($F369="","",IFERROR(INDEX('CAT_CENTROS_COSTO'!$D$4:$D$28,MATCH($F369,'CAT_CENTROS_COSTO'!$A$4:$A$28,0)),"(sin catálogo)"))</f>
        <v/>
      </c>
      <c r="Z369" s="24">
        <f>IF($F369="","",IF((IFERROR(INDEX('CAT_CENTROS_COSTO'!$E$4:$E$28,MATCH($F369,'CAT_CENTROS_COSTO'!$A$4:$A$28,0)),""))&lt;&gt;"",IFERROR(INDEX('CAT_CENTROS_COSTO'!$E$4:$E$28,MATCH($F369,'CAT_CENTROS_COSTO'!$A$4:$A$28,0)),""),$Y369))</f>
        <v/>
      </c>
      <c r="AA369" s="24">
        <f>IF($F369="","",IFERROR(INDEX('CAT_CENTROS_COSTO'!$G$4:$G$28,MATCH($F369,'CAT_CENTROS_COSTO'!$A$4:$A$28,0)),"(sin catálogo)"))</f>
        <v/>
      </c>
      <c r="AB369" s="24">
        <f>IF($G369="","",IFERROR(INDEX('CAT_PUESTOS'!$B$4:$B$23,MATCH($G369,'CAT_PUESTOS'!$A$4:$A$23,0)),"(sin catálogo)"))</f>
        <v/>
      </c>
      <c r="AC369" s="24">
        <f>IF($H369="","",IFERROR(INDEX('CAT_ACTIVIDADES'!$B$4:$B$26,MATCH($H369,'CAT_ACTIVIDADES'!$A$4:$A$26,0)),"(sin catálogo)"))</f>
        <v/>
      </c>
      <c r="AD369" s="26">
        <f>IF($J369="","",TODAY()-$J369)</f>
        <v/>
      </c>
      <c r="AE369" s="26">
        <f>IF($J369="","",IF($J369&lt;=TODAY(),COUNTIFS(cal_fechas,"&gt;="&amp;$J369,cal_fechas,"&lt;"&amp;TODAY(),cal_habil,"sí"),-COUNTIFS(cal_fechas,"&gt;="&amp;TODAY(),cal_fechas,"&lt;"&amp;$J369,cal_habil,"sí")))</f>
        <v/>
      </c>
      <c r="AF369" s="24">
        <f>IF($AE369="","",IF($AE369&lt;0,"FUTURO",IF($AE369&gt;p_dias_backlog_max,"BACKLOG","MES CORRIENTE")))</f>
        <v/>
      </c>
      <c r="AG369" s="24">
        <f>IF($AE369="",FALSE,AND($AE369&gt;p_dias_backlog_min,$AE369&lt;=p_dias_backlog_max))</f>
        <v/>
      </c>
      <c r="AH369" s="4" t="n"/>
      <c r="AI369" s="24">
        <f>IF($AH369="","",IF((IFERROR(INDEX('ASIGNACIONES'!$J$4:$J$451,MATCH($O369&amp;"|"&amp;$S369&amp;"|"&amp;$AH369,'ASIGNACIONES'!$N$4:$N$451,0)),""))=0,"",IFERROR(INDEX('ASIGNACIONES'!$J$4:$J$451,MATCH($O369&amp;"|"&amp;$S369&amp;"|"&amp;$AH369,'ASIGNACIONES'!$N$4:$N$451,0)),"")))</f>
        <v/>
      </c>
      <c r="AJ369" s="42">
        <f>IF($AH369="","",SUMIFS('ORDENES'!$M$4:$M$1203,'ORDENES'!$AH$4:$AH$1203,$AH369,'ORDENES'!$O$4:$O$1203,$O369,'ORDENES'!$S$4:$S$1203,$S369))</f>
        <v/>
      </c>
      <c r="AK369" s="42">
        <f>IF($AJ369="","",p_factor_productividad*IFERROR(INDEX('ASIGNACIONES'!$M$4:$M$451,MATCH($O369&amp;"|"&amp;$S369&amp;"|"&amp;$AH369,'ASIGNACIONES'!$N$4:$N$451,0)),0)-$AJ369)</f>
        <v/>
      </c>
      <c r="AL369" s="32">
        <f>IF($A369="","",IFERROR(INDEX('2_IMPORTAR_EJECUCION'!$F$9:$F$1208,MATCH($AU369,'2_IMPORTAR_EJECUCION'!$J$9:$J$1208,0)),0))</f>
        <v/>
      </c>
      <c r="AM369" s="32">
        <f>IF($A369="","",MAX(0,IFERROR(INDEX('2_IMPORTAR_EJECUCION'!$H$9:$H$1208,MATCH($AU369,'2_IMPORTAR_EJECUCION'!$J$9:$J$1208,0)),0)-$AL369))</f>
        <v/>
      </c>
      <c r="AN369" s="32">
        <f>IF($A369="","",$AL369+$AM369)</f>
        <v/>
      </c>
      <c r="AO369" s="24">
        <f>IF($A369="","",IF(OR((IFERROR(INDEX('CAT_ACTIVIDADES'!$D$4:$D$26,MATCH($H369,'CAT_ACTIVIDADES'!$A$4:$A$26,0)),""))=0,(IFERROR(INDEX('CAT_ACTIVIDADES'!$D$4:$D$26,MATCH($H369,'CAT_ACTIVIDADES'!$A$4:$A$26,0)),""))=""),"SIN CLASIFICAR",IFERROR(INDEX('CAT_ACTIVIDADES'!$D$4:$D$26,MATCH($H369,'CAT_ACTIVIDADES'!$A$4:$A$26,0)),"")))</f>
        <v/>
      </c>
      <c r="AP369" s="4" t="n"/>
      <c r="AQ369" s="4" t="n"/>
      <c r="AR369" s="4" t="n"/>
      <c r="AS369" s="24">
        <f>IF($AR369="","",HYPERLINK(p_ruta_base_checklists&amp;$AR369,"abrir"))</f>
        <v/>
      </c>
      <c r="AT369" s="4" t="n"/>
      <c r="AU369" s="24">
        <f>IF($A369="","",$A369&amp;IF($B369="","0010",$B369))</f>
        <v/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41" t="n"/>
      <c r="K370" s="5" t="n"/>
      <c r="L370" s="18" t="n"/>
      <c r="M370" s="24">
        <f>IF($A370="","",IFERROR(INDEX('AJUSTES'!$B$4:$B$303,MATCH($AU370,'AJUSTES'!$A$4:$A$303,0)),IF($K370="","",$K370)))</f>
        <v/>
      </c>
      <c r="N370" s="24">
        <f>IF($A370="","",IFERROR(INDEX('CAT_ESTADOS_ERP'!$B$4:$B$22,MATCH(IFERROR(INDEX('2_IMPORTAR_EJECUCION'!$C$9:$C$1208,MATCH($AU370,'2_IMPORTAR_EJECUCION'!$J$9:$J$1208,0)),""),'CAT_ESTADOS_ERP'!$A$4:$A$22,0)),"Pendiente"))</f>
        <v/>
      </c>
      <c r="O370" s="24">
        <f>IF($J370="","",YEAR($J370+4-WEEKDAY($J370,2))&amp;"-S"&amp;TEXT(_xlfn.ISOWEEKNUM($J370),"00"))</f>
        <v/>
      </c>
      <c r="P370" s="24">
        <f>IF($J370="","",YEAR($J370))</f>
        <v/>
      </c>
      <c r="Q370" s="24">
        <f>IF($J370="","",MONTH($J370))</f>
        <v/>
      </c>
      <c r="R370" s="24">
        <f>IF($J370="","",$P370&amp;"-"&amp;TEXT($Q370,"00"))</f>
        <v/>
      </c>
      <c r="S370" s="24">
        <f>IF($J370="","",INDEX(lista_dias,WEEKDAY($J370,2)))</f>
        <v/>
      </c>
      <c r="T370" s="24">
        <f>IF($J370="","",IFERROR(INDEX('CALENDARIO'!$C$15:$C$214,MATCH(TEXT($J370,"yyyy-mm-dd")&amp;"|"&amp;$Y370&amp;"|"&amp;$Z370,'CALENDARIO'!$G$15:$G$214,0)),IFERROR(INDEX('CALENDARIO'!$C$15:$C$214,MATCH(TEXT($J370,"yyyy-mm-dd")&amp;"|"&amp;$Y370&amp;"|",'CALENDARIO'!$G$15:$G$214,0)),IFERROR(INDEX('CALENDARIO'!$C$15:$C$214,MATCH(TEXT($J370,"yyyy-mm-dd")&amp;"||",'CALENDARIO'!$G$15:$G$214,0)),INDEX(patronHabil,WEEKDAY($J370,2))))))</f>
        <v/>
      </c>
      <c r="U370" s="24">
        <f>IF($I370="","",IFERROR(INDEX('CAT_TIPOS_OT'!$C$4:$C$23,MATCH($I370,'CAT_TIPOS_OT'!$A$4:$A$23,0)),"sin_clasificar"))</f>
        <v/>
      </c>
      <c r="V370" s="24">
        <f>IF($I370="","",IF(IFERROR(INDEX('CAT_TIPOS_OT'!$D$4:$D$23,MATCH($I370,'CAT_TIPOS_OT'!$A$4:$A$23,0)),"SIN CLASIFICAR")="","SIN CLASIFICAR",IFERROR(INDEX('CAT_TIPOS_OT'!$D$4:$D$23,MATCH($I370,'CAT_TIPOS_OT'!$A$4:$A$23,0)),"SIN CLASIFICAR")))</f>
        <v/>
      </c>
      <c r="W370" s="24">
        <f>IF($H370="","",IF(IFERROR(INDEX('CAT_ACTIVIDADES'!$F$4:$F$26,MATCH($H370,'CAT_ACTIVIDADES'!$A$4:$A$26,0)),"")=0,"",IFERROR(INDEX('CAT_ACTIVIDADES'!$F$4:$F$26,MATCH($H370,'CAT_ACTIVIDADES'!$A$4:$A$26,0)),"")))</f>
        <v/>
      </c>
      <c r="X370" s="24">
        <f>IF($F370="","",IFERROR(INDEX('CAT_CENTROS_COSTO'!$F$4:$F$28,MATCH($F370,'CAT_CENTROS_COSTO'!$A$4:$A$28,0)),"(sin catálogo)"))</f>
        <v/>
      </c>
      <c r="Y370" s="24">
        <f>IF($F370="","",IFERROR(INDEX('CAT_CENTROS_COSTO'!$D$4:$D$28,MATCH($F370,'CAT_CENTROS_COSTO'!$A$4:$A$28,0)),"(sin catálogo)"))</f>
        <v/>
      </c>
      <c r="Z370" s="24">
        <f>IF($F370="","",IF((IFERROR(INDEX('CAT_CENTROS_COSTO'!$E$4:$E$28,MATCH($F370,'CAT_CENTROS_COSTO'!$A$4:$A$28,0)),""))&lt;&gt;"",IFERROR(INDEX('CAT_CENTROS_COSTO'!$E$4:$E$28,MATCH($F370,'CAT_CENTROS_COSTO'!$A$4:$A$28,0)),""),$Y370))</f>
        <v/>
      </c>
      <c r="AA370" s="24">
        <f>IF($F370="","",IFERROR(INDEX('CAT_CENTROS_COSTO'!$G$4:$G$28,MATCH($F370,'CAT_CENTROS_COSTO'!$A$4:$A$28,0)),"(sin catálogo)"))</f>
        <v/>
      </c>
      <c r="AB370" s="24">
        <f>IF($G370="","",IFERROR(INDEX('CAT_PUESTOS'!$B$4:$B$23,MATCH($G370,'CAT_PUESTOS'!$A$4:$A$23,0)),"(sin catálogo)"))</f>
        <v/>
      </c>
      <c r="AC370" s="24">
        <f>IF($H370="","",IFERROR(INDEX('CAT_ACTIVIDADES'!$B$4:$B$26,MATCH($H370,'CAT_ACTIVIDADES'!$A$4:$A$26,0)),"(sin catálogo)"))</f>
        <v/>
      </c>
      <c r="AD370" s="26">
        <f>IF($J370="","",TODAY()-$J370)</f>
        <v/>
      </c>
      <c r="AE370" s="26">
        <f>IF($J370="","",IF($J370&lt;=TODAY(),COUNTIFS(cal_fechas,"&gt;="&amp;$J370,cal_fechas,"&lt;"&amp;TODAY(),cal_habil,"sí"),-COUNTIFS(cal_fechas,"&gt;="&amp;TODAY(),cal_fechas,"&lt;"&amp;$J370,cal_habil,"sí")))</f>
        <v/>
      </c>
      <c r="AF370" s="24">
        <f>IF($AE370="","",IF($AE370&lt;0,"FUTURO",IF($AE370&gt;p_dias_backlog_max,"BACKLOG","MES CORRIENTE")))</f>
        <v/>
      </c>
      <c r="AG370" s="24">
        <f>IF($AE370="",FALSE,AND($AE370&gt;p_dias_backlog_min,$AE370&lt;=p_dias_backlog_max))</f>
        <v/>
      </c>
      <c r="AH370" s="4" t="n"/>
      <c r="AI370" s="24">
        <f>IF($AH370="","",IF((IFERROR(INDEX('ASIGNACIONES'!$J$4:$J$451,MATCH($O370&amp;"|"&amp;$S370&amp;"|"&amp;$AH370,'ASIGNACIONES'!$N$4:$N$451,0)),""))=0,"",IFERROR(INDEX('ASIGNACIONES'!$J$4:$J$451,MATCH($O370&amp;"|"&amp;$S370&amp;"|"&amp;$AH370,'ASIGNACIONES'!$N$4:$N$451,0)),"")))</f>
        <v/>
      </c>
      <c r="AJ370" s="42">
        <f>IF($AH370="","",SUMIFS('ORDENES'!$M$4:$M$1203,'ORDENES'!$AH$4:$AH$1203,$AH370,'ORDENES'!$O$4:$O$1203,$O370,'ORDENES'!$S$4:$S$1203,$S370))</f>
        <v/>
      </c>
      <c r="AK370" s="42">
        <f>IF($AJ370="","",p_factor_productividad*IFERROR(INDEX('ASIGNACIONES'!$M$4:$M$451,MATCH($O370&amp;"|"&amp;$S370&amp;"|"&amp;$AH370,'ASIGNACIONES'!$N$4:$N$451,0)),0)-$AJ370)</f>
        <v/>
      </c>
      <c r="AL370" s="32">
        <f>IF($A370="","",IFERROR(INDEX('2_IMPORTAR_EJECUCION'!$F$9:$F$1208,MATCH($AU370,'2_IMPORTAR_EJECUCION'!$J$9:$J$1208,0)),0))</f>
        <v/>
      </c>
      <c r="AM370" s="32">
        <f>IF($A370="","",MAX(0,IFERROR(INDEX('2_IMPORTAR_EJECUCION'!$H$9:$H$1208,MATCH($AU370,'2_IMPORTAR_EJECUCION'!$J$9:$J$1208,0)),0)-$AL370))</f>
        <v/>
      </c>
      <c r="AN370" s="32">
        <f>IF($A370="","",$AL370+$AM370)</f>
        <v/>
      </c>
      <c r="AO370" s="24">
        <f>IF($A370="","",IF(OR((IFERROR(INDEX('CAT_ACTIVIDADES'!$D$4:$D$26,MATCH($H370,'CAT_ACTIVIDADES'!$A$4:$A$26,0)),""))=0,(IFERROR(INDEX('CAT_ACTIVIDADES'!$D$4:$D$26,MATCH($H370,'CAT_ACTIVIDADES'!$A$4:$A$26,0)),""))=""),"SIN CLASIFICAR",IFERROR(INDEX('CAT_ACTIVIDADES'!$D$4:$D$26,MATCH($H370,'CAT_ACTIVIDADES'!$A$4:$A$26,0)),"")))</f>
        <v/>
      </c>
      <c r="AP370" s="4" t="n"/>
      <c r="AQ370" s="4" t="n"/>
      <c r="AR370" s="4" t="n"/>
      <c r="AS370" s="24">
        <f>IF($AR370="","",HYPERLINK(p_ruta_base_checklists&amp;$AR370,"abrir"))</f>
        <v/>
      </c>
      <c r="AT370" s="4" t="n"/>
      <c r="AU370" s="24">
        <f>IF($A370="","",$A370&amp;IF($B370="","0010",$B370))</f>
        <v/>
      </c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41" t="n"/>
      <c r="K371" s="5" t="n"/>
      <c r="L371" s="18" t="n"/>
      <c r="M371" s="24">
        <f>IF($A371="","",IFERROR(INDEX('AJUSTES'!$B$4:$B$303,MATCH($AU371,'AJUSTES'!$A$4:$A$303,0)),IF($K371="","",$K371)))</f>
        <v/>
      </c>
      <c r="N371" s="24">
        <f>IF($A371="","",IFERROR(INDEX('CAT_ESTADOS_ERP'!$B$4:$B$22,MATCH(IFERROR(INDEX('2_IMPORTAR_EJECUCION'!$C$9:$C$1208,MATCH($AU371,'2_IMPORTAR_EJECUCION'!$J$9:$J$1208,0)),""),'CAT_ESTADOS_ERP'!$A$4:$A$22,0)),"Pendiente"))</f>
        <v/>
      </c>
      <c r="O371" s="24">
        <f>IF($J371="","",YEAR($J371+4-WEEKDAY($J371,2))&amp;"-S"&amp;TEXT(_xlfn.ISOWEEKNUM($J371),"00"))</f>
        <v/>
      </c>
      <c r="P371" s="24">
        <f>IF($J371="","",YEAR($J371))</f>
        <v/>
      </c>
      <c r="Q371" s="24">
        <f>IF($J371="","",MONTH($J371))</f>
        <v/>
      </c>
      <c r="R371" s="24">
        <f>IF($J371="","",$P371&amp;"-"&amp;TEXT($Q371,"00"))</f>
        <v/>
      </c>
      <c r="S371" s="24">
        <f>IF($J371="","",INDEX(lista_dias,WEEKDAY($J371,2)))</f>
        <v/>
      </c>
      <c r="T371" s="24">
        <f>IF($J371="","",IFERROR(INDEX('CALENDARIO'!$C$15:$C$214,MATCH(TEXT($J371,"yyyy-mm-dd")&amp;"|"&amp;$Y371&amp;"|"&amp;$Z371,'CALENDARIO'!$G$15:$G$214,0)),IFERROR(INDEX('CALENDARIO'!$C$15:$C$214,MATCH(TEXT($J371,"yyyy-mm-dd")&amp;"|"&amp;$Y371&amp;"|",'CALENDARIO'!$G$15:$G$214,0)),IFERROR(INDEX('CALENDARIO'!$C$15:$C$214,MATCH(TEXT($J371,"yyyy-mm-dd")&amp;"||",'CALENDARIO'!$G$15:$G$214,0)),INDEX(patronHabil,WEEKDAY($J371,2))))))</f>
        <v/>
      </c>
      <c r="U371" s="24">
        <f>IF($I371="","",IFERROR(INDEX('CAT_TIPOS_OT'!$C$4:$C$23,MATCH($I371,'CAT_TIPOS_OT'!$A$4:$A$23,0)),"sin_clasificar"))</f>
        <v/>
      </c>
      <c r="V371" s="24">
        <f>IF($I371="","",IF(IFERROR(INDEX('CAT_TIPOS_OT'!$D$4:$D$23,MATCH($I371,'CAT_TIPOS_OT'!$A$4:$A$23,0)),"SIN CLASIFICAR")="","SIN CLASIFICAR",IFERROR(INDEX('CAT_TIPOS_OT'!$D$4:$D$23,MATCH($I371,'CAT_TIPOS_OT'!$A$4:$A$23,0)),"SIN CLASIFICAR")))</f>
        <v/>
      </c>
      <c r="W371" s="24">
        <f>IF($H371="","",IF(IFERROR(INDEX('CAT_ACTIVIDADES'!$F$4:$F$26,MATCH($H371,'CAT_ACTIVIDADES'!$A$4:$A$26,0)),"")=0,"",IFERROR(INDEX('CAT_ACTIVIDADES'!$F$4:$F$26,MATCH($H371,'CAT_ACTIVIDADES'!$A$4:$A$26,0)),"")))</f>
        <v/>
      </c>
      <c r="X371" s="24">
        <f>IF($F371="","",IFERROR(INDEX('CAT_CENTROS_COSTO'!$F$4:$F$28,MATCH($F371,'CAT_CENTROS_COSTO'!$A$4:$A$28,0)),"(sin catálogo)"))</f>
        <v/>
      </c>
      <c r="Y371" s="24">
        <f>IF($F371="","",IFERROR(INDEX('CAT_CENTROS_COSTO'!$D$4:$D$28,MATCH($F371,'CAT_CENTROS_COSTO'!$A$4:$A$28,0)),"(sin catálogo)"))</f>
        <v/>
      </c>
      <c r="Z371" s="24">
        <f>IF($F371="","",IF((IFERROR(INDEX('CAT_CENTROS_COSTO'!$E$4:$E$28,MATCH($F371,'CAT_CENTROS_COSTO'!$A$4:$A$28,0)),""))&lt;&gt;"",IFERROR(INDEX('CAT_CENTROS_COSTO'!$E$4:$E$28,MATCH($F371,'CAT_CENTROS_COSTO'!$A$4:$A$28,0)),""),$Y371))</f>
        <v/>
      </c>
      <c r="AA371" s="24">
        <f>IF($F371="","",IFERROR(INDEX('CAT_CENTROS_COSTO'!$G$4:$G$28,MATCH($F371,'CAT_CENTROS_COSTO'!$A$4:$A$28,0)),"(sin catálogo)"))</f>
        <v/>
      </c>
      <c r="AB371" s="24">
        <f>IF($G371="","",IFERROR(INDEX('CAT_PUESTOS'!$B$4:$B$23,MATCH($G371,'CAT_PUESTOS'!$A$4:$A$23,0)),"(sin catálogo)"))</f>
        <v/>
      </c>
      <c r="AC371" s="24">
        <f>IF($H371="","",IFERROR(INDEX('CAT_ACTIVIDADES'!$B$4:$B$26,MATCH($H371,'CAT_ACTIVIDADES'!$A$4:$A$26,0)),"(sin catálogo)"))</f>
        <v/>
      </c>
      <c r="AD371" s="26">
        <f>IF($J371="","",TODAY()-$J371)</f>
        <v/>
      </c>
      <c r="AE371" s="26">
        <f>IF($J371="","",IF($J371&lt;=TODAY(),COUNTIFS(cal_fechas,"&gt;="&amp;$J371,cal_fechas,"&lt;"&amp;TODAY(),cal_habil,"sí"),-COUNTIFS(cal_fechas,"&gt;="&amp;TODAY(),cal_fechas,"&lt;"&amp;$J371,cal_habil,"sí")))</f>
        <v/>
      </c>
      <c r="AF371" s="24">
        <f>IF($AE371="","",IF($AE371&lt;0,"FUTURO",IF($AE371&gt;p_dias_backlog_max,"BACKLOG","MES CORRIENTE")))</f>
        <v/>
      </c>
      <c r="AG371" s="24">
        <f>IF($AE371="",FALSE,AND($AE371&gt;p_dias_backlog_min,$AE371&lt;=p_dias_backlog_max))</f>
        <v/>
      </c>
      <c r="AH371" s="4" t="n"/>
      <c r="AI371" s="24">
        <f>IF($AH371="","",IF((IFERROR(INDEX('ASIGNACIONES'!$J$4:$J$451,MATCH($O371&amp;"|"&amp;$S371&amp;"|"&amp;$AH371,'ASIGNACIONES'!$N$4:$N$451,0)),""))=0,"",IFERROR(INDEX('ASIGNACIONES'!$J$4:$J$451,MATCH($O371&amp;"|"&amp;$S371&amp;"|"&amp;$AH371,'ASIGNACIONES'!$N$4:$N$451,0)),"")))</f>
        <v/>
      </c>
      <c r="AJ371" s="42">
        <f>IF($AH371="","",SUMIFS('ORDENES'!$M$4:$M$1203,'ORDENES'!$AH$4:$AH$1203,$AH371,'ORDENES'!$O$4:$O$1203,$O371,'ORDENES'!$S$4:$S$1203,$S371))</f>
        <v/>
      </c>
      <c r="AK371" s="42">
        <f>IF($AJ371="","",p_factor_productividad*IFERROR(INDEX('ASIGNACIONES'!$M$4:$M$451,MATCH($O371&amp;"|"&amp;$S371&amp;"|"&amp;$AH371,'ASIGNACIONES'!$N$4:$N$451,0)),0)-$AJ371)</f>
        <v/>
      </c>
      <c r="AL371" s="32">
        <f>IF($A371="","",IFERROR(INDEX('2_IMPORTAR_EJECUCION'!$F$9:$F$1208,MATCH($AU371,'2_IMPORTAR_EJECUCION'!$J$9:$J$1208,0)),0))</f>
        <v/>
      </c>
      <c r="AM371" s="32">
        <f>IF($A371="","",MAX(0,IFERROR(INDEX('2_IMPORTAR_EJECUCION'!$H$9:$H$1208,MATCH($AU371,'2_IMPORTAR_EJECUCION'!$J$9:$J$1208,0)),0)-$AL371))</f>
        <v/>
      </c>
      <c r="AN371" s="32">
        <f>IF($A371="","",$AL371+$AM371)</f>
        <v/>
      </c>
      <c r="AO371" s="24">
        <f>IF($A371="","",IF(OR((IFERROR(INDEX('CAT_ACTIVIDADES'!$D$4:$D$26,MATCH($H371,'CAT_ACTIVIDADES'!$A$4:$A$26,0)),""))=0,(IFERROR(INDEX('CAT_ACTIVIDADES'!$D$4:$D$26,MATCH($H371,'CAT_ACTIVIDADES'!$A$4:$A$26,0)),""))=""),"SIN CLASIFICAR",IFERROR(INDEX('CAT_ACTIVIDADES'!$D$4:$D$26,MATCH($H371,'CAT_ACTIVIDADES'!$A$4:$A$26,0)),"")))</f>
        <v/>
      </c>
      <c r="AP371" s="4" t="n"/>
      <c r="AQ371" s="4" t="n"/>
      <c r="AR371" s="4" t="n"/>
      <c r="AS371" s="24">
        <f>IF($AR371="","",HYPERLINK(p_ruta_base_checklists&amp;$AR371,"abrir"))</f>
        <v/>
      </c>
      <c r="AT371" s="4" t="n"/>
      <c r="AU371" s="24">
        <f>IF($A371="","",$A371&amp;IF($B371="","0010",$B371))</f>
        <v/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41" t="n"/>
      <c r="K372" s="5" t="n"/>
      <c r="L372" s="18" t="n"/>
      <c r="M372" s="24">
        <f>IF($A372="","",IFERROR(INDEX('AJUSTES'!$B$4:$B$303,MATCH($AU372,'AJUSTES'!$A$4:$A$303,0)),IF($K372="","",$K372)))</f>
        <v/>
      </c>
      <c r="N372" s="24">
        <f>IF($A372="","",IFERROR(INDEX('CAT_ESTADOS_ERP'!$B$4:$B$22,MATCH(IFERROR(INDEX('2_IMPORTAR_EJECUCION'!$C$9:$C$1208,MATCH($AU372,'2_IMPORTAR_EJECUCION'!$J$9:$J$1208,0)),""),'CAT_ESTADOS_ERP'!$A$4:$A$22,0)),"Pendiente"))</f>
        <v/>
      </c>
      <c r="O372" s="24">
        <f>IF($J372="","",YEAR($J372+4-WEEKDAY($J372,2))&amp;"-S"&amp;TEXT(_xlfn.ISOWEEKNUM($J372),"00"))</f>
        <v/>
      </c>
      <c r="P372" s="24">
        <f>IF($J372="","",YEAR($J372))</f>
        <v/>
      </c>
      <c r="Q372" s="24">
        <f>IF($J372="","",MONTH($J372))</f>
        <v/>
      </c>
      <c r="R372" s="24">
        <f>IF($J372="","",$P372&amp;"-"&amp;TEXT($Q372,"00"))</f>
        <v/>
      </c>
      <c r="S372" s="24">
        <f>IF($J372="","",INDEX(lista_dias,WEEKDAY($J372,2)))</f>
        <v/>
      </c>
      <c r="T372" s="24">
        <f>IF($J372="","",IFERROR(INDEX('CALENDARIO'!$C$15:$C$214,MATCH(TEXT($J372,"yyyy-mm-dd")&amp;"|"&amp;$Y372&amp;"|"&amp;$Z372,'CALENDARIO'!$G$15:$G$214,0)),IFERROR(INDEX('CALENDARIO'!$C$15:$C$214,MATCH(TEXT($J372,"yyyy-mm-dd")&amp;"|"&amp;$Y372&amp;"|",'CALENDARIO'!$G$15:$G$214,0)),IFERROR(INDEX('CALENDARIO'!$C$15:$C$214,MATCH(TEXT($J372,"yyyy-mm-dd")&amp;"||",'CALENDARIO'!$G$15:$G$214,0)),INDEX(patronHabil,WEEKDAY($J372,2))))))</f>
        <v/>
      </c>
      <c r="U372" s="24">
        <f>IF($I372="","",IFERROR(INDEX('CAT_TIPOS_OT'!$C$4:$C$23,MATCH($I372,'CAT_TIPOS_OT'!$A$4:$A$23,0)),"sin_clasificar"))</f>
        <v/>
      </c>
      <c r="V372" s="24">
        <f>IF($I372="","",IF(IFERROR(INDEX('CAT_TIPOS_OT'!$D$4:$D$23,MATCH($I372,'CAT_TIPOS_OT'!$A$4:$A$23,0)),"SIN CLASIFICAR")="","SIN CLASIFICAR",IFERROR(INDEX('CAT_TIPOS_OT'!$D$4:$D$23,MATCH($I372,'CAT_TIPOS_OT'!$A$4:$A$23,0)),"SIN CLASIFICAR")))</f>
        <v/>
      </c>
      <c r="W372" s="24">
        <f>IF($H372="","",IF(IFERROR(INDEX('CAT_ACTIVIDADES'!$F$4:$F$26,MATCH($H372,'CAT_ACTIVIDADES'!$A$4:$A$26,0)),"")=0,"",IFERROR(INDEX('CAT_ACTIVIDADES'!$F$4:$F$26,MATCH($H372,'CAT_ACTIVIDADES'!$A$4:$A$26,0)),"")))</f>
        <v/>
      </c>
      <c r="X372" s="24">
        <f>IF($F372="","",IFERROR(INDEX('CAT_CENTROS_COSTO'!$F$4:$F$28,MATCH($F372,'CAT_CENTROS_COSTO'!$A$4:$A$28,0)),"(sin catálogo)"))</f>
        <v/>
      </c>
      <c r="Y372" s="24">
        <f>IF($F372="","",IFERROR(INDEX('CAT_CENTROS_COSTO'!$D$4:$D$28,MATCH($F372,'CAT_CENTROS_COSTO'!$A$4:$A$28,0)),"(sin catálogo)"))</f>
        <v/>
      </c>
      <c r="Z372" s="24">
        <f>IF($F372="","",IF((IFERROR(INDEX('CAT_CENTROS_COSTO'!$E$4:$E$28,MATCH($F372,'CAT_CENTROS_COSTO'!$A$4:$A$28,0)),""))&lt;&gt;"",IFERROR(INDEX('CAT_CENTROS_COSTO'!$E$4:$E$28,MATCH($F372,'CAT_CENTROS_COSTO'!$A$4:$A$28,0)),""),$Y372))</f>
        <v/>
      </c>
      <c r="AA372" s="24">
        <f>IF($F372="","",IFERROR(INDEX('CAT_CENTROS_COSTO'!$G$4:$G$28,MATCH($F372,'CAT_CENTROS_COSTO'!$A$4:$A$28,0)),"(sin catálogo)"))</f>
        <v/>
      </c>
      <c r="AB372" s="24">
        <f>IF($G372="","",IFERROR(INDEX('CAT_PUESTOS'!$B$4:$B$23,MATCH($G372,'CAT_PUESTOS'!$A$4:$A$23,0)),"(sin catálogo)"))</f>
        <v/>
      </c>
      <c r="AC372" s="24">
        <f>IF($H372="","",IFERROR(INDEX('CAT_ACTIVIDADES'!$B$4:$B$26,MATCH($H372,'CAT_ACTIVIDADES'!$A$4:$A$26,0)),"(sin catálogo)"))</f>
        <v/>
      </c>
      <c r="AD372" s="26">
        <f>IF($J372="","",TODAY()-$J372)</f>
        <v/>
      </c>
      <c r="AE372" s="26">
        <f>IF($J372="","",IF($J372&lt;=TODAY(),COUNTIFS(cal_fechas,"&gt;="&amp;$J372,cal_fechas,"&lt;"&amp;TODAY(),cal_habil,"sí"),-COUNTIFS(cal_fechas,"&gt;="&amp;TODAY(),cal_fechas,"&lt;"&amp;$J372,cal_habil,"sí")))</f>
        <v/>
      </c>
      <c r="AF372" s="24">
        <f>IF($AE372="","",IF($AE372&lt;0,"FUTURO",IF($AE372&gt;p_dias_backlog_max,"BACKLOG","MES CORRIENTE")))</f>
        <v/>
      </c>
      <c r="AG372" s="24">
        <f>IF($AE372="",FALSE,AND($AE372&gt;p_dias_backlog_min,$AE372&lt;=p_dias_backlog_max))</f>
        <v/>
      </c>
      <c r="AH372" s="4" t="n"/>
      <c r="AI372" s="24">
        <f>IF($AH372="","",IF((IFERROR(INDEX('ASIGNACIONES'!$J$4:$J$451,MATCH($O372&amp;"|"&amp;$S372&amp;"|"&amp;$AH372,'ASIGNACIONES'!$N$4:$N$451,0)),""))=0,"",IFERROR(INDEX('ASIGNACIONES'!$J$4:$J$451,MATCH($O372&amp;"|"&amp;$S372&amp;"|"&amp;$AH372,'ASIGNACIONES'!$N$4:$N$451,0)),"")))</f>
        <v/>
      </c>
      <c r="AJ372" s="42">
        <f>IF($AH372="","",SUMIFS('ORDENES'!$M$4:$M$1203,'ORDENES'!$AH$4:$AH$1203,$AH372,'ORDENES'!$O$4:$O$1203,$O372,'ORDENES'!$S$4:$S$1203,$S372))</f>
        <v/>
      </c>
      <c r="AK372" s="42">
        <f>IF($AJ372="","",p_factor_productividad*IFERROR(INDEX('ASIGNACIONES'!$M$4:$M$451,MATCH($O372&amp;"|"&amp;$S372&amp;"|"&amp;$AH372,'ASIGNACIONES'!$N$4:$N$451,0)),0)-$AJ372)</f>
        <v/>
      </c>
      <c r="AL372" s="32">
        <f>IF($A372="","",IFERROR(INDEX('2_IMPORTAR_EJECUCION'!$F$9:$F$1208,MATCH($AU372,'2_IMPORTAR_EJECUCION'!$J$9:$J$1208,0)),0))</f>
        <v/>
      </c>
      <c r="AM372" s="32">
        <f>IF($A372="","",MAX(0,IFERROR(INDEX('2_IMPORTAR_EJECUCION'!$H$9:$H$1208,MATCH($AU372,'2_IMPORTAR_EJECUCION'!$J$9:$J$1208,0)),0)-$AL372))</f>
        <v/>
      </c>
      <c r="AN372" s="32">
        <f>IF($A372="","",$AL372+$AM372)</f>
        <v/>
      </c>
      <c r="AO372" s="24">
        <f>IF($A372="","",IF(OR((IFERROR(INDEX('CAT_ACTIVIDADES'!$D$4:$D$26,MATCH($H372,'CAT_ACTIVIDADES'!$A$4:$A$26,0)),""))=0,(IFERROR(INDEX('CAT_ACTIVIDADES'!$D$4:$D$26,MATCH($H372,'CAT_ACTIVIDADES'!$A$4:$A$26,0)),""))=""),"SIN CLASIFICAR",IFERROR(INDEX('CAT_ACTIVIDADES'!$D$4:$D$26,MATCH($H372,'CAT_ACTIVIDADES'!$A$4:$A$26,0)),"")))</f>
        <v/>
      </c>
      <c r="AP372" s="4" t="n"/>
      <c r="AQ372" s="4" t="n"/>
      <c r="AR372" s="4" t="n"/>
      <c r="AS372" s="24">
        <f>IF($AR372="","",HYPERLINK(p_ruta_base_checklists&amp;$AR372,"abrir"))</f>
        <v/>
      </c>
      <c r="AT372" s="4" t="n"/>
      <c r="AU372" s="24">
        <f>IF($A372="","",$A372&amp;IF($B372="","0010",$B372))</f>
        <v/>
      </c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41" t="n"/>
      <c r="K373" s="5" t="n"/>
      <c r="L373" s="18" t="n"/>
      <c r="M373" s="24">
        <f>IF($A373="","",IFERROR(INDEX('AJUSTES'!$B$4:$B$303,MATCH($AU373,'AJUSTES'!$A$4:$A$303,0)),IF($K373="","",$K373)))</f>
        <v/>
      </c>
      <c r="N373" s="24">
        <f>IF($A373="","",IFERROR(INDEX('CAT_ESTADOS_ERP'!$B$4:$B$22,MATCH(IFERROR(INDEX('2_IMPORTAR_EJECUCION'!$C$9:$C$1208,MATCH($AU373,'2_IMPORTAR_EJECUCION'!$J$9:$J$1208,0)),""),'CAT_ESTADOS_ERP'!$A$4:$A$22,0)),"Pendiente"))</f>
        <v/>
      </c>
      <c r="O373" s="24">
        <f>IF($J373="","",YEAR($J373+4-WEEKDAY($J373,2))&amp;"-S"&amp;TEXT(_xlfn.ISOWEEKNUM($J373),"00"))</f>
        <v/>
      </c>
      <c r="P373" s="24">
        <f>IF($J373="","",YEAR($J373))</f>
        <v/>
      </c>
      <c r="Q373" s="24">
        <f>IF($J373="","",MONTH($J373))</f>
        <v/>
      </c>
      <c r="R373" s="24">
        <f>IF($J373="","",$P373&amp;"-"&amp;TEXT($Q373,"00"))</f>
        <v/>
      </c>
      <c r="S373" s="24">
        <f>IF($J373="","",INDEX(lista_dias,WEEKDAY($J373,2)))</f>
        <v/>
      </c>
      <c r="T373" s="24">
        <f>IF($J373="","",IFERROR(INDEX('CALENDARIO'!$C$15:$C$214,MATCH(TEXT($J373,"yyyy-mm-dd")&amp;"|"&amp;$Y373&amp;"|"&amp;$Z373,'CALENDARIO'!$G$15:$G$214,0)),IFERROR(INDEX('CALENDARIO'!$C$15:$C$214,MATCH(TEXT($J373,"yyyy-mm-dd")&amp;"|"&amp;$Y373&amp;"|",'CALENDARIO'!$G$15:$G$214,0)),IFERROR(INDEX('CALENDARIO'!$C$15:$C$214,MATCH(TEXT($J373,"yyyy-mm-dd")&amp;"||",'CALENDARIO'!$G$15:$G$214,0)),INDEX(patronHabil,WEEKDAY($J373,2))))))</f>
        <v/>
      </c>
      <c r="U373" s="24">
        <f>IF($I373="","",IFERROR(INDEX('CAT_TIPOS_OT'!$C$4:$C$23,MATCH($I373,'CAT_TIPOS_OT'!$A$4:$A$23,0)),"sin_clasificar"))</f>
        <v/>
      </c>
      <c r="V373" s="24">
        <f>IF($I373="","",IF(IFERROR(INDEX('CAT_TIPOS_OT'!$D$4:$D$23,MATCH($I373,'CAT_TIPOS_OT'!$A$4:$A$23,0)),"SIN CLASIFICAR")="","SIN CLASIFICAR",IFERROR(INDEX('CAT_TIPOS_OT'!$D$4:$D$23,MATCH($I373,'CAT_TIPOS_OT'!$A$4:$A$23,0)),"SIN CLASIFICAR")))</f>
        <v/>
      </c>
      <c r="W373" s="24">
        <f>IF($H373="","",IF(IFERROR(INDEX('CAT_ACTIVIDADES'!$F$4:$F$26,MATCH($H373,'CAT_ACTIVIDADES'!$A$4:$A$26,0)),"")=0,"",IFERROR(INDEX('CAT_ACTIVIDADES'!$F$4:$F$26,MATCH($H373,'CAT_ACTIVIDADES'!$A$4:$A$26,0)),"")))</f>
        <v/>
      </c>
      <c r="X373" s="24">
        <f>IF($F373="","",IFERROR(INDEX('CAT_CENTROS_COSTO'!$F$4:$F$28,MATCH($F373,'CAT_CENTROS_COSTO'!$A$4:$A$28,0)),"(sin catálogo)"))</f>
        <v/>
      </c>
      <c r="Y373" s="24">
        <f>IF($F373="","",IFERROR(INDEX('CAT_CENTROS_COSTO'!$D$4:$D$28,MATCH($F373,'CAT_CENTROS_COSTO'!$A$4:$A$28,0)),"(sin catálogo)"))</f>
        <v/>
      </c>
      <c r="Z373" s="24">
        <f>IF($F373="","",IF((IFERROR(INDEX('CAT_CENTROS_COSTO'!$E$4:$E$28,MATCH($F373,'CAT_CENTROS_COSTO'!$A$4:$A$28,0)),""))&lt;&gt;"",IFERROR(INDEX('CAT_CENTROS_COSTO'!$E$4:$E$28,MATCH($F373,'CAT_CENTROS_COSTO'!$A$4:$A$28,0)),""),$Y373))</f>
        <v/>
      </c>
      <c r="AA373" s="24">
        <f>IF($F373="","",IFERROR(INDEX('CAT_CENTROS_COSTO'!$G$4:$G$28,MATCH($F373,'CAT_CENTROS_COSTO'!$A$4:$A$28,0)),"(sin catálogo)"))</f>
        <v/>
      </c>
      <c r="AB373" s="24">
        <f>IF($G373="","",IFERROR(INDEX('CAT_PUESTOS'!$B$4:$B$23,MATCH($G373,'CAT_PUESTOS'!$A$4:$A$23,0)),"(sin catálogo)"))</f>
        <v/>
      </c>
      <c r="AC373" s="24">
        <f>IF($H373="","",IFERROR(INDEX('CAT_ACTIVIDADES'!$B$4:$B$26,MATCH($H373,'CAT_ACTIVIDADES'!$A$4:$A$26,0)),"(sin catálogo)"))</f>
        <v/>
      </c>
      <c r="AD373" s="26">
        <f>IF($J373="","",TODAY()-$J373)</f>
        <v/>
      </c>
      <c r="AE373" s="26">
        <f>IF($J373="","",IF($J373&lt;=TODAY(),COUNTIFS(cal_fechas,"&gt;="&amp;$J373,cal_fechas,"&lt;"&amp;TODAY(),cal_habil,"sí"),-COUNTIFS(cal_fechas,"&gt;="&amp;TODAY(),cal_fechas,"&lt;"&amp;$J373,cal_habil,"sí")))</f>
        <v/>
      </c>
      <c r="AF373" s="24">
        <f>IF($AE373="","",IF($AE373&lt;0,"FUTURO",IF($AE373&gt;p_dias_backlog_max,"BACKLOG","MES CORRIENTE")))</f>
        <v/>
      </c>
      <c r="AG373" s="24">
        <f>IF($AE373="",FALSE,AND($AE373&gt;p_dias_backlog_min,$AE373&lt;=p_dias_backlog_max))</f>
        <v/>
      </c>
      <c r="AH373" s="4" t="n"/>
      <c r="AI373" s="24">
        <f>IF($AH373="","",IF((IFERROR(INDEX('ASIGNACIONES'!$J$4:$J$451,MATCH($O373&amp;"|"&amp;$S373&amp;"|"&amp;$AH373,'ASIGNACIONES'!$N$4:$N$451,0)),""))=0,"",IFERROR(INDEX('ASIGNACIONES'!$J$4:$J$451,MATCH($O373&amp;"|"&amp;$S373&amp;"|"&amp;$AH373,'ASIGNACIONES'!$N$4:$N$451,0)),"")))</f>
        <v/>
      </c>
      <c r="AJ373" s="42">
        <f>IF($AH373="","",SUMIFS('ORDENES'!$M$4:$M$1203,'ORDENES'!$AH$4:$AH$1203,$AH373,'ORDENES'!$O$4:$O$1203,$O373,'ORDENES'!$S$4:$S$1203,$S373))</f>
        <v/>
      </c>
      <c r="AK373" s="42">
        <f>IF($AJ373="","",p_factor_productividad*IFERROR(INDEX('ASIGNACIONES'!$M$4:$M$451,MATCH($O373&amp;"|"&amp;$S373&amp;"|"&amp;$AH373,'ASIGNACIONES'!$N$4:$N$451,0)),0)-$AJ373)</f>
        <v/>
      </c>
      <c r="AL373" s="32">
        <f>IF($A373="","",IFERROR(INDEX('2_IMPORTAR_EJECUCION'!$F$9:$F$1208,MATCH($AU373,'2_IMPORTAR_EJECUCION'!$J$9:$J$1208,0)),0))</f>
        <v/>
      </c>
      <c r="AM373" s="32">
        <f>IF($A373="","",MAX(0,IFERROR(INDEX('2_IMPORTAR_EJECUCION'!$H$9:$H$1208,MATCH($AU373,'2_IMPORTAR_EJECUCION'!$J$9:$J$1208,0)),0)-$AL373))</f>
        <v/>
      </c>
      <c r="AN373" s="32">
        <f>IF($A373="","",$AL373+$AM373)</f>
        <v/>
      </c>
      <c r="AO373" s="24">
        <f>IF($A373="","",IF(OR((IFERROR(INDEX('CAT_ACTIVIDADES'!$D$4:$D$26,MATCH($H373,'CAT_ACTIVIDADES'!$A$4:$A$26,0)),""))=0,(IFERROR(INDEX('CAT_ACTIVIDADES'!$D$4:$D$26,MATCH($H373,'CAT_ACTIVIDADES'!$A$4:$A$26,0)),""))=""),"SIN CLASIFICAR",IFERROR(INDEX('CAT_ACTIVIDADES'!$D$4:$D$26,MATCH($H373,'CAT_ACTIVIDADES'!$A$4:$A$26,0)),"")))</f>
        <v/>
      </c>
      <c r="AP373" s="4" t="n"/>
      <c r="AQ373" s="4" t="n"/>
      <c r="AR373" s="4" t="n"/>
      <c r="AS373" s="24">
        <f>IF($AR373="","",HYPERLINK(p_ruta_base_checklists&amp;$AR373,"abrir"))</f>
        <v/>
      </c>
      <c r="AT373" s="4" t="n"/>
      <c r="AU373" s="24">
        <f>IF($A373="","",$A373&amp;IF($B373="","0010",$B373))</f>
        <v/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41" t="n"/>
      <c r="K374" s="5" t="n"/>
      <c r="L374" s="18" t="n"/>
      <c r="M374" s="24">
        <f>IF($A374="","",IFERROR(INDEX('AJUSTES'!$B$4:$B$303,MATCH($AU374,'AJUSTES'!$A$4:$A$303,0)),IF($K374="","",$K374)))</f>
        <v/>
      </c>
      <c r="N374" s="24">
        <f>IF($A374="","",IFERROR(INDEX('CAT_ESTADOS_ERP'!$B$4:$B$22,MATCH(IFERROR(INDEX('2_IMPORTAR_EJECUCION'!$C$9:$C$1208,MATCH($AU374,'2_IMPORTAR_EJECUCION'!$J$9:$J$1208,0)),""),'CAT_ESTADOS_ERP'!$A$4:$A$22,0)),"Pendiente"))</f>
        <v/>
      </c>
      <c r="O374" s="24">
        <f>IF($J374="","",YEAR($J374+4-WEEKDAY($J374,2))&amp;"-S"&amp;TEXT(_xlfn.ISOWEEKNUM($J374),"00"))</f>
        <v/>
      </c>
      <c r="P374" s="24">
        <f>IF($J374="","",YEAR($J374))</f>
        <v/>
      </c>
      <c r="Q374" s="24">
        <f>IF($J374="","",MONTH($J374))</f>
        <v/>
      </c>
      <c r="R374" s="24">
        <f>IF($J374="","",$P374&amp;"-"&amp;TEXT($Q374,"00"))</f>
        <v/>
      </c>
      <c r="S374" s="24">
        <f>IF($J374="","",INDEX(lista_dias,WEEKDAY($J374,2)))</f>
        <v/>
      </c>
      <c r="T374" s="24">
        <f>IF($J374="","",IFERROR(INDEX('CALENDARIO'!$C$15:$C$214,MATCH(TEXT($J374,"yyyy-mm-dd")&amp;"|"&amp;$Y374&amp;"|"&amp;$Z374,'CALENDARIO'!$G$15:$G$214,0)),IFERROR(INDEX('CALENDARIO'!$C$15:$C$214,MATCH(TEXT($J374,"yyyy-mm-dd")&amp;"|"&amp;$Y374&amp;"|",'CALENDARIO'!$G$15:$G$214,0)),IFERROR(INDEX('CALENDARIO'!$C$15:$C$214,MATCH(TEXT($J374,"yyyy-mm-dd")&amp;"||",'CALENDARIO'!$G$15:$G$214,0)),INDEX(patronHabil,WEEKDAY($J374,2))))))</f>
        <v/>
      </c>
      <c r="U374" s="24">
        <f>IF($I374="","",IFERROR(INDEX('CAT_TIPOS_OT'!$C$4:$C$23,MATCH($I374,'CAT_TIPOS_OT'!$A$4:$A$23,0)),"sin_clasificar"))</f>
        <v/>
      </c>
      <c r="V374" s="24">
        <f>IF($I374="","",IF(IFERROR(INDEX('CAT_TIPOS_OT'!$D$4:$D$23,MATCH($I374,'CAT_TIPOS_OT'!$A$4:$A$23,0)),"SIN CLASIFICAR")="","SIN CLASIFICAR",IFERROR(INDEX('CAT_TIPOS_OT'!$D$4:$D$23,MATCH($I374,'CAT_TIPOS_OT'!$A$4:$A$23,0)),"SIN CLASIFICAR")))</f>
        <v/>
      </c>
      <c r="W374" s="24">
        <f>IF($H374="","",IF(IFERROR(INDEX('CAT_ACTIVIDADES'!$F$4:$F$26,MATCH($H374,'CAT_ACTIVIDADES'!$A$4:$A$26,0)),"")=0,"",IFERROR(INDEX('CAT_ACTIVIDADES'!$F$4:$F$26,MATCH($H374,'CAT_ACTIVIDADES'!$A$4:$A$26,0)),"")))</f>
        <v/>
      </c>
      <c r="X374" s="24">
        <f>IF($F374="","",IFERROR(INDEX('CAT_CENTROS_COSTO'!$F$4:$F$28,MATCH($F374,'CAT_CENTROS_COSTO'!$A$4:$A$28,0)),"(sin catálogo)"))</f>
        <v/>
      </c>
      <c r="Y374" s="24">
        <f>IF($F374="","",IFERROR(INDEX('CAT_CENTROS_COSTO'!$D$4:$D$28,MATCH($F374,'CAT_CENTROS_COSTO'!$A$4:$A$28,0)),"(sin catálogo)"))</f>
        <v/>
      </c>
      <c r="Z374" s="24">
        <f>IF($F374="","",IF((IFERROR(INDEX('CAT_CENTROS_COSTO'!$E$4:$E$28,MATCH($F374,'CAT_CENTROS_COSTO'!$A$4:$A$28,0)),""))&lt;&gt;"",IFERROR(INDEX('CAT_CENTROS_COSTO'!$E$4:$E$28,MATCH($F374,'CAT_CENTROS_COSTO'!$A$4:$A$28,0)),""),$Y374))</f>
        <v/>
      </c>
      <c r="AA374" s="24">
        <f>IF($F374="","",IFERROR(INDEX('CAT_CENTROS_COSTO'!$G$4:$G$28,MATCH($F374,'CAT_CENTROS_COSTO'!$A$4:$A$28,0)),"(sin catálogo)"))</f>
        <v/>
      </c>
      <c r="AB374" s="24">
        <f>IF($G374="","",IFERROR(INDEX('CAT_PUESTOS'!$B$4:$B$23,MATCH($G374,'CAT_PUESTOS'!$A$4:$A$23,0)),"(sin catálogo)"))</f>
        <v/>
      </c>
      <c r="AC374" s="24">
        <f>IF($H374="","",IFERROR(INDEX('CAT_ACTIVIDADES'!$B$4:$B$26,MATCH($H374,'CAT_ACTIVIDADES'!$A$4:$A$26,0)),"(sin catálogo)"))</f>
        <v/>
      </c>
      <c r="AD374" s="26">
        <f>IF($J374="","",TODAY()-$J374)</f>
        <v/>
      </c>
      <c r="AE374" s="26">
        <f>IF($J374="","",IF($J374&lt;=TODAY(),COUNTIFS(cal_fechas,"&gt;="&amp;$J374,cal_fechas,"&lt;"&amp;TODAY(),cal_habil,"sí"),-COUNTIFS(cal_fechas,"&gt;="&amp;TODAY(),cal_fechas,"&lt;"&amp;$J374,cal_habil,"sí")))</f>
        <v/>
      </c>
      <c r="AF374" s="24">
        <f>IF($AE374="","",IF($AE374&lt;0,"FUTURO",IF($AE374&gt;p_dias_backlog_max,"BACKLOG","MES CORRIENTE")))</f>
        <v/>
      </c>
      <c r="AG374" s="24">
        <f>IF($AE374="",FALSE,AND($AE374&gt;p_dias_backlog_min,$AE374&lt;=p_dias_backlog_max))</f>
        <v/>
      </c>
      <c r="AH374" s="4" t="n"/>
      <c r="AI374" s="24">
        <f>IF($AH374="","",IF((IFERROR(INDEX('ASIGNACIONES'!$J$4:$J$451,MATCH($O374&amp;"|"&amp;$S374&amp;"|"&amp;$AH374,'ASIGNACIONES'!$N$4:$N$451,0)),""))=0,"",IFERROR(INDEX('ASIGNACIONES'!$J$4:$J$451,MATCH($O374&amp;"|"&amp;$S374&amp;"|"&amp;$AH374,'ASIGNACIONES'!$N$4:$N$451,0)),"")))</f>
        <v/>
      </c>
      <c r="AJ374" s="42">
        <f>IF($AH374="","",SUMIFS('ORDENES'!$M$4:$M$1203,'ORDENES'!$AH$4:$AH$1203,$AH374,'ORDENES'!$O$4:$O$1203,$O374,'ORDENES'!$S$4:$S$1203,$S374))</f>
        <v/>
      </c>
      <c r="AK374" s="42">
        <f>IF($AJ374="","",p_factor_productividad*IFERROR(INDEX('ASIGNACIONES'!$M$4:$M$451,MATCH($O374&amp;"|"&amp;$S374&amp;"|"&amp;$AH374,'ASIGNACIONES'!$N$4:$N$451,0)),0)-$AJ374)</f>
        <v/>
      </c>
      <c r="AL374" s="32">
        <f>IF($A374="","",IFERROR(INDEX('2_IMPORTAR_EJECUCION'!$F$9:$F$1208,MATCH($AU374,'2_IMPORTAR_EJECUCION'!$J$9:$J$1208,0)),0))</f>
        <v/>
      </c>
      <c r="AM374" s="32">
        <f>IF($A374="","",MAX(0,IFERROR(INDEX('2_IMPORTAR_EJECUCION'!$H$9:$H$1208,MATCH($AU374,'2_IMPORTAR_EJECUCION'!$J$9:$J$1208,0)),0)-$AL374))</f>
        <v/>
      </c>
      <c r="AN374" s="32">
        <f>IF($A374="","",$AL374+$AM374)</f>
        <v/>
      </c>
      <c r="AO374" s="24">
        <f>IF($A374="","",IF(OR((IFERROR(INDEX('CAT_ACTIVIDADES'!$D$4:$D$26,MATCH($H374,'CAT_ACTIVIDADES'!$A$4:$A$26,0)),""))=0,(IFERROR(INDEX('CAT_ACTIVIDADES'!$D$4:$D$26,MATCH($H374,'CAT_ACTIVIDADES'!$A$4:$A$26,0)),""))=""),"SIN CLASIFICAR",IFERROR(INDEX('CAT_ACTIVIDADES'!$D$4:$D$26,MATCH($H374,'CAT_ACTIVIDADES'!$A$4:$A$26,0)),"")))</f>
        <v/>
      </c>
      <c r="AP374" s="4" t="n"/>
      <c r="AQ374" s="4" t="n"/>
      <c r="AR374" s="4" t="n"/>
      <c r="AS374" s="24">
        <f>IF($AR374="","",HYPERLINK(p_ruta_base_checklists&amp;$AR374,"abrir"))</f>
        <v/>
      </c>
      <c r="AT374" s="4" t="n"/>
      <c r="AU374" s="24">
        <f>IF($A374="","",$A374&amp;IF($B374="","0010",$B374))</f>
        <v/>
      </c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41" t="n"/>
      <c r="K375" s="5" t="n"/>
      <c r="L375" s="18" t="n"/>
      <c r="M375" s="24">
        <f>IF($A375="","",IFERROR(INDEX('AJUSTES'!$B$4:$B$303,MATCH($AU375,'AJUSTES'!$A$4:$A$303,0)),IF($K375="","",$K375)))</f>
        <v/>
      </c>
      <c r="N375" s="24">
        <f>IF($A375="","",IFERROR(INDEX('CAT_ESTADOS_ERP'!$B$4:$B$22,MATCH(IFERROR(INDEX('2_IMPORTAR_EJECUCION'!$C$9:$C$1208,MATCH($AU375,'2_IMPORTAR_EJECUCION'!$J$9:$J$1208,0)),""),'CAT_ESTADOS_ERP'!$A$4:$A$22,0)),"Pendiente"))</f>
        <v/>
      </c>
      <c r="O375" s="24">
        <f>IF($J375="","",YEAR($J375+4-WEEKDAY($J375,2))&amp;"-S"&amp;TEXT(_xlfn.ISOWEEKNUM($J375),"00"))</f>
        <v/>
      </c>
      <c r="P375" s="24">
        <f>IF($J375="","",YEAR($J375))</f>
        <v/>
      </c>
      <c r="Q375" s="24">
        <f>IF($J375="","",MONTH($J375))</f>
        <v/>
      </c>
      <c r="R375" s="24">
        <f>IF($J375="","",$P375&amp;"-"&amp;TEXT($Q375,"00"))</f>
        <v/>
      </c>
      <c r="S375" s="24">
        <f>IF($J375="","",INDEX(lista_dias,WEEKDAY($J375,2)))</f>
        <v/>
      </c>
      <c r="T375" s="24">
        <f>IF($J375="","",IFERROR(INDEX('CALENDARIO'!$C$15:$C$214,MATCH(TEXT($J375,"yyyy-mm-dd")&amp;"|"&amp;$Y375&amp;"|"&amp;$Z375,'CALENDARIO'!$G$15:$G$214,0)),IFERROR(INDEX('CALENDARIO'!$C$15:$C$214,MATCH(TEXT($J375,"yyyy-mm-dd")&amp;"|"&amp;$Y375&amp;"|",'CALENDARIO'!$G$15:$G$214,0)),IFERROR(INDEX('CALENDARIO'!$C$15:$C$214,MATCH(TEXT($J375,"yyyy-mm-dd")&amp;"||",'CALENDARIO'!$G$15:$G$214,0)),INDEX(patronHabil,WEEKDAY($J375,2))))))</f>
        <v/>
      </c>
      <c r="U375" s="24">
        <f>IF($I375="","",IFERROR(INDEX('CAT_TIPOS_OT'!$C$4:$C$23,MATCH($I375,'CAT_TIPOS_OT'!$A$4:$A$23,0)),"sin_clasificar"))</f>
        <v/>
      </c>
      <c r="V375" s="24">
        <f>IF($I375="","",IF(IFERROR(INDEX('CAT_TIPOS_OT'!$D$4:$D$23,MATCH($I375,'CAT_TIPOS_OT'!$A$4:$A$23,0)),"SIN CLASIFICAR")="","SIN CLASIFICAR",IFERROR(INDEX('CAT_TIPOS_OT'!$D$4:$D$23,MATCH($I375,'CAT_TIPOS_OT'!$A$4:$A$23,0)),"SIN CLASIFICAR")))</f>
        <v/>
      </c>
      <c r="W375" s="24">
        <f>IF($H375="","",IF(IFERROR(INDEX('CAT_ACTIVIDADES'!$F$4:$F$26,MATCH($H375,'CAT_ACTIVIDADES'!$A$4:$A$26,0)),"")=0,"",IFERROR(INDEX('CAT_ACTIVIDADES'!$F$4:$F$26,MATCH($H375,'CAT_ACTIVIDADES'!$A$4:$A$26,0)),"")))</f>
        <v/>
      </c>
      <c r="X375" s="24">
        <f>IF($F375="","",IFERROR(INDEX('CAT_CENTROS_COSTO'!$F$4:$F$28,MATCH($F375,'CAT_CENTROS_COSTO'!$A$4:$A$28,0)),"(sin catálogo)"))</f>
        <v/>
      </c>
      <c r="Y375" s="24">
        <f>IF($F375="","",IFERROR(INDEX('CAT_CENTROS_COSTO'!$D$4:$D$28,MATCH($F375,'CAT_CENTROS_COSTO'!$A$4:$A$28,0)),"(sin catálogo)"))</f>
        <v/>
      </c>
      <c r="Z375" s="24">
        <f>IF($F375="","",IF((IFERROR(INDEX('CAT_CENTROS_COSTO'!$E$4:$E$28,MATCH($F375,'CAT_CENTROS_COSTO'!$A$4:$A$28,0)),""))&lt;&gt;"",IFERROR(INDEX('CAT_CENTROS_COSTO'!$E$4:$E$28,MATCH($F375,'CAT_CENTROS_COSTO'!$A$4:$A$28,0)),""),$Y375))</f>
        <v/>
      </c>
      <c r="AA375" s="24">
        <f>IF($F375="","",IFERROR(INDEX('CAT_CENTROS_COSTO'!$G$4:$G$28,MATCH($F375,'CAT_CENTROS_COSTO'!$A$4:$A$28,0)),"(sin catálogo)"))</f>
        <v/>
      </c>
      <c r="AB375" s="24">
        <f>IF($G375="","",IFERROR(INDEX('CAT_PUESTOS'!$B$4:$B$23,MATCH($G375,'CAT_PUESTOS'!$A$4:$A$23,0)),"(sin catálogo)"))</f>
        <v/>
      </c>
      <c r="AC375" s="24">
        <f>IF($H375="","",IFERROR(INDEX('CAT_ACTIVIDADES'!$B$4:$B$26,MATCH($H375,'CAT_ACTIVIDADES'!$A$4:$A$26,0)),"(sin catálogo)"))</f>
        <v/>
      </c>
      <c r="AD375" s="26">
        <f>IF($J375="","",TODAY()-$J375)</f>
        <v/>
      </c>
      <c r="AE375" s="26">
        <f>IF($J375="","",IF($J375&lt;=TODAY(),COUNTIFS(cal_fechas,"&gt;="&amp;$J375,cal_fechas,"&lt;"&amp;TODAY(),cal_habil,"sí"),-COUNTIFS(cal_fechas,"&gt;="&amp;TODAY(),cal_fechas,"&lt;"&amp;$J375,cal_habil,"sí")))</f>
        <v/>
      </c>
      <c r="AF375" s="24">
        <f>IF($AE375="","",IF($AE375&lt;0,"FUTURO",IF($AE375&gt;p_dias_backlog_max,"BACKLOG","MES CORRIENTE")))</f>
        <v/>
      </c>
      <c r="AG375" s="24">
        <f>IF($AE375="",FALSE,AND($AE375&gt;p_dias_backlog_min,$AE375&lt;=p_dias_backlog_max))</f>
        <v/>
      </c>
      <c r="AH375" s="4" t="n"/>
      <c r="AI375" s="24">
        <f>IF($AH375="","",IF((IFERROR(INDEX('ASIGNACIONES'!$J$4:$J$451,MATCH($O375&amp;"|"&amp;$S375&amp;"|"&amp;$AH375,'ASIGNACIONES'!$N$4:$N$451,0)),""))=0,"",IFERROR(INDEX('ASIGNACIONES'!$J$4:$J$451,MATCH($O375&amp;"|"&amp;$S375&amp;"|"&amp;$AH375,'ASIGNACIONES'!$N$4:$N$451,0)),"")))</f>
        <v/>
      </c>
      <c r="AJ375" s="42">
        <f>IF($AH375="","",SUMIFS('ORDENES'!$M$4:$M$1203,'ORDENES'!$AH$4:$AH$1203,$AH375,'ORDENES'!$O$4:$O$1203,$O375,'ORDENES'!$S$4:$S$1203,$S375))</f>
        <v/>
      </c>
      <c r="AK375" s="42">
        <f>IF($AJ375="","",p_factor_productividad*IFERROR(INDEX('ASIGNACIONES'!$M$4:$M$451,MATCH($O375&amp;"|"&amp;$S375&amp;"|"&amp;$AH375,'ASIGNACIONES'!$N$4:$N$451,0)),0)-$AJ375)</f>
        <v/>
      </c>
      <c r="AL375" s="32">
        <f>IF($A375="","",IFERROR(INDEX('2_IMPORTAR_EJECUCION'!$F$9:$F$1208,MATCH($AU375,'2_IMPORTAR_EJECUCION'!$J$9:$J$1208,0)),0))</f>
        <v/>
      </c>
      <c r="AM375" s="32">
        <f>IF($A375="","",MAX(0,IFERROR(INDEX('2_IMPORTAR_EJECUCION'!$H$9:$H$1208,MATCH($AU375,'2_IMPORTAR_EJECUCION'!$J$9:$J$1208,0)),0)-$AL375))</f>
        <v/>
      </c>
      <c r="AN375" s="32">
        <f>IF($A375="","",$AL375+$AM375)</f>
        <v/>
      </c>
      <c r="AO375" s="24">
        <f>IF($A375="","",IF(OR((IFERROR(INDEX('CAT_ACTIVIDADES'!$D$4:$D$26,MATCH($H375,'CAT_ACTIVIDADES'!$A$4:$A$26,0)),""))=0,(IFERROR(INDEX('CAT_ACTIVIDADES'!$D$4:$D$26,MATCH($H375,'CAT_ACTIVIDADES'!$A$4:$A$26,0)),""))=""),"SIN CLASIFICAR",IFERROR(INDEX('CAT_ACTIVIDADES'!$D$4:$D$26,MATCH($H375,'CAT_ACTIVIDADES'!$A$4:$A$26,0)),"")))</f>
        <v/>
      </c>
      <c r="AP375" s="4" t="n"/>
      <c r="AQ375" s="4" t="n"/>
      <c r="AR375" s="4" t="n"/>
      <c r="AS375" s="24">
        <f>IF($AR375="","",HYPERLINK(p_ruta_base_checklists&amp;$AR375,"abrir"))</f>
        <v/>
      </c>
      <c r="AT375" s="4" t="n"/>
      <c r="AU375" s="24">
        <f>IF($A375="","",$A375&amp;IF($B375="","0010",$B375))</f>
        <v/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41" t="n"/>
      <c r="K376" s="5" t="n"/>
      <c r="L376" s="18" t="n"/>
      <c r="M376" s="24">
        <f>IF($A376="","",IFERROR(INDEX('AJUSTES'!$B$4:$B$303,MATCH($AU376,'AJUSTES'!$A$4:$A$303,0)),IF($K376="","",$K376)))</f>
        <v/>
      </c>
      <c r="N376" s="24">
        <f>IF($A376="","",IFERROR(INDEX('CAT_ESTADOS_ERP'!$B$4:$B$22,MATCH(IFERROR(INDEX('2_IMPORTAR_EJECUCION'!$C$9:$C$1208,MATCH($AU376,'2_IMPORTAR_EJECUCION'!$J$9:$J$1208,0)),""),'CAT_ESTADOS_ERP'!$A$4:$A$22,0)),"Pendiente"))</f>
        <v/>
      </c>
      <c r="O376" s="24">
        <f>IF($J376="","",YEAR($J376+4-WEEKDAY($J376,2))&amp;"-S"&amp;TEXT(_xlfn.ISOWEEKNUM($J376),"00"))</f>
        <v/>
      </c>
      <c r="P376" s="24">
        <f>IF($J376="","",YEAR($J376))</f>
        <v/>
      </c>
      <c r="Q376" s="24">
        <f>IF($J376="","",MONTH($J376))</f>
        <v/>
      </c>
      <c r="R376" s="24">
        <f>IF($J376="","",$P376&amp;"-"&amp;TEXT($Q376,"00"))</f>
        <v/>
      </c>
      <c r="S376" s="24">
        <f>IF($J376="","",INDEX(lista_dias,WEEKDAY($J376,2)))</f>
        <v/>
      </c>
      <c r="T376" s="24">
        <f>IF($J376="","",IFERROR(INDEX('CALENDARIO'!$C$15:$C$214,MATCH(TEXT($J376,"yyyy-mm-dd")&amp;"|"&amp;$Y376&amp;"|"&amp;$Z376,'CALENDARIO'!$G$15:$G$214,0)),IFERROR(INDEX('CALENDARIO'!$C$15:$C$214,MATCH(TEXT($J376,"yyyy-mm-dd")&amp;"|"&amp;$Y376&amp;"|",'CALENDARIO'!$G$15:$G$214,0)),IFERROR(INDEX('CALENDARIO'!$C$15:$C$214,MATCH(TEXT($J376,"yyyy-mm-dd")&amp;"||",'CALENDARIO'!$G$15:$G$214,0)),INDEX(patronHabil,WEEKDAY($J376,2))))))</f>
        <v/>
      </c>
      <c r="U376" s="24">
        <f>IF($I376="","",IFERROR(INDEX('CAT_TIPOS_OT'!$C$4:$C$23,MATCH($I376,'CAT_TIPOS_OT'!$A$4:$A$23,0)),"sin_clasificar"))</f>
        <v/>
      </c>
      <c r="V376" s="24">
        <f>IF($I376="","",IF(IFERROR(INDEX('CAT_TIPOS_OT'!$D$4:$D$23,MATCH($I376,'CAT_TIPOS_OT'!$A$4:$A$23,0)),"SIN CLASIFICAR")="","SIN CLASIFICAR",IFERROR(INDEX('CAT_TIPOS_OT'!$D$4:$D$23,MATCH($I376,'CAT_TIPOS_OT'!$A$4:$A$23,0)),"SIN CLASIFICAR")))</f>
        <v/>
      </c>
      <c r="W376" s="24">
        <f>IF($H376="","",IF(IFERROR(INDEX('CAT_ACTIVIDADES'!$F$4:$F$26,MATCH($H376,'CAT_ACTIVIDADES'!$A$4:$A$26,0)),"")=0,"",IFERROR(INDEX('CAT_ACTIVIDADES'!$F$4:$F$26,MATCH($H376,'CAT_ACTIVIDADES'!$A$4:$A$26,0)),"")))</f>
        <v/>
      </c>
      <c r="X376" s="24">
        <f>IF($F376="","",IFERROR(INDEX('CAT_CENTROS_COSTO'!$F$4:$F$28,MATCH($F376,'CAT_CENTROS_COSTO'!$A$4:$A$28,0)),"(sin catálogo)"))</f>
        <v/>
      </c>
      <c r="Y376" s="24">
        <f>IF($F376="","",IFERROR(INDEX('CAT_CENTROS_COSTO'!$D$4:$D$28,MATCH($F376,'CAT_CENTROS_COSTO'!$A$4:$A$28,0)),"(sin catálogo)"))</f>
        <v/>
      </c>
      <c r="Z376" s="24">
        <f>IF($F376="","",IF((IFERROR(INDEX('CAT_CENTROS_COSTO'!$E$4:$E$28,MATCH($F376,'CAT_CENTROS_COSTO'!$A$4:$A$28,0)),""))&lt;&gt;"",IFERROR(INDEX('CAT_CENTROS_COSTO'!$E$4:$E$28,MATCH($F376,'CAT_CENTROS_COSTO'!$A$4:$A$28,0)),""),$Y376))</f>
        <v/>
      </c>
      <c r="AA376" s="24">
        <f>IF($F376="","",IFERROR(INDEX('CAT_CENTROS_COSTO'!$G$4:$G$28,MATCH($F376,'CAT_CENTROS_COSTO'!$A$4:$A$28,0)),"(sin catálogo)"))</f>
        <v/>
      </c>
      <c r="AB376" s="24">
        <f>IF($G376="","",IFERROR(INDEX('CAT_PUESTOS'!$B$4:$B$23,MATCH($G376,'CAT_PUESTOS'!$A$4:$A$23,0)),"(sin catálogo)"))</f>
        <v/>
      </c>
      <c r="AC376" s="24">
        <f>IF($H376="","",IFERROR(INDEX('CAT_ACTIVIDADES'!$B$4:$B$26,MATCH($H376,'CAT_ACTIVIDADES'!$A$4:$A$26,0)),"(sin catálogo)"))</f>
        <v/>
      </c>
      <c r="AD376" s="26">
        <f>IF($J376="","",TODAY()-$J376)</f>
        <v/>
      </c>
      <c r="AE376" s="26">
        <f>IF($J376="","",IF($J376&lt;=TODAY(),COUNTIFS(cal_fechas,"&gt;="&amp;$J376,cal_fechas,"&lt;"&amp;TODAY(),cal_habil,"sí"),-COUNTIFS(cal_fechas,"&gt;="&amp;TODAY(),cal_fechas,"&lt;"&amp;$J376,cal_habil,"sí")))</f>
        <v/>
      </c>
      <c r="AF376" s="24">
        <f>IF($AE376="","",IF($AE376&lt;0,"FUTURO",IF($AE376&gt;p_dias_backlog_max,"BACKLOG","MES CORRIENTE")))</f>
        <v/>
      </c>
      <c r="AG376" s="24">
        <f>IF($AE376="",FALSE,AND($AE376&gt;p_dias_backlog_min,$AE376&lt;=p_dias_backlog_max))</f>
        <v/>
      </c>
      <c r="AH376" s="4" t="n"/>
      <c r="AI376" s="24">
        <f>IF($AH376="","",IF((IFERROR(INDEX('ASIGNACIONES'!$J$4:$J$451,MATCH($O376&amp;"|"&amp;$S376&amp;"|"&amp;$AH376,'ASIGNACIONES'!$N$4:$N$451,0)),""))=0,"",IFERROR(INDEX('ASIGNACIONES'!$J$4:$J$451,MATCH($O376&amp;"|"&amp;$S376&amp;"|"&amp;$AH376,'ASIGNACIONES'!$N$4:$N$451,0)),"")))</f>
        <v/>
      </c>
      <c r="AJ376" s="42">
        <f>IF($AH376="","",SUMIFS('ORDENES'!$M$4:$M$1203,'ORDENES'!$AH$4:$AH$1203,$AH376,'ORDENES'!$O$4:$O$1203,$O376,'ORDENES'!$S$4:$S$1203,$S376))</f>
        <v/>
      </c>
      <c r="AK376" s="42">
        <f>IF($AJ376="","",p_factor_productividad*IFERROR(INDEX('ASIGNACIONES'!$M$4:$M$451,MATCH($O376&amp;"|"&amp;$S376&amp;"|"&amp;$AH376,'ASIGNACIONES'!$N$4:$N$451,0)),0)-$AJ376)</f>
        <v/>
      </c>
      <c r="AL376" s="32">
        <f>IF($A376="","",IFERROR(INDEX('2_IMPORTAR_EJECUCION'!$F$9:$F$1208,MATCH($AU376,'2_IMPORTAR_EJECUCION'!$J$9:$J$1208,0)),0))</f>
        <v/>
      </c>
      <c r="AM376" s="32">
        <f>IF($A376="","",MAX(0,IFERROR(INDEX('2_IMPORTAR_EJECUCION'!$H$9:$H$1208,MATCH($AU376,'2_IMPORTAR_EJECUCION'!$J$9:$J$1208,0)),0)-$AL376))</f>
        <v/>
      </c>
      <c r="AN376" s="32">
        <f>IF($A376="","",$AL376+$AM376)</f>
        <v/>
      </c>
      <c r="AO376" s="24">
        <f>IF($A376="","",IF(OR((IFERROR(INDEX('CAT_ACTIVIDADES'!$D$4:$D$26,MATCH($H376,'CAT_ACTIVIDADES'!$A$4:$A$26,0)),""))=0,(IFERROR(INDEX('CAT_ACTIVIDADES'!$D$4:$D$26,MATCH($H376,'CAT_ACTIVIDADES'!$A$4:$A$26,0)),""))=""),"SIN CLASIFICAR",IFERROR(INDEX('CAT_ACTIVIDADES'!$D$4:$D$26,MATCH($H376,'CAT_ACTIVIDADES'!$A$4:$A$26,0)),"")))</f>
        <v/>
      </c>
      <c r="AP376" s="4" t="n"/>
      <c r="AQ376" s="4" t="n"/>
      <c r="AR376" s="4" t="n"/>
      <c r="AS376" s="24">
        <f>IF($AR376="","",HYPERLINK(p_ruta_base_checklists&amp;$AR376,"abrir"))</f>
        <v/>
      </c>
      <c r="AT376" s="4" t="n"/>
      <c r="AU376" s="24">
        <f>IF($A376="","",$A376&amp;IF($B376="","0010",$B376))</f>
        <v/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41" t="n"/>
      <c r="K377" s="5" t="n"/>
      <c r="L377" s="18" t="n"/>
      <c r="M377" s="24">
        <f>IF($A377="","",IFERROR(INDEX('AJUSTES'!$B$4:$B$303,MATCH($AU377,'AJUSTES'!$A$4:$A$303,0)),IF($K377="","",$K377)))</f>
        <v/>
      </c>
      <c r="N377" s="24">
        <f>IF($A377="","",IFERROR(INDEX('CAT_ESTADOS_ERP'!$B$4:$B$22,MATCH(IFERROR(INDEX('2_IMPORTAR_EJECUCION'!$C$9:$C$1208,MATCH($AU377,'2_IMPORTAR_EJECUCION'!$J$9:$J$1208,0)),""),'CAT_ESTADOS_ERP'!$A$4:$A$22,0)),"Pendiente"))</f>
        <v/>
      </c>
      <c r="O377" s="24">
        <f>IF($J377="","",YEAR($J377+4-WEEKDAY($J377,2))&amp;"-S"&amp;TEXT(_xlfn.ISOWEEKNUM($J377),"00"))</f>
        <v/>
      </c>
      <c r="P377" s="24">
        <f>IF($J377="","",YEAR($J377))</f>
        <v/>
      </c>
      <c r="Q377" s="24">
        <f>IF($J377="","",MONTH($J377))</f>
        <v/>
      </c>
      <c r="R377" s="24">
        <f>IF($J377="","",$P377&amp;"-"&amp;TEXT($Q377,"00"))</f>
        <v/>
      </c>
      <c r="S377" s="24">
        <f>IF($J377="","",INDEX(lista_dias,WEEKDAY($J377,2)))</f>
        <v/>
      </c>
      <c r="T377" s="24">
        <f>IF($J377="","",IFERROR(INDEX('CALENDARIO'!$C$15:$C$214,MATCH(TEXT($J377,"yyyy-mm-dd")&amp;"|"&amp;$Y377&amp;"|"&amp;$Z377,'CALENDARIO'!$G$15:$G$214,0)),IFERROR(INDEX('CALENDARIO'!$C$15:$C$214,MATCH(TEXT($J377,"yyyy-mm-dd")&amp;"|"&amp;$Y377&amp;"|",'CALENDARIO'!$G$15:$G$214,0)),IFERROR(INDEX('CALENDARIO'!$C$15:$C$214,MATCH(TEXT($J377,"yyyy-mm-dd")&amp;"||",'CALENDARIO'!$G$15:$G$214,0)),INDEX(patronHabil,WEEKDAY($J377,2))))))</f>
        <v/>
      </c>
      <c r="U377" s="24">
        <f>IF($I377="","",IFERROR(INDEX('CAT_TIPOS_OT'!$C$4:$C$23,MATCH($I377,'CAT_TIPOS_OT'!$A$4:$A$23,0)),"sin_clasificar"))</f>
        <v/>
      </c>
      <c r="V377" s="24">
        <f>IF($I377="","",IF(IFERROR(INDEX('CAT_TIPOS_OT'!$D$4:$D$23,MATCH($I377,'CAT_TIPOS_OT'!$A$4:$A$23,0)),"SIN CLASIFICAR")="","SIN CLASIFICAR",IFERROR(INDEX('CAT_TIPOS_OT'!$D$4:$D$23,MATCH($I377,'CAT_TIPOS_OT'!$A$4:$A$23,0)),"SIN CLASIFICAR")))</f>
        <v/>
      </c>
      <c r="W377" s="24">
        <f>IF($H377="","",IF(IFERROR(INDEX('CAT_ACTIVIDADES'!$F$4:$F$26,MATCH($H377,'CAT_ACTIVIDADES'!$A$4:$A$26,0)),"")=0,"",IFERROR(INDEX('CAT_ACTIVIDADES'!$F$4:$F$26,MATCH($H377,'CAT_ACTIVIDADES'!$A$4:$A$26,0)),"")))</f>
        <v/>
      </c>
      <c r="X377" s="24">
        <f>IF($F377="","",IFERROR(INDEX('CAT_CENTROS_COSTO'!$F$4:$F$28,MATCH($F377,'CAT_CENTROS_COSTO'!$A$4:$A$28,0)),"(sin catálogo)"))</f>
        <v/>
      </c>
      <c r="Y377" s="24">
        <f>IF($F377="","",IFERROR(INDEX('CAT_CENTROS_COSTO'!$D$4:$D$28,MATCH($F377,'CAT_CENTROS_COSTO'!$A$4:$A$28,0)),"(sin catálogo)"))</f>
        <v/>
      </c>
      <c r="Z377" s="24">
        <f>IF($F377="","",IF((IFERROR(INDEX('CAT_CENTROS_COSTO'!$E$4:$E$28,MATCH($F377,'CAT_CENTROS_COSTO'!$A$4:$A$28,0)),""))&lt;&gt;"",IFERROR(INDEX('CAT_CENTROS_COSTO'!$E$4:$E$28,MATCH($F377,'CAT_CENTROS_COSTO'!$A$4:$A$28,0)),""),$Y377))</f>
        <v/>
      </c>
      <c r="AA377" s="24">
        <f>IF($F377="","",IFERROR(INDEX('CAT_CENTROS_COSTO'!$G$4:$G$28,MATCH($F377,'CAT_CENTROS_COSTO'!$A$4:$A$28,0)),"(sin catálogo)"))</f>
        <v/>
      </c>
      <c r="AB377" s="24">
        <f>IF($G377="","",IFERROR(INDEX('CAT_PUESTOS'!$B$4:$B$23,MATCH($G377,'CAT_PUESTOS'!$A$4:$A$23,0)),"(sin catálogo)"))</f>
        <v/>
      </c>
      <c r="AC377" s="24">
        <f>IF($H377="","",IFERROR(INDEX('CAT_ACTIVIDADES'!$B$4:$B$26,MATCH($H377,'CAT_ACTIVIDADES'!$A$4:$A$26,0)),"(sin catálogo)"))</f>
        <v/>
      </c>
      <c r="AD377" s="26">
        <f>IF($J377="","",TODAY()-$J377)</f>
        <v/>
      </c>
      <c r="AE377" s="26">
        <f>IF($J377="","",IF($J377&lt;=TODAY(),COUNTIFS(cal_fechas,"&gt;="&amp;$J377,cal_fechas,"&lt;"&amp;TODAY(),cal_habil,"sí"),-COUNTIFS(cal_fechas,"&gt;="&amp;TODAY(),cal_fechas,"&lt;"&amp;$J377,cal_habil,"sí")))</f>
        <v/>
      </c>
      <c r="AF377" s="24">
        <f>IF($AE377="","",IF($AE377&lt;0,"FUTURO",IF($AE377&gt;p_dias_backlog_max,"BACKLOG","MES CORRIENTE")))</f>
        <v/>
      </c>
      <c r="AG377" s="24">
        <f>IF($AE377="",FALSE,AND($AE377&gt;p_dias_backlog_min,$AE377&lt;=p_dias_backlog_max))</f>
        <v/>
      </c>
      <c r="AH377" s="4" t="n"/>
      <c r="AI377" s="24">
        <f>IF($AH377="","",IF((IFERROR(INDEX('ASIGNACIONES'!$J$4:$J$451,MATCH($O377&amp;"|"&amp;$S377&amp;"|"&amp;$AH377,'ASIGNACIONES'!$N$4:$N$451,0)),""))=0,"",IFERROR(INDEX('ASIGNACIONES'!$J$4:$J$451,MATCH($O377&amp;"|"&amp;$S377&amp;"|"&amp;$AH377,'ASIGNACIONES'!$N$4:$N$451,0)),"")))</f>
        <v/>
      </c>
      <c r="AJ377" s="42">
        <f>IF($AH377="","",SUMIFS('ORDENES'!$M$4:$M$1203,'ORDENES'!$AH$4:$AH$1203,$AH377,'ORDENES'!$O$4:$O$1203,$O377,'ORDENES'!$S$4:$S$1203,$S377))</f>
        <v/>
      </c>
      <c r="AK377" s="42">
        <f>IF($AJ377="","",p_factor_productividad*IFERROR(INDEX('ASIGNACIONES'!$M$4:$M$451,MATCH($O377&amp;"|"&amp;$S377&amp;"|"&amp;$AH377,'ASIGNACIONES'!$N$4:$N$451,0)),0)-$AJ377)</f>
        <v/>
      </c>
      <c r="AL377" s="32">
        <f>IF($A377="","",IFERROR(INDEX('2_IMPORTAR_EJECUCION'!$F$9:$F$1208,MATCH($AU377,'2_IMPORTAR_EJECUCION'!$J$9:$J$1208,0)),0))</f>
        <v/>
      </c>
      <c r="AM377" s="32">
        <f>IF($A377="","",MAX(0,IFERROR(INDEX('2_IMPORTAR_EJECUCION'!$H$9:$H$1208,MATCH($AU377,'2_IMPORTAR_EJECUCION'!$J$9:$J$1208,0)),0)-$AL377))</f>
        <v/>
      </c>
      <c r="AN377" s="32">
        <f>IF($A377="","",$AL377+$AM377)</f>
        <v/>
      </c>
      <c r="AO377" s="24">
        <f>IF($A377="","",IF(OR((IFERROR(INDEX('CAT_ACTIVIDADES'!$D$4:$D$26,MATCH($H377,'CAT_ACTIVIDADES'!$A$4:$A$26,0)),""))=0,(IFERROR(INDEX('CAT_ACTIVIDADES'!$D$4:$D$26,MATCH($H377,'CAT_ACTIVIDADES'!$A$4:$A$26,0)),""))=""),"SIN CLASIFICAR",IFERROR(INDEX('CAT_ACTIVIDADES'!$D$4:$D$26,MATCH($H377,'CAT_ACTIVIDADES'!$A$4:$A$26,0)),"")))</f>
        <v/>
      </c>
      <c r="AP377" s="4" t="n"/>
      <c r="AQ377" s="4" t="n"/>
      <c r="AR377" s="4" t="n"/>
      <c r="AS377" s="24">
        <f>IF($AR377="","",HYPERLINK(p_ruta_base_checklists&amp;$AR377,"abrir"))</f>
        <v/>
      </c>
      <c r="AT377" s="4" t="n"/>
      <c r="AU377" s="24">
        <f>IF($A377="","",$A377&amp;IF($B377="","0010",$B377))</f>
        <v/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41" t="n"/>
      <c r="K378" s="5" t="n"/>
      <c r="L378" s="18" t="n"/>
      <c r="M378" s="24">
        <f>IF($A378="","",IFERROR(INDEX('AJUSTES'!$B$4:$B$303,MATCH($AU378,'AJUSTES'!$A$4:$A$303,0)),IF($K378="","",$K378)))</f>
        <v/>
      </c>
      <c r="N378" s="24">
        <f>IF($A378="","",IFERROR(INDEX('CAT_ESTADOS_ERP'!$B$4:$B$22,MATCH(IFERROR(INDEX('2_IMPORTAR_EJECUCION'!$C$9:$C$1208,MATCH($AU378,'2_IMPORTAR_EJECUCION'!$J$9:$J$1208,0)),""),'CAT_ESTADOS_ERP'!$A$4:$A$22,0)),"Pendiente"))</f>
        <v/>
      </c>
      <c r="O378" s="24">
        <f>IF($J378="","",YEAR($J378+4-WEEKDAY($J378,2))&amp;"-S"&amp;TEXT(_xlfn.ISOWEEKNUM($J378),"00"))</f>
        <v/>
      </c>
      <c r="P378" s="24">
        <f>IF($J378="","",YEAR($J378))</f>
        <v/>
      </c>
      <c r="Q378" s="24">
        <f>IF($J378="","",MONTH($J378))</f>
        <v/>
      </c>
      <c r="R378" s="24">
        <f>IF($J378="","",$P378&amp;"-"&amp;TEXT($Q378,"00"))</f>
        <v/>
      </c>
      <c r="S378" s="24">
        <f>IF($J378="","",INDEX(lista_dias,WEEKDAY($J378,2)))</f>
        <v/>
      </c>
      <c r="T378" s="24">
        <f>IF($J378="","",IFERROR(INDEX('CALENDARIO'!$C$15:$C$214,MATCH(TEXT($J378,"yyyy-mm-dd")&amp;"|"&amp;$Y378&amp;"|"&amp;$Z378,'CALENDARIO'!$G$15:$G$214,0)),IFERROR(INDEX('CALENDARIO'!$C$15:$C$214,MATCH(TEXT($J378,"yyyy-mm-dd")&amp;"|"&amp;$Y378&amp;"|",'CALENDARIO'!$G$15:$G$214,0)),IFERROR(INDEX('CALENDARIO'!$C$15:$C$214,MATCH(TEXT($J378,"yyyy-mm-dd")&amp;"||",'CALENDARIO'!$G$15:$G$214,0)),INDEX(patronHabil,WEEKDAY($J378,2))))))</f>
        <v/>
      </c>
      <c r="U378" s="24">
        <f>IF($I378="","",IFERROR(INDEX('CAT_TIPOS_OT'!$C$4:$C$23,MATCH($I378,'CAT_TIPOS_OT'!$A$4:$A$23,0)),"sin_clasificar"))</f>
        <v/>
      </c>
      <c r="V378" s="24">
        <f>IF($I378="","",IF(IFERROR(INDEX('CAT_TIPOS_OT'!$D$4:$D$23,MATCH($I378,'CAT_TIPOS_OT'!$A$4:$A$23,0)),"SIN CLASIFICAR")="","SIN CLASIFICAR",IFERROR(INDEX('CAT_TIPOS_OT'!$D$4:$D$23,MATCH($I378,'CAT_TIPOS_OT'!$A$4:$A$23,0)),"SIN CLASIFICAR")))</f>
        <v/>
      </c>
      <c r="W378" s="24">
        <f>IF($H378="","",IF(IFERROR(INDEX('CAT_ACTIVIDADES'!$F$4:$F$26,MATCH($H378,'CAT_ACTIVIDADES'!$A$4:$A$26,0)),"")=0,"",IFERROR(INDEX('CAT_ACTIVIDADES'!$F$4:$F$26,MATCH($H378,'CAT_ACTIVIDADES'!$A$4:$A$26,0)),"")))</f>
        <v/>
      </c>
      <c r="X378" s="24">
        <f>IF($F378="","",IFERROR(INDEX('CAT_CENTROS_COSTO'!$F$4:$F$28,MATCH($F378,'CAT_CENTROS_COSTO'!$A$4:$A$28,0)),"(sin catálogo)"))</f>
        <v/>
      </c>
      <c r="Y378" s="24">
        <f>IF($F378="","",IFERROR(INDEX('CAT_CENTROS_COSTO'!$D$4:$D$28,MATCH($F378,'CAT_CENTROS_COSTO'!$A$4:$A$28,0)),"(sin catálogo)"))</f>
        <v/>
      </c>
      <c r="Z378" s="24">
        <f>IF($F378="","",IF((IFERROR(INDEX('CAT_CENTROS_COSTO'!$E$4:$E$28,MATCH($F378,'CAT_CENTROS_COSTO'!$A$4:$A$28,0)),""))&lt;&gt;"",IFERROR(INDEX('CAT_CENTROS_COSTO'!$E$4:$E$28,MATCH($F378,'CAT_CENTROS_COSTO'!$A$4:$A$28,0)),""),$Y378))</f>
        <v/>
      </c>
      <c r="AA378" s="24">
        <f>IF($F378="","",IFERROR(INDEX('CAT_CENTROS_COSTO'!$G$4:$G$28,MATCH($F378,'CAT_CENTROS_COSTO'!$A$4:$A$28,0)),"(sin catálogo)"))</f>
        <v/>
      </c>
      <c r="AB378" s="24">
        <f>IF($G378="","",IFERROR(INDEX('CAT_PUESTOS'!$B$4:$B$23,MATCH($G378,'CAT_PUESTOS'!$A$4:$A$23,0)),"(sin catálogo)"))</f>
        <v/>
      </c>
      <c r="AC378" s="24">
        <f>IF($H378="","",IFERROR(INDEX('CAT_ACTIVIDADES'!$B$4:$B$26,MATCH($H378,'CAT_ACTIVIDADES'!$A$4:$A$26,0)),"(sin catálogo)"))</f>
        <v/>
      </c>
      <c r="AD378" s="26">
        <f>IF($J378="","",TODAY()-$J378)</f>
        <v/>
      </c>
      <c r="AE378" s="26">
        <f>IF($J378="","",IF($J378&lt;=TODAY(),COUNTIFS(cal_fechas,"&gt;="&amp;$J378,cal_fechas,"&lt;"&amp;TODAY(),cal_habil,"sí"),-COUNTIFS(cal_fechas,"&gt;="&amp;TODAY(),cal_fechas,"&lt;"&amp;$J378,cal_habil,"sí")))</f>
        <v/>
      </c>
      <c r="AF378" s="24">
        <f>IF($AE378="","",IF($AE378&lt;0,"FUTURO",IF($AE378&gt;p_dias_backlog_max,"BACKLOG","MES CORRIENTE")))</f>
        <v/>
      </c>
      <c r="AG378" s="24">
        <f>IF($AE378="",FALSE,AND($AE378&gt;p_dias_backlog_min,$AE378&lt;=p_dias_backlog_max))</f>
        <v/>
      </c>
      <c r="AH378" s="4" t="n"/>
      <c r="AI378" s="24">
        <f>IF($AH378="","",IF((IFERROR(INDEX('ASIGNACIONES'!$J$4:$J$451,MATCH($O378&amp;"|"&amp;$S378&amp;"|"&amp;$AH378,'ASIGNACIONES'!$N$4:$N$451,0)),""))=0,"",IFERROR(INDEX('ASIGNACIONES'!$J$4:$J$451,MATCH($O378&amp;"|"&amp;$S378&amp;"|"&amp;$AH378,'ASIGNACIONES'!$N$4:$N$451,0)),"")))</f>
        <v/>
      </c>
      <c r="AJ378" s="42">
        <f>IF($AH378="","",SUMIFS('ORDENES'!$M$4:$M$1203,'ORDENES'!$AH$4:$AH$1203,$AH378,'ORDENES'!$O$4:$O$1203,$O378,'ORDENES'!$S$4:$S$1203,$S378))</f>
        <v/>
      </c>
      <c r="AK378" s="42">
        <f>IF($AJ378="","",p_factor_productividad*IFERROR(INDEX('ASIGNACIONES'!$M$4:$M$451,MATCH($O378&amp;"|"&amp;$S378&amp;"|"&amp;$AH378,'ASIGNACIONES'!$N$4:$N$451,0)),0)-$AJ378)</f>
        <v/>
      </c>
      <c r="AL378" s="32">
        <f>IF($A378="","",IFERROR(INDEX('2_IMPORTAR_EJECUCION'!$F$9:$F$1208,MATCH($AU378,'2_IMPORTAR_EJECUCION'!$J$9:$J$1208,0)),0))</f>
        <v/>
      </c>
      <c r="AM378" s="32">
        <f>IF($A378="","",MAX(0,IFERROR(INDEX('2_IMPORTAR_EJECUCION'!$H$9:$H$1208,MATCH($AU378,'2_IMPORTAR_EJECUCION'!$J$9:$J$1208,0)),0)-$AL378))</f>
        <v/>
      </c>
      <c r="AN378" s="32">
        <f>IF($A378="","",$AL378+$AM378)</f>
        <v/>
      </c>
      <c r="AO378" s="24">
        <f>IF($A378="","",IF(OR((IFERROR(INDEX('CAT_ACTIVIDADES'!$D$4:$D$26,MATCH($H378,'CAT_ACTIVIDADES'!$A$4:$A$26,0)),""))=0,(IFERROR(INDEX('CAT_ACTIVIDADES'!$D$4:$D$26,MATCH($H378,'CAT_ACTIVIDADES'!$A$4:$A$26,0)),""))=""),"SIN CLASIFICAR",IFERROR(INDEX('CAT_ACTIVIDADES'!$D$4:$D$26,MATCH($H378,'CAT_ACTIVIDADES'!$A$4:$A$26,0)),"")))</f>
        <v/>
      </c>
      <c r="AP378" s="4" t="n"/>
      <c r="AQ378" s="4" t="n"/>
      <c r="AR378" s="4" t="n"/>
      <c r="AS378" s="24">
        <f>IF($AR378="","",HYPERLINK(p_ruta_base_checklists&amp;$AR378,"abrir"))</f>
        <v/>
      </c>
      <c r="AT378" s="4" t="n"/>
      <c r="AU378" s="24">
        <f>IF($A378="","",$A378&amp;IF($B378="","0010",$B378))</f>
        <v/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41" t="n"/>
      <c r="K379" s="5" t="n"/>
      <c r="L379" s="18" t="n"/>
      <c r="M379" s="24">
        <f>IF($A379="","",IFERROR(INDEX('AJUSTES'!$B$4:$B$303,MATCH($AU379,'AJUSTES'!$A$4:$A$303,0)),IF($K379="","",$K379)))</f>
        <v/>
      </c>
      <c r="N379" s="24">
        <f>IF($A379="","",IFERROR(INDEX('CAT_ESTADOS_ERP'!$B$4:$B$22,MATCH(IFERROR(INDEX('2_IMPORTAR_EJECUCION'!$C$9:$C$1208,MATCH($AU379,'2_IMPORTAR_EJECUCION'!$J$9:$J$1208,0)),""),'CAT_ESTADOS_ERP'!$A$4:$A$22,0)),"Pendiente"))</f>
        <v/>
      </c>
      <c r="O379" s="24">
        <f>IF($J379="","",YEAR($J379+4-WEEKDAY($J379,2))&amp;"-S"&amp;TEXT(_xlfn.ISOWEEKNUM($J379),"00"))</f>
        <v/>
      </c>
      <c r="P379" s="24">
        <f>IF($J379="","",YEAR($J379))</f>
        <v/>
      </c>
      <c r="Q379" s="24">
        <f>IF($J379="","",MONTH($J379))</f>
        <v/>
      </c>
      <c r="R379" s="24">
        <f>IF($J379="","",$P379&amp;"-"&amp;TEXT($Q379,"00"))</f>
        <v/>
      </c>
      <c r="S379" s="24">
        <f>IF($J379="","",INDEX(lista_dias,WEEKDAY($J379,2)))</f>
        <v/>
      </c>
      <c r="T379" s="24">
        <f>IF($J379="","",IFERROR(INDEX('CALENDARIO'!$C$15:$C$214,MATCH(TEXT($J379,"yyyy-mm-dd")&amp;"|"&amp;$Y379&amp;"|"&amp;$Z379,'CALENDARIO'!$G$15:$G$214,0)),IFERROR(INDEX('CALENDARIO'!$C$15:$C$214,MATCH(TEXT($J379,"yyyy-mm-dd")&amp;"|"&amp;$Y379&amp;"|",'CALENDARIO'!$G$15:$G$214,0)),IFERROR(INDEX('CALENDARIO'!$C$15:$C$214,MATCH(TEXT($J379,"yyyy-mm-dd")&amp;"||",'CALENDARIO'!$G$15:$G$214,0)),INDEX(patronHabil,WEEKDAY($J379,2))))))</f>
        <v/>
      </c>
      <c r="U379" s="24">
        <f>IF($I379="","",IFERROR(INDEX('CAT_TIPOS_OT'!$C$4:$C$23,MATCH($I379,'CAT_TIPOS_OT'!$A$4:$A$23,0)),"sin_clasificar"))</f>
        <v/>
      </c>
      <c r="V379" s="24">
        <f>IF($I379="","",IF(IFERROR(INDEX('CAT_TIPOS_OT'!$D$4:$D$23,MATCH($I379,'CAT_TIPOS_OT'!$A$4:$A$23,0)),"SIN CLASIFICAR")="","SIN CLASIFICAR",IFERROR(INDEX('CAT_TIPOS_OT'!$D$4:$D$23,MATCH($I379,'CAT_TIPOS_OT'!$A$4:$A$23,0)),"SIN CLASIFICAR")))</f>
        <v/>
      </c>
      <c r="W379" s="24">
        <f>IF($H379="","",IF(IFERROR(INDEX('CAT_ACTIVIDADES'!$F$4:$F$26,MATCH($H379,'CAT_ACTIVIDADES'!$A$4:$A$26,0)),"")=0,"",IFERROR(INDEX('CAT_ACTIVIDADES'!$F$4:$F$26,MATCH($H379,'CAT_ACTIVIDADES'!$A$4:$A$26,0)),"")))</f>
        <v/>
      </c>
      <c r="X379" s="24">
        <f>IF($F379="","",IFERROR(INDEX('CAT_CENTROS_COSTO'!$F$4:$F$28,MATCH($F379,'CAT_CENTROS_COSTO'!$A$4:$A$28,0)),"(sin catálogo)"))</f>
        <v/>
      </c>
      <c r="Y379" s="24">
        <f>IF($F379="","",IFERROR(INDEX('CAT_CENTROS_COSTO'!$D$4:$D$28,MATCH($F379,'CAT_CENTROS_COSTO'!$A$4:$A$28,0)),"(sin catálogo)"))</f>
        <v/>
      </c>
      <c r="Z379" s="24">
        <f>IF($F379="","",IF((IFERROR(INDEX('CAT_CENTROS_COSTO'!$E$4:$E$28,MATCH($F379,'CAT_CENTROS_COSTO'!$A$4:$A$28,0)),""))&lt;&gt;"",IFERROR(INDEX('CAT_CENTROS_COSTO'!$E$4:$E$28,MATCH($F379,'CAT_CENTROS_COSTO'!$A$4:$A$28,0)),""),$Y379))</f>
        <v/>
      </c>
      <c r="AA379" s="24">
        <f>IF($F379="","",IFERROR(INDEX('CAT_CENTROS_COSTO'!$G$4:$G$28,MATCH($F379,'CAT_CENTROS_COSTO'!$A$4:$A$28,0)),"(sin catálogo)"))</f>
        <v/>
      </c>
      <c r="AB379" s="24">
        <f>IF($G379="","",IFERROR(INDEX('CAT_PUESTOS'!$B$4:$B$23,MATCH($G379,'CAT_PUESTOS'!$A$4:$A$23,0)),"(sin catálogo)"))</f>
        <v/>
      </c>
      <c r="AC379" s="24">
        <f>IF($H379="","",IFERROR(INDEX('CAT_ACTIVIDADES'!$B$4:$B$26,MATCH($H379,'CAT_ACTIVIDADES'!$A$4:$A$26,0)),"(sin catálogo)"))</f>
        <v/>
      </c>
      <c r="AD379" s="26">
        <f>IF($J379="","",TODAY()-$J379)</f>
        <v/>
      </c>
      <c r="AE379" s="26">
        <f>IF($J379="","",IF($J379&lt;=TODAY(),COUNTIFS(cal_fechas,"&gt;="&amp;$J379,cal_fechas,"&lt;"&amp;TODAY(),cal_habil,"sí"),-COUNTIFS(cal_fechas,"&gt;="&amp;TODAY(),cal_fechas,"&lt;"&amp;$J379,cal_habil,"sí")))</f>
        <v/>
      </c>
      <c r="AF379" s="24">
        <f>IF($AE379="","",IF($AE379&lt;0,"FUTURO",IF($AE379&gt;p_dias_backlog_max,"BACKLOG","MES CORRIENTE")))</f>
        <v/>
      </c>
      <c r="AG379" s="24">
        <f>IF($AE379="",FALSE,AND($AE379&gt;p_dias_backlog_min,$AE379&lt;=p_dias_backlog_max))</f>
        <v/>
      </c>
      <c r="AH379" s="4" t="n"/>
      <c r="AI379" s="24">
        <f>IF($AH379="","",IF((IFERROR(INDEX('ASIGNACIONES'!$J$4:$J$451,MATCH($O379&amp;"|"&amp;$S379&amp;"|"&amp;$AH379,'ASIGNACIONES'!$N$4:$N$451,0)),""))=0,"",IFERROR(INDEX('ASIGNACIONES'!$J$4:$J$451,MATCH($O379&amp;"|"&amp;$S379&amp;"|"&amp;$AH379,'ASIGNACIONES'!$N$4:$N$451,0)),"")))</f>
        <v/>
      </c>
      <c r="AJ379" s="42">
        <f>IF($AH379="","",SUMIFS('ORDENES'!$M$4:$M$1203,'ORDENES'!$AH$4:$AH$1203,$AH379,'ORDENES'!$O$4:$O$1203,$O379,'ORDENES'!$S$4:$S$1203,$S379))</f>
        <v/>
      </c>
      <c r="AK379" s="42">
        <f>IF($AJ379="","",p_factor_productividad*IFERROR(INDEX('ASIGNACIONES'!$M$4:$M$451,MATCH($O379&amp;"|"&amp;$S379&amp;"|"&amp;$AH379,'ASIGNACIONES'!$N$4:$N$451,0)),0)-$AJ379)</f>
        <v/>
      </c>
      <c r="AL379" s="32">
        <f>IF($A379="","",IFERROR(INDEX('2_IMPORTAR_EJECUCION'!$F$9:$F$1208,MATCH($AU379,'2_IMPORTAR_EJECUCION'!$J$9:$J$1208,0)),0))</f>
        <v/>
      </c>
      <c r="AM379" s="32">
        <f>IF($A379="","",MAX(0,IFERROR(INDEX('2_IMPORTAR_EJECUCION'!$H$9:$H$1208,MATCH($AU379,'2_IMPORTAR_EJECUCION'!$J$9:$J$1208,0)),0)-$AL379))</f>
        <v/>
      </c>
      <c r="AN379" s="32">
        <f>IF($A379="","",$AL379+$AM379)</f>
        <v/>
      </c>
      <c r="AO379" s="24">
        <f>IF($A379="","",IF(OR((IFERROR(INDEX('CAT_ACTIVIDADES'!$D$4:$D$26,MATCH($H379,'CAT_ACTIVIDADES'!$A$4:$A$26,0)),""))=0,(IFERROR(INDEX('CAT_ACTIVIDADES'!$D$4:$D$26,MATCH($H379,'CAT_ACTIVIDADES'!$A$4:$A$26,0)),""))=""),"SIN CLASIFICAR",IFERROR(INDEX('CAT_ACTIVIDADES'!$D$4:$D$26,MATCH($H379,'CAT_ACTIVIDADES'!$A$4:$A$26,0)),"")))</f>
        <v/>
      </c>
      <c r="AP379" s="4" t="n"/>
      <c r="AQ379" s="4" t="n"/>
      <c r="AR379" s="4" t="n"/>
      <c r="AS379" s="24">
        <f>IF($AR379="","",HYPERLINK(p_ruta_base_checklists&amp;$AR379,"abrir"))</f>
        <v/>
      </c>
      <c r="AT379" s="4" t="n"/>
      <c r="AU379" s="24">
        <f>IF($A379="","",$A379&amp;IF($B379="","0010",$B379))</f>
        <v/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41" t="n"/>
      <c r="K380" s="5" t="n"/>
      <c r="L380" s="18" t="n"/>
      <c r="M380" s="24">
        <f>IF($A380="","",IFERROR(INDEX('AJUSTES'!$B$4:$B$303,MATCH($AU380,'AJUSTES'!$A$4:$A$303,0)),IF($K380="","",$K380)))</f>
        <v/>
      </c>
      <c r="N380" s="24">
        <f>IF($A380="","",IFERROR(INDEX('CAT_ESTADOS_ERP'!$B$4:$B$22,MATCH(IFERROR(INDEX('2_IMPORTAR_EJECUCION'!$C$9:$C$1208,MATCH($AU380,'2_IMPORTAR_EJECUCION'!$J$9:$J$1208,0)),""),'CAT_ESTADOS_ERP'!$A$4:$A$22,0)),"Pendiente"))</f>
        <v/>
      </c>
      <c r="O380" s="24">
        <f>IF($J380="","",YEAR($J380+4-WEEKDAY($J380,2))&amp;"-S"&amp;TEXT(_xlfn.ISOWEEKNUM($J380),"00"))</f>
        <v/>
      </c>
      <c r="P380" s="24">
        <f>IF($J380="","",YEAR($J380))</f>
        <v/>
      </c>
      <c r="Q380" s="24">
        <f>IF($J380="","",MONTH($J380))</f>
        <v/>
      </c>
      <c r="R380" s="24">
        <f>IF($J380="","",$P380&amp;"-"&amp;TEXT($Q380,"00"))</f>
        <v/>
      </c>
      <c r="S380" s="24">
        <f>IF($J380="","",INDEX(lista_dias,WEEKDAY($J380,2)))</f>
        <v/>
      </c>
      <c r="T380" s="24">
        <f>IF($J380="","",IFERROR(INDEX('CALENDARIO'!$C$15:$C$214,MATCH(TEXT($J380,"yyyy-mm-dd")&amp;"|"&amp;$Y380&amp;"|"&amp;$Z380,'CALENDARIO'!$G$15:$G$214,0)),IFERROR(INDEX('CALENDARIO'!$C$15:$C$214,MATCH(TEXT($J380,"yyyy-mm-dd")&amp;"|"&amp;$Y380&amp;"|",'CALENDARIO'!$G$15:$G$214,0)),IFERROR(INDEX('CALENDARIO'!$C$15:$C$214,MATCH(TEXT($J380,"yyyy-mm-dd")&amp;"||",'CALENDARIO'!$G$15:$G$214,0)),INDEX(patronHabil,WEEKDAY($J380,2))))))</f>
        <v/>
      </c>
      <c r="U380" s="24">
        <f>IF($I380="","",IFERROR(INDEX('CAT_TIPOS_OT'!$C$4:$C$23,MATCH($I380,'CAT_TIPOS_OT'!$A$4:$A$23,0)),"sin_clasificar"))</f>
        <v/>
      </c>
      <c r="V380" s="24">
        <f>IF($I380="","",IF(IFERROR(INDEX('CAT_TIPOS_OT'!$D$4:$D$23,MATCH($I380,'CAT_TIPOS_OT'!$A$4:$A$23,0)),"SIN CLASIFICAR")="","SIN CLASIFICAR",IFERROR(INDEX('CAT_TIPOS_OT'!$D$4:$D$23,MATCH($I380,'CAT_TIPOS_OT'!$A$4:$A$23,0)),"SIN CLASIFICAR")))</f>
        <v/>
      </c>
      <c r="W380" s="24">
        <f>IF($H380="","",IF(IFERROR(INDEX('CAT_ACTIVIDADES'!$F$4:$F$26,MATCH($H380,'CAT_ACTIVIDADES'!$A$4:$A$26,0)),"")=0,"",IFERROR(INDEX('CAT_ACTIVIDADES'!$F$4:$F$26,MATCH($H380,'CAT_ACTIVIDADES'!$A$4:$A$26,0)),"")))</f>
        <v/>
      </c>
      <c r="X380" s="24">
        <f>IF($F380="","",IFERROR(INDEX('CAT_CENTROS_COSTO'!$F$4:$F$28,MATCH($F380,'CAT_CENTROS_COSTO'!$A$4:$A$28,0)),"(sin catálogo)"))</f>
        <v/>
      </c>
      <c r="Y380" s="24">
        <f>IF($F380="","",IFERROR(INDEX('CAT_CENTROS_COSTO'!$D$4:$D$28,MATCH($F380,'CAT_CENTROS_COSTO'!$A$4:$A$28,0)),"(sin catálogo)"))</f>
        <v/>
      </c>
      <c r="Z380" s="24">
        <f>IF($F380="","",IF((IFERROR(INDEX('CAT_CENTROS_COSTO'!$E$4:$E$28,MATCH($F380,'CAT_CENTROS_COSTO'!$A$4:$A$28,0)),""))&lt;&gt;"",IFERROR(INDEX('CAT_CENTROS_COSTO'!$E$4:$E$28,MATCH($F380,'CAT_CENTROS_COSTO'!$A$4:$A$28,0)),""),$Y380))</f>
        <v/>
      </c>
      <c r="AA380" s="24">
        <f>IF($F380="","",IFERROR(INDEX('CAT_CENTROS_COSTO'!$G$4:$G$28,MATCH($F380,'CAT_CENTROS_COSTO'!$A$4:$A$28,0)),"(sin catálogo)"))</f>
        <v/>
      </c>
      <c r="AB380" s="24">
        <f>IF($G380="","",IFERROR(INDEX('CAT_PUESTOS'!$B$4:$B$23,MATCH($G380,'CAT_PUESTOS'!$A$4:$A$23,0)),"(sin catálogo)"))</f>
        <v/>
      </c>
      <c r="AC380" s="24">
        <f>IF($H380="","",IFERROR(INDEX('CAT_ACTIVIDADES'!$B$4:$B$26,MATCH($H380,'CAT_ACTIVIDADES'!$A$4:$A$26,0)),"(sin catálogo)"))</f>
        <v/>
      </c>
      <c r="AD380" s="26">
        <f>IF($J380="","",TODAY()-$J380)</f>
        <v/>
      </c>
      <c r="AE380" s="26">
        <f>IF($J380="","",IF($J380&lt;=TODAY(),COUNTIFS(cal_fechas,"&gt;="&amp;$J380,cal_fechas,"&lt;"&amp;TODAY(),cal_habil,"sí"),-COUNTIFS(cal_fechas,"&gt;="&amp;TODAY(),cal_fechas,"&lt;"&amp;$J380,cal_habil,"sí")))</f>
        <v/>
      </c>
      <c r="AF380" s="24">
        <f>IF($AE380="","",IF($AE380&lt;0,"FUTURO",IF($AE380&gt;p_dias_backlog_max,"BACKLOG","MES CORRIENTE")))</f>
        <v/>
      </c>
      <c r="AG380" s="24">
        <f>IF($AE380="",FALSE,AND($AE380&gt;p_dias_backlog_min,$AE380&lt;=p_dias_backlog_max))</f>
        <v/>
      </c>
      <c r="AH380" s="4" t="n"/>
      <c r="AI380" s="24">
        <f>IF($AH380="","",IF((IFERROR(INDEX('ASIGNACIONES'!$J$4:$J$451,MATCH($O380&amp;"|"&amp;$S380&amp;"|"&amp;$AH380,'ASIGNACIONES'!$N$4:$N$451,0)),""))=0,"",IFERROR(INDEX('ASIGNACIONES'!$J$4:$J$451,MATCH($O380&amp;"|"&amp;$S380&amp;"|"&amp;$AH380,'ASIGNACIONES'!$N$4:$N$451,0)),"")))</f>
        <v/>
      </c>
      <c r="AJ380" s="42">
        <f>IF($AH380="","",SUMIFS('ORDENES'!$M$4:$M$1203,'ORDENES'!$AH$4:$AH$1203,$AH380,'ORDENES'!$O$4:$O$1203,$O380,'ORDENES'!$S$4:$S$1203,$S380))</f>
        <v/>
      </c>
      <c r="AK380" s="42">
        <f>IF($AJ380="","",p_factor_productividad*IFERROR(INDEX('ASIGNACIONES'!$M$4:$M$451,MATCH($O380&amp;"|"&amp;$S380&amp;"|"&amp;$AH380,'ASIGNACIONES'!$N$4:$N$451,0)),0)-$AJ380)</f>
        <v/>
      </c>
      <c r="AL380" s="32">
        <f>IF($A380="","",IFERROR(INDEX('2_IMPORTAR_EJECUCION'!$F$9:$F$1208,MATCH($AU380,'2_IMPORTAR_EJECUCION'!$J$9:$J$1208,0)),0))</f>
        <v/>
      </c>
      <c r="AM380" s="32">
        <f>IF($A380="","",MAX(0,IFERROR(INDEX('2_IMPORTAR_EJECUCION'!$H$9:$H$1208,MATCH($AU380,'2_IMPORTAR_EJECUCION'!$J$9:$J$1208,0)),0)-$AL380))</f>
        <v/>
      </c>
      <c r="AN380" s="32">
        <f>IF($A380="","",$AL380+$AM380)</f>
        <v/>
      </c>
      <c r="AO380" s="24">
        <f>IF($A380="","",IF(OR((IFERROR(INDEX('CAT_ACTIVIDADES'!$D$4:$D$26,MATCH($H380,'CAT_ACTIVIDADES'!$A$4:$A$26,0)),""))=0,(IFERROR(INDEX('CAT_ACTIVIDADES'!$D$4:$D$26,MATCH($H380,'CAT_ACTIVIDADES'!$A$4:$A$26,0)),""))=""),"SIN CLASIFICAR",IFERROR(INDEX('CAT_ACTIVIDADES'!$D$4:$D$26,MATCH($H380,'CAT_ACTIVIDADES'!$A$4:$A$26,0)),"")))</f>
        <v/>
      </c>
      <c r="AP380" s="4" t="n"/>
      <c r="AQ380" s="4" t="n"/>
      <c r="AR380" s="4" t="n"/>
      <c r="AS380" s="24">
        <f>IF($AR380="","",HYPERLINK(p_ruta_base_checklists&amp;$AR380,"abrir"))</f>
        <v/>
      </c>
      <c r="AT380" s="4" t="n"/>
      <c r="AU380" s="24">
        <f>IF($A380="","",$A380&amp;IF($B380="","0010",$B380))</f>
        <v/>
      </c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41" t="n"/>
      <c r="K381" s="5" t="n"/>
      <c r="L381" s="18" t="n"/>
      <c r="M381" s="24">
        <f>IF($A381="","",IFERROR(INDEX('AJUSTES'!$B$4:$B$303,MATCH($AU381,'AJUSTES'!$A$4:$A$303,0)),IF($K381="","",$K381)))</f>
        <v/>
      </c>
      <c r="N381" s="24">
        <f>IF($A381="","",IFERROR(INDEX('CAT_ESTADOS_ERP'!$B$4:$B$22,MATCH(IFERROR(INDEX('2_IMPORTAR_EJECUCION'!$C$9:$C$1208,MATCH($AU381,'2_IMPORTAR_EJECUCION'!$J$9:$J$1208,0)),""),'CAT_ESTADOS_ERP'!$A$4:$A$22,0)),"Pendiente"))</f>
        <v/>
      </c>
      <c r="O381" s="24">
        <f>IF($J381="","",YEAR($J381+4-WEEKDAY($J381,2))&amp;"-S"&amp;TEXT(_xlfn.ISOWEEKNUM($J381),"00"))</f>
        <v/>
      </c>
      <c r="P381" s="24">
        <f>IF($J381="","",YEAR($J381))</f>
        <v/>
      </c>
      <c r="Q381" s="24">
        <f>IF($J381="","",MONTH($J381))</f>
        <v/>
      </c>
      <c r="R381" s="24">
        <f>IF($J381="","",$P381&amp;"-"&amp;TEXT($Q381,"00"))</f>
        <v/>
      </c>
      <c r="S381" s="24">
        <f>IF($J381="","",INDEX(lista_dias,WEEKDAY($J381,2)))</f>
        <v/>
      </c>
      <c r="T381" s="24">
        <f>IF($J381="","",IFERROR(INDEX('CALENDARIO'!$C$15:$C$214,MATCH(TEXT($J381,"yyyy-mm-dd")&amp;"|"&amp;$Y381&amp;"|"&amp;$Z381,'CALENDARIO'!$G$15:$G$214,0)),IFERROR(INDEX('CALENDARIO'!$C$15:$C$214,MATCH(TEXT($J381,"yyyy-mm-dd")&amp;"|"&amp;$Y381&amp;"|",'CALENDARIO'!$G$15:$G$214,0)),IFERROR(INDEX('CALENDARIO'!$C$15:$C$214,MATCH(TEXT($J381,"yyyy-mm-dd")&amp;"||",'CALENDARIO'!$G$15:$G$214,0)),INDEX(patronHabil,WEEKDAY($J381,2))))))</f>
        <v/>
      </c>
      <c r="U381" s="24">
        <f>IF($I381="","",IFERROR(INDEX('CAT_TIPOS_OT'!$C$4:$C$23,MATCH($I381,'CAT_TIPOS_OT'!$A$4:$A$23,0)),"sin_clasificar"))</f>
        <v/>
      </c>
      <c r="V381" s="24">
        <f>IF($I381="","",IF(IFERROR(INDEX('CAT_TIPOS_OT'!$D$4:$D$23,MATCH($I381,'CAT_TIPOS_OT'!$A$4:$A$23,0)),"SIN CLASIFICAR")="","SIN CLASIFICAR",IFERROR(INDEX('CAT_TIPOS_OT'!$D$4:$D$23,MATCH($I381,'CAT_TIPOS_OT'!$A$4:$A$23,0)),"SIN CLASIFICAR")))</f>
        <v/>
      </c>
      <c r="W381" s="24">
        <f>IF($H381="","",IF(IFERROR(INDEX('CAT_ACTIVIDADES'!$F$4:$F$26,MATCH($H381,'CAT_ACTIVIDADES'!$A$4:$A$26,0)),"")=0,"",IFERROR(INDEX('CAT_ACTIVIDADES'!$F$4:$F$26,MATCH($H381,'CAT_ACTIVIDADES'!$A$4:$A$26,0)),"")))</f>
        <v/>
      </c>
      <c r="X381" s="24">
        <f>IF($F381="","",IFERROR(INDEX('CAT_CENTROS_COSTO'!$F$4:$F$28,MATCH($F381,'CAT_CENTROS_COSTO'!$A$4:$A$28,0)),"(sin catálogo)"))</f>
        <v/>
      </c>
      <c r="Y381" s="24">
        <f>IF($F381="","",IFERROR(INDEX('CAT_CENTROS_COSTO'!$D$4:$D$28,MATCH($F381,'CAT_CENTROS_COSTO'!$A$4:$A$28,0)),"(sin catálogo)"))</f>
        <v/>
      </c>
      <c r="Z381" s="24">
        <f>IF($F381="","",IF((IFERROR(INDEX('CAT_CENTROS_COSTO'!$E$4:$E$28,MATCH($F381,'CAT_CENTROS_COSTO'!$A$4:$A$28,0)),""))&lt;&gt;"",IFERROR(INDEX('CAT_CENTROS_COSTO'!$E$4:$E$28,MATCH($F381,'CAT_CENTROS_COSTO'!$A$4:$A$28,0)),""),$Y381))</f>
        <v/>
      </c>
      <c r="AA381" s="24">
        <f>IF($F381="","",IFERROR(INDEX('CAT_CENTROS_COSTO'!$G$4:$G$28,MATCH($F381,'CAT_CENTROS_COSTO'!$A$4:$A$28,0)),"(sin catálogo)"))</f>
        <v/>
      </c>
      <c r="AB381" s="24">
        <f>IF($G381="","",IFERROR(INDEX('CAT_PUESTOS'!$B$4:$B$23,MATCH($G381,'CAT_PUESTOS'!$A$4:$A$23,0)),"(sin catálogo)"))</f>
        <v/>
      </c>
      <c r="AC381" s="24">
        <f>IF($H381="","",IFERROR(INDEX('CAT_ACTIVIDADES'!$B$4:$B$26,MATCH($H381,'CAT_ACTIVIDADES'!$A$4:$A$26,0)),"(sin catálogo)"))</f>
        <v/>
      </c>
      <c r="AD381" s="26">
        <f>IF($J381="","",TODAY()-$J381)</f>
        <v/>
      </c>
      <c r="AE381" s="26">
        <f>IF($J381="","",IF($J381&lt;=TODAY(),COUNTIFS(cal_fechas,"&gt;="&amp;$J381,cal_fechas,"&lt;"&amp;TODAY(),cal_habil,"sí"),-COUNTIFS(cal_fechas,"&gt;="&amp;TODAY(),cal_fechas,"&lt;"&amp;$J381,cal_habil,"sí")))</f>
        <v/>
      </c>
      <c r="AF381" s="24">
        <f>IF($AE381="","",IF($AE381&lt;0,"FUTURO",IF($AE381&gt;p_dias_backlog_max,"BACKLOG","MES CORRIENTE")))</f>
        <v/>
      </c>
      <c r="AG381" s="24">
        <f>IF($AE381="",FALSE,AND($AE381&gt;p_dias_backlog_min,$AE381&lt;=p_dias_backlog_max))</f>
        <v/>
      </c>
      <c r="AH381" s="4" t="n"/>
      <c r="AI381" s="24">
        <f>IF($AH381="","",IF((IFERROR(INDEX('ASIGNACIONES'!$J$4:$J$451,MATCH($O381&amp;"|"&amp;$S381&amp;"|"&amp;$AH381,'ASIGNACIONES'!$N$4:$N$451,0)),""))=0,"",IFERROR(INDEX('ASIGNACIONES'!$J$4:$J$451,MATCH($O381&amp;"|"&amp;$S381&amp;"|"&amp;$AH381,'ASIGNACIONES'!$N$4:$N$451,0)),"")))</f>
        <v/>
      </c>
      <c r="AJ381" s="42">
        <f>IF($AH381="","",SUMIFS('ORDENES'!$M$4:$M$1203,'ORDENES'!$AH$4:$AH$1203,$AH381,'ORDENES'!$O$4:$O$1203,$O381,'ORDENES'!$S$4:$S$1203,$S381))</f>
        <v/>
      </c>
      <c r="AK381" s="42">
        <f>IF($AJ381="","",p_factor_productividad*IFERROR(INDEX('ASIGNACIONES'!$M$4:$M$451,MATCH($O381&amp;"|"&amp;$S381&amp;"|"&amp;$AH381,'ASIGNACIONES'!$N$4:$N$451,0)),0)-$AJ381)</f>
        <v/>
      </c>
      <c r="AL381" s="32">
        <f>IF($A381="","",IFERROR(INDEX('2_IMPORTAR_EJECUCION'!$F$9:$F$1208,MATCH($AU381,'2_IMPORTAR_EJECUCION'!$J$9:$J$1208,0)),0))</f>
        <v/>
      </c>
      <c r="AM381" s="32">
        <f>IF($A381="","",MAX(0,IFERROR(INDEX('2_IMPORTAR_EJECUCION'!$H$9:$H$1208,MATCH($AU381,'2_IMPORTAR_EJECUCION'!$J$9:$J$1208,0)),0)-$AL381))</f>
        <v/>
      </c>
      <c r="AN381" s="32">
        <f>IF($A381="","",$AL381+$AM381)</f>
        <v/>
      </c>
      <c r="AO381" s="24">
        <f>IF($A381="","",IF(OR((IFERROR(INDEX('CAT_ACTIVIDADES'!$D$4:$D$26,MATCH($H381,'CAT_ACTIVIDADES'!$A$4:$A$26,0)),""))=0,(IFERROR(INDEX('CAT_ACTIVIDADES'!$D$4:$D$26,MATCH($H381,'CAT_ACTIVIDADES'!$A$4:$A$26,0)),""))=""),"SIN CLASIFICAR",IFERROR(INDEX('CAT_ACTIVIDADES'!$D$4:$D$26,MATCH($H381,'CAT_ACTIVIDADES'!$A$4:$A$26,0)),"")))</f>
        <v/>
      </c>
      <c r="AP381" s="4" t="n"/>
      <c r="AQ381" s="4" t="n"/>
      <c r="AR381" s="4" t="n"/>
      <c r="AS381" s="24">
        <f>IF($AR381="","",HYPERLINK(p_ruta_base_checklists&amp;$AR381,"abrir"))</f>
        <v/>
      </c>
      <c r="AT381" s="4" t="n"/>
      <c r="AU381" s="24">
        <f>IF($A381="","",$A381&amp;IF($B381="","0010",$B381))</f>
        <v/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41" t="n"/>
      <c r="K382" s="5" t="n"/>
      <c r="L382" s="18" t="n"/>
      <c r="M382" s="24">
        <f>IF($A382="","",IFERROR(INDEX('AJUSTES'!$B$4:$B$303,MATCH($AU382,'AJUSTES'!$A$4:$A$303,0)),IF($K382="","",$K382)))</f>
        <v/>
      </c>
      <c r="N382" s="24">
        <f>IF($A382="","",IFERROR(INDEX('CAT_ESTADOS_ERP'!$B$4:$B$22,MATCH(IFERROR(INDEX('2_IMPORTAR_EJECUCION'!$C$9:$C$1208,MATCH($AU382,'2_IMPORTAR_EJECUCION'!$J$9:$J$1208,0)),""),'CAT_ESTADOS_ERP'!$A$4:$A$22,0)),"Pendiente"))</f>
        <v/>
      </c>
      <c r="O382" s="24">
        <f>IF($J382="","",YEAR($J382+4-WEEKDAY($J382,2))&amp;"-S"&amp;TEXT(_xlfn.ISOWEEKNUM($J382),"00"))</f>
        <v/>
      </c>
      <c r="P382" s="24">
        <f>IF($J382="","",YEAR($J382))</f>
        <v/>
      </c>
      <c r="Q382" s="24">
        <f>IF($J382="","",MONTH($J382))</f>
        <v/>
      </c>
      <c r="R382" s="24">
        <f>IF($J382="","",$P382&amp;"-"&amp;TEXT($Q382,"00"))</f>
        <v/>
      </c>
      <c r="S382" s="24">
        <f>IF($J382="","",INDEX(lista_dias,WEEKDAY($J382,2)))</f>
        <v/>
      </c>
      <c r="T382" s="24">
        <f>IF($J382="","",IFERROR(INDEX('CALENDARIO'!$C$15:$C$214,MATCH(TEXT($J382,"yyyy-mm-dd")&amp;"|"&amp;$Y382&amp;"|"&amp;$Z382,'CALENDARIO'!$G$15:$G$214,0)),IFERROR(INDEX('CALENDARIO'!$C$15:$C$214,MATCH(TEXT($J382,"yyyy-mm-dd")&amp;"|"&amp;$Y382&amp;"|",'CALENDARIO'!$G$15:$G$214,0)),IFERROR(INDEX('CALENDARIO'!$C$15:$C$214,MATCH(TEXT($J382,"yyyy-mm-dd")&amp;"||",'CALENDARIO'!$G$15:$G$214,0)),INDEX(patronHabil,WEEKDAY($J382,2))))))</f>
        <v/>
      </c>
      <c r="U382" s="24">
        <f>IF($I382="","",IFERROR(INDEX('CAT_TIPOS_OT'!$C$4:$C$23,MATCH($I382,'CAT_TIPOS_OT'!$A$4:$A$23,0)),"sin_clasificar"))</f>
        <v/>
      </c>
      <c r="V382" s="24">
        <f>IF($I382="","",IF(IFERROR(INDEX('CAT_TIPOS_OT'!$D$4:$D$23,MATCH($I382,'CAT_TIPOS_OT'!$A$4:$A$23,0)),"SIN CLASIFICAR")="","SIN CLASIFICAR",IFERROR(INDEX('CAT_TIPOS_OT'!$D$4:$D$23,MATCH($I382,'CAT_TIPOS_OT'!$A$4:$A$23,0)),"SIN CLASIFICAR")))</f>
        <v/>
      </c>
      <c r="W382" s="24">
        <f>IF($H382="","",IF(IFERROR(INDEX('CAT_ACTIVIDADES'!$F$4:$F$26,MATCH($H382,'CAT_ACTIVIDADES'!$A$4:$A$26,0)),"")=0,"",IFERROR(INDEX('CAT_ACTIVIDADES'!$F$4:$F$26,MATCH($H382,'CAT_ACTIVIDADES'!$A$4:$A$26,0)),"")))</f>
        <v/>
      </c>
      <c r="X382" s="24">
        <f>IF($F382="","",IFERROR(INDEX('CAT_CENTROS_COSTO'!$F$4:$F$28,MATCH($F382,'CAT_CENTROS_COSTO'!$A$4:$A$28,0)),"(sin catálogo)"))</f>
        <v/>
      </c>
      <c r="Y382" s="24">
        <f>IF($F382="","",IFERROR(INDEX('CAT_CENTROS_COSTO'!$D$4:$D$28,MATCH($F382,'CAT_CENTROS_COSTO'!$A$4:$A$28,0)),"(sin catálogo)"))</f>
        <v/>
      </c>
      <c r="Z382" s="24">
        <f>IF($F382="","",IF((IFERROR(INDEX('CAT_CENTROS_COSTO'!$E$4:$E$28,MATCH($F382,'CAT_CENTROS_COSTO'!$A$4:$A$28,0)),""))&lt;&gt;"",IFERROR(INDEX('CAT_CENTROS_COSTO'!$E$4:$E$28,MATCH($F382,'CAT_CENTROS_COSTO'!$A$4:$A$28,0)),""),$Y382))</f>
        <v/>
      </c>
      <c r="AA382" s="24">
        <f>IF($F382="","",IFERROR(INDEX('CAT_CENTROS_COSTO'!$G$4:$G$28,MATCH($F382,'CAT_CENTROS_COSTO'!$A$4:$A$28,0)),"(sin catálogo)"))</f>
        <v/>
      </c>
      <c r="AB382" s="24">
        <f>IF($G382="","",IFERROR(INDEX('CAT_PUESTOS'!$B$4:$B$23,MATCH($G382,'CAT_PUESTOS'!$A$4:$A$23,0)),"(sin catálogo)"))</f>
        <v/>
      </c>
      <c r="AC382" s="24">
        <f>IF($H382="","",IFERROR(INDEX('CAT_ACTIVIDADES'!$B$4:$B$26,MATCH($H382,'CAT_ACTIVIDADES'!$A$4:$A$26,0)),"(sin catálogo)"))</f>
        <v/>
      </c>
      <c r="AD382" s="26">
        <f>IF($J382="","",TODAY()-$J382)</f>
        <v/>
      </c>
      <c r="AE382" s="26">
        <f>IF($J382="","",IF($J382&lt;=TODAY(),COUNTIFS(cal_fechas,"&gt;="&amp;$J382,cal_fechas,"&lt;"&amp;TODAY(),cal_habil,"sí"),-COUNTIFS(cal_fechas,"&gt;="&amp;TODAY(),cal_fechas,"&lt;"&amp;$J382,cal_habil,"sí")))</f>
        <v/>
      </c>
      <c r="AF382" s="24">
        <f>IF($AE382="","",IF($AE382&lt;0,"FUTURO",IF($AE382&gt;p_dias_backlog_max,"BACKLOG","MES CORRIENTE")))</f>
        <v/>
      </c>
      <c r="AG382" s="24">
        <f>IF($AE382="",FALSE,AND($AE382&gt;p_dias_backlog_min,$AE382&lt;=p_dias_backlog_max))</f>
        <v/>
      </c>
      <c r="AH382" s="4" t="n"/>
      <c r="AI382" s="24">
        <f>IF($AH382="","",IF((IFERROR(INDEX('ASIGNACIONES'!$J$4:$J$451,MATCH($O382&amp;"|"&amp;$S382&amp;"|"&amp;$AH382,'ASIGNACIONES'!$N$4:$N$451,0)),""))=0,"",IFERROR(INDEX('ASIGNACIONES'!$J$4:$J$451,MATCH($O382&amp;"|"&amp;$S382&amp;"|"&amp;$AH382,'ASIGNACIONES'!$N$4:$N$451,0)),"")))</f>
        <v/>
      </c>
      <c r="AJ382" s="42">
        <f>IF($AH382="","",SUMIFS('ORDENES'!$M$4:$M$1203,'ORDENES'!$AH$4:$AH$1203,$AH382,'ORDENES'!$O$4:$O$1203,$O382,'ORDENES'!$S$4:$S$1203,$S382))</f>
        <v/>
      </c>
      <c r="AK382" s="42">
        <f>IF($AJ382="","",p_factor_productividad*IFERROR(INDEX('ASIGNACIONES'!$M$4:$M$451,MATCH($O382&amp;"|"&amp;$S382&amp;"|"&amp;$AH382,'ASIGNACIONES'!$N$4:$N$451,0)),0)-$AJ382)</f>
        <v/>
      </c>
      <c r="AL382" s="32">
        <f>IF($A382="","",IFERROR(INDEX('2_IMPORTAR_EJECUCION'!$F$9:$F$1208,MATCH($AU382,'2_IMPORTAR_EJECUCION'!$J$9:$J$1208,0)),0))</f>
        <v/>
      </c>
      <c r="AM382" s="32">
        <f>IF($A382="","",MAX(0,IFERROR(INDEX('2_IMPORTAR_EJECUCION'!$H$9:$H$1208,MATCH($AU382,'2_IMPORTAR_EJECUCION'!$J$9:$J$1208,0)),0)-$AL382))</f>
        <v/>
      </c>
      <c r="AN382" s="32">
        <f>IF($A382="","",$AL382+$AM382)</f>
        <v/>
      </c>
      <c r="AO382" s="24">
        <f>IF($A382="","",IF(OR((IFERROR(INDEX('CAT_ACTIVIDADES'!$D$4:$D$26,MATCH($H382,'CAT_ACTIVIDADES'!$A$4:$A$26,0)),""))=0,(IFERROR(INDEX('CAT_ACTIVIDADES'!$D$4:$D$26,MATCH($H382,'CAT_ACTIVIDADES'!$A$4:$A$26,0)),""))=""),"SIN CLASIFICAR",IFERROR(INDEX('CAT_ACTIVIDADES'!$D$4:$D$26,MATCH($H382,'CAT_ACTIVIDADES'!$A$4:$A$26,0)),"")))</f>
        <v/>
      </c>
      <c r="AP382" s="4" t="n"/>
      <c r="AQ382" s="4" t="n"/>
      <c r="AR382" s="4" t="n"/>
      <c r="AS382" s="24">
        <f>IF($AR382="","",HYPERLINK(p_ruta_base_checklists&amp;$AR382,"abrir"))</f>
        <v/>
      </c>
      <c r="AT382" s="4" t="n"/>
      <c r="AU382" s="24">
        <f>IF($A382="","",$A382&amp;IF($B382="","0010",$B382))</f>
        <v/>
      </c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41" t="n"/>
      <c r="K383" s="5" t="n"/>
      <c r="L383" s="18" t="n"/>
      <c r="M383" s="24">
        <f>IF($A383="","",IFERROR(INDEX('AJUSTES'!$B$4:$B$303,MATCH($AU383,'AJUSTES'!$A$4:$A$303,0)),IF($K383="","",$K383)))</f>
        <v/>
      </c>
      <c r="N383" s="24">
        <f>IF($A383="","",IFERROR(INDEX('CAT_ESTADOS_ERP'!$B$4:$B$22,MATCH(IFERROR(INDEX('2_IMPORTAR_EJECUCION'!$C$9:$C$1208,MATCH($AU383,'2_IMPORTAR_EJECUCION'!$J$9:$J$1208,0)),""),'CAT_ESTADOS_ERP'!$A$4:$A$22,0)),"Pendiente"))</f>
        <v/>
      </c>
      <c r="O383" s="24">
        <f>IF($J383="","",YEAR($J383+4-WEEKDAY($J383,2))&amp;"-S"&amp;TEXT(_xlfn.ISOWEEKNUM($J383),"00"))</f>
        <v/>
      </c>
      <c r="P383" s="24">
        <f>IF($J383="","",YEAR($J383))</f>
        <v/>
      </c>
      <c r="Q383" s="24">
        <f>IF($J383="","",MONTH($J383))</f>
        <v/>
      </c>
      <c r="R383" s="24">
        <f>IF($J383="","",$P383&amp;"-"&amp;TEXT($Q383,"00"))</f>
        <v/>
      </c>
      <c r="S383" s="24">
        <f>IF($J383="","",INDEX(lista_dias,WEEKDAY($J383,2)))</f>
        <v/>
      </c>
      <c r="T383" s="24">
        <f>IF($J383="","",IFERROR(INDEX('CALENDARIO'!$C$15:$C$214,MATCH(TEXT($J383,"yyyy-mm-dd")&amp;"|"&amp;$Y383&amp;"|"&amp;$Z383,'CALENDARIO'!$G$15:$G$214,0)),IFERROR(INDEX('CALENDARIO'!$C$15:$C$214,MATCH(TEXT($J383,"yyyy-mm-dd")&amp;"|"&amp;$Y383&amp;"|",'CALENDARIO'!$G$15:$G$214,0)),IFERROR(INDEX('CALENDARIO'!$C$15:$C$214,MATCH(TEXT($J383,"yyyy-mm-dd")&amp;"||",'CALENDARIO'!$G$15:$G$214,0)),INDEX(patronHabil,WEEKDAY($J383,2))))))</f>
        <v/>
      </c>
      <c r="U383" s="24">
        <f>IF($I383="","",IFERROR(INDEX('CAT_TIPOS_OT'!$C$4:$C$23,MATCH($I383,'CAT_TIPOS_OT'!$A$4:$A$23,0)),"sin_clasificar"))</f>
        <v/>
      </c>
      <c r="V383" s="24">
        <f>IF($I383="","",IF(IFERROR(INDEX('CAT_TIPOS_OT'!$D$4:$D$23,MATCH($I383,'CAT_TIPOS_OT'!$A$4:$A$23,0)),"SIN CLASIFICAR")="","SIN CLASIFICAR",IFERROR(INDEX('CAT_TIPOS_OT'!$D$4:$D$23,MATCH($I383,'CAT_TIPOS_OT'!$A$4:$A$23,0)),"SIN CLASIFICAR")))</f>
        <v/>
      </c>
      <c r="W383" s="24">
        <f>IF($H383="","",IF(IFERROR(INDEX('CAT_ACTIVIDADES'!$F$4:$F$26,MATCH($H383,'CAT_ACTIVIDADES'!$A$4:$A$26,0)),"")=0,"",IFERROR(INDEX('CAT_ACTIVIDADES'!$F$4:$F$26,MATCH($H383,'CAT_ACTIVIDADES'!$A$4:$A$26,0)),"")))</f>
        <v/>
      </c>
      <c r="X383" s="24">
        <f>IF($F383="","",IFERROR(INDEX('CAT_CENTROS_COSTO'!$F$4:$F$28,MATCH($F383,'CAT_CENTROS_COSTO'!$A$4:$A$28,0)),"(sin catálogo)"))</f>
        <v/>
      </c>
      <c r="Y383" s="24">
        <f>IF($F383="","",IFERROR(INDEX('CAT_CENTROS_COSTO'!$D$4:$D$28,MATCH($F383,'CAT_CENTROS_COSTO'!$A$4:$A$28,0)),"(sin catálogo)"))</f>
        <v/>
      </c>
      <c r="Z383" s="24">
        <f>IF($F383="","",IF((IFERROR(INDEX('CAT_CENTROS_COSTO'!$E$4:$E$28,MATCH($F383,'CAT_CENTROS_COSTO'!$A$4:$A$28,0)),""))&lt;&gt;"",IFERROR(INDEX('CAT_CENTROS_COSTO'!$E$4:$E$28,MATCH($F383,'CAT_CENTROS_COSTO'!$A$4:$A$28,0)),""),$Y383))</f>
        <v/>
      </c>
      <c r="AA383" s="24">
        <f>IF($F383="","",IFERROR(INDEX('CAT_CENTROS_COSTO'!$G$4:$G$28,MATCH($F383,'CAT_CENTROS_COSTO'!$A$4:$A$28,0)),"(sin catálogo)"))</f>
        <v/>
      </c>
      <c r="AB383" s="24">
        <f>IF($G383="","",IFERROR(INDEX('CAT_PUESTOS'!$B$4:$B$23,MATCH($G383,'CAT_PUESTOS'!$A$4:$A$23,0)),"(sin catálogo)"))</f>
        <v/>
      </c>
      <c r="AC383" s="24">
        <f>IF($H383="","",IFERROR(INDEX('CAT_ACTIVIDADES'!$B$4:$B$26,MATCH($H383,'CAT_ACTIVIDADES'!$A$4:$A$26,0)),"(sin catálogo)"))</f>
        <v/>
      </c>
      <c r="AD383" s="26">
        <f>IF($J383="","",TODAY()-$J383)</f>
        <v/>
      </c>
      <c r="AE383" s="26">
        <f>IF($J383="","",IF($J383&lt;=TODAY(),COUNTIFS(cal_fechas,"&gt;="&amp;$J383,cal_fechas,"&lt;"&amp;TODAY(),cal_habil,"sí"),-COUNTIFS(cal_fechas,"&gt;="&amp;TODAY(),cal_fechas,"&lt;"&amp;$J383,cal_habil,"sí")))</f>
        <v/>
      </c>
      <c r="AF383" s="24">
        <f>IF($AE383="","",IF($AE383&lt;0,"FUTURO",IF($AE383&gt;p_dias_backlog_max,"BACKLOG","MES CORRIENTE")))</f>
        <v/>
      </c>
      <c r="AG383" s="24">
        <f>IF($AE383="",FALSE,AND($AE383&gt;p_dias_backlog_min,$AE383&lt;=p_dias_backlog_max))</f>
        <v/>
      </c>
      <c r="AH383" s="4" t="n"/>
      <c r="AI383" s="24">
        <f>IF($AH383="","",IF((IFERROR(INDEX('ASIGNACIONES'!$J$4:$J$451,MATCH($O383&amp;"|"&amp;$S383&amp;"|"&amp;$AH383,'ASIGNACIONES'!$N$4:$N$451,0)),""))=0,"",IFERROR(INDEX('ASIGNACIONES'!$J$4:$J$451,MATCH($O383&amp;"|"&amp;$S383&amp;"|"&amp;$AH383,'ASIGNACIONES'!$N$4:$N$451,0)),"")))</f>
        <v/>
      </c>
      <c r="AJ383" s="42">
        <f>IF($AH383="","",SUMIFS('ORDENES'!$M$4:$M$1203,'ORDENES'!$AH$4:$AH$1203,$AH383,'ORDENES'!$O$4:$O$1203,$O383,'ORDENES'!$S$4:$S$1203,$S383))</f>
        <v/>
      </c>
      <c r="AK383" s="42">
        <f>IF($AJ383="","",p_factor_productividad*IFERROR(INDEX('ASIGNACIONES'!$M$4:$M$451,MATCH($O383&amp;"|"&amp;$S383&amp;"|"&amp;$AH383,'ASIGNACIONES'!$N$4:$N$451,0)),0)-$AJ383)</f>
        <v/>
      </c>
      <c r="AL383" s="32">
        <f>IF($A383="","",IFERROR(INDEX('2_IMPORTAR_EJECUCION'!$F$9:$F$1208,MATCH($AU383,'2_IMPORTAR_EJECUCION'!$J$9:$J$1208,0)),0))</f>
        <v/>
      </c>
      <c r="AM383" s="32">
        <f>IF($A383="","",MAX(0,IFERROR(INDEX('2_IMPORTAR_EJECUCION'!$H$9:$H$1208,MATCH($AU383,'2_IMPORTAR_EJECUCION'!$J$9:$J$1208,0)),0)-$AL383))</f>
        <v/>
      </c>
      <c r="AN383" s="32">
        <f>IF($A383="","",$AL383+$AM383)</f>
        <v/>
      </c>
      <c r="AO383" s="24">
        <f>IF($A383="","",IF(OR((IFERROR(INDEX('CAT_ACTIVIDADES'!$D$4:$D$26,MATCH($H383,'CAT_ACTIVIDADES'!$A$4:$A$26,0)),""))=0,(IFERROR(INDEX('CAT_ACTIVIDADES'!$D$4:$D$26,MATCH($H383,'CAT_ACTIVIDADES'!$A$4:$A$26,0)),""))=""),"SIN CLASIFICAR",IFERROR(INDEX('CAT_ACTIVIDADES'!$D$4:$D$26,MATCH($H383,'CAT_ACTIVIDADES'!$A$4:$A$26,0)),"")))</f>
        <v/>
      </c>
      <c r="AP383" s="4" t="n"/>
      <c r="AQ383" s="4" t="n"/>
      <c r="AR383" s="4" t="n"/>
      <c r="AS383" s="24">
        <f>IF($AR383="","",HYPERLINK(p_ruta_base_checklists&amp;$AR383,"abrir"))</f>
        <v/>
      </c>
      <c r="AT383" s="4" t="n"/>
      <c r="AU383" s="24">
        <f>IF($A383="","",$A383&amp;IF($B383="","0010",$B383))</f>
        <v/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41" t="n"/>
      <c r="K384" s="5" t="n"/>
      <c r="L384" s="18" t="n"/>
      <c r="M384" s="24">
        <f>IF($A384="","",IFERROR(INDEX('AJUSTES'!$B$4:$B$303,MATCH($AU384,'AJUSTES'!$A$4:$A$303,0)),IF($K384="","",$K384)))</f>
        <v/>
      </c>
      <c r="N384" s="24">
        <f>IF($A384="","",IFERROR(INDEX('CAT_ESTADOS_ERP'!$B$4:$B$22,MATCH(IFERROR(INDEX('2_IMPORTAR_EJECUCION'!$C$9:$C$1208,MATCH($AU384,'2_IMPORTAR_EJECUCION'!$J$9:$J$1208,0)),""),'CAT_ESTADOS_ERP'!$A$4:$A$22,0)),"Pendiente"))</f>
        <v/>
      </c>
      <c r="O384" s="24">
        <f>IF($J384="","",YEAR($J384+4-WEEKDAY($J384,2))&amp;"-S"&amp;TEXT(_xlfn.ISOWEEKNUM($J384),"00"))</f>
        <v/>
      </c>
      <c r="P384" s="24">
        <f>IF($J384="","",YEAR($J384))</f>
        <v/>
      </c>
      <c r="Q384" s="24">
        <f>IF($J384="","",MONTH($J384))</f>
        <v/>
      </c>
      <c r="R384" s="24">
        <f>IF($J384="","",$P384&amp;"-"&amp;TEXT($Q384,"00"))</f>
        <v/>
      </c>
      <c r="S384" s="24">
        <f>IF($J384="","",INDEX(lista_dias,WEEKDAY($J384,2)))</f>
        <v/>
      </c>
      <c r="T384" s="24">
        <f>IF($J384="","",IFERROR(INDEX('CALENDARIO'!$C$15:$C$214,MATCH(TEXT($J384,"yyyy-mm-dd")&amp;"|"&amp;$Y384&amp;"|"&amp;$Z384,'CALENDARIO'!$G$15:$G$214,0)),IFERROR(INDEX('CALENDARIO'!$C$15:$C$214,MATCH(TEXT($J384,"yyyy-mm-dd")&amp;"|"&amp;$Y384&amp;"|",'CALENDARIO'!$G$15:$G$214,0)),IFERROR(INDEX('CALENDARIO'!$C$15:$C$214,MATCH(TEXT($J384,"yyyy-mm-dd")&amp;"||",'CALENDARIO'!$G$15:$G$214,0)),INDEX(patronHabil,WEEKDAY($J384,2))))))</f>
        <v/>
      </c>
      <c r="U384" s="24">
        <f>IF($I384="","",IFERROR(INDEX('CAT_TIPOS_OT'!$C$4:$C$23,MATCH($I384,'CAT_TIPOS_OT'!$A$4:$A$23,0)),"sin_clasificar"))</f>
        <v/>
      </c>
      <c r="V384" s="24">
        <f>IF($I384="","",IF(IFERROR(INDEX('CAT_TIPOS_OT'!$D$4:$D$23,MATCH($I384,'CAT_TIPOS_OT'!$A$4:$A$23,0)),"SIN CLASIFICAR")="","SIN CLASIFICAR",IFERROR(INDEX('CAT_TIPOS_OT'!$D$4:$D$23,MATCH($I384,'CAT_TIPOS_OT'!$A$4:$A$23,0)),"SIN CLASIFICAR")))</f>
        <v/>
      </c>
      <c r="W384" s="24">
        <f>IF($H384="","",IF(IFERROR(INDEX('CAT_ACTIVIDADES'!$F$4:$F$26,MATCH($H384,'CAT_ACTIVIDADES'!$A$4:$A$26,0)),"")=0,"",IFERROR(INDEX('CAT_ACTIVIDADES'!$F$4:$F$26,MATCH($H384,'CAT_ACTIVIDADES'!$A$4:$A$26,0)),"")))</f>
        <v/>
      </c>
      <c r="X384" s="24">
        <f>IF($F384="","",IFERROR(INDEX('CAT_CENTROS_COSTO'!$F$4:$F$28,MATCH($F384,'CAT_CENTROS_COSTO'!$A$4:$A$28,0)),"(sin catálogo)"))</f>
        <v/>
      </c>
      <c r="Y384" s="24">
        <f>IF($F384="","",IFERROR(INDEX('CAT_CENTROS_COSTO'!$D$4:$D$28,MATCH($F384,'CAT_CENTROS_COSTO'!$A$4:$A$28,0)),"(sin catálogo)"))</f>
        <v/>
      </c>
      <c r="Z384" s="24">
        <f>IF($F384="","",IF((IFERROR(INDEX('CAT_CENTROS_COSTO'!$E$4:$E$28,MATCH($F384,'CAT_CENTROS_COSTO'!$A$4:$A$28,0)),""))&lt;&gt;"",IFERROR(INDEX('CAT_CENTROS_COSTO'!$E$4:$E$28,MATCH($F384,'CAT_CENTROS_COSTO'!$A$4:$A$28,0)),""),$Y384))</f>
        <v/>
      </c>
      <c r="AA384" s="24">
        <f>IF($F384="","",IFERROR(INDEX('CAT_CENTROS_COSTO'!$G$4:$G$28,MATCH($F384,'CAT_CENTROS_COSTO'!$A$4:$A$28,0)),"(sin catálogo)"))</f>
        <v/>
      </c>
      <c r="AB384" s="24">
        <f>IF($G384="","",IFERROR(INDEX('CAT_PUESTOS'!$B$4:$B$23,MATCH($G384,'CAT_PUESTOS'!$A$4:$A$23,0)),"(sin catálogo)"))</f>
        <v/>
      </c>
      <c r="AC384" s="24">
        <f>IF($H384="","",IFERROR(INDEX('CAT_ACTIVIDADES'!$B$4:$B$26,MATCH($H384,'CAT_ACTIVIDADES'!$A$4:$A$26,0)),"(sin catálogo)"))</f>
        <v/>
      </c>
      <c r="AD384" s="26">
        <f>IF($J384="","",TODAY()-$J384)</f>
        <v/>
      </c>
      <c r="AE384" s="26">
        <f>IF($J384="","",IF($J384&lt;=TODAY(),COUNTIFS(cal_fechas,"&gt;="&amp;$J384,cal_fechas,"&lt;"&amp;TODAY(),cal_habil,"sí"),-COUNTIFS(cal_fechas,"&gt;="&amp;TODAY(),cal_fechas,"&lt;"&amp;$J384,cal_habil,"sí")))</f>
        <v/>
      </c>
      <c r="AF384" s="24">
        <f>IF($AE384="","",IF($AE384&lt;0,"FUTURO",IF($AE384&gt;p_dias_backlog_max,"BACKLOG","MES CORRIENTE")))</f>
        <v/>
      </c>
      <c r="AG384" s="24">
        <f>IF($AE384="",FALSE,AND($AE384&gt;p_dias_backlog_min,$AE384&lt;=p_dias_backlog_max))</f>
        <v/>
      </c>
      <c r="AH384" s="4" t="n"/>
      <c r="AI384" s="24">
        <f>IF($AH384="","",IF((IFERROR(INDEX('ASIGNACIONES'!$J$4:$J$451,MATCH($O384&amp;"|"&amp;$S384&amp;"|"&amp;$AH384,'ASIGNACIONES'!$N$4:$N$451,0)),""))=0,"",IFERROR(INDEX('ASIGNACIONES'!$J$4:$J$451,MATCH($O384&amp;"|"&amp;$S384&amp;"|"&amp;$AH384,'ASIGNACIONES'!$N$4:$N$451,0)),"")))</f>
        <v/>
      </c>
      <c r="AJ384" s="42">
        <f>IF($AH384="","",SUMIFS('ORDENES'!$M$4:$M$1203,'ORDENES'!$AH$4:$AH$1203,$AH384,'ORDENES'!$O$4:$O$1203,$O384,'ORDENES'!$S$4:$S$1203,$S384))</f>
        <v/>
      </c>
      <c r="AK384" s="42">
        <f>IF($AJ384="","",p_factor_productividad*IFERROR(INDEX('ASIGNACIONES'!$M$4:$M$451,MATCH($O384&amp;"|"&amp;$S384&amp;"|"&amp;$AH384,'ASIGNACIONES'!$N$4:$N$451,0)),0)-$AJ384)</f>
        <v/>
      </c>
      <c r="AL384" s="32">
        <f>IF($A384="","",IFERROR(INDEX('2_IMPORTAR_EJECUCION'!$F$9:$F$1208,MATCH($AU384,'2_IMPORTAR_EJECUCION'!$J$9:$J$1208,0)),0))</f>
        <v/>
      </c>
      <c r="AM384" s="32">
        <f>IF($A384="","",MAX(0,IFERROR(INDEX('2_IMPORTAR_EJECUCION'!$H$9:$H$1208,MATCH($AU384,'2_IMPORTAR_EJECUCION'!$J$9:$J$1208,0)),0)-$AL384))</f>
        <v/>
      </c>
      <c r="AN384" s="32">
        <f>IF($A384="","",$AL384+$AM384)</f>
        <v/>
      </c>
      <c r="AO384" s="24">
        <f>IF($A384="","",IF(OR((IFERROR(INDEX('CAT_ACTIVIDADES'!$D$4:$D$26,MATCH($H384,'CAT_ACTIVIDADES'!$A$4:$A$26,0)),""))=0,(IFERROR(INDEX('CAT_ACTIVIDADES'!$D$4:$D$26,MATCH($H384,'CAT_ACTIVIDADES'!$A$4:$A$26,0)),""))=""),"SIN CLASIFICAR",IFERROR(INDEX('CAT_ACTIVIDADES'!$D$4:$D$26,MATCH($H384,'CAT_ACTIVIDADES'!$A$4:$A$26,0)),"")))</f>
        <v/>
      </c>
      <c r="AP384" s="4" t="n"/>
      <c r="AQ384" s="4" t="n"/>
      <c r="AR384" s="4" t="n"/>
      <c r="AS384" s="24">
        <f>IF($AR384="","",HYPERLINK(p_ruta_base_checklists&amp;$AR384,"abrir"))</f>
        <v/>
      </c>
      <c r="AT384" s="4" t="n"/>
      <c r="AU384" s="24">
        <f>IF($A384="","",$A384&amp;IF($B384="","0010",$B384))</f>
        <v/>
      </c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41" t="n"/>
      <c r="K385" s="5" t="n"/>
      <c r="L385" s="18" t="n"/>
      <c r="M385" s="24">
        <f>IF($A385="","",IFERROR(INDEX('AJUSTES'!$B$4:$B$303,MATCH($AU385,'AJUSTES'!$A$4:$A$303,0)),IF($K385="","",$K385)))</f>
        <v/>
      </c>
      <c r="N385" s="24">
        <f>IF($A385="","",IFERROR(INDEX('CAT_ESTADOS_ERP'!$B$4:$B$22,MATCH(IFERROR(INDEX('2_IMPORTAR_EJECUCION'!$C$9:$C$1208,MATCH($AU385,'2_IMPORTAR_EJECUCION'!$J$9:$J$1208,0)),""),'CAT_ESTADOS_ERP'!$A$4:$A$22,0)),"Pendiente"))</f>
        <v/>
      </c>
      <c r="O385" s="24">
        <f>IF($J385="","",YEAR($J385+4-WEEKDAY($J385,2))&amp;"-S"&amp;TEXT(_xlfn.ISOWEEKNUM($J385),"00"))</f>
        <v/>
      </c>
      <c r="P385" s="24">
        <f>IF($J385="","",YEAR($J385))</f>
        <v/>
      </c>
      <c r="Q385" s="24">
        <f>IF($J385="","",MONTH($J385))</f>
        <v/>
      </c>
      <c r="R385" s="24">
        <f>IF($J385="","",$P385&amp;"-"&amp;TEXT($Q385,"00"))</f>
        <v/>
      </c>
      <c r="S385" s="24">
        <f>IF($J385="","",INDEX(lista_dias,WEEKDAY($J385,2)))</f>
        <v/>
      </c>
      <c r="T385" s="24">
        <f>IF($J385="","",IFERROR(INDEX('CALENDARIO'!$C$15:$C$214,MATCH(TEXT($J385,"yyyy-mm-dd")&amp;"|"&amp;$Y385&amp;"|"&amp;$Z385,'CALENDARIO'!$G$15:$G$214,0)),IFERROR(INDEX('CALENDARIO'!$C$15:$C$214,MATCH(TEXT($J385,"yyyy-mm-dd")&amp;"|"&amp;$Y385&amp;"|",'CALENDARIO'!$G$15:$G$214,0)),IFERROR(INDEX('CALENDARIO'!$C$15:$C$214,MATCH(TEXT($J385,"yyyy-mm-dd")&amp;"||",'CALENDARIO'!$G$15:$G$214,0)),INDEX(patronHabil,WEEKDAY($J385,2))))))</f>
        <v/>
      </c>
      <c r="U385" s="24">
        <f>IF($I385="","",IFERROR(INDEX('CAT_TIPOS_OT'!$C$4:$C$23,MATCH($I385,'CAT_TIPOS_OT'!$A$4:$A$23,0)),"sin_clasificar"))</f>
        <v/>
      </c>
      <c r="V385" s="24">
        <f>IF($I385="","",IF(IFERROR(INDEX('CAT_TIPOS_OT'!$D$4:$D$23,MATCH($I385,'CAT_TIPOS_OT'!$A$4:$A$23,0)),"SIN CLASIFICAR")="","SIN CLASIFICAR",IFERROR(INDEX('CAT_TIPOS_OT'!$D$4:$D$23,MATCH($I385,'CAT_TIPOS_OT'!$A$4:$A$23,0)),"SIN CLASIFICAR")))</f>
        <v/>
      </c>
      <c r="W385" s="24">
        <f>IF($H385="","",IF(IFERROR(INDEX('CAT_ACTIVIDADES'!$F$4:$F$26,MATCH($H385,'CAT_ACTIVIDADES'!$A$4:$A$26,0)),"")=0,"",IFERROR(INDEX('CAT_ACTIVIDADES'!$F$4:$F$26,MATCH($H385,'CAT_ACTIVIDADES'!$A$4:$A$26,0)),"")))</f>
        <v/>
      </c>
      <c r="X385" s="24">
        <f>IF($F385="","",IFERROR(INDEX('CAT_CENTROS_COSTO'!$F$4:$F$28,MATCH($F385,'CAT_CENTROS_COSTO'!$A$4:$A$28,0)),"(sin catálogo)"))</f>
        <v/>
      </c>
      <c r="Y385" s="24">
        <f>IF($F385="","",IFERROR(INDEX('CAT_CENTROS_COSTO'!$D$4:$D$28,MATCH($F385,'CAT_CENTROS_COSTO'!$A$4:$A$28,0)),"(sin catálogo)"))</f>
        <v/>
      </c>
      <c r="Z385" s="24">
        <f>IF($F385="","",IF((IFERROR(INDEX('CAT_CENTROS_COSTO'!$E$4:$E$28,MATCH($F385,'CAT_CENTROS_COSTO'!$A$4:$A$28,0)),""))&lt;&gt;"",IFERROR(INDEX('CAT_CENTROS_COSTO'!$E$4:$E$28,MATCH($F385,'CAT_CENTROS_COSTO'!$A$4:$A$28,0)),""),$Y385))</f>
        <v/>
      </c>
      <c r="AA385" s="24">
        <f>IF($F385="","",IFERROR(INDEX('CAT_CENTROS_COSTO'!$G$4:$G$28,MATCH($F385,'CAT_CENTROS_COSTO'!$A$4:$A$28,0)),"(sin catálogo)"))</f>
        <v/>
      </c>
      <c r="AB385" s="24">
        <f>IF($G385="","",IFERROR(INDEX('CAT_PUESTOS'!$B$4:$B$23,MATCH($G385,'CAT_PUESTOS'!$A$4:$A$23,0)),"(sin catálogo)"))</f>
        <v/>
      </c>
      <c r="AC385" s="24">
        <f>IF($H385="","",IFERROR(INDEX('CAT_ACTIVIDADES'!$B$4:$B$26,MATCH($H385,'CAT_ACTIVIDADES'!$A$4:$A$26,0)),"(sin catálogo)"))</f>
        <v/>
      </c>
      <c r="AD385" s="26">
        <f>IF($J385="","",TODAY()-$J385)</f>
        <v/>
      </c>
      <c r="AE385" s="26">
        <f>IF($J385="","",IF($J385&lt;=TODAY(),COUNTIFS(cal_fechas,"&gt;="&amp;$J385,cal_fechas,"&lt;"&amp;TODAY(),cal_habil,"sí"),-COUNTIFS(cal_fechas,"&gt;="&amp;TODAY(),cal_fechas,"&lt;"&amp;$J385,cal_habil,"sí")))</f>
        <v/>
      </c>
      <c r="AF385" s="24">
        <f>IF($AE385="","",IF($AE385&lt;0,"FUTURO",IF($AE385&gt;p_dias_backlog_max,"BACKLOG","MES CORRIENTE")))</f>
        <v/>
      </c>
      <c r="AG385" s="24">
        <f>IF($AE385="",FALSE,AND($AE385&gt;p_dias_backlog_min,$AE385&lt;=p_dias_backlog_max))</f>
        <v/>
      </c>
      <c r="AH385" s="4" t="n"/>
      <c r="AI385" s="24">
        <f>IF($AH385="","",IF((IFERROR(INDEX('ASIGNACIONES'!$J$4:$J$451,MATCH($O385&amp;"|"&amp;$S385&amp;"|"&amp;$AH385,'ASIGNACIONES'!$N$4:$N$451,0)),""))=0,"",IFERROR(INDEX('ASIGNACIONES'!$J$4:$J$451,MATCH($O385&amp;"|"&amp;$S385&amp;"|"&amp;$AH385,'ASIGNACIONES'!$N$4:$N$451,0)),"")))</f>
        <v/>
      </c>
      <c r="AJ385" s="42">
        <f>IF($AH385="","",SUMIFS('ORDENES'!$M$4:$M$1203,'ORDENES'!$AH$4:$AH$1203,$AH385,'ORDENES'!$O$4:$O$1203,$O385,'ORDENES'!$S$4:$S$1203,$S385))</f>
        <v/>
      </c>
      <c r="AK385" s="42">
        <f>IF($AJ385="","",p_factor_productividad*IFERROR(INDEX('ASIGNACIONES'!$M$4:$M$451,MATCH($O385&amp;"|"&amp;$S385&amp;"|"&amp;$AH385,'ASIGNACIONES'!$N$4:$N$451,0)),0)-$AJ385)</f>
        <v/>
      </c>
      <c r="AL385" s="32">
        <f>IF($A385="","",IFERROR(INDEX('2_IMPORTAR_EJECUCION'!$F$9:$F$1208,MATCH($AU385,'2_IMPORTAR_EJECUCION'!$J$9:$J$1208,0)),0))</f>
        <v/>
      </c>
      <c r="AM385" s="32">
        <f>IF($A385="","",MAX(0,IFERROR(INDEX('2_IMPORTAR_EJECUCION'!$H$9:$H$1208,MATCH($AU385,'2_IMPORTAR_EJECUCION'!$J$9:$J$1208,0)),0)-$AL385))</f>
        <v/>
      </c>
      <c r="AN385" s="32">
        <f>IF($A385="","",$AL385+$AM385)</f>
        <v/>
      </c>
      <c r="AO385" s="24">
        <f>IF($A385="","",IF(OR((IFERROR(INDEX('CAT_ACTIVIDADES'!$D$4:$D$26,MATCH($H385,'CAT_ACTIVIDADES'!$A$4:$A$26,0)),""))=0,(IFERROR(INDEX('CAT_ACTIVIDADES'!$D$4:$D$26,MATCH($H385,'CAT_ACTIVIDADES'!$A$4:$A$26,0)),""))=""),"SIN CLASIFICAR",IFERROR(INDEX('CAT_ACTIVIDADES'!$D$4:$D$26,MATCH($H385,'CAT_ACTIVIDADES'!$A$4:$A$26,0)),"")))</f>
        <v/>
      </c>
      <c r="AP385" s="4" t="n"/>
      <c r="AQ385" s="4" t="n"/>
      <c r="AR385" s="4" t="n"/>
      <c r="AS385" s="24">
        <f>IF($AR385="","",HYPERLINK(p_ruta_base_checklists&amp;$AR385,"abrir"))</f>
        <v/>
      </c>
      <c r="AT385" s="4" t="n"/>
      <c r="AU385" s="24">
        <f>IF($A385="","",$A385&amp;IF($B385="","0010",$B385))</f>
        <v/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41" t="n"/>
      <c r="K386" s="5" t="n"/>
      <c r="L386" s="18" t="n"/>
      <c r="M386" s="24">
        <f>IF($A386="","",IFERROR(INDEX('AJUSTES'!$B$4:$B$303,MATCH($AU386,'AJUSTES'!$A$4:$A$303,0)),IF($K386="","",$K386)))</f>
        <v/>
      </c>
      <c r="N386" s="24">
        <f>IF($A386="","",IFERROR(INDEX('CAT_ESTADOS_ERP'!$B$4:$B$22,MATCH(IFERROR(INDEX('2_IMPORTAR_EJECUCION'!$C$9:$C$1208,MATCH($AU386,'2_IMPORTAR_EJECUCION'!$J$9:$J$1208,0)),""),'CAT_ESTADOS_ERP'!$A$4:$A$22,0)),"Pendiente"))</f>
        <v/>
      </c>
      <c r="O386" s="24">
        <f>IF($J386="","",YEAR($J386+4-WEEKDAY($J386,2))&amp;"-S"&amp;TEXT(_xlfn.ISOWEEKNUM($J386),"00"))</f>
        <v/>
      </c>
      <c r="P386" s="24">
        <f>IF($J386="","",YEAR($J386))</f>
        <v/>
      </c>
      <c r="Q386" s="24">
        <f>IF($J386="","",MONTH($J386))</f>
        <v/>
      </c>
      <c r="R386" s="24">
        <f>IF($J386="","",$P386&amp;"-"&amp;TEXT($Q386,"00"))</f>
        <v/>
      </c>
      <c r="S386" s="24">
        <f>IF($J386="","",INDEX(lista_dias,WEEKDAY($J386,2)))</f>
        <v/>
      </c>
      <c r="T386" s="24">
        <f>IF($J386="","",IFERROR(INDEX('CALENDARIO'!$C$15:$C$214,MATCH(TEXT($J386,"yyyy-mm-dd")&amp;"|"&amp;$Y386&amp;"|"&amp;$Z386,'CALENDARIO'!$G$15:$G$214,0)),IFERROR(INDEX('CALENDARIO'!$C$15:$C$214,MATCH(TEXT($J386,"yyyy-mm-dd")&amp;"|"&amp;$Y386&amp;"|",'CALENDARIO'!$G$15:$G$214,0)),IFERROR(INDEX('CALENDARIO'!$C$15:$C$214,MATCH(TEXT($J386,"yyyy-mm-dd")&amp;"||",'CALENDARIO'!$G$15:$G$214,0)),INDEX(patronHabil,WEEKDAY($J386,2))))))</f>
        <v/>
      </c>
      <c r="U386" s="24">
        <f>IF($I386="","",IFERROR(INDEX('CAT_TIPOS_OT'!$C$4:$C$23,MATCH($I386,'CAT_TIPOS_OT'!$A$4:$A$23,0)),"sin_clasificar"))</f>
        <v/>
      </c>
      <c r="V386" s="24">
        <f>IF($I386="","",IF(IFERROR(INDEX('CAT_TIPOS_OT'!$D$4:$D$23,MATCH($I386,'CAT_TIPOS_OT'!$A$4:$A$23,0)),"SIN CLASIFICAR")="","SIN CLASIFICAR",IFERROR(INDEX('CAT_TIPOS_OT'!$D$4:$D$23,MATCH($I386,'CAT_TIPOS_OT'!$A$4:$A$23,0)),"SIN CLASIFICAR")))</f>
        <v/>
      </c>
      <c r="W386" s="24">
        <f>IF($H386="","",IF(IFERROR(INDEX('CAT_ACTIVIDADES'!$F$4:$F$26,MATCH($H386,'CAT_ACTIVIDADES'!$A$4:$A$26,0)),"")=0,"",IFERROR(INDEX('CAT_ACTIVIDADES'!$F$4:$F$26,MATCH($H386,'CAT_ACTIVIDADES'!$A$4:$A$26,0)),"")))</f>
        <v/>
      </c>
      <c r="X386" s="24">
        <f>IF($F386="","",IFERROR(INDEX('CAT_CENTROS_COSTO'!$F$4:$F$28,MATCH($F386,'CAT_CENTROS_COSTO'!$A$4:$A$28,0)),"(sin catálogo)"))</f>
        <v/>
      </c>
      <c r="Y386" s="24">
        <f>IF($F386="","",IFERROR(INDEX('CAT_CENTROS_COSTO'!$D$4:$D$28,MATCH($F386,'CAT_CENTROS_COSTO'!$A$4:$A$28,0)),"(sin catálogo)"))</f>
        <v/>
      </c>
      <c r="Z386" s="24">
        <f>IF($F386="","",IF((IFERROR(INDEX('CAT_CENTROS_COSTO'!$E$4:$E$28,MATCH($F386,'CAT_CENTROS_COSTO'!$A$4:$A$28,0)),""))&lt;&gt;"",IFERROR(INDEX('CAT_CENTROS_COSTO'!$E$4:$E$28,MATCH($F386,'CAT_CENTROS_COSTO'!$A$4:$A$28,0)),""),$Y386))</f>
        <v/>
      </c>
      <c r="AA386" s="24">
        <f>IF($F386="","",IFERROR(INDEX('CAT_CENTROS_COSTO'!$G$4:$G$28,MATCH($F386,'CAT_CENTROS_COSTO'!$A$4:$A$28,0)),"(sin catálogo)"))</f>
        <v/>
      </c>
      <c r="AB386" s="24">
        <f>IF($G386="","",IFERROR(INDEX('CAT_PUESTOS'!$B$4:$B$23,MATCH($G386,'CAT_PUESTOS'!$A$4:$A$23,0)),"(sin catálogo)"))</f>
        <v/>
      </c>
      <c r="AC386" s="24">
        <f>IF($H386="","",IFERROR(INDEX('CAT_ACTIVIDADES'!$B$4:$B$26,MATCH($H386,'CAT_ACTIVIDADES'!$A$4:$A$26,0)),"(sin catálogo)"))</f>
        <v/>
      </c>
      <c r="AD386" s="26">
        <f>IF($J386="","",TODAY()-$J386)</f>
        <v/>
      </c>
      <c r="AE386" s="26">
        <f>IF($J386="","",IF($J386&lt;=TODAY(),COUNTIFS(cal_fechas,"&gt;="&amp;$J386,cal_fechas,"&lt;"&amp;TODAY(),cal_habil,"sí"),-COUNTIFS(cal_fechas,"&gt;="&amp;TODAY(),cal_fechas,"&lt;"&amp;$J386,cal_habil,"sí")))</f>
        <v/>
      </c>
      <c r="AF386" s="24">
        <f>IF($AE386="","",IF($AE386&lt;0,"FUTURO",IF($AE386&gt;p_dias_backlog_max,"BACKLOG","MES CORRIENTE")))</f>
        <v/>
      </c>
      <c r="AG386" s="24">
        <f>IF($AE386="",FALSE,AND($AE386&gt;p_dias_backlog_min,$AE386&lt;=p_dias_backlog_max))</f>
        <v/>
      </c>
      <c r="AH386" s="4" t="n"/>
      <c r="AI386" s="24">
        <f>IF($AH386="","",IF((IFERROR(INDEX('ASIGNACIONES'!$J$4:$J$451,MATCH($O386&amp;"|"&amp;$S386&amp;"|"&amp;$AH386,'ASIGNACIONES'!$N$4:$N$451,0)),""))=0,"",IFERROR(INDEX('ASIGNACIONES'!$J$4:$J$451,MATCH($O386&amp;"|"&amp;$S386&amp;"|"&amp;$AH386,'ASIGNACIONES'!$N$4:$N$451,0)),"")))</f>
        <v/>
      </c>
      <c r="AJ386" s="42">
        <f>IF($AH386="","",SUMIFS('ORDENES'!$M$4:$M$1203,'ORDENES'!$AH$4:$AH$1203,$AH386,'ORDENES'!$O$4:$O$1203,$O386,'ORDENES'!$S$4:$S$1203,$S386))</f>
        <v/>
      </c>
      <c r="AK386" s="42">
        <f>IF($AJ386="","",p_factor_productividad*IFERROR(INDEX('ASIGNACIONES'!$M$4:$M$451,MATCH($O386&amp;"|"&amp;$S386&amp;"|"&amp;$AH386,'ASIGNACIONES'!$N$4:$N$451,0)),0)-$AJ386)</f>
        <v/>
      </c>
      <c r="AL386" s="32">
        <f>IF($A386="","",IFERROR(INDEX('2_IMPORTAR_EJECUCION'!$F$9:$F$1208,MATCH($AU386,'2_IMPORTAR_EJECUCION'!$J$9:$J$1208,0)),0))</f>
        <v/>
      </c>
      <c r="AM386" s="32">
        <f>IF($A386="","",MAX(0,IFERROR(INDEX('2_IMPORTAR_EJECUCION'!$H$9:$H$1208,MATCH($AU386,'2_IMPORTAR_EJECUCION'!$J$9:$J$1208,0)),0)-$AL386))</f>
        <v/>
      </c>
      <c r="AN386" s="32">
        <f>IF($A386="","",$AL386+$AM386)</f>
        <v/>
      </c>
      <c r="AO386" s="24">
        <f>IF($A386="","",IF(OR((IFERROR(INDEX('CAT_ACTIVIDADES'!$D$4:$D$26,MATCH($H386,'CAT_ACTIVIDADES'!$A$4:$A$26,0)),""))=0,(IFERROR(INDEX('CAT_ACTIVIDADES'!$D$4:$D$26,MATCH($H386,'CAT_ACTIVIDADES'!$A$4:$A$26,0)),""))=""),"SIN CLASIFICAR",IFERROR(INDEX('CAT_ACTIVIDADES'!$D$4:$D$26,MATCH($H386,'CAT_ACTIVIDADES'!$A$4:$A$26,0)),"")))</f>
        <v/>
      </c>
      <c r="AP386" s="4" t="n"/>
      <c r="AQ386" s="4" t="n"/>
      <c r="AR386" s="4" t="n"/>
      <c r="AS386" s="24">
        <f>IF($AR386="","",HYPERLINK(p_ruta_base_checklists&amp;$AR386,"abrir"))</f>
        <v/>
      </c>
      <c r="AT386" s="4" t="n"/>
      <c r="AU386" s="24">
        <f>IF($A386="","",$A386&amp;IF($B386="","0010",$B386))</f>
        <v/>
      </c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41" t="n"/>
      <c r="K387" s="5" t="n"/>
      <c r="L387" s="18" t="n"/>
      <c r="M387" s="24">
        <f>IF($A387="","",IFERROR(INDEX('AJUSTES'!$B$4:$B$303,MATCH($AU387,'AJUSTES'!$A$4:$A$303,0)),IF($K387="","",$K387)))</f>
        <v/>
      </c>
      <c r="N387" s="24">
        <f>IF($A387="","",IFERROR(INDEX('CAT_ESTADOS_ERP'!$B$4:$B$22,MATCH(IFERROR(INDEX('2_IMPORTAR_EJECUCION'!$C$9:$C$1208,MATCH($AU387,'2_IMPORTAR_EJECUCION'!$J$9:$J$1208,0)),""),'CAT_ESTADOS_ERP'!$A$4:$A$22,0)),"Pendiente"))</f>
        <v/>
      </c>
      <c r="O387" s="24">
        <f>IF($J387="","",YEAR($J387+4-WEEKDAY($J387,2))&amp;"-S"&amp;TEXT(_xlfn.ISOWEEKNUM($J387),"00"))</f>
        <v/>
      </c>
      <c r="P387" s="24">
        <f>IF($J387="","",YEAR($J387))</f>
        <v/>
      </c>
      <c r="Q387" s="24">
        <f>IF($J387="","",MONTH($J387))</f>
        <v/>
      </c>
      <c r="R387" s="24">
        <f>IF($J387="","",$P387&amp;"-"&amp;TEXT($Q387,"00"))</f>
        <v/>
      </c>
      <c r="S387" s="24">
        <f>IF($J387="","",INDEX(lista_dias,WEEKDAY($J387,2)))</f>
        <v/>
      </c>
      <c r="T387" s="24">
        <f>IF($J387="","",IFERROR(INDEX('CALENDARIO'!$C$15:$C$214,MATCH(TEXT($J387,"yyyy-mm-dd")&amp;"|"&amp;$Y387&amp;"|"&amp;$Z387,'CALENDARIO'!$G$15:$G$214,0)),IFERROR(INDEX('CALENDARIO'!$C$15:$C$214,MATCH(TEXT($J387,"yyyy-mm-dd")&amp;"|"&amp;$Y387&amp;"|",'CALENDARIO'!$G$15:$G$214,0)),IFERROR(INDEX('CALENDARIO'!$C$15:$C$214,MATCH(TEXT($J387,"yyyy-mm-dd")&amp;"||",'CALENDARIO'!$G$15:$G$214,0)),INDEX(patronHabil,WEEKDAY($J387,2))))))</f>
        <v/>
      </c>
      <c r="U387" s="24">
        <f>IF($I387="","",IFERROR(INDEX('CAT_TIPOS_OT'!$C$4:$C$23,MATCH($I387,'CAT_TIPOS_OT'!$A$4:$A$23,0)),"sin_clasificar"))</f>
        <v/>
      </c>
      <c r="V387" s="24">
        <f>IF($I387="","",IF(IFERROR(INDEX('CAT_TIPOS_OT'!$D$4:$D$23,MATCH($I387,'CAT_TIPOS_OT'!$A$4:$A$23,0)),"SIN CLASIFICAR")="","SIN CLASIFICAR",IFERROR(INDEX('CAT_TIPOS_OT'!$D$4:$D$23,MATCH($I387,'CAT_TIPOS_OT'!$A$4:$A$23,0)),"SIN CLASIFICAR")))</f>
        <v/>
      </c>
      <c r="W387" s="24">
        <f>IF($H387="","",IF(IFERROR(INDEX('CAT_ACTIVIDADES'!$F$4:$F$26,MATCH($H387,'CAT_ACTIVIDADES'!$A$4:$A$26,0)),"")=0,"",IFERROR(INDEX('CAT_ACTIVIDADES'!$F$4:$F$26,MATCH($H387,'CAT_ACTIVIDADES'!$A$4:$A$26,0)),"")))</f>
        <v/>
      </c>
      <c r="X387" s="24">
        <f>IF($F387="","",IFERROR(INDEX('CAT_CENTROS_COSTO'!$F$4:$F$28,MATCH($F387,'CAT_CENTROS_COSTO'!$A$4:$A$28,0)),"(sin catálogo)"))</f>
        <v/>
      </c>
      <c r="Y387" s="24">
        <f>IF($F387="","",IFERROR(INDEX('CAT_CENTROS_COSTO'!$D$4:$D$28,MATCH($F387,'CAT_CENTROS_COSTO'!$A$4:$A$28,0)),"(sin catálogo)"))</f>
        <v/>
      </c>
      <c r="Z387" s="24">
        <f>IF($F387="","",IF((IFERROR(INDEX('CAT_CENTROS_COSTO'!$E$4:$E$28,MATCH($F387,'CAT_CENTROS_COSTO'!$A$4:$A$28,0)),""))&lt;&gt;"",IFERROR(INDEX('CAT_CENTROS_COSTO'!$E$4:$E$28,MATCH($F387,'CAT_CENTROS_COSTO'!$A$4:$A$28,0)),""),$Y387))</f>
        <v/>
      </c>
      <c r="AA387" s="24">
        <f>IF($F387="","",IFERROR(INDEX('CAT_CENTROS_COSTO'!$G$4:$G$28,MATCH($F387,'CAT_CENTROS_COSTO'!$A$4:$A$28,0)),"(sin catálogo)"))</f>
        <v/>
      </c>
      <c r="AB387" s="24">
        <f>IF($G387="","",IFERROR(INDEX('CAT_PUESTOS'!$B$4:$B$23,MATCH($G387,'CAT_PUESTOS'!$A$4:$A$23,0)),"(sin catálogo)"))</f>
        <v/>
      </c>
      <c r="AC387" s="24">
        <f>IF($H387="","",IFERROR(INDEX('CAT_ACTIVIDADES'!$B$4:$B$26,MATCH($H387,'CAT_ACTIVIDADES'!$A$4:$A$26,0)),"(sin catálogo)"))</f>
        <v/>
      </c>
      <c r="AD387" s="26">
        <f>IF($J387="","",TODAY()-$J387)</f>
        <v/>
      </c>
      <c r="AE387" s="26">
        <f>IF($J387="","",IF($J387&lt;=TODAY(),COUNTIFS(cal_fechas,"&gt;="&amp;$J387,cal_fechas,"&lt;"&amp;TODAY(),cal_habil,"sí"),-COUNTIFS(cal_fechas,"&gt;="&amp;TODAY(),cal_fechas,"&lt;"&amp;$J387,cal_habil,"sí")))</f>
        <v/>
      </c>
      <c r="AF387" s="24">
        <f>IF($AE387="","",IF($AE387&lt;0,"FUTURO",IF($AE387&gt;p_dias_backlog_max,"BACKLOG","MES CORRIENTE")))</f>
        <v/>
      </c>
      <c r="AG387" s="24">
        <f>IF($AE387="",FALSE,AND($AE387&gt;p_dias_backlog_min,$AE387&lt;=p_dias_backlog_max))</f>
        <v/>
      </c>
      <c r="AH387" s="4" t="n"/>
      <c r="AI387" s="24">
        <f>IF($AH387="","",IF((IFERROR(INDEX('ASIGNACIONES'!$J$4:$J$451,MATCH($O387&amp;"|"&amp;$S387&amp;"|"&amp;$AH387,'ASIGNACIONES'!$N$4:$N$451,0)),""))=0,"",IFERROR(INDEX('ASIGNACIONES'!$J$4:$J$451,MATCH($O387&amp;"|"&amp;$S387&amp;"|"&amp;$AH387,'ASIGNACIONES'!$N$4:$N$451,0)),"")))</f>
        <v/>
      </c>
      <c r="AJ387" s="42">
        <f>IF($AH387="","",SUMIFS('ORDENES'!$M$4:$M$1203,'ORDENES'!$AH$4:$AH$1203,$AH387,'ORDENES'!$O$4:$O$1203,$O387,'ORDENES'!$S$4:$S$1203,$S387))</f>
        <v/>
      </c>
      <c r="AK387" s="42">
        <f>IF($AJ387="","",p_factor_productividad*IFERROR(INDEX('ASIGNACIONES'!$M$4:$M$451,MATCH($O387&amp;"|"&amp;$S387&amp;"|"&amp;$AH387,'ASIGNACIONES'!$N$4:$N$451,0)),0)-$AJ387)</f>
        <v/>
      </c>
      <c r="AL387" s="32">
        <f>IF($A387="","",IFERROR(INDEX('2_IMPORTAR_EJECUCION'!$F$9:$F$1208,MATCH($AU387,'2_IMPORTAR_EJECUCION'!$J$9:$J$1208,0)),0))</f>
        <v/>
      </c>
      <c r="AM387" s="32">
        <f>IF($A387="","",MAX(0,IFERROR(INDEX('2_IMPORTAR_EJECUCION'!$H$9:$H$1208,MATCH($AU387,'2_IMPORTAR_EJECUCION'!$J$9:$J$1208,0)),0)-$AL387))</f>
        <v/>
      </c>
      <c r="AN387" s="32">
        <f>IF($A387="","",$AL387+$AM387)</f>
        <v/>
      </c>
      <c r="AO387" s="24">
        <f>IF($A387="","",IF(OR((IFERROR(INDEX('CAT_ACTIVIDADES'!$D$4:$D$26,MATCH($H387,'CAT_ACTIVIDADES'!$A$4:$A$26,0)),""))=0,(IFERROR(INDEX('CAT_ACTIVIDADES'!$D$4:$D$26,MATCH($H387,'CAT_ACTIVIDADES'!$A$4:$A$26,0)),""))=""),"SIN CLASIFICAR",IFERROR(INDEX('CAT_ACTIVIDADES'!$D$4:$D$26,MATCH($H387,'CAT_ACTIVIDADES'!$A$4:$A$26,0)),"")))</f>
        <v/>
      </c>
      <c r="AP387" s="4" t="n"/>
      <c r="AQ387" s="4" t="n"/>
      <c r="AR387" s="4" t="n"/>
      <c r="AS387" s="24">
        <f>IF($AR387="","",HYPERLINK(p_ruta_base_checklists&amp;$AR387,"abrir"))</f>
        <v/>
      </c>
      <c r="AT387" s="4" t="n"/>
      <c r="AU387" s="24">
        <f>IF($A387="","",$A387&amp;IF($B387="","0010",$B387))</f>
        <v/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41" t="n"/>
      <c r="K388" s="5" t="n"/>
      <c r="L388" s="18" t="n"/>
      <c r="M388" s="24">
        <f>IF($A388="","",IFERROR(INDEX('AJUSTES'!$B$4:$B$303,MATCH($AU388,'AJUSTES'!$A$4:$A$303,0)),IF($K388="","",$K388)))</f>
        <v/>
      </c>
      <c r="N388" s="24">
        <f>IF($A388="","",IFERROR(INDEX('CAT_ESTADOS_ERP'!$B$4:$B$22,MATCH(IFERROR(INDEX('2_IMPORTAR_EJECUCION'!$C$9:$C$1208,MATCH($AU388,'2_IMPORTAR_EJECUCION'!$J$9:$J$1208,0)),""),'CAT_ESTADOS_ERP'!$A$4:$A$22,0)),"Pendiente"))</f>
        <v/>
      </c>
      <c r="O388" s="24">
        <f>IF($J388="","",YEAR($J388+4-WEEKDAY($J388,2))&amp;"-S"&amp;TEXT(_xlfn.ISOWEEKNUM($J388),"00"))</f>
        <v/>
      </c>
      <c r="P388" s="24">
        <f>IF($J388="","",YEAR($J388))</f>
        <v/>
      </c>
      <c r="Q388" s="24">
        <f>IF($J388="","",MONTH($J388))</f>
        <v/>
      </c>
      <c r="R388" s="24">
        <f>IF($J388="","",$P388&amp;"-"&amp;TEXT($Q388,"00"))</f>
        <v/>
      </c>
      <c r="S388" s="24">
        <f>IF($J388="","",INDEX(lista_dias,WEEKDAY($J388,2)))</f>
        <v/>
      </c>
      <c r="T388" s="24">
        <f>IF($J388="","",IFERROR(INDEX('CALENDARIO'!$C$15:$C$214,MATCH(TEXT($J388,"yyyy-mm-dd")&amp;"|"&amp;$Y388&amp;"|"&amp;$Z388,'CALENDARIO'!$G$15:$G$214,0)),IFERROR(INDEX('CALENDARIO'!$C$15:$C$214,MATCH(TEXT($J388,"yyyy-mm-dd")&amp;"|"&amp;$Y388&amp;"|",'CALENDARIO'!$G$15:$G$214,0)),IFERROR(INDEX('CALENDARIO'!$C$15:$C$214,MATCH(TEXT($J388,"yyyy-mm-dd")&amp;"||",'CALENDARIO'!$G$15:$G$214,0)),INDEX(patronHabil,WEEKDAY($J388,2))))))</f>
        <v/>
      </c>
      <c r="U388" s="24">
        <f>IF($I388="","",IFERROR(INDEX('CAT_TIPOS_OT'!$C$4:$C$23,MATCH($I388,'CAT_TIPOS_OT'!$A$4:$A$23,0)),"sin_clasificar"))</f>
        <v/>
      </c>
      <c r="V388" s="24">
        <f>IF($I388="","",IF(IFERROR(INDEX('CAT_TIPOS_OT'!$D$4:$D$23,MATCH($I388,'CAT_TIPOS_OT'!$A$4:$A$23,0)),"SIN CLASIFICAR")="","SIN CLASIFICAR",IFERROR(INDEX('CAT_TIPOS_OT'!$D$4:$D$23,MATCH($I388,'CAT_TIPOS_OT'!$A$4:$A$23,0)),"SIN CLASIFICAR")))</f>
        <v/>
      </c>
      <c r="W388" s="24">
        <f>IF($H388="","",IF(IFERROR(INDEX('CAT_ACTIVIDADES'!$F$4:$F$26,MATCH($H388,'CAT_ACTIVIDADES'!$A$4:$A$26,0)),"")=0,"",IFERROR(INDEX('CAT_ACTIVIDADES'!$F$4:$F$26,MATCH($H388,'CAT_ACTIVIDADES'!$A$4:$A$26,0)),"")))</f>
        <v/>
      </c>
      <c r="X388" s="24">
        <f>IF($F388="","",IFERROR(INDEX('CAT_CENTROS_COSTO'!$F$4:$F$28,MATCH($F388,'CAT_CENTROS_COSTO'!$A$4:$A$28,0)),"(sin catálogo)"))</f>
        <v/>
      </c>
      <c r="Y388" s="24">
        <f>IF($F388="","",IFERROR(INDEX('CAT_CENTROS_COSTO'!$D$4:$D$28,MATCH($F388,'CAT_CENTROS_COSTO'!$A$4:$A$28,0)),"(sin catálogo)"))</f>
        <v/>
      </c>
      <c r="Z388" s="24">
        <f>IF($F388="","",IF((IFERROR(INDEX('CAT_CENTROS_COSTO'!$E$4:$E$28,MATCH($F388,'CAT_CENTROS_COSTO'!$A$4:$A$28,0)),""))&lt;&gt;"",IFERROR(INDEX('CAT_CENTROS_COSTO'!$E$4:$E$28,MATCH($F388,'CAT_CENTROS_COSTO'!$A$4:$A$28,0)),""),$Y388))</f>
        <v/>
      </c>
      <c r="AA388" s="24">
        <f>IF($F388="","",IFERROR(INDEX('CAT_CENTROS_COSTO'!$G$4:$G$28,MATCH($F388,'CAT_CENTROS_COSTO'!$A$4:$A$28,0)),"(sin catálogo)"))</f>
        <v/>
      </c>
      <c r="AB388" s="24">
        <f>IF($G388="","",IFERROR(INDEX('CAT_PUESTOS'!$B$4:$B$23,MATCH($G388,'CAT_PUESTOS'!$A$4:$A$23,0)),"(sin catálogo)"))</f>
        <v/>
      </c>
      <c r="AC388" s="24">
        <f>IF($H388="","",IFERROR(INDEX('CAT_ACTIVIDADES'!$B$4:$B$26,MATCH($H388,'CAT_ACTIVIDADES'!$A$4:$A$26,0)),"(sin catálogo)"))</f>
        <v/>
      </c>
      <c r="AD388" s="26">
        <f>IF($J388="","",TODAY()-$J388)</f>
        <v/>
      </c>
      <c r="AE388" s="26">
        <f>IF($J388="","",IF($J388&lt;=TODAY(),COUNTIFS(cal_fechas,"&gt;="&amp;$J388,cal_fechas,"&lt;"&amp;TODAY(),cal_habil,"sí"),-COUNTIFS(cal_fechas,"&gt;="&amp;TODAY(),cal_fechas,"&lt;"&amp;$J388,cal_habil,"sí")))</f>
        <v/>
      </c>
      <c r="AF388" s="24">
        <f>IF($AE388="","",IF($AE388&lt;0,"FUTURO",IF($AE388&gt;p_dias_backlog_max,"BACKLOG","MES CORRIENTE")))</f>
        <v/>
      </c>
      <c r="AG388" s="24">
        <f>IF($AE388="",FALSE,AND($AE388&gt;p_dias_backlog_min,$AE388&lt;=p_dias_backlog_max))</f>
        <v/>
      </c>
      <c r="AH388" s="4" t="n"/>
      <c r="AI388" s="24">
        <f>IF($AH388="","",IF((IFERROR(INDEX('ASIGNACIONES'!$J$4:$J$451,MATCH($O388&amp;"|"&amp;$S388&amp;"|"&amp;$AH388,'ASIGNACIONES'!$N$4:$N$451,0)),""))=0,"",IFERROR(INDEX('ASIGNACIONES'!$J$4:$J$451,MATCH($O388&amp;"|"&amp;$S388&amp;"|"&amp;$AH388,'ASIGNACIONES'!$N$4:$N$451,0)),"")))</f>
        <v/>
      </c>
      <c r="AJ388" s="42">
        <f>IF($AH388="","",SUMIFS('ORDENES'!$M$4:$M$1203,'ORDENES'!$AH$4:$AH$1203,$AH388,'ORDENES'!$O$4:$O$1203,$O388,'ORDENES'!$S$4:$S$1203,$S388))</f>
        <v/>
      </c>
      <c r="AK388" s="42">
        <f>IF($AJ388="","",p_factor_productividad*IFERROR(INDEX('ASIGNACIONES'!$M$4:$M$451,MATCH($O388&amp;"|"&amp;$S388&amp;"|"&amp;$AH388,'ASIGNACIONES'!$N$4:$N$451,0)),0)-$AJ388)</f>
        <v/>
      </c>
      <c r="AL388" s="32">
        <f>IF($A388="","",IFERROR(INDEX('2_IMPORTAR_EJECUCION'!$F$9:$F$1208,MATCH($AU388,'2_IMPORTAR_EJECUCION'!$J$9:$J$1208,0)),0))</f>
        <v/>
      </c>
      <c r="AM388" s="32">
        <f>IF($A388="","",MAX(0,IFERROR(INDEX('2_IMPORTAR_EJECUCION'!$H$9:$H$1208,MATCH($AU388,'2_IMPORTAR_EJECUCION'!$J$9:$J$1208,0)),0)-$AL388))</f>
        <v/>
      </c>
      <c r="AN388" s="32">
        <f>IF($A388="","",$AL388+$AM388)</f>
        <v/>
      </c>
      <c r="AO388" s="24">
        <f>IF($A388="","",IF(OR((IFERROR(INDEX('CAT_ACTIVIDADES'!$D$4:$D$26,MATCH($H388,'CAT_ACTIVIDADES'!$A$4:$A$26,0)),""))=0,(IFERROR(INDEX('CAT_ACTIVIDADES'!$D$4:$D$26,MATCH($H388,'CAT_ACTIVIDADES'!$A$4:$A$26,0)),""))=""),"SIN CLASIFICAR",IFERROR(INDEX('CAT_ACTIVIDADES'!$D$4:$D$26,MATCH($H388,'CAT_ACTIVIDADES'!$A$4:$A$26,0)),"")))</f>
        <v/>
      </c>
      <c r="AP388" s="4" t="n"/>
      <c r="AQ388" s="4" t="n"/>
      <c r="AR388" s="4" t="n"/>
      <c r="AS388" s="24">
        <f>IF($AR388="","",HYPERLINK(p_ruta_base_checklists&amp;$AR388,"abrir"))</f>
        <v/>
      </c>
      <c r="AT388" s="4" t="n"/>
      <c r="AU388" s="24">
        <f>IF($A388="","",$A388&amp;IF($B388="","0010",$B388))</f>
        <v/>
      </c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41" t="n"/>
      <c r="K389" s="5" t="n"/>
      <c r="L389" s="18" t="n"/>
      <c r="M389" s="24">
        <f>IF($A389="","",IFERROR(INDEX('AJUSTES'!$B$4:$B$303,MATCH($AU389,'AJUSTES'!$A$4:$A$303,0)),IF($K389="","",$K389)))</f>
        <v/>
      </c>
      <c r="N389" s="24">
        <f>IF($A389="","",IFERROR(INDEX('CAT_ESTADOS_ERP'!$B$4:$B$22,MATCH(IFERROR(INDEX('2_IMPORTAR_EJECUCION'!$C$9:$C$1208,MATCH($AU389,'2_IMPORTAR_EJECUCION'!$J$9:$J$1208,0)),""),'CAT_ESTADOS_ERP'!$A$4:$A$22,0)),"Pendiente"))</f>
        <v/>
      </c>
      <c r="O389" s="24">
        <f>IF($J389="","",YEAR($J389+4-WEEKDAY($J389,2))&amp;"-S"&amp;TEXT(_xlfn.ISOWEEKNUM($J389),"00"))</f>
        <v/>
      </c>
      <c r="P389" s="24">
        <f>IF($J389="","",YEAR($J389))</f>
        <v/>
      </c>
      <c r="Q389" s="24">
        <f>IF($J389="","",MONTH($J389))</f>
        <v/>
      </c>
      <c r="R389" s="24">
        <f>IF($J389="","",$P389&amp;"-"&amp;TEXT($Q389,"00"))</f>
        <v/>
      </c>
      <c r="S389" s="24">
        <f>IF($J389="","",INDEX(lista_dias,WEEKDAY($J389,2)))</f>
        <v/>
      </c>
      <c r="T389" s="24">
        <f>IF($J389="","",IFERROR(INDEX('CALENDARIO'!$C$15:$C$214,MATCH(TEXT($J389,"yyyy-mm-dd")&amp;"|"&amp;$Y389&amp;"|"&amp;$Z389,'CALENDARIO'!$G$15:$G$214,0)),IFERROR(INDEX('CALENDARIO'!$C$15:$C$214,MATCH(TEXT($J389,"yyyy-mm-dd")&amp;"|"&amp;$Y389&amp;"|",'CALENDARIO'!$G$15:$G$214,0)),IFERROR(INDEX('CALENDARIO'!$C$15:$C$214,MATCH(TEXT($J389,"yyyy-mm-dd")&amp;"||",'CALENDARIO'!$G$15:$G$214,0)),INDEX(patronHabil,WEEKDAY($J389,2))))))</f>
        <v/>
      </c>
      <c r="U389" s="24">
        <f>IF($I389="","",IFERROR(INDEX('CAT_TIPOS_OT'!$C$4:$C$23,MATCH($I389,'CAT_TIPOS_OT'!$A$4:$A$23,0)),"sin_clasificar"))</f>
        <v/>
      </c>
      <c r="V389" s="24">
        <f>IF($I389="","",IF(IFERROR(INDEX('CAT_TIPOS_OT'!$D$4:$D$23,MATCH($I389,'CAT_TIPOS_OT'!$A$4:$A$23,0)),"SIN CLASIFICAR")="","SIN CLASIFICAR",IFERROR(INDEX('CAT_TIPOS_OT'!$D$4:$D$23,MATCH($I389,'CAT_TIPOS_OT'!$A$4:$A$23,0)),"SIN CLASIFICAR")))</f>
        <v/>
      </c>
      <c r="W389" s="24">
        <f>IF($H389="","",IF(IFERROR(INDEX('CAT_ACTIVIDADES'!$F$4:$F$26,MATCH($H389,'CAT_ACTIVIDADES'!$A$4:$A$26,0)),"")=0,"",IFERROR(INDEX('CAT_ACTIVIDADES'!$F$4:$F$26,MATCH($H389,'CAT_ACTIVIDADES'!$A$4:$A$26,0)),"")))</f>
        <v/>
      </c>
      <c r="X389" s="24">
        <f>IF($F389="","",IFERROR(INDEX('CAT_CENTROS_COSTO'!$F$4:$F$28,MATCH($F389,'CAT_CENTROS_COSTO'!$A$4:$A$28,0)),"(sin catálogo)"))</f>
        <v/>
      </c>
      <c r="Y389" s="24">
        <f>IF($F389="","",IFERROR(INDEX('CAT_CENTROS_COSTO'!$D$4:$D$28,MATCH($F389,'CAT_CENTROS_COSTO'!$A$4:$A$28,0)),"(sin catálogo)"))</f>
        <v/>
      </c>
      <c r="Z389" s="24">
        <f>IF($F389="","",IF((IFERROR(INDEX('CAT_CENTROS_COSTO'!$E$4:$E$28,MATCH($F389,'CAT_CENTROS_COSTO'!$A$4:$A$28,0)),""))&lt;&gt;"",IFERROR(INDEX('CAT_CENTROS_COSTO'!$E$4:$E$28,MATCH($F389,'CAT_CENTROS_COSTO'!$A$4:$A$28,0)),""),$Y389))</f>
        <v/>
      </c>
      <c r="AA389" s="24">
        <f>IF($F389="","",IFERROR(INDEX('CAT_CENTROS_COSTO'!$G$4:$G$28,MATCH($F389,'CAT_CENTROS_COSTO'!$A$4:$A$28,0)),"(sin catálogo)"))</f>
        <v/>
      </c>
      <c r="AB389" s="24">
        <f>IF($G389="","",IFERROR(INDEX('CAT_PUESTOS'!$B$4:$B$23,MATCH($G389,'CAT_PUESTOS'!$A$4:$A$23,0)),"(sin catálogo)"))</f>
        <v/>
      </c>
      <c r="AC389" s="24">
        <f>IF($H389="","",IFERROR(INDEX('CAT_ACTIVIDADES'!$B$4:$B$26,MATCH($H389,'CAT_ACTIVIDADES'!$A$4:$A$26,0)),"(sin catálogo)"))</f>
        <v/>
      </c>
      <c r="AD389" s="26">
        <f>IF($J389="","",TODAY()-$J389)</f>
        <v/>
      </c>
      <c r="AE389" s="26">
        <f>IF($J389="","",IF($J389&lt;=TODAY(),COUNTIFS(cal_fechas,"&gt;="&amp;$J389,cal_fechas,"&lt;"&amp;TODAY(),cal_habil,"sí"),-COUNTIFS(cal_fechas,"&gt;="&amp;TODAY(),cal_fechas,"&lt;"&amp;$J389,cal_habil,"sí")))</f>
        <v/>
      </c>
      <c r="AF389" s="24">
        <f>IF($AE389="","",IF($AE389&lt;0,"FUTURO",IF($AE389&gt;p_dias_backlog_max,"BACKLOG","MES CORRIENTE")))</f>
        <v/>
      </c>
      <c r="AG389" s="24">
        <f>IF($AE389="",FALSE,AND($AE389&gt;p_dias_backlog_min,$AE389&lt;=p_dias_backlog_max))</f>
        <v/>
      </c>
      <c r="AH389" s="4" t="n"/>
      <c r="AI389" s="24">
        <f>IF($AH389="","",IF((IFERROR(INDEX('ASIGNACIONES'!$J$4:$J$451,MATCH($O389&amp;"|"&amp;$S389&amp;"|"&amp;$AH389,'ASIGNACIONES'!$N$4:$N$451,0)),""))=0,"",IFERROR(INDEX('ASIGNACIONES'!$J$4:$J$451,MATCH($O389&amp;"|"&amp;$S389&amp;"|"&amp;$AH389,'ASIGNACIONES'!$N$4:$N$451,0)),"")))</f>
        <v/>
      </c>
      <c r="AJ389" s="42">
        <f>IF($AH389="","",SUMIFS('ORDENES'!$M$4:$M$1203,'ORDENES'!$AH$4:$AH$1203,$AH389,'ORDENES'!$O$4:$O$1203,$O389,'ORDENES'!$S$4:$S$1203,$S389))</f>
        <v/>
      </c>
      <c r="AK389" s="42">
        <f>IF($AJ389="","",p_factor_productividad*IFERROR(INDEX('ASIGNACIONES'!$M$4:$M$451,MATCH($O389&amp;"|"&amp;$S389&amp;"|"&amp;$AH389,'ASIGNACIONES'!$N$4:$N$451,0)),0)-$AJ389)</f>
        <v/>
      </c>
      <c r="AL389" s="32">
        <f>IF($A389="","",IFERROR(INDEX('2_IMPORTAR_EJECUCION'!$F$9:$F$1208,MATCH($AU389,'2_IMPORTAR_EJECUCION'!$J$9:$J$1208,0)),0))</f>
        <v/>
      </c>
      <c r="AM389" s="32">
        <f>IF($A389="","",MAX(0,IFERROR(INDEX('2_IMPORTAR_EJECUCION'!$H$9:$H$1208,MATCH($AU389,'2_IMPORTAR_EJECUCION'!$J$9:$J$1208,0)),0)-$AL389))</f>
        <v/>
      </c>
      <c r="AN389" s="32">
        <f>IF($A389="","",$AL389+$AM389)</f>
        <v/>
      </c>
      <c r="AO389" s="24">
        <f>IF($A389="","",IF(OR((IFERROR(INDEX('CAT_ACTIVIDADES'!$D$4:$D$26,MATCH($H389,'CAT_ACTIVIDADES'!$A$4:$A$26,0)),""))=0,(IFERROR(INDEX('CAT_ACTIVIDADES'!$D$4:$D$26,MATCH($H389,'CAT_ACTIVIDADES'!$A$4:$A$26,0)),""))=""),"SIN CLASIFICAR",IFERROR(INDEX('CAT_ACTIVIDADES'!$D$4:$D$26,MATCH($H389,'CAT_ACTIVIDADES'!$A$4:$A$26,0)),"")))</f>
        <v/>
      </c>
      <c r="AP389" s="4" t="n"/>
      <c r="AQ389" s="4" t="n"/>
      <c r="AR389" s="4" t="n"/>
      <c r="AS389" s="24">
        <f>IF($AR389="","",HYPERLINK(p_ruta_base_checklists&amp;$AR389,"abrir"))</f>
        <v/>
      </c>
      <c r="AT389" s="4" t="n"/>
      <c r="AU389" s="24">
        <f>IF($A389="","",$A389&amp;IF($B389="","0010",$B389))</f>
        <v/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41" t="n"/>
      <c r="K390" s="5" t="n"/>
      <c r="L390" s="18" t="n"/>
      <c r="M390" s="24">
        <f>IF($A390="","",IFERROR(INDEX('AJUSTES'!$B$4:$B$303,MATCH($AU390,'AJUSTES'!$A$4:$A$303,0)),IF($K390="","",$K390)))</f>
        <v/>
      </c>
      <c r="N390" s="24">
        <f>IF($A390="","",IFERROR(INDEX('CAT_ESTADOS_ERP'!$B$4:$B$22,MATCH(IFERROR(INDEX('2_IMPORTAR_EJECUCION'!$C$9:$C$1208,MATCH($AU390,'2_IMPORTAR_EJECUCION'!$J$9:$J$1208,0)),""),'CAT_ESTADOS_ERP'!$A$4:$A$22,0)),"Pendiente"))</f>
        <v/>
      </c>
      <c r="O390" s="24">
        <f>IF($J390="","",YEAR($J390+4-WEEKDAY($J390,2))&amp;"-S"&amp;TEXT(_xlfn.ISOWEEKNUM($J390),"00"))</f>
        <v/>
      </c>
      <c r="P390" s="24">
        <f>IF($J390="","",YEAR($J390))</f>
        <v/>
      </c>
      <c r="Q390" s="24">
        <f>IF($J390="","",MONTH($J390))</f>
        <v/>
      </c>
      <c r="R390" s="24">
        <f>IF($J390="","",$P390&amp;"-"&amp;TEXT($Q390,"00"))</f>
        <v/>
      </c>
      <c r="S390" s="24">
        <f>IF($J390="","",INDEX(lista_dias,WEEKDAY($J390,2)))</f>
        <v/>
      </c>
      <c r="T390" s="24">
        <f>IF($J390="","",IFERROR(INDEX('CALENDARIO'!$C$15:$C$214,MATCH(TEXT($J390,"yyyy-mm-dd")&amp;"|"&amp;$Y390&amp;"|"&amp;$Z390,'CALENDARIO'!$G$15:$G$214,0)),IFERROR(INDEX('CALENDARIO'!$C$15:$C$214,MATCH(TEXT($J390,"yyyy-mm-dd")&amp;"|"&amp;$Y390&amp;"|",'CALENDARIO'!$G$15:$G$214,0)),IFERROR(INDEX('CALENDARIO'!$C$15:$C$214,MATCH(TEXT($J390,"yyyy-mm-dd")&amp;"||",'CALENDARIO'!$G$15:$G$214,0)),INDEX(patronHabil,WEEKDAY($J390,2))))))</f>
        <v/>
      </c>
      <c r="U390" s="24">
        <f>IF($I390="","",IFERROR(INDEX('CAT_TIPOS_OT'!$C$4:$C$23,MATCH($I390,'CAT_TIPOS_OT'!$A$4:$A$23,0)),"sin_clasificar"))</f>
        <v/>
      </c>
      <c r="V390" s="24">
        <f>IF($I390="","",IF(IFERROR(INDEX('CAT_TIPOS_OT'!$D$4:$D$23,MATCH($I390,'CAT_TIPOS_OT'!$A$4:$A$23,0)),"SIN CLASIFICAR")="","SIN CLASIFICAR",IFERROR(INDEX('CAT_TIPOS_OT'!$D$4:$D$23,MATCH($I390,'CAT_TIPOS_OT'!$A$4:$A$23,0)),"SIN CLASIFICAR")))</f>
        <v/>
      </c>
      <c r="W390" s="24">
        <f>IF($H390="","",IF(IFERROR(INDEX('CAT_ACTIVIDADES'!$F$4:$F$26,MATCH($H390,'CAT_ACTIVIDADES'!$A$4:$A$26,0)),"")=0,"",IFERROR(INDEX('CAT_ACTIVIDADES'!$F$4:$F$26,MATCH($H390,'CAT_ACTIVIDADES'!$A$4:$A$26,0)),"")))</f>
        <v/>
      </c>
      <c r="X390" s="24">
        <f>IF($F390="","",IFERROR(INDEX('CAT_CENTROS_COSTO'!$F$4:$F$28,MATCH($F390,'CAT_CENTROS_COSTO'!$A$4:$A$28,0)),"(sin catálogo)"))</f>
        <v/>
      </c>
      <c r="Y390" s="24">
        <f>IF($F390="","",IFERROR(INDEX('CAT_CENTROS_COSTO'!$D$4:$D$28,MATCH($F390,'CAT_CENTROS_COSTO'!$A$4:$A$28,0)),"(sin catálogo)"))</f>
        <v/>
      </c>
      <c r="Z390" s="24">
        <f>IF($F390="","",IF((IFERROR(INDEX('CAT_CENTROS_COSTO'!$E$4:$E$28,MATCH($F390,'CAT_CENTROS_COSTO'!$A$4:$A$28,0)),""))&lt;&gt;"",IFERROR(INDEX('CAT_CENTROS_COSTO'!$E$4:$E$28,MATCH($F390,'CAT_CENTROS_COSTO'!$A$4:$A$28,0)),""),$Y390))</f>
        <v/>
      </c>
      <c r="AA390" s="24">
        <f>IF($F390="","",IFERROR(INDEX('CAT_CENTROS_COSTO'!$G$4:$G$28,MATCH($F390,'CAT_CENTROS_COSTO'!$A$4:$A$28,0)),"(sin catálogo)"))</f>
        <v/>
      </c>
      <c r="AB390" s="24">
        <f>IF($G390="","",IFERROR(INDEX('CAT_PUESTOS'!$B$4:$B$23,MATCH($G390,'CAT_PUESTOS'!$A$4:$A$23,0)),"(sin catálogo)"))</f>
        <v/>
      </c>
      <c r="AC390" s="24">
        <f>IF($H390="","",IFERROR(INDEX('CAT_ACTIVIDADES'!$B$4:$B$26,MATCH($H390,'CAT_ACTIVIDADES'!$A$4:$A$26,0)),"(sin catálogo)"))</f>
        <v/>
      </c>
      <c r="AD390" s="26">
        <f>IF($J390="","",TODAY()-$J390)</f>
        <v/>
      </c>
      <c r="AE390" s="26">
        <f>IF($J390="","",IF($J390&lt;=TODAY(),COUNTIFS(cal_fechas,"&gt;="&amp;$J390,cal_fechas,"&lt;"&amp;TODAY(),cal_habil,"sí"),-COUNTIFS(cal_fechas,"&gt;="&amp;TODAY(),cal_fechas,"&lt;"&amp;$J390,cal_habil,"sí")))</f>
        <v/>
      </c>
      <c r="AF390" s="24">
        <f>IF($AE390="","",IF($AE390&lt;0,"FUTURO",IF($AE390&gt;p_dias_backlog_max,"BACKLOG","MES CORRIENTE")))</f>
        <v/>
      </c>
      <c r="AG390" s="24">
        <f>IF($AE390="",FALSE,AND($AE390&gt;p_dias_backlog_min,$AE390&lt;=p_dias_backlog_max))</f>
        <v/>
      </c>
      <c r="AH390" s="4" t="n"/>
      <c r="AI390" s="24">
        <f>IF($AH390="","",IF((IFERROR(INDEX('ASIGNACIONES'!$J$4:$J$451,MATCH($O390&amp;"|"&amp;$S390&amp;"|"&amp;$AH390,'ASIGNACIONES'!$N$4:$N$451,0)),""))=0,"",IFERROR(INDEX('ASIGNACIONES'!$J$4:$J$451,MATCH($O390&amp;"|"&amp;$S390&amp;"|"&amp;$AH390,'ASIGNACIONES'!$N$4:$N$451,0)),"")))</f>
        <v/>
      </c>
      <c r="AJ390" s="42">
        <f>IF($AH390="","",SUMIFS('ORDENES'!$M$4:$M$1203,'ORDENES'!$AH$4:$AH$1203,$AH390,'ORDENES'!$O$4:$O$1203,$O390,'ORDENES'!$S$4:$S$1203,$S390))</f>
        <v/>
      </c>
      <c r="AK390" s="42">
        <f>IF($AJ390="","",p_factor_productividad*IFERROR(INDEX('ASIGNACIONES'!$M$4:$M$451,MATCH($O390&amp;"|"&amp;$S390&amp;"|"&amp;$AH390,'ASIGNACIONES'!$N$4:$N$451,0)),0)-$AJ390)</f>
        <v/>
      </c>
      <c r="AL390" s="32">
        <f>IF($A390="","",IFERROR(INDEX('2_IMPORTAR_EJECUCION'!$F$9:$F$1208,MATCH($AU390,'2_IMPORTAR_EJECUCION'!$J$9:$J$1208,0)),0))</f>
        <v/>
      </c>
      <c r="AM390" s="32">
        <f>IF($A390="","",MAX(0,IFERROR(INDEX('2_IMPORTAR_EJECUCION'!$H$9:$H$1208,MATCH($AU390,'2_IMPORTAR_EJECUCION'!$J$9:$J$1208,0)),0)-$AL390))</f>
        <v/>
      </c>
      <c r="AN390" s="32">
        <f>IF($A390="","",$AL390+$AM390)</f>
        <v/>
      </c>
      <c r="AO390" s="24">
        <f>IF($A390="","",IF(OR((IFERROR(INDEX('CAT_ACTIVIDADES'!$D$4:$D$26,MATCH($H390,'CAT_ACTIVIDADES'!$A$4:$A$26,0)),""))=0,(IFERROR(INDEX('CAT_ACTIVIDADES'!$D$4:$D$26,MATCH($H390,'CAT_ACTIVIDADES'!$A$4:$A$26,0)),""))=""),"SIN CLASIFICAR",IFERROR(INDEX('CAT_ACTIVIDADES'!$D$4:$D$26,MATCH($H390,'CAT_ACTIVIDADES'!$A$4:$A$26,0)),"")))</f>
        <v/>
      </c>
      <c r="AP390" s="4" t="n"/>
      <c r="AQ390" s="4" t="n"/>
      <c r="AR390" s="4" t="n"/>
      <c r="AS390" s="24">
        <f>IF($AR390="","",HYPERLINK(p_ruta_base_checklists&amp;$AR390,"abrir"))</f>
        <v/>
      </c>
      <c r="AT390" s="4" t="n"/>
      <c r="AU390" s="24">
        <f>IF($A390="","",$A390&amp;IF($B390="","0010",$B390))</f>
        <v/>
      </c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41" t="n"/>
      <c r="K391" s="5" t="n"/>
      <c r="L391" s="18" t="n"/>
      <c r="M391" s="24">
        <f>IF($A391="","",IFERROR(INDEX('AJUSTES'!$B$4:$B$303,MATCH($AU391,'AJUSTES'!$A$4:$A$303,0)),IF($K391="","",$K391)))</f>
        <v/>
      </c>
      <c r="N391" s="24">
        <f>IF($A391="","",IFERROR(INDEX('CAT_ESTADOS_ERP'!$B$4:$B$22,MATCH(IFERROR(INDEX('2_IMPORTAR_EJECUCION'!$C$9:$C$1208,MATCH($AU391,'2_IMPORTAR_EJECUCION'!$J$9:$J$1208,0)),""),'CAT_ESTADOS_ERP'!$A$4:$A$22,0)),"Pendiente"))</f>
        <v/>
      </c>
      <c r="O391" s="24">
        <f>IF($J391="","",YEAR($J391+4-WEEKDAY($J391,2))&amp;"-S"&amp;TEXT(_xlfn.ISOWEEKNUM($J391),"00"))</f>
        <v/>
      </c>
      <c r="P391" s="24">
        <f>IF($J391="","",YEAR($J391))</f>
        <v/>
      </c>
      <c r="Q391" s="24">
        <f>IF($J391="","",MONTH($J391))</f>
        <v/>
      </c>
      <c r="R391" s="24">
        <f>IF($J391="","",$P391&amp;"-"&amp;TEXT($Q391,"00"))</f>
        <v/>
      </c>
      <c r="S391" s="24">
        <f>IF($J391="","",INDEX(lista_dias,WEEKDAY($J391,2)))</f>
        <v/>
      </c>
      <c r="T391" s="24">
        <f>IF($J391="","",IFERROR(INDEX('CALENDARIO'!$C$15:$C$214,MATCH(TEXT($J391,"yyyy-mm-dd")&amp;"|"&amp;$Y391&amp;"|"&amp;$Z391,'CALENDARIO'!$G$15:$G$214,0)),IFERROR(INDEX('CALENDARIO'!$C$15:$C$214,MATCH(TEXT($J391,"yyyy-mm-dd")&amp;"|"&amp;$Y391&amp;"|",'CALENDARIO'!$G$15:$G$214,0)),IFERROR(INDEX('CALENDARIO'!$C$15:$C$214,MATCH(TEXT($J391,"yyyy-mm-dd")&amp;"||",'CALENDARIO'!$G$15:$G$214,0)),INDEX(patronHabil,WEEKDAY($J391,2))))))</f>
        <v/>
      </c>
      <c r="U391" s="24">
        <f>IF($I391="","",IFERROR(INDEX('CAT_TIPOS_OT'!$C$4:$C$23,MATCH($I391,'CAT_TIPOS_OT'!$A$4:$A$23,0)),"sin_clasificar"))</f>
        <v/>
      </c>
      <c r="V391" s="24">
        <f>IF($I391="","",IF(IFERROR(INDEX('CAT_TIPOS_OT'!$D$4:$D$23,MATCH($I391,'CAT_TIPOS_OT'!$A$4:$A$23,0)),"SIN CLASIFICAR")="","SIN CLASIFICAR",IFERROR(INDEX('CAT_TIPOS_OT'!$D$4:$D$23,MATCH($I391,'CAT_TIPOS_OT'!$A$4:$A$23,0)),"SIN CLASIFICAR")))</f>
        <v/>
      </c>
      <c r="W391" s="24">
        <f>IF($H391="","",IF(IFERROR(INDEX('CAT_ACTIVIDADES'!$F$4:$F$26,MATCH($H391,'CAT_ACTIVIDADES'!$A$4:$A$26,0)),"")=0,"",IFERROR(INDEX('CAT_ACTIVIDADES'!$F$4:$F$26,MATCH($H391,'CAT_ACTIVIDADES'!$A$4:$A$26,0)),"")))</f>
        <v/>
      </c>
      <c r="X391" s="24">
        <f>IF($F391="","",IFERROR(INDEX('CAT_CENTROS_COSTO'!$F$4:$F$28,MATCH($F391,'CAT_CENTROS_COSTO'!$A$4:$A$28,0)),"(sin catálogo)"))</f>
        <v/>
      </c>
      <c r="Y391" s="24">
        <f>IF($F391="","",IFERROR(INDEX('CAT_CENTROS_COSTO'!$D$4:$D$28,MATCH($F391,'CAT_CENTROS_COSTO'!$A$4:$A$28,0)),"(sin catálogo)"))</f>
        <v/>
      </c>
      <c r="Z391" s="24">
        <f>IF($F391="","",IF((IFERROR(INDEX('CAT_CENTROS_COSTO'!$E$4:$E$28,MATCH($F391,'CAT_CENTROS_COSTO'!$A$4:$A$28,0)),""))&lt;&gt;"",IFERROR(INDEX('CAT_CENTROS_COSTO'!$E$4:$E$28,MATCH($F391,'CAT_CENTROS_COSTO'!$A$4:$A$28,0)),""),$Y391))</f>
        <v/>
      </c>
      <c r="AA391" s="24">
        <f>IF($F391="","",IFERROR(INDEX('CAT_CENTROS_COSTO'!$G$4:$G$28,MATCH($F391,'CAT_CENTROS_COSTO'!$A$4:$A$28,0)),"(sin catálogo)"))</f>
        <v/>
      </c>
      <c r="AB391" s="24">
        <f>IF($G391="","",IFERROR(INDEX('CAT_PUESTOS'!$B$4:$B$23,MATCH($G391,'CAT_PUESTOS'!$A$4:$A$23,0)),"(sin catálogo)"))</f>
        <v/>
      </c>
      <c r="AC391" s="24">
        <f>IF($H391="","",IFERROR(INDEX('CAT_ACTIVIDADES'!$B$4:$B$26,MATCH($H391,'CAT_ACTIVIDADES'!$A$4:$A$26,0)),"(sin catálogo)"))</f>
        <v/>
      </c>
      <c r="AD391" s="26">
        <f>IF($J391="","",TODAY()-$J391)</f>
        <v/>
      </c>
      <c r="AE391" s="26">
        <f>IF($J391="","",IF($J391&lt;=TODAY(),COUNTIFS(cal_fechas,"&gt;="&amp;$J391,cal_fechas,"&lt;"&amp;TODAY(),cal_habil,"sí"),-COUNTIFS(cal_fechas,"&gt;="&amp;TODAY(),cal_fechas,"&lt;"&amp;$J391,cal_habil,"sí")))</f>
        <v/>
      </c>
      <c r="AF391" s="24">
        <f>IF($AE391="","",IF($AE391&lt;0,"FUTURO",IF($AE391&gt;p_dias_backlog_max,"BACKLOG","MES CORRIENTE")))</f>
        <v/>
      </c>
      <c r="AG391" s="24">
        <f>IF($AE391="",FALSE,AND($AE391&gt;p_dias_backlog_min,$AE391&lt;=p_dias_backlog_max))</f>
        <v/>
      </c>
      <c r="AH391" s="4" t="n"/>
      <c r="AI391" s="24">
        <f>IF($AH391="","",IF((IFERROR(INDEX('ASIGNACIONES'!$J$4:$J$451,MATCH($O391&amp;"|"&amp;$S391&amp;"|"&amp;$AH391,'ASIGNACIONES'!$N$4:$N$451,0)),""))=0,"",IFERROR(INDEX('ASIGNACIONES'!$J$4:$J$451,MATCH($O391&amp;"|"&amp;$S391&amp;"|"&amp;$AH391,'ASIGNACIONES'!$N$4:$N$451,0)),"")))</f>
        <v/>
      </c>
      <c r="AJ391" s="42">
        <f>IF($AH391="","",SUMIFS('ORDENES'!$M$4:$M$1203,'ORDENES'!$AH$4:$AH$1203,$AH391,'ORDENES'!$O$4:$O$1203,$O391,'ORDENES'!$S$4:$S$1203,$S391))</f>
        <v/>
      </c>
      <c r="AK391" s="42">
        <f>IF($AJ391="","",p_factor_productividad*IFERROR(INDEX('ASIGNACIONES'!$M$4:$M$451,MATCH($O391&amp;"|"&amp;$S391&amp;"|"&amp;$AH391,'ASIGNACIONES'!$N$4:$N$451,0)),0)-$AJ391)</f>
        <v/>
      </c>
      <c r="AL391" s="32">
        <f>IF($A391="","",IFERROR(INDEX('2_IMPORTAR_EJECUCION'!$F$9:$F$1208,MATCH($AU391,'2_IMPORTAR_EJECUCION'!$J$9:$J$1208,0)),0))</f>
        <v/>
      </c>
      <c r="AM391" s="32">
        <f>IF($A391="","",MAX(0,IFERROR(INDEX('2_IMPORTAR_EJECUCION'!$H$9:$H$1208,MATCH($AU391,'2_IMPORTAR_EJECUCION'!$J$9:$J$1208,0)),0)-$AL391))</f>
        <v/>
      </c>
      <c r="AN391" s="32">
        <f>IF($A391="","",$AL391+$AM391)</f>
        <v/>
      </c>
      <c r="AO391" s="24">
        <f>IF($A391="","",IF(OR((IFERROR(INDEX('CAT_ACTIVIDADES'!$D$4:$D$26,MATCH($H391,'CAT_ACTIVIDADES'!$A$4:$A$26,0)),""))=0,(IFERROR(INDEX('CAT_ACTIVIDADES'!$D$4:$D$26,MATCH($H391,'CAT_ACTIVIDADES'!$A$4:$A$26,0)),""))=""),"SIN CLASIFICAR",IFERROR(INDEX('CAT_ACTIVIDADES'!$D$4:$D$26,MATCH($H391,'CAT_ACTIVIDADES'!$A$4:$A$26,0)),"")))</f>
        <v/>
      </c>
      <c r="AP391" s="4" t="n"/>
      <c r="AQ391" s="4" t="n"/>
      <c r="AR391" s="4" t="n"/>
      <c r="AS391" s="24">
        <f>IF($AR391="","",HYPERLINK(p_ruta_base_checklists&amp;$AR391,"abrir"))</f>
        <v/>
      </c>
      <c r="AT391" s="4" t="n"/>
      <c r="AU391" s="24">
        <f>IF($A391="","",$A391&amp;IF($B391="","0010",$B391))</f>
        <v/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41" t="n"/>
      <c r="K392" s="5" t="n"/>
      <c r="L392" s="18" t="n"/>
      <c r="M392" s="24">
        <f>IF($A392="","",IFERROR(INDEX('AJUSTES'!$B$4:$B$303,MATCH($AU392,'AJUSTES'!$A$4:$A$303,0)),IF($K392="","",$K392)))</f>
        <v/>
      </c>
      <c r="N392" s="24">
        <f>IF($A392="","",IFERROR(INDEX('CAT_ESTADOS_ERP'!$B$4:$B$22,MATCH(IFERROR(INDEX('2_IMPORTAR_EJECUCION'!$C$9:$C$1208,MATCH($AU392,'2_IMPORTAR_EJECUCION'!$J$9:$J$1208,0)),""),'CAT_ESTADOS_ERP'!$A$4:$A$22,0)),"Pendiente"))</f>
        <v/>
      </c>
      <c r="O392" s="24">
        <f>IF($J392="","",YEAR($J392+4-WEEKDAY($J392,2))&amp;"-S"&amp;TEXT(_xlfn.ISOWEEKNUM($J392),"00"))</f>
        <v/>
      </c>
      <c r="P392" s="24">
        <f>IF($J392="","",YEAR($J392))</f>
        <v/>
      </c>
      <c r="Q392" s="24">
        <f>IF($J392="","",MONTH($J392))</f>
        <v/>
      </c>
      <c r="R392" s="24">
        <f>IF($J392="","",$P392&amp;"-"&amp;TEXT($Q392,"00"))</f>
        <v/>
      </c>
      <c r="S392" s="24">
        <f>IF($J392="","",INDEX(lista_dias,WEEKDAY($J392,2)))</f>
        <v/>
      </c>
      <c r="T392" s="24">
        <f>IF($J392="","",IFERROR(INDEX('CALENDARIO'!$C$15:$C$214,MATCH(TEXT($J392,"yyyy-mm-dd")&amp;"|"&amp;$Y392&amp;"|"&amp;$Z392,'CALENDARIO'!$G$15:$G$214,0)),IFERROR(INDEX('CALENDARIO'!$C$15:$C$214,MATCH(TEXT($J392,"yyyy-mm-dd")&amp;"|"&amp;$Y392&amp;"|",'CALENDARIO'!$G$15:$G$214,0)),IFERROR(INDEX('CALENDARIO'!$C$15:$C$214,MATCH(TEXT($J392,"yyyy-mm-dd")&amp;"||",'CALENDARIO'!$G$15:$G$214,0)),INDEX(patronHabil,WEEKDAY($J392,2))))))</f>
        <v/>
      </c>
      <c r="U392" s="24">
        <f>IF($I392="","",IFERROR(INDEX('CAT_TIPOS_OT'!$C$4:$C$23,MATCH($I392,'CAT_TIPOS_OT'!$A$4:$A$23,0)),"sin_clasificar"))</f>
        <v/>
      </c>
      <c r="V392" s="24">
        <f>IF($I392="","",IF(IFERROR(INDEX('CAT_TIPOS_OT'!$D$4:$D$23,MATCH($I392,'CAT_TIPOS_OT'!$A$4:$A$23,0)),"SIN CLASIFICAR")="","SIN CLASIFICAR",IFERROR(INDEX('CAT_TIPOS_OT'!$D$4:$D$23,MATCH($I392,'CAT_TIPOS_OT'!$A$4:$A$23,0)),"SIN CLASIFICAR")))</f>
        <v/>
      </c>
      <c r="W392" s="24">
        <f>IF($H392="","",IF(IFERROR(INDEX('CAT_ACTIVIDADES'!$F$4:$F$26,MATCH($H392,'CAT_ACTIVIDADES'!$A$4:$A$26,0)),"")=0,"",IFERROR(INDEX('CAT_ACTIVIDADES'!$F$4:$F$26,MATCH($H392,'CAT_ACTIVIDADES'!$A$4:$A$26,0)),"")))</f>
        <v/>
      </c>
      <c r="X392" s="24">
        <f>IF($F392="","",IFERROR(INDEX('CAT_CENTROS_COSTO'!$F$4:$F$28,MATCH($F392,'CAT_CENTROS_COSTO'!$A$4:$A$28,0)),"(sin catálogo)"))</f>
        <v/>
      </c>
      <c r="Y392" s="24">
        <f>IF($F392="","",IFERROR(INDEX('CAT_CENTROS_COSTO'!$D$4:$D$28,MATCH($F392,'CAT_CENTROS_COSTO'!$A$4:$A$28,0)),"(sin catálogo)"))</f>
        <v/>
      </c>
      <c r="Z392" s="24">
        <f>IF($F392="","",IF((IFERROR(INDEX('CAT_CENTROS_COSTO'!$E$4:$E$28,MATCH($F392,'CAT_CENTROS_COSTO'!$A$4:$A$28,0)),""))&lt;&gt;"",IFERROR(INDEX('CAT_CENTROS_COSTO'!$E$4:$E$28,MATCH($F392,'CAT_CENTROS_COSTO'!$A$4:$A$28,0)),""),$Y392))</f>
        <v/>
      </c>
      <c r="AA392" s="24">
        <f>IF($F392="","",IFERROR(INDEX('CAT_CENTROS_COSTO'!$G$4:$G$28,MATCH($F392,'CAT_CENTROS_COSTO'!$A$4:$A$28,0)),"(sin catálogo)"))</f>
        <v/>
      </c>
      <c r="AB392" s="24">
        <f>IF($G392="","",IFERROR(INDEX('CAT_PUESTOS'!$B$4:$B$23,MATCH($G392,'CAT_PUESTOS'!$A$4:$A$23,0)),"(sin catálogo)"))</f>
        <v/>
      </c>
      <c r="AC392" s="24">
        <f>IF($H392="","",IFERROR(INDEX('CAT_ACTIVIDADES'!$B$4:$B$26,MATCH($H392,'CAT_ACTIVIDADES'!$A$4:$A$26,0)),"(sin catálogo)"))</f>
        <v/>
      </c>
      <c r="AD392" s="26">
        <f>IF($J392="","",TODAY()-$J392)</f>
        <v/>
      </c>
      <c r="AE392" s="26">
        <f>IF($J392="","",IF($J392&lt;=TODAY(),COUNTIFS(cal_fechas,"&gt;="&amp;$J392,cal_fechas,"&lt;"&amp;TODAY(),cal_habil,"sí"),-COUNTIFS(cal_fechas,"&gt;="&amp;TODAY(),cal_fechas,"&lt;"&amp;$J392,cal_habil,"sí")))</f>
        <v/>
      </c>
      <c r="AF392" s="24">
        <f>IF($AE392="","",IF($AE392&lt;0,"FUTURO",IF($AE392&gt;p_dias_backlog_max,"BACKLOG","MES CORRIENTE")))</f>
        <v/>
      </c>
      <c r="AG392" s="24">
        <f>IF($AE392="",FALSE,AND($AE392&gt;p_dias_backlog_min,$AE392&lt;=p_dias_backlog_max))</f>
        <v/>
      </c>
      <c r="AH392" s="4" t="n"/>
      <c r="AI392" s="24">
        <f>IF($AH392="","",IF((IFERROR(INDEX('ASIGNACIONES'!$J$4:$J$451,MATCH($O392&amp;"|"&amp;$S392&amp;"|"&amp;$AH392,'ASIGNACIONES'!$N$4:$N$451,0)),""))=0,"",IFERROR(INDEX('ASIGNACIONES'!$J$4:$J$451,MATCH($O392&amp;"|"&amp;$S392&amp;"|"&amp;$AH392,'ASIGNACIONES'!$N$4:$N$451,0)),"")))</f>
        <v/>
      </c>
      <c r="AJ392" s="42">
        <f>IF($AH392="","",SUMIFS('ORDENES'!$M$4:$M$1203,'ORDENES'!$AH$4:$AH$1203,$AH392,'ORDENES'!$O$4:$O$1203,$O392,'ORDENES'!$S$4:$S$1203,$S392))</f>
        <v/>
      </c>
      <c r="AK392" s="42">
        <f>IF($AJ392="","",p_factor_productividad*IFERROR(INDEX('ASIGNACIONES'!$M$4:$M$451,MATCH($O392&amp;"|"&amp;$S392&amp;"|"&amp;$AH392,'ASIGNACIONES'!$N$4:$N$451,0)),0)-$AJ392)</f>
        <v/>
      </c>
      <c r="AL392" s="32">
        <f>IF($A392="","",IFERROR(INDEX('2_IMPORTAR_EJECUCION'!$F$9:$F$1208,MATCH($AU392,'2_IMPORTAR_EJECUCION'!$J$9:$J$1208,0)),0))</f>
        <v/>
      </c>
      <c r="AM392" s="32">
        <f>IF($A392="","",MAX(0,IFERROR(INDEX('2_IMPORTAR_EJECUCION'!$H$9:$H$1208,MATCH($AU392,'2_IMPORTAR_EJECUCION'!$J$9:$J$1208,0)),0)-$AL392))</f>
        <v/>
      </c>
      <c r="AN392" s="32">
        <f>IF($A392="","",$AL392+$AM392)</f>
        <v/>
      </c>
      <c r="AO392" s="24">
        <f>IF($A392="","",IF(OR((IFERROR(INDEX('CAT_ACTIVIDADES'!$D$4:$D$26,MATCH($H392,'CAT_ACTIVIDADES'!$A$4:$A$26,0)),""))=0,(IFERROR(INDEX('CAT_ACTIVIDADES'!$D$4:$D$26,MATCH($H392,'CAT_ACTIVIDADES'!$A$4:$A$26,0)),""))=""),"SIN CLASIFICAR",IFERROR(INDEX('CAT_ACTIVIDADES'!$D$4:$D$26,MATCH($H392,'CAT_ACTIVIDADES'!$A$4:$A$26,0)),"")))</f>
        <v/>
      </c>
      <c r="AP392" s="4" t="n"/>
      <c r="AQ392" s="4" t="n"/>
      <c r="AR392" s="4" t="n"/>
      <c r="AS392" s="24">
        <f>IF($AR392="","",HYPERLINK(p_ruta_base_checklists&amp;$AR392,"abrir"))</f>
        <v/>
      </c>
      <c r="AT392" s="4" t="n"/>
      <c r="AU392" s="24">
        <f>IF($A392="","",$A392&amp;IF($B392="","0010",$B392))</f>
        <v/>
      </c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41" t="n"/>
      <c r="K393" s="5" t="n"/>
      <c r="L393" s="18" t="n"/>
      <c r="M393" s="24">
        <f>IF($A393="","",IFERROR(INDEX('AJUSTES'!$B$4:$B$303,MATCH($AU393,'AJUSTES'!$A$4:$A$303,0)),IF($K393="","",$K393)))</f>
        <v/>
      </c>
      <c r="N393" s="24">
        <f>IF($A393="","",IFERROR(INDEX('CAT_ESTADOS_ERP'!$B$4:$B$22,MATCH(IFERROR(INDEX('2_IMPORTAR_EJECUCION'!$C$9:$C$1208,MATCH($AU393,'2_IMPORTAR_EJECUCION'!$J$9:$J$1208,0)),""),'CAT_ESTADOS_ERP'!$A$4:$A$22,0)),"Pendiente"))</f>
        <v/>
      </c>
      <c r="O393" s="24">
        <f>IF($J393="","",YEAR($J393+4-WEEKDAY($J393,2))&amp;"-S"&amp;TEXT(_xlfn.ISOWEEKNUM($J393),"00"))</f>
        <v/>
      </c>
      <c r="P393" s="24">
        <f>IF($J393="","",YEAR($J393))</f>
        <v/>
      </c>
      <c r="Q393" s="24">
        <f>IF($J393="","",MONTH($J393))</f>
        <v/>
      </c>
      <c r="R393" s="24">
        <f>IF($J393="","",$P393&amp;"-"&amp;TEXT($Q393,"00"))</f>
        <v/>
      </c>
      <c r="S393" s="24">
        <f>IF($J393="","",INDEX(lista_dias,WEEKDAY($J393,2)))</f>
        <v/>
      </c>
      <c r="T393" s="24">
        <f>IF($J393="","",IFERROR(INDEX('CALENDARIO'!$C$15:$C$214,MATCH(TEXT($J393,"yyyy-mm-dd")&amp;"|"&amp;$Y393&amp;"|"&amp;$Z393,'CALENDARIO'!$G$15:$G$214,0)),IFERROR(INDEX('CALENDARIO'!$C$15:$C$214,MATCH(TEXT($J393,"yyyy-mm-dd")&amp;"|"&amp;$Y393&amp;"|",'CALENDARIO'!$G$15:$G$214,0)),IFERROR(INDEX('CALENDARIO'!$C$15:$C$214,MATCH(TEXT($J393,"yyyy-mm-dd")&amp;"||",'CALENDARIO'!$G$15:$G$214,0)),INDEX(patronHabil,WEEKDAY($J393,2))))))</f>
        <v/>
      </c>
      <c r="U393" s="24">
        <f>IF($I393="","",IFERROR(INDEX('CAT_TIPOS_OT'!$C$4:$C$23,MATCH($I393,'CAT_TIPOS_OT'!$A$4:$A$23,0)),"sin_clasificar"))</f>
        <v/>
      </c>
      <c r="V393" s="24">
        <f>IF($I393="","",IF(IFERROR(INDEX('CAT_TIPOS_OT'!$D$4:$D$23,MATCH($I393,'CAT_TIPOS_OT'!$A$4:$A$23,0)),"SIN CLASIFICAR")="","SIN CLASIFICAR",IFERROR(INDEX('CAT_TIPOS_OT'!$D$4:$D$23,MATCH($I393,'CAT_TIPOS_OT'!$A$4:$A$23,0)),"SIN CLASIFICAR")))</f>
        <v/>
      </c>
      <c r="W393" s="24">
        <f>IF($H393="","",IF(IFERROR(INDEX('CAT_ACTIVIDADES'!$F$4:$F$26,MATCH($H393,'CAT_ACTIVIDADES'!$A$4:$A$26,0)),"")=0,"",IFERROR(INDEX('CAT_ACTIVIDADES'!$F$4:$F$26,MATCH($H393,'CAT_ACTIVIDADES'!$A$4:$A$26,0)),"")))</f>
        <v/>
      </c>
      <c r="X393" s="24">
        <f>IF($F393="","",IFERROR(INDEX('CAT_CENTROS_COSTO'!$F$4:$F$28,MATCH($F393,'CAT_CENTROS_COSTO'!$A$4:$A$28,0)),"(sin catálogo)"))</f>
        <v/>
      </c>
      <c r="Y393" s="24">
        <f>IF($F393="","",IFERROR(INDEX('CAT_CENTROS_COSTO'!$D$4:$D$28,MATCH($F393,'CAT_CENTROS_COSTO'!$A$4:$A$28,0)),"(sin catálogo)"))</f>
        <v/>
      </c>
      <c r="Z393" s="24">
        <f>IF($F393="","",IF((IFERROR(INDEX('CAT_CENTROS_COSTO'!$E$4:$E$28,MATCH($F393,'CAT_CENTROS_COSTO'!$A$4:$A$28,0)),""))&lt;&gt;"",IFERROR(INDEX('CAT_CENTROS_COSTO'!$E$4:$E$28,MATCH($F393,'CAT_CENTROS_COSTO'!$A$4:$A$28,0)),""),$Y393))</f>
        <v/>
      </c>
      <c r="AA393" s="24">
        <f>IF($F393="","",IFERROR(INDEX('CAT_CENTROS_COSTO'!$G$4:$G$28,MATCH($F393,'CAT_CENTROS_COSTO'!$A$4:$A$28,0)),"(sin catálogo)"))</f>
        <v/>
      </c>
      <c r="AB393" s="24">
        <f>IF($G393="","",IFERROR(INDEX('CAT_PUESTOS'!$B$4:$B$23,MATCH($G393,'CAT_PUESTOS'!$A$4:$A$23,0)),"(sin catálogo)"))</f>
        <v/>
      </c>
      <c r="AC393" s="24">
        <f>IF($H393="","",IFERROR(INDEX('CAT_ACTIVIDADES'!$B$4:$B$26,MATCH($H393,'CAT_ACTIVIDADES'!$A$4:$A$26,0)),"(sin catálogo)"))</f>
        <v/>
      </c>
      <c r="AD393" s="26">
        <f>IF($J393="","",TODAY()-$J393)</f>
        <v/>
      </c>
      <c r="AE393" s="26">
        <f>IF($J393="","",IF($J393&lt;=TODAY(),COUNTIFS(cal_fechas,"&gt;="&amp;$J393,cal_fechas,"&lt;"&amp;TODAY(),cal_habil,"sí"),-COUNTIFS(cal_fechas,"&gt;="&amp;TODAY(),cal_fechas,"&lt;"&amp;$J393,cal_habil,"sí")))</f>
        <v/>
      </c>
      <c r="AF393" s="24">
        <f>IF($AE393="","",IF($AE393&lt;0,"FUTURO",IF($AE393&gt;p_dias_backlog_max,"BACKLOG","MES CORRIENTE")))</f>
        <v/>
      </c>
      <c r="AG393" s="24">
        <f>IF($AE393="",FALSE,AND($AE393&gt;p_dias_backlog_min,$AE393&lt;=p_dias_backlog_max))</f>
        <v/>
      </c>
      <c r="AH393" s="4" t="n"/>
      <c r="AI393" s="24">
        <f>IF($AH393="","",IF((IFERROR(INDEX('ASIGNACIONES'!$J$4:$J$451,MATCH($O393&amp;"|"&amp;$S393&amp;"|"&amp;$AH393,'ASIGNACIONES'!$N$4:$N$451,0)),""))=0,"",IFERROR(INDEX('ASIGNACIONES'!$J$4:$J$451,MATCH($O393&amp;"|"&amp;$S393&amp;"|"&amp;$AH393,'ASIGNACIONES'!$N$4:$N$451,0)),"")))</f>
        <v/>
      </c>
      <c r="AJ393" s="42">
        <f>IF($AH393="","",SUMIFS('ORDENES'!$M$4:$M$1203,'ORDENES'!$AH$4:$AH$1203,$AH393,'ORDENES'!$O$4:$O$1203,$O393,'ORDENES'!$S$4:$S$1203,$S393))</f>
        <v/>
      </c>
      <c r="AK393" s="42">
        <f>IF($AJ393="","",p_factor_productividad*IFERROR(INDEX('ASIGNACIONES'!$M$4:$M$451,MATCH($O393&amp;"|"&amp;$S393&amp;"|"&amp;$AH393,'ASIGNACIONES'!$N$4:$N$451,0)),0)-$AJ393)</f>
        <v/>
      </c>
      <c r="AL393" s="32">
        <f>IF($A393="","",IFERROR(INDEX('2_IMPORTAR_EJECUCION'!$F$9:$F$1208,MATCH($AU393,'2_IMPORTAR_EJECUCION'!$J$9:$J$1208,0)),0))</f>
        <v/>
      </c>
      <c r="AM393" s="32">
        <f>IF($A393="","",MAX(0,IFERROR(INDEX('2_IMPORTAR_EJECUCION'!$H$9:$H$1208,MATCH($AU393,'2_IMPORTAR_EJECUCION'!$J$9:$J$1208,0)),0)-$AL393))</f>
        <v/>
      </c>
      <c r="AN393" s="32">
        <f>IF($A393="","",$AL393+$AM393)</f>
        <v/>
      </c>
      <c r="AO393" s="24">
        <f>IF($A393="","",IF(OR((IFERROR(INDEX('CAT_ACTIVIDADES'!$D$4:$D$26,MATCH($H393,'CAT_ACTIVIDADES'!$A$4:$A$26,0)),""))=0,(IFERROR(INDEX('CAT_ACTIVIDADES'!$D$4:$D$26,MATCH($H393,'CAT_ACTIVIDADES'!$A$4:$A$26,0)),""))=""),"SIN CLASIFICAR",IFERROR(INDEX('CAT_ACTIVIDADES'!$D$4:$D$26,MATCH($H393,'CAT_ACTIVIDADES'!$A$4:$A$26,0)),"")))</f>
        <v/>
      </c>
      <c r="AP393" s="4" t="n"/>
      <c r="AQ393" s="4" t="n"/>
      <c r="AR393" s="4" t="n"/>
      <c r="AS393" s="24">
        <f>IF($AR393="","",HYPERLINK(p_ruta_base_checklists&amp;$AR393,"abrir"))</f>
        <v/>
      </c>
      <c r="AT393" s="4" t="n"/>
      <c r="AU393" s="24">
        <f>IF($A393="","",$A393&amp;IF($B393="","0010",$B393))</f>
        <v/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41" t="n"/>
      <c r="K394" s="5" t="n"/>
      <c r="L394" s="18" t="n"/>
      <c r="M394" s="24">
        <f>IF($A394="","",IFERROR(INDEX('AJUSTES'!$B$4:$B$303,MATCH($AU394,'AJUSTES'!$A$4:$A$303,0)),IF($K394="","",$K394)))</f>
        <v/>
      </c>
      <c r="N394" s="24">
        <f>IF($A394="","",IFERROR(INDEX('CAT_ESTADOS_ERP'!$B$4:$B$22,MATCH(IFERROR(INDEX('2_IMPORTAR_EJECUCION'!$C$9:$C$1208,MATCH($AU394,'2_IMPORTAR_EJECUCION'!$J$9:$J$1208,0)),""),'CAT_ESTADOS_ERP'!$A$4:$A$22,0)),"Pendiente"))</f>
        <v/>
      </c>
      <c r="O394" s="24">
        <f>IF($J394="","",YEAR($J394+4-WEEKDAY($J394,2))&amp;"-S"&amp;TEXT(_xlfn.ISOWEEKNUM($J394),"00"))</f>
        <v/>
      </c>
      <c r="P394" s="24">
        <f>IF($J394="","",YEAR($J394))</f>
        <v/>
      </c>
      <c r="Q394" s="24">
        <f>IF($J394="","",MONTH($J394))</f>
        <v/>
      </c>
      <c r="R394" s="24">
        <f>IF($J394="","",$P394&amp;"-"&amp;TEXT($Q394,"00"))</f>
        <v/>
      </c>
      <c r="S394" s="24">
        <f>IF($J394="","",INDEX(lista_dias,WEEKDAY($J394,2)))</f>
        <v/>
      </c>
      <c r="T394" s="24">
        <f>IF($J394="","",IFERROR(INDEX('CALENDARIO'!$C$15:$C$214,MATCH(TEXT($J394,"yyyy-mm-dd")&amp;"|"&amp;$Y394&amp;"|"&amp;$Z394,'CALENDARIO'!$G$15:$G$214,0)),IFERROR(INDEX('CALENDARIO'!$C$15:$C$214,MATCH(TEXT($J394,"yyyy-mm-dd")&amp;"|"&amp;$Y394&amp;"|",'CALENDARIO'!$G$15:$G$214,0)),IFERROR(INDEX('CALENDARIO'!$C$15:$C$214,MATCH(TEXT($J394,"yyyy-mm-dd")&amp;"||",'CALENDARIO'!$G$15:$G$214,0)),INDEX(patronHabil,WEEKDAY($J394,2))))))</f>
        <v/>
      </c>
      <c r="U394" s="24">
        <f>IF($I394="","",IFERROR(INDEX('CAT_TIPOS_OT'!$C$4:$C$23,MATCH($I394,'CAT_TIPOS_OT'!$A$4:$A$23,0)),"sin_clasificar"))</f>
        <v/>
      </c>
      <c r="V394" s="24">
        <f>IF($I394="","",IF(IFERROR(INDEX('CAT_TIPOS_OT'!$D$4:$D$23,MATCH($I394,'CAT_TIPOS_OT'!$A$4:$A$23,0)),"SIN CLASIFICAR")="","SIN CLASIFICAR",IFERROR(INDEX('CAT_TIPOS_OT'!$D$4:$D$23,MATCH($I394,'CAT_TIPOS_OT'!$A$4:$A$23,0)),"SIN CLASIFICAR")))</f>
        <v/>
      </c>
      <c r="W394" s="24">
        <f>IF($H394="","",IF(IFERROR(INDEX('CAT_ACTIVIDADES'!$F$4:$F$26,MATCH($H394,'CAT_ACTIVIDADES'!$A$4:$A$26,0)),"")=0,"",IFERROR(INDEX('CAT_ACTIVIDADES'!$F$4:$F$26,MATCH($H394,'CAT_ACTIVIDADES'!$A$4:$A$26,0)),"")))</f>
        <v/>
      </c>
      <c r="X394" s="24">
        <f>IF($F394="","",IFERROR(INDEX('CAT_CENTROS_COSTO'!$F$4:$F$28,MATCH($F394,'CAT_CENTROS_COSTO'!$A$4:$A$28,0)),"(sin catálogo)"))</f>
        <v/>
      </c>
      <c r="Y394" s="24">
        <f>IF($F394="","",IFERROR(INDEX('CAT_CENTROS_COSTO'!$D$4:$D$28,MATCH($F394,'CAT_CENTROS_COSTO'!$A$4:$A$28,0)),"(sin catálogo)"))</f>
        <v/>
      </c>
      <c r="Z394" s="24">
        <f>IF($F394="","",IF((IFERROR(INDEX('CAT_CENTROS_COSTO'!$E$4:$E$28,MATCH($F394,'CAT_CENTROS_COSTO'!$A$4:$A$28,0)),""))&lt;&gt;"",IFERROR(INDEX('CAT_CENTROS_COSTO'!$E$4:$E$28,MATCH($F394,'CAT_CENTROS_COSTO'!$A$4:$A$28,0)),""),$Y394))</f>
        <v/>
      </c>
      <c r="AA394" s="24">
        <f>IF($F394="","",IFERROR(INDEX('CAT_CENTROS_COSTO'!$G$4:$G$28,MATCH($F394,'CAT_CENTROS_COSTO'!$A$4:$A$28,0)),"(sin catálogo)"))</f>
        <v/>
      </c>
      <c r="AB394" s="24">
        <f>IF($G394="","",IFERROR(INDEX('CAT_PUESTOS'!$B$4:$B$23,MATCH($G394,'CAT_PUESTOS'!$A$4:$A$23,0)),"(sin catálogo)"))</f>
        <v/>
      </c>
      <c r="AC394" s="24">
        <f>IF($H394="","",IFERROR(INDEX('CAT_ACTIVIDADES'!$B$4:$B$26,MATCH($H394,'CAT_ACTIVIDADES'!$A$4:$A$26,0)),"(sin catálogo)"))</f>
        <v/>
      </c>
      <c r="AD394" s="26">
        <f>IF($J394="","",TODAY()-$J394)</f>
        <v/>
      </c>
      <c r="AE394" s="26">
        <f>IF($J394="","",IF($J394&lt;=TODAY(),COUNTIFS(cal_fechas,"&gt;="&amp;$J394,cal_fechas,"&lt;"&amp;TODAY(),cal_habil,"sí"),-COUNTIFS(cal_fechas,"&gt;="&amp;TODAY(),cal_fechas,"&lt;"&amp;$J394,cal_habil,"sí")))</f>
        <v/>
      </c>
      <c r="AF394" s="24">
        <f>IF($AE394="","",IF($AE394&lt;0,"FUTURO",IF($AE394&gt;p_dias_backlog_max,"BACKLOG","MES CORRIENTE")))</f>
        <v/>
      </c>
      <c r="AG394" s="24">
        <f>IF($AE394="",FALSE,AND($AE394&gt;p_dias_backlog_min,$AE394&lt;=p_dias_backlog_max))</f>
        <v/>
      </c>
      <c r="AH394" s="4" t="n"/>
      <c r="AI394" s="24">
        <f>IF($AH394="","",IF((IFERROR(INDEX('ASIGNACIONES'!$J$4:$J$451,MATCH($O394&amp;"|"&amp;$S394&amp;"|"&amp;$AH394,'ASIGNACIONES'!$N$4:$N$451,0)),""))=0,"",IFERROR(INDEX('ASIGNACIONES'!$J$4:$J$451,MATCH($O394&amp;"|"&amp;$S394&amp;"|"&amp;$AH394,'ASIGNACIONES'!$N$4:$N$451,0)),"")))</f>
        <v/>
      </c>
      <c r="AJ394" s="42">
        <f>IF($AH394="","",SUMIFS('ORDENES'!$M$4:$M$1203,'ORDENES'!$AH$4:$AH$1203,$AH394,'ORDENES'!$O$4:$O$1203,$O394,'ORDENES'!$S$4:$S$1203,$S394))</f>
        <v/>
      </c>
      <c r="AK394" s="42">
        <f>IF($AJ394="","",p_factor_productividad*IFERROR(INDEX('ASIGNACIONES'!$M$4:$M$451,MATCH($O394&amp;"|"&amp;$S394&amp;"|"&amp;$AH394,'ASIGNACIONES'!$N$4:$N$451,0)),0)-$AJ394)</f>
        <v/>
      </c>
      <c r="AL394" s="32">
        <f>IF($A394="","",IFERROR(INDEX('2_IMPORTAR_EJECUCION'!$F$9:$F$1208,MATCH($AU394,'2_IMPORTAR_EJECUCION'!$J$9:$J$1208,0)),0))</f>
        <v/>
      </c>
      <c r="AM394" s="32">
        <f>IF($A394="","",MAX(0,IFERROR(INDEX('2_IMPORTAR_EJECUCION'!$H$9:$H$1208,MATCH($AU394,'2_IMPORTAR_EJECUCION'!$J$9:$J$1208,0)),0)-$AL394))</f>
        <v/>
      </c>
      <c r="AN394" s="32">
        <f>IF($A394="","",$AL394+$AM394)</f>
        <v/>
      </c>
      <c r="AO394" s="24">
        <f>IF($A394="","",IF(OR((IFERROR(INDEX('CAT_ACTIVIDADES'!$D$4:$D$26,MATCH($H394,'CAT_ACTIVIDADES'!$A$4:$A$26,0)),""))=0,(IFERROR(INDEX('CAT_ACTIVIDADES'!$D$4:$D$26,MATCH($H394,'CAT_ACTIVIDADES'!$A$4:$A$26,0)),""))=""),"SIN CLASIFICAR",IFERROR(INDEX('CAT_ACTIVIDADES'!$D$4:$D$26,MATCH($H394,'CAT_ACTIVIDADES'!$A$4:$A$26,0)),"")))</f>
        <v/>
      </c>
      <c r="AP394" s="4" t="n"/>
      <c r="AQ394" s="4" t="n"/>
      <c r="AR394" s="4" t="n"/>
      <c r="AS394" s="24">
        <f>IF($AR394="","",HYPERLINK(p_ruta_base_checklists&amp;$AR394,"abrir"))</f>
        <v/>
      </c>
      <c r="AT394" s="4" t="n"/>
      <c r="AU394" s="24">
        <f>IF($A394="","",$A394&amp;IF($B394="","0010",$B394))</f>
        <v/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41" t="n"/>
      <c r="K395" s="5" t="n"/>
      <c r="L395" s="18" t="n"/>
      <c r="M395" s="24">
        <f>IF($A395="","",IFERROR(INDEX('AJUSTES'!$B$4:$B$303,MATCH($AU395,'AJUSTES'!$A$4:$A$303,0)),IF($K395="","",$K395)))</f>
        <v/>
      </c>
      <c r="N395" s="24">
        <f>IF($A395="","",IFERROR(INDEX('CAT_ESTADOS_ERP'!$B$4:$B$22,MATCH(IFERROR(INDEX('2_IMPORTAR_EJECUCION'!$C$9:$C$1208,MATCH($AU395,'2_IMPORTAR_EJECUCION'!$J$9:$J$1208,0)),""),'CAT_ESTADOS_ERP'!$A$4:$A$22,0)),"Pendiente"))</f>
        <v/>
      </c>
      <c r="O395" s="24">
        <f>IF($J395="","",YEAR($J395+4-WEEKDAY($J395,2))&amp;"-S"&amp;TEXT(_xlfn.ISOWEEKNUM($J395),"00"))</f>
        <v/>
      </c>
      <c r="P395" s="24">
        <f>IF($J395="","",YEAR($J395))</f>
        <v/>
      </c>
      <c r="Q395" s="24">
        <f>IF($J395="","",MONTH($J395))</f>
        <v/>
      </c>
      <c r="R395" s="24">
        <f>IF($J395="","",$P395&amp;"-"&amp;TEXT($Q395,"00"))</f>
        <v/>
      </c>
      <c r="S395" s="24">
        <f>IF($J395="","",INDEX(lista_dias,WEEKDAY($J395,2)))</f>
        <v/>
      </c>
      <c r="T395" s="24">
        <f>IF($J395="","",IFERROR(INDEX('CALENDARIO'!$C$15:$C$214,MATCH(TEXT($J395,"yyyy-mm-dd")&amp;"|"&amp;$Y395&amp;"|"&amp;$Z395,'CALENDARIO'!$G$15:$G$214,0)),IFERROR(INDEX('CALENDARIO'!$C$15:$C$214,MATCH(TEXT($J395,"yyyy-mm-dd")&amp;"|"&amp;$Y395&amp;"|",'CALENDARIO'!$G$15:$G$214,0)),IFERROR(INDEX('CALENDARIO'!$C$15:$C$214,MATCH(TEXT($J395,"yyyy-mm-dd")&amp;"||",'CALENDARIO'!$G$15:$G$214,0)),INDEX(patronHabil,WEEKDAY($J395,2))))))</f>
        <v/>
      </c>
      <c r="U395" s="24">
        <f>IF($I395="","",IFERROR(INDEX('CAT_TIPOS_OT'!$C$4:$C$23,MATCH($I395,'CAT_TIPOS_OT'!$A$4:$A$23,0)),"sin_clasificar"))</f>
        <v/>
      </c>
      <c r="V395" s="24">
        <f>IF($I395="","",IF(IFERROR(INDEX('CAT_TIPOS_OT'!$D$4:$D$23,MATCH($I395,'CAT_TIPOS_OT'!$A$4:$A$23,0)),"SIN CLASIFICAR")="","SIN CLASIFICAR",IFERROR(INDEX('CAT_TIPOS_OT'!$D$4:$D$23,MATCH($I395,'CAT_TIPOS_OT'!$A$4:$A$23,0)),"SIN CLASIFICAR")))</f>
        <v/>
      </c>
      <c r="W395" s="24">
        <f>IF($H395="","",IF(IFERROR(INDEX('CAT_ACTIVIDADES'!$F$4:$F$26,MATCH($H395,'CAT_ACTIVIDADES'!$A$4:$A$26,0)),"")=0,"",IFERROR(INDEX('CAT_ACTIVIDADES'!$F$4:$F$26,MATCH($H395,'CAT_ACTIVIDADES'!$A$4:$A$26,0)),"")))</f>
        <v/>
      </c>
      <c r="X395" s="24">
        <f>IF($F395="","",IFERROR(INDEX('CAT_CENTROS_COSTO'!$F$4:$F$28,MATCH($F395,'CAT_CENTROS_COSTO'!$A$4:$A$28,0)),"(sin catálogo)"))</f>
        <v/>
      </c>
      <c r="Y395" s="24">
        <f>IF($F395="","",IFERROR(INDEX('CAT_CENTROS_COSTO'!$D$4:$D$28,MATCH($F395,'CAT_CENTROS_COSTO'!$A$4:$A$28,0)),"(sin catálogo)"))</f>
        <v/>
      </c>
      <c r="Z395" s="24">
        <f>IF($F395="","",IF((IFERROR(INDEX('CAT_CENTROS_COSTO'!$E$4:$E$28,MATCH($F395,'CAT_CENTROS_COSTO'!$A$4:$A$28,0)),""))&lt;&gt;"",IFERROR(INDEX('CAT_CENTROS_COSTO'!$E$4:$E$28,MATCH($F395,'CAT_CENTROS_COSTO'!$A$4:$A$28,0)),""),$Y395))</f>
        <v/>
      </c>
      <c r="AA395" s="24">
        <f>IF($F395="","",IFERROR(INDEX('CAT_CENTROS_COSTO'!$G$4:$G$28,MATCH($F395,'CAT_CENTROS_COSTO'!$A$4:$A$28,0)),"(sin catálogo)"))</f>
        <v/>
      </c>
      <c r="AB395" s="24">
        <f>IF($G395="","",IFERROR(INDEX('CAT_PUESTOS'!$B$4:$B$23,MATCH($G395,'CAT_PUESTOS'!$A$4:$A$23,0)),"(sin catálogo)"))</f>
        <v/>
      </c>
      <c r="AC395" s="24">
        <f>IF($H395="","",IFERROR(INDEX('CAT_ACTIVIDADES'!$B$4:$B$26,MATCH($H395,'CAT_ACTIVIDADES'!$A$4:$A$26,0)),"(sin catálogo)"))</f>
        <v/>
      </c>
      <c r="AD395" s="26">
        <f>IF($J395="","",TODAY()-$J395)</f>
        <v/>
      </c>
      <c r="AE395" s="26">
        <f>IF($J395="","",IF($J395&lt;=TODAY(),COUNTIFS(cal_fechas,"&gt;="&amp;$J395,cal_fechas,"&lt;"&amp;TODAY(),cal_habil,"sí"),-COUNTIFS(cal_fechas,"&gt;="&amp;TODAY(),cal_fechas,"&lt;"&amp;$J395,cal_habil,"sí")))</f>
        <v/>
      </c>
      <c r="AF395" s="24">
        <f>IF($AE395="","",IF($AE395&lt;0,"FUTURO",IF($AE395&gt;p_dias_backlog_max,"BACKLOG","MES CORRIENTE")))</f>
        <v/>
      </c>
      <c r="AG395" s="24">
        <f>IF($AE395="",FALSE,AND($AE395&gt;p_dias_backlog_min,$AE395&lt;=p_dias_backlog_max))</f>
        <v/>
      </c>
      <c r="AH395" s="4" t="n"/>
      <c r="AI395" s="24">
        <f>IF($AH395="","",IF((IFERROR(INDEX('ASIGNACIONES'!$J$4:$J$451,MATCH($O395&amp;"|"&amp;$S395&amp;"|"&amp;$AH395,'ASIGNACIONES'!$N$4:$N$451,0)),""))=0,"",IFERROR(INDEX('ASIGNACIONES'!$J$4:$J$451,MATCH($O395&amp;"|"&amp;$S395&amp;"|"&amp;$AH395,'ASIGNACIONES'!$N$4:$N$451,0)),"")))</f>
        <v/>
      </c>
      <c r="AJ395" s="42">
        <f>IF($AH395="","",SUMIFS('ORDENES'!$M$4:$M$1203,'ORDENES'!$AH$4:$AH$1203,$AH395,'ORDENES'!$O$4:$O$1203,$O395,'ORDENES'!$S$4:$S$1203,$S395))</f>
        <v/>
      </c>
      <c r="AK395" s="42">
        <f>IF($AJ395="","",p_factor_productividad*IFERROR(INDEX('ASIGNACIONES'!$M$4:$M$451,MATCH($O395&amp;"|"&amp;$S395&amp;"|"&amp;$AH395,'ASIGNACIONES'!$N$4:$N$451,0)),0)-$AJ395)</f>
        <v/>
      </c>
      <c r="AL395" s="32">
        <f>IF($A395="","",IFERROR(INDEX('2_IMPORTAR_EJECUCION'!$F$9:$F$1208,MATCH($AU395,'2_IMPORTAR_EJECUCION'!$J$9:$J$1208,0)),0))</f>
        <v/>
      </c>
      <c r="AM395" s="32">
        <f>IF($A395="","",MAX(0,IFERROR(INDEX('2_IMPORTAR_EJECUCION'!$H$9:$H$1208,MATCH($AU395,'2_IMPORTAR_EJECUCION'!$J$9:$J$1208,0)),0)-$AL395))</f>
        <v/>
      </c>
      <c r="AN395" s="32">
        <f>IF($A395="","",$AL395+$AM395)</f>
        <v/>
      </c>
      <c r="AO395" s="24">
        <f>IF($A395="","",IF(OR((IFERROR(INDEX('CAT_ACTIVIDADES'!$D$4:$D$26,MATCH($H395,'CAT_ACTIVIDADES'!$A$4:$A$26,0)),""))=0,(IFERROR(INDEX('CAT_ACTIVIDADES'!$D$4:$D$26,MATCH($H395,'CAT_ACTIVIDADES'!$A$4:$A$26,0)),""))=""),"SIN CLASIFICAR",IFERROR(INDEX('CAT_ACTIVIDADES'!$D$4:$D$26,MATCH($H395,'CAT_ACTIVIDADES'!$A$4:$A$26,0)),"")))</f>
        <v/>
      </c>
      <c r="AP395" s="4" t="n"/>
      <c r="AQ395" s="4" t="n"/>
      <c r="AR395" s="4" t="n"/>
      <c r="AS395" s="24">
        <f>IF($AR395="","",HYPERLINK(p_ruta_base_checklists&amp;$AR395,"abrir"))</f>
        <v/>
      </c>
      <c r="AT395" s="4" t="n"/>
      <c r="AU395" s="24">
        <f>IF($A395="","",$A395&amp;IF($B395="","0010",$B395))</f>
        <v/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41" t="n"/>
      <c r="K396" s="5" t="n"/>
      <c r="L396" s="18" t="n"/>
      <c r="M396" s="24">
        <f>IF($A396="","",IFERROR(INDEX('AJUSTES'!$B$4:$B$303,MATCH($AU396,'AJUSTES'!$A$4:$A$303,0)),IF($K396="","",$K396)))</f>
        <v/>
      </c>
      <c r="N396" s="24">
        <f>IF($A396="","",IFERROR(INDEX('CAT_ESTADOS_ERP'!$B$4:$B$22,MATCH(IFERROR(INDEX('2_IMPORTAR_EJECUCION'!$C$9:$C$1208,MATCH($AU396,'2_IMPORTAR_EJECUCION'!$J$9:$J$1208,0)),""),'CAT_ESTADOS_ERP'!$A$4:$A$22,0)),"Pendiente"))</f>
        <v/>
      </c>
      <c r="O396" s="24">
        <f>IF($J396="","",YEAR($J396+4-WEEKDAY($J396,2))&amp;"-S"&amp;TEXT(_xlfn.ISOWEEKNUM($J396),"00"))</f>
        <v/>
      </c>
      <c r="P396" s="24">
        <f>IF($J396="","",YEAR($J396))</f>
        <v/>
      </c>
      <c r="Q396" s="24">
        <f>IF($J396="","",MONTH($J396))</f>
        <v/>
      </c>
      <c r="R396" s="24">
        <f>IF($J396="","",$P396&amp;"-"&amp;TEXT($Q396,"00"))</f>
        <v/>
      </c>
      <c r="S396" s="24">
        <f>IF($J396="","",INDEX(lista_dias,WEEKDAY($J396,2)))</f>
        <v/>
      </c>
      <c r="T396" s="24">
        <f>IF($J396="","",IFERROR(INDEX('CALENDARIO'!$C$15:$C$214,MATCH(TEXT($J396,"yyyy-mm-dd")&amp;"|"&amp;$Y396&amp;"|"&amp;$Z396,'CALENDARIO'!$G$15:$G$214,0)),IFERROR(INDEX('CALENDARIO'!$C$15:$C$214,MATCH(TEXT($J396,"yyyy-mm-dd")&amp;"|"&amp;$Y396&amp;"|",'CALENDARIO'!$G$15:$G$214,0)),IFERROR(INDEX('CALENDARIO'!$C$15:$C$214,MATCH(TEXT($J396,"yyyy-mm-dd")&amp;"||",'CALENDARIO'!$G$15:$G$214,0)),INDEX(patronHabil,WEEKDAY($J396,2))))))</f>
        <v/>
      </c>
      <c r="U396" s="24">
        <f>IF($I396="","",IFERROR(INDEX('CAT_TIPOS_OT'!$C$4:$C$23,MATCH($I396,'CAT_TIPOS_OT'!$A$4:$A$23,0)),"sin_clasificar"))</f>
        <v/>
      </c>
      <c r="V396" s="24">
        <f>IF($I396="","",IF(IFERROR(INDEX('CAT_TIPOS_OT'!$D$4:$D$23,MATCH($I396,'CAT_TIPOS_OT'!$A$4:$A$23,0)),"SIN CLASIFICAR")="","SIN CLASIFICAR",IFERROR(INDEX('CAT_TIPOS_OT'!$D$4:$D$23,MATCH($I396,'CAT_TIPOS_OT'!$A$4:$A$23,0)),"SIN CLASIFICAR")))</f>
        <v/>
      </c>
      <c r="W396" s="24">
        <f>IF($H396="","",IF(IFERROR(INDEX('CAT_ACTIVIDADES'!$F$4:$F$26,MATCH($H396,'CAT_ACTIVIDADES'!$A$4:$A$26,0)),"")=0,"",IFERROR(INDEX('CAT_ACTIVIDADES'!$F$4:$F$26,MATCH($H396,'CAT_ACTIVIDADES'!$A$4:$A$26,0)),"")))</f>
        <v/>
      </c>
      <c r="X396" s="24">
        <f>IF($F396="","",IFERROR(INDEX('CAT_CENTROS_COSTO'!$F$4:$F$28,MATCH($F396,'CAT_CENTROS_COSTO'!$A$4:$A$28,0)),"(sin catálogo)"))</f>
        <v/>
      </c>
      <c r="Y396" s="24">
        <f>IF($F396="","",IFERROR(INDEX('CAT_CENTROS_COSTO'!$D$4:$D$28,MATCH($F396,'CAT_CENTROS_COSTO'!$A$4:$A$28,0)),"(sin catálogo)"))</f>
        <v/>
      </c>
      <c r="Z396" s="24">
        <f>IF($F396="","",IF((IFERROR(INDEX('CAT_CENTROS_COSTO'!$E$4:$E$28,MATCH($F396,'CAT_CENTROS_COSTO'!$A$4:$A$28,0)),""))&lt;&gt;"",IFERROR(INDEX('CAT_CENTROS_COSTO'!$E$4:$E$28,MATCH($F396,'CAT_CENTROS_COSTO'!$A$4:$A$28,0)),""),$Y396))</f>
        <v/>
      </c>
      <c r="AA396" s="24">
        <f>IF($F396="","",IFERROR(INDEX('CAT_CENTROS_COSTO'!$G$4:$G$28,MATCH($F396,'CAT_CENTROS_COSTO'!$A$4:$A$28,0)),"(sin catálogo)"))</f>
        <v/>
      </c>
      <c r="AB396" s="24">
        <f>IF($G396="","",IFERROR(INDEX('CAT_PUESTOS'!$B$4:$B$23,MATCH($G396,'CAT_PUESTOS'!$A$4:$A$23,0)),"(sin catálogo)"))</f>
        <v/>
      </c>
      <c r="AC396" s="24">
        <f>IF($H396="","",IFERROR(INDEX('CAT_ACTIVIDADES'!$B$4:$B$26,MATCH($H396,'CAT_ACTIVIDADES'!$A$4:$A$26,0)),"(sin catálogo)"))</f>
        <v/>
      </c>
      <c r="AD396" s="26">
        <f>IF($J396="","",TODAY()-$J396)</f>
        <v/>
      </c>
      <c r="AE396" s="26">
        <f>IF($J396="","",IF($J396&lt;=TODAY(),COUNTIFS(cal_fechas,"&gt;="&amp;$J396,cal_fechas,"&lt;"&amp;TODAY(),cal_habil,"sí"),-COUNTIFS(cal_fechas,"&gt;="&amp;TODAY(),cal_fechas,"&lt;"&amp;$J396,cal_habil,"sí")))</f>
        <v/>
      </c>
      <c r="AF396" s="24">
        <f>IF($AE396="","",IF($AE396&lt;0,"FUTURO",IF($AE396&gt;p_dias_backlog_max,"BACKLOG","MES CORRIENTE")))</f>
        <v/>
      </c>
      <c r="AG396" s="24">
        <f>IF($AE396="",FALSE,AND($AE396&gt;p_dias_backlog_min,$AE396&lt;=p_dias_backlog_max))</f>
        <v/>
      </c>
      <c r="AH396" s="4" t="n"/>
      <c r="AI396" s="24">
        <f>IF($AH396="","",IF((IFERROR(INDEX('ASIGNACIONES'!$J$4:$J$451,MATCH($O396&amp;"|"&amp;$S396&amp;"|"&amp;$AH396,'ASIGNACIONES'!$N$4:$N$451,0)),""))=0,"",IFERROR(INDEX('ASIGNACIONES'!$J$4:$J$451,MATCH($O396&amp;"|"&amp;$S396&amp;"|"&amp;$AH396,'ASIGNACIONES'!$N$4:$N$451,0)),"")))</f>
        <v/>
      </c>
      <c r="AJ396" s="42">
        <f>IF($AH396="","",SUMIFS('ORDENES'!$M$4:$M$1203,'ORDENES'!$AH$4:$AH$1203,$AH396,'ORDENES'!$O$4:$O$1203,$O396,'ORDENES'!$S$4:$S$1203,$S396))</f>
        <v/>
      </c>
      <c r="AK396" s="42">
        <f>IF($AJ396="","",p_factor_productividad*IFERROR(INDEX('ASIGNACIONES'!$M$4:$M$451,MATCH($O396&amp;"|"&amp;$S396&amp;"|"&amp;$AH396,'ASIGNACIONES'!$N$4:$N$451,0)),0)-$AJ396)</f>
        <v/>
      </c>
      <c r="AL396" s="32">
        <f>IF($A396="","",IFERROR(INDEX('2_IMPORTAR_EJECUCION'!$F$9:$F$1208,MATCH($AU396,'2_IMPORTAR_EJECUCION'!$J$9:$J$1208,0)),0))</f>
        <v/>
      </c>
      <c r="AM396" s="32">
        <f>IF($A396="","",MAX(0,IFERROR(INDEX('2_IMPORTAR_EJECUCION'!$H$9:$H$1208,MATCH($AU396,'2_IMPORTAR_EJECUCION'!$J$9:$J$1208,0)),0)-$AL396))</f>
        <v/>
      </c>
      <c r="AN396" s="32">
        <f>IF($A396="","",$AL396+$AM396)</f>
        <v/>
      </c>
      <c r="AO396" s="24">
        <f>IF($A396="","",IF(OR((IFERROR(INDEX('CAT_ACTIVIDADES'!$D$4:$D$26,MATCH($H396,'CAT_ACTIVIDADES'!$A$4:$A$26,0)),""))=0,(IFERROR(INDEX('CAT_ACTIVIDADES'!$D$4:$D$26,MATCH($H396,'CAT_ACTIVIDADES'!$A$4:$A$26,0)),""))=""),"SIN CLASIFICAR",IFERROR(INDEX('CAT_ACTIVIDADES'!$D$4:$D$26,MATCH($H396,'CAT_ACTIVIDADES'!$A$4:$A$26,0)),"")))</f>
        <v/>
      </c>
      <c r="AP396" s="4" t="n"/>
      <c r="AQ396" s="4" t="n"/>
      <c r="AR396" s="4" t="n"/>
      <c r="AS396" s="24">
        <f>IF($AR396="","",HYPERLINK(p_ruta_base_checklists&amp;$AR396,"abrir"))</f>
        <v/>
      </c>
      <c r="AT396" s="4" t="n"/>
      <c r="AU396" s="24">
        <f>IF($A396="","",$A396&amp;IF($B396="","0010",$B396))</f>
        <v/>
      </c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41" t="n"/>
      <c r="K397" s="5" t="n"/>
      <c r="L397" s="18" t="n"/>
      <c r="M397" s="24">
        <f>IF($A397="","",IFERROR(INDEX('AJUSTES'!$B$4:$B$303,MATCH($AU397,'AJUSTES'!$A$4:$A$303,0)),IF($K397="","",$K397)))</f>
        <v/>
      </c>
      <c r="N397" s="24">
        <f>IF($A397="","",IFERROR(INDEX('CAT_ESTADOS_ERP'!$B$4:$B$22,MATCH(IFERROR(INDEX('2_IMPORTAR_EJECUCION'!$C$9:$C$1208,MATCH($AU397,'2_IMPORTAR_EJECUCION'!$J$9:$J$1208,0)),""),'CAT_ESTADOS_ERP'!$A$4:$A$22,0)),"Pendiente"))</f>
        <v/>
      </c>
      <c r="O397" s="24">
        <f>IF($J397="","",YEAR($J397+4-WEEKDAY($J397,2))&amp;"-S"&amp;TEXT(_xlfn.ISOWEEKNUM($J397),"00"))</f>
        <v/>
      </c>
      <c r="P397" s="24">
        <f>IF($J397="","",YEAR($J397))</f>
        <v/>
      </c>
      <c r="Q397" s="24">
        <f>IF($J397="","",MONTH($J397))</f>
        <v/>
      </c>
      <c r="R397" s="24">
        <f>IF($J397="","",$P397&amp;"-"&amp;TEXT($Q397,"00"))</f>
        <v/>
      </c>
      <c r="S397" s="24">
        <f>IF($J397="","",INDEX(lista_dias,WEEKDAY($J397,2)))</f>
        <v/>
      </c>
      <c r="T397" s="24">
        <f>IF($J397="","",IFERROR(INDEX('CALENDARIO'!$C$15:$C$214,MATCH(TEXT($J397,"yyyy-mm-dd")&amp;"|"&amp;$Y397&amp;"|"&amp;$Z397,'CALENDARIO'!$G$15:$G$214,0)),IFERROR(INDEX('CALENDARIO'!$C$15:$C$214,MATCH(TEXT($J397,"yyyy-mm-dd")&amp;"|"&amp;$Y397&amp;"|",'CALENDARIO'!$G$15:$G$214,0)),IFERROR(INDEX('CALENDARIO'!$C$15:$C$214,MATCH(TEXT($J397,"yyyy-mm-dd")&amp;"||",'CALENDARIO'!$G$15:$G$214,0)),INDEX(patronHabil,WEEKDAY($J397,2))))))</f>
        <v/>
      </c>
      <c r="U397" s="24">
        <f>IF($I397="","",IFERROR(INDEX('CAT_TIPOS_OT'!$C$4:$C$23,MATCH($I397,'CAT_TIPOS_OT'!$A$4:$A$23,0)),"sin_clasificar"))</f>
        <v/>
      </c>
      <c r="V397" s="24">
        <f>IF($I397="","",IF(IFERROR(INDEX('CAT_TIPOS_OT'!$D$4:$D$23,MATCH($I397,'CAT_TIPOS_OT'!$A$4:$A$23,0)),"SIN CLASIFICAR")="","SIN CLASIFICAR",IFERROR(INDEX('CAT_TIPOS_OT'!$D$4:$D$23,MATCH($I397,'CAT_TIPOS_OT'!$A$4:$A$23,0)),"SIN CLASIFICAR")))</f>
        <v/>
      </c>
      <c r="W397" s="24">
        <f>IF($H397="","",IF(IFERROR(INDEX('CAT_ACTIVIDADES'!$F$4:$F$26,MATCH($H397,'CAT_ACTIVIDADES'!$A$4:$A$26,0)),"")=0,"",IFERROR(INDEX('CAT_ACTIVIDADES'!$F$4:$F$26,MATCH($H397,'CAT_ACTIVIDADES'!$A$4:$A$26,0)),"")))</f>
        <v/>
      </c>
      <c r="X397" s="24">
        <f>IF($F397="","",IFERROR(INDEX('CAT_CENTROS_COSTO'!$F$4:$F$28,MATCH($F397,'CAT_CENTROS_COSTO'!$A$4:$A$28,0)),"(sin catálogo)"))</f>
        <v/>
      </c>
      <c r="Y397" s="24">
        <f>IF($F397="","",IFERROR(INDEX('CAT_CENTROS_COSTO'!$D$4:$D$28,MATCH($F397,'CAT_CENTROS_COSTO'!$A$4:$A$28,0)),"(sin catálogo)"))</f>
        <v/>
      </c>
      <c r="Z397" s="24">
        <f>IF($F397="","",IF((IFERROR(INDEX('CAT_CENTROS_COSTO'!$E$4:$E$28,MATCH($F397,'CAT_CENTROS_COSTO'!$A$4:$A$28,0)),""))&lt;&gt;"",IFERROR(INDEX('CAT_CENTROS_COSTO'!$E$4:$E$28,MATCH($F397,'CAT_CENTROS_COSTO'!$A$4:$A$28,0)),""),$Y397))</f>
        <v/>
      </c>
      <c r="AA397" s="24">
        <f>IF($F397="","",IFERROR(INDEX('CAT_CENTROS_COSTO'!$G$4:$G$28,MATCH($F397,'CAT_CENTROS_COSTO'!$A$4:$A$28,0)),"(sin catálogo)"))</f>
        <v/>
      </c>
      <c r="AB397" s="24">
        <f>IF($G397="","",IFERROR(INDEX('CAT_PUESTOS'!$B$4:$B$23,MATCH($G397,'CAT_PUESTOS'!$A$4:$A$23,0)),"(sin catálogo)"))</f>
        <v/>
      </c>
      <c r="AC397" s="24">
        <f>IF($H397="","",IFERROR(INDEX('CAT_ACTIVIDADES'!$B$4:$B$26,MATCH($H397,'CAT_ACTIVIDADES'!$A$4:$A$26,0)),"(sin catálogo)"))</f>
        <v/>
      </c>
      <c r="AD397" s="26">
        <f>IF($J397="","",TODAY()-$J397)</f>
        <v/>
      </c>
      <c r="AE397" s="26">
        <f>IF($J397="","",IF($J397&lt;=TODAY(),COUNTIFS(cal_fechas,"&gt;="&amp;$J397,cal_fechas,"&lt;"&amp;TODAY(),cal_habil,"sí"),-COUNTIFS(cal_fechas,"&gt;="&amp;TODAY(),cal_fechas,"&lt;"&amp;$J397,cal_habil,"sí")))</f>
        <v/>
      </c>
      <c r="AF397" s="24">
        <f>IF($AE397="","",IF($AE397&lt;0,"FUTURO",IF($AE397&gt;p_dias_backlog_max,"BACKLOG","MES CORRIENTE")))</f>
        <v/>
      </c>
      <c r="AG397" s="24">
        <f>IF($AE397="",FALSE,AND($AE397&gt;p_dias_backlog_min,$AE397&lt;=p_dias_backlog_max))</f>
        <v/>
      </c>
      <c r="AH397" s="4" t="n"/>
      <c r="AI397" s="24">
        <f>IF($AH397="","",IF((IFERROR(INDEX('ASIGNACIONES'!$J$4:$J$451,MATCH($O397&amp;"|"&amp;$S397&amp;"|"&amp;$AH397,'ASIGNACIONES'!$N$4:$N$451,0)),""))=0,"",IFERROR(INDEX('ASIGNACIONES'!$J$4:$J$451,MATCH($O397&amp;"|"&amp;$S397&amp;"|"&amp;$AH397,'ASIGNACIONES'!$N$4:$N$451,0)),"")))</f>
        <v/>
      </c>
      <c r="AJ397" s="42">
        <f>IF($AH397="","",SUMIFS('ORDENES'!$M$4:$M$1203,'ORDENES'!$AH$4:$AH$1203,$AH397,'ORDENES'!$O$4:$O$1203,$O397,'ORDENES'!$S$4:$S$1203,$S397))</f>
        <v/>
      </c>
      <c r="AK397" s="42">
        <f>IF($AJ397="","",p_factor_productividad*IFERROR(INDEX('ASIGNACIONES'!$M$4:$M$451,MATCH($O397&amp;"|"&amp;$S397&amp;"|"&amp;$AH397,'ASIGNACIONES'!$N$4:$N$451,0)),0)-$AJ397)</f>
        <v/>
      </c>
      <c r="AL397" s="32">
        <f>IF($A397="","",IFERROR(INDEX('2_IMPORTAR_EJECUCION'!$F$9:$F$1208,MATCH($AU397,'2_IMPORTAR_EJECUCION'!$J$9:$J$1208,0)),0))</f>
        <v/>
      </c>
      <c r="AM397" s="32">
        <f>IF($A397="","",MAX(0,IFERROR(INDEX('2_IMPORTAR_EJECUCION'!$H$9:$H$1208,MATCH($AU397,'2_IMPORTAR_EJECUCION'!$J$9:$J$1208,0)),0)-$AL397))</f>
        <v/>
      </c>
      <c r="AN397" s="32">
        <f>IF($A397="","",$AL397+$AM397)</f>
        <v/>
      </c>
      <c r="AO397" s="24">
        <f>IF($A397="","",IF(OR((IFERROR(INDEX('CAT_ACTIVIDADES'!$D$4:$D$26,MATCH($H397,'CAT_ACTIVIDADES'!$A$4:$A$26,0)),""))=0,(IFERROR(INDEX('CAT_ACTIVIDADES'!$D$4:$D$26,MATCH($H397,'CAT_ACTIVIDADES'!$A$4:$A$26,0)),""))=""),"SIN CLASIFICAR",IFERROR(INDEX('CAT_ACTIVIDADES'!$D$4:$D$26,MATCH($H397,'CAT_ACTIVIDADES'!$A$4:$A$26,0)),"")))</f>
        <v/>
      </c>
      <c r="AP397" s="4" t="n"/>
      <c r="AQ397" s="4" t="n"/>
      <c r="AR397" s="4" t="n"/>
      <c r="AS397" s="24">
        <f>IF($AR397="","",HYPERLINK(p_ruta_base_checklists&amp;$AR397,"abrir"))</f>
        <v/>
      </c>
      <c r="AT397" s="4" t="n"/>
      <c r="AU397" s="24">
        <f>IF($A397="","",$A397&amp;IF($B397="","0010",$B397))</f>
        <v/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41" t="n"/>
      <c r="K398" s="5" t="n"/>
      <c r="L398" s="18" t="n"/>
      <c r="M398" s="24">
        <f>IF($A398="","",IFERROR(INDEX('AJUSTES'!$B$4:$B$303,MATCH($AU398,'AJUSTES'!$A$4:$A$303,0)),IF($K398="","",$K398)))</f>
        <v/>
      </c>
      <c r="N398" s="24">
        <f>IF($A398="","",IFERROR(INDEX('CAT_ESTADOS_ERP'!$B$4:$B$22,MATCH(IFERROR(INDEX('2_IMPORTAR_EJECUCION'!$C$9:$C$1208,MATCH($AU398,'2_IMPORTAR_EJECUCION'!$J$9:$J$1208,0)),""),'CAT_ESTADOS_ERP'!$A$4:$A$22,0)),"Pendiente"))</f>
        <v/>
      </c>
      <c r="O398" s="24">
        <f>IF($J398="","",YEAR($J398+4-WEEKDAY($J398,2))&amp;"-S"&amp;TEXT(_xlfn.ISOWEEKNUM($J398),"00"))</f>
        <v/>
      </c>
      <c r="P398" s="24">
        <f>IF($J398="","",YEAR($J398))</f>
        <v/>
      </c>
      <c r="Q398" s="24">
        <f>IF($J398="","",MONTH($J398))</f>
        <v/>
      </c>
      <c r="R398" s="24">
        <f>IF($J398="","",$P398&amp;"-"&amp;TEXT($Q398,"00"))</f>
        <v/>
      </c>
      <c r="S398" s="24">
        <f>IF($J398="","",INDEX(lista_dias,WEEKDAY($J398,2)))</f>
        <v/>
      </c>
      <c r="T398" s="24">
        <f>IF($J398="","",IFERROR(INDEX('CALENDARIO'!$C$15:$C$214,MATCH(TEXT($J398,"yyyy-mm-dd")&amp;"|"&amp;$Y398&amp;"|"&amp;$Z398,'CALENDARIO'!$G$15:$G$214,0)),IFERROR(INDEX('CALENDARIO'!$C$15:$C$214,MATCH(TEXT($J398,"yyyy-mm-dd")&amp;"|"&amp;$Y398&amp;"|",'CALENDARIO'!$G$15:$G$214,0)),IFERROR(INDEX('CALENDARIO'!$C$15:$C$214,MATCH(TEXT($J398,"yyyy-mm-dd")&amp;"||",'CALENDARIO'!$G$15:$G$214,0)),INDEX(patronHabil,WEEKDAY($J398,2))))))</f>
        <v/>
      </c>
      <c r="U398" s="24">
        <f>IF($I398="","",IFERROR(INDEX('CAT_TIPOS_OT'!$C$4:$C$23,MATCH($I398,'CAT_TIPOS_OT'!$A$4:$A$23,0)),"sin_clasificar"))</f>
        <v/>
      </c>
      <c r="V398" s="24">
        <f>IF($I398="","",IF(IFERROR(INDEX('CAT_TIPOS_OT'!$D$4:$D$23,MATCH($I398,'CAT_TIPOS_OT'!$A$4:$A$23,0)),"SIN CLASIFICAR")="","SIN CLASIFICAR",IFERROR(INDEX('CAT_TIPOS_OT'!$D$4:$D$23,MATCH($I398,'CAT_TIPOS_OT'!$A$4:$A$23,0)),"SIN CLASIFICAR")))</f>
        <v/>
      </c>
      <c r="W398" s="24">
        <f>IF($H398="","",IF(IFERROR(INDEX('CAT_ACTIVIDADES'!$F$4:$F$26,MATCH($H398,'CAT_ACTIVIDADES'!$A$4:$A$26,0)),"")=0,"",IFERROR(INDEX('CAT_ACTIVIDADES'!$F$4:$F$26,MATCH($H398,'CAT_ACTIVIDADES'!$A$4:$A$26,0)),"")))</f>
        <v/>
      </c>
      <c r="X398" s="24">
        <f>IF($F398="","",IFERROR(INDEX('CAT_CENTROS_COSTO'!$F$4:$F$28,MATCH($F398,'CAT_CENTROS_COSTO'!$A$4:$A$28,0)),"(sin catálogo)"))</f>
        <v/>
      </c>
      <c r="Y398" s="24">
        <f>IF($F398="","",IFERROR(INDEX('CAT_CENTROS_COSTO'!$D$4:$D$28,MATCH($F398,'CAT_CENTROS_COSTO'!$A$4:$A$28,0)),"(sin catálogo)"))</f>
        <v/>
      </c>
      <c r="Z398" s="24">
        <f>IF($F398="","",IF((IFERROR(INDEX('CAT_CENTROS_COSTO'!$E$4:$E$28,MATCH($F398,'CAT_CENTROS_COSTO'!$A$4:$A$28,0)),""))&lt;&gt;"",IFERROR(INDEX('CAT_CENTROS_COSTO'!$E$4:$E$28,MATCH($F398,'CAT_CENTROS_COSTO'!$A$4:$A$28,0)),""),$Y398))</f>
        <v/>
      </c>
      <c r="AA398" s="24">
        <f>IF($F398="","",IFERROR(INDEX('CAT_CENTROS_COSTO'!$G$4:$G$28,MATCH($F398,'CAT_CENTROS_COSTO'!$A$4:$A$28,0)),"(sin catálogo)"))</f>
        <v/>
      </c>
      <c r="AB398" s="24">
        <f>IF($G398="","",IFERROR(INDEX('CAT_PUESTOS'!$B$4:$B$23,MATCH($G398,'CAT_PUESTOS'!$A$4:$A$23,0)),"(sin catálogo)"))</f>
        <v/>
      </c>
      <c r="AC398" s="24">
        <f>IF($H398="","",IFERROR(INDEX('CAT_ACTIVIDADES'!$B$4:$B$26,MATCH($H398,'CAT_ACTIVIDADES'!$A$4:$A$26,0)),"(sin catálogo)"))</f>
        <v/>
      </c>
      <c r="AD398" s="26">
        <f>IF($J398="","",TODAY()-$J398)</f>
        <v/>
      </c>
      <c r="AE398" s="26">
        <f>IF($J398="","",IF($J398&lt;=TODAY(),COUNTIFS(cal_fechas,"&gt;="&amp;$J398,cal_fechas,"&lt;"&amp;TODAY(),cal_habil,"sí"),-COUNTIFS(cal_fechas,"&gt;="&amp;TODAY(),cal_fechas,"&lt;"&amp;$J398,cal_habil,"sí")))</f>
        <v/>
      </c>
      <c r="AF398" s="24">
        <f>IF($AE398="","",IF($AE398&lt;0,"FUTURO",IF($AE398&gt;p_dias_backlog_max,"BACKLOG","MES CORRIENTE")))</f>
        <v/>
      </c>
      <c r="AG398" s="24">
        <f>IF($AE398="",FALSE,AND($AE398&gt;p_dias_backlog_min,$AE398&lt;=p_dias_backlog_max))</f>
        <v/>
      </c>
      <c r="AH398" s="4" t="n"/>
      <c r="AI398" s="24">
        <f>IF($AH398="","",IF((IFERROR(INDEX('ASIGNACIONES'!$J$4:$J$451,MATCH($O398&amp;"|"&amp;$S398&amp;"|"&amp;$AH398,'ASIGNACIONES'!$N$4:$N$451,0)),""))=0,"",IFERROR(INDEX('ASIGNACIONES'!$J$4:$J$451,MATCH($O398&amp;"|"&amp;$S398&amp;"|"&amp;$AH398,'ASIGNACIONES'!$N$4:$N$451,0)),"")))</f>
        <v/>
      </c>
      <c r="AJ398" s="42">
        <f>IF($AH398="","",SUMIFS('ORDENES'!$M$4:$M$1203,'ORDENES'!$AH$4:$AH$1203,$AH398,'ORDENES'!$O$4:$O$1203,$O398,'ORDENES'!$S$4:$S$1203,$S398))</f>
        <v/>
      </c>
      <c r="AK398" s="42">
        <f>IF($AJ398="","",p_factor_productividad*IFERROR(INDEX('ASIGNACIONES'!$M$4:$M$451,MATCH($O398&amp;"|"&amp;$S398&amp;"|"&amp;$AH398,'ASIGNACIONES'!$N$4:$N$451,0)),0)-$AJ398)</f>
        <v/>
      </c>
      <c r="AL398" s="32">
        <f>IF($A398="","",IFERROR(INDEX('2_IMPORTAR_EJECUCION'!$F$9:$F$1208,MATCH($AU398,'2_IMPORTAR_EJECUCION'!$J$9:$J$1208,0)),0))</f>
        <v/>
      </c>
      <c r="AM398" s="32">
        <f>IF($A398="","",MAX(0,IFERROR(INDEX('2_IMPORTAR_EJECUCION'!$H$9:$H$1208,MATCH($AU398,'2_IMPORTAR_EJECUCION'!$J$9:$J$1208,0)),0)-$AL398))</f>
        <v/>
      </c>
      <c r="AN398" s="32">
        <f>IF($A398="","",$AL398+$AM398)</f>
        <v/>
      </c>
      <c r="AO398" s="24">
        <f>IF($A398="","",IF(OR((IFERROR(INDEX('CAT_ACTIVIDADES'!$D$4:$D$26,MATCH($H398,'CAT_ACTIVIDADES'!$A$4:$A$26,0)),""))=0,(IFERROR(INDEX('CAT_ACTIVIDADES'!$D$4:$D$26,MATCH($H398,'CAT_ACTIVIDADES'!$A$4:$A$26,0)),""))=""),"SIN CLASIFICAR",IFERROR(INDEX('CAT_ACTIVIDADES'!$D$4:$D$26,MATCH($H398,'CAT_ACTIVIDADES'!$A$4:$A$26,0)),"")))</f>
        <v/>
      </c>
      <c r="AP398" s="4" t="n"/>
      <c r="AQ398" s="4" t="n"/>
      <c r="AR398" s="4" t="n"/>
      <c r="AS398" s="24">
        <f>IF($AR398="","",HYPERLINK(p_ruta_base_checklists&amp;$AR398,"abrir"))</f>
        <v/>
      </c>
      <c r="AT398" s="4" t="n"/>
      <c r="AU398" s="24">
        <f>IF($A398="","",$A398&amp;IF($B398="","0010",$B398))</f>
        <v/>
      </c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41" t="n"/>
      <c r="K399" s="5" t="n"/>
      <c r="L399" s="18" t="n"/>
      <c r="M399" s="24">
        <f>IF($A399="","",IFERROR(INDEX('AJUSTES'!$B$4:$B$303,MATCH($AU399,'AJUSTES'!$A$4:$A$303,0)),IF($K399="","",$K399)))</f>
        <v/>
      </c>
      <c r="N399" s="24">
        <f>IF($A399="","",IFERROR(INDEX('CAT_ESTADOS_ERP'!$B$4:$B$22,MATCH(IFERROR(INDEX('2_IMPORTAR_EJECUCION'!$C$9:$C$1208,MATCH($AU399,'2_IMPORTAR_EJECUCION'!$J$9:$J$1208,0)),""),'CAT_ESTADOS_ERP'!$A$4:$A$22,0)),"Pendiente"))</f>
        <v/>
      </c>
      <c r="O399" s="24">
        <f>IF($J399="","",YEAR($J399+4-WEEKDAY($J399,2))&amp;"-S"&amp;TEXT(_xlfn.ISOWEEKNUM($J399),"00"))</f>
        <v/>
      </c>
      <c r="P399" s="24">
        <f>IF($J399="","",YEAR($J399))</f>
        <v/>
      </c>
      <c r="Q399" s="24">
        <f>IF($J399="","",MONTH($J399))</f>
        <v/>
      </c>
      <c r="R399" s="24">
        <f>IF($J399="","",$P399&amp;"-"&amp;TEXT($Q399,"00"))</f>
        <v/>
      </c>
      <c r="S399" s="24">
        <f>IF($J399="","",INDEX(lista_dias,WEEKDAY($J399,2)))</f>
        <v/>
      </c>
      <c r="T399" s="24">
        <f>IF($J399="","",IFERROR(INDEX('CALENDARIO'!$C$15:$C$214,MATCH(TEXT($J399,"yyyy-mm-dd")&amp;"|"&amp;$Y399&amp;"|"&amp;$Z399,'CALENDARIO'!$G$15:$G$214,0)),IFERROR(INDEX('CALENDARIO'!$C$15:$C$214,MATCH(TEXT($J399,"yyyy-mm-dd")&amp;"|"&amp;$Y399&amp;"|",'CALENDARIO'!$G$15:$G$214,0)),IFERROR(INDEX('CALENDARIO'!$C$15:$C$214,MATCH(TEXT($J399,"yyyy-mm-dd")&amp;"||",'CALENDARIO'!$G$15:$G$214,0)),INDEX(patronHabil,WEEKDAY($J399,2))))))</f>
        <v/>
      </c>
      <c r="U399" s="24">
        <f>IF($I399="","",IFERROR(INDEX('CAT_TIPOS_OT'!$C$4:$C$23,MATCH($I399,'CAT_TIPOS_OT'!$A$4:$A$23,0)),"sin_clasificar"))</f>
        <v/>
      </c>
      <c r="V399" s="24">
        <f>IF($I399="","",IF(IFERROR(INDEX('CAT_TIPOS_OT'!$D$4:$D$23,MATCH($I399,'CAT_TIPOS_OT'!$A$4:$A$23,0)),"SIN CLASIFICAR")="","SIN CLASIFICAR",IFERROR(INDEX('CAT_TIPOS_OT'!$D$4:$D$23,MATCH($I399,'CAT_TIPOS_OT'!$A$4:$A$23,0)),"SIN CLASIFICAR")))</f>
        <v/>
      </c>
      <c r="W399" s="24">
        <f>IF($H399="","",IF(IFERROR(INDEX('CAT_ACTIVIDADES'!$F$4:$F$26,MATCH($H399,'CAT_ACTIVIDADES'!$A$4:$A$26,0)),"")=0,"",IFERROR(INDEX('CAT_ACTIVIDADES'!$F$4:$F$26,MATCH($H399,'CAT_ACTIVIDADES'!$A$4:$A$26,0)),"")))</f>
        <v/>
      </c>
      <c r="X399" s="24">
        <f>IF($F399="","",IFERROR(INDEX('CAT_CENTROS_COSTO'!$F$4:$F$28,MATCH($F399,'CAT_CENTROS_COSTO'!$A$4:$A$28,0)),"(sin catálogo)"))</f>
        <v/>
      </c>
      <c r="Y399" s="24">
        <f>IF($F399="","",IFERROR(INDEX('CAT_CENTROS_COSTO'!$D$4:$D$28,MATCH($F399,'CAT_CENTROS_COSTO'!$A$4:$A$28,0)),"(sin catálogo)"))</f>
        <v/>
      </c>
      <c r="Z399" s="24">
        <f>IF($F399="","",IF((IFERROR(INDEX('CAT_CENTROS_COSTO'!$E$4:$E$28,MATCH($F399,'CAT_CENTROS_COSTO'!$A$4:$A$28,0)),""))&lt;&gt;"",IFERROR(INDEX('CAT_CENTROS_COSTO'!$E$4:$E$28,MATCH($F399,'CAT_CENTROS_COSTO'!$A$4:$A$28,0)),""),$Y399))</f>
        <v/>
      </c>
      <c r="AA399" s="24">
        <f>IF($F399="","",IFERROR(INDEX('CAT_CENTROS_COSTO'!$G$4:$G$28,MATCH($F399,'CAT_CENTROS_COSTO'!$A$4:$A$28,0)),"(sin catálogo)"))</f>
        <v/>
      </c>
      <c r="AB399" s="24">
        <f>IF($G399="","",IFERROR(INDEX('CAT_PUESTOS'!$B$4:$B$23,MATCH($G399,'CAT_PUESTOS'!$A$4:$A$23,0)),"(sin catálogo)"))</f>
        <v/>
      </c>
      <c r="AC399" s="24">
        <f>IF($H399="","",IFERROR(INDEX('CAT_ACTIVIDADES'!$B$4:$B$26,MATCH($H399,'CAT_ACTIVIDADES'!$A$4:$A$26,0)),"(sin catálogo)"))</f>
        <v/>
      </c>
      <c r="AD399" s="26">
        <f>IF($J399="","",TODAY()-$J399)</f>
        <v/>
      </c>
      <c r="AE399" s="26">
        <f>IF($J399="","",IF($J399&lt;=TODAY(),COUNTIFS(cal_fechas,"&gt;="&amp;$J399,cal_fechas,"&lt;"&amp;TODAY(),cal_habil,"sí"),-COUNTIFS(cal_fechas,"&gt;="&amp;TODAY(),cal_fechas,"&lt;"&amp;$J399,cal_habil,"sí")))</f>
        <v/>
      </c>
      <c r="AF399" s="24">
        <f>IF($AE399="","",IF($AE399&lt;0,"FUTURO",IF($AE399&gt;p_dias_backlog_max,"BACKLOG","MES CORRIENTE")))</f>
        <v/>
      </c>
      <c r="AG399" s="24">
        <f>IF($AE399="",FALSE,AND($AE399&gt;p_dias_backlog_min,$AE399&lt;=p_dias_backlog_max))</f>
        <v/>
      </c>
      <c r="AH399" s="4" t="n"/>
      <c r="AI399" s="24">
        <f>IF($AH399="","",IF((IFERROR(INDEX('ASIGNACIONES'!$J$4:$J$451,MATCH($O399&amp;"|"&amp;$S399&amp;"|"&amp;$AH399,'ASIGNACIONES'!$N$4:$N$451,0)),""))=0,"",IFERROR(INDEX('ASIGNACIONES'!$J$4:$J$451,MATCH($O399&amp;"|"&amp;$S399&amp;"|"&amp;$AH399,'ASIGNACIONES'!$N$4:$N$451,0)),"")))</f>
        <v/>
      </c>
      <c r="AJ399" s="42">
        <f>IF($AH399="","",SUMIFS('ORDENES'!$M$4:$M$1203,'ORDENES'!$AH$4:$AH$1203,$AH399,'ORDENES'!$O$4:$O$1203,$O399,'ORDENES'!$S$4:$S$1203,$S399))</f>
        <v/>
      </c>
      <c r="AK399" s="42">
        <f>IF($AJ399="","",p_factor_productividad*IFERROR(INDEX('ASIGNACIONES'!$M$4:$M$451,MATCH($O399&amp;"|"&amp;$S399&amp;"|"&amp;$AH399,'ASIGNACIONES'!$N$4:$N$451,0)),0)-$AJ399)</f>
        <v/>
      </c>
      <c r="AL399" s="32">
        <f>IF($A399="","",IFERROR(INDEX('2_IMPORTAR_EJECUCION'!$F$9:$F$1208,MATCH($AU399,'2_IMPORTAR_EJECUCION'!$J$9:$J$1208,0)),0))</f>
        <v/>
      </c>
      <c r="AM399" s="32">
        <f>IF($A399="","",MAX(0,IFERROR(INDEX('2_IMPORTAR_EJECUCION'!$H$9:$H$1208,MATCH($AU399,'2_IMPORTAR_EJECUCION'!$J$9:$J$1208,0)),0)-$AL399))</f>
        <v/>
      </c>
      <c r="AN399" s="32">
        <f>IF($A399="","",$AL399+$AM399)</f>
        <v/>
      </c>
      <c r="AO399" s="24">
        <f>IF($A399="","",IF(OR((IFERROR(INDEX('CAT_ACTIVIDADES'!$D$4:$D$26,MATCH($H399,'CAT_ACTIVIDADES'!$A$4:$A$26,0)),""))=0,(IFERROR(INDEX('CAT_ACTIVIDADES'!$D$4:$D$26,MATCH($H399,'CAT_ACTIVIDADES'!$A$4:$A$26,0)),""))=""),"SIN CLASIFICAR",IFERROR(INDEX('CAT_ACTIVIDADES'!$D$4:$D$26,MATCH($H399,'CAT_ACTIVIDADES'!$A$4:$A$26,0)),"")))</f>
        <v/>
      </c>
      <c r="AP399" s="4" t="n"/>
      <c r="AQ399" s="4" t="n"/>
      <c r="AR399" s="4" t="n"/>
      <c r="AS399" s="24">
        <f>IF($AR399="","",HYPERLINK(p_ruta_base_checklists&amp;$AR399,"abrir"))</f>
        <v/>
      </c>
      <c r="AT399" s="4" t="n"/>
      <c r="AU399" s="24">
        <f>IF($A399="","",$A399&amp;IF($B399="","0010",$B399))</f>
        <v/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41" t="n"/>
      <c r="K400" s="5" t="n"/>
      <c r="L400" s="18" t="n"/>
      <c r="M400" s="24">
        <f>IF($A400="","",IFERROR(INDEX('AJUSTES'!$B$4:$B$303,MATCH($AU400,'AJUSTES'!$A$4:$A$303,0)),IF($K400="","",$K400)))</f>
        <v/>
      </c>
      <c r="N400" s="24">
        <f>IF($A400="","",IFERROR(INDEX('CAT_ESTADOS_ERP'!$B$4:$B$22,MATCH(IFERROR(INDEX('2_IMPORTAR_EJECUCION'!$C$9:$C$1208,MATCH($AU400,'2_IMPORTAR_EJECUCION'!$J$9:$J$1208,0)),""),'CAT_ESTADOS_ERP'!$A$4:$A$22,0)),"Pendiente"))</f>
        <v/>
      </c>
      <c r="O400" s="24">
        <f>IF($J400="","",YEAR($J400+4-WEEKDAY($J400,2))&amp;"-S"&amp;TEXT(_xlfn.ISOWEEKNUM($J400),"00"))</f>
        <v/>
      </c>
      <c r="P400" s="24">
        <f>IF($J400="","",YEAR($J400))</f>
        <v/>
      </c>
      <c r="Q400" s="24">
        <f>IF($J400="","",MONTH($J400))</f>
        <v/>
      </c>
      <c r="R400" s="24">
        <f>IF($J400="","",$P400&amp;"-"&amp;TEXT($Q400,"00"))</f>
        <v/>
      </c>
      <c r="S400" s="24">
        <f>IF($J400="","",INDEX(lista_dias,WEEKDAY($J400,2)))</f>
        <v/>
      </c>
      <c r="T400" s="24">
        <f>IF($J400="","",IFERROR(INDEX('CALENDARIO'!$C$15:$C$214,MATCH(TEXT($J400,"yyyy-mm-dd")&amp;"|"&amp;$Y400&amp;"|"&amp;$Z400,'CALENDARIO'!$G$15:$G$214,0)),IFERROR(INDEX('CALENDARIO'!$C$15:$C$214,MATCH(TEXT($J400,"yyyy-mm-dd")&amp;"|"&amp;$Y400&amp;"|",'CALENDARIO'!$G$15:$G$214,0)),IFERROR(INDEX('CALENDARIO'!$C$15:$C$214,MATCH(TEXT($J400,"yyyy-mm-dd")&amp;"||",'CALENDARIO'!$G$15:$G$214,0)),INDEX(patronHabil,WEEKDAY($J400,2))))))</f>
        <v/>
      </c>
      <c r="U400" s="24">
        <f>IF($I400="","",IFERROR(INDEX('CAT_TIPOS_OT'!$C$4:$C$23,MATCH($I400,'CAT_TIPOS_OT'!$A$4:$A$23,0)),"sin_clasificar"))</f>
        <v/>
      </c>
      <c r="V400" s="24">
        <f>IF($I400="","",IF(IFERROR(INDEX('CAT_TIPOS_OT'!$D$4:$D$23,MATCH($I400,'CAT_TIPOS_OT'!$A$4:$A$23,0)),"SIN CLASIFICAR")="","SIN CLASIFICAR",IFERROR(INDEX('CAT_TIPOS_OT'!$D$4:$D$23,MATCH($I400,'CAT_TIPOS_OT'!$A$4:$A$23,0)),"SIN CLASIFICAR")))</f>
        <v/>
      </c>
      <c r="W400" s="24">
        <f>IF($H400="","",IF(IFERROR(INDEX('CAT_ACTIVIDADES'!$F$4:$F$26,MATCH($H400,'CAT_ACTIVIDADES'!$A$4:$A$26,0)),"")=0,"",IFERROR(INDEX('CAT_ACTIVIDADES'!$F$4:$F$26,MATCH($H400,'CAT_ACTIVIDADES'!$A$4:$A$26,0)),"")))</f>
        <v/>
      </c>
      <c r="X400" s="24">
        <f>IF($F400="","",IFERROR(INDEX('CAT_CENTROS_COSTO'!$F$4:$F$28,MATCH($F400,'CAT_CENTROS_COSTO'!$A$4:$A$28,0)),"(sin catálogo)"))</f>
        <v/>
      </c>
      <c r="Y400" s="24">
        <f>IF($F400="","",IFERROR(INDEX('CAT_CENTROS_COSTO'!$D$4:$D$28,MATCH($F400,'CAT_CENTROS_COSTO'!$A$4:$A$28,0)),"(sin catálogo)"))</f>
        <v/>
      </c>
      <c r="Z400" s="24">
        <f>IF($F400="","",IF((IFERROR(INDEX('CAT_CENTROS_COSTO'!$E$4:$E$28,MATCH($F400,'CAT_CENTROS_COSTO'!$A$4:$A$28,0)),""))&lt;&gt;"",IFERROR(INDEX('CAT_CENTROS_COSTO'!$E$4:$E$28,MATCH($F400,'CAT_CENTROS_COSTO'!$A$4:$A$28,0)),""),$Y400))</f>
        <v/>
      </c>
      <c r="AA400" s="24">
        <f>IF($F400="","",IFERROR(INDEX('CAT_CENTROS_COSTO'!$G$4:$G$28,MATCH($F400,'CAT_CENTROS_COSTO'!$A$4:$A$28,0)),"(sin catálogo)"))</f>
        <v/>
      </c>
      <c r="AB400" s="24">
        <f>IF($G400="","",IFERROR(INDEX('CAT_PUESTOS'!$B$4:$B$23,MATCH($G400,'CAT_PUESTOS'!$A$4:$A$23,0)),"(sin catálogo)"))</f>
        <v/>
      </c>
      <c r="AC400" s="24">
        <f>IF($H400="","",IFERROR(INDEX('CAT_ACTIVIDADES'!$B$4:$B$26,MATCH($H400,'CAT_ACTIVIDADES'!$A$4:$A$26,0)),"(sin catálogo)"))</f>
        <v/>
      </c>
      <c r="AD400" s="26">
        <f>IF($J400="","",TODAY()-$J400)</f>
        <v/>
      </c>
      <c r="AE400" s="26">
        <f>IF($J400="","",IF($J400&lt;=TODAY(),COUNTIFS(cal_fechas,"&gt;="&amp;$J400,cal_fechas,"&lt;"&amp;TODAY(),cal_habil,"sí"),-COUNTIFS(cal_fechas,"&gt;="&amp;TODAY(),cal_fechas,"&lt;"&amp;$J400,cal_habil,"sí")))</f>
        <v/>
      </c>
      <c r="AF400" s="24">
        <f>IF($AE400="","",IF($AE400&lt;0,"FUTURO",IF($AE400&gt;p_dias_backlog_max,"BACKLOG","MES CORRIENTE")))</f>
        <v/>
      </c>
      <c r="AG400" s="24">
        <f>IF($AE400="",FALSE,AND($AE400&gt;p_dias_backlog_min,$AE400&lt;=p_dias_backlog_max))</f>
        <v/>
      </c>
      <c r="AH400" s="4" t="n"/>
      <c r="AI400" s="24">
        <f>IF($AH400="","",IF((IFERROR(INDEX('ASIGNACIONES'!$J$4:$J$451,MATCH($O400&amp;"|"&amp;$S400&amp;"|"&amp;$AH400,'ASIGNACIONES'!$N$4:$N$451,0)),""))=0,"",IFERROR(INDEX('ASIGNACIONES'!$J$4:$J$451,MATCH($O400&amp;"|"&amp;$S400&amp;"|"&amp;$AH400,'ASIGNACIONES'!$N$4:$N$451,0)),"")))</f>
        <v/>
      </c>
      <c r="AJ400" s="42">
        <f>IF($AH400="","",SUMIFS('ORDENES'!$M$4:$M$1203,'ORDENES'!$AH$4:$AH$1203,$AH400,'ORDENES'!$O$4:$O$1203,$O400,'ORDENES'!$S$4:$S$1203,$S400))</f>
        <v/>
      </c>
      <c r="AK400" s="42">
        <f>IF($AJ400="","",p_factor_productividad*IFERROR(INDEX('ASIGNACIONES'!$M$4:$M$451,MATCH($O400&amp;"|"&amp;$S400&amp;"|"&amp;$AH400,'ASIGNACIONES'!$N$4:$N$451,0)),0)-$AJ400)</f>
        <v/>
      </c>
      <c r="AL400" s="32">
        <f>IF($A400="","",IFERROR(INDEX('2_IMPORTAR_EJECUCION'!$F$9:$F$1208,MATCH($AU400,'2_IMPORTAR_EJECUCION'!$J$9:$J$1208,0)),0))</f>
        <v/>
      </c>
      <c r="AM400" s="32">
        <f>IF($A400="","",MAX(0,IFERROR(INDEX('2_IMPORTAR_EJECUCION'!$H$9:$H$1208,MATCH($AU400,'2_IMPORTAR_EJECUCION'!$J$9:$J$1208,0)),0)-$AL400))</f>
        <v/>
      </c>
      <c r="AN400" s="32">
        <f>IF($A400="","",$AL400+$AM400)</f>
        <v/>
      </c>
      <c r="AO400" s="24">
        <f>IF($A400="","",IF(OR((IFERROR(INDEX('CAT_ACTIVIDADES'!$D$4:$D$26,MATCH($H400,'CAT_ACTIVIDADES'!$A$4:$A$26,0)),""))=0,(IFERROR(INDEX('CAT_ACTIVIDADES'!$D$4:$D$26,MATCH($H400,'CAT_ACTIVIDADES'!$A$4:$A$26,0)),""))=""),"SIN CLASIFICAR",IFERROR(INDEX('CAT_ACTIVIDADES'!$D$4:$D$26,MATCH($H400,'CAT_ACTIVIDADES'!$A$4:$A$26,0)),"")))</f>
        <v/>
      </c>
      <c r="AP400" s="4" t="n"/>
      <c r="AQ400" s="4" t="n"/>
      <c r="AR400" s="4" t="n"/>
      <c r="AS400" s="24">
        <f>IF($AR400="","",HYPERLINK(p_ruta_base_checklists&amp;$AR400,"abrir"))</f>
        <v/>
      </c>
      <c r="AT400" s="4" t="n"/>
      <c r="AU400" s="24">
        <f>IF($A400="","",$A400&amp;IF($B400="","0010",$B400))</f>
        <v/>
      </c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41" t="n"/>
      <c r="K401" s="5" t="n"/>
      <c r="L401" s="18" t="n"/>
      <c r="M401" s="24">
        <f>IF($A401="","",IFERROR(INDEX('AJUSTES'!$B$4:$B$303,MATCH($AU401,'AJUSTES'!$A$4:$A$303,0)),IF($K401="","",$K401)))</f>
        <v/>
      </c>
      <c r="N401" s="24">
        <f>IF($A401="","",IFERROR(INDEX('CAT_ESTADOS_ERP'!$B$4:$B$22,MATCH(IFERROR(INDEX('2_IMPORTAR_EJECUCION'!$C$9:$C$1208,MATCH($AU401,'2_IMPORTAR_EJECUCION'!$J$9:$J$1208,0)),""),'CAT_ESTADOS_ERP'!$A$4:$A$22,0)),"Pendiente"))</f>
        <v/>
      </c>
      <c r="O401" s="24">
        <f>IF($J401="","",YEAR($J401+4-WEEKDAY($J401,2))&amp;"-S"&amp;TEXT(_xlfn.ISOWEEKNUM($J401),"00"))</f>
        <v/>
      </c>
      <c r="P401" s="24">
        <f>IF($J401="","",YEAR($J401))</f>
        <v/>
      </c>
      <c r="Q401" s="24">
        <f>IF($J401="","",MONTH($J401))</f>
        <v/>
      </c>
      <c r="R401" s="24">
        <f>IF($J401="","",$P401&amp;"-"&amp;TEXT($Q401,"00"))</f>
        <v/>
      </c>
      <c r="S401" s="24">
        <f>IF($J401="","",INDEX(lista_dias,WEEKDAY($J401,2)))</f>
        <v/>
      </c>
      <c r="T401" s="24">
        <f>IF($J401="","",IFERROR(INDEX('CALENDARIO'!$C$15:$C$214,MATCH(TEXT($J401,"yyyy-mm-dd")&amp;"|"&amp;$Y401&amp;"|"&amp;$Z401,'CALENDARIO'!$G$15:$G$214,0)),IFERROR(INDEX('CALENDARIO'!$C$15:$C$214,MATCH(TEXT($J401,"yyyy-mm-dd")&amp;"|"&amp;$Y401&amp;"|",'CALENDARIO'!$G$15:$G$214,0)),IFERROR(INDEX('CALENDARIO'!$C$15:$C$214,MATCH(TEXT($J401,"yyyy-mm-dd")&amp;"||",'CALENDARIO'!$G$15:$G$214,0)),INDEX(patronHabil,WEEKDAY($J401,2))))))</f>
        <v/>
      </c>
      <c r="U401" s="24">
        <f>IF($I401="","",IFERROR(INDEX('CAT_TIPOS_OT'!$C$4:$C$23,MATCH($I401,'CAT_TIPOS_OT'!$A$4:$A$23,0)),"sin_clasificar"))</f>
        <v/>
      </c>
      <c r="V401" s="24">
        <f>IF($I401="","",IF(IFERROR(INDEX('CAT_TIPOS_OT'!$D$4:$D$23,MATCH($I401,'CAT_TIPOS_OT'!$A$4:$A$23,0)),"SIN CLASIFICAR")="","SIN CLASIFICAR",IFERROR(INDEX('CAT_TIPOS_OT'!$D$4:$D$23,MATCH($I401,'CAT_TIPOS_OT'!$A$4:$A$23,0)),"SIN CLASIFICAR")))</f>
        <v/>
      </c>
      <c r="W401" s="24">
        <f>IF($H401="","",IF(IFERROR(INDEX('CAT_ACTIVIDADES'!$F$4:$F$26,MATCH($H401,'CAT_ACTIVIDADES'!$A$4:$A$26,0)),"")=0,"",IFERROR(INDEX('CAT_ACTIVIDADES'!$F$4:$F$26,MATCH($H401,'CAT_ACTIVIDADES'!$A$4:$A$26,0)),"")))</f>
        <v/>
      </c>
      <c r="X401" s="24">
        <f>IF($F401="","",IFERROR(INDEX('CAT_CENTROS_COSTO'!$F$4:$F$28,MATCH($F401,'CAT_CENTROS_COSTO'!$A$4:$A$28,0)),"(sin catálogo)"))</f>
        <v/>
      </c>
      <c r="Y401" s="24">
        <f>IF($F401="","",IFERROR(INDEX('CAT_CENTROS_COSTO'!$D$4:$D$28,MATCH($F401,'CAT_CENTROS_COSTO'!$A$4:$A$28,0)),"(sin catálogo)"))</f>
        <v/>
      </c>
      <c r="Z401" s="24">
        <f>IF($F401="","",IF((IFERROR(INDEX('CAT_CENTROS_COSTO'!$E$4:$E$28,MATCH($F401,'CAT_CENTROS_COSTO'!$A$4:$A$28,0)),""))&lt;&gt;"",IFERROR(INDEX('CAT_CENTROS_COSTO'!$E$4:$E$28,MATCH($F401,'CAT_CENTROS_COSTO'!$A$4:$A$28,0)),""),$Y401))</f>
        <v/>
      </c>
      <c r="AA401" s="24">
        <f>IF($F401="","",IFERROR(INDEX('CAT_CENTROS_COSTO'!$G$4:$G$28,MATCH($F401,'CAT_CENTROS_COSTO'!$A$4:$A$28,0)),"(sin catálogo)"))</f>
        <v/>
      </c>
      <c r="AB401" s="24">
        <f>IF($G401="","",IFERROR(INDEX('CAT_PUESTOS'!$B$4:$B$23,MATCH($G401,'CAT_PUESTOS'!$A$4:$A$23,0)),"(sin catálogo)"))</f>
        <v/>
      </c>
      <c r="AC401" s="24">
        <f>IF($H401="","",IFERROR(INDEX('CAT_ACTIVIDADES'!$B$4:$B$26,MATCH($H401,'CAT_ACTIVIDADES'!$A$4:$A$26,0)),"(sin catálogo)"))</f>
        <v/>
      </c>
      <c r="AD401" s="26">
        <f>IF($J401="","",TODAY()-$J401)</f>
        <v/>
      </c>
      <c r="AE401" s="26">
        <f>IF($J401="","",IF($J401&lt;=TODAY(),COUNTIFS(cal_fechas,"&gt;="&amp;$J401,cal_fechas,"&lt;"&amp;TODAY(),cal_habil,"sí"),-COUNTIFS(cal_fechas,"&gt;="&amp;TODAY(),cal_fechas,"&lt;"&amp;$J401,cal_habil,"sí")))</f>
        <v/>
      </c>
      <c r="AF401" s="24">
        <f>IF($AE401="","",IF($AE401&lt;0,"FUTURO",IF($AE401&gt;p_dias_backlog_max,"BACKLOG","MES CORRIENTE")))</f>
        <v/>
      </c>
      <c r="AG401" s="24">
        <f>IF($AE401="",FALSE,AND($AE401&gt;p_dias_backlog_min,$AE401&lt;=p_dias_backlog_max))</f>
        <v/>
      </c>
      <c r="AH401" s="4" t="n"/>
      <c r="AI401" s="24">
        <f>IF($AH401="","",IF((IFERROR(INDEX('ASIGNACIONES'!$J$4:$J$451,MATCH($O401&amp;"|"&amp;$S401&amp;"|"&amp;$AH401,'ASIGNACIONES'!$N$4:$N$451,0)),""))=0,"",IFERROR(INDEX('ASIGNACIONES'!$J$4:$J$451,MATCH($O401&amp;"|"&amp;$S401&amp;"|"&amp;$AH401,'ASIGNACIONES'!$N$4:$N$451,0)),"")))</f>
        <v/>
      </c>
      <c r="AJ401" s="42">
        <f>IF($AH401="","",SUMIFS('ORDENES'!$M$4:$M$1203,'ORDENES'!$AH$4:$AH$1203,$AH401,'ORDENES'!$O$4:$O$1203,$O401,'ORDENES'!$S$4:$S$1203,$S401))</f>
        <v/>
      </c>
      <c r="AK401" s="42">
        <f>IF($AJ401="","",p_factor_productividad*IFERROR(INDEX('ASIGNACIONES'!$M$4:$M$451,MATCH($O401&amp;"|"&amp;$S401&amp;"|"&amp;$AH401,'ASIGNACIONES'!$N$4:$N$451,0)),0)-$AJ401)</f>
        <v/>
      </c>
      <c r="AL401" s="32">
        <f>IF($A401="","",IFERROR(INDEX('2_IMPORTAR_EJECUCION'!$F$9:$F$1208,MATCH($AU401,'2_IMPORTAR_EJECUCION'!$J$9:$J$1208,0)),0))</f>
        <v/>
      </c>
      <c r="AM401" s="32">
        <f>IF($A401="","",MAX(0,IFERROR(INDEX('2_IMPORTAR_EJECUCION'!$H$9:$H$1208,MATCH($AU401,'2_IMPORTAR_EJECUCION'!$J$9:$J$1208,0)),0)-$AL401))</f>
        <v/>
      </c>
      <c r="AN401" s="32">
        <f>IF($A401="","",$AL401+$AM401)</f>
        <v/>
      </c>
      <c r="AO401" s="24">
        <f>IF($A401="","",IF(OR((IFERROR(INDEX('CAT_ACTIVIDADES'!$D$4:$D$26,MATCH($H401,'CAT_ACTIVIDADES'!$A$4:$A$26,0)),""))=0,(IFERROR(INDEX('CAT_ACTIVIDADES'!$D$4:$D$26,MATCH($H401,'CAT_ACTIVIDADES'!$A$4:$A$26,0)),""))=""),"SIN CLASIFICAR",IFERROR(INDEX('CAT_ACTIVIDADES'!$D$4:$D$26,MATCH($H401,'CAT_ACTIVIDADES'!$A$4:$A$26,0)),"")))</f>
        <v/>
      </c>
      <c r="AP401" s="4" t="n"/>
      <c r="AQ401" s="4" t="n"/>
      <c r="AR401" s="4" t="n"/>
      <c r="AS401" s="24">
        <f>IF($AR401="","",HYPERLINK(p_ruta_base_checklists&amp;$AR401,"abrir"))</f>
        <v/>
      </c>
      <c r="AT401" s="4" t="n"/>
      <c r="AU401" s="24">
        <f>IF($A401="","",$A401&amp;IF($B401="","0010",$B401))</f>
        <v/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41" t="n"/>
      <c r="K402" s="5" t="n"/>
      <c r="L402" s="18" t="n"/>
      <c r="M402" s="24">
        <f>IF($A402="","",IFERROR(INDEX('AJUSTES'!$B$4:$B$303,MATCH($AU402,'AJUSTES'!$A$4:$A$303,0)),IF($K402="","",$K402)))</f>
        <v/>
      </c>
      <c r="N402" s="24">
        <f>IF($A402="","",IFERROR(INDEX('CAT_ESTADOS_ERP'!$B$4:$B$22,MATCH(IFERROR(INDEX('2_IMPORTAR_EJECUCION'!$C$9:$C$1208,MATCH($AU402,'2_IMPORTAR_EJECUCION'!$J$9:$J$1208,0)),""),'CAT_ESTADOS_ERP'!$A$4:$A$22,0)),"Pendiente"))</f>
        <v/>
      </c>
      <c r="O402" s="24">
        <f>IF($J402="","",YEAR($J402+4-WEEKDAY($J402,2))&amp;"-S"&amp;TEXT(_xlfn.ISOWEEKNUM($J402),"00"))</f>
        <v/>
      </c>
      <c r="P402" s="24">
        <f>IF($J402="","",YEAR($J402))</f>
        <v/>
      </c>
      <c r="Q402" s="24">
        <f>IF($J402="","",MONTH($J402))</f>
        <v/>
      </c>
      <c r="R402" s="24">
        <f>IF($J402="","",$P402&amp;"-"&amp;TEXT($Q402,"00"))</f>
        <v/>
      </c>
      <c r="S402" s="24">
        <f>IF($J402="","",INDEX(lista_dias,WEEKDAY($J402,2)))</f>
        <v/>
      </c>
      <c r="T402" s="24">
        <f>IF($J402="","",IFERROR(INDEX('CALENDARIO'!$C$15:$C$214,MATCH(TEXT($J402,"yyyy-mm-dd")&amp;"|"&amp;$Y402&amp;"|"&amp;$Z402,'CALENDARIO'!$G$15:$G$214,0)),IFERROR(INDEX('CALENDARIO'!$C$15:$C$214,MATCH(TEXT($J402,"yyyy-mm-dd")&amp;"|"&amp;$Y402&amp;"|",'CALENDARIO'!$G$15:$G$214,0)),IFERROR(INDEX('CALENDARIO'!$C$15:$C$214,MATCH(TEXT($J402,"yyyy-mm-dd")&amp;"||",'CALENDARIO'!$G$15:$G$214,0)),INDEX(patronHabil,WEEKDAY($J402,2))))))</f>
        <v/>
      </c>
      <c r="U402" s="24">
        <f>IF($I402="","",IFERROR(INDEX('CAT_TIPOS_OT'!$C$4:$C$23,MATCH($I402,'CAT_TIPOS_OT'!$A$4:$A$23,0)),"sin_clasificar"))</f>
        <v/>
      </c>
      <c r="V402" s="24">
        <f>IF($I402="","",IF(IFERROR(INDEX('CAT_TIPOS_OT'!$D$4:$D$23,MATCH($I402,'CAT_TIPOS_OT'!$A$4:$A$23,0)),"SIN CLASIFICAR")="","SIN CLASIFICAR",IFERROR(INDEX('CAT_TIPOS_OT'!$D$4:$D$23,MATCH($I402,'CAT_TIPOS_OT'!$A$4:$A$23,0)),"SIN CLASIFICAR")))</f>
        <v/>
      </c>
      <c r="W402" s="24">
        <f>IF($H402="","",IF(IFERROR(INDEX('CAT_ACTIVIDADES'!$F$4:$F$26,MATCH($H402,'CAT_ACTIVIDADES'!$A$4:$A$26,0)),"")=0,"",IFERROR(INDEX('CAT_ACTIVIDADES'!$F$4:$F$26,MATCH($H402,'CAT_ACTIVIDADES'!$A$4:$A$26,0)),"")))</f>
        <v/>
      </c>
      <c r="X402" s="24">
        <f>IF($F402="","",IFERROR(INDEX('CAT_CENTROS_COSTO'!$F$4:$F$28,MATCH($F402,'CAT_CENTROS_COSTO'!$A$4:$A$28,0)),"(sin catálogo)"))</f>
        <v/>
      </c>
      <c r="Y402" s="24">
        <f>IF($F402="","",IFERROR(INDEX('CAT_CENTROS_COSTO'!$D$4:$D$28,MATCH($F402,'CAT_CENTROS_COSTO'!$A$4:$A$28,0)),"(sin catálogo)"))</f>
        <v/>
      </c>
      <c r="Z402" s="24">
        <f>IF($F402="","",IF((IFERROR(INDEX('CAT_CENTROS_COSTO'!$E$4:$E$28,MATCH($F402,'CAT_CENTROS_COSTO'!$A$4:$A$28,0)),""))&lt;&gt;"",IFERROR(INDEX('CAT_CENTROS_COSTO'!$E$4:$E$28,MATCH($F402,'CAT_CENTROS_COSTO'!$A$4:$A$28,0)),""),$Y402))</f>
        <v/>
      </c>
      <c r="AA402" s="24">
        <f>IF($F402="","",IFERROR(INDEX('CAT_CENTROS_COSTO'!$G$4:$G$28,MATCH($F402,'CAT_CENTROS_COSTO'!$A$4:$A$28,0)),"(sin catálogo)"))</f>
        <v/>
      </c>
      <c r="AB402" s="24">
        <f>IF($G402="","",IFERROR(INDEX('CAT_PUESTOS'!$B$4:$B$23,MATCH($G402,'CAT_PUESTOS'!$A$4:$A$23,0)),"(sin catálogo)"))</f>
        <v/>
      </c>
      <c r="AC402" s="24">
        <f>IF($H402="","",IFERROR(INDEX('CAT_ACTIVIDADES'!$B$4:$B$26,MATCH($H402,'CAT_ACTIVIDADES'!$A$4:$A$26,0)),"(sin catálogo)"))</f>
        <v/>
      </c>
      <c r="AD402" s="26">
        <f>IF($J402="","",TODAY()-$J402)</f>
        <v/>
      </c>
      <c r="AE402" s="26">
        <f>IF($J402="","",IF($J402&lt;=TODAY(),COUNTIFS(cal_fechas,"&gt;="&amp;$J402,cal_fechas,"&lt;"&amp;TODAY(),cal_habil,"sí"),-COUNTIFS(cal_fechas,"&gt;="&amp;TODAY(),cal_fechas,"&lt;"&amp;$J402,cal_habil,"sí")))</f>
        <v/>
      </c>
      <c r="AF402" s="24">
        <f>IF($AE402="","",IF($AE402&lt;0,"FUTURO",IF($AE402&gt;p_dias_backlog_max,"BACKLOG","MES CORRIENTE")))</f>
        <v/>
      </c>
      <c r="AG402" s="24">
        <f>IF($AE402="",FALSE,AND($AE402&gt;p_dias_backlog_min,$AE402&lt;=p_dias_backlog_max))</f>
        <v/>
      </c>
      <c r="AH402" s="4" t="n"/>
      <c r="AI402" s="24">
        <f>IF($AH402="","",IF((IFERROR(INDEX('ASIGNACIONES'!$J$4:$J$451,MATCH($O402&amp;"|"&amp;$S402&amp;"|"&amp;$AH402,'ASIGNACIONES'!$N$4:$N$451,0)),""))=0,"",IFERROR(INDEX('ASIGNACIONES'!$J$4:$J$451,MATCH($O402&amp;"|"&amp;$S402&amp;"|"&amp;$AH402,'ASIGNACIONES'!$N$4:$N$451,0)),"")))</f>
        <v/>
      </c>
      <c r="AJ402" s="42">
        <f>IF($AH402="","",SUMIFS('ORDENES'!$M$4:$M$1203,'ORDENES'!$AH$4:$AH$1203,$AH402,'ORDENES'!$O$4:$O$1203,$O402,'ORDENES'!$S$4:$S$1203,$S402))</f>
        <v/>
      </c>
      <c r="AK402" s="42">
        <f>IF($AJ402="","",p_factor_productividad*IFERROR(INDEX('ASIGNACIONES'!$M$4:$M$451,MATCH($O402&amp;"|"&amp;$S402&amp;"|"&amp;$AH402,'ASIGNACIONES'!$N$4:$N$451,0)),0)-$AJ402)</f>
        <v/>
      </c>
      <c r="AL402" s="32">
        <f>IF($A402="","",IFERROR(INDEX('2_IMPORTAR_EJECUCION'!$F$9:$F$1208,MATCH($AU402,'2_IMPORTAR_EJECUCION'!$J$9:$J$1208,0)),0))</f>
        <v/>
      </c>
      <c r="AM402" s="32">
        <f>IF($A402="","",MAX(0,IFERROR(INDEX('2_IMPORTAR_EJECUCION'!$H$9:$H$1208,MATCH($AU402,'2_IMPORTAR_EJECUCION'!$J$9:$J$1208,0)),0)-$AL402))</f>
        <v/>
      </c>
      <c r="AN402" s="32">
        <f>IF($A402="","",$AL402+$AM402)</f>
        <v/>
      </c>
      <c r="AO402" s="24">
        <f>IF($A402="","",IF(OR((IFERROR(INDEX('CAT_ACTIVIDADES'!$D$4:$D$26,MATCH($H402,'CAT_ACTIVIDADES'!$A$4:$A$26,0)),""))=0,(IFERROR(INDEX('CAT_ACTIVIDADES'!$D$4:$D$26,MATCH($H402,'CAT_ACTIVIDADES'!$A$4:$A$26,0)),""))=""),"SIN CLASIFICAR",IFERROR(INDEX('CAT_ACTIVIDADES'!$D$4:$D$26,MATCH($H402,'CAT_ACTIVIDADES'!$A$4:$A$26,0)),"")))</f>
        <v/>
      </c>
      <c r="AP402" s="4" t="n"/>
      <c r="AQ402" s="4" t="n"/>
      <c r="AR402" s="4" t="n"/>
      <c r="AS402" s="24">
        <f>IF($AR402="","",HYPERLINK(p_ruta_base_checklists&amp;$AR402,"abrir"))</f>
        <v/>
      </c>
      <c r="AT402" s="4" t="n"/>
      <c r="AU402" s="24">
        <f>IF($A402="","",$A402&amp;IF($B402="","0010",$B402))</f>
        <v/>
      </c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41" t="n"/>
      <c r="K403" s="5" t="n"/>
      <c r="L403" s="18" t="n"/>
      <c r="M403" s="24">
        <f>IF($A403="","",IFERROR(INDEX('AJUSTES'!$B$4:$B$303,MATCH($AU403,'AJUSTES'!$A$4:$A$303,0)),IF($K403="","",$K403)))</f>
        <v/>
      </c>
      <c r="N403" s="24">
        <f>IF($A403="","",IFERROR(INDEX('CAT_ESTADOS_ERP'!$B$4:$B$22,MATCH(IFERROR(INDEX('2_IMPORTAR_EJECUCION'!$C$9:$C$1208,MATCH($AU403,'2_IMPORTAR_EJECUCION'!$J$9:$J$1208,0)),""),'CAT_ESTADOS_ERP'!$A$4:$A$22,0)),"Pendiente"))</f>
        <v/>
      </c>
      <c r="O403" s="24">
        <f>IF($J403="","",YEAR($J403+4-WEEKDAY($J403,2))&amp;"-S"&amp;TEXT(_xlfn.ISOWEEKNUM($J403),"00"))</f>
        <v/>
      </c>
      <c r="P403" s="24">
        <f>IF($J403="","",YEAR($J403))</f>
        <v/>
      </c>
      <c r="Q403" s="24">
        <f>IF($J403="","",MONTH($J403))</f>
        <v/>
      </c>
      <c r="R403" s="24">
        <f>IF($J403="","",$P403&amp;"-"&amp;TEXT($Q403,"00"))</f>
        <v/>
      </c>
      <c r="S403" s="24">
        <f>IF($J403="","",INDEX(lista_dias,WEEKDAY($J403,2)))</f>
        <v/>
      </c>
      <c r="T403" s="24">
        <f>IF($J403="","",IFERROR(INDEX('CALENDARIO'!$C$15:$C$214,MATCH(TEXT($J403,"yyyy-mm-dd")&amp;"|"&amp;$Y403&amp;"|"&amp;$Z403,'CALENDARIO'!$G$15:$G$214,0)),IFERROR(INDEX('CALENDARIO'!$C$15:$C$214,MATCH(TEXT($J403,"yyyy-mm-dd")&amp;"|"&amp;$Y403&amp;"|",'CALENDARIO'!$G$15:$G$214,0)),IFERROR(INDEX('CALENDARIO'!$C$15:$C$214,MATCH(TEXT($J403,"yyyy-mm-dd")&amp;"||",'CALENDARIO'!$G$15:$G$214,0)),INDEX(patronHabil,WEEKDAY($J403,2))))))</f>
        <v/>
      </c>
      <c r="U403" s="24">
        <f>IF($I403="","",IFERROR(INDEX('CAT_TIPOS_OT'!$C$4:$C$23,MATCH($I403,'CAT_TIPOS_OT'!$A$4:$A$23,0)),"sin_clasificar"))</f>
        <v/>
      </c>
      <c r="V403" s="24">
        <f>IF($I403="","",IF(IFERROR(INDEX('CAT_TIPOS_OT'!$D$4:$D$23,MATCH($I403,'CAT_TIPOS_OT'!$A$4:$A$23,0)),"SIN CLASIFICAR")="","SIN CLASIFICAR",IFERROR(INDEX('CAT_TIPOS_OT'!$D$4:$D$23,MATCH($I403,'CAT_TIPOS_OT'!$A$4:$A$23,0)),"SIN CLASIFICAR")))</f>
        <v/>
      </c>
      <c r="W403" s="24">
        <f>IF($H403="","",IF(IFERROR(INDEX('CAT_ACTIVIDADES'!$F$4:$F$26,MATCH($H403,'CAT_ACTIVIDADES'!$A$4:$A$26,0)),"")=0,"",IFERROR(INDEX('CAT_ACTIVIDADES'!$F$4:$F$26,MATCH($H403,'CAT_ACTIVIDADES'!$A$4:$A$26,0)),"")))</f>
        <v/>
      </c>
      <c r="X403" s="24">
        <f>IF($F403="","",IFERROR(INDEX('CAT_CENTROS_COSTO'!$F$4:$F$28,MATCH($F403,'CAT_CENTROS_COSTO'!$A$4:$A$28,0)),"(sin catálogo)"))</f>
        <v/>
      </c>
      <c r="Y403" s="24">
        <f>IF($F403="","",IFERROR(INDEX('CAT_CENTROS_COSTO'!$D$4:$D$28,MATCH($F403,'CAT_CENTROS_COSTO'!$A$4:$A$28,0)),"(sin catálogo)"))</f>
        <v/>
      </c>
      <c r="Z403" s="24">
        <f>IF($F403="","",IF((IFERROR(INDEX('CAT_CENTROS_COSTO'!$E$4:$E$28,MATCH($F403,'CAT_CENTROS_COSTO'!$A$4:$A$28,0)),""))&lt;&gt;"",IFERROR(INDEX('CAT_CENTROS_COSTO'!$E$4:$E$28,MATCH($F403,'CAT_CENTROS_COSTO'!$A$4:$A$28,0)),""),$Y403))</f>
        <v/>
      </c>
      <c r="AA403" s="24">
        <f>IF($F403="","",IFERROR(INDEX('CAT_CENTROS_COSTO'!$G$4:$G$28,MATCH($F403,'CAT_CENTROS_COSTO'!$A$4:$A$28,0)),"(sin catálogo)"))</f>
        <v/>
      </c>
      <c r="AB403" s="24">
        <f>IF($G403="","",IFERROR(INDEX('CAT_PUESTOS'!$B$4:$B$23,MATCH($G403,'CAT_PUESTOS'!$A$4:$A$23,0)),"(sin catálogo)"))</f>
        <v/>
      </c>
      <c r="AC403" s="24">
        <f>IF($H403="","",IFERROR(INDEX('CAT_ACTIVIDADES'!$B$4:$B$26,MATCH($H403,'CAT_ACTIVIDADES'!$A$4:$A$26,0)),"(sin catálogo)"))</f>
        <v/>
      </c>
      <c r="AD403" s="26">
        <f>IF($J403="","",TODAY()-$J403)</f>
        <v/>
      </c>
      <c r="AE403" s="26">
        <f>IF($J403="","",IF($J403&lt;=TODAY(),COUNTIFS(cal_fechas,"&gt;="&amp;$J403,cal_fechas,"&lt;"&amp;TODAY(),cal_habil,"sí"),-COUNTIFS(cal_fechas,"&gt;="&amp;TODAY(),cal_fechas,"&lt;"&amp;$J403,cal_habil,"sí")))</f>
        <v/>
      </c>
      <c r="AF403" s="24">
        <f>IF($AE403="","",IF($AE403&lt;0,"FUTURO",IF($AE403&gt;p_dias_backlog_max,"BACKLOG","MES CORRIENTE")))</f>
        <v/>
      </c>
      <c r="AG403" s="24">
        <f>IF($AE403="",FALSE,AND($AE403&gt;p_dias_backlog_min,$AE403&lt;=p_dias_backlog_max))</f>
        <v/>
      </c>
      <c r="AH403" s="4" t="n"/>
      <c r="AI403" s="24">
        <f>IF($AH403="","",IF((IFERROR(INDEX('ASIGNACIONES'!$J$4:$J$451,MATCH($O403&amp;"|"&amp;$S403&amp;"|"&amp;$AH403,'ASIGNACIONES'!$N$4:$N$451,0)),""))=0,"",IFERROR(INDEX('ASIGNACIONES'!$J$4:$J$451,MATCH($O403&amp;"|"&amp;$S403&amp;"|"&amp;$AH403,'ASIGNACIONES'!$N$4:$N$451,0)),"")))</f>
        <v/>
      </c>
      <c r="AJ403" s="42">
        <f>IF($AH403="","",SUMIFS('ORDENES'!$M$4:$M$1203,'ORDENES'!$AH$4:$AH$1203,$AH403,'ORDENES'!$O$4:$O$1203,$O403,'ORDENES'!$S$4:$S$1203,$S403))</f>
        <v/>
      </c>
      <c r="AK403" s="42">
        <f>IF($AJ403="","",p_factor_productividad*IFERROR(INDEX('ASIGNACIONES'!$M$4:$M$451,MATCH($O403&amp;"|"&amp;$S403&amp;"|"&amp;$AH403,'ASIGNACIONES'!$N$4:$N$451,0)),0)-$AJ403)</f>
        <v/>
      </c>
      <c r="AL403" s="32">
        <f>IF($A403="","",IFERROR(INDEX('2_IMPORTAR_EJECUCION'!$F$9:$F$1208,MATCH($AU403,'2_IMPORTAR_EJECUCION'!$J$9:$J$1208,0)),0))</f>
        <v/>
      </c>
      <c r="AM403" s="32">
        <f>IF($A403="","",MAX(0,IFERROR(INDEX('2_IMPORTAR_EJECUCION'!$H$9:$H$1208,MATCH($AU403,'2_IMPORTAR_EJECUCION'!$J$9:$J$1208,0)),0)-$AL403))</f>
        <v/>
      </c>
      <c r="AN403" s="32">
        <f>IF($A403="","",$AL403+$AM403)</f>
        <v/>
      </c>
      <c r="AO403" s="24">
        <f>IF($A403="","",IF(OR((IFERROR(INDEX('CAT_ACTIVIDADES'!$D$4:$D$26,MATCH($H403,'CAT_ACTIVIDADES'!$A$4:$A$26,0)),""))=0,(IFERROR(INDEX('CAT_ACTIVIDADES'!$D$4:$D$26,MATCH($H403,'CAT_ACTIVIDADES'!$A$4:$A$26,0)),""))=""),"SIN CLASIFICAR",IFERROR(INDEX('CAT_ACTIVIDADES'!$D$4:$D$26,MATCH($H403,'CAT_ACTIVIDADES'!$A$4:$A$26,0)),"")))</f>
        <v/>
      </c>
      <c r="AP403" s="4" t="n"/>
      <c r="AQ403" s="4" t="n"/>
      <c r="AR403" s="4" t="n"/>
      <c r="AS403" s="24">
        <f>IF($AR403="","",HYPERLINK(p_ruta_base_checklists&amp;$AR403,"abrir"))</f>
        <v/>
      </c>
      <c r="AT403" s="4" t="n"/>
      <c r="AU403" s="24">
        <f>IF($A403="","",$A403&amp;IF($B403="","0010",$B403))</f>
        <v/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41" t="n"/>
      <c r="K404" s="5" t="n"/>
      <c r="L404" s="18" t="n"/>
      <c r="M404" s="24">
        <f>IF($A404="","",IFERROR(INDEX('AJUSTES'!$B$4:$B$303,MATCH($AU404,'AJUSTES'!$A$4:$A$303,0)),IF($K404="","",$K404)))</f>
        <v/>
      </c>
      <c r="N404" s="24">
        <f>IF($A404="","",IFERROR(INDEX('CAT_ESTADOS_ERP'!$B$4:$B$22,MATCH(IFERROR(INDEX('2_IMPORTAR_EJECUCION'!$C$9:$C$1208,MATCH($AU404,'2_IMPORTAR_EJECUCION'!$J$9:$J$1208,0)),""),'CAT_ESTADOS_ERP'!$A$4:$A$22,0)),"Pendiente"))</f>
        <v/>
      </c>
      <c r="O404" s="24">
        <f>IF($J404="","",YEAR($J404+4-WEEKDAY($J404,2))&amp;"-S"&amp;TEXT(_xlfn.ISOWEEKNUM($J404),"00"))</f>
        <v/>
      </c>
      <c r="P404" s="24">
        <f>IF($J404="","",YEAR($J404))</f>
        <v/>
      </c>
      <c r="Q404" s="24">
        <f>IF($J404="","",MONTH($J404))</f>
        <v/>
      </c>
      <c r="R404" s="24">
        <f>IF($J404="","",$P404&amp;"-"&amp;TEXT($Q404,"00"))</f>
        <v/>
      </c>
      <c r="S404" s="24">
        <f>IF($J404="","",INDEX(lista_dias,WEEKDAY($J404,2)))</f>
        <v/>
      </c>
      <c r="T404" s="24">
        <f>IF($J404="","",IFERROR(INDEX('CALENDARIO'!$C$15:$C$214,MATCH(TEXT($J404,"yyyy-mm-dd")&amp;"|"&amp;$Y404&amp;"|"&amp;$Z404,'CALENDARIO'!$G$15:$G$214,0)),IFERROR(INDEX('CALENDARIO'!$C$15:$C$214,MATCH(TEXT($J404,"yyyy-mm-dd")&amp;"|"&amp;$Y404&amp;"|",'CALENDARIO'!$G$15:$G$214,0)),IFERROR(INDEX('CALENDARIO'!$C$15:$C$214,MATCH(TEXT($J404,"yyyy-mm-dd")&amp;"||",'CALENDARIO'!$G$15:$G$214,0)),INDEX(patronHabil,WEEKDAY($J404,2))))))</f>
        <v/>
      </c>
      <c r="U404" s="24">
        <f>IF($I404="","",IFERROR(INDEX('CAT_TIPOS_OT'!$C$4:$C$23,MATCH($I404,'CAT_TIPOS_OT'!$A$4:$A$23,0)),"sin_clasificar"))</f>
        <v/>
      </c>
      <c r="V404" s="24">
        <f>IF($I404="","",IF(IFERROR(INDEX('CAT_TIPOS_OT'!$D$4:$D$23,MATCH($I404,'CAT_TIPOS_OT'!$A$4:$A$23,0)),"SIN CLASIFICAR")="","SIN CLASIFICAR",IFERROR(INDEX('CAT_TIPOS_OT'!$D$4:$D$23,MATCH($I404,'CAT_TIPOS_OT'!$A$4:$A$23,0)),"SIN CLASIFICAR")))</f>
        <v/>
      </c>
      <c r="W404" s="24">
        <f>IF($H404="","",IF(IFERROR(INDEX('CAT_ACTIVIDADES'!$F$4:$F$26,MATCH($H404,'CAT_ACTIVIDADES'!$A$4:$A$26,0)),"")=0,"",IFERROR(INDEX('CAT_ACTIVIDADES'!$F$4:$F$26,MATCH($H404,'CAT_ACTIVIDADES'!$A$4:$A$26,0)),"")))</f>
        <v/>
      </c>
      <c r="X404" s="24">
        <f>IF($F404="","",IFERROR(INDEX('CAT_CENTROS_COSTO'!$F$4:$F$28,MATCH($F404,'CAT_CENTROS_COSTO'!$A$4:$A$28,0)),"(sin catálogo)"))</f>
        <v/>
      </c>
      <c r="Y404" s="24">
        <f>IF($F404="","",IFERROR(INDEX('CAT_CENTROS_COSTO'!$D$4:$D$28,MATCH($F404,'CAT_CENTROS_COSTO'!$A$4:$A$28,0)),"(sin catálogo)"))</f>
        <v/>
      </c>
      <c r="Z404" s="24">
        <f>IF($F404="","",IF((IFERROR(INDEX('CAT_CENTROS_COSTO'!$E$4:$E$28,MATCH($F404,'CAT_CENTROS_COSTO'!$A$4:$A$28,0)),""))&lt;&gt;"",IFERROR(INDEX('CAT_CENTROS_COSTO'!$E$4:$E$28,MATCH($F404,'CAT_CENTROS_COSTO'!$A$4:$A$28,0)),""),$Y404))</f>
        <v/>
      </c>
      <c r="AA404" s="24">
        <f>IF($F404="","",IFERROR(INDEX('CAT_CENTROS_COSTO'!$G$4:$G$28,MATCH($F404,'CAT_CENTROS_COSTO'!$A$4:$A$28,0)),"(sin catálogo)"))</f>
        <v/>
      </c>
      <c r="AB404" s="24">
        <f>IF($G404="","",IFERROR(INDEX('CAT_PUESTOS'!$B$4:$B$23,MATCH($G404,'CAT_PUESTOS'!$A$4:$A$23,0)),"(sin catálogo)"))</f>
        <v/>
      </c>
      <c r="AC404" s="24">
        <f>IF($H404="","",IFERROR(INDEX('CAT_ACTIVIDADES'!$B$4:$B$26,MATCH($H404,'CAT_ACTIVIDADES'!$A$4:$A$26,0)),"(sin catálogo)"))</f>
        <v/>
      </c>
      <c r="AD404" s="26">
        <f>IF($J404="","",TODAY()-$J404)</f>
        <v/>
      </c>
      <c r="AE404" s="26">
        <f>IF($J404="","",IF($J404&lt;=TODAY(),COUNTIFS(cal_fechas,"&gt;="&amp;$J404,cal_fechas,"&lt;"&amp;TODAY(),cal_habil,"sí"),-COUNTIFS(cal_fechas,"&gt;="&amp;TODAY(),cal_fechas,"&lt;"&amp;$J404,cal_habil,"sí")))</f>
        <v/>
      </c>
      <c r="AF404" s="24">
        <f>IF($AE404="","",IF($AE404&lt;0,"FUTURO",IF($AE404&gt;p_dias_backlog_max,"BACKLOG","MES CORRIENTE")))</f>
        <v/>
      </c>
      <c r="AG404" s="24">
        <f>IF($AE404="",FALSE,AND($AE404&gt;p_dias_backlog_min,$AE404&lt;=p_dias_backlog_max))</f>
        <v/>
      </c>
      <c r="AH404" s="4" t="n"/>
      <c r="AI404" s="24">
        <f>IF($AH404="","",IF((IFERROR(INDEX('ASIGNACIONES'!$J$4:$J$451,MATCH($O404&amp;"|"&amp;$S404&amp;"|"&amp;$AH404,'ASIGNACIONES'!$N$4:$N$451,0)),""))=0,"",IFERROR(INDEX('ASIGNACIONES'!$J$4:$J$451,MATCH($O404&amp;"|"&amp;$S404&amp;"|"&amp;$AH404,'ASIGNACIONES'!$N$4:$N$451,0)),"")))</f>
        <v/>
      </c>
      <c r="AJ404" s="42">
        <f>IF($AH404="","",SUMIFS('ORDENES'!$M$4:$M$1203,'ORDENES'!$AH$4:$AH$1203,$AH404,'ORDENES'!$O$4:$O$1203,$O404,'ORDENES'!$S$4:$S$1203,$S404))</f>
        <v/>
      </c>
      <c r="AK404" s="42">
        <f>IF($AJ404="","",p_factor_productividad*IFERROR(INDEX('ASIGNACIONES'!$M$4:$M$451,MATCH($O404&amp;"|"&amp;$S404&amp;"|"&amp;$AH404,'ASIGNACIONES'!$N$4:$N$451,0)),0)-$AJ404)</f>
        <v/>
      </c>
      <c r="AL404" s="32">
        <f>IF($A404="","",IFERROR(INDEX('2_IMPORTAR_EJECUCION'!$F$9:$F$1208,MATCH($AU404,'2_IMPORTAR_EJECUCION'!$J$9:$J$1208,0)),0))</f>
        <v/>
      </c>
      <c r="AM404" s="32">
        <f>IF($A404="","",MAX(0,IFERROR(INDEX('2_IMPORTAR_EJECUCION'!$H$9:$H$1208,MATCH($AU404,'2_IMPORTAR_EJECUCION'!$J$9:$J$1208,0)),0)-$AL404))</f>
        <v/>
      </c>
      <c r="AN404" s="32">
        <f>IF($A404="","",$AL404+$AM404)</f>
        <v/>
      </c>
      <c r="AO404" s="24">
        <f>IF($A404="","",IF(OR((IFERROR(INDEX('CAT_ACTIVIDADES'!$D$4:$D$26,MATCH($H404,'CAT_ACTIVIDADES'!$A$4:$A$26,0)),""))=0,(IFERROR(INDEX('CAT_ACTIVIDADES'!$D$4:$D$26,MATCH($H404,'CAT_ACTIVIDADES'!$A$4:$A$26,0)),""))=""),"SIN CLASIFICAR",IFERROR(INDEX('CAT_ACTIVIDADES'!$D$4:$D$26,MATCH($H404,'CAT_ACTIVIDADES'!$A$4:$A$26,0)),"")))</f>
        <v/>
      </c>
      <c r="AP404" s="4" t="n"/>
      <c r="AQ404" s="4" t="n"/>
      <c r="AR404" s="4" t="n"/>
      <c r="AS404" s="24">
        <f>IF($AR404="","",HYPERLINK(p_ruta_base_checklists&amp;$AR404,"abrir"))</f>
        <v/>
      </c>
      <c r="AT404" s="4" t="n"/>
      <c r="AU404" s="24">
        <f>IF($A404="","",$A404&amp;IF($B404="","0010",$B404))</f>
        <v/>
      </c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41" t="n"/>
      <c r="K405" s="5" t="n"/>
      <c r="L405" s="18" t="n"/>
      <c r="M405" s="24">
        <f>IF($A405="","",IFERROR(INDEX('AJUSTES'!$B$4:$B$303,MATCH($AU405,'AJUSTES'!$A$4:$A$303,0)),IF($K405="","",$K405)))</f>
        <v/>
      </c>
      <c r="N405" s="24">
        <f>IF($A405="","",IFERROR(INDEX('CAT_ESTADOS_ERP'!$B$4:$B$22,MATCH(IFERROR(INDEX('2_IMPORTAR_EJECUCION'!$C$9:$C$1208,MATCH($AU405,'2_IMPORTAR_EJECUCION'!$J$9:$J$1208,0)),""),'CAT_ESTADOS_ERP'!$A$4:$A$22,0)),"Pendiente"))</f>
        <v/>
      </c>
      <c r="O405" s="24">
        <f>IF($J405="","",YEAR($J405+4-WEEKDAY($J405,2))&amp;"-S"&amp;TEXT(_xlfn.ISOWEEKNUM($J405),"00"))</f>
        <v/>
      </c>
      <c r="P405" s="24">
        <f>IF($J405="","",YEAR($J405))</f>
        <v/>
      </c>
      <c r="Q405" s="24">
        <f>IF($J405="","",MONTH($J405))</f>
        <v/>
      </c>
      <c r="R405" s="24">
        <f>IF($J405="","",$P405&amp;"-"&amp;TEXT($Q405,"00"))</f>
        <v/>
      </c>
      <c r="S405" s="24">
        <f>IF($J405="","",INDEX(lista_dias,WEEKDAY($J405,2)))</f>
        <v/>
      </c>
      <c r="T405" s="24">
        <f>IF($J405="","",IFERROR(INDEX('CALENDARIO'!$C$15:$C$214,MATCH(TEXT($J405,"yyyy-mm-dd")&amp;"|"&amp;$Y405&amp;"|"&amp;$Z405,'CALENDARIO'!$G$15:$G$214,0)),IFERROR(INDEX('CALENDARIO'!$C$15:$C$214,MATCH(TEXT($J405,"yyyy-mm-dd")&amp;"|"&amp;$Y405&amp;"|",'CALENDARIO'!$G$15:$G$214,0)),IFERROR(INDEX('CALENDARIO'!$C$15:$C$214,MATCH(TEXT($J405,"yyyy-mm-dd")&amp;"||",'CALENDARIO'!$G$15:$G$214,0)),INDEX(patronHabil,WEEKDAY($J405,2))))))</f>
        <v/>
      </c>
      <c r="U405" s="24">
        <f>IF($I405="","",IFERROR(INDEX('CAT_TIPOS_OT'!$C$4:$C$23,MATCH($I405,'CAT_TIPOS_OT'!$A$4:$A$23,0)),"sin_clasificar"))</f>
        <v/>
      </c>
      <c r="V405" s="24">
        <f>IF($I405="","",IF(IFERROR(INDEX('CAT_TIPOS_OT'!$D$4:$D$23,MATCH($I405,'CAT_TIPOS_OT'!$A$4:$A$23,0)),"SIN CLASIFICAR")="","SIN CLASIFICAR",IFERROR(INDEX('CAT_TIPOS_OT'!$D$4:$D$23,MATCH($I405,'CAT_TIPOS_OT'!$A$4:$A$23,0)),"SIN CLASIFICAR")))</f>
        <v/>
      </c>
      <c r="W405" s="24">
        <f>IF($H405="","",IF(IFERROR(INDEX('CAT_ACTIVIDADES'!$F$4:$F$26,MATCH($H405,'CAT_ACTIVIDADES'!$A$4:$A$26,0)),"")=0,"",IFERROR(INDEX('CAT_ACTIVIDADES'!$F$4:$F$26,MATCH($H405,'CAT_ACTIVIDADES'!$A$4:$A$26,0)),"")))</f>
        <v/>
      </c>
      <c r="X405" s="24">
        <f>IF($F405="","",IFERROR(INDEX('CAT_CENTROS_COSTO'!$F$4:$F$28,MATCH($F405,'CAT_CENTROS_COSTO'!$A$4:$A$28,0)),"(sin catálogo)"))</f>
        <v/>
      </c>
      <c r="Y405" s="24">
        <f>IF($F405="","",IFERROR(INDEX('CAT_CENTROS_COSTO'!$D$4:$D$28,MATCH($F405,'CAT_CENTROS_COSTO'!$A$4:$A$28,0)),"(sin catálogo)"))</f>
        <v/>
      </c>
      <c r="Z405" s="24">
        <f>IF($F405="","",IF((IFERROR(INDEX('CAT_CENTROS_COSTO'!$E$4:$E$28,MATCH($F405,'CAT_CENTROS_COSTO'!$A$4:$A$28,0)),""))&lt;&gt;"",IFERROR(INDEX('CAT_CENTROS_COSTO'!$E$4:$E$28,MATCH($F405,'CAT_CENTROS_COSTO'!$A$4:$A$28,0)),""),$Y405))</f>
        <v/>
      </c>
      <c r="AA405" s="24">
        <f>IF($F405="","",IFERROR(INDEX('CAT_CENTROS_COSTO'!$G$4:$G$28,MATCH($F405,'CAT_CENTROS_COSTO'!$A$4:$A$28,0)),"(sin catálogo)"))</f>
        <v/>
      </c>
      <c r="AB405" s="24">
        <f>IF($G405="","",IFERROR(INDEX('CAT_PUESTOS'!$B$4:$B$23,MATCH($G405,'CAT_PUESTOS'!$A$4:$A$23,0)),"(sin catálogo)"))</f>
        <v/>
      </c>
      <c r="AC405" s="24">
        <f>IF($H405="","",IFERROR(INDEX('CAT_ACTIVIDADES'!$B$4:$B$26,MATCH($H405,'CAT_ACTIVIDADES'!$A$4:$A$26,0)),"(sin catálogo)"))</f>
        <v/>
      </c>
      <c r="AD405" s="26">
        <f>IF($J405="","",TODAY()-$J405)</f>
        <v/>
      </c>
      <c r="AE405" s="26">
        <f>IF($J405="","",IF($J405&lt;=TODAY(),COUNTIFS(cal_fechas,"&gt;="&amp;$J405,cal_fechas,"&lt;"&amp;TODAY(),cal_habil,"sí"),-COUNTIFS(cal_fechas,"&gt;="&amp;TODAY(),cal_fechas,"&lt;"&amp;$J405,cal_habil,"sí")))</f>
        <v/>
      </c>
      <c r="AF405" s="24">
        <f>IF($AE405="","",IF($AE405&lt;0,"FUTURO",IF($AE405&gt;p_dias_backlog_max,"BACKLOG","MES CORRIENTE")))</f>
        <v/>
      </c>
      <c r="AG405" s="24">
        <f>IF($AE405="",FALSE,AND($AE405&gt;p_dias_backlog_min,$AE405&lt;=p_dias_backlog_max))</f>
        <v/>
      </c>
      <c r="AH405" s="4" t="n"/>
      <c r="AI405" s="24">
        <f>IF($AH405="","",IF((IFERROR(INDEX('ASIGNACIONES'!$J$4:$J$451,MATCH($O405&amp;"|"&amp;$S405&amp;"|"&amp;$AH405,'ASIGNACIONES'!$N$4:$N$451,0)),""))=0,"",IFERROR(INDEX('ASIGNACIONES'!$J$4:$J$451,MATCH($O405&amp;"|"&amp;$S405&amp;"|"&amp;$AH405,'ASIGNACIONES'!$N$4:$N$451,0)),"")))</f>
        <v/>
      </c>
      <c r="AJ405" s="42">
        <f>IF($AH405="","",SUMIFS('ORDENES'!$M$4:$M$1203,'ORDENES'!$AH$4:$AH$1203,$AH405,'ORDENES'!$O$4:$O$1203,$O405,'ORDENES'!$S$4:$S$1203,$S405))</f>
        <v/>
      </c>
      <c r="AK405" s="42">
        <f>IF($AJ405="","",p_factor_productividad*IFERROR(INDEX('ASIGNACIONES'!$M$4:$M$451,MATCH($O405&amp;"|"&amp;$S405&amp;"|"&amp;$AH405,'ASIGNACIONES'!$N$4:$N$451,0)),0)-$AJ405)</f>
        <v/>
      </c>
      <c r="AL405" s="32">
        <f>IF($A405="","",IFERROR(INDEX('2_IMPORTAR_EJECUCION'!$F$9:$F$1208,MATCH($AU405,'2_IMPORTAR_EJECUCION'!$J$9:$J$1208,0)),0))</f>
        <v/>
      </c>
      <c r="AM405" s="32">
        <f>IF($A405="","",MAX(0,IFERROR(INDEX('2_IMPORTAR_EJECUCION'!$H$9:$H$1208,MATCH($AU405,'2_IMPORTAR_EJECUCION'!$J$9:$J$1208,0)),0)-$AL405))</f>
        <v/>
      </c>
      <c r="AN405" s="32">
        <f>IF($A405="","",$AL405+$AM405)</f>
        <v/>
      </c>
      <c r="AO405" s="24">
        <f>IF($A405="","",IF(OR((IFERROR(INDEX('CAT_ACTIVIDADES'!$D$4:$D$26,MATCH($H405,'CAT_ACTIVIDADES'!$A$4:$A$26,0)),""))=0,(IFERROR(INDEX('CAT_ACTIVIDADES'!$D$4:$D$26,MATCH($H405,'CAT_ACTIVIDADES'!$A$4:$A$26,0)),""))=""),"SIN CLASIFICAR",IFERROR(INDEX('CAT_ACTIVIDADES'!$D$4:$D$26,MATCH($H405,'CAT_ACTIVIDADES'!$A$4:$A$26,0)),"")))</f>
        <v/>
      </c>
      <c r="AP405" s="4" t="n"/>
      <c r="AQ405" s="4" t="n"/>
      <c r="AR405" s="4" t="n"/>
      <c r="AS405" s="24">
        <f>IF($AR405="","",HYPERLINK(p_ruta_base_checklists&amp;$AR405,"abrir"))</f>
        <v/>
      </c>
      <c r="AT405" s="4" t="n"/>
      <c r="AU405" s="24">
        <f>IF($A405="","",$A405&amp;IF($B405="","0010",$B405))</f>
        <v/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41" t="n"/>
      <c r="K406" s="5" t="n"/>
      <c r="L406" s="18" t="n"/>
      <c r="M406" s="24">
        <f>IF($A406="","",IFERROR(INDEX('AJUSTES'!$B$4:$B$303,MATCH($AU406,'AJUSTES'!$A$4:$A$303,0)),IF($K406="","",$K406)))</f>
        <v/>
      </c>
      <c r="N406" s="24">
        <f>IF($A406="","",IFERROR(INDEX('CAT_ESTADOS_ERP'!$B$4:$B$22,MATCH(IFERROR(INDEX('2_IMPORTAR_EJECUCION'!$C$9:$C$1208,MATCH($AU406,'2_IMPORTAR_EJECUCION'!$J$9:$J$1208,0)),""),'CAT_ESTADOS_ERP'!$A$4:$A$22,0)),"Pendiente"))</f>
        <v/>
      </c>
      <c r="O406" s="24">
        <f>IF($J406="","",YEAR($J406+4-WEEKDAY($J406,2))&amp;"-S"&amp;TEXT(_xlfn.ISOWEEKNUM($J406),"00"))</f>
        <v/>
      </c>
      <c r="P406" s="24">
        <f>IF($J406="","",YEAR($J406))</f>
        <v/>
      </c>
      <c r="Q406" s="24">
        <f>IF($J406="","",MONTH($J406))</f>
        <v/>
      </c>
      <c r="R406" s="24">
        <f>IF($J406="","",$P406&amp;"-"&amp;TEXT($Q406,"00"))</f>
        <v/>
      </c>
      <c r="S406" s="24">
        <f>IF($J406="","",INDEX(lista_dias,WEEKDAY($J406,2)))</f>
        <v/>
      </c>
      <c r="T406" s="24">
        <f>IF($J406="","",IFERROR(INDEX('CALENDARIO'!$C$15:$C$214,MATCH(TEXT($J406,"yyyy-mm-dd")&amp;"|"&amp;$Y406&amp;"|"&amp;$Z406,'CALENDARIO'!$G$15:$G$214,0)),IFERROR(INDEX('CALENDARIO'!$C$15:$C$214,MATCH(TEXT($J406,"yyyy-mm-dd")&amp;"|"&amp;$Y406&amp;"|",'CALENDARIO'!$G$15:$G$214,0)),IFERROR(INDEX('CALENDARIO'!$C$15:$C$214,MATCH(TEXT($J406,"yyyy-mm-dd")&amp;"||",'CALENDARIO'!$G$15:$G$214,0)),INDEX(patronHabil,WEEKDAY($J406,2))))))</f>
        <v/>
      </c>
      <c r="U406" s="24">
        <f>IF($I406="","",IFERROR(INDEX('CAT_TIPOS_OT'!$C$4:$C$23,MATCH($I406,'CAT_TIPOS_OT'!$A$4:$A$23,0)),"sin_clasificar"))</f>
        <v/>
      </c>
      <c r="V406" s="24">
        <f>IF($I406="","",IF(IFERROR(INDEX('CAT_TIPOS_OT'!$D$4:$D$23,MATCH($I406,'CAT_TIPOS_OT'!$A$4:$A$23,0)),"SIN CLASIFICAR")="","SIN CLASIFICAR",IFERROR(INDEX('CAT_TIPOS_OT'!$D$4:$D$23,MATCH($I406,'CAT_TIPOS_OT'!$A$4:$A$23,0)),"SIN CLASIFICAR")))</f>
        <v/>
      </c>
      <c r="W406" s="24">
        <f>IF($H406="","",IF(IFERROR(INDEX('CAT_ACTIVIDADES'!$F$4:$F$26,MATCH($H406,'CAT_ACTIVIDADES'!$A$4:$A$26,0)),"")=0,"",IFERROR(INDEX('CAT_ACTIVIDADES'!$F$4:$F$26,MATCH($H406,'CAT_ACTIVIDADES'!$A$4:$A$26,0)),"")))</f>
        <v/>
      </c>
      <c r="X406" s="24">
        <f>IF($F406="","",IFERROR(INDEX('CAT_CENTROS_COSTO'!$F$4:$F$28,MATCH($F406,'CAT_CENTROS_COSTO'!$A$4:$A$28,0)),"(sin catálogo)"))</f>
        <v/>
      </c>
      <c r="Y406" s="24">
        <f>IF($F406="","",IFERROR(INDEX('CAT_CENTROS_COSTO'!$D$4:$D$28,MATCH($F406,'CAT_CENTROS_COSTO'!$A$4:$A$28,0)),"(sin catálogo)"))</f>
        <v/>
      </c>
      <c r="Z406" s="24">
        <f>IF($F406="","",IF((IFERROR(INDEX('CAT_CENTROS_COSTO'!$E$4:$E$28,MATCH($F406,'CAT_CENTROS_COSTO'!$A$4:$A$28,0)),""))&lt;&gt;"",IFERROR(INDEX('CAT_CENTROS_COSTO'!$E$4:$E$28,MATCH($F406,'CAT_CENTROS_COSTO'!$A$4:$A$28,0)),""),$Y406))</f>
        <v/>
      </c>
      <c r="AA406" s="24">
        <f>IF($F406="","",IFERROR(INDEX('CAT_CENTROS_COSTO'!$G$4:$G$28,MATCH($F406,'CAT_CENTROS_COSTO'!$A$4:$A$28,0)),"(sin catálogo)"))</f>
        <v/>
      </c>
      <c r="AB406" s="24">
        <f>IF($G406="","",IFERROR(INDEX('CAT_PUESTOS'!$B$4:$B$23,MATCH($G406,'CAT_PUESTOS'!$A$4:$A$23,0)),"(sin catálogo)"))</f>
        <v/>
      </c>
      <c r="AC406" s="24">
        <f>IF($H406="","",IFERROR(INDEX('CAT_ACTIVIDADES'!$B$4:$B$26,MATCH($H406,'CAT_ACTIVIDADES'!$A$4:$A$26,0)),"(sin catálogo)"))</f>
        <v/>
      </c>
      <c r="AD406" s="26">
        <f>IF($J406="","",TODAY()-$J406)</f>
        <v/>
      </c>
      <c r="AE406" s="26">
        <f>IF($J406="","",IF($J406&lt;=TODAY(),COUNTIFS(cal_fechas,"&gt;="&amp;$J406,cal_fechas,"&lt;"&amp;TODAY(),cal_habil,"sí"),-COUNTIFS(cal_fechas,"&gt;="&amp;TODAY(),cal_fechas,"&lt;"&amp;$J406,cal_habil,"sí")))</f>
        <v/>
      </c>
      <c r="AF406" s="24">
        <f>IF($AE406="","",IF($AE406&lt;0,"FUTURO",IF($AE406&gt;p_dias_backlog_max,"BACKLOG","MES CORRIENTE")))</f>
        <v/>
      </c>
      <c r="AG406" s="24">
        <f>IF($AE406="",FALSE,AND($AE406&gt;p_dias_backlog_min,$AE406&lt;=p_dias_backlog_max))</f>
        <v/>
      </c>
      <c r="AH406" s="4" t="n"/>
      <c r="AI406" s="24">
        <f>IF($AH406="","",IF((IFERROR(INDEX('ASIGNACIONES'!$J$4:$J$451,MATCH($O406&amp;"|"&amp;$S406&amp;"|"&amp;$AH406,'ASIGNACIONES'!$N$4:$N$451,0)),""))=0,"",IFERROR(INDEX('ASIGNACIONES'!$J$4:$J$451,MATCH($O406&amp;"|"&amp;$S406&amp;"|"&amp;$AH406,'ASIGNACIONES'!$N$4:$N$451,0)),"")))</f>
        <v/>
      </c>
      <c r="AJ406" s="42">
        <f>IF($AH406="","",SUMIFS('ORDENES'!$M$4:$M$1203,'ORDENES'!$AH$4:$AH$1203,$AH406,'ORDENES'!$O$4:$O$1203,$O406,'ORDENES'!$S$4:$S$1203,$S406))</f>
        <v/>
      </c>
      <c r="AK406" s="42">
        <f>IF($AJ406="","",p_factor_productividad*IFERROR(INDEX('ASIGNACIONES'!$M$4:$M$451,MATCH($O406&amp;"|"&amp;$S406&amp;"|"&amp;$AH406,'ASIGNACIONES'!$N$4:$N$451,0)),0)-$AJ406)</f>
        <v/>
      </c>
      <c r="AL406" s="32">
        <f>IF($A406="","",IFERROR(INDEX('2_IMPORTAR_EJECUCION'!$F$9:$F$1208,MATCH($AU406,'2_IMPORTAR_EJECUCION'!$J$9:$J$1208,0)),0))</f>
        <v/>
      </c>
      <c r="AM406" s="32">
        <f>IF($A406="","",MAX(0,IFERROR(INDEX('2_IMPORTAR_EJECUCION'!$H$9:$H$1208,MATCH($AU406,'2_IMPORTAR_EJECUCION'!$J$9:$J$1208,0)),0)-$AL406))</f>
        <v/>
      </c>
      <c r="AN406" s="32">
        <f>IF($A406="","",$AL406+$AM406)</f>
        <v/>
      </c>
      <c r="AO406" s="24">
        <f>IF($A406="","",IF(OR((IFERROR(INDEX('CAT_ACTIVIDADES'!$D$4:$D$26,MATCH($H406,'CAT_ACTIVIDADES'!$A$4:$A$26,0)),""))=0,(IFERROR(INDEX('CAT_ACTIVIDADES'!$D$4:$D$26,MATCH($H406,'CAT_ACTIVIDADES'!$A$4:$A$26,0)),""))=""),"SIN CLASIFICAR",IFERROR(INDEX('CAT_ACTIVIDADES'!$D$4:$D$26,MATCH($H406,'CAT_ACTIVIDADES'!$A$4:$A$26,0)),"")))</f>
        <v/>
      </c>
      <c r="AP406" s="4" t="n"/>
      <c r="AQ406" s="4" t="n"/>
      <c r="AR406" s="4" t="n"/>
      <c r="AS406" s="24">
        <f>IF($AR406="","",HYPERLINK(p_ruta_base_checklists&amp;$AR406,"abrir"))</f>
        <v/>
      </c>
      <c r="AT406" s="4" t="n"/>
      <c r="AU406" s="24">
        <f>IF($A406="","",$A406&amp;IF($B406="","0010",$B406))</f>
        <v/>
      </c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41" t="n"/>
      <c r="K407" s="5" t="n"/>
      <c r="L407" s="18" t="n"/>
      <c r="M407" s="24">
        <f>IF($A407="","",IFERROR(INDEX('AJUSTES'!$B$4:$B$303,MATCH($AU407,'AJUSTES'!$A$4:$A$303,0)),IF($K407="","",$K407)))</f>
        <v/>
      </c>
      <c r="N407" s="24">
        <f>IF($A407="","",IFERROR(INDEX('CAT_ESTADOS_ERP'!$B$4:$B$22,MATCH(IFERROR(INDEX('2_IMPORTAR_EJECUCION'!$C$9:$C$1208,MATCH($AU407,'2_IMPORTAR_EJECUCION'!$J$9:$J$1208,0)),""),'CAT_ESTADOS_ERP'!$A$4:$A$22,0)),"Pendiente"))</f>
        <v/>
      </c>
      <c r="O407" s="24">
        <f>IF($J407="","",YEAR($J407+4-WEEKDAY($J407,2))&amp;"-S"&amp;TEXT(_xlfn.ISOWEEKNUM($J407),"00"))</f>
        <v/>
      </c>
      <c r="P407" s="24">
        <f>IF($J407="","",YEAR($J407))</f>
        <v/>
      </c>
      <c r="Q407" s="24">
        <f>IF($J407="","",MONTH($J407))</f>
        <v/>
      </c>
      <c r="R407" s="24">
        <f>IF($J407="","",$P407&amp;"-"&amp;TEXT($Q407,"00"))</f>
        <v/>
      </c>
      <c r="S407" s="24">
        <f>IF($J407="","",INDEX(lista_dias,WEEKDAY($J407,2)))</f>
        <v/>
      </c>
      <c r="T407" s="24">
        <f>IF($J407="","",IFERROR(INDEX('CALENDARIO'!$C$15:$C$214,MATCH(TEXT($J407,"yyyy-mm-dd")&amp;"|"&amp;$Y407&amp;"|"&amp;$Z407,'CALENDARIO'!$G$15:$G$214,0)),IFERROR(INDEX('CALENDARIO'!$C$15:$C$214,MATCH(TEXT($J407,"yyyy-mm-dd")&amp;"|"&amp;$Y407&amp;"|",'CALENDARIO'!$G$15:$G$214,0)),IFERROR(INDEX('CALENDARIO'!$C$15:$C$214,MATCH(TEXT($J407,"yyyy-mm-dd")&amp;"||",'CALENDARIO'!$G$15:$G$214,0)),INDEX(patronHabil,WEEKDAY($J407,2))))))</f>
        <v/>
      </c>
      <c r="U407" s="24">
        <f>IF($I407="","",IFERROR(INDEX('CAT_TIPOS_OT'!$C$4:$C$23,MATCH($I407,'CAT_TIPOS_OT'!$A$4:$A$23,0)),"sin_clasificar"))</f>
        <v/>
      </c>
      <c r="V407" s="24">
        <f>IF($I407="","",IF(IFERROR(INDEX('CAT_TIPOS_OT'!$D$4:$D$23,MATCH($I407,'CAT_TIPOS_OT'!$A$4:$A$23,0)),"SIN CLASIFICAR")="","SIN CLASIFICAR",IFERROR(INDEX('CAT_TIPOS_OT'!$D$4:$D$23,MATCH($I407,'CAT_TIPOS_OT'!$A$4:$A$23,0)),"SIN CLASIFICAR")))</f>
        <v/>
      </c>
      <c r="W407" s="24">
        <f>IF($H407="","",IF(IFERROR(INDEX('CAT_ACTIVIDADES'!$F$4:$F$26,MATCH($H407,'CAT_ACTIVIDADES'!$A$4:$A$26,0)),"")=0,"",IFERROR(INDEX('CAT_ACTIVIDADES'!$F$4:$F$26,MATCH($H407,'CAT_ACTIVIDADES'!$A$4:$A$26,0)),"")))</f>
        <v/>
      </c>
      <c r="X407" s="24">
        <f>IF($F407="","",IFERROR(INDEX('CAT_CENTROS_COSTO'!$F$4:$F$28,MATCH($F407,'CAT_CENTROS_COSTO'!$A$4:$A$28,0)),"(sin catálogo)"))</f>
        <v/>
      </c>
      <c r="Y407" s="24">
        <f>IF($F407="","",IFERROR(INDEX('CAT_CENTROS_COSTO'!$D$4:$D$28,MATCH($F407,'CAT_CENTROS_COSTO'!$A$4:$A$28,0)),"(sin catálogo)"))</f>
        <v/>
      </c>
      <c r="Z407" s="24">
        <f>IF($F407="","",IF((IFERROR(INDEX('CAT_CENTROS_COSTO'!$E$4:$E$28,MATCH($F407,'CAT_CENTROS_COSTO'!$A$4:$A$28,0)),""))&lt;&gt;"",IFERROR(INDEX('CAT_CENTROS_COSTO'!$E$4:$E$28,MATCH($F407,'CAT_CENTROS_COSTO'!$A$4:$A$28,0)),""),$Y407))</f>
        <v/>
      </c>
      <c r="AA407" s="24">
        <f>IF($F407="","",IFERROR(INDEX('CAT_CENTROS_COSTO'!$G$4:$G$28,MATCH($F407,'CAT_CENTROS_COSTO'!$A$4:$A$28,0)),"(sin catálogo)"))</f>
        <v/>
      </c>
      <c r="AB407" s="24">
        <f>IF($G407="","",IFERROR(INDEX('CAT_PUESTOS'!$B$4:$B$23,MATCH($G407,'CAT_PUESTOS'!$A$4:$A$23,0)),"(sin catálogo)"))</f>
        <v/>
      </c>
      <c r="AC407" s="24">
        <f>IF($H407="","",IFERROR(INDEX('CAT_ACTIVIDADES'!$B$4:$B$26,MATCH($H407,'CAT_ACTIVIDADES'!$A$4:$A$26,0)),"(sin catálogo)"))</f>
        <v/>
      </c>
      <c r="AD407" s="26">
        <f>IF($J407="","",TODAY()-$J407)</f>
        <v/>
      </c>
      <c r="AE407" s="26">
        <f>IF($J407="","",IF($J407&lt;=TODAY(),COUNTIFS(cal_fechas,"&gt;="&amp;$J407,cal_fechas,"&lt;"&amp;TODAY(),cal_habil,"sí"),-COUNTIFS(cal_fechas,"&gt;="&amp;TODAY(),cal_fechas,"&lt;"&amp;$J407,cal_habil,"sí")))</f>
        <v/>
      </c>
      <c r="AF407" s="24">
        <f>IF($AE407="","",IF($AE407&lt;0,"FUTURO",IF($AE407&gt;p_dias_backlog_max,"BACKLOG","MES CORRIENTE")))</f>
        <v/>
      </c>
      <c r="AG407" s="24">
        <f>IF($AE407="",FALSE,AND($AE407&gt;p_dias_backlog_min,$AE407&lt;=p_dias_backlog_max))</f>
        <v/>
      </c>
      <c r="AH407" s="4" t="n"/>
      <c r="AI407" s="24">
        <f>IF($AH407="","",IF((IFERROR(INDEX('ASIGNACIONES'!$J$4:$J$451,MATCH($O407&amp;"|"&amp;$S407&amp;"|"&amp;$AH407,'ASIGNACIONES'!$N$4:$N$451,0)),""))=0,"",IFERROR(INDEX('ASIGNACIONES'!$J$4:$J$451,MATCH($O407&amp;"|"&amp;$S407&amp;"|"&amp;$AH407,'ASIGNACIONES'!$N$4:$N$451,0)),"")))</f>
        <v/>
      </c>
      <c r="AJ407" s="42">
        <f>IF($AH407="","",SUMIFS('ORDENES'!$M$4:$M$1203,'ORDENES'!$AH$4:$AH$1203,$AH407,'ORDENES'!$O$4:$O$1203,$O407,'ORDENES'!$S$4:$S$1203,$S407))</f>
        <v/>
      </c>
      <c r="AK407" s="42">
        <f>IF($AJ407="","",p_factor_productividad*IFERROR(INDEX('ASIGNACIONES'!$M$4:$M$451,MATCH($O407&amp;"|"&amp;$S407&amp;"|"&amp;$AH407,'ASIGNACIONES'!$N$4:$N$451,0)),0)-$AJ407)</f>
        <v/>
      </c>
      <c r="AL407" s="32">
        <f>IF($A407="","",IFERROR(INDEX('2_IMPORTAR_EJECUCION'!$F$9:$F$1208,MATCH($AU407,'2_IMPORTAR_EJECUCION'!$J$9:$J$1208,0)),0))</f>
        <v/>
      </c>
      <c r="AM407" s="32">
        <f>IF($A407="","",MAX(0,IFERROR(INDEX('2_IMPORTAR_EJECUCION'!$H$9:$H$1208,MATCH($AU407,'2_IMPORTAR_EJECUCION'!$J$9:$J$1208,0)),0)-$AL407))</f>
        <v/>
      </c>
      <c r="AN407" s="32">
        <f>IF($A407="","",$AL407+$AM407)</f>
        <v/>
      </c>
      <c r="AO407" s="24">
        <f>IF($A407="","",IF(OR((IFERROR(INDEX('CAT_ACTIVIDADES'!$D$4:$D$26,MATCH($H407,'CAT_ACTIVIDADES'!$A$4:$A$26,0)),""))=0,(IFERROR(INDEX('CAT_ACTIVIDADES'!$D$4:$D$26,MATCH($H407,'CAT_ACTIVIDADES'!$A$4:$A$26,0)),""))=""),"SIN CLASIFICAR",IFERROR(INDEX('CAT_ACTIVIDADES'!$D$4:$D$26,MATCH($H407,'CAT_ACTIVIDADES'!$A$4:$A$26,0)),"")))</f>
        <v/>
      </c>
      <c r="AP407" s="4" t="n"/>
      <c r="AQ407" s="4" t="n"/>
      <c r="AR407" s="4" t="n"/>
      <c r="AS407" s="24">
        <f>IF($AR407="","",HYPERLINK(p_ruta_base_checklists&amp;$AR407,"abrir"))</f>
        <v/>
      </c>
      <c r="AT407" s="4" t="n"/>
      <c r="AU407" s="24">
        <f>IF($A407="","",$A407&amp;IF($B407="","0010",$B407))</f>
        <v/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41" t="n"/>
      <c r="K408" s="5" t="n"/>
      <c r="L408" s="18" t="n"/>
      <c r="M408" s="24">
        <f>IF($A408="","",IFERROR(INDEX('AJUSTES'!$B$4:$B$303,MATCH($AU408,'AJUSTES'!$A$4:$A$303,0)),IF($K408="","",$K408)))</f>
        <v/>
      </c>
      <c r="N408" s="24">
        <f>IF($A408="","",IFERROR(INDEX('CAT_ESTADOS_ERP'!$B$4:$B$22,MATCH(IFERROR(INDEX('2_IMPORTAR_EJECUCION'!$C$9:$C$1208,MATCH($AU408,'2_IMPORTAR_EJECUCION'!$J$9:$J$1208,0)),""),'CAT_ESTADOS_ERP'!$A$4:$A$22,0)),"Pendiente"))</f>
        <v/>
      </c>
      <c r="O408" s="24">
        <f>IF($J408="","",YEAR($J408+4-WEEKDAY($J408,2))&amp;"-S"&amp;TEXT(_xlfn.ISOWEEKNUM($J408),"00"))</f>
        <v/>
      </c>
      <c r="P408" s="24">
        <f>IF($J408="","",YEAR($J408))</f>
        <v/>
      </c>
      <c r="Q408" s="24">
        <f>IF($J408="","",MONTH($J408))</f>
        <v/>
      </c>
      <c r="R408" s="24">
        <f>IF($J408="","",$P408&amp;"-"&amp;TEXT($Q408,"00"))</f>
        <v/>
      </c>
      <c r="S408" s="24">
        <f>IF($J408="","",INDEX(lista_dias,WEEKDAY($J408,2)))</f>
        <v/>
      </c>
      <c r="T408" s="24">
        <f>IF($J408="","",IFERROR(INDEX('CALENDARIO'!$C$15:$C$214,MATCH(TEXT($J408,"yyyy-mm-dd")&amp;"|"&amp;$Y408&amp;"|"&amp;$Z408,'CALENDARIO'!$G$15:$G$214,0)),IFERROR(INDEX('CALENDARIO'!$C$15:$C$214,MATCH(TEXT($J408,"yyyy-mm-dd")&amp;"|"&amp;$Y408&amp;"|",'CALENDARIO'!$G$15:$G$214,0)),IFERROR(INDEX('CALENDARIO'!$C$15:$C$214,MATCH(TEXT($J408,"yyyy-mm-dd")&amp;"||",'CALENDARIO'!$G$15:$G$214,0)),INDEX(patronHabil,WEEKDAY($J408,2))))))</f>
        <v/>
      </c>
      <c r="U408" s="24">
        <f>IF($I408="","",IFERROR(INDEX('CAT_TIPOS_OT'!$C$4:$C$23,MATCH($I408,'CAT_TIPOS_OT'!$A$4:$A$23,0)),"sin_clasificar"))</f>
        <v/>
      </c>
      <c r="V408" s="24">
        <f>IF($I408="","",IF(IFERROR(INDEX('CAT_TIPOS_OT'!$D$4:$D$23,MATCH($I408,'CAT_TIPOS_OT'!$A$4:$A$23,0)),"SIN CLASIFICAR")="","SIN CLASIFICAR",IFERROR(INDEX('CAT_TIPOS_OT'!$D$4:$D$23,MATCH($I408,'CAT_TIPOS_OT'!$A$4:$A$23,0)),"SIN CLASIFICAR")))</f>
        <v/>
      </c>
      <c r="W408" s="24">
        <f>IF($H408="","",IF(IFERROR(INDEX('CAT_ACTIVIDADES'!$F$4:$F$26,MATCH($H408,'CAT_ACTIVIDADES'!$A$4:$A$26,0)),"")=0,"",IFERROR(INDEX('CAT_ACTIVIDADES'!$F$4:$F$26,MATCH($H408,'CAT_ACTIVIDADES'!$A$4:$A$26,0)),"")))</f>
        <v/>
      </c>
      <c r="X408" s="24">
        <f>IF($F408="","",IFERROR(INDEX('CAT_CENTROS_COSTO'!$F$4:$F$28,MATCH($F408,'CAT_CENTROS_COSTO'!$A$4:$A$28,0)),"(sin catálogo)"))</f>
        <v/>
      </c>
      <c r="Y408" s="24">
        <f>IF($F408="","",IFERROR(INDEX('CAT_CENTROS_COSTO'!$D$4:$D$28,MATCH($F408,'CAT_CENTROS_COSTO'!$A$4:$A$28,0)),"(sin catálogo)"))</f>
        <v/>
      </c>
      <c r="Z408" s="24">
        <f>IF($F408="","",IF((IFERROR(INDEX('CAT_CENTROS_COSTO'!$E$4:$E$28,MATCH($F408,'CAT_CENTROS_COSTO'!$A$4:$A$28,0)),""))&lt;&gt;"",IFERROR(INDEX('CAT_CENTROS_COSTO'!$E$4:$E$28,MATCH($F408,'CAT_CENTROS_COSTO'!$A$4:$A$28,0)),""),$Y408))</f>
        <v/>
      </c>
      <c r="AA408" s="24">
        <f>IF($F408="","",IFERROR(INDEX('CAT_CENTROS_COSTO'!$G$4:$G$28,MATCH($F408,'CAT_CENTROS_COSTO'!$A$4:$A$28,0)),"(sin catálogo)"))</f>
        <v/>
      </c>
      <c r="AB408" s="24">
        <f>IF($G408="","",IFERROR(INDEX('CAT_PUESTOS'!$B$4:$B$23,MATCH($G408,'CAT_PUESTOS'!$A$4:$A$23,0)),"(sin catálogo)"))</f>
        <v/>
      </c>
      <c r="AC408" s="24">
        <f>IF($H408="","",IFERROR(INDEX('CAT_ACTIVIDADES'!$B$4:$B$26,MATCH($H408,'CAT_ACTIVIDADES'!$A$4:$A$26,0)),"(sin catálogo)"))</f>
        <v/>
      </c>
      <c r="AD408" s="26">
        <f>IF($J408="","",TODAY()-$J408)</f>
        <v/>
      </c>
      <c r="AE408" s="26">
        <f>IF($J408="","",IF($J408&lt;=TODAY(),COUNTIFS(cal_fechas,"&gt;="&amp;$J408,cal_fechas,"&lt;"&amp;TODAY(),cal_habil,"sí"),-COUNTIFS(cal_fechas,"&gt;="&amp;TODAY(),cal_fechas,"&lt;"&amp;$J408,cal_habil,"sí")))</f>
        <v/>
      </c>
      <c r="AF408" s="24">
        <f>IF($AE408="","",IF($AE408&lt;0,"FUTURO",IF($AE408&gt;p_dias_backlog_max,"BACKLOG","MES CORRIENTE")))</f>
        <v/>
      </c>
      <c r="AG408" s="24">
        <f>IF($AE408="",FALSE,AND($AE408&gt;p_dias_backlog_min,$AE408&lt;=p_dias_backlog_max))</f>
        <v/>
      </c>
      <c r="AH408" s="4" t="n"/>
      <c r="AI408" s="24">
        <f>IF($AH408="","",IF((IFERROR(INDEX('ASIGNACIONES'!$J$4:$J$451,MATCH($O408&amp;"|"&amp;$S408&amp;"|"&amp;$AH408,'ASIGNACIONES'!$N$4:$N$451,0)),""))=0,"",IFERROR(INDEX('ASIGNACIONES'!$J$4:$J$451,MATCH($O408&amp;"|"&amp;$S408&amp;"|"&amp;$AH408,'ASIGNACIONES'!$N$4:$N$451,0)),"")))</f>
        <v/>
      </c>
      <c r="AJ408" s="42">
        <f>IF($AH408="","",SUMIFS('ORDENES'!$M$4:$M$1203,'ORDENES'!$AH$4:$AH$1203,$AH408,'ORDENES'!$O$4:$O$1203,$O408,'ORDENES'!$S$4:$S$1203,$S408))</f>
        <v/>
      </c>
      <c r="AK408" s="42">
        <f>IF($AJ408="","",p_factor_productividad*IFERROR(INDEX('ASIGNACIONES'!$M$4:$M$451,MATCH($O408&amp;"|"&amp;$S408&amp;"|"&amp;$AH408,'ASIGNACIONES'!$N$4:$N$451,0)),0)-$AJ408)</f>
        <v/>
      </c>
      <c r="AL408" s="32">
        <f>IF($A408="","",IFERROR(INDEX('2_IMPORTAR_EJECUCION'!$F$9:$F$1208,MATCH($AU408,'2_IMPORTAR_EJECUCION'!$J$9:$J$1208,0)),0))</f>
        <v/>
      </c>
      <c r="AM408" s="32">
        <f>IF($A408="","",MAX(0,IFERROR(INDEX('2_IMPORTAR_EJECUCION'!$H$9:$H$1208,MATCH($AU408,'2_IMPORTAR_EJECUCION'!$J$9:$J$1208,0)),0)-$AL408))</f>
        <v/>
      </c>
      <c r="AN408" s="32">
        <f>IF($A408="","",$AL408+$AM408)</f>
        <v/>
      </c>
      <c r="AO408" s="24">
        <f>IF($A408="","",IF(OR((IFERROR(INDEX('CAT_ACTIVIDADES'!$D$4:$D$26,MATCH($H408,'CAT_ACTIVIDADES'!$A$4:$A$26,0)),""))=0,(IFERROR(INDEX('CAT_ACTIVIDADES'!$D$4:$D$26,MATCH($H408,'CAT_ACTIVIDADES'!$A$4:$A$26,0)),""))=""),"SIN CLASIFICAR",IFERROR(INDEX('CAT_ACTIVIDADES'!$D$4:$D$26,MATCH($H408,'CAT_ACTIVIDADES'!$A$4:$A$26,0)),"")))</f>
        <v/>
      </c>
      <c r="AP408" s="4" t="n"/>
      <c r="AQ408" s="4" t="n"/>
      <c r="AR408" s="4" t="n"/>
      <c r="AS408" s="24">
        <f>IF($AR408="","",HYPERLINK(p_ruta_base_checklists&amp;$AR408,"abrir"))</f>
        <v/>
      </c>
      <c r="AT408" s="4" t="n"/>
      <c r="AU408" s="24">
        <f>IF($A408="","",$A408&amp;IF($B408="","0010",$B408))</f>
        <v/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41" t="n"/>
      <c r="K409" s="5" t="n"/>
      <c r="L409" s="18" t="n"/>
      <c r="M409" s="24">
        <f>IF($A409="","",IFERROR(INDEX('AJUSTES'!$B$4:$B$303,MATCH($AU409,'AJUSTES'!$A$4:$A$303,0)),IF($K409="","",$K409)))</f>
        <v/>
      </c>
      <c r="N409" s="24">
        <f>IF($A409="","",IFERROR(INDEX('CAT_ESTADOS_ERP'!$B$4:$B$22,MATCH(IFERROR(INDEX('2_IMPORTAR_EJECUCION'!$C$9:$C$1208,MATCH($AU409,'2_IMPORTAR_EJECUCION'!$J$9:$J$1208,0)),""),'CAT_ESTADOS_ERP'!$A$4:$A$22,0)),"Pendiente"))</f>
        <v/>
      </c>
      <c r="O409" s="24">
        <f>IF($J409="","",YEAR($J409+4-WEEKDAY($J409,2))&amp;"-S"&amp;TEXT(_xlfn.ISOWEEKNUM($J409),"00"))</f>
        <v/>
      </c>
      <c r="P409" s="24">
        <f>IF($J409="","",YEAR($J409))</f>
        <v/>
      </c>
      <c r="Q409" s="24">
        <f>IF($J409="","",MONTH($J409))</f>
        <v/>
      </c>
      <c r="R409" s="24">
        <f>IF($J409="","",$P409&amp;"-"&amp;TEXT($Q409,"00"))</f>
        <v/>
      </c>
      <c r="S409" s="24">
        <f>IF($J409="","",INDEX(lista_dias,WEEKDAY($J409,2)))</f>
        <v/>
      </c>
      <c r="T409" s="24">
        <f>IF($J409="","",IFERROR(INDEX('CALENDARIO'!$C$15:$C$214,MATCH(TEXT($J409,"yyyy-mm-dd")&amp;"|"&amp;$Y409&amp;"|"&amp;$Z409,'CALENDARIO'!$G$15:$G$214,0)),IFERROR(INDEX('CALENDARIO'!$C$15:$C$214,MATCH(TEXT($J409,"yyyy-mm-dd")&amp;"|"&amp;$Y409&amp;"|",'CALENDARIO'!$G$15:$G$214,0)),IFERROR(INDEX('CALENDARIO'!$C$15:$C$214,MATCH(TEXT($J409,"yyyy-mm-dd")&amp;"||",'CALENDARIO'!$G$15:$G$214,0)),INDEX(patronHabil,WEEKDAY($J409,2))))))</f>
        <v/>
      </c>
      <c r="U409" s="24">
        <f>IF($I409="","",IFERROR(INDEX('CAT_TIPOS_OT'!$C$4:$C$23,MATCH($I409,'CAT_TIPOS_OT'!$A$4:$A$23,0)),"sin_clasificar"))</f>
        <v/>
      </c>
      <c r="V409" s="24">
        <f>IF($I409="","",IF(IFERROR(INDEX('CAT_TIPOS_OT'!$D$4:$D$23,MATCH($I409,'CAT_TIPOS_OT'!$A$4:$A$23,0)),"SIN CLASIFICAR")="","SIN CLASIFICAR",IFERROR(INDEX('CAT_TIPOS_OT'!$D$4:$D$23,MATCH($I409,'CAT_TIPOS_OT'!$A$4:$A$23,0)),"SIN CLASIFICAR")))</f>
        <v/>
      </c>
      <c r="W409" s="24">
        <f>IF($H409="","",IF(IFERROR(INDEX('CAT_ACTIVIDADES'!$F$4:$F$26,MATCH($H409,'CAT_ACTIVIDADES'!$A$4:$A$26,0)),"")=0,"",IFERROR(INDEX('CAT_ACTIVIDADES'!$F$4:$F$26,MATCH($H409,'CAT_ACTIVIDADES'!$A$4:$A$26,0)),"")))</f>
        <v/>
      </c>
      <c r="X409" s="24">
        <f>IF($F409="","",IFERROR(INDEX('CAT_CENTROS_COSTO'!$F$4:$F$28,MATCH($F409,'CAT_CENTROS_COSTO'!$A$4:$A$28,0)),"(sin catálogo)"))</f>
        <v/>
      </c>
      <c r="Y409" s="24">
        <f>IF($F409="","",IFERROR(INDEX('CAT_CENTROS_COSTO'!$D$4:$D$28,MATCH($F409,'CAT_CENTROS_COSTO'!$A$4:$A$28,0)),"(sin catálogo)"))</f>
        <v/>
      </c>
      <c r="Z409" s="24">
        <f>IF($F409="","",IF((IFERROR(INDEX('CAT_CENTROS_COSTO'!$E$4:$E$28,MATCH($F409,'CAT_CENTROS_COSTO'!$A$4:$A$28,0)),""))&lt;&gt;"",IFERROR(INDEX('CAT_CENTROS_COSTO'!$E$4:$E$28,MATCH($F409,'CAT_CENTROS_COSTO'!$A$4:$A$28,0)),""),$Y409))</f>
        <v/>
      </c>
      <c r="AA409" s="24">
        <f>IF($F409="","",IFERROR(INDEX('CAT_CENTROS_COSTO'!$G$4:$G$28,MATCH($F409,'CAT_CENTROS_COSTO'!$A$4:$A$28,0)),"(sin catálogo)"))</f>
        <v/>
      </c>
      <c r="AB409" s="24">
        <f>IF($G409="","",IFERROR(INDEX('CAT_PUESTOS'!$B$4:$B$23,MATCH($G409,'CAT_PUESTOS'!$A$4:$A$23,0)),"(sin catálogo)"))</f>
        <v/>
      </c>
      <c r="AC409" s="24">
        <f>IF($H409="","",IFERROR(INDEX('CAT_ACTIVIDADES'!$B$4:$B$26,MATCH($H409,'CAT_ACTIVIDADES'!$A$4:$A$26,0)),"(sin catálogo)"))</f>
        <v/>
      </c>
      <c r="AD409" s="26">
        <f>IF($J409="","",TODAY()-$J409)</f>
        <v/>
      </c>
      <c r="AE409" s="26">
        <f>IF($J409="","",IF($J409&lt;=TODAY(),COUNTIFS(cal_fechas,"&gt;="&amp;$J409,cal_fechas,"&lt;"&amp;TODAY(),cal_habil,"sí"),-COUNTIFS(cal_fechas,"&gt;="&amp;TODAY(),cal_fechas,"&lt;"&amp;$J409,cal_habil,"sí")))</f>
        <v/>
      </c>
      <c r="AF409" s="24">
        <f>IF($AE409="","",IF($AE409&lt;0,"FUTURO",IF($AE409&gt;p_dias_backlog_max,"BACKLOG","MES CORRIENTE")))</f>
        <v/>
      </c>
      <c r="AG409" s="24">
        <f>IF($AE409="",FALSE,AND($AE409&gt;p_dias_backlog_min,$AE409&lt;=p_dias_backlog_max))</f>
        <v/>
      </c>
      <c r="AH409" s="4" t="n"/>
      <c r="AI409" s="24">
        <f>IF($AH409="","",IF((IFERROR(INDEX('ASIGNACIONES'!$J$4:$J$451,MATCH($O409&amp;"|"&amp;$S409&amp;"|"&amp;$AH409,'ASIGNACIONES'!$N$4:$N$451,0)),""))=0,"",IFERROR(INDEX('ASIGNACIONES'!$J$4:$J$451,MATCH($O409&amp;"|"&amp;$S409&amp;"|"&amp;$AH409,'ASIGNACIONES'!$N$4:$N$451,0)),"")))</f>
        <v/>
      </c>
      <c r="AJ409" s="42">
        <f>IF($AH409="","",SUMIFS('ORDENES'!$M$4:$M$1203,'ORDENES'!$AH$4:$AH$1203,$AH409,'ORDENES'!$O$4:$O$1203,$O409,'ORDENES'!$S$4:$S$1203,$S409))</f>
        <v/>
      </c>
      <c r="AK409" s="42">
        <f>IF($AJ409="","",p_factor_productividad*IFERROR(INDEX('ASIGNACIONES'!$M$4:$M$451,MATCH($O409&amp;"|"&amp;$S409&amp;"|"&amp;$AH409,'ASIGNACIONES'!$N$4:$N$451,0)),0)-$AJ409)</f>
        <v/>
      </c>
      <c r="AL409" s="32">
        <f>IF($A409="","",IFERROR(INDEX('2_IMPORTAR_EJECUCION'!$F$9:$F$1208,MATCH($AU409,'2_IMPORTAR_EJECUCION'!$J$9:$J$1208,0)),0))</f>
        <v/>
      </c>
      <c r="AM409" s="32">
        <f>IF($A409="","",MAX(0,IFERROR(INDEX('2_IMPORTAR_EJECUCION'!$H$9:$H$1208,MATCH($AU409,'2_IMPORTAR_EJECUCION'!$J$9:$J$1208,0)),0)-$AL409))</f>
        <v/>
      </c>
      <c r="AN409" s="32">
        <f>IF($A409="","",$AL409+$AM409)</f>
        <v/>
      </c>
      <c r="AO409" s="24">
        <f>IF($A409="","",IF(OR((IFERROR(INDEX('CAT_ACTIVIDADES'!$D$4:$D$26,MATCH($H409,'CAT_ACTIVIDADES'!$A$4:$A$26,0)),""))=0,(IFERROR(INDEX('CAT_ACTIVIDADES'!$D$4:$D$26,MATCH($H409,'CAT_ACTIVIDADES'!$A$4:$A$26,0)),""))=""),"SIN CLASIFICAR",IFERROR(INDEX('CAT_ACTIVIDADES'!$D$4:$D$26,MATCH($H409,'CAT_ACTIVIDADES'!$A$4:$A$26,0)),"")))</f>
        <v/>
      </c>
      <c r="AP409" s="4" t="n"/>
      <c r="AQ409" s="4" t="n"/>
      <c r="AR409" s="4" t="n"/>
      <c r="AS409" s="24">
        <f>IF($AR409="","",HYPERLINK(p_ruta_base_checklists&amp;$AR409,"abrir"))</f>
        <v/>
      </c>
      <c r="AT409" s="4" t="n"/>
      <c r="AU409" s="24">
        <f>IF($A409="","",$A409&amp;IF($B409="","0010",$B409))</f>
        <v/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41" t="n"/>
      <c r="K410" s="5" t="n"/>
      <c r="L410" s="18" t="n"/>
      <c r="M410" s="24">
        <f>IF($A410="","",IFERROR(INDEX('AJUSTES'!$B$4:$B$303,MATCH($AU410,'AJUSTES'!$A$4:$A$303,0)),IF($K410="","",$K410)))</f>
        <v/>
      </c>
      <c r="N410" s="24">
        <f>IF($A410="","",IFERROR(INDEX('CAT_ESTADOS_ERP'!$B$4:$B$22,MATCH(IFERROR(INDEX('2_IMPORTAR_EJECUCION'!$C$9:$C$1208,MATCH($AU410,'2_IMPORTAR_EJECUCION'!$J$9:$J$1208,0)),""),'CAT_ESTADOS_ERP'!$A$4:$A$22,0)),"Pendiente"))</f>
        <v/>
      </c>
      <c r="O410" s="24">
        <f>IF($J410="","",YEAR($J410+4-WEEKDAY($J410,2))&amp;"-S"&amp;TEXT(_xlfn.ISOWEEKNUM($J410),"00"))</f>
        <v/>
      </c>
      <c r="P410" s="24">
        <f>IF($J410="","",YEAR($J410))</f>
        <v/>
      </c>
      <c r="Q410" s="24">
        <f>IF($J410="","",MONTH($J410))</f>
        <v/>
      </c>
      <c r="R410" s="24">
        <f>IF($J410="","",$P410&amp;"-"&amp;TEXT($Q410,"00"))</f>
        <v/>
      </c>
      <c r="S410" s="24">
        <f>IF($J410="","",INDEX(lista_dias,WEEKDAY($J410,2)))</f>
        <v/>
      </c>
      <c r="T410" s="24">
        <f>IF($J410="","",IFERROR(INDEX('CALENDARIO'!$C$15:$C$214,MATCH(TEXT($J410,"yyyy-mm-dd")&amp;"|"&amp;$Y410&amp;"|"&amp;$Z410,'CALENDARIO'!$G$15:$G$214,0)),IFERROR(INDEX('CALENDARIO'!$C$15:$C$214,MATCH(TEXT($J410,"yyyy-mm-dd")&amp;"|"&amp;$Y410&amp;"|",'CALENDARIO'!$G$15:$G$214,0)),IFERROR(INDEX('CALENDARIO'!$C$15:$C$214,MATCH(TEXT($J410,"yyyy-mm-dd")&amp;"||",'CALENDARIO'!$G$15:$G$214,0)),INDEX(patronHabil,WEEKDAY($J410,2))))))</f>
        <v/>
      </c>
      <c r="U410" s="24">
        <f>IF($I410="","",IFERROR(INDEX('CAT_TIPOS_OT'!$C$4:$C$23,MATCH($I410,'CAT_TIPOS_OT'!$A$4:$A$23,0)),"sin_clasificar"))</f>
        <v/>
      </c>
      <c r="V410" s="24">
        <f>IF($I410="","",IF(IFERROR(INDEX('CAT_TIPOS_OT'!$D$4:$D$23,MATCH($I410,'CAT_TIPOS_OT'!$A$4:$A$23,0)),"SIN CLASIFICAR")="","SIN CLASIFICAR",IFERROR(INDEX('CAT_TIPOS_OT'!$D$4:$D$23,MATCH($I410,'CAT_TIPOS_OT'!$A$4:$A$23,0)),"SIN CLASIFICAR")))</f>
        <v/>
      </c>
      <c r="W410" s="24">
        <f>IF($H410="","",IF(IFERROR(INDEX('CAT_ACTIVIDADES'!$F$4:$F$26,MATCH($H410,'CAT_ACTIVIDADES'!$A$4:$A$26,0)),"")=0,"",IFERROR(INDEX('CAT_ACTIVIDADES'!$F$4:$F$26,MATCH($H410,'CAT_ACTIVIDADES'!$A$4:$A$26,0)),"")))</f>
        <v/>
      </c>
      <c r="X410" s="24">
        <f>IF($F410="","",IFERROR(INDEX('CAT_CENTROS_COSTO'!$F$4:$F$28,MATCH($F410,'CAT_CENTROS_COSTO'!$A$4:$A$28,0)),"(sin catálogo)"))</f>
        <v/>
      </c>
      <c r="Y410" s="24">
        <f>IF($F410="","",IFERROR(INDEX('CAT_CENTROS_COSTO'!$D$4:$D$28,MATCH($F410,'CAT_CENTROS_COSTO'!$A$4:$A$28,0)),"(sin catálogo)"))</f>
        <v/>
      </c>
      <c r="Z410" s="24">
        <f>IF($F410="","",IF((IFERROR(INDEX('CAT_CENTROS_COSTO'!$E$4:$E$28,MATCH($F410,'CAT_CENTROS_COSTO'!$A$4:$A$28,0)),""))&lt;&gt;"",IFERROR(INDEX('CAT_CENTROS_COSTO'!$E$4:$E$28,MATCH($F410,'CAT_CENTROS_COSTO'!$A$4:$A$28,0)),""),$Y410))</f>
        <v/>
      </c>
      <c r="AA410" s="24">
        <f>IF($F410="","",IFERROR(INDEX('CAT_CENTROS_COSTO'!$G$4:$G$28,MATCH($F410,'CAT_CENTROS_COSTO'!$A$4:$A$28,0)),"(sin catálogo)"))</f>
        <v/>
      </c>
      <c r="AB410" s="24">
        <f>IF($G410="","",IFERROR(INDEX('CAT_PUESTOS'!$B$4:$B$23,MATCH($G410,'CAT_PUESTOS'!$A$4:$A$23,0)),"(sin catálogo)"))</f>
        <v/>
      </c>
      <c r="AC410" s="24">
        <f>IF($H410="","",IFERROR(INDEX('CAT_ACTIVIDADES'!$B$4:$B$26,MATCH($H410,'CAT_ACTIVIDADES'!$A$4:$A$26,0)),"(sin catálogo)"))</f>
        <v/>
      </c>
      <c r="AD410" s="26">
        <f>IF($J410="","",TODAY()-$J410)</f>
        <v/>
      </c>
      <c r="AE410" s="26">
        <f>IF($J410="","",IF($J410&lt;=TODAY(),COUNTIFS(cal_fechas,"&gt;="&amp;$J410,cal_fechas,"&lt;"&amp;TODAY(),cal_habil,"sí"),-COUNTIFS(cal_fechas,"&gt;="&amp;TODAY(),cal_fechas,"&lt;"&amp;$J410,cal_habil,"sí")))</f>
        <v/>
      </c>
      <c r="AF410" s="24">
        <f>IF($AE410="","",IF($AE410&lt;0,"FUTURO",IF($AE410&gt;p_dias_backlog_max,"BACKLOG","MES CORRIENTE")))</f>
        <v/>
      </c>
      <c r="AG410" s="24">
        <f>IF($AE410="",FALSE,AND($AE410&gt;p_dias_backlog_min,$AE410&lt;=p_dias_backlog_max))</f>
        <v/>
      </c>
      <c r="AH410" s="4" t="n"/>
      <c r="AI410" s="24">
        <f>IF($AH410="","",IF((IFERROR(INDEX('ASIGNACIONES'!$J$4:$J$451,MATCH($O410&amp;"|"&amp;$S410&amp;"|"&amp;$AH410,'ASIGNACIONES'!$N$4:$N$451,0)),""))=0,"",IFERROR(INDEX('ASIGNACIONES'!$J$4:$J$451,MATCH($O410&amp;"|"&amp;$S410&amp;"|"&amp;$AH410,'ASIGNACIONES'!$N$4:$N$451,0)),"")))</f>
        <v/>
      </c>
      <c r="AJ410" s="42">
        <f>IF($AH410="","",SUMIFS('ORDENES'!$M$4:$M$1203,'ORDENES'!$AH$4:$AH$1203,$AH410,'ORDENES'!$O$4:$O$1203,$O410,'ORDENES'!$S$4:$S$1203,$S410))</f>
        <v/>
      </c>
      <c r="AK410" s="42">
        <f>IF($AJ410="","",p_factor_productividad*IFERROR(INDEX('ASIGNACIONES'!$M$4:$M$451,MATCH($O410&amp;"|"&amp;$S410&amp;"|"&amp;$AH410,'ASIGNACIONES'!$N$4:$N$451,0)),0)-$AJ410)</f>
        <v/>
      </c>
      <c r="AL410" s="32">
        <f>IF($A410="","",IFERROR(INDEX('2_IMPORTAR_EJECUCION'!$F$9:$F$1208,MATCH($AU410,'2_IMPORTAR_EJECUCION'!$J$9:$J$1208,0)),0))</f>
        <v/>
      </c>
      <c r="AM410" s="32">
        <f>IF($A410="","",MAX(0,IFERROR(INDEX('2_IMPORTAR_EJECUCION'!$H$9:$H$1208,MATCH($AU410,'2_IMPORTAR_EJECUCION'!$J$9:$J$1208,0)),0)-$AL410))</f>
        <v/>
      </c>
      <c r="AN410" s="32">
        <f>IF($A410="","",$AL410+$AM410)</f>
        <v/>
      </c>
      <c r="AO410" s="24">
        <f>IF($A410="","",IF(OR((IFERROR(INDEX('CAT_ACTIVIDADES'!$D$4:$D$26,MATCH($H410,'CAT_ACTIVIDADES'!$A$4:$A$26,0)),""))=0,(IFERROR(INDEX('CAT_ACTIVIDADES'!$D$4:$D$26,MATCH($H410,'CAT_ACTIVIDADES'!$A$4:$A$26,0)),""))=""),"SIN CLASIFICAR",IFERROR(INDEX('CAT_ACTIVIDADES'!$D$4:$D$26,MATCH($H410,'CAT_ACTIVIDADES'!$A$4:$A$26,0)),"")))</f>
        <v/>
      </c>
      <c r="AP410" s="4" t="n"/>
      <c r="AQ410" s="4" t="n"/>
      <c r="AR410" s="4" t="n"/>
      <c r="AS410" s="24">
        <f>IF($AR410="","",HYPERLINK(p_ruta_base_checklists&amp;$AR410,"abrir"))</f>
        <v/>
      </c>
      <c r="AT410" s="4" t="n"/>
      <c r="AU410" s="24">
        <f>IF($A410="","",$A410&amp;IF($B410="","0010",$B410))</f>
        <v/>
      </c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41" t="n"/>
      <c r="K411" s="5" t="n"/>
      <c r="L411" s="18" t="n"/>
      <c r="M411" s="24">
        <f>IF($A411="","",IFERROR(INDEX('AJUSTES'!$B$4:$B$303,MATCH($AU411,'AJUSTES'!$A$4:$A$303,0)),IF($K411="","",$K411)))</f>
        <v/>
      </c>
      <c r="N411" s="24">
        <f>IF($A411="","",IFERROR(INDEX('CAT_ESTADOS_ERP'!$B$4:$B$22,MATCH(IFERROR(INDEX('2_IMPORTAR_EJECUCION'!$C$9:$C$1208,MATCH($AU411,'2_IMPORTAR_EJECUCION'!$J$9:$J$1208,0)),""),'CAT_ESTADOS_ERP'!$A$4:$A$22,0)),"Pendiente"))</f>
        <v/>
      </c>
      <c r="O411" s="24">
        <f>IF($J411="","",YEAR($J411+4-WEEKDAY($J411,2))&amp;"-S"&amp;TEXT(_xlfn.ISOWEEKNUM($J411),"00"))</f>
        <v/>
      </c>
      <c r="P411" s="24">
        <f>IF($J411="","",YEAR($J411))</f>
        <v/>
      </c>
      <c r="Q411" s="24">
        <f>IF($J411="","",MONTH($J411))</f>
        <v/>
      </c>
      <c r="R411" s="24">
        <f>IF($J411="","",$P411&amp;"-"&amp;TEXT($Q411,"00"))</f>
        <v/>
      </c>
      <c r="S411" s="24">
        <f>IF($J411="","",INDEX(lista_dias,WEEKDAY($J411,2)))</f>
        <v/>
      </c>
      <c r="T411" s="24">
        <f>IF($J411="","",IFERROR(INDEX('CALENDARIO'!$C$15:$C$214,MATCH(TEXT($J411,"yyyy-mm-dd")&amp;"|"&amp;$Y411&amp;"|"&amp;$Z411,'CALENDARIO'!$G$15:$G$214,0)),IFERROR(INDEX('CALENDARIO'!$C$15:$C$214,MATCH(TEXT($J411,"yyyy-mm-dd")&amp;"|"&amp;$Y411&amp;"|",'CALENDARIO'!$G$15:$G$214,0)),IFERROR(INDEX('CALENDARIO'!$C$15:$C$214,MATCH(TEXT($J411,"yyyy-mm-dd")&amp;"||",'CALENDARIO'!$G$15:$G$214,0)),INDEX(patronHabil,WEEKDAY($J411,2))))))</f>
        <v/>
      </c>
      <c r="U411" s="24">
        <f>IF($I411="","",IFERROR(INDEX('CAT_TIPOS_OT'!$C$4:$C$23,MATCH($I411,'CAT_TIPOS_OT'!$A$4:$A$23,0)),"sin_clasificar"))</f>
        <v/>
      </c>
      <c r="V411" s="24">
        <f>IF($I411="","",IF(IFERROR(INDEX('CAT_TIPOS_OT'!$D$4:$D$23,MATCH($I411,'CAT_TIPOS_OT'!$A$4:$A$23,0)),"SIN CLASIFICAR")="","SIN CLASIFICAR",IFERROR(INDEX('CAT_TIPOS_OT'!$D$4:$D$23,MATCH($I411,'CAT_TIPOS_OT'!$A$4:$A$23,0)),"SIN CLASIFICAR")))</f>
        <v/>
      </c>
      <c r="W411" s="24">
        <f>IF($H411="","",IF(IFERROR(INDEX('CAT_ACTIVIDADES'!$F$4:$F$26,MATCH($H411,'CAT_ACTIVIDADES'!$A$4:$A$26,0)),"")=0,"",IFERROR(INDEX('CAT_ACTIVIDADES'!$F$4:$F$26,MATCH($H411,'CAT_ACTIVIDADES'!$A$4:$A$26,0)),"")))</f>
        <v/>
      </c>
      <c r="X411" s="24">
        <f>IF($F411="","",IFERROR(INDEX('CAT_CENTROS_COSTO'!$F$4:$F$28,MATCH($F411,'CAT_CENTROS_COSTO'!$A$4:$A$28,0)),"(sin catálogo)"))</f>
        <v/>
      </c>
      <c r="Y411" s="24">
        <f>IF($F411="","",IFERROR(INDEX('CAT_CENTROS_COSTO'!$D$4:$D$28,MATCH($F411,'CAT_CENTROS_COSTO'!$A$4:$A$28,0)),"(sin catálogo)"))</f>
        <v/>
      </c>
      <c r="Z411" s="24">
        <f>IF($F411="","",IF((IFERROR(INDEX('CAT_CENTROS_COSTO'!$E$4:$E$28,MATCH($F411,'CAT_CENTROS_COSTO'!$A$4:$A$28,0)),""))&lt;&gt;"",IFERROR(INDEX('CAT_CENTROS_COSTO'!$E$4:$E$28,MATCH($F411,'CAT_CENTROS_COSTO'!$A$4:$A$28,0)),""),$Y411))</f>
        <v/>
      </c>
      <c r="AA411" s="24">
        <f>IF($F411="","",IFERROR(INDEX('CAT_CENTROS_COSTO'!$G$4:$G$28,MATCH($F411,'CAT_CENTROS_COSTO'!$A$4:$A$28,0)),"(sin catálogo)"))</f>
        <v/>
      </c>
      <c r="AB411" s="24">
        <f>IF($G411="","",IFERROR(INDEX('CAT_PUESTOS'!$B$4:$B$23,MATCH($G411,'CAT_PUESTOS'!$A$4:$A$23,0)),"(sin catálogo)"))</f>
        <v/>
      </c>
      <c r="AC411" s="24">
        <f>IF($H411="","",IFERROR(INDEX('CAT_ACTIVIDADES'!$B$4:$B$26,MATCH($H411,'CAT_ACTIVIDADES'!$A$4:$A$26,0)),"(sin catálogo)"))</f>
        <v/>
      </c>
      <c r="AD411" s="26">
        <f>IF($J411="","",TODAY()-$J411)</f>
        <v/>
      </c>
      <c r="AE411" s="26">
        <f>IF($J411="","",IF($J411&lt;=TODAY(),COUNTIFS(cal_fechas,"&gt;="&amp;$J411,cal_fechas,"&lt;"&amp;TODAY(),cal_habil,"sí"),-COUNTIFS(cal_fechas,"&gt;="&amp;TODAY(),cal_fechas,"&lt;"&amp;$J411,cal_habil,"sí")))</f>
        <v/>
      </c>
      <c r="AF411" s="24">
        <f>IF($AE411="","",IF($AE411&lt;0,"FUTURO",IF($AE411&gt;p_dias_backlog_max,"BACKLOG","MES CORRIENTE")))</f>
        <v/>
      </c>
      <c r="AG411" s="24">
        <f>IF($AE411="",FALSE,AND($AE411&gt;p_dias_backlog_min,$AE411&lt;=p_dias_backlog_max))</f>
        <v/>
      </c>
      <c r="AH411" s="4" t="n"/>
      <c r="AI411" s="24">
        <f>IF($AH411="","",IF((IFERROR(INDEX('ASIGNACIONES'!$J$4:$J$451,MATCH($O411&amp;"|"&amp;$S411&amp;"|"&amp;$AH411,'ASIGNACIONES'!$N$4:$N$451,0)),""))=0,"",IFERROR(INDEX('ASIGNACIONES'!$J$4:$J$451,MATCH($O411&amp;"|"&amp;$S411&amp;"|"&amp;$AH411,'ASIGNACIONES'!$N$4:$N$451,0)),"")))</f>
        <v/>
      </c>
      <c r="AJ411" s="42">
        <f>IF($AH411="","",SUMIFS('ORDENES'!$M$4:$M$1203,'ORDENES'!$AH$4:$AH$1203,$AH411,'ORDENES'!$O$4:$O$1203,$O411,'ORDENES'!$S$4:$S$1203,$S411))</f>
        <v/>
      </c>
      <c r="AK411" s="42">
        <f>IF($AJ411="","",p_factor_productividad*IFERROR(INDEX('ASIGNACIONES'!$M$4:$M$451,MATCH($O411&amp;"|"&amp;$S411&amp;"|"&amp;$AH411,'ASIGNACIONES'!$N$4:$N$451,0)),0)-$AJ411)</f>
        <v/>
      </c>
      <c r="AL411" s="32">
        <f>IF($A411="","",IFERROR(INDEX('2_IMPORTAR_EJECUCION'!$F$9:$F$1208,MATCH($AU411,'2_IMPORTAR_EJECUCION'!$J$9:$J$1208,0)),0))</f>
        <v/>
      </c>
      <c r="AM411" s="32">
        <f>IF($A411="","",MAX(0,IFERROR(INDEX('2_IMPORTAR_EJECUCION'!$H$9:$H$1208,MATCH($AU411,'2_IMPORTAR_EJECUCION'!$J$9:$J$1208,0)),0)-$AL411))</f>
        <v/>
      </c>
      <c r="AN411" s="32">
        <f>IF($A411="","",$AL411+$AM411)</f>
        <v/>
      </c>
      <c r="AO411" s="24">
        <f>IF($A411="","",IF(OR((IFERROR(INDEX('CAT_ACTIVIDADES'!$D$4:$D$26,MATCH($H411,'CAT_ACTIVIDADES'!$A$4:$A$26,0)),""))=0,(IFERROR(INDEX('CAT_ACTIVIDADES'!$D$4:$D$26,MATCH($H411,'CAT_ACTIVIDADES'!$A$4:$A$26,0)),""))=""),"SIN CLASIFICAR",IFERROR(INDEX('CAT_ACTIVIDADES'!$D$4:$D$26,MATCH($H411,'CAT_ACTIVIDADES'!$A$4:$A$26,0)),"")))</f>
        <v/>
      </c>
      <c r="AP411" s="4" t="n"/>
      <c r="AQ411" s="4" t="n"/>
      <c r="AR411" s="4" t="n"/>
      <c r="AS411" s="24">
        <f>IF($AR411="","",HYPERLINK(p_ruta_base_checklists&amp;$AR411,"abrir"))</f>
        <v/>
      </c>
      <c r="AT411" s="4" t="n"/>
      <c r="AU411" s="24">
        <f>IF($A411="","",$A411&amp;IF($B411="","0010",$B411))</f>
        <v/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41" t="n"/>
      <c r="K412" s="5" t="n"/>
      <c r="L412" s="18" t="n"/>
      <c r="M412" s="24">
        <f>IF($A412="","",IFERROR(INDEX('AJUSTES'!$B$4:$B$303,MATCH($AU412,'AJUSTES'!$A$4:$A$303,0)),IF($K412="","",$K412)))</f>
        <v/>
      </c>
      <c r="N412" s="24">
        <f>IF($A412="","",IFERROR(INDEX('CAT_ESTADOS_ERP'!$B$4:$B$22,MATCH(IFERROR(INDEX('2_IMPORTAR_EJECUCION'!$C$9:$C$1208,MATCH($AU412,'2_IMPORTAR_EJECUCION'!$J$9:$J$1208,0)),""),'CAT_ESTADOS_ERP'!$A$4:$A$22,0)),"Pendiente"))</f>
        <v/>
      </c>
      <c r="O412" s="24">
        <f>IF($J412="","",YEAR($J412+4-WEEKDAY($J412,2))&amp;"-S"&amp;TEXT(_xlfn.ISOWEEKNUM($J412),"00"))</f>
        <v/>
      </c>
      <c r="P412" s="24">
        <f>IF($J412="","",YEAR($J412))</f>
        <v/>
      </c>
      <c r="Q412" s="24">
        <f>IF($J412="","",MONTH($J412))</f>
        <v/>
      </c>
      <c r="R412" s="24">
        <f>IF($J412="","",$P412&amp;"-"&amp;TEXT($Q412,"00"))</f>
        <v/>
      </c>
      <c r="S412" s="24">
        <f>IF($J412="","",INDEX(lista_dias,WEEKDAY($J412,2)))</f>
        <v/>
      </c>
      <c r="T412" s="24">
        <f>IF($J412="","",IFERROR(INDEX('CALENDARIO'!$C$15:$C$214,MATCH(TEXT($J412,"yyyy-mm-dd")&amp;"|"&amp;$Y412&amp;"|"&amp;$Z412,'CALENDARIO'!$G$15:$G$214,0)),IFERROR(INDEX('CALENDARIO'!$C$15:$C$214,MATCH(TEXT($J412,"yyyy-mm-dd")&amp;"|"&amp;$Y412&amp;"|",'CALENDARIO'!$G$15:$G$214,0)),IFERROR(INDEX('CALENDARIO'!$C$15:$C$214,MATCH(TEXT($J412,"yyyy-mm-dd")&amp;"||",'CALENDARIO'!$G$15:$G$214,0)),INDEX(patronHabil,WEEKDAY($J412,2))))))</f>
        <v/>
      </c>
      <c r="U412" s="24">
        <f>IF($I412="","",IFERROR(INDEX('CAT_TIPOS_OT'!$C$4:$C$23,MATCH($I412,'CAT_TIPOS_OT'!$A$4:$A$23,0)),"sin_clasificar"))</f>
        <v/>
      </c>
      <c r="V412" s="24">
        <f>IF($I412="","",IF(IFERROR(INDEX('CAT_TIPOS_OT'!$D$4:$D$23,MATCH($I412,'CAT_TIPOS_OT'!$A$4:$A$23,0)),"SIN CLASIFICAR")="","SIN CLASIFICAR",IFERROR(INDEX('CAT_TIPOS_OT'!$D$4:$D$23,MATCH($I412,'CAT_TIPOS_OT'!$A$4:$A$23,0)),"SIN CLASIFICAR")))</f>
        <v/>
      </c>
      <c r="W412" s="24">
        <f>IF($H412="","",IF(IFERROR(INDEX('CAT_ACTIVIDADES'!$F$4:$F$26,MATCH($H412,'CAT_ACTIVIDADES'!$A$4:$A$26,0)),"")=0,"",IFERROR(INDEX('CAT_ACTIVIDADES'!$F$4:$F$26,MATCH($H412,'CAT_ACTIVIDADES'!$A$4:$A$26,0)),"")))</f>
        <v/>
      </c>
      <c r="X412" s="24">
        <f>IF($F412="","",IFERROR(INDEX('CAT_CENTROS_COSTO'!$F$4:$F$28,MATCH($F412,'CAT_CENTROS_COSTO'!$A$4:$A$28,0)),"(sin catálogo)"))</f>
        <v/>
      </c>
      <c r="Y412" s="24">
        <f>IF($F412="","",IFERROR(INDEX('CAT_CENTROS_COSTO'!$D$4:$D$28,MATCH($F412,'CAT_CENTROS_COSTO'!$A$4:$A$28,0)),"(sin catálogo)"))</f>
        <v/>
      </c>
      <c r="Z412" s="24">
        <f>IF($F412="","",IF((IFERROR(INDEX('CAT_CENTROS_COSTO'!$E$4:$E$28,MATCH($F412,'CAT_CENTROS_COSTO'!$A$4:$A$28,0)),""))&lt;&gt;"",IFERROR(INDEX('CAT_CENTROS_COSTO'!$E$4:$E$28,MATCH($F412,'CAT_CENTROS_COSTO'!$A$4:$A$28,0)),""),$Y412))</f>
        <v/>
      </c>
      <c r="AA412" s="24">
        <f>IF($F412="","",IFERROR(INDEX('CAT_CENTROS_COSTO'!$G$4:$G$28,MATCH($F412,'CAT_CENTROS_COSTO'!$A$4:$A$28,0)),"(sin catálogo)"))</f>
        <v/>
      </c>
      <c r="AB412" s="24">
        <f>IF($G412="","",IFERROR(INDEX('CAT_PUESTOS'!$B$4:$B$23,MATCH($G412,'CAT_PUESTOS'!$A$4:$A$23,0)),"(sin catálogo)"))</f>
        <v/>
      </c>
      <c r="AC412" s="24">
        <f>IF($H412="","",IFERROR(INDEX('CAT_ACTIVIDADES'!$B$4:$B$26,MATCH($H412,'CAT_ACTIVIDADES'!$A$4:$A$26,0)),"(sin catálogo)"))</f>
        <v/>
      </c>
      <c r="AD412" s="26">
        <f>IF($J412="","",TODAY()-$J412)</f>
        <v/>
      </c>
      <c r="AE412" s="26">
        <f>IF($J412="","",IF($J412&lt;=TODAY(),COUNTIFS(cal_fechas,"&gt;="&amp;$J412,cal_fechas,"&lt;"&amp;TODAY(),cal_habil,"sí"),-COUNTIFS(cal_fechas,"&gt;="&amp;TODAY(),cal_fechas,"&lt;"&amp;$J412,cal_habil,"sí")))</f>
        <v/>
      </c>
      <c r="AF412" s="24">
        <f>IF($AE412="","",IF($AE412&lt;0,"FUTURO",IF($AE412&gt;p_dias_backlog_max,"BACKLOG","MES CORRIENTE")))</f>
        <v/>
      </c>
      <c r="AG412" s="24">
        <f>IF($AE412="",FALSE,AND($AE412&gt;p_dias_backlog_min,$AE412&lt;=p_dias_backlog_max))</f>
        <v/>
      </c>
      <c r="AH412" s="4" t="n"/>
      <c r="AI412" s="24">
        <f>IF($AH412="","",IF((IFERROR(INDEX('ASIGNACIONES'!$J$4:$J$451,MATCH($O412&amp;"|"&amp;$S412&amp;"|"&amp;$AH412,'ASIGNACIONES'!$N$4:$N$451,0)),""))=0,"",IFERROR(INDEX('ASIGNACIONES'!$J$4:$J$451,MATCH($O412&amp;"|"&amp;$S412&amp;"|"&amp;$AH412,'ASIGNACIONES'!$N$4:$N$451,0)),"")))</f>
        <v/>
      </c>
      <c r="AJ412" s="42">
        <f>IF($AH412="","",SUMIFS('ORDENES'!$M$4:$M$1203,'ORDENES'!$AH$4:$AH$1203,$AH412,'ORDENES'!$O$4:$O$1203,$O412,'ORDENES'!$S$4:$S$1203,$S412))</f>
        <v/>
      </c>
      <c r="AK412" s="42">
        <f>IF($AJ412="","",p_factor_productividad*IFERROR(INDEX('ASIGNACIONES'!$M$4:$M$451,MATCH($O412&amp;"|"&amp;$S412&amp;"|"&amp;$AH412,'ASIGNACIONES'!$N$4:$N$451,0)),0)-$AJ412)</f>
        <v/>
      </c>
      <c r="AL412" s="32">
        <f>IF($A412="","",IFERROR(INDEX('2_IMPORTAR_EJECUCION'!$F$9:$F$1208,MATCH($AU412,'2_IMPORTAR_EJECUCION'!$J$9:$J$1208,0)),0))</f>
        <v/>
      </c>
      <c r="AM412" s="32">
        <f>IF($A412="","",MAX(0,IFERROR(INDEX('2_IMPORTAR_EJECUCION'!$H$9:$H$1208,MATCH($AU412,'2_IMPORTAR_EJECUCION'!$J$9:$J$1208,0)),0)-$AL412))</f>
        <v/>
      </c>
      <c r="AN412" s="32">
        <f>IF($A412="","",$AL412+$AM412)</f>
        <v/>
      </c>
      <c r="AO412" s="24">
        <f>IF($A412="","",IF(OR((IFERROR(INDEX('CAT_ACTIVIDADES'!$D$4:$D$26,MATCH($H412,'CAT_ACTIVIDADES'!$A$4:$A$26,0)),""))=0,(IFERROR(INDEX('CAT_ACTIVIDADES'!$D$4:$D$26,MATCH($H412,'CAT_ACTIVIDADES'!$A$4:$A$26,0)),""))=""),"SIN CLASIFICAR",IFERROR(INDEX('CAT_ACTIVIDADES'!$D$4:$D$26,MATCH($H412,'CAT_ACTIVIDADES'!$A$4:$A$26,0)),"")))</f>
        <v/>
      </c>
      <c r="AP412" s="4" t="n"/>
      <c r="AQ412" s="4" t="n"/>
      <c r="AR412" s="4" t="n"/>
      <c r="AS412" s="24">
        <f>IF($AR412="","",HYPERLINK(p_ruta_base_checklists&amp;$AR412,"abrir"))</f>
        <v/>
      </c>
      <c r="AT412" s="4" t="n"/>
      <c r="AU412" s="24">
        <f>IF($A412="","",$A412&amp;IF($B412="","0010",$B412))</f>
        <v/>
      </c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41" t="n"/>
      <c r="K413" s="5" t="n"/>
      <c r="L413" s="18" t="n"/>
      <c r="M413" s="24">
        <f>IF($A413="","",IFERROR(INDEX('AJUSTES'!$B$4:$B$303,MATCH($AU413,'AJUSTES'!$A$4:$A$303,0)),IF($K413="","",$K413)))</f>
        <v/>
      </c>
      <c r="N413" s="24">
        <f>IF($A413="","",IFERROR(INDEX('CAT_ESTADOS_ERP'!$B$4:$B$22,MATCH(IFERROR(INDEX('2_IMPORTAR_EJECUCION'!$C$9:$C$1208,MATCH($AU413,'2_IMPORTAR_EJECUCION'!$J$9:$J$1208,0)),""),'CAT_ESTADOS_ERP'!$A$4:$A$22,0)),"Pendiente"))</f>
        <v/>
      </c>
      <c r="O413" s="24">
        <f>IF($J413="","",YEAR($J413+4-WEEKDAY($J413,2))&amp;"-S"&amp;TEXT(_xlfn.ISOWEEKNUM($J413),"00"))</f>
        <v/>
      </c>
      <c r="P413" s="24">
        <f>IF($J413="","",YEAR($J413))</f>
        <v/>
      </c>
      <c r="Q413" s="24">
        <f>IF($J413="","",MONTH($J413))</f>
        <v/>
      </c>
      <c r="R413" s="24">
        <f>IF($J413="","",$P413&amp;"-"&amp;TEXT($Q413,"00"))</f>
        <v/>
      </c>
      <c r="S413" s="24">
        <f>IF($J413="","",INDEX(lista_dias,WEEKDAY($J413,2)))</f>
        <v/>
      </c>
      <c r="T413" s="24">
        <f>IF($J413="","",IFERROR(INDEX('CALENDARIO'!$C$15:$C$214,MATCH(TEXT($J413,"yyyy-mm-dd")&amp;"|"&amp;$Y413&amp;"|"&amp;$Z413,'CALENDARIO'!$G$15:$G$214,0)),IFERROR(INDEX('CALENDARIO'!$C$15:$C$214,MATCH(TEXT($J413,"yyyy-mm-dd")&amp;"|"&amp;$Y413&amp;"|",'CALENDARIO'!$G$15:$G$214,0)),IFERROR(INDEX('CALENDARIO'!$C$15:$C$214,MATCH(TEXT($J413,"yyyy-mm-dd")&amp;"||",'CALENDARIO'!$G$15:$G$214,0)),INDEX(patronHabil,WEEKDAY($J413,2))))))</f>
        <v/>
      </c>
      <c r="U413" s="24">
        <f>IF($I413="","",IFERROR(INDEX('CAT_TIPOS_OT'!$C$4:$C$23,MATCH($I413,'CAT_TIPOS_OT'!$A$4:$A$23,0)),"sin_clasificar"))</f>
        <v/>
      </c>
      <c r="V413" s="24">
        <f>IF($I413="","",IF(IFERROR(INDEX('CAT_TIPOS_OT'!$D$4:$D$23,MATCH($I413,'CAT_TIPOS_OT'!$A$4:$A$23,0)),"SIN CLASIFICAR")="","SIN CLASIFICAR",IFERROR(INDEX('CAT_TIPOS_OT'!$D$4:$D$23,MATCH($I413,'CAT_TIPOS_OT'!$A$4:$A$23,0)),"SIN CLASIFICAR")))</f>
        <v/>
      </c>
      <c r="W413" s="24">
        <f>IF($H413="","",IF(IFERROR(INDEX('CAT_ACTIVIDADES'!$F$4:$F$26,MATCH($H413,'CAT_ACTIVIDADES'!$A$4:$A$26,0)),"")=0,"",IFERROR(INDEX('CAT_ACTIVIDADES'!$F$4:$F$26,MATCH($H413,'CAT_ACTIVIDADES'!$A$4:$A$26,0)),"")))</f>
        <v/>
      </c>
      <c r="X413" s="24">
        <f>IF($F413="","",IFERROR(INDEX('CAT_CENTROS_COSTO'!$F$4:$F$28,MATCH($F413,'CAT_CENTROS_COSTO'!$A$4:$A$28,0)),"(sin catálogo)"))</f>
        <v/>
      </c>
      <c r="Y413" s="24">
        <f>IF($F413="","",IFERROR(INDEX('CAT_CENTROS_COSTO'!$D$4:$D$28,MATCH($F413,'CAT_CENTROS_COSTO'!$A$4:$A$28,0)),"(sin catálogo)"))</f>
        <v/>
      </c>
      <c r="Z413" s="24">
        <f>IF($F413="","",IF((IFERROR(INDEX('CAT_CENTROS_COSTO'!$E$4:$E$28,MATCH($F413,'CAT_CENTROS_COSTO'!$A$4:$A$28,0)),""))&lt;&gt;"",IFERROR(INDEX('CAT_CENTROS_COSTO'!$E$4:$E$28,MATCH($F413,'CAT_CENTROS_COSTO'!$A$4:$A$28,0)),""),$Y413))</f>
        <v/>
      </c>
      <c r="AA413" s="24">
        <f>IF($F413="","",IFERROR(INDEX('CAT_CENTROS_COSTO'!$G$4:$G$28,MATCH($F413,'CAT_CENTROS_COSTO'!$A$4:$A$28,0)),"(sin catálogo)"))</f>
        <v/>
      </c>
      <c r="AB413" s="24">
        <f>IF($G413="","",IFERROR(INDEX('CAT_PUESTOS'!$B$4:$B$23,MATCH($G413,'CAT_PUESTOS'!$A$4:$A$23,0)),"(sin catálogo)"))</f>
        <v/>
      </c>
      <c r="AC413" s="24">
        <f>IF($H413="","",IFERROR(INDEX('CAT_ACTIVIDADES'!$B$4:$B$26,MATCH($H413,'CAT_ACTIVIDADES'!$A$4:$A$26,0)),"(sin catálogo)"))</f>
        <v/>
      </c>
      <c r="AD413" s="26">
        <f>IF($J413="","",TODAY()-$J413)</f>
        <v/>
      </c>
      <c r="AE413" s="26">
        <f>IF($J413="","",IF($J413&lt;=TODAY(),COUNTIFS(cal_fechas,"&gt;="&amp;$J413,cal_fechas,"&lt;"&amp;TODAY(),cal_habil,"sí"),-COUNTIFS(cal_fechas,"&gt;="&amp;TODAY(),cal_fechas,"&lt;"&amp;$J413,cal_habil,"sí")))</f>
        <v/>
      </c>
      <c r="AF413" s="24">
        <f>IF($AE413="","",IF($AE413&lt;0,"FUTURO",IF($AE413&gt;p_dias_backlog_max,"BACKLOG","MES CORRIENTE")))</f>
        <v/>
      </c>
      <c r="AG413" s="24">
        <f>IF($AE413="",FALSE,AND($AE413&gt;p_dias_backlog_min,$AE413&lt;=p_dias_backlog_max))</f>
        <v/>
      </c>
      <c r="AH413" s="4" t="n"/>
      <c r="AI413" s="24">
        <f>IF($AH413="","",IF((IFERROR(INDEX('ASIGNACIONES'!$J$4:$J$451,MATCH($O413&amp;"|"&amp;$S413&amp;"|"&amp;$AH413,'ASIGNACIONES'!$N$4:$N$451,0)),""))=0,"",IFERROR(INDEX('ASIGNACIONES'!$J$4:$J$451,MATCH($O413&amp;"|"&amp;$S413&amp;"|"&amp;$AH413,'ASIGNACIONES'!$N$4:$N$451,0)),"")))</f>
        <v/>
      </c>
      <c r="AJ413" s="42">
        <f>IF($AH413="","",SUMIFS('ORDENES'!$M$4:$M$1203,'ORDENES'!$AH$4:$AH$1203,$AH413,'ORDENES'!$O$4:$O$1203,$O413,'ORDENES'!$S$4:$S$1203,$S413))</f>
        <v/>
      </c>
      <c r="AK413" s="42">
        <f>IF($AJ413="","",p_factor_productividad*IFERROR(INDEX('ASIGNACIONES'!$M$4:$M$451,MATCH($O413&amp;"|"&amp;$S413&amp;"|"&amp;$AH413,'ASIGNACIONES'!$N$4:$N$451,0)),0)-$AJ413)</f>
        <v/>
      </c>
      <c r="AL413" s="32">
        <f>IF($A413="","",IFERROR(INDEX('2_IMPORTAR_EJECUCION'!$F$9:$F$1208,MATCH($AU413,'2_IMPORTAR_EJECUCION'!$J$9:$J$1208,0)),0))</f>
        <v/>
      </c>
      <c r="AM413" s="32">
        <f>IF($A413="","",MAX(0,IFERROR(INDEX('2_IMPORTAR_EJECUCION'!$H$9:$H$1208,MATCH($AU413,'2_IMPORTAR_EJECUCION'!$J$9:$J$1208,0)),0)-$AL413))</f>
        <v/>
      </c>
      <c r="AN413" s="32">
        <f>IF($A413="","",$AL413+$AM413)</f>
        <v/>
      </c>
      <c r="AO413" s="24">
        <f>IF($A413="","",IF(OR((IFERROR(INDEX('CAT_ACTIVIDADES'!$D$4:$D$26,MATCH($H413,'CAT_ACTIVIDADES'!$A$4:$A$26,0)),""))=0,(IFERROR(INDEX('CAT_ACTIVIDADES'!$D$4:$D$26,MATCH($H413,'CAT_ACTIVIDADES'!$A$4:$A$26,0)),""))=""),"SIN CLASIFICAR",IFERROR(INDEX('CAT_ACTIVIDADES'!$D$4:$D$26,MATCH($H413,'CAT_ACTIVIDADES'!$A$4:$A$26,0)),"")))</f>
        <v/>
      </c>
      <c r="AP413" s="4" t="n"/>
      <c r="AQ413" s="4" t="n"/>
      <c r="AR413" s="4" t="n"/>
      <c r="AS413" s="24">
        <f>IF($AR413="","",HYPERLINK(p_ruta_base_checklists&amp;$AR413,"abrir"))</f>
        <v/>
      </c>
      <c r="AT413" s="4" t="n"/>
      <c r="AU413" s="24">
        <f>IF($A413="","",$A413&amp;IF($B413="","0010",$B413))</f>
        <v/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41" t="n"/>
      <c r="K414" s="5" t="n"/>
      <c r="L414" s="18" t="n"/>
      <c r="M414" s="24">
        <f>IF($A414="","",IFERROR(INDEX('AJUSTES'!$B$4:$B$303,MATCH($AU414,'AJUSTES'!$A$4:$A$303,0)),IF($K414="","",$K414)))</f>
        <v/>
      </c>
      <c r="N414" s="24">
        <f>IF($A414="","",IFERROR(INDEX('CAT_ESTADOS_ERP'!$B$4:$B$22,MATCH(IFERROR(INDEX('2_IMPORTAR_EJECUCION'!$C$9:$C$1208,MATCH($AU414,'2_IMPORTAR_EJECUCION'!$J$9:$J$1208,0)),""),'CAT_ESTADOS_ERP'!$A$4:$A$22,0)),"Pendiente"))</f>
        <v/>
      </c>
      <c r="O414" s="24">
        <f>IF($J414="","",YEAR($J414+4-WEEKDAY($J414,2))&amp;"-S"&amp;TEXT(_xlfn.ISOWEEKNUM($J414),"00"))</f>
        <v/>
      </c>
      <c r="P414" s="24">
        <f>IF($J414="","",YEAR($J414))</f>
        <v/>
      </c>
      <c r="Q414" s="24">
        <f>IF($J414="","",MONTH($J414))</f>
        <v/>
      </c>
      <c r="R414" s="24">
        <f>IF($J414="","",$P414&amp;"-"&amp;TEXT($Q414,"00"))</f>
        <v/>
      </c>
      <c r="S414" s="24">
        <f>IF($J414="","",INDEX(lista_dias,WEEKDAY($J414,2)))</f>
        <v/>
      </c>
      <c r="T414" s="24">
        <f>IF($J414="","",IFERROR(INDEX('CALENDARIO'!$C$15:$C$214,MATCH(TEXT($J414,"yyyy-mm-dd")&amp;"|"&amp;$Y414&amp;"|"&amp;$Z414,'CALENDARIO'!$G$15:$G$214,0)),IFERROR(INDEX('CALENDARIO'!$C$15:$C$214,MATCH(TEXT($J414,"yyyy-mm-dd")&amp;"|"&amp;$Y414&amp;"|",'CALENDARIO'!$G$15:$G$214,0)),IFERROR(INDEX('CALENDARIO'!$C$15:$C$214,MATCH(TEXT($J414,"yyyy-mm-dd")&amp;"||",'CALENDARIO'!$G$15:$G$214,0)),INDEX(patronHabil,WEEKDAY($J414,2))))))</f>
        <v/>
      </c>
      <c r="U414" s="24">
        <f>IF($I414="","",IFERROR(INDEX('CAT_TIPOS_OT'!$C$4:$C$23,MATCH($I414,'CAT_TIPOS_OT'!$A$4:$A$23,0)),"sin_clasificar"))</f>
        <v/>
      </c>
      <c r="V414" s="24">
        <f>IF($I414="","",IF(IFERROR(INDEX('CAT_TIPOS_OT'!$D$4:$D$23,MATCH($I414,'CAT_TIPOS_OT'!$A$4:$A$23,0)),"SIN CLASIFICAR")="","SIN CLASIFICAR",IFERROR(INDEX('CAT_TIPOS_OT'!$D$4:$D$23,MATCH($I414,'CAT_TIPOS_OT'!$A$4:$A$23,0)),"SIN CLASIFICAR")))</f>
        <v/>
      </c>
      <c r="W414" s="24">
        <f>IF($H414="","",IF(IFERROR(INDEX('CAT_ACTIVIDADES'!$F$4:$F$26,MATCH($H414,'CAT_ACTIVIDADES'!$A$4:$A$26,0)),"")=0,"",IFERROR(INDEX('CAT_ACTIVIDADES'!$F$4:$F$26,MATCH($H414,'CAT_ACTIVIDADES'!$A$4:$A$26,0)),"")))</f>
        <v/>
      </c>
      <c r="X414" s="24">
        <f>IF($F414="","",IFERROR(INDEX('CAT_CENTROS_COSTO'!$F$4:$F$28,MATCH($F414,'CAT_CENTROS_COSTO'!$A$4:$A$28,0)),"(sin catálogo)"))</f>
        <v/>
      </c>
      <c r="Y414" s="24">
        <f>IF($F414="","",IFERROR(INDEX('CAT_CENTROS_COSTO'!$D$4:$D$28,MATCH($F414,'CAT_CENTROS_COSTO'!$A$4:$A$28,0)),"(sin catálogo)"))</f>
        <v/>
      </c>
      <c r="Z414" s="24">
        <f>IF($F414="","",IF((IFERROR(INDEX('CAT_CENTROS_COSTO'!$E$4:$E$28,MATCH($F414,'CAT_CENTROS_COSTO'!$A$4:$A$28,0)),""))&lt;&gt;"",IFERROR(INDEX('CAT_CENTROS_COSTO'!$E$4:$E$28,MATCH($F414,'CAT_CENTROS_COSTO'!$A$4:$A$28,0)),""),$Y414))</f>
        <v/>
      </c>
      <c r="AA414" s="24">
        <f>IF($F414="","",IFERROR(INDEX('CAT_CENTROS_COSTO'!$G$4:$G$28,MATCH($F414,'CAT_CENTROS_COSTO'!$A$4:$A$28,0)),"(sin catálogo)"))</f>
        <v/>
      </c>
      <c r="AB414" s="24">
        <f>IF($G414="","",IFERROR(INDEX('CAT_PUESTOS'!$B$4:$B$23,MATCH($G414,'CAT_PUESTOS'!$A$4:$A$23,0)),"(sin catálogo)"))</f>
        <v/>
      </c>
      <c r="AC414" s="24">
        <f>IF($H414="","",IFERROR(INDEX('CAT_ACTIVIDADES'!$B$4:$B$26,MATCH($H414,'CAT_ACTIVIDADES'!$A$4:$A$26,0)),"(sin catálogo)"))</f>
        <v/>
      </c>
      <c r="AD414" s="26">
        <f>IF($J414="","",TODAY()-$J414)</f>
        <v/>
      </c>
      <c r="AE414" s="26">
        <f>IF($J414="","",IF($J414&lt;=TODAY(),COUNTIFS(cal_fechas,"&gt;="&amp;$J414,cal_fechas,"&lt;"&amp;TODAY(),cal_habil,"sí"),-COUNTIFS(cal_fechas,"&gt;="&amp;TODAY(),cal_fechas,"&lt;"&amp;$J414,cal_habil,"sí")))</f>
        <v/>
      </c>
      <c r="AF414" s="24">
        <f>IF($AE414="","",IF($AE414&lt;0,"FUTURO",IF($AE414&gt;p_dias_backlog_max,"BACKLOG","MES CORRIENTE")))</f>
        <v/>
      </c>
      <c r="AG414" s="24">
        <f>IF($AE414="",FALSE,AND($AE414&gt;p_dias_backlog_min,$AE414&lt;=p_dias_backlog_max))</f>
        <v/>
      </c>
      <c r="AH414" s="4" t="n"/>
      <c r="AI414" s="24">
        <f>IF($AH414="","",IF((IFERROR(INDEX('ASIGNACIONES'!$J$4:$J$451,MATCH($O414&amp;"|"&amp;$S414&amp;"|"&amp;$AH414,'ASIGNACIONES'!$N$4:$N$451,0)),""))=0,"",IFERROR(INDEX('ASIGNACIONES'!$J$4:$J$451,MATCH($O414&amp;"|"&amp;$S414&amp;"|"&amp;$AH414,'ASIGNACIONES'!$N$4:$N$451,0)),"")))</f>
        <v/>
      </c>
      <c r="AJ414" s="42">
        <f>IF($AH414="","",SUMIFS('ORDENES'!$M$4:$M$1203,'ORDENES'!$AH$4:$AH$1203,$AH414,'ORDENES'!$O$4:$O$1203,$O414,'ORDENES'!$S$4:$S$1203,$S414))</f>
        <v/>
      </c>
      <c r="AK414" s="42">
        <f>IF($AJ414="","",p_factor_productividad*IFERROR(INDEX('ASIGNACIONES'!$M$4:$M$451,MATCH($O414&amp;"|"&amp;$S414&amp;"|"&amp;$AH414,'ASIGNACIONES'!$N$4:$N$451,0)),0)-$AJ414)</f>
        <v/>
      </c>
      <c r="AL414" s="32">
        <f>IF($A414="","",IFERROR(INDEX('2_IMPORTAR_EJECUCION'!$F$9:$F$1208,MATCH($AU414,'2_IMPORTAR_EJECUCION'!$J$9:$J$1208,0)),0))</f>
        <v/>
      </c>
      <c r="AM414" s="32">
        <f>IF($A414="","",MAX(0,IFERROR(INDEX('2_IMPORTAR_EJECUCION'!$H$9:$H$1208,MATCH($AU414,'2_IMPORTAR_EJECUCION'!$J$9:$J$1208,0)),0)-$AL414))</f>
        <v/>
      </c>
      <c r="AN414" s="32">
        <f>IF($A414="","",$AL414+$AM414)</f>
        <v/>
      </c>
      <c r="AO414" s="24">
        <f>IF($A414="","",IF(OR((IFERROR(INDEX('CAT_ACTIVIDADES'!$D$4:$D$26,MATCH($H414,'CAT_ACTIVIDADES'!$A$4:$A$26,0)),""))=0,(IFERROR(INDEX('CAT_ACTIVIDADES'!$D$4:$D$26,MATCH($H414,'CAT_ACTIVIDADES'!$A$4:$A$26,0)),""))=""),"SIN CLASIFICAR",IFERROR(INDEX('CAT_ACTIVIDADES'!$D$4:$D$26,MATCH($H414,'CAT_ACTIVIDADES'!$A$4:$A$26,0)),"")))</f>
        <v/>
      </c>
      <c r="AP414" s="4" t="n"/>
      <c r="AQ414" s="4" t="n"/>
      <c r="AR414" s="4" t="n"/>
      <c r="AS414" s="24">
        <f>IF($AR414="","",HYPERLINK(p_ruta_base_checklists&amp;$AR414,"abrir"))</f>
        <v/>
      </c>
      <c r="AT414" s="4" t="n"/>
      <c r="AU414" s="24">
        <f>IF($A414="","",$A414&amp;IF($B414="","0010",$B414))</f>
        <v/>
      </c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41" t="n"/>
      <c r="K415" s="5" t="n"/>
      <c r="L415" s="18" t="n"/>
      <c r="M415" s="24">
        <f>IF($A415="","",IFERROR(INDEX('AJUSTES'!$B$4:$B$303,MATCH($AU415,'AJUSTES'!$A$4:$A$303,0)),IF($K415="","",$K415)))</f>
        <v/>
      </c>
      <c r="N415" s="24">
        <f>IF($A415="","",IFERROR(INDEX('CAT_ESTADOS_ERP'!$B$4:$B$22,MATCH(IFERROR(INDEX('2_IMPORTAR_EJECUCION'!$C$9:$C$1208,MATCH($AU415,'2_IMPORTAR_EJECUCION'!$J$9:$J$1208,0)),""),'CAT_ESTADOS_ERP'!$A$4:$A$22,0)),"Pendiente"))</f>
        <v/>
      </c>
      <c r="O415" s="24">
        <f>IF($J415="","",YEAR($J415+4-WEEKDAY($J415,2))&amp;"-S"&amp;TEXT(_xlfn.ISOWEEKNUM($J415),"00"))</f>
        <v/>
      </c>
      <c r="P415" s="24">
        <f>IF($J415="","",YEAR($J415))</f>
        <v/>
      </c>
      <c r="Q415" s="24">
        <f>IF($J415="","",MONTH($J415))</f>
        <v/>
      </c>
      <c r="R415" s="24">
        <f>IF($J415="","",$P415&amp;"-"&amp;TEXT($Q415,"00"))</f>
        <v/>
      </c>
      <c r="S415" s="24">
        <f>IF($J415="","",INDEX(lista_dias,WEEKDAY($J415,2)))</f>
        <v/>
      </c>
      <c r="T415" s="24">
        <f>IF($J415="","",IFERROR(INDEX('CALENDARIO'!$C$15:$C$214,MATCH(TEXT($J415,"yyyy-mm-dd")&amp;"|"&amp;$Y415&amp;"|"&amp;$Z415,'CALENDARIO'!$G$15:$G$214,0)),IFERROR(INDEX('CALENDARIO'!$C$15:$C$214,MATCH(TEXT($J415,"yyyy-mm-dd")&amp;"|"&amp;$Y415&amp;"|",'CALENDARIO'!$G$15:$G$214,0)),IFERROR(INDEX('CALENDARIO'!$C$15:$C$214,MATCH(TEXT($J415,"yyyy-mm-dd")&amp;"||",'CALENDARIO'!$G$15:$G$214,0)),INDEX(patronHabil,WEEKDAY($J415,2))))))</f>
        <v/>
      </c>
      <c r="U415" s="24">
        <f>IF($I415="","",IFERROR(INDEX('CAT_TIPOS_OT'!$C$4:$C$23,MATCH($I415,'CAT_TIPOS_OT'!$A$4:$A$23,0)),"sin_clasificar"))</f>
        <v/>
      </c>
      <c r="V415" s="24">
        <f>IF($I415="","",IF(IFERROR(INDEX('CAT_TIPOS_OT'!$D$4:$D$23,MATCH($I415,'CAT_TIPOS_OT'!$A$4:$A$23,0)),"SIN CLASIFICAR")="","SIN CLASIFICAR",IFERROR(INDEX('CAT_TIPOS_OT'!$D$4:$D$23,MATCH($I415,'CAT_TIPOS_OT'!$A$4:$A$23,0)),"SIN CLASIFICAR")))</f>
        <v/>
      </c>
      <c r="W415" s="24">
        <f>IF($H415="","",IF(IFERROR(INDEX('CAT_ACTIVIDADES'!$F$4:$F$26,MATCH($H415,'CAT_ACTIVIDADES'!$A$4:$A$26,0)),"")=0,"",IFERROR(INDEX('CAT_ACTIVIDADES'!$F$4:$F$26,MATCH($H415,'CAT_ACTIVIDADES'!$A$4:$A$26,0)),"")))</f>
        <v/>
      </c>
      <c r="X415" s="24">
        <f>IF($F415="","",IFERROR(INDEX('CAT_CENTROS_COSTO'!$F$4:$F$28,MATCH($F415,'CAT_CENTROS_COSTO'!$A$4:$A$28,0)),"(sin catálogo)"))</f>
        <v/>
      </c>
      <c r="Y415" s="24">
        <f>IF($F415="","",IFERROR(INDEX('CAT_CENTROS_COSTO'!$D$4:$D$28,MATCH($F415,'CAT_CENTROS_COSTO'!$A$4:$A$28,0)),"(sin catálogo)"))</f>
        <v/>
      </c>
      <c r="Z415" s="24">
        <f>IF($F415="","",IF((IFERROR(INDEX('CAT_CENTROS_COSTO'!$E$4:$E$28,MATCH($F415,'CAT_CENTROS_COSTO'!$A$4:$A$28,0)),""))&lt;&gt;"",IFERROR(INDEX('CAT_CENTROS_COSTO'!$E$4:$E$28,MATCH($F415,'CAT_CENTROS_COSTO'!$A$4:$A$28,0)),""),$Y415))</f>
        <v/>
      </c>
      <c r="AA415" s="24">
        <f>IF($F415="","",IFERROR(INDEX('CAT_CENTROS_COSTO'!$G$4:$G$28,MATCH($F415,'CAT_CENTROS_COSTO'!$A$4:$A$28,0)),"(sin catálogo)"))</f>
        <v/>
      </c>
      <c r="AB415" s="24">
        <f>IF($G415="","",IFERROR(INDEX('CAT_PUESTOS'!$B$4:$B$23,MATCH($G415,'CAT_PUESTOS'!$A$4:$A$23,0)),"(sin catálogo)"))</f>
        <v/>
      </c>
      <c r="AC415" s="24">
        <f>IF($H415="","",IFERROR(INDEX('CAT_ACTIVIDADES'!$B$4:$B$26,MATCH($H415,'CAT_ACTIVIDADES'!$A$4:$A$26,0)),"(sin catálogo)"))</f>
        <v/>
      </c>
      <c r="AD415" s="26">
        <f>IF($J415="","",TODAY()-$J415)</f>
        <v/>
      </c>
      <c r="AE415" s="26">
        <f>IF($J415="","",IF($J415&lt;=TODAY(),COUNTIFS(cal_fechas,"&gt;="&amp;$J415,cal_fechas,"&lt;"&amp;TODAY(),cal_habil,"sí"),-COUNTIFS(cal_fechas,"&gt;="&amp;TODAY(),cal_fechas,"&lt;"&amp;$J415,cal_habil,"sí")))</f>
        <v/>
      </c>
      <c r="AF415" s="24">
        <f>IF($AE415="","",IF($AE415&lt;0,"FUTURO",IF($AE415&gt;p_dias_backlog_max,"BACKLOG","MES CORRIENTE")))</f>
        <v/>
      </c>
      <c r="AG415" s="24">
        <f>IF($AE415="",FALSE,AND($AE415&gt;p_dias_backlog_min,$AE415&lt;=p_dias_backlog_max))</f>
        <v/>
      </c>
      <c r="AH415" s="4" t="n"/>
      <c r="AI415" s="24">
        <f>IF($AH415="","",IF((IFERROR(INDEX('ASIGNACIONES'!$J$4:$J$451,MATCH($O415&amp;"|"&amp;$S415&amp;"|"&amp;$AH415,'ASIGNACIONES'!$N$4:$N$451,0)),""))=0,"",IFERROR(INDEX('ASIGNACIONES'!$J$4:$J$451,MATCH($O415&amp;"|"&amp;$S415&amp;"|"&amp;$AH415,'ASIGNACIONES'!$N$4:$N$451,0)),"")))</f>
        <v/>
      </c>
      <c r="AJ415" s="42">
        <f>IF($AH415="","",SUMIFS('ORDENES'!$M$4:$M$1203,'ORDENES'!$AH$4:$AH$1203,$AH415,'ORDENES'!$O$4:$O$1203,$O415,'ORDENES'!$S$4:$S$1203,$S415))</f>
        <v/>
      </c>
      <c r="AK415" s="42">
        <f>IF($AJ415="","",p_factor_productividad*IFERROR(INDEX('ASIGNACIONES'!$M$4:$M$451,MATCH($O415&amp;"|"&amp;$S415&amp;"|"&amp;$AH415,'ASIGNACIONES'!$N$4:$N$451,0)),0)-$AJ415)</f>
        <v/>
      </c>
      <c r="AL415" s="32">
        <f>IF($A415="","",IFERROR(INDEX('2_IMPORTAR_EJECUCION'!$F$9:$F$1208,MATCH($AU415,'2_IMPORTAR_EJECUCION'!$J$9:$J$1208,0)),0))</f>
        <v/>
      </c>
      <c r="AM415" s="32">
        <f>IF($A415="","",MAX(0,IFERROR(INDEX('2_IMPORTAR_EJECUCION'!$H$9:$H$1208,MATCH($AU415,'2_IMPORTAR_EJECUCION'!$J$9:$J$1208,0)),0)-$AL415))</f>
        <v/>
      </c>
      <c r="AN415" s="32">
        <f>IF($A415="","",$AL415+$AM415)</f>
        <v/>
      </c>
      <c r="AO415" s="24">
        <f>IF($A415="","",IF(OR((IFERROR(INDEX('CAT_ACTIVIDADES'!$D$4:$D$26,MATCH($H415,'CAT_ACTIVIDADES'!$A$4:$A$26,0)),""))=0,(IFERROR(INDEX('CAT_ACTIVIDADES'!$D$4:$D$26,MATCH($H415,'CAT_ACTIVIDADES'!$A$4:$A$26,0)),""))=""),"SIN CLASIFICAR",IFERROR(INDEX('CAT_ACTIVIDADES'!$D$4:$D$26,MATCH($H415,'CAT_ACTIVIDADES'!$A$4:$A$26,0)),"")))</f>
        <v/>
      </c>
      <c r="AP415" s="4" t="n"/>
      <c r="AQ415" s="4" t="n"/>
      <c r="AR415" s="4" t="n"/>
      <c r="AS415" s="24">
        <f>IF($AR415="","",HYPERLINK(p_ruta_base_checklists&amp;$AR415,"abrir"))</f>
        <v/>
      </c>
      <c r="AT415" s="4" t="n"/>
      <c r="AU415" s="24">
        <f>IF($A415="","",$A415&amp;IF($B415="","0010",$B415))</f>
        <v/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41" t="n"/>
      <c r="K416" s="5" t="n"/>
      <c r="L416" s="18" t="n"/>
      <c r="M416" s="24">
        <f>IF($A416="","",IFERROR(INDEX('AJUSTES'!$B$4:$B$303,MATCH($AU416,'AJUSTES'!$A$4:$A$303,0)),IF($K416="","",$K416)))</f>
        <v/>
      </c>
      <c r="N416" s="24">
        <f>IF($A416="","",IFERROR(INDEX('CAT_ESTADOS_ERP'!$B$4:$B$22,MATCH(IFERROR(INDEX('2_IMPORTAR_EJECUCION'!$C$9:$C$1208,MATCH($AU416,'2_IMPORTAR_EJECUCION'!$J$9:$J$1208,0)),""),'CAT_ESTADOS_ERP'!$A$4:$A$22,0)),"Pendiente"))</f>
        <v/>
      </c>
      <c r="O416" s="24">
        <f>IF($J416="","",YEAR($J416+4-WEEKDAY($J416,2))&amp;"-S"&amp;TEXT(_xlfn.ISOWEEKNUM($J416),"00"))</f>
        <v/>
      </c>
      <c r="P416" s="24">
        <f>IF($J416="","",YEAR($J416))</f>
        <v/>
      </c>
      <c r="Q416" s="24">
        <f>IF($J416="","",MONTH($J416))</f>
        <v/>
      </c>
      <c r="R416" s="24">
        <f>IF($J416="","",$P416&amp;"-"&amp;TEXT($Q416,"00"))</f>
        <v/>
      </c>
      <c r="S416" s="24">
        <f>IF($J416="","",INDEX(lista_dias,WEEKDAY($J416,2)))</f>
        <v/>
      </c>
      <c r="T416" s="24">
        <f>IF($J416="","",IFERROR(INDEX('CALENDARIO'!$C$15:$C$214,MATCH(TEXT($J416,"yyyy-mm-dd")&amp;"|"&amp;$Y416&amp;"|"&amp;$Z416,'CALENDARIO'!$G$15:$G$214,0)),IFERROR(INDEX('CALENDARIO'!$C$15:$C$214,MATCH(TEXT($J416,"yyyy-mm-dd")&amp;"|"&amp;$Y416&amp;"|",'CALENDARIO'!$G$15:$G$214,0)),IFERROR(INDEX('CALENDARIO'!$C$15:$C$214,MATCH(TEXT($J416,"yyyy-mm-dd")&amp;"||",'CALENDARIO'!$G$15:$G$214,0)),INDEX(patronHabil,WEEKDAY($J416,2))))))</f>
        <v/>
      </c>
      <c r="U416" s="24">
        <f>IF($I416="","",IFERROR(INDEX('CAT_TIPOS_OT'!$C$4:$C$23,MATCH($I416,'CAT_TIPOS_OT'!$A$4:$A$23,0)),"sin_clasificar"))</f>
        <v/>
      </c>
      <c r="V416" s="24">
        <f>IF($I416="","",IF(IFERROR(INDEX('CAT_TIPOS_OT'!$D$4:$D$23,MATCH($I416,'CAT_TIPOS_OT'!$A$4:$A$23,0)),"SIN CLASIFICAR")="","SIN CLASIFICAR",IFERROR(INDEX('CAT_TIPOS_OT'!$D$4:$D$23,MATCH($I416,'CAT_TIPOS_OT'!$A$4:$A$23,0)),"SIN CLASIFICAR")))</f>
        <v/>
      </c>
      <c r="W416" s="24">
        <f>IF($H416="","",IF(IFERROR(INDEX('CAT_ACTIVIDADES'!$F$4:$F$26,MATCH($H416,'CAT_ACTIVIDADES'!$A$4:$A$26,0)),"")=0,"",IFERROR(INDEX('CAT_ACTIVIDADES'!$F$4:$F$26,MATCH($H416,'CAT_ACTIVIDADES'!$A$4:$A$26,0)),"")))</f>
        <v/>
      </c>
      <c r="X416" s="24">
        <f>IF($F416="","",IFERROR(INDEX('CAT_CENTROS_COSTO'!$F$4:$F$28,MATCH($F416,'CAT_CENTROS_COSTO'!$A$4:$A$28,0)),"(sin catálogo)"))</f>
        <v/>
      </c>
      <c r="Y416" s="24">
        <f>IF($F416="","",IFERROR(INDEX('CAT_CENTROS_COSTO'!$D$4:$D$28,MATCH($F416,'CAT_CENTROS_COSTO'!$A$4:$A$28,0)),"(sin catálogo)"))</f>
        <v/>
      </c>
      <c r="Z416" s="24">
        <f>IF($F416="","",IF((IFERROR(INDEX('CAT_CENTROS_COSTO'!$E$4:$E$28,MATCH($F416,'CAT_CENTROS_COSTO'!$A$4:$A$28,0)),""))&lt;&gt;"",IFERROR(INDEX('CAT_CENTROS_COSTO'!$E$4:$E$28,MATCH($F416,'CAT_CENTROS_COSTO'!$A$4:$A$28,0)),""),$Y416))</f>
        <v/>
      </c>
      <c r="AA416" s="24">
        <f>IF($F416="","",IFERROR(INDEX('CAT_CENTROS_COSTO'!$G$4:$G$28,MATCH($F416,'CAT_CENTROS_COSTO'!$A$4:$A$28,0)),"(sin catálogo)"))</f>
        <v/>
      </c>
      <c r="AB416" s="24">
        <f>IF($G416="","",IFERROR(INDEX('CAT_PUESTOS'!$B$4:$B$23,MATCH($G416,'CAT_PUESTOS'!$A$4:$A$23,0)),"(sin catálogo)"))</f>
        <v/>
      </c>
      <c r="AC416" s="24">
        <f>IF($H416="","",IFERROR(INDEX('CAT_ACTIVIDADES'!$B$4:$B$26,MATCH($H416,'CAT_ACTIVIDADES'!$A$4:$A$26,0)),"(sin catálogo)"))</f>
        <v/>
      </c>
      <c r="AD416" s="26">
        <f>IF($J416="","",TODAY()-$J416)</f>
        <v/>
      </c>
      <c r="AE416" s="26">
        <f>IF($J416="","",IF($J416&lt;=TODAY(),COUNTIFS(cal_fechas,"&gt;="&amp;$J416,cal_fechas,"&lt;"&amp;TODAY(),cal_habil,"sí"),-COUNTIFS(cal_fechas,"&gt;="&amp;TODAY(),cal_fechas,"&lt;"&amp;$J416,cal_habil,"sí")))</f>
        <v/>
      </c>
      <c r="AF416" s="24">
        <f>IF($AE416="","",IF($AE416&lt;0,"FUTURO",IF($AE416&gt;p_dias_backlog_max,"BACKLOG","MES CORRIENTE")))</f>
        <v/>
      </c>
      <c r="AG416" s="24">
        <f>IF($AE416="",FALSE,AND($AE416&gt;p_dias_backlog_min,$AE416&lt;=p_dias_backlog_max))</f>
        <v/>
      </c>
      <c r="AH416" s="4" t="n"/>
      <c r="AI416" s="24">
        <f>IF($AH416="","",IF((IFERROR(INDEX('ASIGNACIONES'!$J$4:$J$451,MATCH($O416&amp;"|"&amp;$S416&amp;"|"&amp;$AH416,'ASIGNACIONES'!$N$4:$N$451,0)),""))=0,"",IFERROR(INDEX('ASIGNACIONES'!$J$4:$J$451,MATCH($O416&amp;"|"&amp;$S416&amp;"|"&amp;$AH416,'ASIGNACIONES'!$N$4:$N$451,0)),"")))</f>
        <v/>
      </c>
      <c r="AJ416" s="42">
        <f>IF($AH416="","",SUMIFS('ORDENES'!$M$4:$M$1203,'ORDENES'!$AH$4:$AH$1203,$AH416,'ORDENES'!$O$4:$O$1203,$O416,'ORDENES'!$S$4:$S$1203,$S416))</f>
        <v/>
      </c>
      <c r="AK416" s="42">
        <f>IF($AJ416="","",p_factor_productividad*IFERROR(INDEX('ASIGNACIONES'!$M$4:$M$451,MATCH($O416&amp;"|"&amp;$S416&amp;"|"&amp;$AH416,'ASIGNACIONES'!$N$4:$N$451,0)),0)-$AJ416)</f>
        <v/>
      </c>
      <c r="AL416" s="32">
        <f>IF($A416="","",IFERROR(INDEX('2_IMPORTAR_EJECUCION'!$F$9:$F$1208,MATCH($AU416,'2_IMPORTAR_EJECUCION'!$J$9:$J$1208,0)),0))</f>
        <v/>
      </c>
      <c r="AM416" s="32">
        <f>IF($A416="","",MAX(0,IFERROR(INDEX('2_IMPORTAR_EJECUCION'!$H$9:$H$1208,MATCH($AU416,'2_IMPORTAR_EJECUCION'!$J$9:$J$1208,0)),0)-$AL416))</f>
        <v/>
      </c>
      <c r="AN416" s="32">
        <f>IF($A416="","",$AL416+$AM416)</f>
        <v/>
      </c>
      <c r="AO416" s="24">
        <f>IF($A416="","",IF(OR((IFERROR(INDEX('CAT_ACTIVIDADES'!$D$4:$D$26,MATCH($H416,'CAT_ACTIVIDADES'!$A$4:$A$26,0)),""))=0,(IFERROR(INDEX('CAT_ACTIVIDADES'!$D$4:$D$26,MATCH($H416,'CAT_ACTIVIDADES'!$A$4:$A$26,0)),""))=""),"SIN CLASIFICAR",IFERROR(INDEX('CAT_ACTIVIDADES'!$D$4:$D$26,MATCH($H416,'CAT_ACTIVIDADES'!$A$4:$A$26,0)),"")))</f>
        <v/>
      </c>
      <c r="AP416" s="4" t="n"/>
      <c r="AQ416" s="4" t="n"/>
      <c r="AR416" s="4" t="n"/>
      <c r="AS416" s="24">
        <f>IF($AR416="","",HYPERLINK(p_ruta_base_checklists&amp;$AR416,"abrir"))</f>
        <v/>
      </c>
      <c r="AT416" s="4" t="n"/>
      <c r="AU416" s="24">
        <f>IF($A416="","",$A416&amp;IF($B416="","0010",$B416))</f>
        <v/>
      </c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41" t="n"/>
      <c r="K417" s="5" t="n"/>
      <c r="L417" s="18" t="n"/>
      <c r="M417" s="24">
        <f>IF($A417="","",IFERROR(INDEX('AJUSTES'!$B$4:$B$303,MATCH($AU417,'AJUSTES'!$A$4:$A$303,0)),IF($K417="","",$K417)))</f>
        <v/>
      </c>
      <c r="N417" s="24">
        <f>IF($A417="","",IFERROR(INDEX('CAT_ESTADOS_ERP'!$B$4:$B$22,MATCH(IFERROR(INDEX('2_IMPORTAR_EJECUCION'!$C$9:$C$1208,MATCH($AU417,'2_IMPORTAR_EJECUCION'!$J$9:$J$1208,0)),""),'CAT_ESTADOS_ERP'!$A$4:$A$22,0)),"Pendiente"))</f>
        <v/>
      </c>
      <c r="O417" s="24">
        <f>IF($J417="","",YEAR($J417+4-WEEKDAY($J417,2))&amp;"-S"&amp;TEXT(_xlfn.ISOWEEKNUM($J417),"00"))</f>
        <v/>
      </c>
      <c r="P417" s="24">
        <f>IF($J417="","",YEAR($J417))</f>
        <v/>
      </c>
      <c r="Q417" s="24">
        <f>IF($J417="","",MONTH($J417))</f>
        <v/>
      </c>
      <c r="R417" s="24">
        <f>IF($J417="","",$P417&amp;"-"&amp;TEXT($Q417,"00"))</f>
        <v/>
      </c>
      <c r="S417" s="24">
        <f>IF($J417="","",INDEX(lista_dias,WEEKDAY($J417,2)))</f>
        <v/>
      </c>
      <c r="T417" s="24">
        <f>IF($J417="","",IFERROR(INDEX('CALENDARIO'!$C$15:$C$214,MATCH(TEXT($J417,"yyyy-mm-dd")&amp;"|"&amp;$Y417&amp;"|"&amp;$Z417,'CALENDARIO'!$G$15:$G$214,0)),IFERROR(INDEX('CALENDARIO'!$C$15:$C$214,MATCH(TEXT($J417,"yyyy-mm-dd")&amp;"|"&amp;$Y417&amp;"|",'CALENDARIO'!$G$15:$G$214,0)),IFERROR(INDEX('CALENDARIO'!$C$15:$C$214,MATCH(TEXT($J417,"yyyy-mm-dd")&amp;"||",'CALENDARIO'!$G$15:$G$214,0)),INDEX(patronHabil,WEEKDAY($J417,2))))))</f>
        <v/>
      </c>
      <c r="U417" s="24">
        <f>IF($I417="","",IFERROR(INDEX('CAT_TIPOS_OT'!$C$4:$C$23,MATCH($I417,'CAT_TIPOS_OT'!$A$4:$A$23,0)),"sin_clasificar"))</f>
        <v/>
      </c>
      <c r="V417" s="24">
        <f>IF($I417="","",IF(IFERROR(INDEX('CAT_TIPOS_OT'!$D$4:$D$23,MATCH($I417,'CAT_TIPOS_OT'!$A$4:$A$23,0)),"SIN CLASIFICAR")="","SIN CLASIFICAR",IFERROR(INDEX('CAT_TIPOS_OT'!$D$4:$D$23,MATCH($I417,'CAT_TIPOS_OT'!$A$4:$A$23,0)),"SIN CLASIFICAR")))</f>
        <v/>
      </c>
      <c r="W417" s="24">
        <f>IF($H417="","",IF(IFERROR(INDEX('CAT_ACTIVIDADES'!$F$4:$F$26,MATCH($H417,'CAT_ACTIVIDADES'!$A$4:$A$26,0)),"")=0,"",IFERROR(INDEX('CAT_ACTIVIDADES'!$F$4:$F$26,MATCH($H417,'CAT_ACTIVIDADES'!$A$4:$A$26,0)),"")))</f>
        <v/>
      </c>
      <c r="X417" s="24">
        <f>IF($F417="","",IFERROR(INDEX('CAT_CENTROS_COSTO'!$F$4:$F$28,MATCH($F417,'CAT_CENTROS_COSTO'!$A$4:$A$28,0)),"(sin catálogo)"))</f>
        <v/>
      </c>
      <c r="Y417" s="24">
        <f>IF($F417="","",IFERROR(INDEX('CAT_CENTROS_COSTO'!$D$4:$D$28,MATCH($F417,'CAT_CENTROS_COSTO'!$A$4:$A$28,0)),"(sin catálogo)"))</f>
        <v/>
      </c>
      <c r="Z417" s="24">
        <f>IF($F417="","",IF((IFERROR(INDEX('CAT_CENTROS_COSTO'!$E$4:$E$28,MATCH($F417,'CAT_CENTROS_COSTO'!$A$4:$A$28,0)),""))&lt;&gt;"",IFERROR(INDEX('CAT_CENTROS_COSTO'!$E$4:$E$28,MATCH($F417,'CAT_CENTROS_COSTO'!$A$4:$A$28,0)),""),$Y417))</f>
        <v/>
      </c>
      <c r="AA417" s="24">
        <f>IF($F417="","",IFERROR(INDEX('CAT_CENTROS_COSTO'!$G$4:$G$28,MATCH($F417,'CAT_CENTROS_COSTO'!$A$4:$A$28,0)),"(sin catálogo)"))</f>
        <v/>
      </c>
      <c r="AB417" s="24">
        <f>IF($G417="","",IFERROR(INDEX('CAT_PUESTOS'!$B$4:$B$23,MATCH($G417,'CAT_PUESTOS'!$A$4:$A$23,0)),"(sin catálogo)"))</f>
        <v/>
      </c>
      <c r="AC417" s="24">
        <f>IF($H417="","",IFERROR(INDEX('CAT_ACTIVIDADES'!$B$4:$B$26,MATCH($H417,'CAT_ACTIVIDADES'!$A$4:$A$26,0)),"(sin catálogo)"))</f>
        <v/>
      </c>
      <c r="AD417" s="26">
        <f>IF($J417="","",TODAY()-$J417)</f>
        <v/>
      </c>
      <c r="AE417" s="26">
        <f>IF($J417="","",IF($J417&lt;=TODAY(),COUNTIFS(cal_fechas,"&gt;="&amp;$J417,cal_fechas,"&lt;"&amp;TODAY(),cal_habil,"sí"),-COUNTIFS(cal_fechas,"&gt;="&amp;TODAY(),cal_fechas,"&lt;"&amp;$J417,cal_habil,"sí")))</f>
        <v/>
      </c>
      <c r="AF417" s="24">
        <f>IF($AE417="","",IF($AE417&lt;0,"FUTURO",IF($AE417&gt;p_dias_backlog_max,"BACKLOG","MES CORRIENTE")))</f>
        <v/>
      </c>
      <c r="AG417" s="24">
        <f>IF($AE417="",FALSE,AND($AE417&gt;p_dias_backlog_min,$AE417&lt;=p_dias_backlog_max))</f>
        <v/>
      </c>
      <c r="AH417" s="4" t="n"/>
      <c r="AI417" s="24">
        <f>IF($AH417="","",IF((IFERROR(INDEX('ASIGNACIONES'!$J$4:$J$451,MATCH($O417&amp;"|"&amp;$S417&amp;"|"&amp;$AH417,'ASIGNACIONES'!$N$4:$N$451,0)),""))=0,"",IFERROR(INDEX('ASIGNACIONES'!$J$4:$J$451,MATCH($O417&amp;"|"&amp;$S417&amp;"|"&amp;$AH417,'ASIGNACIONES'!$N$4:$N$451,0)),"")))</f>
        <v/>
      </c>
      <c r="AJ417" s="42">
        <f>IF($AH417="","",SUMIFS('ORDENES'!$M$4:$M$1203,'ORDENES'!$AH$4:$AH$1203,$AH417,'ORDENES'!$O$4:$O$1203,$O417,'ORDENES'!$S$4:$S$1203,$S417))</f>
        <v/>
      </c>
      <c r="AK417" s="42">
        <f>IF($AJ417="","",p_factor_productividad*IFERROR(INDEX('ASIGNACIONES'!$M$4:$M$451,MATCH($O417&amp;"|"&amp;$S417&amp;"|"&amp;$AH417,'ASIGNACIONES'!$N$4:$N$451,0)),0)-$AJ417)</f>
        <v/>
      </c>
      <c r="AL417" s="32">
        <f>IF($A417="","",IFERROR(INDEX('2_IMPORTAR_EJECUCION'!$F$9:$F$1208,MATCH($AU417,'2_IMPORTAR_EJECUCION'!$J$9:$J$1208,0)),0))</f>
        <v/>
      </c>
      <c r="AM417" s="32">
        <f>IF($A417="","",MAX(0,IFERROR(INDEX('2_IMPORTAR_EJECUCION'!$H$9:$H$1208,MATCH($AU417,'2_IMPORTAR_EJECUCION'!$J$9:$J$1208,0)),0)-$AL417))</f>
        <v/>
      </c>
      <c r="AN417" s="32">
        <f>IF($A417="","",$AL417+$AM417)</f>
        <v/>
      </c>
      <c r="AO417" s="24">
        <f>IF($A417="","",IF(OR((IFERROR(INDEX('CAT_ACTIVIDADES'!$D$4:$D$26,MATCH($H417,'CAT_ACTIVIDADES'!$A$4:$A$26,0)),""))=0,(IFERROR(INDEX('CAT_ACTIVIDADES'!$D$4:$D$26,MATCH($H417,'CAT_ACTIVIDADES'!$A$4:$A$26,0)),""))=""),"SIN CLASIFICAR",IFERROR(INDEX('CAT_ACTIVIDADES'!$D$4:$D$26,MATCH($H417,'CAT_ACTIVIDADES'!$A$4:$A$26,0)),"")))</f>
        <v/>
      </c>
      <c r="AP417" s="4" t="n"/>
      <c r="AQ417" s="4" t="n"/>
      <c r="AR417" s="4" t="n"/>
      <c r="AS417" s="24">
        <f>IF($AR417="","",HYPERLINK(p_ruta_base_checklists&amp;$AR417,"abrir"))</f>
        <v/>
      </c>
      <c r="AT417" s="4" t="n"/>
      <c r="AU417" s="24">
        <f>IF($A417="","",$A417&amp;IF($B417="","0010",$B417))</f>
        <v/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41" t="n"/>
      <c r="K418" s="5" t="n"/>
      <c r="L418" s="18" t="n"/>
      <c r="M418" s="24">
        <f>IF($A418="","",IFERROR(INDEX('AJUSTES'!$B$4:$B$303,MATCH($AU418,'AJUSTES'!$A$4:$A$303,0)),IF($K418="","",$K418)))</f>
        <v/>
      </c>
      <c r="N418" s="24">
        <f>IF($A418="","",IFERROR(INDEX('CAT_ESTADOS_ERP'!$B$4:$B$22,MATCH(IFERROR(INDEX('2_IMPORTAR_EJECUCION'!$C$9:$C$1208,MATCH($AU418,'2_IMPORTAR_EJECUCION'!$J$9:$J$1208,0)),""),'CAT_ESTADOS_ERP'!$A$4:$A$22,0)),"Pendiente"))</f>
        <v/>
      </c>
      <c r="O418" s="24">
        <f>IF($J418="","",YEAR($J418+4-WEEKDAY($J418,2))&amp;"-S"&amp;TEXT(_xlfn.ISOWEEKNUM($J418),"00"))</f>
        <v/>
      </c>
      <c r="P418" s="24">
        <f>IF($J418="","",YEAR($J418))</f>
        <v/>
      </c>
      <c r="Q418" s="24">
        <f>IF($J418="","",MONTH($J418))</f>
        <v/>
      </c>
      <c r="R418" s="24">
        <f>IF($J418="","",$P418&amp;"-"&amp;TEXT($Q418,"00"))</f>
        <v/>
      </c>
      <c r="S418" s="24">
        <f>IF($J418="","",INDEX(lista_dias,WEEKDAY($J418,2)))</f>
        <v/>
      </c>
      <c r="T418" s="24">
        <f>IF($J418="","",IFERROR(INDEX('CALENDARIO'!$C$15:$C$214,MATCH(TEXT($J418,"yyyy-mm-dd")&amp;"|"&amp;$Y418&amp;"|"&amp;$Z418,'CALENDARIO'!$G$15:$G$214,0)),IFERROR(INDEX('CALENDARIO'!$C$15:$C$214,MATCH(TEXT($J418,"yyyy-mm-dd")&amp;"|"&amp;$Y418&amp;"|",'CALENDARIO'!$G$15:$G$214,0)),IFERROR(INDEX('CALENDARIO'!$C$15:$C$214,MATCH(TEXT($J418,"yyyy-mm-dd")&amp;"||",'CALENDARIO'!$G$15:$G$214,0)),INDEX(patronHabil,WEEKDAY($J418,2))))))</f>
        <v/>
      </c>
      <c r="U418" s="24">
        <f>IF($I418="","",IFERROR(INDEX('CAT_TIPOS_OT'!$C$4:$C$23,MATCH($I418,'CAT_TIPOS_OT'!$A$4:$A$23,0)),"sin_clasificar"))</f>
        <v/>
      </c>
      <c r="V418" s="24">
        <f>IF($I418="","",IF(IFERROR(INDEX('CAT_TIPOS_OT'!$D$4:$D$23,MATCH($I418,'CAT_TIPOS_OT'!$A$4:$A$23,0)),"SIN CLASIFICAR")="","SIN CLASIFICAR",IFERROR(INDEX('CAT_TIPOS_OT'!$D$4:$D$23,MATCH($I418,'CAT_TIPOS_OT'!$A$4:$A$23,0)),"SIN CLASIFICAR")))</f>
        <v/>
      </c>
      <c r="W418" s="24">
        <f>IF($H418="","",IF(IFERROR(INDEX('CAT_ACTIVIDADES'!$F$4:$F$26,MATCH($H418,'CAT_ACTIVIDADES'!$A$4:$A$26,0)),"")=0,"",IFERROR(INDEX('CAT_ACTIVIDADES'!$F$4:$F$26,MATCH($H418,'CAT_ACTIVIDADES'!$A$4:$A$26,0)),"")))</f>
        <v/>
      </c>
      <c r="X418" s="24">
        <f>IF($F418="","",IFERROR(INDEX('CAT_CENTROS_COSTO'!$F$4:$F$28,MATCH($F418,'CAT_CENTROS_COSTO'!$A$4:$A$28,0)),"(sin catálogo)"))</f>
        <v/>
      </c>
      <c r="Y418" s="24">
        <f>IF($F418="","",IFERROR(INDEX('CAT_CENTROS_COSTO'!$D$4:$D$28,MATCH($F418,'CAT_CENTROS_COSTO'!$A$4:$A$28,0)),"(sin catálogo)"))</f>
        <v/>
      </c>
      <c r="Z418" s="24">
        <f>IF($F418="","",IF((IFERROR(INDEX('CAT_CENTROS_COSTO'!$E$4:$E$28,MATCH($F418,'CAT_CENTROS_COSTO'!$A$4:$A$28,0)),""))&lt;&gt;"",IFERROR(INDEX('CAT_CENTROS_COSTO'!$E$4:$E$28,MATCH($F418,'CAT_CENTROS_COSTO'!$A$4:$A$28,0)),""),$Y418))</f>
        <v/>
      </c>
      <c r="AA418" s="24">
        <f>IF($F418="","",IFERROR(INDEX('CAT_CENTROS_COSTO'!$G$4:$G$28,MATCH($F418,'CAT_CENTROS_COSTO'!$A$4:$A$28,0)),"(sin catálogo)"))</f>
        <v/>
      </c>
      <c r="AB418" s="24">
        <f>IF($G418="","",IFERROR(INDEX('CAT_PUESTOS'!$B$4:$B$23,MATCH($G418,'CAT_PUESTOS'!$A$4:$A$23,0)),"(sin catálogo)"))</f>
        <v/>
      </c>
      <c r="AC418" s="24">
        <f>IF($H418="","",IFERROR(INDEX('CAT_ACTIVIDADES'!$B$4:$B$26,MATCH($H418,'CAT_ACTIVIDADES'!$A$4:$A$26,0)),"(sin catálogo)"))</f>
        <v/>
      </c>
      <c r="AD418" s="26">
        <f>IF($J418="","",TODAY()-$J418)</f>
        <v/>
      </c>
      <c r="AE418" s="26">
        <f>IF($J418="","",IF($J418&lt;=TODAY(),COUNTIFS(cal_fechas,"&gt;="&amp;$J418,cal_fechas,"&lt;"&amp;TODAY(),cal_habil,"sí"),-COUNTIFS(cal_fechas,"&gt;="&amp;TODAY(),cal_fechas,"&lt;"&amp;$J418,cal_habil,"sí")))</f>
        <v/>
      </c>
      <c r="AF418" s="24">
        <f>IF($AE418="","",IF($AE418&lt;0,"FUTURO",IF($AE418&gt;p_dias_backlog_max,"BACKLOG","MES CORRIENTE")))</f>
        <v/>
      </c>
      <c r="AG418" s="24">
        <f>IF($AE418="",FALSE,AND($AE418&gt;p_dias_backlog_min,$AE418&lt;=p_dias_backlog_max))</f>
        <v/>
      </c>
      <c r="AH418" s="4" t="n"/>
      <c r="AI418" s="24">
        <f>IF($AH418="","",IF((IFERROR(INDEX('ASIGNACIONES'!$J$4:$J$451,MATCH($O418&amp;"|"&amp;$S418&amp;"|"&amp;$AH418,'ASIGNACIONES'!$N$4:$N$451,0)),""))=0,"",IFERROR(INDEX('ASIGNACIONES'!$J$4:$J$451,MATCH($O418&amp;"|"&amp;$S418&amp;"|"&amp;$AH418,'ASIGNACIONES'!$N$4:$N$451,0)),"")))</f>
        <v/>
      </c>
      <c r="AJ418" s="42">
        <f>IF($AH418="","",SUMIFS('ORDENES'!$M$4:$M$1203,'ORDENES'!$AH$4:$AH$1203,$AH418,'ORDENES'!$O$4:$O$1203,$O418,'ORDENES'!$S$4:$S$1203,$S418))</f>
        <v/>
      </c>
      <c r="AK418" s="42">
        <f>IF($AJ418="","",p_factor_productividad*IFERROR(INDEX('ASIGNACIONES'!$M$4:$M$451,MATCH($O418&amp;"|"&amp;$S418&amp;"|"&amp;$AH418,'ASIGNACIONES'!$N$4:$N$451,0)),0)-$AJ418)</f>
        <v/>
      </c>
      <c r="AL418" s="32">
        <f>IF($A418="","",IFERROR(INDEX('2_IMPORTAR_EJECUCION'!$F$9:$F$1208,MATCH($AU418,'2_IMPORTAR_EJECUCION'!$J$9:$J$1208,0)),0))</f>
        <v/>
      </c>
      <c r="AM418" s="32">
        <f>IF($A418="","",MAX(0,IFERROR(INDEX('2_IMPORTAR_EJECUCION'!$H$9:$H$1208,MATCH($AU418,'2_IMPORTAR_EJECUCION'!$J$9:$J$1208,0)),0)-$AL418))</f>
        <v/>
      </c>
      <c r="AN418" s="32">
        <f>IF($A418="","",$AL418+$AM418)</f>
        <v/>
      </c>
      <c r="AO418" s="24">
        <f>IF($A418="","",IF(OR((IFERROR(INDEX('CAT_ACTIVIDADES'!$D$4:$D$26,MATCH($H418,'CAT_ACTIVIDADES'!$A$4:$A$26,0)),""))=0,(IFERROR(INDEX('CAT_ACTIVIDADES'!$D$4:$D$26,MATCH($H418,'CAT_ACTIVIDADES'!$A$4:$A$26,0)),""))=""),"SIN CLASIFICAR",IFERROR(INDEX('CAT_ACTIVIDADES'!$D$4:$D$26,MATCH($H418,'CAT_ACTIVIDADES'!$A$4:$A$26,0)),"")))</f>
        <v/>
      </c>
      <c r="AP418" s="4" t="n"/>
      <c r="AQ418" s="4" t="n"/>
      <c r="AR418" s="4" t="n"/>
      <c r="AS418" s="24">
        <f>IF($AR418="","",HYPERLINK(p_ruta_base_checklists&amp;$AR418,"abrir"))</f>
        <v/>
      </c>
      <c r="AT418" s="4" t="n"/>
      <c r="AU418" s="24">
        <f>IF($A418="","",$A418&amp;IF($B418="","0010",$B418))</f>
        <v/>
      </c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41" t="n"/>
      <c r="K419" s="5" t="n"/>
      <c r="L419" s="18" t="n"/>
      <c r="M419" s="24">
        <f>IF($A419="","",IFERROR(INDEX('AJUSTES'!$B$4:$B$303,MATCH($AU419,'AJUSTES'!$A$4:$A$303,0)),IF($K419="","",$K419)))</f>
        <v/>
      </c>
      <c r="N419" s="24">
        <f>IF($A419="","",IFERROR(INDEX('CAT_ESTADOS_ERP'!$B$4:$B$22,MATCH(IFERROR(INDEX('2_IMPORTAR_EJECUCION'!$C$9:$C$1208,MATCH($AU419,'2_IMPORTAR_EJECUCION'!$J$9:$J$1208,0)),""),'CAT_ESTADOS_ERP'!$A$4:$A$22,0)),"Pendiente"))</f>
        <v/>
      </c>
      <c r="O419" s="24">
        <f>IF($J419="","",YEAR($J419+4-WEEKDAY($J419,2))&amp;"-S"&amp;TEXT(_xlfn.ISOWEEKNUM($J419),"00"))</f>
        <v/>
      </c>
      <c r="P419" s="24">
        <f>IF($J419="","",YEAR($J419))</f>
        <v/>
      </c>
      <c r="Q419" s="24">
        <f>IF($J419="","",MONTH($J419))</f>
        <v/>
      </c>
      <c r="R419" s="24">
        <f>IF($J419="","",$P419&amp;"-"&amp;TEXT($Q419,"00"))</f>
        <v/>
      </c>
      <c r="S419" s="24">
        <f>IF($J419="","",INDEX(lista_dias,WEEKDAY($J419,2)))</f>
        <v/>
      </c>
      <c r="T419" s="24">
        <f>IF($J419="","",IFERROR(INDEX('CALENDARIO'!$C$15:$C$214,MATCH(TEXT($J419,"yyyy-mm-dd")&amp;"|"&amp;$Y419&amp;"|"&amp;$Z419,'CALENDARIO'!$G$15:$G$214,0)),IFERROR(INDEX('CALENDARIO'!$C$15:$C$214,MATCH(TEXT($J419,"yyyy-mm-dd")&amp;"|"&amp;$Y419&amp;"|",'CALENDARIO'!$G$15:$G$214,0)),IFERROR(INDEX('CALENDARIO'!$C$15:$C$214,MATCH(TEXT($J419,"yyyy-mm-dd")&amp;"||",'CALENDARIO'!$G$15:$G$214,0)),INDEX(patronHabil,WEEKDAY($J419,2))))))</f>
        <v/>
      </c>
      <c r="U419" s="24">
        <f>IF($I419="","",IFERROR(INDEX('CAT_TIPOS_OT'!$C$4:$C$23,MATCH($I419,'CAT_TIPOS_OT'!$A$4:$A$23,0)),"sin_clasificar"))</f>
        <v/>
      </c>
      <c r="V419" s="24">
        <f>IF($I419="","",IF(IFERROR(INDEX('CAT_TIPOS_OT'!$D$4:$D$23,MATCH($I419,'CAT_TIPOS_OT'!$A$4:$A$23,0)),"SIN CLASIFICAR")="","SIN CLASIFICAR",IFERROR(INDEX('CAT_TIPOS_OT'!$D$4:$D$23,MATCH($I419,'CAT_TIPOS_OT'!$A$4:$A$23,0)),"SIN CLASIFICAR")))</f>
        <v/>
      </c>
      <c r="W419" s="24">
        <f>IF($H419="","",IF(IFERROR(INDEX('CAT_ACTIVIDADES'!$F$4:$F$26,MATCH($H419,'CAT_ACTIVIDADES'!$A$4:$A$26,0)),"")=0,"",IFERROR(INDEX('CAT_ACTIVIDADES'!$F$4:$F$26,MATCH($H419,'CAT_ACTIVIDADES'!$A$4:$A$26,0)),"")))</f>
        <v/>
      </c>
      <c r="X419" s="24">
        <f>IF($F419="","",IFERROR(INDEX('CAT_CENTROS_COSTO'!$F$4:$F$28,MATCH($F419,'CAT_CENTROS_COSTO'!$A$4:$A$28,0)),"(sin catálogo)"))</f>
        <v/>
      </c>
      <c r="Y419" s="24">
        <f>IF($F419="","",IFERROR(INDEX('CAT_CENTROS_COSTO'!$D$4:$D$28,MATCH($F419,'CAT_CENTROS_COSTO'!$A$4:$A$28,0)),"(sin catálogo)"))</f>
        <v/>
      </c>
      <c r="Z419" s="24">
        <f>IF($F419="","",IF((IFERROR(INDEX('CAT_CENTROS_COSTO'!$E$4:$E$28,MATCH($F419,'CAT_CENTROS_COSTO'!$A$4:$A$28,0)),""))&lt;&gt;"",IFERROR(INDEX('CAT_CENTROS_COSTO'!$E$4:$E$28,MATCH($F419,'CAT_CENTROS_COSTO'!$A$4:$A$28,0)),""),$Y419))</f>
        <v/>
      </c>
      <c r="AA419" s="24">
        <f>IF($F419="","",IFERROR(INDEX('CAT_CENTROS_COSTO'!$G$4:$G$28,MATCH($F419,'CAT_CENTROS_COSTO'!$A$4:$A$28,0)),"(sin catálogo)"))</f>
        <v/>
      </c>
      <c r="AB419" s="24">
        <f>IF($G419="","",IFERROR(INDEX('CAT_PUESTOS'!$B$4:$B$23,MATCH($G419,'CAT_PUESTOS'!$A$4:$A$23,0)),"(sin catálogo)"))</f>
        <v/>
      </c>
      <c r="AC419" s="24">
        <f>IF($H419="","",IFERROR(INDEX('CAT_ACTIVIDADES'!$B$4:$B$26,MATCH($H419,'CAT_ACTIVIDADES'!$A$4:$A$26,0)),"(sin catálogo)"))</f>
        <v/>
      </c>
      <c r="AD419" s="26">
        <f>IF($J419="","",TODAY()-$J419)</f>
        <v/>
      </c>
      <c r="AE419" s="26">
        <f>IF($J419="","",IF($J419&lt;=TODAY(),COUNTIFS(cal_fechas,"&gt;="&amp;$J419,cal_fechas,"&lt;"&amp;TODAY(),cal_habil,"sí"),-COUNTIFS(cal_fechas,"&gt;="&amp;TODAY(),cal_fechas,"&lt;"&amp;$J419,cal_habil,"sí")))</f>
        <v/>
      </c>
      <c r="AF419" s="24">
        <f>IF($AE419="","",IF($AE419&lt;0,"FUTURO",IF($AE419&gt;p_dias_backlog_max,"BACKLOG","MES CORRIENTE")))</f>
        <v/>
      </c>
      <c r="AG419" s="24">
        <f>IF($AE419="",FALSE,AND($AE419&gt;p_dias_backlog_min,$AE419&lt;=p_dias_backlog_max))</f>
        <v/>
      </c>
      <c r="AH419" s="4" t="n"/>
      <c r="AI419" s="24">
        <f>IF($AH419="","",IF((IFERROR(INDEX('ASIGNACIONES'!$J$4:$J$451,MATCH($O419&amp;"|"&amp;$S419&amp;"|"&amp;$AH419,'ASIGNACIONES'!$N$4:$N$451,0)),""))=0,"",IFERROR(INDEX('ASIGNACIONES'!$J$4:$J$451,MATCH($O419&amp;"|"&amp;$S419&amp;"|"&amp;$AH419,'ASIGNACIONES'!$N$4:$N$451,0)),"")))</f>
        <v/>
      </c>
      <c r="AJ419" s="42">
        <f>IF($AH419="","",SUMIFS('ORDENES'!$M$4:$M$1203,'ORDENES'!$AH$4:$AH$1203,$AH419,'ORDENES'!$O$4:$O$1203,$O419,'ORDENES'!$S$4:$S$1203,$S419))</f>
        <v/>
      </c>
      <c r="AK419" s="42">
        <f>IF($AJ419="","",p_factor_productividad*IFERROR(INDEX('ASIGNACIONES'!$M$4:$M$451,MATCH($O419&amp;"|"&amp;$S419&amp;"|"&amp;$AH419,'ASIGNACIONES'!$N$4:$N$451,0)),0)-$AJ419)</f>
        <v/>
      </c>
      <c r="AL419" s="32">
        <f>IF($A419="","",IFERROR(INDEX('2_IMPORTAR_EJECUCION'!$F$9:$F$1208,MATCH($AU419,'2_IMPORTAR_EJECUCION'!$J$9:$J$1208,0)),0))</f>
        <v/>
      </c>
      <c r="AM419" s="32">
        <f>IF($A419="","",MAX(0,IFERROR(INDEX('2_IMPORTAR_EJECUCION'!$H$9:$H$1208,MATCH($AU419,'2_IMPORTAR_EJECUCION'!$J$9:$J$1208,0)),0)-$AL419))</f>
        <v/>
      </c>
      <c r="AN419" s="32">
        <f>IF($A419="","",$AL419+$AM419)</f>
        <v/>
      </c>
      <c r="AO419" s="24">
        <f>IF($A419="","",IF(OR((IFERROR(INDEX('CAT_ACTIVIDADES'!$D$4:$D$26,MATCH($H419,'CAT_ACTIVIDADES'!$A$4:$A$26,0)),""))=0,(IFERROR(INDEX('CAT_ACTIVIDADES'!$D$4:$D$26,MATCH($H419,'CAT_ACTIVIDADES'!$A$4:$A$26,0)),""))=""),"SIN CLASIFICAR",IFERROR(INDEX('CAT_ACTIVIDADES'!$D$4:$D$26,MATCH($H419,'CAT_ACTIVIDADES'!$A$4:$A$26,0)),"")))</f>
        <v/>
      </c>
      <c r="AP419" s="4" t="n"/>
      <c r="AQ419" s="4" t="n"/>
      <c r="AR419" s="4" t="n"/>
      <c r="AS419" s="24">
        <f>IF($AR419="","",HYPERLINK(p_ruta_base_checklists&amp;$AR419,"abrir"))</f>
        <v/>
      </c>
      <c r="AT419" s="4" t="n"/>
      <c r="AU419" s="24">
        <f>IF($A419="","",$A419&amp;IF($B419="","0010",$B419))</f>
        <v/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41" t="n"/>
      <c r="K420" s="5" t="n"/>
      <c r="L420" s="18" t="n"/>
      <c r="M420" s="24">
        <f>IF($A420="","",IFERROR(INDEX('AJUSTES'!$B$4:$B$303,MATCH($AU420,'AJUSTES'!$A$4:$A$303,0)),IF($K420="","",$K420)))</f>
        <v/>
      </c>
      <c r="N420" s="24">
        <f>IF($A420="","",IFERROR(INDEX('CAT_ESTADOS_ERP'!$B$4:$B$22,MATCH(IFERROR(INDEX('2_IMPORTAR_EJECUCION'!$C$9:$C$1208,MATCH($AU420,'2_IMPORTAR_EJECUCION'!$J$9:$J$1208,0)),""),'CAT_ESTADOS_ERP'!$A$4:$A$22,0)),"Pendiente"))</f>
        <v/>
      </c>
      <c r="O420" s="24">
        <f>IF($J420="","",YEAR($J420+4-WEEKDAY($J420,2))&amp;"-S"&amp;TEXT(_xlfn.ISOWEEKNUM($J420),"00"))</f>
        <v/>
      </c>
      <c r="P420" s="24">
        <f>IF($J420="","",YEAR($J420))</f>
        <v/>
      </c>
      <c r="Q420" s="24">
        <f>IF($J420="","",MONTH($J420))</f>
        <v/>
      </c>
      <c r="R420" s="24">
        <f>IF($J420="","",$P420&amp;"-"&amp;TEXT($Q420,"00"))</f>
        <v/>
      </c>
      <c r="S420" s="24">
        <f>IF($J420="","",INDEX(lista_dias,WEEKDAY($J420,2)))</f>
        <v/>
      </c>
      <c r="T420" s="24">
        <f>IF($J420="","",IFERROR(INDEX('CALENDARIO'!$C$15:$C$214,MATCH(TEXT($J420,"yyyy-mm-dd")&amp;"|"&amp;$Y420&amp;"|"&amp;$Z420,'CALENDARIO'!$G$15:$G$214,0)),IFERROR(INDEX('CALENDARIO'!$C$15:$C$214,MATCH(TEXT($J420,"yyyy-mm-dd")&amp;"|"&amp;$Y420&amp;"|",'CALENDARIO'!$G$15:$G$214,0)),IFERROR(INDEX('CALENDARIO'!$C$15:$C$214,MATCH(TEXT($J420,"yyyy-mm-dd")&amp;"||",'CALENDARIO'!$G$15:$G$214,0)),INDEX(patronHabil,WEEKDAY($J420,2))))))</f>
        <v/>
      </c>
      <c r="U420" s="24">
        <f>IF($I420="","",IFERROR(INDEX('CAT_TIPOS_OT'!$C$4:$C$23,MATCH($I420,'CAT_TIPOS_OT'!$A$4:$A$23,0)),"sin_clasificar"))</f>
        <v/>
      </c>
      <c r="V420" s="24">
        <f>IF($I420="","",IF(IFERROR(INDEX('CAT_TIPOS_OT'!$D$4:$D$23,MATCH($I420,'CAT_TIPOS_OT'!$A$4:$A$23,0)),"SIN CLASIFICAR")="","SIN CLASIFICAR",IFERROR(INDEX('CAT_TIPOS_OT'!$D$4:$D$23,MATCH($I420,'CAT_TIPOS_OT'!$A$4:$A$23,0)),"SIN CLASIFICAR")))</f>
        <v/>
      </c>
      <c r="W420" s="24">
        <f>IF($H420="","",IF(IFERROR(INDEX('CAT_ACTIVIDADES'!$F$4:$F$26,MATCH($H420,'CAT_ACTIVIDADES'!$A$4:$A$26,0)),"")=0,"",IFERROR(INDEX('CAT_ACTIVIDADES'!$F$4:$F$26,MATCH($H420,'CAT_ACTIVIDADES'!$A$4:$A$26,0)),"")))</f>
        <v/>
      </c>
      <c r="X420" s="24">
        <f>IF($F420="","",IFERROR(INDEX('CAT_CENTROS_COSTO'!$F$4:$F$28,MATCH($F420,'CAT_CENTROS_COSTO'!$A$4:$A$28,0)),"(sin catálogo)"))</f>
        <v/>
      </c>
      <c r="Y420" s="24">
        <f>IF($F420="","",IFERROR(INDEX('CAT_CENTROS_COSTO'!$D$4:$D$28,MATCH($F420,'CAT_CENTROS_COSTO'!$A$4:$A$28,0)),"(sin catálogo)"))</f>
        <v/>
      </c>
      <c r="Z420" s="24">
        <f>IF($F420="","",IF((IFERROR(INDEX('CAT_CENTROS_COSTO'!$E$4:$E$28,MATCH($F420,'CAT_CENTROS_COSTO'!$A$4:$A$28,0)),""))&lt;&gt;"",IFERROR(INDEX('CAT_CENTROS_COSTO'!$E$4:$E$28,MATCH($F420,'CAT_CENTROS_COSTO'!$A$4:$A$28,0)),""),$Y420))</f>
        <v/>
      </c>
      <c r="AA420" s="24">
        <f>IF($F420="","",IFERROR(INDEX('CAT_CENTROS_COSTO'!$G$4:$G$28,MATCH($F420,'CAT_CENTROS_COSTO'!$A$4:$A$28,0)),"(sin catálogo)"))</f>
        <v/>
      </c>
      <c r="AB420" s="24">
        <f>IF($G420="","",IFERROR(INDEX('CAT_PUESTOS'!$B$4:$B$23,MATCH($G420,'CAT_PUESTOS'!$A$4:$A$23,0)),"(sin catálogo)"))</f>
        <v/>
      </c>
      <c r="AC420" s="24">
        <f>IF($H420="","",IFERROR(INDEX('CAT_ACTIVIDADES'!$B$4:$B$26,MATCH($H420,'CAT_ACTIVIDADES'!$A$4:$A$26,0)),"(sin catálogo)"))</f>
        <v/>
      </c>
      <c r="AD420" s="26">
        <f>IF($J420="","",TODAY()-$J420)</f>
        <v/>
      </c>
      <c r="AE420" s="26">
        <f>IF($J420="","",IF($J420&lt;=TODAY(),COUNTIFS(cal_fechas,"&gt;="&amp;$J420,cal_fechas,"&lt;"&amp;TODAY(),cal_habil,"sí"),-COUNTIFS(cal_fechas,"&gt;="&amp;TODAY(),cal_fechas,"&lt;"&amp;$J420,cal_habil,"sí")))</f>
        <v/>
      </c>
      <c r="AF420" s="24">
        <f>IF($AE420="","",IF($AE420&lt;0,"FUTURO",IF($AE420&gt;p_dias_backlog_max,"BACKLOG","MES CORRIENTE")))</f>
        <v/>
      </c>
      <c r="AG420" s="24">
        <f>IF($AE420="",FALSE,AND($AE420&gt;p_dias_backlog_min,$AE420&lt;=p_dias_backlog_max))</f>
        <v/>
      </c>
      <c r="AH420" s="4" t="n"/>
      <c r="AI420" s="24">
        <f>IF($AH420="","",IF((IFERROR(INDEX('ASIGNACIONES'!$J$4:$J$451,MATCH($O420&amp;"|"&amp;$S420&amp;"|"&amp;$AH420,'ASIGNACIONES'!$N$4:$N$451,0)),""))=0,"",IFERROR(INDEX('ASIGNACIONES'!$J$4:$J$451,MATCH($O420&amp;"|"&amp;$S420&amp;"|"&amp;$AH420,'ASIGNACIONES'!$N$4:$N$451,0)),"")))</f>
        <v/>
      </c>
      <c r="AJ420" s="42">
        <f>IF($AH420="","",SUMIFS('ORDENES'!$M$4:$M$1203,'ORDENES'!$AH$4:$AH$1203,$AH420,'ORDENES'!$O$4:$O$1203,$O420,'ORDENES'!$S$4:$S$1203,$S420))</f>
        <v/>
      </c>
      <c r="AK420" s="42">
        <f>IF($AJ420="","",p_factor_productividad*IFERROR(INDEX('ASIGNACIONES'!$M$4:$M$451,MATCH($O420&amp;"|"&amp;$S420&amp;"|"&amp;$AH420,'ASIGNACIONES'!$N$4:$N$451,0)),0)-$AJ420)</f>
        <v/>
      </c>
      <c r="AL420" s="32">
        <f>IF($A420="","",IFERROR(INDEX('2_IMPORTAR_EJECUCION'!$F$9:$F$1208,MATCH($AU420,'2_IMPORTAR_EJECUCION'!$J$9:$J$1208,0)),0))</f>
        <v/>
      </c>
      <c r="AM420" s="32">
        <f>IF($A420="","",MAX(0,IFERROR(INDEX('2_IMPORTAR_EJECUCION'!$H$9:$H$1208,MATCH($AU420,'2_IMPORTAR_EJECUCION'!$J$9:$J$1208,0)),0)-$AL420))</f>
        <v/>
      </c>
      <c r="AN420" s="32">
        <f>IF($A420="","",$AL420+$AM420)</f>
        <v/>
      </c>
      <c r="AO420" s="24">
        <f>IF($A420="","",IF(OR((IFERROR(INDEX('CAT_ACTIVIDADES'!$D$4:$D$26,MATCH($H420,'CAT_ACTIVIDADES'!$A$4:$A$26,0)),""))=0,(IFERROR(INDEX('CAT_ACTIVIDADES'!$D$4:$D$26,MATCH($H420,'CAT_ACTIVIDADES'!$A$4:$A$26,0)),""))=""),"SIN CLASIFICAR",IFERROR(INDEX('CAT_ACTIVIDADES'!$D$4:$D$26,MATCH($H420,'CAT_ACTIVIDADES'!$A$4:$A$26,0)),"")))</f>
        <v/>
      </c>
      <c r="AP420" s="4" t="n"/>
      <c r="AQ420" s="4" t="n"/>
      <c r="AR420" s="4" t="n"/>
      <c r="AS420" s="24">
        <f>IF($AR420="","",HYPERLINK(p_ruta_base_checklists&amp;$AR420,"abrir"))</f>
        <v/>
      </c>
      <c r="AT420" s="4" t="n"/>
      <c r="AU420" s="24">
        <f>IF($A420="","",$A420&amp;IF($B420="","0010",$B420))</f>
        <v/>
      </c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41" t="n"/>
      <c r="K421" s="5" t="n"/>
      <c r="L421" s="18" t="n"/>
      <c r="M421" s="24">
        <f>IF($A421="","",IFERROR(INDEX('AJUSTES'!$B$4:$B$303,MATCH($AU421,'AJUSTES'!$A$4:$A$303,0)),IF($K421="","",$K421)))</f>
        <v/>
      </c>
      <c r="N421" s="24">
        <f>IF($A421="","",IFERROR(INDEX('CAT_ESTADOS_ERP'!$B$4:$B$22,MATCH(IFERROR(INDEX('2_IMPORTAR_EJECUCION'!$C$9:$C$1208,MATCH($AU421,'2_IMPORTAR_EJECUCION'!$J$9:$J$1208,0)),""),'CAT_ESTADOS_ERP'!$A$4:$A$22,0)),"Pendiente"))</f>
        <v/>
      </c>
      <c r="O421" s="24">
        <f>IF($J421="","",YEAR($J421+4-WEEKDAY($J421,2))&amp;"-S"&amp;TEXT(_xlfn.ISOWEEKNUM($J421),"00"))</f>
        <v/>
      </c>
      <c r="P421" s="24">
        <f>IF($J421="","",YEAR($J421))</f>
        <v/>
      </c>
      <c r="Q421" s="24">
        <f>IF($J421="","",MONTH($J421))</f>
        <v/>
      </c>
      <c r="R421" s="24">
        <f>IF($J421="","",$P421&amp;"-"&amp;TEXT($Q421,"00"))</f>
        <v/>
      </c>
      <c r="S421" s="24">
        <f>IF($J421="","",INDEX(lista_dias,WEEKDAY($J421,2)))</f>
        <v/>
      </c>
      <c r="T421" s="24">
        <f>IF($J421="","",IFERROR(INDEX('CALENDARIO'!$C$15:$C$214,MATCH(TEXT($J421,"yyyy-mm-dd")&amp;"|"&amp;$Y421&amp;"|"&amp;$Z421,'CALENDARIO'!$G$15:$G$214,0)),IFERROR(INDEX('CALENDARIO'!$C$15:$C$214,MATCH(TEXT($J421,"yyyy-mm-dd")&amp;"|"&amp;$Y421&amp;"|",'CALENDARIO'!$G$15:$G$214,0)),IFERROR(INDEX('CALENDARIO'!$C$15:$C$214,MATCH(TEXT($J421,"yyyy-mm-dd")&amp;"||",'CALENDARIO'!$G$15:$G$214,0)),INDEX(patronHabil,WEEKDAY($J421,2))))))</f>
        <v/>
      </c>
      <c r="U421" s="24">
        <f>IF($I421="","",IFERROR(INDEX('CAT_TIPOS_OT'!$C$4:$C$23,MATCH($I421,'CAT_TIPOS_OT'!$A$4:$A$23,0)),"sin_clasificar"))</f>
        <v/>
      </c>
      <c r="V421" s="24">
        <f>IF($I421="","",IF(IFERROR(INDEX('CAT_TIPOS_OT'!$D$4:$D$23,MATCH($I421,'CAT_TIPOS_OT'!$A$4:$A$23,0)),"SIN CLASIFICAR")="","SIN CLASIFICAR",IFERROR(INDEX('CAT_TIPOS_OT'!$D$4:$D$23,MATCH($I421,'CAT_TIPOS_OT'!$A$4:$A$23,0)),"SIN CLASIFICAR")))</f>
        <v/>
      </c>
      <c r="W421" s="24">
        <f>IF($H421="","",IF(IFERROR(INDEX('CAT_ACTIVIDADES'!$F$4:$F$26,MATCH($H421,'CAT_ACTIVIDADES'!$A$4:$A$26,0)),"")=0,"",IFERROR(INDEX('CAT_ACTIVIDADES'!$F$4:$F$26,MATCH($H421,'CAT_ACTIVIDADES'!$A$4:$A$26,0)),"")))</f>
        <v/>
      </c>
      <c r="X421" s="24">
        <f>IF($F421="","",IFERROR(INDEX('CAT_CENTROS_COSTO'!$F$4:$F$28,MATCH($F421,'CAT_CENTROS_COSTO'!$A$4:$A$28,0)),"(sin catálogo)"))</f>
        <v/>
      </c>
      <c r="Y421" s="24">
        <f>IF($F421="","",IFERROR(INDEX('CAT_CENTROS_COSTO'!$D$4:$D$28,MATCH($F421,'CAT_CENTROS_COSTO'!$A$4:$A$28,0)),"(sin catálogo)"))</f>
        <v/>
      </c>
      <c r="Z421" s="24">
        <f>IF($F421="","",IF((IFERROR(INDEX('CAT_CENTROS_COSTO'!$E$4:$E$28,MATCH($F421,'CAT_CENTROS_COSTO'!$A$4:$A$28,0)),""))&lt;&gt;"",IFERROR(INDEX('CAT_CENTROS_COSTO'!$E$4:$E$28,MATCH($F421,'CAT_CENTROS_COSTO'!$A$4:$A$28,0)),""),$Y421))</f>
        <v/>
      </c>
      <c r="AA421" s="24">
        <f>IF($F421="","",IFERROR(INDEX('CAT_CENTROS_COSTO'!$G$4:$G$28,MATCH($F421,'CAT_CENTROS_COSTO'!$A$4:$A$28,0)),"(sin catálogo)"))</f>
        <v/>
      </c>
      <c r="AB421" s="24">
        <f>IF($G421="","",IFERROR(INDEX('CAT_PUESTOS'!$B$4:$B$23,MATCH($G421,'CAT_PUESTOS'!$A$4:$A$23,0)),"(sin catálogo)"))</f>
        <v/>
      </c>
      <c r="AC421" s="24">
        <f>IF($H421="","",IFERROR(INDEX('CAT_ACTIVIDADES'!$B$4:$B$26,MATCH($H421,'CAT_ACTIVIDADES'!$A$4:$A$26,0)),"(sin catálogo)"))</f>
        <v/>
      </c>
      <c r="AD421" s="26">
        <f>IF($J421="","",TODAY()-$J421)</f>
        <v/>
      </c>
      <c r="AE421" s="26">
        <f>IF($J421="","",IF($J421&lt;=TODAY(),COUNTIFS(cal_fechas,"&gt;="&amp;$J421,cal_fechas,"&lt;"&amp;TODAY(),cal_habil,"sí"),-COUNTIFS(cal_fechas,"&gt;="&amp;TODAY(),cal_fechas,"&lt;"&amp;$J421,cal_habil,"sí")))</f>
        <v/>
      </c>
      <c r="AF421" s="24">
        <f>IF($AE421="","",IF($AE421&lt;0,"FUTURO",IF($AE421&gt;p_dias_backlog_max,"BACKLOG","MES CORRIENTE")))</f>
        <v/>
      </c>
      <c r="AG421" s="24">
        <f>IF($AE421="",FALSE,AND($AE421&gt;p_dias_backlog_min,$AE421&lt;=p_dias_backlog_max))</f>
        <v/>
      </c>
      <c r="AH421" s="4" t="n"/>
      <c r="AI421" s="24">
        <f>IF($AH421="","",IF((IFERROR(INDEX('ASIGNACIONES'!$J$4:$J$451,MATCH($O421&amp;"|"&amp;$S421&amp;"|"&amp;$AH421,'ASIGNACIONES'!$N$4:$N$451,0)),""))=0,"",IFERROR(INDEX('ASIGNACIONES'!$J$4:$J$451,MATCH($O421&amp;"|"&amp;$S421&amp;"|"&amp;$AH421,'ASIGNACIONES'!$N$4:$N$451,0)),"")))</f>
        <v/>
      </c>
      <c r="AJ421" s="42">
        <f>IF($AH421="","",SUMIFS('ORDENES'!$M$4:$M$1203,'ORDENES'!$AH$4:$AH$1203,$AH421,'ORDENES'!$O$4:$O$1203,$O421,'ORDENES'!$S$4:$S$1203,$S421))</f>
        <v/>
      </c>
      <c r="AK421" s="42">
        <f>IF($AJ421="","",p_factor_productividad*IFERROR(INDEX('ASIGNACIONES'!$M$4:$M$451,MATCH($O421&amp;"|"&amp;$S421&amp;"|"&amp;$AH421,'ASIGNACIONES'!$N$4:$N$451,0)),0)-$AJ421)</f>
        <v/>
      </c>
      <c r="AL421" s="32">
        <f>IF($A421="","",IFERROR(INDEX('2_IMPORTAR_EJECUCION'!$F$9:$F$1208,MATCH($AU421,'2_IMPORTAR_EJECUCION'!$J$9:$J$1208,0)),0))</f>
        <v/>
      </c>
      <c r="AM421" s="32">
        <f>IF($A421="","",MAX(0,IFERROR(INDEX('2_IMPORTAR_EJECUCION'!$H$9:$H$1208,MATCH($AU421,'2_IMPORTAR_EJECUCION'!$J$9:$J$1208,0)),0)-$AL421))</f>
        <v/>
      </c>
      <c r="AN421" s="32">
        <f>IF($A421="","",$AL421+$AM421)</f>
        <v/>
      </c>
      <c r="AO421" s="24">
        <f>IF($A421="","",IF(OR((IFERROR(INDEX('CAT_ACTIVIDADES'!$D$4:$D$26,MATCH($H421,'CAT_ACTIVIDADES'!$A$4:$A$26,0)),""))=0,(IFERROR(INDEX('CAT_ACTIVIDADES'!$D$4:$D$26,MATCH($H421,'CAT_ACTIVIDADES'!$A$4:$A$26,0)),""))=""),"SIN CLASIFICAR",IFERROR(INDEX('CAT_ACTIVIDADES'!$D$4:$D$26,MATCH($H421,'CAT_ACTIVIDADES'!$A$4:$A$26,0)),"")))</f>
        <v/>
      </c>
      <c r="AP421" s="4" t="n"/>
      <c r="AQ421" s="4" t="n"/>
      <c r="AR421" s="4" t="n"/>
      <c r="AS421" s="24">
        <f>IF($AR421="","",HYPERLINK(p_ruta_base_checklists&amp;$AR421,"abrir"))</f>
        <v/>
      </c>
      <c r="AT421" s="4" t="n"/>
      <c r="AU421" s="24">
        <f>IF($A421="","",$A421&amp;IF($B421="","0010",$B421))</f>
        <v/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41" t="n"/>
      <c r="K422" s="5" t="n"/>
      <c r="L422" s="18" t="n"/>
      <c r="M422" s="24">
        <f>IF($A422="","",IFERROR(INDEX('AJUSTES'!$B$4:$B$303,MATCH($AU422,'AJUSTES'!$A$4:$A$303,0)),IF($K422="","",$K422)))</f>
        <v/>
      </c>
      <c r="N422" s="24">
        <f>IF($A422="","",IFERROR(INDEX('CAT_ESTADOS_ERP'!$B$4:$B$22,MATCH(IFERROR(INDEX('2_IMPORTAR_EJECUCION'!$C$9:$C$1208,MATCH($AU422,'2_IMPORTAR_EJECUCION'!$J$9:$J$1208,0)),""),'CAT_ESTADOS_ERP'!$A$4:$A$22,0)),"Pendiente"))</f>
        <v/>
      </c>
      <c r="O422" s="24">
        <f>IF($J422="","",YEAR($J422+4-WEEKDAY($J422,2))&amp;"-S"&amp;TEXT(_xlfn.ISOWEEKNUM($J422),"00"))</f>
        <v/>
      </c>
      <c r="P422" s="24">
        <f>IF($J422="","",YEAR($J422))</f>
        <v/>
      </c>
      <c r="Q422" s="24">
        <f>IF($J422="","",MONTH($J422))</f>
        <v/>
      </c>
      <c r="R422" s="24">
        <f>IF($J422="","",$P422&amp;"-"&amp;TEXT($Q422,"00"))</f>
        <v/>
      </c>
      <c r="S422" s="24">
        <f>IF($J422="","",INDEX(lista_dias,WEEKDAY($J422,2)))</f>
        <v/>
      </c>
      <c r="T422" s="24">
        <f>IF($J422="","",IFERROR(INDEX('CALENDARIO'!$C$15:$C$214,MATCH(TEXT($J422,"yyyy-mm-dd")&amp;"|"&amp;$Y422&amp;"|"&amp;$Z422,'CALENDARIO'!$G$15:$G$214,0)),IFERROR(INDEX('CALENDARIO'!$C$15:$C$214,MATCH(TEXT($J422,"yyyy-mm-dd")&amp;"|"&amp;$Y422&amp;"|",'CALENDARIO'!$G$15:$G$214,0)),IFERROR(INDEX('CALENDARIO'!$C$15:$C$214,MATCH(TEXT($J422,"yyyy-mm-dd")&amp;"||",'CALENDARIO'!$G$15:$G$214,0)),INDEX(patronHabil,WEEKDAY($J422,2))))))</f>
        <v/>
      </c>
      <c r="U422" s="24">
        <f>IF($I422="","",IFERROR(INDEX('CAT_TIPOS_OT'!$C$4:$C$23,MATCH($I422,'CAT_TIPOS_OT'!$A$4:$A$23,0)),"sin_clasificar"))</f>
        <v/>
      </c>
      <c r="V422" s="24">
        <f>IF($I422="","",IF(IFERROR(INDEX('CAT_TIPOS_OT'!$D$4:$D$23,MATCH($I422,'CAT_TIPOS_OT'!$A$4:$A$23,0)),"SIN CLASIFICAR")="","SIN CLASIFICAR",IFERROR(INDEX('CAT_TIPOS_OT'!$D$4:$D$23,MATCH($I422,'CAT_TIPOS_OT'!$A$4:$A$23,0)),"SIN CLASIFICAR")))</f>
        <v/>
      </c>
      <c r="W422" s="24">
        <f>IF($H422="","",IF(IFERROR(INDEX('CAT_ACTIVIDADES'!$F$4:$F$26,MATCH($H422,'CAT_ACTIVIDADES'!$A$4:$A$26,0)),"")=0,"",IFERROR(INDEX('CAT_ACTIVIDADES'!$F$4:$F$26,MATCH($H422,'CAT_ACTIVIDADES'!$A$4:$A$26,0)),"")))</f>
        <v/>
      </c>
      <c r="X422" s="24">
        <f>IF($F422="","",IFERROR(INDEX('CAT_CENTROS_COSTO'!$F$4:$F$28,MATCH($F422,'CAT_CENTROS_COSTO'!$A$4:$A$28,0)),"(sin catálogo)"))</f>
        <v/>
      </c>
      <c r="Y422" s="24">
        <f>IF($F422="","",IFERROR(INDEX('CAT_CENTROS_COSTO'!$D$4:$D$28,MATCH($F422,'CAT_CENTROS_COSTO'!$A$4:$A$28,0)),"(sin catálogo)"))</f>
        <v/>
      </c>
      <c r="Z422" s="24">
        <f>IF($F422="","",IF((IFERROR(INDEX('CAT_CENTROS_COSTO'!$E$4:$E$28,MATCH($F422,'CAT_CENTROS_COSTO'!$A$4:$A$28,0)),""))&lt;&gt;"",IFERROR(INDEX('CAT_CENTROS_COSTO'!$E$4:$E$28,MATCH($F422,'CAT_CENTROS_COSTO'!$A$4:$A$28,0)),""),$Y422))</f>
        <v/>
      </c>
      <c r="AA422" s="24">
        <f>IF($F422="","",IFERROR(INDEX('CAT_CENTROS_COSTO'!$G$4:$G$28,MATCH($F422,'CAT_CENTROS_COSTO'!$A$4:$A$28,0)),"(sin catálogo)"))</f>
        <v/>
      </c>
      <c r="AB422" s="24">
        <f>IF($G422="","",IFERROR(INDEX('CAT_PUESTOS'!$B$4:$B$23,MATCH($G422,'CAT_PUESTOS'!$A$4:$A$23,0)),"(sin catálogo)"))</f>
        <v/>
      </c>
      <c r="AC422" s="24">
        <f>IF($H422="","",IFERROR(INDEX('CAT_ACTIVIDADES'!$B$4:$B$26,MATCH($H422,'CAT_ACTIVIDADES'!$A$4:$A$26,0)),"(sin catálogo)"))</f>
        <v/>
      </c>
      <c r="AD422" s="26">
        <f>IF($J422="","",TODAY()-$J422)</f>
        <v/>
      </c>
      <c r="AE422" s="26">
        <f>IF($J422="","",IF($J422&lt;=TODAY(),COUNTIFS(cal_fechas,"&gt;="&amp;$J422,cal_fechas,"&lt;"&amp;TODAY(),cal_habil,"sí"),-COUNTIFS(cal_fechas,"&gt;="&amp;TODAY(),cal_fechas,"&lt;"&amp;$J422,cal_habil,"sí")))</f>
        <v/>
      </c>
      <c r="AF422" s="24">
        <f>IF($AE422="","",IF($AE422&lt;0,"FUTURO",IF($AE422&gt;p_dias_backlog_max,"BACKLOG","MES CORRIENTE")))</f>
        <v/>
      </c>
      <c r="AG422" s="24">
        <f>IF($AE422="",FALSE,AND($AE422&gt;p_dias_backlog_min,$AE422&lt;=p_dias_backlog_max))</f>
        <v/>
      </c>
      <c r="AH422" s="4" t="n"/>
      <c r="AI422" s="24">
        <f>IF($AH422="","",IF((IFERROR(INDEX('ASIGNACIONES'!$J$4:$J$451,MATCH($O422&amp;"|"&amp;$S422&amp;"|"&amp;$AH422,'ASIGNACIONES'!$N$4:$N$451,0)),""))=0,"",IFERROR(INDEX('ASIGNACIONES'!$J$4:$J$451,MATCH($O422&amp;"|"&amp;$S422&amp;"|"&amp;$AH422,'ASIGNACIONES'!$N$4:$N$451,0)),"")))</f>
        <v/>
      </c>
      <c r="AJ422" s="42">
        <f>IF($AH422="","",SUMIFS('ORDENES'!$M$4:$M$1203,'ORDENES'!$AH$4:$AH$1203,$AH422,'ORDENES'!$O$4:$O$1203,$O422,'ORDENES'!$S$4:$S$1203,$S422))</f>
        <v/>
      </c>
      <c r="AK422" s="42">
        <f>IF($AJ422="","",p_factor_productividad*IFERROR(INDEX('ASIGNACIONES'!$M$4:$M$451,MATCH($O422&amp;"|"&amp;$S422&amp;"|"&amp;$AH422,'ASIGNACIONES'!$N$4:$N$451,0)),0)-$AJ422)</f>
        <v/>
      </c>
      <c r="AL422" s="32">
        <f>IF($A422="","",IFERROR(INDEX('2_IMPORTAR_EJECUCION'!$F$9:$F$1208,MATCH($AU422,'2_IMPORTAR_EJECUCION'!$J$9:$J$1208,0)),0))</f>
        <v/>
      </c>
      <c r="AM422" s="32">
        <f>IF($A422="","",MAX(0,IFERROR(INDEX('2_IMPORTAR_EJECUCION'!$H$9:$H$1208,MATCH($AU422,'2_IMPORTAR_EJECUCION'!$J$9:$J$1208,0)),0)-$AL422))</f>
        <v/>
      </c>
      <c r="AN422" s="32">
        <f>IF($A422="","",$AL422+$AM422)</f>
        <v/>
      </c>
      <c r="AO422" s="24">
        <f>IF($A422="","",IF(OR((IFERROR(INDEX('CAT_ACTIVIDADES'!$D$4:$D$26,MATCH($H422,'CAT_ACTIVIDADES'!$A$4:$A$26,0)),""))=0,(IFERROR(INDEX('CAT_ACTIVIDADES'!$D$4:$D$26,MATCH($H422,'CAT_ACTIVIDADES'!$A$4:$A$26,0)),""))=""),"SIN CLASIFICAR",IFERROR(INDEX('CAT_ACTIVIDADES'!$D$4:$D$26,MATCH($H422,'CAT_ACTIVIDADES'!$A$4:$A$26,0)),"")))</f>
        <v/>
      </c>
      <c r="AP422" s="4" t="n"/>
      <c r="AQ422" s="4" t="n"/>
      <c r="AR422" s="4" t="n"/>
      <c r="AS422" s="24">
        <f>IF($AR422="","",HYPERLINK(p_ruta_base_checklists&amp;$AR422,"abrir"))</f>
        <v/>
      </c>
      <c r="AT422" s="4" t="n"/>
      <c r="AU422" s="24">
        <f>IF($A422="","",$A422&amp;IF($B422="","0010",$B422))</f>
        <v/>
      </c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41" t="n"/>
      <c r="K423" s="5" t="n"/>
      <c r="L423" s="18" t="n"/>
      <c r="M423" s="24">
        <f>IF($A423="","",IFERROR(INDEX('AJUSTES'!$B$4:$B$303,MATCH($AU423,'AJUSTES'!$A$4:$A$303,0)),IF($K423="","",$K423)))</f>
        <v/>
      </c>
      <c r="N423" s="24">
        <f>IF($A423="","",IFERROR(INDEX('CAT_ESTADOS_ERP'!$B$4:$B$22,MATCH(IFERROR(INDEX('2_IMPORTAR_EJECUCION'!$C$9:$C$1208,MATCH($AU423,'2_IMPORTAR_EJECUCION'!$J$9:$J$1208,0)),""),'CAT_ESTADOS_ERP'!$A$4:$A$22,0)),"Pendiente"))</f>
        <v/>
      </c>
      <c r="O423" s="24">
        <f>IF($J423="","",YEAR($J423+4-WEEKDAY($J423,2))&amp;"-S"&amp;TEXT(_xlfn.ISOWEEKNUM($J423),"00"))</f>
        <v/>
      </c>
      <c r="P423" s="24">
        <f>IF($J423="","",YEAR($J423))</f>
        <v/>
      </c>
      <c r="Q423" s="24">
        <f>IF($J423="","",MONTH($J423))</f>
        <v/>
      </c>
      <c r="R423" s="24">
        <f>IF($J423="","",$P423&amp;"-"&amp;TEXT($Q423,"00"))</f>
        <v/>
      </c>
      <c r="S423" s="24">
        <f>IF($J423="","",INDEX(lista_dias,WEEKDAY($J423,2)))</f>
        <v/>
      </c>
      <c r="T423" s="24">
        <f>IF($J423="","",IFERROR(INDEX('CALENDARIO'!$C$15:$C$214,MATCH(TEXT($J423,"yyyy-mm-dd")&amp;"|"&amp;$Y423&amp;"|"&amp;$Z423,'CALENDARIO'!$G$15:$G$214,0)),IFERROR(INDEX('CALENDARIO'!$C$15:$C$214,MATCH(TEXT($J423,"yyyy-mm-dd")&amp;"|"&amp;$Y423&amp;"|",'CALENDARIO'!$G$15:$G$214,0)),IFERROR(INDEX('CALENDARIO'!$C$15:$C$214,MATCH(TEXT($J423,"yyyy-mm-dd")&amp;"||",'CALENDARIO'!$G$15:$G$214,0)),INDEX(patronHabil,WEEKDAY($J423,2))))))</f>
        <v/>
      </c>
      <c r="U423" s="24">
        <f>IF($I423="","",IFERROR(INDEX('CAT_TIPOS_OT'!$C$4:$C$23,MATCH($I423,'CAT_TIPOS_OT'!$A$4:$A$23,0)),"sin_clasificar"))</f>
        <v/>
      </c>
      <c r="V423" s="24">
        <f>IF($I423="","",IF(IFERROR(INDEX('CAT_TIPOS_OT'!$D$4:$D$23,MATCH($I423,'CAT_TIPOS_OT'!$A$4:$A$23,0)),"SIN CLASIFICAR")="","SIN CLASIFICAR",IFERROR(INDEX('CAT_TIPOS_OT'!$D$4:$D$23,MATCH($I423,'CAT_TIPOS_OT'!$A$4:$A$23,0)),"SIN CLASIFICAR")))</f>
        <v/>
      </c>
      <c r="W423" s="24">
        <f>IF($H423="","",IF(IFERROR(INDEX('CAT_ACTIVIDADES'!$F$4:$F$26,MATCH($H423,'CAT_ACTIVIDADES'!$A$4:$A$26,0)),"")=0,"",IFERROR(INDEX('CAT_ACTIVIDADES'!$F$4:$F$26,MATCH($H423,'CAT_ACTIVIDADES'!$A$4:$A$26,0)),"")))</f>
        <v/>
      </c>
      <c r="X423" s="24">
        <f>IF($F423="","",IFERROR(INDEX('CAT_CENTROS_COSTO'!$F$4:$F$28,MATCH($F423,'CAT_CENTROS_COSTO'!$A$4:$A$28,0)),"(sin catálogo)"))</f>
        <v/>
      </c>
      <c r="Y423" s="24">
        <f>IF($F423="","",IFERROR(INDEX('CAT_CENTROS_COSTO'!$D$4:$D$28,MATCH($F423,'CAT_CENTROS_COSTO'!$A$4:$A$28,0)),"(sin catálogo)"))</f>
        <v/>
      </c>
      <c r="Z423" s="24">
        <f>IF($F423="","",IF((IFERROR(INDEX('CAT_CENTROS_COSTO'!$E$4:$E$28,MATCH($F423,'CAT_CENTROS_COSTO'!$A$4:$A$28,0)),""))&lt;&gt;"",IFERROR(INDEX('CAT_CENTROS_COSTO'!$E$4:$E$28,MATCH($F423,'CAT_CENTROS_COSTO'!$A$4:$A$28,0)),""),$Y423))</f>
        <v/>
      </c>
      <c r="AA423" s="24">
        <f>IF($F423="","",IFERROR(INDEX('CAT_CENTROS_COSTO'!$G$4:$G$28,MATCH($F423,'CAT_CENTROS_COSTO'!$A$4:$A$28,0)),"(sin catálogo)"))</f>
        <v/>
      </c>
      <c r="AB423" s="24">
        <f>IF($G423="","",IFERROR(INDEX('CAT_PUESTOS'!$B$4:$B$23,MATCH($G423,'CAT_PUESTOS'!$A$4:$A$23,0)),"(sin catálogo)"))</f>
        <v/>
      </c>
      <c r="AC423" s="24">
        <f>IF($H423="","",IFERROR(INDEX('CAT_ACTIVIDADES'!$B$4:$B$26,MATCH($H423,'CAT_ACTIVIDADES'!$A$4:$A$26,0)),"(sin catálogo)"))</f>
        <v/>
      </c>
      <c r="AD423" s="26">
        <f>IF($J423="","",TODAY()-$J423)</f>
        <v/>
      </c>
      <c r="AE423" s="26">
        <f>IF($J423="","",IF($J423&lt;=TODAY(),COUNTIFS(cal_fechas,"&gt;="&amp;$J423,cal_fechas,"&lt;"&amp;TODAY(),cal_habil,"sí"),-COUNTIFS(cal_fechas,"&gt;="&amp;TODAY(),cal_fechas,"&lt;"&amp;$J423,cal_habil,"sí")))</f>
        <v/>
      </c>
      <c r="AF423" s="24">
        <f>IF($AE423="","",IF($AE423&lt;0,"FUTURO",IF($AE423&gt;p_dias_backlog_max,"BACKLOG","MES CORRIENTE")))</f>
        <v/>
      </c>
      <c r="AG423" s="24">
        <f>IF($AE423="",FALSE,AND($AE423&gt;p_dias_backlog_min,$AE423&lt;=p_dias_backlog_max))</f>
        <v/>
      </c>
      <c r="AH423" s="4" t="n"/>
      <c r="AI423" s="24">
        <f>IF($AH423="","",IF((IFERROR(INDEX('ASIGNACIONES'!$J$4:$J$451,MATCH($O423&amp;"|"&amp;$S423&amp;"|"&amp;$AH423,'ASIGNACIONES'!$N$4:$N$451,0)),""))=0,"",IFERROR(INDEX('ASIGNACIONES'!$J$4:$J$451,MATCH($O423&amp;"|"&amp;$S423&amp;"|"&amp;$AH423,'ASIGNACIONES'!$N$4:$N$451,0)),"")))</f>
        <v/>
      </c>
      <c r="AJ423" s="42">
        <f>IF($AH423="","",SUMIFS('ORDENES'!$M$4:$M$1203,'ORDENES'!$AH$4:$AH$1203,$AH423,'ORDENES'!$O$4:$O$1203,$O423,'ORDENES'!$S$4:$S$1203,$S423))</f>
        <v/>
      </c>
      <c r="AK423" s="42">
        <f>IF($AJ423="","",p_factor_productividad*IFERROR(INDEX('ASIGNACIONES'!$M$4:$M$451,MATCH($O423&amp;"|"&amp;$S423&amp;"|"&amp;$AH423,'ASIGNACIONES'!$N$4:$N$451,0)),0)-$AJ423)</f>
        <v/>
      </c>
      <c r="AL423" s="32">
        <f>IF($A423="","",IFERROR(INDEX('2_IMPORTAR_EJECUCION'!$F$9:$F$1208,MATCH($AU423,'2_IMPORTAR_EJECUCION'!$J$9:$J$1208,0)),0))</f>
        <v/>
      </c>
      <c r="AM423" s="32">
        <f>IF($A423="","",MAX(0,IFERROR(INDEX('2_IMPORTAR_EJECUCION'!$H$9:$H$1208,MATCH($AU423,'2_IMPORTAR_EJECUCION'!$J$9:$J$1208,0)),0)-$AL423))</f>
        <v/>
      </c>
      <c r="AN423" s="32">
        <f>IF($A423="","",$AL423+$AM423)</f>
        <v/>
      </c>
      <c r="AO423" s="24">
        <f>IF($A423="","",IF(OR((IFERROR(INDEX('CAT_ACTIVIDADES'!$D$4:$D$26,MATCH($H423,'CAT_ACTIVIDADES'!$A$4:$A$26,0)),""))=0,(IFERROR(INDEX('CAT_ACTIVIDADES'!$D$4:$D$26,MATCH($H423,'CAT_ACTIVIDADES'!$A$4:$A$26,0)),""))=""),"SIN CLASIFICAR",IFERROR(INDEX('CAT_ACTIVIDADES'!$D$4:$D$26,MATCH($H423,'CAT_ACTIVIDADES'!$A$4:$A$26,0)),"")))</f>
        <v/>
      </c>
      <c r="AP423" s="4" t="n"/>
      <c r="AQ423" s="4" t="n"/>
      <c r="AR423" s="4" t="n"/>
      <c r="AS423" s="24">
        <f>IF($AR423="","",HYPERLINK(p_ruta_base_checklists&amp;$AR423,"abrir"))</f>
        <v/>
      </c>
      <c r="AT423" s="4" t="n"/>
      <c r="AU423" s="24">
        <f>IF($A423="","",$A423&amp;IF($B423="","0010",$B423))</f>
        <v/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41" t="n"/>
      <c r="K424" s="5" t="n"/>
      <c r="L424" s="18" t="n"/>
      <c r="M424" s="24">
        <f>IF($A424="","",IFERROR(INDEX('AJUSTES'!$B$4:$B$303,MATCH($AU424,'AJUSTES'!$A$4:$A$303,0)),IF($K424="","",$K424)))</f>
        <v/>
      </c>
      <c r="N424" s="24">
        <f>IF($A424="","",IFERROR(INDEX('CAT_ESTADOS_ERP'!$B$4:$B$22,MATCH(IFERROR(INDEX('2_IMPORTAR_EJECUCION'!$C$9:$C$1208,MATCH($AU424,'2_IMPORTAR_EJECUCION'!$J$9:$J$1208,0)),""),'CAT_ESTADOS_ERP'!$A$4:$A$22,0)),"Pendiente"))</f>
        <v/>
      </c>
      <c r="O424" s="24">
        <f>IF($J424="","",YEAR($J424+4-WEEKDAY($J424,2))&amp;"-S"&amp;TEXT(_xlfn.ISOWEEKNUM($J424),"00"))</f>
        <v/>
      </c>
      <c r="P424" s="24">
        <f>IF($J424="","",YEAR($J424))</f>
        <v/>
      </c>
      <c r="Q424" s="24">
        <f>IF($J424="","",MONTH($J424))</f>
        <v/>
      </c>
      <c r="R424" s="24">
        <f>IF($J424="","",$P424&amp;"-"&amp;TEXT($Q424,"00"))</f>
        <v/>
      </c>
      <c r="S424" s="24">
        <f>IF($J424="","",INDEX(lista_dias,WEEKDAY($J424,2)))</f>
        <v/>
      </c>
      <c r="T424" s="24">
        <f>IF($J424="","",IFERROR(INDEX('CALENDARIO'!$C$15:$C$214,MATCH(TEXT($J424,"yyyy-mm-dd")&amp;"|"&amp;$Y424&amp;"|"&amp;$Z424,'CALENDARIO'!$G$15:$G$214,0)),IFERROR(INDEX('CALENDARIO'!$C$15:$C$214,MATCH(TEXT($J424,"yyyy-mm-dd")&amp;"|"&amp;$Y424&amp;"|",'CALENDARIO'!$G$15:$G$214,0)),IFERROR(INDEX('CALENDARIO'!$C$15:$C$214,MATCH(TEXT($J424,"yyyy-mm-dd")&amp;"||",'CALENDARIO'!$G$15:$G$214,0)),INDEX(patronHabil,WEEKDAY($J424,2))))))</f>
        <v/>
      </c>
      <c r="U424" s="24">
        <f>IF($I424="","",IFERROR(INDEX('CAT_TIPOS_OT'!$C$4:$C$23,MATCH($I424,'CAT_TIPOS_OT'!$A$4:$A$23,0)),"sin_clasificar"))</f>
        <v/>
      </c>
      <c r="V424" s="24">
        <f>IF($I424="","",IF(IFERROR(INDEX('CAT_TIPOS_OT'!$D$4:$D$23,MATCH($I424,'CAT_TIPOS_OT'!$A$4:$A$23,0)),"SIN CLASIFICAR")="","SIN CLASIFICAR",IFERROR(INDEX('CAT_TIPOS_OT'!$D$4:$D$23,MATCH($I424,'CAT_TIPOS_OT'!$A$4:$A$23,0)),"SIN CLASIFICAR")))</f>
        <v/>
      </c>
      <c r="W424" s="24">
        <f>IF($H424="","",IF(IFERROR(INDEX('CAT_ACTIVIDADES'!$F$4:$F$26,MATCH($H424,'CAT_ACTIVIDADES'!$A$4:$A$26,0)),"")=0,"",IFERROR(INDEX('CAT_ACTIVIDADES'!$F$4:$F$26,MATCH($H424,'CAT_ACTIVIDADES'!$A$4:$A$26,0)),"")))</f>
        <v/>
      </c>
      <c r="X424" s="24">
        <f>IF($F424="","",IFERROR(INDEX('CAT_CENTROS_COSTO'!$F$4:$F$28,MATCH($F424,'CAT_CENTROS_COSTO'!$A$4:$A$28,0)),"(sin catálogo)"))</f>
        <v/>
      </c>
      <c r="Y424" s="24">
        <f>IF($F424="","",IFERROR(INDEX('CAT_CENTROS_COSTO'!$D$4:$D$28,MATCH($F424,'CAT_CENTROS_COSTO'!$A$4:$A$28,0)),"(sin catálogo)"))</f>
        <v/>
      </c>
      <c r="Z424" s="24">
        <f>IF($F424="","",IF((IFERROR(INDEX('CAT_CENTROS_COSTO'!$E$4:$E$28,MATCH($F424,'CAT_CENTROS_COSTO'!$A$4:$A$28,0)),""))&lt;&gt;"",IFERROR(INDEX('CAT_CENTROS_COSTO'!$E$4:$E$28,MATCH($F424,'CAT_CENTROS_COSTO'!$A$4:$A$28,0)),""),$Y424))</f>
        <v/>
      </c>
      <c r="AA424" s="24">
        <f>IF($F424="","",IFERROR(INDEX('CAT_CENTROS_COSTO'!$G$4:$G$28,MATCH($F424,'CAT_CENTROS_COSTO'!$A$4:$A$28,0)),"(sin catálogo)"))</f>
        <v/>
      </c>
      <c r="AB424" s="24">
        <f>IF($G424="","",IFERROR(INDEX('CAT_PUESTOS'!$B$4:$B$23,MATCH($G424,'CAT_PUESTOS'!$A$4:$A$23,0)),"(sin catálogo)"))</f>
        <v/>
      </c>
      <c r="AC424" s="24">
        <f>IF($H424="","",IFERROR(INDEX('CAT_ACTIVIDADES'!$B$4:$B$26,MATCH($H424,'CAT_ACTIVIDADES'!$A$4:$A$26,0)),"(sin catálogo)"))</f>
        <v/>
      </c>
      <c r="AD424" s="26">
        <f>IF($J424="","",TODAY()-$J424)</f>
        <v/>
      </c>
      <c r="AE424" s="26">
        <f>IF($J424="","",IF($J424&lt;=TODAY(),COUNTIFS(cal_fechas,"&gt;="&amp;$J424,cal_fechas,"&lt;"&amp;TODAY(),cal_habil,"sí"),-COUNTIFS(cal_fechas,"&gt;="&amp;TODAY(),cal_fechas,"&lt;"&amp;$J424,cal_habil,"sí")))</f>
        <v/>
      </c>
      <c r="AF424" s="24">
        <f>IF($AE424="","",IF($AE424&lt;0,"FUTURO",IF($AE424&gt;p_dias_backlog_max,"BACKLOG","MES CORRIENTE")))</f>
        <v/>
      </c>
      <c r="AG424" s="24">
        <f>IF($AE424="",FALSE,AND($AE424&gt;p_dias_backlog_min,$AE424&lt;=p_dias_backlog_max))</f>
        <v/>
      </c>
      <c r="AH424" s="4" t="n"/>
      <c r="AI424" s="24">
        <f>IF($AH424="","",IF((IFERROR(INDEX('ASIGNACIONES'!$J$4:$J$451,MATCH($O424&amp;"|"&amp;$S424&amp;"|"&amp;$AH424,'ASIGNACIONES'!$N$4:$N$451,0)),""))=0,"",IFERROR(INDEX('ASIGNACIONES'!$J$4:$J$451,MATCH($O424&amp;"|"&amp;$S424&amp;"|"&amp;$AH424,'ASIGNACIONES'!$N$4:$N$451,0)),"")))</f>
        <v/>
      </c>
      <c r="AJ424" s="42">
        <f>IF($AH424="","",SUMIFS('ORDENES'!$M$4:$M$1203,'ORDENES'!$AH$4:$AH$1203,$AH424,'ORDENES'!$O$4:$O$1203,$O424,'ORDENES'!$S$4:$S$1203,$S424))</f>
        <v/>
      </c>
      <c r="AK424" s="42">
        <f>IF($AJ424="","",p_factor_productividad*IFERROR(INDEX('ASIGNACIONES'!$M$4:$M$451,MATCH($O424&amp;"|"&amp;$S424&amp;"|"&amp;$AH424,'ASIGNACIONES'!$N$4:$N$451,0)),0)-$AJ424)</f>
        <v/>
      </c>
      <c r="AL424" s="32">
        <f>IF($A424="","",IFERROR(INDEX('2_IMPORTAR_EJECUCION'!$F$9:$F$1208,MATCH($AU424,'2_IMPORTAR_EJECUCION'!$J$9:$J$1208,0)),0))</f>
        <v/>
      </c>
      <c r="AM424" s="32">
        <f>IF($A424="","",MAX(0,IFERROR(INDEX('2_IMPORTAR_EJECUCION'!$H$9:$H$1208,MATCH($AU424,'2_IMPORTAR_EJECUCION'!$J$9:$J$1208,0)),0)-$AL424))</f>
        <v/>
      </c>
      <c r="AN424" s="32">
        <f>IF($A424="","",$AL424+$AM424)</f>
        <v/>
      </c>
      <c r="AO424" s="24">
        <f>IF($A424="","",IF(OR((IFERROR(INDEX('CAT_ACTIVIDADES'!$D$4:$D$26,MATCH($H424,'CAT_ACTIVIDADES'!$A$4:$A$26,0)),""))=0,(IFERROR(INDEX('CAT_ACTIVIDADES'!$D$4:$D$26,MATCH($H424,'CAT_ACTIVIDADES'!$A$4:$A$26,0)),""))=""),"SIN CLASIFICAR",IFERROR(INDEX('CAT_ACTIVIDADES'!$D$4:$D$26,MATCH($H424,'CAT_ACTIVIDADES'!$A$4:$A$26,0)),"")))</f>
        <v/>
      </c>
      <c r="AP424" s="4" t="n"/>
      <c r="AQ424" s="4" t="n"/>
      <c r="AR424" s="4" t="n"/>
      <c r="AS424" s="24">
        <f>IF($AR424="","",HYPERLINK(p_ruta_base_checklists&amp;$AR424,"abrir"))</f>
        <v/>
      </c>
      <c r="AT424" s="4" t="n"/>
      <c r="AU424" s="24">
        <f>IF($A424="","",$A424&amp;IF($B424="","0010",$B424))</f>
        <v/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41" t="n"/>
      <c r="K425" s="5" t="n"/>
      <c r="L425" s="18" t="n"/>
      <c r="M425" s="24">
        <f>IF($A425="","",IFERROR(INDEX('AJUSTES'!$B$4:$B$303,MATCH($AU425,'AJUSTES'!$A$4:$A$303,0)),IF($K425="","",$K425)))</f>
        <v/>
      </c>
      <c r="N425" s="24">
        <f>IF($A425="","",IFERROR(INDEX('CAT_ESTADOS_ERP'!$B$4:$B$22,MATCH(IFERROR(INDEX('2_IMPORTAR_EJECUCION'!$C$9:$C$1208,MATCH($AU425,'2_IMPORTAR_EJECUCION'!$J$9:$J$1208,0)),""),'CAT_ESTADOS_ERP'!$A$4:$A$22,0)),"Pendiente"))</f>
        <v/>
      </c>
      <c r="O425" s="24">
        <f>IF($J425="","",YEAR($J425+4-WEEKDAY($J425,2))&amp;"-S"&amp;TEXT(_xlfn.ISOWEEKNUM($J425),"00"))</f>
        <v/>
      </c>
      <c r="P425" s="24">
        <f>IF($J425="","",YEAR($J425))</f>
        <v/>
      </c>
      <c r="Q425" s="24">
        <f>IF($J425="","",MONTH($J425))</f>
        <v/>
      </c>
      <c r="R425" s="24">
        <f>IF($J425="","",$P425&amp;"-"&amp;TEXT($Q425,"00"))</f>
        <v/>
      </c>
      <c r="S425" s="24">
        <f>IF($J425="","",INDEX(lista_dias,WEEKDAY($J425,2)))</f>
        <v/>
      </c>
      <c r="T425" s="24">
        <f>IF($J425="","",IFERROR(INDEX('CALENDARIO'!$C$15:$C$214,MATCH(TEXT($J425,"yyyy-mm-dd")&amp;"|"&amp;$Y425&amp;"|"&amp;$Z425,'CALENDARIO'!$G$15:$G$214,0)),IFERROR(INDEX('CALENDARIO'!$C$15:$C$214,MATCH(TEXT($J425,"yyyy-mm-dd")&amp;"|"&amp;$Y425&amp;"|",'CALENDARIO'!$G$15:$G$214,0)),IFERROR(INDEX('CALENDARIO'!$C$15:$C$214,MATCH(TEXT($J425,"yyyy-mm-dd")&amp;"||",'CALENDARIO'!$G$15:$G$214,0)),INDEX(patronHabil,WEEKDAY($J425,2))))))</f>
        <v/>
      </c>
      <c r="U425" s="24">
        <f>IF($I425="","",IFERROR(INDEX('CAT_TIPOS_OT'!$C$4:$C$23,MATCH($I425,'CAT_TIPOS_OT'!$A$4:$A$23,0)),"sin_clasificar"))</f>
        <v/>
      </c>
      <c r="V425" s="24">
        <f>IF($I425="","",IF(IFERROR(INDEX('CAT_TIPOS_OT'!$D$4:$D$23,MATCH($I425,'CAT_TIPOS_OT'!$A$4:$A$23,0)),"SIN CLASIFICAR")="","SIN CLASIFICAR",IFERROR(INDEX('CAT_TIPOS_OT'!$D$4:$D$23,MATCH($I425,'CAT_TIPOS_OT'!$A$4:$A$23,0)),"SIN CLASIFICAR")))</f>
        <v/>
      </c>
      <c r="W425" s="24">
        <f>IF($H425="","",IF(IFERROR(INDEX('CAT_ACTIVIDADES'!$F$4:$F$26,MATCH($H425,'CAT_ACTIVIDADES'!$A$4:$A$26,0)),"")=0,"",IFERROR(INDEX('CAT_ACTIVIDADES'!$F$4:$F$26,MATCH($H425,'CAT_ACTIVIDADES'!$A$4:$A$26,0)),"")))</f>
        <v/>
      </c>
      <c r="X425" s="24">
        <f>IF($F425="","",IFERROR(INDEX('CAT_CENTROS_COSTO'!$F$4:$F$28,MATCH($F425,'CAT_CENTROS_COSTO'!$A$4:$A$28,0)),"(sin catálogo)"))</f>
        <v/>
      </c>
      <c r="Y425" s="24">
        <f>IF($F425="","",IFERROR(INDEX('CAT_CENTROS_COSTO'!$D$4:$D$28,MATCH($F425,'CAT_CENTROS_COSTO'!$A$4:$A$28,0)),"(sin catálogo)"))</f>
        <v/>
      </c>
      <c r="Z425" s="24">
        <f>IF($F425="","",IF((IFERROR(INDEX('CAT_CENTROS_COSTO'!$E$4:$E$28,MATCH($F425,'CAT_CENTROS_COSTO'!$A$4:$A$28,0)),""))&lt;&gt;"",IFERROR(INDEX('CAT_CENTROS_COSTO'!$E$4:$E$28,MATCH($F425,'CAT_CENTROS_COSTO'!$A$4:$A$28,0)),""),$Y425))</f>
        <v/>
      </c>
      <c r="AA425" s="24">
        <f>IF($F425="","",IFERROR(INDEX('CAT_CENTROS_COSTO'!$G$4:$G$28,MATCH($F425,'CAT_CENTROS_COSTO'!$A$4:$A$28,0)),"(sin catálogo)"))</f>
        <v/>
      </c>
      <c r="AB425" s="24">
        <f>IF($G425="","",IFERROR(INDEX('CAT_PUESTOS'!$B$4:$B$23,MATCH($G425,'CAT_PUESTOS'!$A$4:$A$23,0)),"(sin catálogo)"))</f>
        <v/>
      </c>
      <c r="AC425" s="24">
        <f>IF($H425="","",IFERROR(INDEX('CAT_ACTIVIDADES'!$B$4:$B$26,MATCH($H425,'CAT_ACTIVIDADES'!$A$4:$A$26,0)),"(sin catálogo)"))</f>
        <v/>
      </c>
      <c r="AD425" s="26">
        <f>IF($J425="","",TODAY()-$J425)</f>
        <v/>
      </c>
      <c r="AE425" s="26">
        <f>IF($J425="","",IF($J425&lt;=TODAY(),COUNTIFS(cal_fechas,"&gt;="&amp;$J425,cal_fechas,"&lt;"&amp;TODAY(),cal_habil,"sí"),-COUNTIFS(cal_fechas,"&gt;="&amp;TODAY(),cal_fechas,"&lt;"&amp;$J425,cal_habil,"sí")))</f>
        <v/>
      </c>
      <c r="AF425" s="24">
        <f>IF($AE425="","",IF($AE425&lt;0,"FUTURO",IF($AE425&gt;p_dias_backlog_max,"BACKLOG","MES CORRIENTE")))</f>
        <v/>
      </c>
      <c r="AG425" s="24">
        <f>IF($AE425="",FALSE,AND($AE425&gt;p_dias_backlog_min,$AE425&lt;=p_dias_backlog_max))</f>
        <v/>
      </c>
      <c r="AH425" s="4" t="n"/>
      <c r="AI425" s="24">
        <f>IF($AH425="","",IF((IFERROR(INDEX('ASIGNACIONES'!$J$4:$J$451,MATCH($O425&amp;"|"&amp;$S425&amp;"|"&amp;$AH425,'ASIGNACIONES'!$N$4:$N$451,0)),""))=0,"",IFERROR(INDEX('ASIGNACIONES'!$J$4:$J$451,MATCH($O425&amp;"|"&amp;$S425&amp;"|"&amp;$AH425,'ASIGNACIONES'!$N$4:$N$451,0)),"")))</f>
        <v/>
      </c>
      <c r="AJ425" s="42">
        <f>IF($AH425="","",SUMIFS('ORDENES'!$M$4:$M$1203,'ORDENES'!$AH$4:$AH$1203,$AH425,'ORDENES'!$O$4:$O$1203,$O425,'ORDENES'!$S$4:$S$1203,$S425))</f>
        <v/>
      </c>
      <c r="AK425" s="42">
        <f>IF($AJ425="","",p_factor_productividad*IFERROR(INDEX('ASIGNACIONES'!$M$4:$M$451,MATCH($O425&amp;"|"&amp;$S425&amp;"|"&amp;$AH425,'ASIGNACIONES'!$N$4:$N$451,0)),0)-$AJ425)</f>
        <v/>
      </c>
      <c r="AL425" s="32">
        <f>IF($A425="","",IFERROR(INDEX('2_IMPORTAR_EJECUCION'!$F$9:$F$1208,MATCH($AU425,'2_IMPORTAR_EJECUCION'!$J$9:$J$1208,0)),0))</f>
        <v/>
      </c>
      <c r="AM425" s="32">
        <f>IF($A425="","",MAX(0,IFERROR(INDEX('2_IMPORTAR_EJECUCION'!$H$9:$H$1208,MATCH($AU425,'2_IMPORTAR_EJECUCION'!$J$9:$J$1208,0)),0)-$AL425))</f>
        <v/>
      </c>
      <c r="AN425" s="32">
        <f>IF($A425="","",$AL425+$AM425)</f>
        <v/>
      </c>
      <c r="AO425" s="24">
        <f>IF($A425="","",IF(OR((IFERROR(INDEX('CAT_ACTIVIDADES'!$D$4:$D$26,MATCH($H425,'CAT_ACTIVIDADES'!$A$4:$A$26,0)),""))=0,(IFERROR(INDEX('CAT_ACTIVIDADES'!$D$4:$D$26,MATCH($H425,'CAT_ACTIVIDADES'!$A$4:$A$26,0)),""))=""),"SIN CLASIFICAR",IFERROR(INDEX('CAT_ACTIVIDADES'!$D$4:$D$26,MATCH($H425,'CAT_ACTIVIDADES'!$A$4:$A$26,0)),"")))</f>
        <v/>
      </c>
      <c r="AP425" s="4" t="n"/>
      <c r="AQ425" s="4" t="n"/>
      <c r="AR425" s="4" t="n"/>
      <c r="AS425" s="24">
        <f>IF($AR425="","",HYPERLINK(p_ruta_base_checklists&amp;$AR425,"abrir"))</f>
        <v/>
      </c>
      <c r="AT425" s="4" t="n"/>
      <c r="AU425" s="24">
        <f>IF($A425="","",$A425&amp;IF($B425="","0010",$B425))</f>
        <v/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41" t="n"/>
      <c r="K426" s="5" t="n"/>
      <c r="L426" s="18" t="n"/>
      <c r="M426" s="24">
        <f>IF($A426="","",IFERROR(INDEX('AJUSTES'!$B$4:$B$303,MATCH($AU426,'AJUSTES'!$A$4:$A$303,0)),IF($K426="","",$K426)))</f>
        <v/>
      </c>
      <c r="N426" s="24">
        <f>IF($A426="","",IFERROR(INDEX('CAT_ESTADOS_ERP'!$B$4:$B$22,MATCH(IFERROR(INDEX('2_IMPORTAR_EJECUCION'!$C$9:$C$1208,MATCH($AU426,'2_IMPORTAR_EJECUCION'!$J$9:$J$1208,0)),""),'CAT_ESTADOS_ERP'!$A$4:$A$22,0)),"Pendiente"))</f>
        <v/>
      </c>
      <c r="O426" s="24">
        <f>IF($J426="","",YEAR($J426+4-WEEKDAY($J426,2))&amp;"-S"&amp;TEXT(_xlfn.ISOWEEKNUM($J426),"00"))</f>
        <v/>
      </c>
      <c r="P426" s="24">
        <f>IF($J426="","",YEAR($J426))</f>
        <v/>
      </c>
      <c r="Q426" s="24">
        <f>IF($J426="","",MONTH($J426))</f>
        <v/>
      </c>
      <c r="R426" s="24">
        <f>IF($J426="","",$P426&amp;"-"&amp;TEXT($Q426,"00"))</f>
        <v/>
      </c>
      <c r="S426" s="24">
        <f>IF($J426="","",INDEX(lista_dias,WEEKDAY($J426,2)))</f>
        <v/>
      </c>
      <c r="T426" s="24">
        <f>IF($J426="","",IFERROR(INDEX('CALENDARIO'!$C$15:$C$214,MATCH(TEXT($J426,"yyyy-mm-dd")&amp;"|"&amp;$Y426&amp;"|"&amp;$Z426,'CALENDARIO'!$G$15:$G$214,0)),IFERROR(INDEX('CALENDARIO'!$C$15:$C$214,MATCH(TEXT($J426,"yyyy-mm-dd")&amp;"|"&amp;$Y426&amp;"|",'CALENDARIO'!$G$15:$G$214,0)),IFERROR(INDEX('CALENDARIO'!$C$15:$C$214,MATCH(TEXT($J426,"yyyy-mm-dd")&amp;"||",'CALENDARIO'!$G$15:$G$214,0)),INDEX(patronHabil,WEEKDAY($J426,2))))))</f>
        <v/>
      </c>
      <c r="U426" s="24">
        <f>IF($I426="","",IFERROR(INDEX('CAT_TIPOS_OT'!$C$4:$C$23,MATCH($I426,'CAT_TIPOS_OT'!$A$4:$A$23,0)),"sin_clasificar"))</f>
        <v/>
      </c>
      <c r="V426" s="24">
        <f>IF($I426="","",IF(IFERROR(INDEX('CAT_TIPOS_OT'!$D$4:$D$23,MATCH($I426,'CAT_TIPOS_OT'!$A$4:$A$23,0)),"SIN CLASIFICAR")="","SIN CLASIFICAR",IFERROR(INDEX('CAT_TIPOS_OT'!$D$4:$D$23,MATCH($I426,'CAT_TIPOS_OT'!$A$4:$A$23,0)),"SIN CLASIFICAR")))</f>
        <v/>
      </c>
      <c r="W426" s="24">
        <f>IF($H426="","",IF(IFERROR(INDEX('CAT_ACTIVIDADES'!$F$4:$F$26,MATCH($H426,'CAT_ACTIVIDADES'!$A$4:$A$26,0)),"")=0,"",IFERROR(INDEX('CAT_ACTIVIDADES'!$F$4:$F$26,MATCH($H426,'CAT_ACTIVIDADES'!$A$4:$A$26,0)),"")))</f>
        <v/>
      </c>
      <c r="X426" s="24">
        <f>IF($F426="","",IFERROR(INDEX('CAT_CENTROS_COSTO'!$F$4:$F$28,MATCH($F426,'CAT_CENTROS_COSTO'!$A$4:$A$28,0)),"(sin catálogo)"))</f>
        <v/>
      </c>
      <c r="Y426" s="24">
        <f>IF($F426="","",IFERROR(INDEX('CAT_CENTROS_COSTO'!$D$4:$D$28,MATCH($F426,'CAT_CENTROS_COSTO'!$A$4:$A$28,0)),"(sin catálogo)"))</f>
        <v/>
      </c>
      <c r="Z426" s="24">
        <f>IF($F426="","",IF((IFERROR(INDEX('CAT_CENTROS_COSTO'!$E$4:$E$28,MATCH($F426,'CAT_CENTROS_COSTO'!$A$4:$A$28,0)),""))&lt;&gt;"",IFERROR(INDEX('CAT_CENTROS_COSTO'!$E$4:$E$28,MATCH($F426,'CAT_CENTROS_COSTO'!$A$4:$A$28,0)),""),$Y426))</f>
        <v/>
      </c>
      <c r="AA426" s="24">
        <f>IF($F426="","",IFERROR(INDEX('CAT_CENTROS_COSTO'!$G$4:$G$28,MATCH($F426,'CAT_CENTROS_COSTO'!$A$4:$A$28,0)),"(sin catálogo)"))</f>
        <v/>
      </c>
      <c r="AB426" s="24">
        <f>IF($G426="","",IFERROR(INDEX('CAT_PUESTOS'!$B$4:$B$23,MATCH($G426,'CAT_PUESTOS'!$A$4:$A$23,0)),"(sin catálogo)"))</f>
        <v/>
      </c>
      <c r="AC426" s="24">
        <f>IF($H426="","",IFERROR(INDEX('CAT_ACTIVIDADES'!$B$4:$B$26,MATCH($H426,'CAT_ACTIVIDADES'!$A$4:$A$26,0)),"(sin catálogo)"))</f>
        <v/>
      </c>
      <c r="AD426" s="26">
        <f>IF($J426="","",TODAY()-$J426)</f>
        <v/>
      </c>
      <c r="AE426" s="26">
        <f>IF($J426="","",IF($J426&lt;=TODAY(),COUNTIFS(cal_fechas,"&gt;="&amp;$J426,cal_fechas,"&lt;"&amp;TODAY(),cal_habil,"sí"),-COUNTIFS(cal_fechas,"&gt;="&amp;TODAY(),cal_fechas,"&lt;"&amp;$J426,cal_habil,"sí")))</f>
        <v/>
      </c>
      <c r="AF426" s="24">
        <f>IF($AE426="","",IF($AE426&lt;0,"FUTURO",IF($AE426&gt;p_dias_backlog_max,"BACKLOG","MES CORRIENTE")))</f>
        <v/>
      </c>
      <c r="AG426" s="24">
        <f>IF($AE426="",FALSE,AND($AE426&gt;p_dias_backlog_min,$AE426&lt;=p_dias_backlog_max))</f>
        <v/>
      </c>
      <c r="AH426" s="4" t="n"/>
      <c r="AI426" s="24">
        <f>IF($AH426="","",IF((IFERROR(INDEX('ASIGNACIONES'!$J$4:$J$451,MATCH($O426&amp;"|"&amp;$S426&amp;"|"&amp;$AH426,'ASIGNACIONES'!$N$4:$N$451,0)),""))=0,"",IFERROR(INDEX('ASIGNACIONES'!$J$4:$J$451,MATCH($O426&amp;"|"&amp;$S426&amp;"|"&amp;$AH426,'ASIGNACIONES'!$N$4:$N$451,0)),"")))</f>
        <v/>
      </c>
      <c r="AJ426" s="42">
        <f>IF($AH426="","",SUMIFS('ORDENES'!$M$4:$M$1203,'ORDENES'!$AH$4:$AH$1203,$AH426,'ORDENES'!$O$4:$O$1203,$O426,'ORDENES'!$S$4:$S$1203,$S426))</f>
        <v/>
      </c>
      <c r="AK426" s="42">
        <f>IF($AJ426="","",p_factor_productividad*IFERROR(INDEX('ASIGNACIONES'!$M$4:$M$451,MATCH($O426&amp;"|"&amp;$S426&amp;"|"&amp;$AH426,'ASIGNACIONES'!$N$4:$N$451,0)),0)-$AJ426)</f>
        <v/>
      </c>
      <c r="AL426" s="32">
        <f>IF($A426="","",IFERROR(INDEX('2_IMPORTAR_EJECUCION'!$F$9:$F$1208,MATCH($AU426,'2_IMPORTAR_EJECUCION'!$J$9:$J$1208,0)),0))</f>
        <v/>
      </c>
      <c r="AM426" s="32">
        <f>IF($A426="","",MAX(0,IFERROR(INDEX('2_IMPORTAR_EJECUCION'!$H$9:$H$1208,MATCH($AU426,'2_IMPORTAR_EJECUCION'!$J$9:$J$1208,0)),0)-$AL426))</f>
        <v/>
      </c>
      <c r="AN426" s="32">
        <f>IF($A426="","",$AL426+$AM426)</f>
        <v/>
      </c>
      <c r="AO426" s="24">
        <f>IF($A426="","",IF(OR((IFERROR(INDEX('CAT_ACTIVIDADES'!$D$4:$D$26,MATCH($H426,'CAT_ACTIVIDADES'!$A$4:$A$26,0)),""))=0,(IFERROR(INDEX('CAT_ACTIVIDADES'!$D$4:$D$26,MATCH($H426,'CAT_ACTIVIDADES'!$A$4:$A$26,0)),""))=""),"SIN CLASIFICAR",IFERROR(INDEX('CAT_ACTIVIDADES'!$D$4:$D$26,MATCH($H426,'CAT_ACTIVIDADES'!$A$4:$A$26,0)),"")))</f>
        <v/>
      </c>
      <c r="AP426" s="4" t="n"/>
      <c r="AQ426" s="4" t="n"/>
      <c r="AR426" s="4" t="n"/>
      <c r="AS426" s="24">
        <f>IF($AR426="","",HYPERLINK(p_ruta_base_checklists&amp;$AR426,"abrir"))</f>
        <v/>
      </c>
      <c r="AT426" s="4" t="n"/>
      <c r="AU426" s="24">
        <f>IF($A426="","",$A426&amp;IF($B426="","0010",$B426))</f>
        <v/>
      </c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41" t="n"/>
      <c r="K427" s="5" t="n"/>
      <c r="L427" s="18" t="n"/>
      <c r="M427" s="24">
        <f>IF($A427="","",IFERROR(INDEX('AJUSTES'!$B$4:$B$303,MATCH($AU427,'AJUSTES'!$A$4:$A$303,0)),IF($K427="","",$K427)))</f>
        <v/>
      </c>
      <c r="N427" s="24">
        <f>IF($A427="","",IFERROR(INDEX('CAT_ESTADOS_ERP'!$B$4:$B$22,MATCH(IFERROR(INDEX('2_IMPORTAR_EJECUCION'!$C$9:$C$1208,MATCH($AU427,'2_IMPORTAR_EJECUCION'!$J$9:$J$1208,0)),""),'CAT_ESTADOS_ERP'!$A$4:$A$22,0)),"Pendiente"))</f>
        <v/>
      </c>
      <c r="O427" s="24">
        <f>IF($J427="","",YEAR($J427+4-WEEKDAY($J427,2))&amp;"-S"&amp;TEXT(_xlfn.ISOWEEKNUM($J427),"00"))</f>
        <v/>
      </c>
      <c r="P427" s="24">
        <f>IF($J427="","",YEAR($J427))</f>
        <v/>
      </c>
      <c r="Q427" s="24">
        <f>IF($J427="","",MONTH($J427))</f>
        <v/>
      </c>
      <c r="R427" s="24">
        <f>IF($J427="","",$P427&amp;"-"&amp;TEXT($Q427,"00"))</f>
        <v/>
      </c>
      <c r="S427" s="24">
        <f>IF($J427="","",INDEX(lista_dias,WEEKDAY($J427,2)))</f>
        <v/>
      </c>
      <c r="T427" s="24">
        <f>IF($J427="","",IFERROR(INDEX('CALENDARIO'!$C$15:$C$214,MATCH(TEXT($J427,"yyyy-mm-dd")&amp;"|"&amp;$Y427&amp;"|"&amp;$Z427,'CALENDARIO'!$G$15:$G$214,0)),IFERROR(INDEX('CALENDARIO'!$C$15:$C$214,MATCH(TEXT($J427,"yyyy-mm-dd")&amp;"|"&amp;$Y427&amp;"|",'CALENDARIO'!$G$15:$G$214,0)),IFERROR(INDEX('CALENDARIO'!$C$15:$C$214,MATCH(TEXT($J427,"yyyy-mm-dd")&amp;"||",'CALENDARIO'!$G$15:$G$214,0)),INDEX(patronHabil,WEEKDAY($J427,2))))))</f>
        <v/>
      </c>
      <c r="U427" s="24">
        <f>IF($I427="","",IFERROR(INDEX('CAT_TIPOS_OT'!$C$4:$C$23,MATCH($I427,'CAT_TIPOS_OT'!$A$4:$A$23,0)),"sin_clasificar"))</f>
        <v/>
      </c>
      <c r="V427" s="24">
        <f>IF($I427="","",IF(IFERROR(INDEX('CAT_TIPOS_OT'!$D$4:$D$23,MATCH($I427,'CAT_TIPOS_OT'!$A$4:$A$23,0)),"SIN CLASIFICAR")="","SIN CLASIFICAR",IFERROR(INDEX('CAT_TIPOS_OT'!$D$4:$D$23,MATCH($I427,'CAT_TIPOS_OT'!$A$4:$A$23,0)),"SIN CLASIFICAR")))</f>
        <v/>
      </c>
      <c r="W427" s="24">
        <f>IF($H427="","",IF(IFERROR(INDEX('CAT_ACTIVIDADES'!$F$4:$F$26,MATCH($H427,'CAT_ACTIVIDADES'!$A$4:$A$26,0)),"")=0,"",IFERROR(INDEX('CAT_ACTIVIDADES'!$F$4:$F$26,MATCH($H427,'CAT_ACTIVIDADES'!$A$4:$A$26,0)),"")))</f>
        <v/>
      </c>
      <c r="X427" s="24">
        <f>IF($F427="","",IFERROR(INDEX('CAT_CENTROS_COSTO'!$F$4:$F$28,MATCH($F427,'CAT_CENTROS_COSTO'!$A$4:$A$28,0)),"(sin catálogo)"))</f>
        <v/>
      </c>
      <c r="Y427" s="24">
        <f>IF($F427="","",IFERROR(INDEX('CAT_CENTROS_COSTO'!$D$4:$D$28,MATCH($F427,'CAT_CENTROS_COSTO'!$A$4:$A$28,0)),"(sin catálogo)"))</f>
        <v/>
      </c>
      <c r="Z427" s="24">
        <f>IF($F427="","",IF((IFERROR(INDEX('CAT_CENTROS_COSTO'!$E$4:$E$28,MATCH($F427,'CAT_CENTROS_COSTO'!$A$4:$A$28,0)),""))&lt;&gt;"",IFERROR(INDEX('CAT_CENTROS_COSTO'!$E$4:$E$28,MATCH($F427,'CAT_CENTROS_COSTO'!$A$4:$A$28,0)),""),$Y427))</f>
        <v/>
      </c>
      <c r="AA427" s="24">
        <f>IF($F427="","",IFERROR(INDEX('CAT_CENTROS_COSTO'!$G$4:$G$28,MATCH($F427,'CAT_CENTROS_COSTO'!$A$4:$A$28,0)),"(sin catálogo)"))</f>
        <v/>
      </c>
      <c r="AB427" s="24">
        <f>IF($G427="","",IFERROR(INDEX('CAT_PUESTOS'!$B$4:$B$23,MATCH($G427,'CAT_PUESTOS'!$A$4:$A$23,0)),"(sin catálogo)"))</f>
        <v/>
      </c>
      <c r="AC427" s="24">
        <f>IF($H427="","",IFERROR(INDEX('CAT_ACTIVIDADES'!$B$4:$B$26,MATCH($H427,'CAT_ACTIVIDADES'!$A$4:$A$26,0)),"(sin catálogo)"))</f>
        <v/>
      </c>
      <c r="AD427" s="26">
        <f>IF($J427="","",TODAY()-$J427)</f>
        <v/>
      </c>
      <c r="AE427" s="26">
        <f>IF($J427="","",IF($J427&lt;=TODAY(),COUNTIFS(cal_fechas,"&gt;="&amp;$J427,cal_fechas,"&lt;"&amp;TODAY(),cal_habil,"sí"),-COUNTIFS(cal_fechas,"&gt;="&amp;TODAY(),cal_fechas,"&lt;"&amp;$J427,cal_habil,"sí")))</f>
        <v/>
      </c>
      <c r="AF427" s="24">
        <f>IF($AE427="","",IF($AE427&lt;0,"FUTURO",IF($AE427&gt;p_dias_backlog_max,"BACKLOG","MES CORRIENTE")))</f>
        <v/>
      </c>
      <c r="AG427" s="24">
        <f>IF($AE427="",FALSE,AND($AE427&gt;p_dias_backlog_min,$AE427&lt;=p_dias_backlog_max))</f>
        <v/>
      </c>
      <c r="AH427" s="4" t="n"/>
      <c r="AI427" s="24">
        <f>IF($AH427="","",IF((IFERROR(INDEX('ASIGNACIONES'!$J$4:$J$451,MATCH($O427&amp;"|"&amp;$S427&amp;"|"&amp;$AH427,'ASIGNACIONES'!$N$4:$N$451,0)),""))=0,"",IFERROR(INDEX('ASIGNACIONES'!$J$4:$J$451,MATCH($O427&amp;"|"&amp;$S427&amp;"|"&amp;$AH427,'ASIGNACIONES'!$N$4:$N$451,0)),"")))</f>
        <v/>
      </c>
      <c r="AJ427" s="42">
        <f>IF($AH427="","",SUMIFS('ORDENES'!$M$4:$M$1203,'ORDENES'!$AH$4:$AH$1203,$AH427,'ORDENES'!$O$4:$O$1203,$O427,'ORDENES'!$S$4:$S$1203,$S427))</f>
        <v/>
      </c>
      <c r="AK427" s="42">
        <f>IF($AJ427="","",p_factor_productividad*IFERROR(INDEX('ASIGNACIONES'!$M$4:$M$451,MATCH($O427&amp;"|"&amp;$S427&amp;"|"&amp;$AH427,'ASIGNACIONES'!$N$4:$N$451,0)),0)-$AJ427)</f>
        <v/>
      </c>
      <c r="AL427" s="32">
        <f>IF($A427="","",IFERROR(INDEX('2_IMPORTAR_EJECUCION'!$F$9:$F$1208,MATCH($AU427,'2_IMPORTAR_EJECUCION'!$J$9:$J$1208,0)),0))</f>
        <v/>
      </c>
      <c r="AM427" s="32">
        <f>IF($A427="","",MAX(0,IFERROR(INDEX('2_IMPORTAR_EJECUCION'!$H$9:$H$1208,MATCH($AU427,'2_IMPORTAR_EJECUCION'!$J$9:$J$1208,0)),0)-$AL427))</f>
        <v/>
      </c>
      <c r="AN427" s="32">
        <f>IF($A427="","",$AL427+$AM427)</f>
        <v/>
      </c>
      <c r="AO427" s="24">
        <f>IF($A427="","",IF(OR((IFERROR(INDEX('CAT_ACTIVIDADES'!$D$4:$D$26,MATCH($H427,'CAT_ACTIVIDADES'!$A$4:$A$26,0)),""))=0,(IFERROR(INDEX('CAT_ACTIVIDADES'!$D$4:$D$26,MATCH($H427,'CAT_ACTIVIDADES'!$A$4:$A$26,0)),""))=""),"SIN CLASIFICAR",IFERROR(INDEX('CAT_ACTIVIDADES'!$D$4:$D$26,MATCH($H427,'CAT_ACTIVIDADES'!$A$4:$A$26,0)),"")))</f>
        <v/>
      </c>
      <c r="AP427" s="4" t="n"/>
      <c r="AQ427" s="4" t="n"/>
      <c r="AR427" s="4" t="n"/>
      <c r="AS427" s="24">
        <f>IF($AR427="","",HYPERLINK(p_ruta_base_checklists&amp;$AR427,"abrir"))</f>
        <v/>
      </c>
      <c r="AT427" s="4" t="n"/>
      <c r="AU427" s="24">
        <f>IF($A427="","",$A427&amp;IF($B427="","0010",$B427))</f>
        <v/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41" t="n"/>
      <c r="K428" s="5" t="n"/>
      <c r="L428" s="18" t="n"/>
      <c r="M428" s="24">
        <f>IF($A428="","",IFERROR(INDEX('AJUSTES'!$B$4:$B$303,MATCH($AU428,'AJUSTES'!$A$4:$A$303,0)),IF($K428="","",$K428)))</f>
        <v/>
      </c>
      <c r="N428" s="24">
        <f>IF($A428="","",IFERROR(INDEX('CAT_ESTADOS_ERP'!$B$4:$B$22,MATCH(IFERROR(INDEX('2_IMPORTAR_EJECUCION'!$C$9:$C$1208,MATCH($AU428,'2_IMPORTAR_EJECUCION'!$J$9:$J$1208,0)),""),'CAT_ESTADOS_ERP'!$A$4:$A$22,0)),"Pendiente"))</f>
        <v/>
      </c>
      <c r="O428" s="24">
        <f>IF($J428="","",YEAR($J428+4-WEEKDAY($J428,2))&amp;"-S"&amp;TEXT(_xlfn.ISOWEEKNUM($J428),"00"))</f>
        <v/>
      </c>
      <c r="P428" s="24">
        <f>IF($J428="","",YEAR($J428))</f>
        <v/>
      </c>
      <c r="Q428" s="24">
        <f>IF($J428="","",MONTH($J428))</f>
        <v/>
      </c>
      <c r="R428" s="24">
        <f>IF($J428="","",$P428&amp;"-"&amp;TEXT($Q428,"00"))</f>
        <v/>
      </c>
      <c r="S428" s="24">
        <f>IF($J428="","",INDEX(lista_dias,WEEKDAY($J428,2)))</f>
        <v/>
      </c>
      <c r="T428" s="24">
        <f>IF($J428="","",IFERROR(INDEX('CALENDARIO'!$C$15:$C$214,MATCH(TEXT($J428,"yyyy-mm-dd")&amp;"|"&amp;$Y428&amp;"|"&amp;$Z428,'CALENDARIO'!$G$15:$G$214,0)),IFERROR(INDEX('CALENDARIO'!$C$15:$C$214,MATCH(TEXT($J428,"yyyy-mm-dd")&amp;"|"&amp;$Y428&amp;"|",'CALENDARIO'!$G$15:$G$214,0)),IFERROR(INDEX('CALENDARIO'!$C$15:$C$214,MATCH(TEXT($J428,"yyyy-mm-dd")&amp;"||",'CALENDARIO'!$G$15:$G$214,0)),INDEX(patronHabil,WEEKDAY($J428,2))))))</f>
        <v/>
      </c>
      <c r="U428" s="24">
        <f>IF($I428="","",IFERROR(INDEX('CAT_TIPOS_OT'!$C$4:$C$23,MATCH($I428,'CAT_TIPOS_OT'!$A$4:$A$23,0)),"sin_clasificar"))</f>
        <v/>
      </c>
      <c r="V428" s="24">
        <f>IF($I428="","",IF(IFERROR(INDEX('CAT_TIPOS_OT'!$D$4:$D$23,MATCH($I428,'CAT_TIPOS_OT'!$A$4:$A$23,0)),"SIN CLASIFICAR")="","SIN CLASIFICAR",IFERROR(INDEX('CAT_TIPOS_OT'!$D$4:$D$23,MATCH($I428,'CAT_TIPOS_OT'!$A$4:$A$23,0)),"SIN CLASIFICAR")))</f>
        <v/>
      </c>
      <c r="W428" s="24">
        <f>IF($H428="","",IF(IFERROR(INDEX('CAT_ACTIVIDADES'!$F$4:$F$26,MATCH($H428,'CAT_ACTIVIDADES'!$A$4:$A$26,0)),"")=0,"",IFERROR(INDEX('CAT_ACTIVIDADES'!$F$4:$F$26,MATCH($H428,'CAT_ACTIVIDADES'!$A$4:$A$26,0)),"")))</f>
        <v/>
      </c>
      <c r="X428" s="24">
        <f>IF($F428="","",IFERROR(INDEX('CAT_CENTROS_COSTO'!$F$4:$F$28,MATCH($F428,'CAT_CENTROS_COSTO'!$A$4:$A$28,0)),"(sin catálogo)"))</f>
        <v/>
      </c>
      <c r="Y428" s="24">
        <f>IF($F428="","",IFERROR(INDEX('CAT_CENTROS_COSTO'!$D$4:$D$28,MATCH($F428,'CAT_CENTROS_COSTO'!$A$4:$A$28,0)),"(sin catálogo)"))</f>
        <v/>
      </c>
      <c r="Z428" s="24">
        <f>IF($F428="","",IF((IFERROR(INDEX('CAT_CENTROS_COSTO'!$E$4:$E$28,MATCH($F428,'CAT_CENTROS_COSTO'!$A$4:$A$28,0)),""))&lt;&gt;"",IFERROR(INDEX('CAT_CENTROS_COSTO'!$E$4:$E$28,MATCH($F428,'CAT_CENTROS_COSTO'!$A$4:$A$28,0)),""),$Y428))</f>
        <v/>
      </c>
      <c r="AA428" s="24">
        <f>IF($F428="","",IFERROR(INDEX('CAT_CENTROS_COSTO'!$G$4:$G$28,MATCH($F428,'CAT_CENTROS_COSTO'!$A$4:$A$28,0)),"(sin catálogo)"))</f>
        <v/>
      </c>
      <c r="AB428" s="24">
        <f>IF($G428="","",IFERROR(INDEX('CAT_PUESTOS'!$B$4:$B$23,MATCH($G428,'CAT_PUESTOS'!$A$4:$A$23,0)),"(sin catálogo)"))</f>
        <v/>
      </c>
      <c r="AC428" s="24">
        <f>IF($H428="","",IFERROR(INDEX('CAT_ACTIVIDADES'!$B$4:$B$26,MATCH($H428,'CAT_ACTIVIDADES'!$A$4:$A$26,0)),"(sin catálogo)"))</f>
        <v/>
      </c>
      <c r="AD428" s="26">
        <f>IF($J428="","",TODAY()-$J428)</f>
        <v/>
      </c>
      <c r="AE428" s="26">
        <f>IF($J428="","",IF($J428&lt;=TODAY(),COUNTIFS(cal_fechas,"&gt;="&amp;$J428,cal_fechas,"&lt;"&amp;TODAY(),cal_habil,"sí"),-COUNTIFS(cal_fechas,"&gt;="&amp;TODAY(),cal_fechas,"&lt;"&amp;$J428,cal_habil,"sí")))</f>
        <v/>
      </c>
      <c r="AF428" s="24">
        <f>IF($AE428="","",IF($AE428&lt;0,"FUTURO",IF($AE428&gt;p_dias_backlog_max,"BACKLOG","MES CORRIENTE")))</f>
        <v/>
      </c>
      <c r="AG428" s="24">
        <f>IF($AE428="",FALSE,AND($AE428&gt;p_dias_backlog_min,$AE428&lt;=p_dias_backlog_max))</f>
        <v/>
      </c>
      <c r="AH428" s="4" t="n"/>
      <c r="AI428" s="24">
        <f>IF($AH428="","",IF((IFERROR(INDEX('ASIGNACIONES'!$J$4:$J$451,MATCH($O428&amp;"|"&amp;$S428&amp;"|"&amp;$AH428,'ASIGNACIONES'!$N$4:$N$451,0)),""))=0,"",IFERROR(INDEX('ASIGNACIONES'!$J$4:$J$451,MATCH($O428&amp;"|"&amp;$S428&amp;"|"&amp;$AH428,'ASIGNACIONES'!$N$4:$N$451,0)),"")))</f>
        <v/>
      </c>
      <c r="AJ428" s="42">
        <f>IF($AH428="","",SUMIFS('ORDENES'!$M$4:$M$1203,'ORDENES'!$AH$4:$AH$1203,$AH428,'ORDENES'!$O$4:$O$1203,$O428,'ORDENES'!$S$4:$S$1203,$S428))</f>
        <v/>
      </c>
      <c r="AK428" s="42">
        <f>IF($AJ428="","",p_factor_productividad*IFERROR(INDEX('ASIGNACIONES'!$M$4:$M$451,MATCH($O428&amp;"|"&amp;$S428&amp;"|"&amp;$AH428,'ASIGNACIONES'!$N$4:$N$451,0)),0)-$AJ428)</f>
        <v/>
      </c>
      <c r="AL428" s="32">
        <f>IF($A428="","",IFERROR(INDEX('2_IMPORTAR_EJECUCION'!$F$9:$F$1208,MATCH($AU428,'2_IMPORTAR_EJECUCION'!$J$9:$J$1208,0)),0))</f>
        <v/>
      </c>
      <c r="AM428" s="32">
        <f>IF($A428="","",MAX(0,IFERROR(INDEX('2_IMPORTAR_EJECUCION'!$H$9:$H$1208,MATCH($AU428,'2_IMPORTAR_EJECUCION'!$J$9:$J$1208,0)),0)-$AL428))</f>
        <v/>
      </c>
      <c r="AN428" s="32">
        <f>IF($A428="","",$AL428+$AM428)</f>
        <v/>
      </c>
      <c r="AO428" s="24">
        <f>IF($A428="","",IF(OR((IFERROR(INDEX('CAT_ACTIVIDADES'!$D$4:$D$26,MATCH($H428,'CAT_ACTIVIDADES'!$A$4:$A$26,0)),""))=0,(IFERROR(INDEX('CAT_ACTIVIDADES'!$D$4:$D$26,MATCH($H428,'CAT_ACTIVIDADES'!$A$4:$A$26,0)),""))=""),"SIN CLASIFICAR",IFERROR(INDEX('CAT_ACTIVIDADES'!$D$4:$D$26,MATCH($H428,'CAT_ACTIVIDADES'!$A$4:$A$26,0)),"")))</f>
        <v/>
      </c>
      <c r="AP428" s="4" t="n"/>
      <c r="AQ428" s="4" t="n"/>
      <c r="AR428" s="4" t="n"/>
      <c r="AS428" s="24">
        <f>IF($AR428="","",HYPERLINK(p_ruta_base_checklists&amp;$AR428,"abrir"))</f>
        <v/>
      </c>
      <c r="AT428" s="4" t="n"/>
      <c r="AU428" s="24">
        <f>IF($A428="","",$A428&amp;IF($B428="","0010",$B428))</f>
        <v/>
      </c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41" t="n"/>
      <c r="K429" s="5" t="n"/>
      <c r="L429" s="18" t="n"/>
      <c r="M429" s="24">
        <f>IF($A429="","",IFERROR(INDEX('AJUSTES'!$B$4:$B$303,MATCH($AU429,'AJUSTES'!$A$4:$A$303,0)),IF($K429="","",$K429)))</f>
        <v/>
      </c>
      <c r="N429" s="24">
        <f>IF($A429="","",IFERROR(INDEX('CAT_ESTADOS_ERP'!$B$4:$B$22,MATCH(IFERROR(INDEX('2_IMPORTAR_EJECUCION'!$C$9:$C$1208,MATCH($AU429,'2_IMPORTAR_EJECUCION'!$J$9:$J$1208,0)),""),'CAT_ESTADOS_ERP'!$A$4:$A$22,0)),"Pendiente"))</f>
        <v/>
      </c>
      <c r="O429" s="24">
        <f>IF($J429="","",YEAR($J429+4-WEEKDAY($J429,2))&amp;"-S"&amp;TEXT(_xlfn.ISOWEEKNUM($J429),"00"))</f>
        <v/>
      </c>
      <c r="P429" s="24">
        <f>IF($J429="","",YEAR($J429))</f>
        <v/>
      </c>
      <c r="Q429" s="24">
        <f>IF($J429="","",MONTH($J429))</f>
        <v/>
      </c>
      <c r="R429" s="24">
        <f>IF($J429="","",$P429&amp;"-"&amp;TEXT($Q429,"00"))</f>
        <v/>
      </c>
      <c r="S429" s="24">
        <f>IF($J429="","",INDEX(lista_dias,WEEKDAY($J429,2)))</f>
        <v/>
      </c>
      <c r="T429" s="24">
        <f>IF($J429="","",IFERROR(INDEX('CALENDARIO'!$C$15:$C$214,MATCH(TEXT($J429,"yyyy-mm-dd")&amp;"|"&amp;$Y429&amp;"|"&amp;$Z429,'CALENDARIO'!$G$15:$G$214,0)),IFERROR(INDEX('CALENDARIO'!$C$15:$C$214,MATCH(TEXT($J429,"yyyy-mm-dd")&amp;"|"&amp;$Y429&amp;"|",'CALENDARIO'!$G$15:$G$214,0)),IFERROR(INDEX('CALENDARIO'!$C$15:$C$214,MATCH(TEXT($J429,"yyyy-mm-dd")&amp;"||",'CALENDARIO'!$G$15:$G$214,0)),INDEX(patronHabil,WEEKDAY($J429,2))))))</f>
        <v/>
      </c>
      <c r="U429" s="24">
        <f>IF($I429="","",IFERROR(INDEX('CAT_TIPOS_OT'!$C$4:$C$23,MATCH($I429,'CAT_TIPOS_OT'!$A$4:$A$23,0)),"sin_clasificar"))</f>
        <v/>
      </c>
      <c r="V429" s="24">
        <f>IF($I429="","",IF(IFERROR(INDEX('CAT_TIPOS_OT'!$D$4:$D$23,MATCH($I429,'CAT_TIPOS_OT'!$A$4:$A$23,0)),"SIN CLASIFICAR")="","SIN CLASIFICAR",IFERROR(INDEX('CAT_TIPOS_OT'!$D$4:$D$23,MATCH($I429,'CAT_TIPOS_OT'!$A$4:$A$23,0)),"SIN CLASIFICAR")))</f>
        <v/>
      </c>
      <c r="W429" s="24">
        <f>IF($H429="","",IF(IFERROR(INDEX('CAT_ACTIVIDADES'!$F$4:$F$26,MATCH($H429,'CAT_ACTIVIDADES'!$A$4:$A$26,0)),"")=0,"",IFERROR(INDEX('CAT_ACTIVIDADES'!$F$4:$F$26,MATCH($H429,'CAT_ACTIVIDADES'!$A$4:$A$26,0)),"")))</f>
        <v/>
      </c>
      <c r="X429" s="24">
        <f>IF($F429="","",IFERROR(INDEX('CAT_CENTROS_COSTO'!$F$4:$F$28,MATCH($F429,'CAT_CENTROS_COSTO'!$A$4:$A$28,0)),"(sin catálogo)"))</f>
        <v/>
      </c>
      <c r="Y429" s="24">
        <f>IF($F429="","",IFERROR(INDEX('CAT_CENTROS_COSTO'!$D$4:$D$28,MATCH($F429,'CAT_CENTROS_COSTO'!$A$4:$A$28,0)),"(sin catálogo)"))</f>
        <v/>
      </c>
      <c r="Z429" s="24">
        <f>IF($F429="","",IF((IFERROR(INDEX('CAT_CENTROS_COSTO'!$E$4:$E$28,MATCH($F429,'CAT_CENTROS_COSTO'!$A$4:$A$28,0)),""))&lt;&gt;"",IFERROR(INDEX('CAT_CENTROS_COSTO'!$E$4:$E$28,MATCH($F429,'CAT_CENTROS_COSTO'!$A$4:$A$28,0)),""),$Y429))</f>
        <v/>
      </c>
      <c r="AA429" s="24">
        <f>IF($F429="","",IFERROR(INDEX('CAT_CENTROS_COSTO'!$G$4:$G$28,MATCH($F429,'CAT_CENTROS_COSTO'!$A$4:$A$28,0)),"(sin catálogo)"))</f>
        <v/>
      </c>
      <c r="AB429" s="24">
        <f>IF($G429="","",IFERROR(INDEX('CAT_PUESTOS'!$B$4:$B$23,MATCH($G429,'CAT_PUESTOS'!$A$4:$A$23,0)),"(sin catálogo)"))</f>
        <v/>
      </c>
      <c r="AC429" s="24">
        <f>IF($H429="","",IFERROR(INDEX('CAT_ACTIVIDADES'!$B$4:$B$26,MATCH($H429,'CAT_ACTIVIDADES'!$A$4:$A$26,0)),"(sin catálogo)"))</f>
        <v/>
      </c>
      <c r="AD429" s="26">
        <f>IF($J429="","",TODAY()-$J429)</f>
        <v/>
      </c>
      <c r="AE429" s="26">
        <f>IF($J429="","",IF($J429&lt;=TODAY(),COUNTIFS(cal_fechas,"&gt;="&amp;$J429,cal_fechas,"&lt;"&amp;TODAY(),cal_habil,"sí"),-COUNTIFS(cal_fechas,"&gt;="&amp;TODAY(),cal_fechas,"&lt;"&amp;$J429,cal_habil,"sí")))</f>
        <v/>
      </c>
      <c r="AF429" s="24">
        <f>IF($AE429="","",IF($AE429&lt;0,"FUTURO",IF($AE429&gt;p_dias_backlog_max,"BACKLOG","MES CORRIENTE")))</f>
        <v/>
      </c>
      <c r="AG429" s="24">
        <f>IF($AE429="",FALSE,AND($AE429&gt;p_dias_backlog_min,$AE429&lt;=p_dias_backlog_max))</f>
        <v/>
      </c>
      <c r="AH429" s="4" t="n"/>
      <c r="AI429" s="24">
        <f>IF($AH429="","",IF((IFERROR(INDEX('ASIGNACIONES'!$J$4:$J$451,MATCH($O429&amp;"|"&amp;$S429&amp;"|"&amp;$AH429,'ASIGNACIONES'!$N$4:$N$451,0)),""))=0,"",IFERROR(INDEX('ASIGNACIONES'!$J$4:$J$451,MATCH($O429&amp;"|"&amp;$S429&amp;"|"&amp;$AH429,'ASIGNACIONES'!$N$4:$N$451,0)),"")))</f>
        <v/>
      </c>
      <c r="AJ429" s="42">
        <f>IF($AH429="","",SUMIFS('ORDENES'!$M$4:$M$1203,'ORDENES'!$AH$4:$AH$1203,$AH429,'ORDENES'!$O$4:$O$1203,$O429,'ORDENES'!$S$4:$S$1203,$S429))</f>
        <v/>
      </c>
      <c r="AK429" s="42">
        <f>IF($AJ429="","",p_factor_productividad*IFERROR(INDEX('ASIGNACIONES'!$M$4:$M$451,MATCH($O429&amp;"|"&amp;$S429&amp;"|"&amp;$AH429,'ASIGNACIONES'!$N$4:$N$451,0)),0)-$AJ429)</f>
        <v/>
      </c>
      <c r="AL429" s="32">
        <f>IF($A429="","",IFERROR(INDEX('2_IMPORTAR_EJECUCION'!$F$9:$F$1208,MATCH($AU429,'2_IMPORTAR_EJECUCION'!$J$9:$J$1208,0)),0))</f>
        <v/>
      </c>
      <c r="AM429" s="32">
        <f>IF($A429="","",MAX(0,IFERROR(INDEX('2_IMPORTAR_EJECUCION'!$H$9:$H$1208,MATCH($AU429,'2_IMPORTAR_EJECUCION'!$J$9:$J$1208,0)),0)-$AL429))</f>
        <v/>
      </c>
      <c r="AN429" s="32">
        <f>IF($A429="","",$AL429+$AM429)</f>
        <v/>
      </c>
      <c r="AO429" s="24">
        <f>IF($A429="","",IF(OR((IFERROR(INDEX('CAT_ACTIVIDADES'!$D$4:$D$26,MATCH($H429,'CAT_ACTIVIDADES'!$A$4:$A$26,0)),""))=0,(IFERROR(INDEX('CAT_ACTIVIDADES'!$D$4:$D$26,MATCH($H429,'CAT_ACTIVIDADES'!$A$4:$A$26,0)),""))=""),"SIN CLASIFICAR",IFERROR(INDEX('CAT_ACTIVIDADES'!$D$4:$D$26,MATCH($H429,'CAT_ACTIVIDADES'!$A$4:$A$26,0)),"")))</f>
        <v/>
      </c>
      <c r="AP429" s="4" t="n"/>
      <c r="AQ429" s="4" t="n"/>
      <c r="AR429" s="4" t="n"/>
      <c r="AS429" s="24">
        <f>IF($AR429="","",HYPERLINK(p_ruta_base_checklists&amp;$AR429,"abrir"))</f>
        <v/>
      </c>
      <c r="AT429" s="4" t="n"/>
      <c r="AU429" s="24">
        <f>IF($A429="","",$A429&amp;IF($B429="","0010",$B429))</f>
        <v/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41" t="n"/>
      <c r="K430" s="5" t="n"/>
      <c r="L430" s="18" t="n"/>
      <c r="M430" s="24">
        <f>IF($A430="","",IFERROR(INDEX('AJUSTES'!$B$4:$B$303,MATCH($AU430,'AJUSTES'!$A$4:$A$303,0)),IF($K430="","",$K430)))</f>
        <v/>
      </c>
      <c r="N430" s="24">
        <f>IF($A430="","",IFERROR(INDEX('CAT_ESTADOS_ERP'!$B$4:$B$22,MATCH(IFERROR(INDEX('2_IMPORTAR_EJECUCION'!$C$9:$C$1208,MATCH($AU430,'2_IMPORTAR_EJECUCION'!$J$9:$J$1208,0)),""),'CAT_ESTADOS_ERP'!$A$4:$A$22,0)),"Pendiente"))</f>
        <v/>
      </c>
      <c r="O430" s="24">
        <f>IF($J430="","",YEAR($J430+4-WEEKDAY($J430,2))&amp;"-S"&amp;TEXT(_xlfn.ISOWEEKNUM($J430),"00"))</f>
        <v/>
      </c>
      <c r="P430" s="24">
        <f>IF($J430="","",YEAR($J430))</f>
        <v/>
      </c>
      <c r="Q430" s="24">
        <f>IF($J430="","",MONTH($J430))</f>
        <v/>
      </c>
      <c r="R430" s="24">
        <f>IF($J430="","",$P430&amp;"-"&amp;TEXT($Q430,"00"))</f>
        <v/>
      </c>
      <c r="S430" s="24">
        <f>IF($J430="","",INDEX(lista_dias,WEEKDAY($J430,2)))</f>
        <v/>
      </c>
      <c r="T430" s="24">
        <f>IF($J430="","",IFERROR(INDEX('CALENDARIO'!$C$15:$C$214,MATCH(TEXT($J430,"yyyy-mm-dd")&amp;"|"&amp;$Y430&amp;"|"&amp;$Z430,'CALENDARIO'!$G$15:$G$214,0)),IFERROR(INDEX('CALENDARIO'!$C$15:$C$214,MATCH(TEXT($J430,"yyyy-mm-dd")&amp;"|"&amp;$Y430&amp;"|",'CALENDARIO'!$G$15:$G$214,0)),IFERROR(INDEX('CALENDARIO'!$C$15:$C$214,MATCH(TEXT($J430,"yyyy-mm-dd")&amp;"||",'CALENDARIO'!$G$15:$G$214,0)),INDEX(patronHabil,WEEKDAY($J430,2))))))</f>
        <v/>
      </c>
      <c r="U430" s="24">
        <f>IF($I430="","",IFERROR(INDEX('CAT_TIPOS_OT'!$C$4:$C$23,MATCH($I430,'CAT_TIPOS_OT'!$A$4:$A$23,0)),"sin_clasificar"))</f>
        <v/>
      </c>
      <c r="V430" s="24">
        <f>IF($I430="","",IF(IFERROR(INDEX('CAT_TIPOS_OT'!$D$4:$D$23,MATCH($I430,'CAT_TIPOS_OT'!$A$4:$A$23,0)),"SIN CLASIFICAR")="","SIN CLASIFICAR",IFERROR(INDEX('CAT_TIPOS_OT'!$D$4:$D$23,MATCH($I430,'CAT_TIPOS_OT'!$A$4:$A$23,0)),"SIN CLASIFICAR")))</f>
        <v/>
      </c>
      <c r="W430" s="24">
        <f>IF($H430="","",IF(IFERROR(INDEX('CAT_ACTIVIDADES'!$F$4:$F$26,MATCH($H430,'CAT_ACTIVIDADES'!$A$4:$A$26,0)),"")=0,"",IFERROR(INDEX('CAT_ACTIVIDADES'!$F$4:$F$26,MATCH($H430,'CAT_ACTIVIDADES'!$A$4:$A$26,0)),"")))</f>
        <v/>
      </c>
      <c r="X430" s="24">
        <f>IF($F430="","",IFERROR(INDEX('CAT_CENTROS_COSTO'!$F$4:$F$28,MATCH($F430,'CAT_CENTROS_COSTO'!$A$4:$A$28,0)),"(sin catálogo)"))</f>
        <v/>
      </c>
      <c r="Y430" s="24">
        <f>IF($F430="","",IFERROR(INDEX('CAT_CENTROS_COSTO'!$D$4:$D$28,MATCH($F430,'CAT_CENTROS_COSTO'!$A$4:$A$28,0)),"(sin catálogo)"))</f>
        <v/>
      </c>
      <c r="Z430" s="24">
        <f>IF($F430="","",IF((IFERROR(INDEX('CAT_CENTROS_COSTO'!$E$4:$E$28,MATCH($F430,'CAT_CENTROS_COSTO'!$A$4:$A$28,0)),""))&lt;&gt;"",IFERROR(INDEX('CAT_CENTROS_COSTO'!$E$4:$E$28,MATCH($F430,'CAT_CENTROS_COSTO'!$A$4:$A$28,0)),""),$Y430))</f>
        <v/>
      </c>
      <c r="AA430" s="24">
        <f>IF($F430="","",IFERROR(INDEX('CAT_CENTROS_COSTO'!$G$4:$G$28,MATCH($F430,'CAT_CENTROS_COSTO'!$A$4:$A$28,0)),"(sin catálogo)"))</f>
        <v/>
      </c>
      <c r="AB430" s="24">
        <f>IF($G430="","",IFERROR(INDEX('CAT_PUESTOS'!$B$4:$B$23,MATCH($G430,'CAT_PUESTOS'!$A$4:$A$23,0)),"(sin catálogo)"))</f>
        <v/>
      </c>
      <c r="AC430" s="24">
        <f>IF($H430="","",IFERROR(INDEX('CAT_ACTIVIDADES'!$B$4:$B$26,MATCH($H430,'CAT_ACTIVIDADES'!$A$4:$A$26,0)),"(sin catálogo)"))</f>
        <v/>
      </c>
      <c r="AD430" s="26">
        <f>IF($J430="","",TODAY()-$J430)</f>
        <v/>
      </c>
      <c r="AE430" s="26">
        <f>IF($J430="","",IF($J430&lt;=TODAY(),COUNTIFS(cal_fechas,"&gt;="&amp;$J430,cal_fechas,"&lt;"&amp;TODAY(),cal_habil,"sí"),-COUNTIFS(cal_fechas,"&gt;="&amp;TODAY(),cal_fechas,"&lt;"&amp;$J430,cal_habil,"sí")))</f>
        <v/>
      </c>
      <c r="AF430" s="24">
        <f>IF($AE430="","",IF($AE430&lt;0,"FUTURO",IF($AE430&gt;p_dias_backlog_max,"BACKLOG","MES CORRIENTE")))</f>
        <v/>
      </c>
      <c r="AG430" s="24">
        <f>IF($AE430="",FALSE,AND($AE430&gt;p_dias_backlog_min,$AE430&lt;=p_dias_backlog_max))</f>
        <v/>
      </c>
      <c r="AH430" s="4" t="n"/>
      <c r="AI430" s="24">
        <f>IF($AH430="","",IF((IFERROR(INDEX('ASIGNACIONES'!$J$4:$J$451,MATCH($O430&amp;"|"&amp;$S430&amp;"|"&amp;$AH430,'ASIGNACIONES'!$N$4:$N$451,0)),""))=0,"",IFERROR(INDEX('ASIGNACIONES'!$J$4:$J$451,MATCH($O430&amp;"|"&amp;$S430&amp;"|"&amp;$AH430,'ASIGNACIONES'!$N$4:$N$451,0)),"")))</f>
        <v/>
      </c>
      <c r="AJ430" s="42">
        <f>IF($AH430="","",SUMIFS('ORDENES'!$M$4:$M$1203,'ORDENES'!$AH$4:$AH$1203,$AH430,'ORDENES'!$O$4:$O$1203,$O430,'ORDENES'!$S$4:$S$1203,$S430))</f>
        <v/>
      </c>
      <c r="AK430" s="42">
        <f>IF($AJ430="","",p_factor_productividad*IFERROR(INDEX('ASIGNACIONES'!$M$4:$M$451,MATCH($O430&amp;"|"&amp;$S430&amp;"|"&amp;$AH430,'ASIGNACIONES'!$N$4:$N$451,0)),0)-$AJ430)</f>
        <v/>
      </c>
      <c r="AL430" s="32">
        <f>IF($A430="","",IFERROR(INDEX('2_IMPORTAR_EJECUCION'!$F$9:$F$1208,MATCH($AU430,'2_IMPORTAR_EJECUCION'!$J$9:$J$1208,0)),0))</f>
        <v/>
      </c>
      <c r="AM430" s="32">
        <f>IF($A430="","",MAX(0,IFERROR(INDEX('2_IMPORTAR_EJECUCION'!$H$9:$H$1208,MATCH($AU430,'2_IMPORTAR_EJECUCION'!$J$9:$J$1208,0)),0)-$AL430))</f>
        <v/>
      </c>
      <c r="AN430" s="32">
        <f>IF($A430="","",$AL430+$AM430)</f>
        <v/>
      </c>
      <c r="AO430" s="24">
        <f>IF($A430="","",IF(OR((IFERROR(INDEX('CAT_ACTIVIDADES'!$D$4:$D$26,MATCH($H430,'CAT_ACTIVIDADES'!$A$4:$A$26,0)),""))=0,(IFERROR(INDEX('CAT_ACTIVIDADES'!$D$4:$D$26,MATCH($H430,'CAT_ACTIVIDADES'!$A$4:$A$26,0)),""))=""),"SIN CLASIFICAR",IFERROR(INDEX('CAT_ACTIVIDADES'!$D$4:$D$26,MATCH($H430,'CAT_ACTIVIDADES'!$A$4:$A$26,0)),"")))</f>
        <v/>
      </c>
      <c r="AP430" s="4" t="n"/>
      <c r="AQ430" s="4" t="n"/>
      <c r="AR430" s="4" t="n"/>
      <c r="AS430" s="24">
        <f>IF($AR430="","",HYPERLINK(p_ruta_base_checklists&amp;$AR430,"abrir"))</f>
        <v/>
      </c>
      <c r="AT430" s="4" t="n"/>
      <c r="AU430" s="24">
        <f>IF($A430="","",$A430&amp;IF($B430="","0010",$B430))</f>
        <v/>
      </c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41" t="n"/>
      <c r="K431" s="5" t="n"/>
      <c r="L431" s="18" t="n"/>
      <c r="M431" s="24">
        <f>IF($A431="","",IFERROR(INDEX('AJUSTES'!$B$4:$B$303,MATCH($AU431,'AJUSTES'!$A$4:$A$303,0)),IF($K431="","",$K431)))</f>
        <v/>
      </c>
      <c r="N431" s="24">
        <f>IF($A431="","",IFERROR(INDEX('CAT_ESTADOS_ERP'!$B$4:$B$22,MATCH(IFERROR(INDEX('2_IMPORTAR_EJECUCION'!$C$9:$C$1208,MATCH($AU431,'2_IMPORTAR_EJECUCION'!$J$9:$J$1208,0)),""),'CAT_ESTADOS_ERP'!$A$4:$A$22,0)),"Pendiente"))</f>
        <v/>
      </c>
      <c r="O431" s="24">
        <f>IF($J431="","",YEAR($J431+4-WEEKDAY($J431,2))&amp;"-S"&amp;TEXT(_xlfn.ISOWEEKNUM($J431),"00"))</f>
        <v/>
      </c>
      <c r="P431" s="24">
        <f>IF($J431="","",YEAR($J431))</f>
        <v/>
      </c>
      <c r="Q431" s="24">
        <f>IF($J431="","",MONTH($J431))</f>
        <v/>
      </c>
      <c r="R431" s="24">
        <f>IF($J431="","",$P431&amp;"-"&amp;TEXT($Q431,"00"))</f>
        <v/>
      </c>
      <c r="S431" s="24">
        <f>IF($J431="","",INDEX(lista_dias,WEEKDAY($J431,2)))</f>
        <v/>
      </c>
      <c r="T431" s="24">
        <f>IF($J431="","",IFERROR(INDEX('CALENDARIO'!$C$15:$C$214,MATCH(TEXT($J431,"yyyy-mm-dd")&amp;"|"&amp;$Y431&amp;"|"&amp;$Z431,'CALENDARIO'!$G$15:$G$214,0)),IFERROR(INDEX('CALENDARIO'!$C$15:$C$214,MATCH(TEXT($J431,"yyyy-mm-dd")&amp;"|"&amp;$Y431&amp;"|",'CALENDARIO'!$G$15:$G$214,0)),IFERROR(INDEX('CALENDARIO'!$C$15:$C$214,MATCH(TEXT($J431,"yyyy-mm-dd")&amp;"||",'CALENDARIO'!$G$15:$G$214,0)),INDEX(patronHabil,WEEKDAY($J431,2))))))</f>
        <v/>
      </c>
      <c r="U431" s="24">
        <f>IF($I431="","",IFERROR(INDEX('CAT_TIPOS_OT'!$C$4:$C$23,MATCH($I431,'CAT_TIPOS_OT'!$A$4:$A$23,0)),"sin_clasificar"))</f>
        <v/>
      </c>
      <c r="V431" s="24">
        <f>IF($I431="","",IF(IFERROR(INDEX('CAT_TIPOS_OT'!$D$4:$D$23,MATCH($I431,'CAT_TIPOS_OT'!$A$4:$A$23,0)),"SIN CLASIFICAR")="","SIN CLASIFICAR",IFERROR(INDEX('CAT_TIPOS_OT'!$D$4:$D$23,MATCH($I431,'CAT_TIPOS_OT'!$A$4:$A$23,0)),"SIN CLASIFICAR")))</f>
        <v/>
      </c>
      <c r="W431" s="24">
        <f>IF($H431="","",IF(IFERROR(INDEX('CAT_ACTIVIDADES'!$F$4:$F$26,MATCH($H431,'CAT_ACTIVIDADES'!$A$4:$A$26,0)),"")=0,"",IFERROR(INDEX('CAT_ACTIVIDADES'!$F$4:$F$26,MATCH($H431,'CAT_ACTIVIDADES'!$A$4:$A$26,0)),"")))</f>
        <v/>
      </c>
      <c r="X431" s="24">
        <f>IF($F431="","",IFERROR(INDEX('CAT_CENTROS_COSTO'!$F$4:$F$28,MATCH($F431,'CAT_CENTROS_COSTO'!$A$4:$A$28,0)),"(sin catálogo)"))</f>
        <v/>
      </c>
      <c r="Y431" s="24">
        <f>IF($F431="","",IFERROR(INDEX('CAT_CENTROS_COSTO'!$D$4:$D$28,MATCH($F431,'CAT_CENTROS_COSTO'!$A$4:$A$28,0)),"(sin catálogo)"))</f>
        <v/>
      </c>
      <c r="Z431" s="24">
        <f>IF($F431="","",IF((IFERROR(INDEX('CAT_CENTROS_COSTO'!$E$4:$E$28,MATCH($F431,'CAT_CENTROS_COSTO'!$A$4:$A$28,0)),""))&lt;&gt;"",IFERROR(INDEX('CAT_CENTROS_COSTO'!$E$4:$E$28,MATCH($F431,'CAT_CENTROS_COSTO'!$A$4:$A$28,0)),""),$Y431))</f>
        <v/>
      </c>
      <c r="AA431" s="24">
        <f>IF($F431="","",IFERROR(INDEX('CAT_CENTROS_COSTO'!$G$4:$G$28,MATCH($F431,'CAT_CENTROS_COSTO'!$A$4:$A$28,0)),"(sin catálogo)"))</f>
        <v/>
      </c>
      <c r="AB431" s="24">
        <f>IF($G431="","",IFERROR(INDEX('CAT_PUESTOS'!$B$4:$B$23,MATCH($G431,'CAT_PUESTOS'!$A$4:$A$23,0)),"(sin catálogo)"))</f>
        <v/>
      </c>
      <c r="AC431" s="24">
        <f>IF($H431="","",IFERROR(INDEX('CAT_ACTIVIDADES'!$B$4:$B$26,MATCH($H431,'CAT_ACTIVIDADES'!$A$4:$A$26,0)),"(sin catálogo)"))</f>
        <v/>
      </c>
      <c r="AD431" s="26">
        <f>IF($J431="","",TODAY()-$J431)</f>
        <v/>
      </c>
      <c r="AE431" s="26">
        <f>IF($J431="","",IF($J431&lt;=TODAY(),COUNTIFS(cal_fechas,"&gt;="&amp;$J431,cal_fechas,"&lt;"&amp;TODAY(),cal_habil,"sí"),-COUNTIFS(cal_fechas,"&gt;="&amp;TODAY(),cal_fechas,"&lt;"&amp;$J431,cal_habil,"sí")))</f>
        <v/>
      </c>
      <c r="AF431" s="24">
        <f>IF($AE431="","",IF($AE431&lt;0,"FUTURO",IF($AE431&gt;p_dias_backlog_max,"BACKLOG","MES CORRIENTE")))</f>
        <v/>
      </c>
      <c r="AG431" s="24">
        <f>IF($AE431="",FALSE,AND($AE431&gt;p_dias_backlog_min,$AE431&lt;=p_dias_backlog_max))</f>
        <v/>
      </c>
      <c r="AH431" s="4" t="n"/>
      <c r="AI431" s="24">
        <f>IF($AH431="","",IF((IFERROR(INDEX('ASIGNACIONES'!$J$4:$J$451,MATCH($O431&amp;"|"&amp;$S431&amp;"|"&amp;$AH431,'ASIGNACIONES'!$N$4:$N$451,0)),""))=0,"",IFERROR(INDEX('ASIGNACIONES'!$J$4:$J$451,MATCH($O431&amp;"|"&amp;$S431&amp;"|"&amp;$AH431,'ASIGNACIONES'!$N$4:$N$451,0)),"")))</f>
        <v/>
      </c>
      <c r="AJ431" s="42">
        <f>IF($AH431="","",SUMIFS('ORDENES'!$M$4:$M$1203,'ORDENES'!$AH$4:$AH$1203,$AH431,'ORDENES'!$O$4:$O$1203,$O431,'ORDENES'!$S$4:$S$1203,$S431))</f>
        <v/>
      </c>
      <c r="AK431" s="42">
        <f>IF($AJ431="","",p_factor_productividad*IFERROR(INDEX('ASIGNACIONES'!$M$4:$M$451,MATCH($O431&amp;"|"&amp;$S431&amp;"|"&amp;$AH431,'ASIGNACIONES'!$N$4:$N$451,0)),0)-$AJ431)</f>
        <v/>
      </c>
      <c r="AL431" s="32">
        <f>IF($A431="","",IFERROR(INDEX('2_IMPORTAR_EJECUCION'!$F$9:$F$1208,MATCH($AU431,'2_IMPORTAR_EJECUCION'!$J$9:$J$1208,0)),0))</f>
        <v/>
      </c>
      <c r="AM431" s="32">
        <f>IF($A431="","",MAX(0,IFERROR(INDEX('2_IMPORTAR_EJECUCION'!$H$9:$H$1208,MATCH($AU431,'2_IMPORTAR_EJECUCION'!$J$9:$J$1208,0)),0)-$AL431))</f>
        <v/>
      </c>
      <c r="AN431" s="32">
        <f>IF($A431="","",$AL431+$AM431)</f>
        <v/>
      </c>
      <c r="AO431" s="24">
        <f>IF($A431="","",IF(OR((IFERROR(INDEX('CAT_ACTIVIDADES'!$D$4:$D$26,MATCH($H431,'CAT_ACTIVIDADES'!$A$4:$A$26,0)),""))=0,(IFERROR(INDEX('CAT_ACTIVIDADES'!$D$4:$D$26,MATCH($H431,'CAT_ACTIVIDADES'!$A$4:$A$26,0)),""))=""),"SIN CLASIFICAR",IFERROR(INDEX('CAT_ACTIVIDADES'!$D$4:$D$26,MATCH($H431,'CAT_ACTIVIDADES'!$A$4:$A$26,0)),"")))</f>
        <v/>
      </c>
      <c r="AP431" s="4" t="n"/>
      <c r="AQ431" s="4" t="n"/>
      <c r="AR431" s="4" t="n"/>
      <c r="AS431" s="24">
        <f>IF($AR431="","",HYPERLINK(p_ruta_base_checklists&amp;$AR431,"abrir"))</f>
        <v/>
      </c>
      <c r="AT431" s="4" t="n"/>
      <c r="AU431" s="24">
        <f>IF($A431="","",$A431&amp;IF($B431="","0010",$B431))</f>
        <v/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41" t="n"/>
      <c r="K432" s="5" t="n"/>
      <c r="L432" s="18" t="n"/>
      <c r="M432" s="24">
        <f>IF($A432="","",IFERROR(INDEX('AJUSTES'!$B$4:$B$303,MATCH($AU432,'AJUSTES'!$A$4:$A$303,0)),IF($K432="","",$K432)))</f>
        <v/>
      </c>
      <c r="N432" s="24">
        <f>IF($A432="","",IFERROR(INDEX('CAT_ESTADOS_ERP'!$B$4:$B$22,MATCH(IFERROR(INDEX('2_IMPORTAR_EJECUCION'!$C$9:$C$1208,MATCH($AU432,'2_IMPORTAR_EJECUCION'!$J$9:$J$1208,0)),""),'CAT_ESTADOS_ERP'!$A$4:$A$22,0)),"Pendiente"))</f>
        <v/>
      </c>
      <c r="O432" s="24">
        <f>IF($J432="","",YEAR($J432+4-WEEKDAY($J432,2))&amp;"-S"&amp;TEXT(_xlfn.ISOWEEKNUM($J432),"00"))</f>
        <v/>
      </c>
      <c r="P432" s="24">
        <f>IF($J432="","",YEAR($J432))</f>
        <v/>
      </c>
      <c r="Q432" s="24">
        <f>IF($J432="","",MONTH($J432))</f>
        <v/>
      </c>
      <c r="R432" s="24">
        <f>IF($J432="","",$P432&amp;"-"&amp;TEXT($Q432,"00"))</f>
        <v/>
      </c>
      <c r="S432" s="24">
        <f>IF($J432="","",INDEX(lista_dias,WEEKDAY($J432,2)))</f>
        <v/>
      </c>
      <c r="T432" s="24">
        <f>IF($J432="","",IFERROR(INDEX('CALENDARIO'!$C$15:$C$214,MATCH(TEXT($J432,"yyyy-mm-dd")&amp;"|"&amp;$Y432&amp;"|"&amp;$Z432,'CALENDARIO'!$G$15:$G$214,0)),IFERROR(INDEX('CALENDARIO'!$C$15:$C$214,MATCH(TEXT($J432,"yyyy-mm-dd")&amp;"|"&amp;$Y432&amp;"|",'CALENDARIO'!$G$15:$G$214,0)),IFERROR(INDEX('CALENDARIO'!$C$15:$C$214,MATCH(TEXT($J432,"yyyy-mm-dd")&amp;"||",'CALENDARIO'!$G$15:$G$214,0)),INDEX(patronHabil,WEEKDAY($J432,2))))))</f>
        <v/>
      </c>
      <c r="U432" s="24">
        <f>IF($I432="","",IFERROR(INDEX('CAT_TIPOS_OT'!$C$4:$C$23,MATCH($I432,'CAT_TIPOS_OT'!$A$4:$A$23,0)),"sin_clasificar"))</f>
        <v/>
      </c>
      <c r="V432" s="24">
        <f>IF($I432="","",IF(IFERROR(INDEX('CAT_TIPOS_OT'!$D$4:$D$23,MATCH($I432,'CAT_TIPOS_OT'!$A$4:$A$23,0)),"SIN CLASIFICAR")="","SIN CLASIFICAR",IFERROR(INDEX('CAT_TIPOS_OT'!$D$4:$D$23,MATCH($I432,'CAT_TIPOS_OT'!$A$4:$A$23,0)),"SIN CLASIFICAR")))</f>
        <v/>
      </c>
      <c r="W432" s="24">
        <f>IF($H432="","",IF(IFERROR(INDEX('CAT_ACTIVIDADES'!$F$4:$F$26,MATCH($H432,'CAT_ACTIVIDADES'!$A$4:$A$26,0)),"")=0,"",IFERROR(INDEX('CAT_ACTIVIDADES'!$F$4:$F$26,MATCH($H432,'CAT_ACTIVIDADES'!$A$4:$A$26,0)),"")))</f>
        <v/>
      </c>
      <c r="X432" s="24">
        <f>IF($F432="","",IFERROR(INDEX('CAT_CENTROS_COSTO'!$F$4:$F$28,MATCH($F432,'CAT_CENTROS_COSTO'!$A$4:$A$28,0)),"(sin catálogo)"))</f>
        <v/>
      </c>
      <c r="Y432" s="24">
        <f>IF($F432="","",IFERROR(INDEX('CAT_CENTROS_COSTO'!$D$4:$D$28,MATCH($F432,'CAT_CENTROS_COSTO'!$A$4:$A$28,0)),"(sin catálogo)"))</f>
        <v/>
      </c>
      <c r="Z432" s="24">
        <f>IF($F432="","",IF((IFERROR(INDEX('CAT_CENTROS_COSTO'!$E$4:$E$28,MATCH($F432,'CAT_CENTROS_COSTO'!$A$4:$A$28,0)),""))&lt;&gt;"",IFERROR(INDEX('CAT_CENTROS_COSTO'!$E$4:$E$28,MATCH($F432,'CAT_CENTROS_COSTO'!$A$4:$A$28,0)),""),$Y432))</f>
        <v/>
      </c>
      <c r="AA432" s="24">
        <f>IF($F432="","",IFERROR(INDEX('CAT_CENTROS_COSTO'!$G$4:$G$28,MATCH($F432,'CAT_CENTROS_COSTO'!$A$4:$A$28,0)),"(sin catálogo)"))</f>
        <v/>
      </c>
      <c r="AB432" s="24">
        <f>IF($G432="","",IFERROR(INDEX('CAT_PUESTOS'!$B$4:$B$23,MATCH($G432,'CAT_PUESTOS'!$A$4:$A$23,0)),"(sin catálogo)"))</f>
        <v/>
      </c>
      <c r="AC432" s="24">
        <f>IF($H432="","",IFERROR(INDEX('CAT_ACTIVIDADES'!$B$4:$B$26,MATCH($H432,'CAT_ACTIVIDADES'!$A$4:$A$26,0)),"(sin catálogo)"))</f>
        <v/>
      </c>
      <c r="AD432" s="26">
        <f>IF($J432="","",TODAY()-$J432)</f>
        <v/>
      </c>
      <c r="AE432" s="26">
        <f>IF($J432="","",IF($J432&lt;=TODAY(),COUNTIFS(cal_fechas,"&gt;="&amp;$J432,cal_fechas,"&lt;"&amp;TODAY(),cal_habil,"sí"),-COUNTIFS(cal_fechas,"&gt;="&amp;TODAY(),cal_fechas,"&lt;"&amp;$J432,cal_habil,"sí")))</f>
        <v/>
      </c>
      <c r="AF432" s="24">
        <f>IF($AE432="","",IF($AE432&lt;0,"FUTURO",IF($AE432&gt;p_dias_backlog_max,"BACKLOG","MES CORRIENTE")))</f>
        <v/>
      </c>
      <c r="AG432" s="24">
        <f>IF($AE432="",FALSE,AND($AE432&gt;p_dias_backlog_min,$AE432&lt;=p_dias_backlog_max))</f>
        <v/>
      </c>
      <c r="AH432" s="4" t="n"/>
      <c r="AI432" s="24">
        <f>IF($AH432="","",IF((IFERROR(INDEX('ASIGNACIONES'!$J$4:$J$451,MATCH($O432&amp;"|"&amp;$S432&amp;"|"&amp;$AH432,'ASIGNACIONES'!$N$4:$N$451,0)),""))=0,"",IFERROR(INDEX('ASIGNACIONES'!$J$4:$J$451,MATCH($O432&amp;"|"&amp;$S432&amp;"|"&amp;$AH432,'ASIGNACIONES'!$N$4:$N$451,0)),"")))</f>
        <v/>
      </c>
      <c r="AJ432" s="42">
        <f>IF($AH432="","",SUMIFS('ORDENES'!$M$4:$M$1203,'ORDENES'!$AH$4:$AH$1203,$AH432,'ORDENES'!$O$4:$O$1203,$O432,'ORDENES'!$S$4:$S$1203,$S432))</f>
        <v/>
      </c>
      <c r="AK432" s="42">
        <f>IF($AJ432="","",p_factor_productividad*IFERROR(INDEX('ASIGNACIONES'!$M$4:$M$451,MATCH($O432&amp;"|"&amp;$S432&amp;"|"&amp;$AH432,'ASIGNACIONES'!$N$4:$N$451,0)),0)-$AJ432)</f>
        <v/>
      </c>
      <c r="AL432" s="32">
        <f>IF($A432="","",IFERROR(INDEX('2_IMPORTAR_EJECUCION'!$F$9:$F$1208,MATCH($AU432,'2_IMPORTAR_EJECUCION'!$J$9:$J$1208,0)),0))</f>
        <v/>
      </c>
      <c r="AM432" s="32">
        <f>IF($A432="","",MAX(0,IFERROR(INDEX('2_IMPORTAR_EJECUCION'!$H$9:$H$1208,MATCH($AU432,'2_IMPORTAR_EJECUCION'!$J$9:$J$1208,0)),0)-$AL432))</f>
        <v/>
      </c>
      <c r="AN432" s="32">
        <f>IF($A432="","",$AL432+$AM432)</f>
        <v/>
      </c>
      <c r="AO432" s="24">
        <f>IF($A432="","",IF(OR((IFERROR(INDEX('CAT_ACTIVIDADES'!$D$4:$D$26,MATCH($H432,'CAT_ACTIVIDADES'!$A$4:$A$26,0)),""))=0,(IFERROR(INDEX('CAT_ACTIVIDADES'!$D$4:$D$26,MATCH($H432,'CAT_ACTIVIDADES'!$A$4:$A$26,0)),""))=""),"SIN CLASIFICAR",IFERROR(INDEX('CAT_ACTIVIDADES'!$D$4:$D$26,MATCH($H432,'CAT_ACTIVIDADES'!$A$4:$A$26,0)),"")))</f>
        <v/>
      </c>
      <c r="AP432" s="4" t="n"/>
      <c r="AQ432" s="4" t="n"/>
      <c r="AR432" s="4" t="n"/>
      <c r="AS432" s="24">
        <f>IF($AR432="","",HYPERLINK(p_ruta_base_checklists&amp;$AR432,"abrir"))</f>
        <v/>
      </c>
      <c r="AT432" s="4" t="n"/>
      <c r="AU432" s="24">
        <f>IF($A432="","",$A432&amp;IF($B432="","0010",$B432))</f>
        <v/>
      </c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41" t="n"/>
      <c r="K433" s="5" t="n"/>
      <c r="L433" s="18" t="n"/>
      <c r="M433" s="24">
        <f>IF($A433="","",IFERROR(INDEX('AJUSTES'!$B$4:$B$303,MATCH($AU433,'AJUSTES'!$A$4:$A$303,0)),IF($K433="","",$K433)))</f>
        <v/>
      </c>
      <c r="N433" s="24">
        <f>IF($A433="","",IFERROR(INDEX('CAT_ESTADOS_ERP'!$B$4:$B$22,MATCH(IFERROR(INDEX('2_IMPORTAR_EJECUCION'!$C$9:$C$1208,MATCH($AU433,'2_IMPORTAR_EJECUCION'!$J$9:$J$1208,0)),""),'CAT_ESTADOS_ERP'!$A$4:$A$22,0)),"Pendiente"))</f>
        <v/>
      </c>
      <c r="O433" s="24">
        <f>IF($J433="","",YEAR($J433+4-WEEKDAY($J433,2))&amp;"-S"&amp;TEXT(_xlfn.ISOWEEKNUM($J433),"00"))</f>
        <v/>
      </c>
      <c r="P433" s="24">
        <f>IF($J433="","",YEAR($J433))</f>
        <v/>
      </c>
      <c r="Q433" s="24">
        <f>IF($J433="","",MONTH($J433))</f>
        <v/>
      </c>
      <c r="R433" s="24">
        <f>IF($J433="","",$P433&amp;"-"&amp;TEXT($Q433,"00"))</f>
        <v/>
      </c>
      <c r="S433" s="24">
        <f>IF($J433="","",INDEX(lista_dias,WEEKDAY($J433,2)))</f>
        <v/>
      </c>
      <c r="T433" s="24">
        <f>IF($J433="","",IFERROR(INDEX('CALENDARIO'!$C$15:$C$214,MATCH(TEXT($J433,"yyyy-mm-dd")&amp;"|"&amp;$Y433&amp;"|"&amp;$Z433,'CALENDARIO'!$G$15:$G$214,0)),IFERROR(INDEX('CALENDARIO'!$C$15:$C$214,MATCH(TEXT($J433,"yyyy-mm-dd")&amp;"|"&amp;$Y433&amp;"|",'CALENDARIO'!$G$15:$G$214,0)),IFERROR(INDEX('CALENDARIO'!$C$15:$C$214,MATCH(TEXT($J433,"yyyy-mm-dd")&amp;"||",'CALENDARIO'!$G$15:$G$214,0)),INDEX(patronHabil,WEEKDAY($J433,2))))))</f>
        <v/>
      </c>
      <c r="U433" s="24">
        <f>IF($I433="","",IFERROR(INDEX('CAT_TIPOS_OT'!$C$4:$C$23,MATCH($I433,'CAT_TIPOS_OT'!$A$4:$A$23,0)),"sin_clasificar"))</f>
        <v/>
      </c>
      <c r="V433" s="24">
        <f>IF($I433="","",IF(IFERROR(INDEX('CAT_TIPOS_OT'!$D$4:$D$23,MATCH($I433,'CAT_TIPOS_OT'!$A$4:$A$23,0)),"SIN CLASIFICAR")="","SIN CLASIFICAR",IFERROR(INDEX('CAT_TIPOS_OT'!$D$4:$D$23,MATCH($I433,'CAT_TIPOS_OT'!$A$4:$A$23,0)),"SIN CLASIFICAR")))</f>
        <v/>
      </c>
      <c r="W433" s="24">
        <f>IF($H433="","",IF(IFERROR(INDEX('CAT_ACTIVIDADES'!$F$4:$F$26,MATCH($H433,'CAT_ACTIVIDADES'!$A$4:$A$26,0)),"")=0,"",IFERROR(INDEX('CAT_ACTIVIDADES'!$F$4:$F$26,MATCH($H433,'CAT_ACTIVIDADES'!$A$4:$A$26,0)),"")))</f>
        <v/>
      </c>
      <c r="X433" s="24">
        <f>IF($F433="","",IFERROR(INDEX('CAT_CENTROS_COSTO'!$F$4:$F$28,MATCH($F433,'CAT_CENTROS_COSTO'!$A$4:$A$28,0)),"(sin catálogo)"))</f>
        <v/>
      </c>
      <c r="Y433" s="24">
        <f>IF($F433="","",IFERROR(INDEX('CAT_CENTROS_COSTO'!$D$4:$D$28,MATCH($F433,'CAT_CENTROS_COSTO'!$A$4:$A$28,0)),"(sin catálogo)"))</f>
        <v/>
      </c>
      <c r="Z433" s="24">
        <f>IF($F433="","",IF((IFERROR(INDEX('CAT_CENTROS_COSTO'!$E$4:$E$28,MATCH($F433,'CAT_CENTROS_COSTO'!$A$4:$A$28,0)),""))&lt;&gt;"",IFERROR(INDEX('CAT_CENTROS_COSTO'!$E$4:$E$28,MATCH($F433,'CAT_CENTROS_COSTO'!$A$4:$A$28,0)),""),$Y433))</f>
        <v/>
      </c>
      <c r="AA433" s="24">
        <f>IF($F433="","",IFERROR(INDEX('CAT_CENTROS_COSTO'!$G$4:$G$28,MATCH($F433,'CAT_CENTROS_COSTO'!$A$4:$A$28,0)),"(sin catálogo)"))</f>
        <v/>
      </c>
      <c r="AB433" s="24">
        <f>IF($G433="","",IFERROR(INDEX('CAT_PUESTOS'!$B$4:$B$23,MATCH($G433,'CAT_PUESTOS'!$A$4:$A$23,0)),"(sin catálogo)"))</f>
        <v/>
      </c>
      <c r="AC433" s="24">
        <f>IF($H433="","",IFERROR(INDEX('CAT_ACTIVIDADES'!$B$4:$B$26,MATCH($H433,'CAT_ACTIVIDADES'!$A$4:$A$26,0)),"(sin catálogo)"))</f>
        <v/>
      </c>
      <c r="AD433" s="26">
        <f>IF($J433="","",TODAY()-$J433)</f>
        <v/>
      </c>
      <c r="AE433" s="26">
        <f>IF($J433="","",IF($J433&lt;=TODAY(),COUNTIFS(cal_fechas,"&gt;="&amp;$J433,cal_fechas,"&lt;"&amp;TODAY(),cal_habil,"sí"),-COUNTIFS(cal_fechas,"&gt;="&amp;TODAY(),cal_fechas,"&lt;"&amp;$J433,cal_habil,"sí")))</f>
        <v/>
      </c>
      <c r="AF433" s="24">
        <f>IF($AE433="","",IF($AE433&lt;0,"FUTURO",IF($AE433&gt;p_dias_backlog_max,"BACKLOG","MES CORRIENTE")))</f>
        <v/>
      </c>
      <c r="AG433" s="24">
        <f>IF($AE433="",FALSE,AND($AE433&gt;p_dias_backlog_min,$AE433&lt;=p_dias_backlog_max))</f>
        <v/>
      </c>
      <c r="AH433" s="4" t="n"/>
      <c r="AI433" s="24">
        <f>IF($AH433="","",IF((IFERROR(INDEX('ASIGNACIONES'!$J$4:$J$451,MATCH($O433&amp;"|"&amp;$S433&amp;"|"&amp;$AH433,'ASIGNACIONES'!$N$4:$N$451,0)),""))=0,"",IFERROR(INDEX('ASIGNACIONES'!$J$4:$J$451,MATCH($O433&amp;"|"&amp;$S433&amp;"|"&amp;$AH433,'ASIGNACIONES'!$N$4:$N$451,0)),"")))</f>
        <v/>
      </c>
      <c r="AJ433" s="42">
        <f>IF($AH433="","",SUMIFS('ORDENES'!$M$4:$M$1203,'ORDENES'!$AH$4:$AH$1203,$AH433,'ORDENES'!$O$4:$O$1203,$O433,'ORDENES'!$S$4:$S$1203,$S433))</f>
        <v/>
      </c>
      <c r="AK433" s="42">
        <f>IF($AJ433="","",p_factor_productividad*IFERROR(INDEX('ASIGNACIONES'!$M$4:$M$451,MATCH($O433&amp;"|"&amp;$S433&amp;"|"&amp;$AH433,'ASIGNACIONES'!$N$4:$N$451,0)),0)-$AJ433)</f>
        <v/>
      </c>
      <c r="AL433" s="32">
        <f>IF($A433="","",IFERROR(INDEX('2_IMPORTAR_EJECUCION'!$F$9:$F$1208,MATCH($AU433,'2_IMPORTAR_EJECUCION'!$J$9:$J$1208,0)),0))</f>
        <v/>
      </c>
      <c r="AM433" s="32">
        <f>IF($A433="","",MAX(0,IFERROR(INDEX('2_IMPORTAR_EJECUCION'!$H$9:$H$1208,MATCH($AU433,'2_IMPORTAR_EJECUCION'!$J$9:$J$1208,0)),0)-$AL433))</f>
        <v/>
      </c>
      <c r="AN433" s="32">
        <f>IF($A433="","",$AL433+$AM433)</f>
        <v/>
      </c>
      <c r="AO433" s="24">
        <f>IF($A433="","",IF(OR((IFERROR(INDEX('CAT_ACTIVIDADES'!$D$4:$D$26,MATCH($H433,'CAT_ACTIVIDADES'!$A$4:$A$26,0)),""))=0,(IFERROR(INDEX('CAT_ACTIVIDADES'!$D$4:$D$26,MATCH($H433,'CAT_ACTIVIDADES'!$A$4:$A$26,0)),""))=""),"SIN CLASIFICAR",IFERROR(INDEX('CAT_ACTIVIDADES'!$D$4:$D$26,MATCH($H433,'CAT_ACTIVIDADES'!$A$4:$A$26,0)),"")))</f>
        <v/>
      </c>
      <c r="AP433" s="4" t="n"/>
      <c r="AQ433" s="4" t="n"/>
      <c r="AR433" s="4" t="n"/>
      <c r="AS433" s="24">
        <f>IF($AR433="","",HYPERLINK(p_ruta_base_checklists&amp;$AR433,"abrir"))</f>
        <v/>
      </c>
      <c r="AT433" s="4" t="n"/>
      <c r="AU433" s="24">
        <f>IF($A433="","",$A433&amp;IF($B433="","0010",$B433))</f>
        <v/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41" t="n"/>
      <c r="K434" s="5" t="n"/>
      <c r="L434" s="18" t="n"/>
      <c r="M434" s="24">
        <f>IF($A434="","",IFERROR(INDEX('AJUSTES'!$B$4:$B$303,MATCH($AU434,'AJUSTES'!$A$4:$A$303,0)),IF($K434="","",$K434)))</f>
        <v/>
      </c>
      <c r="N434" s="24">
        <f>IF($A434="","",IFERROR(INDEX('CAT_ESTADOS_ERP'!$B$4:$B$22,MATCH(IFERROR(INDEX('2_IMPORTAR_EJECUCION'!$C$9:$C$1208,MATCH($AU434,'2_IMPORTAR_EJECUCION'!$J$9:$J$1208,0)),""),'CAT_ESTADOS_ERP'!$A$4:$A$22,0)),"Pendiente"))</f>
        <v/>
      </c>
      <c r="O434" s="24">
        <f>IF($J434="","",YEAR($J434+4-WEEKDAY($J434,2))&amp;"-S"&amp;TEXT(_xlfn.ISOWEEKNUM($J434),"00"))</f>
        <v/>
      </c>
      <c r="P434" s="24">
        <f>IF($J434="","",YEAR($J434))</f>
        <v/>
      </c>
      <c r="Q434" s="24">
        <f>IF($J434="","",MONTH($J434))</f>
        <v/>
      </c>
      <c r="R434" s="24">
        <f>IF($J434="","",$P434&amp;"-"&amp;TEXT($Q434,"00"))</f>
        <v/>
      </c>
      <c r="S434" s="24">
        <f>IF($J434="","",INDEX(lista_dias,WEEKDAY($J434,2)))</f>
        <v/>
      </c>
      <c r="T434" s="24">
        <f>IF($J434="","",IFERROR(INDEX('CALENDARIO'!$C$15:$C$214,MATCH(TEXT($J434,"yyyy-mm-dd")&amp;"|"&amp;$Y434&amp;"|"&amp;$Z434,'CALENDARIO'!$G$15:$G$214,0)),IFERROR(INDEX('CALENDARIO'!$C$15:$C$214,MATCH(TEXT($J434,"yyyy-mm-dd")&amp;"|"&amp;$Y434&amp;"|",'CALENDARIO'!$G$15:$G$214,0)),IFERROR(INDEX('CALENDARIO'!$C$15:$C$214,MATCH(TEXT($J434,"yyyy-mm-dd")&amp;"||",'CALENDARIO'!$G$15:$G$214,0)),INDEX(patronHabil,WEEKDAY($J434,2))))))</f>
        <v/>
      </c>
      <c r="U434" s="24">
        <f>IF($I434="","",IFERROR(INDEX('CAT_TIPOS_OT'!$C$4:$C$23,MATCH($I434,'CAT_TIPOS_OT'!$A$4:$A$23,0)),"sin_clasificar"))</f>
        <v/>
      </c>
      <c r="V434" s="24">
        <f>IF($I434="","",IF(IFERROR(INDEX('CAT_TIPOS_OT'!$D$4:$D$23,MATCH($I434,'CAT_TIPOS_OT'!$A$4:$A$23,0)),"SIN CLASIFICAR")="","SIN CLASIFICAR",IFERROR(INDEX('CAT_TIPOS_OT'!$D$4:$D$23,MATCH($I434,'CAT_TIPOS_OT'!$A$4:$A$23,0)),"SIN CLASIFICAR")))</f>
        <v/>
      </c>
      <c r="W434" s="24">
        <f>IF($H434="","",IF(IFERROR(INDEX('CAT_ACTIVIDADES'!$F$4:$F$26,MATCH($H434,'CAT_ACTIVIDADES'!$A$4:$A$26,0)),"")=0,"",IFERROR(INDEX('CAT_ACTIVIDADES'!$F$4:$F$26,MATCH($H434,'CAT_ACTIVIDADES'!$A$4:$A$26,0)),"")))</f>
        <v/>
      </c>
      <c r="X434" s="24">
        <f>IF($F434="","",IFERROR(INDEX('CAT_CENTROS_COSTO'!$F$4:$F$28,MATCH($F434,'CAT_CENTROS_COSTO'!$A$4:$A$28,0)),"(sin catálogo)"))</f>
        <v/>
      </c>
      <c r="Y434" s="24">
        <f>IF($F434="","",IFERROR(INDEX('CAT_CENTROS_COSTO'!$D$4:$D$28,MATCH($F434,'CAT_CENTROS_COSTO'!$A$4:$A$28,0)),"(sin catálogo)"))</f>
        <v/>
      </c>
      <c r="Z434" s="24">
        <f>IF($F434="","",IF((IFERROR(INDEX('CAT_CENTROS_COSTO'!$E$4:$E$28,MATCH($F434,'CAT_CENTROS_COSTO'!$A$4:$A$28,0)),""))&lt;&gt;"",IFERROR(INDEX('CAT_CENTROS_COSTO'!$E$4:$E$28,MATCH($F434,'CAT_CENTROS_COSTO'!$A$4:$A$28,0)),""),$Y434))</f>
        <v/>
      </c>
      <c r="AA434" s="24">
        <f>IF($F434="","",IFERROR(INDEX('CAT_CENTROS_COSTO'!$G$4:$G$28,MATCH($F434,'CAT_CENTROS_COSTO'!$A$4:$A$28,0)),"(sin catálogo)"))</f>
        <v/>
      </c>
      <c r="AB434" s="24">
        <f>IF($G434="","",IFERROR(INDEX('CAT_PUESTOS'!$B$4:$B$23,MATCH($G434,'CAT_PUESTOS'!$A$4:$A$23,0)),"(sin catálogo)"))</f>
        <v/>
      </c>
      <c r="AC434" s="24">
        <f>IF($H434="","",IFERROR(INDEX('CAT_ACTIVIDADES'!$B$4:$B$26,MATCH($H434,'CAT_ACTIVIDADES'!$A$4:$A$26,0)),"(sin catálogo)"))</f>
        <v/>
      </c>
      <c r="AD434" s="26">
        <f>IF($J434="","",TODAY()-$J434)</f>
        <v/>
      </c>
      <c r="AE434" s="26">
        <f>IF($J434="","",IF($J434&lt;=TODAY(),COUNTIFS(cal_fechas,"&gt;="&amp;$J434,cal_fechas,"&lt;"&amp;TODAY(),cal_habil,"sí"),-COUNTIFS(cal_fechas,"&gt;="&amp;TODAY(),cal_fechas,"&lt;"&amp;$J434,cal_habil,"sí")))</f>
        <v/>
      </c>
      <c r="AF434" s="24">
        <f>IF($AE434="","",IF($AE434&lt;0,"FUTURO",IF($AE434&gt;p_dias_backlog_max,"BACKLOG","MES CORRIENTE")))</f>
        <v/>
      </c>
      <c r="AG434" s="24">
        <f>IF($AE434="",FALSE,AND($AE434&gt;p_dias_backlog_min,$AE434&lt;=p_dias_backlog_max))</f>
        <v/>
      </c>
      <c r="AH434" s="4" t="n"/>
      <c r="AI434" s="24">
        <f>IF($AH434="","",IF((IFERROR(INDEX('ASIGNACIONES'!$J$4:$J$451,MATCH($O434&amp;"|"&amp;$S434&amp;"|"&amp;$AH434,'ASIGNACIONES'!$N$4:$N$451,0)),""))=0,"",IFERROR(INDEX('ASIGNACIONES'!$J$4:$J$451,MATCH($O434&amp;"|"&amp;$S434&amp;"|"&amp;$AH434,'ASIGNACIONES'!$N$4:$N$451,0)),"")))</f>
        <v/>
      </c>
      <c r="AJ434" s="42">
        <f>IF($AH434="","",SUMIFS('ORDENES'!$M$4:$M$1203,'ORDENES'!$AH$4:$AH$1203,$AH434,'ORDENES'!$O$4:$O$1203,$O434,'ORDENES'!$S$4:$S$1203,$S434))</f>
        <v/>
      </c>
      <c r="AK434" s="42">
        <f>IF($AJ434="","",p_factor_productividad*IFERROR(INDEX('ASIGNACIONES'!$M$4:$M$451,MATCH($O434&amp;"|"&amp;$S434&amp;"|"&amp;$AH434,'ASIGNACIONES'!$N$4:$N$451,0)),0)-$AJ434)</f>
        <v/>
      </c>
      <c r="AL434" s="32">
        <f>IF($A434="","",IFERROR(INDEX('2_IMPORTAR_EJECUCION'!$F$9:$F$1208,MATCH($AU434,'2_IMPORTAR_EJECUCION'!$J$9:$J$1208,0)),0))</f>
        <v/>
      </c>
      <c r="AM434" s="32">
        <f>IF($A434="","",MAX(0,IFERROR(INDEX('2_IMPORTAR_EJECUCION'!$H$9:$H$1208,MATCH($AU434,'2_IMPORTAR_EJECUCION'!$J$9:$J$1208,0)),0)-$AL434))</f>
        <v/>
      </c>
      <c r="AN434" s="32">
        <f>IF($A434="","",$AL434+$AM434)</f>
        <v/>
      </c>
      <c r="AO434" s="24">
        <f>IF($A434="","",IF(OR((IFERROR(INDEX('CAT_ACTIVIDADES'!$D$4:$D$26,MATCH($H434,'CAT_ACTIVIDADES'!$A$4:$A$26,0)),""))=0,(IFERROR(INDEX('CAT_ACTIVIDADES'!$D$4:$D$26,MATCH($H434,'CAT_ACTIVIDADES'!$A$4:$A$26,0)),""))=""),"SIN CLASIFICAR",IFERROR(INDEX('CAT_ACTIVIDADES'!$D$4:$D$26,MATCH($H434,'CAT_ACTIVIDADES'!$A$4:$A$26,0)),"")))</f>
        <v/>
      </c>
      <c r="AP434" s="4" t="n"/>
      <c r="AQ434" s="4" t="n"/>
      <c r="AR434" s="4" t="n"/>
      <c r="AS434" s="24">
        <f>IF($AR434="","",HYPERLINK(p_ruta_base_checklists&amp;$AR434,"abrir"))</f>
        <v/>
      </c>
      <c r="AT434" s="4" t="n"/>
      <c r="AU434" s="24">
        <f>IF($A434="","",$A434&amp;IF($B434="","0010",$B434))</f>
        <v/>
      </c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41" t="n"/>
      <c r="K435" s="5" t="n"/>
      <c r="L435" s="18" t="n"/>
      <c r="M435" s="24">
        <f>IF($A435="","",IFERROR(INDEX('AJUSTES'!$B$4:$B$303,MATCH($AU435,'AJUSTES'!$A$4:$A$303,0)),IF($K435="","",$K435)))</f>
        <v/>
      </c>
      <c r="N435" s="24">
        <f>IF($A435="","",IFERROR(INDEX('CAT_ESTADOS_ERP'!$B$4:$B$22,MATCH(IFERROR(INDEX('2_IMPORTAR_EJECUCION'!$C$9:$C$1208,MATCH($AU435,'2_IMPORTAR_EJECUCION'!$J$9:$J$1208,0)),""),'CAT_ESTADOS_ERP'!$A$4:$A$22,0)),"Pendiente"))</f>
        <v/>
      </c>
      <c r="O435" s="24">
        <f>IF($J435="","",YEAR($J435+4-WEEKDAY($J435,2))&amp;"-S"&amp;TEXT(_xlfn.ISOWEEKNUM($J435),"00"))</f>
        <v/>
      </c>
      <c r="P435" s="24">
        <f>IF($J435="","",YEAR($J435))</f>
        <v/>
      </c>
      <c r="Q435" s="24">
        <f>IF($J435="","",MONTH($J435))</f>
        <v/>
      </c>
      <c r="R435" s="24">
        <f>IF($J435="","",$P435&amp;"-"&amp;TEXT($Q435,"00"))</f>
        <v/>
      </c>
      <c r="S435" s="24">
        <f>IF($J435="","",INDEX(lista_dias,WEEKDAY($J435,2)))</f>
        <v/>
      </c>
      <c r="T435" s="24">
        <f>IF($J435="","",IFERROR(INDEX('CALENDARIO'!$C$15:$C$214,MATCH(TEXT($J435,"yyyy-mm-dd")&amp;"|"&amp;$Y435&amp;"|"&amp;$Z435,'CALENDARIO'!$G$15:$G$214,0)),IFERROR(INDEX('CALENDARIO'!$C$15:$C$214,MATCH(TEXT($J435,"yyyy-mm-dd")&amp;"|"&amp;$Y435&amp;"|",'CALENDARIO'!$G$15:$G$214,0)),IFERROR(INDEX('CALENDARIO'!$C$15:$C$214,MATCH(TEXT($J435,"yyyy-mm-dd")&amp;"||",'CALENDARIO'!$G$15:$G$214,0)),INDEX(patronHabil,WEEKDAY($J435,2))))))</f>
        <v/>
      </c>
      <c r="U435" s="24">
        <f>IF($I435="","",IFERROR(INDEX('CAT_TIPOS_OT'!$C$4:$C$23,MATCH($I435,'CAT_TIPOS_OT'!$A$4:$A$23,0)),"sin_clasificar"))</f>
        <v/>
      </c>
      <c r="V435" s="24">
        <f>IF($I435="","",IF(IFERROR(INDEX('CAT_TIPOS_OT'!$D$4:$D$23,MATCH($I435,'CAT_TIPOS_OT'!$A$4:$A$23,0)),"SIN CLASIFICAR")="","SIN CLASIFICAR",IFERROR(INDEX('CAT_TIPOS_OT'!$D$4:$D$23,MATCH($I435,'CAT_TIPOS_OT'!$A$4:$A$23,0)),"SIN CLASIFICAR")))</f>
        <v/>
      </c>
      <c r="W435" s="24">
        <f>IF($H435="","",IF(IFERROR(INDEX('CAT_ACTIVIDADES'!$F$4:$F$26,MATCH($H435,'CAT_ACTIVIDADES'!$A$4:$A$26,0)),"")=0,"",IFERROR(INDEX('CAT_ACTIVIDADES'!$F$4:$F$26,MATCH($H435,'CAT_ACTIVIDADES'!$A$4:$A$26,0)),"")))</f>
        <v/>
      </c>
      <c r="X435" s="24">
        <f>IF($F435="","",IFERROR(INDEX('CAT_CENTROS_COSTO'!$F$4:$F$28,MATCH($F435,'CAT_CENTROS_COSTO'!$A$4:$A$28,0)),"(sin catálogo)"))</f>
        <v/>
      </c>
      <c r="Y435" s="24">
        <f>IF($F435="","",IFERROR(INDEX('CAT_CENTROS_COSTO'!$D$4:$D$28,MATCH($F435,'CAT_CENTROS_COSTO'!$A$4:$A$28,0)),"(sin catálogo)"))</f>
        <v/>
      </c>
      <c r="Z435" s="24">
        <f>IF($F435="","",IF((IFERROR(INDEX('CAT_CENTROS_COSTO'!$E$4:$E$28,MATCH($F435,'CAT_CENTROS_COSTO'!$A$4:$A$28,0)),""))&lt;&gt;"",IFERROR(INDEX('CAT_CENTROS_COSTO'!$E$4:$E$28,MATCH($F435,'CAT_CENTROS_COSTO'!$A$4:$A$28,0)),""),$Y435))</f>
        <v/>
      </c>
      <c r="AA435" s="24">
        <f>IF($F435="","",IFERROR(INDEX('CAT_CENTROS_COSTO'!$G$4:$G$28,MATCH($F435,'CAT_CENTROS_COSTO'!$A$4:$A$28,0)),"(sin catálogo)"))</f>
        <v/>
      </c>
      <c r="AB435" s="24">
        <f>IF($G435="","",IFERROR(INDEX('CAT_PUESTOS'!$B$4:$B$23,MATCH($G435,'CAT_PUESTOS'!$A$4:$A$23,0)),"(sin catálogo)"))</f>
        <v/>
      </c>
      <c r="AC435" s="24">
        <f>IF($H435="","",IFERROR(INDEX('CAT_ACTIVIDADES'!$B$4:$B$26,MATCH($H435,'CAT_ACTIVIDADES'!$A$4:$A$26,0)),"(sin catálogo)"))</f>
        <v/>
      </c>
      <c r="AD435" s="26">
        <f>IF($J435="","",TODAY()-$J435)</f>
        <v/>
      </c>
      <c r="AE435" s="26">
        <f>IF($J435="","",IF($J435&lt;=TODAY(),COUNTIFS(cal_fechas,"&gt;="&amp;$J435,cal_fechas,"&lt;"&amp;TODAY(),cal_habil,"sí"),-COUNTIFS(cal_fechas,"&gt;="&amp;TODAY(),cal_fechas,"&lt;"&amp;$J435,cal_habil,"sí")))</f>
        <v/>
      </c>
      <c r="AF435" s="24">
        <f>IF($AE435="","",IF($AE435&lt;0,"FUTURO",IF($AE435&gt;p_dias_backlog_max,"BACKLOG","MES CORRIENTE")))</f>
        <v/>
      </c>
      <c r="AG435" s="24">
        <f>IF($AE435="",FALSE,AND($AE435&gt;p_dias_backlog_min,$AE435&lt;=p_dias_backlog_max))</f>
        <v/>
      </c>
      <c r="AH435" s="4" t="n"/>
      <c r="AI435" s="24">
        <f>IF($AH435="","",IF((IFERROR(INDEX('ASIGNACIONES'!$J$4:$J$451,MATCH($O435&amp;"|"&amp;$S435&amp;"|"&amp;$AH435,'ASIGNACIONES'!$N$4:$N$451,0)),""))=0,"",IFERROR(INDEX('ASIGNACIONES'!$J$4:$J$451,MATCH($O435&amp;"|"&amp;$S435&amp;"|"&amp;$AH435,'ASIGNACIONES'!$N$4:$N$451,0)),"")))</f>
        <v/>
      </c>
      <c r="AJ435" s="42">
        <f>IF($AH435="","",SUMIFS('ORDENES'!$M$4:$M$1203,'ORDENES'!$AH$4:$AH$1203,$AH435,'ORDENES'!$O$4:$O$1203,$O435,'ORDENES'!$S$4:$S$1203,$S435))</f>
        <v/>
      </c>
      <c r="AK435" s="42">
        <f>IF($AJ435="","",p_factor_productividad*IFERROR(INDEX('ASIGNACIONES'!$M$4:$M$451,MATCH($O435&amp;"|"&amp;$S435&amp;"|"&amp;$AH435,'ASIGNACIONES'!$N$4:$N$451,0)),0)-$AJ435)</f>
        <v/>
      </c>
      <c r="AL435" s="32">
        <f>IF($A435="","",IFERROR(INDEX('2_IMPORTAR_EJECUCION'!$F$9:$F$1208,MATCH($AU435,'2_IMPORTAR_EJECUCION'!$J$9:$J$1208,0)),0))</f>
        <v/>
      </c>
      <c r="AM435" s="32">
        <f>IF($A435="","",MAX(0,IFERROR(INDEX('2_IMPORTAR_EJECUCION'!$H$9:$H$1208,MATCH($AU435,'2_IMPORTAR_EJECUCION'!$J$9:$J$1208,0)),0)-$AL435))</f>
        <v/>
      </c>
      <c r="AN435" s="32">
        <f>IF($A435="","",$AL435+$AM435)</f>
        <v/>
      </c>
      <c r="AO435" s="24">
        <f>IF($A435="","",IF(OR((IFERROR(INDEX('CAT_ACTIVIDADES'!$D$4:$D$26,MATCH($H435,'CAT_ACTIVIDADES'!$A$4:$A$26,0)),""))=0,(IFERROR(INDEX('CAT_ACTIVIDADES'!$D$4:$D$26,MATCH($H435,'CAT_ACTIVIDADES'!$A$4:$A$26,0)),""))=""),"SIN CLASIFICAR",IFERROR(INDEX('CAT_ACTIVIDADES'!$D$4:$D$26,MATCH($H435,'CAT_ACTIVIDADES'!$A$4:$A$26,0)),"")))</f>
        <v/>
      </c>
      <c r="AP435" s="4" t="n"/>
      <c r="AQ435" s="4" t="n"/>
      <c r="AR435" s="4" t="n"/>
      <c r="AS435" s="24">
        <f>IF($AR435="","",HYPERLINK(p_ruta_base_checklists&amp;$AR435,"abrir"))</f>
        <v/>
      </c>
      <c r="AT435" s="4" t="n"/>
      <c r="AU435" s="24">
        <f>IF($A435="","",$A435&amp;IF($B435="","0010",$B435))</f>
        <v/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41" t="n"/>
      <c r="K436" s="5" t="n"/>
      <c r="L436" s="18" t="n"/>
      <c r="M436" s="24">
        <f>IF($A436="","",IFERROR(INDEX('AJUSTES'!$B$4:$B$303,MATCH($AU436,'AJUSTES'!$A$4:$A$303,0)),IF($K436="","",$K436)))</f>
        <v/>
      </c>
      <c r="N436" s="24">
        <f>IF($A436="","",IFERROR(INDEX('CAT_ESTADOS_ERP'!$B$4:$B$22,MATCH(IFERROR(INDEX('2_IMPORTAR_EJECUCION'!$C$9:$C$1208,MATCH($AU436,'2_IMPORTAR_EJECUCION'!$J$9:$J$1208,0)),""),'CAT_ESTADOS_ERP'!$A$4:$A$22,0)),"Pendiente"))</f>
        <v/>
      </c>
      <c r="O436" s="24">
        <f>IF($J436="","",YEAR($J436+4-WEEKDAY($J436,2))&amp;"-S"&amp;TEXT(_xlfn.ISOWEEKNUM($J436),"00"))</f>
        <v/>
      </c>
      <c r="P436" s="24">
        <f>IF($J436="","",YEAR($J436))</f>
        <v/>
      </c>
      <c r="Q436" s="24">
        <f>IF($J436="","",MONTH($J436))</f>
        <v/>
      </c>
      <c r="R436" s="24">
        <f>IF($J436="","",$P436&amp;"-"&amp;TEXT($Q436,"00"))</f>
        <v/>
      </c>
      <c r="S436" s="24">
        <f>IF($J436="","",INDEX(lista_dias,WEEKDAY($J436,2)))</f>
        <v/>
      </c>
      <c r="T436" s="24">
        <f>IF($J436="","",IFERROR(INDEX('CALENDARIO'!$C$15:$C$214,MATCH(TEXT($J436,"yyyy-mm-dd")&amp;"|"&amp;$Y436&amp;"|"&amp;$Z436,'CALENDARIO'!$G$15:$G$214,0)),IFERROR(INDEX('CALENDARIO'!$C$15:$C$214,MATCH(TEXT($J436,"yyyy-mm-dd")&amp;"|"&amp;$Y436&amp;"|",'CALENDARIO'!$G$15:$G$214,0)),IFERROR(INDEX('CALENDARIO'!$C$15:$C$214,MATCH(TEXT($J436,"yyyy-mm-dd")&amp;"||",'CALENDARIO'!$G$15:$G$214,0)),INDEX(patronHabil,WEEKDAY($J436,2))))))</f>
        <v/>
      </c>
      <c r="U436" s="24">
        <f>IF($I436="","",IFERROR(INDEX('CAT_TIPOS_OT'!$C$4:$C$23,MATCH($I436,'CAT_TIPOS_OT'!$A$4:$A$23,0)),"sin_clasificar"))</f>
        <v/>
      </c>
      <c r="V436" s="24">
        <f>IF($I436="","",IF(IFERROR(INDEX('CAT_TIPOS_OT'!$D$4:$D$23,MATCH($I436,'CAT_TIPOS_OT'!$A$4:$A$23,0)),"SIN CLASIFICAR")="","SIN CLASIFICAR",IFERROR(INDEX('CAT_TIPOS_OT'!$D$4:$D$23,MATCH($I436,'CAT_TIPOS_OT'!$A$4:$A$23,0)),"SIN CLASIFICAR")))</f>
        <v/>
      </c>
      <c r="W436" s="24">
        <f>IF($H436="","",IF(IFERROR(INDEX('CAT_ACTIVIDADES'!$F$4:$F$26,MATCH($H436,'CAT_ACTIVIDADES'!$A$4:$A$26,0)),"")=0,"",IFERROR(INDEX('CAT_ACTIVIDADES'!$F$4:$F$26,MATCH($H436,'CAT_ACTIVIDADES'!$A$4:$A$26,0)),"")))</f>
        <v/>
      </c>
      <c r="X436" s="24">
        <f>IF($F436="","",IFERROR(INDEX('CAT_CENTROS_COSTO'!$F$4:$F$28,MATCH($F436,'CAT_CENTROS_COSTO'!$A$4:$A$28,0)),"(sin catálogo)"))</f>
        <v/>
      </c>
      <c r="Y436" s="24">
        <f>IF($F436="","",IFERROR(INDEX('CAT_CENTROS_COSTO'!$D$4:$D$28,MATCH($F436,'CAT_CENTROS_COSTO'!$A$4:$A$28,0)),"(sin catálogo)"))</f>
        <v/>
      </c>
      <c r="Z436" s="24">
        <f>IF($F436="","",IF((IFERROR(INDEX('CAT_CENTROS_COSTO'!$E$4:$E$28,MATCH($F436,'CAT_CENTROS_COSTO'!$A$4:$A$28,0)),""))&lt;&gt;"",IFERROR(INDEX('CAT_CENTROS_COSTO'!$E$4:$E$28,MATCH($F436,'CAT_CENTROS_COSTO'!$A$4:$A$28,0)),""),$Y436))</f>
        <v/>
      </c>
      <c r="AA436" s="24">
        <f>IF($F436="","",IFERROR(INDEX('CAT_CENTROS_COSTO'!$G$4:$G$28,MATCH($F436,'CAT_CENTROS_COSTO'!$A$4:$A$28,0)),"(sin catálogo)"))</f>
        <v/>
      </c>
      <c r="AB436" s="24">
        <f>IF($G436="","",IFERROR(INDEX('CAT_PUESTOS'!$B$4:$B$23,MATCH($G436,'CAT_PUESTOS'!$A$4:$A$23,0)),"(sin catálogo)"))</f>
        <v/>
      </c>
      <c r="AC436" s="24">
        <f>IF($H436="","",IFERROR(INDEX('CAT_ACTIVIDADES'!$B$4:$B$26,MATCH($H436,'CAT_ACTIVIDADES'!$A$4:$A$26,0)),"(sin catálogo)"))</f>
        <v/>
      </c>
      <c r="AD436" s="26">
        <f>IF($J436="","",TODAY()-$J436)</f>
        <v/>
      </c>
      <c r="AE436" s="26">
        <f>IF($J436="","",IF($J436&lt;=TODAY(),COUNTIFS(cal_fechas,"&gt;="&amp;$J436,cal_fechas,"&lt;"&amp;TODAY(),cal_habil,"sí"),-COUNTIFS(cal_fechas,"&gt;="&amp;TODAY(),cal_fechas,"&lt;"&amp;$J436,cal_habil,"sí")))</f>
        <v/>
      </c>
      <c r="AF436" s="24">
        <f>IF($AE436="","",IF($AE436&lt;0,"FUTURO",IF($AE436&gt;p_dias_backlog_max,"BACKLOG","MES CORRIENTE")))</f>
        <v/>
      </c>
      <c r="AG436" s="24">
        <f>IF($AE436="",FALSE,AND($AE436&gt;p_dias_backlog_min,$AE436&lt;=p_dias_backlog_max))</f>
        <v/>
      </c>
      <c r="AH436" s="4" t="n"/>
      <c r="AI436" s="24">
        <f>IF($AH436="","",IF((IFERROR(INDEX('ASIGNACIONES'!$J$4:$J$451,MATCH($O436&amp;"|"&amp;$S436&amp;"|"&amp;$AH436,'ASIGNACIONES'!$N$4:$N$451,0)),""))=0,"",IFERROR(INDEX('ASIGNACIONES'!$J$4:$J$451,MATCH($O436&amp;"|"&amp;$S436&amp;"|"&amp;$AH436,'ASIGNACIONES'!$N$4:$N$451,0)),"")))</f>
        <v/>
      </c>
      <c r="AJ436" s="42">
        <f>IF($AH436="","",SUMIFS('ORDENES'!$M$4:$M$1203,'ORDENES'!$AH$4:$AH$1203,$AH436,'ORDENES'!$O$4:$O$1203,$O436,'ORDENES'!$S$4:$S$1203,$S436))</f>
        <v/>
      </c>
      <c r="AK436" s="42">
        <f>IF($AJ436="","",p_factor_productividad*IFERROR(INDEX('ASIGNACIONES'!$M$4:$M$451,MATCH($O436&amp;"|"&amp;$S436&amp;"|"&amp;$AH436,'ASIGNACIONES'!$N$4:$N$451,0)),0)-$AJ436)</f>
        <v/>
      </c>
      <c r="AL436" s="32">
        <f>IF($A436="","",IFERROR(INDEX('2_IMPORTAR_EJECUCION'!$F$9:$F$1208,MATCH($AU436,'2_IMPORTAR_EJECUCION'!$J$9:$J$1208,0)),0))</f>
        <v/>
      </c>
      <c r="AM436" s="32">
        <f>IF($A436="","",MAX(0,IFERROR(INDEX('2_IMPORTAR_EJECUCION'!$H$9:$H$1208,MATCH($AU436,'2_IMPORTAR_EJECUCION'!$J$9:$J$1208,0)),0)-$AL436))</f>
        <v/>
      </c>
      <c r="AN436" s="32">
        <f>IF($A436="","",$AL436+$AM436)</f>
        <v/>
      </c>
      <c r="AO436" s="24">
        <f>IF($A436="","",IF(OR((IFERROR(INDEX('CAT_ACTIVIDADES'!$D$4:$D$26,MATCH($H436,'CAT_ACTIVIDADES'!$A$4:$A$26,0)),""))=0,(IFERROR(INDEX('CAT_ACTIVIDADES'!$D$4:$D$26,MATCH($H436,'CAT_ACTIVIDADES'!$A$4:$A$26,0)),""))=""),"SIN CLASIFICAR",IFERROR(INDEX('CAT_ACTIVIDADES'!$D$4:$D$26,MATCH($H436,'CAT_ACTIVIDADES'!$A$4:$A$26,0)),"")))</f>
        <v/>
      </c>
      <c r="AP436" s="4" t="n"/>
      <c r="AQ436" s="4" t="n"/>
      <c r="AR436" s="4" t="n"/>
      <c r="AS436" s="24">
        <f>IF($AR436="","",HYPERLINK(p_ruta_base_checklists&amp;$AR436,"abrir"))</f>
        <v/>
      </c>
      <c r="AT436" s="4" t="n"/>
      <c r="AU436" s="24">
        <f>IF($A436="","",$A436&amp;IF($B436="","0010",$B436))</f>
        <v/>
      </c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41" t="n"/>
      <c r="K437" s="5" t="n"/>
      <c r="L437" s="18" t="n"/>
      <c r="M437" s="24">
        <f>IF($A437="","",IFERROR(INDEX('AJUSTES'!$B$4:$B$303,MATCH($AU437,'AJUSTES'!$A$4:$A$303,0)),IF($K437="","",$K437)))</f>
        <v/>
      </c>
      <c r="N437" s="24">
        <f>IF($A437="","",IFERROR(INDEX('CAT_ESTADOS_ERP'!$B$4:$B$22,MATCH(IFERROR(INDEX('2_IMPORTAR_EJECUCION'!$C$9:$C$1208,MATCH($AU437,'2_IMPORTAR_EJECUCION'!$J$9:$J$1208,0)),""),'CAT_ESTADOS_ERP'!$A$4:$A$22,0)),"Pendiente"))</f>
        <v/>
      </c>
      <c r="O437" s="24">
        <f>IF($J437="","",YEAR($J437+4-WEEKDAY($J437,2))&amp;"-S"&amp;TEXT(_xlfn.ISOWEEKNUM($J437),"00"))</f>
        <v/>
      </c>
      <c r="P437" s="24">
        <f>IF($J437="","",YEAR($J437))</f>
        <v/>
      </c>
      <c r="Q437" s="24">
        <f>IF($J437="","",MONTH($J437))</f>
        <v/>
      </c>
      <c r="R437" s="24">
        <f>IF($J437="","",$P437&amp;"-"&amp;TEXT($Q437,"00"))</f>
        <v/>
      </c>
      <c r="S437" s="24">
        <f>IF($J437="","",INDEX(lista_dias,WEEKDAY($J437,2)))</f>
        <v/>
      </c>
      <c r="T437" s="24">
        <f>IF($J437="","",IFERROR(INDEX('CALENDARIO'!$C$15:$C$214,MATCH(TEXT($J437,"yyyy-mm-dd")&amp;"|"&amp;$Y437&amp;"|"&amp;$Z437,'CALENDARIO'!$G$15:$G$214,0)),IFERROR(INDEX('CALENDARIO'!$C$15:$C$214,MATCH(TEXT($J437,"yyyy-mm-dd")&amp;"|"&amp;$Y437&amp;"|",'CALENDARIO'!$G$15:$G$214,0)),IFERROR(INDEX('CALENDARIO'!$C$15:$C$214,MATCH(TEXT($J437,"yyyy-mm-dd")&amp;"||",'CALENDARIO'!$G$15:$G$214,0)),INDEX(patronHabil,WEEKDAY($J437,2))))))</f>
        <v/>
      </c>
      <c r="U437" s="24">
        <f>IF($I437="","",IFERROR(INDEX('CAT_TIPOS_OT'!$C$4:$C$23,MATCH($I437,'CAT_TIPOS_OT'!$A$4:$A$23,0)),"sin_clasificar"))</f>
        <v/>
      </c>
      <c r="V437" s="24">
        <f>IF($I437="","",IF(IFERROR(INDEX('CAT_TIPOS_OT'!$D$4:$D$23,MATCH($I437,'CAT_TIPOS_OT'!$A$4:$A$23,0)),"SIN CLASIFICAR")="","SIN CLASIFICAR",IFERROR(INDEX('CAT_TIPOS_OT'!$D$4:$D$23,MATCH($I437,'CAT_TIPOS_OT'!$A$4:$A$23,0)),"SIN CLASIFICAR")))</f>
        <v/>
      </c>
      <c r="W437" s="24">
        <f>IF($H437="","",IF(IFERROR(INDEX('CAT_ACTIVIDADES'!$F$4:$F$26,MATCH($H437,'CAT_ACTIVIDADES'!$A$4:$A$26,0)),"")=0,"",IFERROR(INDEX('CAT_ACTIVIDADES'!$F$4:$F$26,MATCH($H437,'CAT_ACTIVIDADES'!$A$4:$A$26,0)),"")))</f>
        <v/>
      </c>
      <c r="X437" s="24">
        <f>IF($F437="","",IFERROR(INDEX('CAT_CENTROS_COSTO'!$F$4:$F$28,MATCH($F437,'CAT_CENTROS_COSTO'!$A$4:$A$28,0)),"(sin catálogo)"))</f>
        <v/>
      </c>
      <c r="Y437" s="24">
        <f>IF($F437="","",IFERROR(INDEX('CAT_CENTROS_COSTO'!$D$4:$D$28,MATCH($F437,'CAT_CENTROS_COSTO'!$A$4:$A$28,0)),"(sin catálogo)"))</f>
        <v/>
      </c>
      <c r="Z437" s="24">
        <f>IF($F437="","",IF((IFERROR(INDEX('CAT_CENTROS_COSTO'!$E$4:$E$28,MATCH($F437,'CAT_CENTROS_COSTO'!$A$4:$A$28,0)),""))&lt;&gt;"",IFERROR(INDEX('CAT_CENTROS_COSTO'!$E$4:$E$28,MATCH($F437,'CAT_CENTROS_COSTO'!$A$4:$A$28,0)),""),$Y437))</f>
        <v/>
      </c>
      <c r="AA437" s="24">
        <f>IF($F437="","",IFERROR(INDEX('CAT_CENTROS_COSTO'!$G$4:$G$28,MATCH($F437,'CAT_CENTROS_COSTO'!$A$4:$A$28,0)),"(sin catálogo)"))</f>
        <v/>
      </c>
      <c r="AB437" s="24">
        <f>IF($G437="","",IFERROR(INDEX('CAT_PUESTOS'!$B$4:$B$23,MATCH($G437,'CAT_PUESTOS'!$A$4:$A$23,0)),"(sin catálogo)"))</f>
        <v/>
      </c>
      <c r="AC437" s="24">
        <f>IF($H437="","",IFERROR(INDEX('CAT_ACTIVIDADES'!$B$4:$B$26,MATCH($H437,'CAT_ACTIVIDADES'!$A$4:$A$26,0)),"(sin catálogo)"))</f>
        <v/>
      </c>
      <c r="AD437" s="26">
        <f>IF($J437="","",TODAY()-$J437)</f>
        <v/>
      </c>
      <c r="AE437" s="26">
        <f>IF($J437="","",IF($J437&lt;=TODAY(),COUNTIFS(cal_fechas,"&gt;="&amp;$J437,cal_fechas,"&lt;"&amp;TODAY(),cal_habil,"sí"),-COUNTIFS(cal_fechas,"&gt;="&amp;TODAY(),cal_fechas,"&lt;"&amp;$J437,cal_habil,"sí")))</f>
        <v/>
      </c>
      <c r="AF437" s="24">
        <f>IF($AE437="","",IF($AE437&lt;0,"FUTURO",IF($AE437&gt;p_dias_backlog_max,"BACKLOG","MES CORRIENTE")))</f>
        <v/>
      </c>
      <c r="AG437" s="24">
        <f>IF($AE437="",FALSE,AND($AE437&gt;p_dias_backlog_min,$AE437&lt;=p_dias_backlog_max))</f>
        <v/>
      </c>
      <c r="AH437" s="4" t="n"/>
      <c r="AI437" s="24">
        <f>IF($AH437="","",IF((IFERROR(INDEX('ASIGNACIONES'!$J$4:$J$451,MATCH($O437&amp;"|"&amp;$S437&amp;"|"&amp;$AH437,'ASIGNACIONES'!$N$4:$N$451,0)),""))=0,"",IFERROR(INDEX('ASIGNACIONES'!$J$4:$J$451,MATCH($O437&amp;"|"&amp;$S437&amp;"|"&amp;$AH437,'ASIGNACIONES'!$N$4:$N$451,0)),"")))</f>
        <v/>
      </c>
      <c r="AJ437" s="42">
        <f>IF($AH437="","",SUMIFS('ORDENES'!$M$4:$M$1203,'ORDENES'!$AH$4:$AH$1203,$AH437,'ORDENES'!$O$4:$O$1203,$O437,'ORDENES'!$S$4:$S$1203,$S437))</f>
        <v/>
      </c>
      <c r="AK437" s="42">
        <f>IF($AJ437="","",p_factor_productividad*IFERROR(INDEX('ASIGNACIONES'!$M$4:$M$451,MATCH($O437&amp;"|"&amp;$S437&amp;"|"&amp;$AH437,'ASIGNACIONES'!$N$4:$N$451,0)),0)-$AJ437)</f>
        <v/>
      </c>
      <c r="AL437" s="32">
        <f>IF($A437="","",IFERROR(INDEX('2_IMPORTAR_EJECUCION'!$F$9:$F$1208,MATCH($AU437,'2_IMPORTAR_EJECUCION'!$J$9:$J$1208,0)),0))</f>
        <v/>
      </c>
      <c r="AM437" s="32">
        <f>IF($A437="","",MAX(0,IFERROR(INDEX('2_IMPORTAR_EJECUCION'!$H$9:$H$1208,MATCH($AU437,'2_IMPORTAR_EJECUCION'!$J$9:$J$1208,0)),0)-$AL437))</f>
        <v/>
      </c>
      <c r="AN437" s="32">
        <f>IF($A437="","",$AL437+$AM437)</f>
        <v/>
      </c>
      <c r="AO437" s="24">
        <f>IF($A437="","",IF(OR((IFERROR(INDEX('CAT_ACTIVIDADES'!$D$4:$D$26,MATCH($H437,'CAT_ACTIVIDADES'!$A$4:$A$26,0)),""))=0,(IFERROR(INDEX('CAT_ACTIVIDADES'!$D$4:$D$26,MATCH($H437,'CAT_ACTIVIDADES'!$A$4:$A$26,0)),""))=""),"SIN CLASIFICAR",IFERROR(INDEX('CAT_ACTIVIDADES'!$D$4:$D$26,MATCH($H437,'CAT_ACTIVIDADES'!$A$4:$A$26,0)),"")))</f>
        <v/>
      </c>
      <c r="AP437" s="4" t="n"/>
      <c r="AQ437" s="4" t="n"/>
      <c r="AR437" s="4" t="n"/>
      <c r="AS437" s="24">
        <f>IF($AR437="","",HYPERLINK(p_ruta_base_checklists&amp;$AR437,"abrir"))</f>
        <v/>
      </c>
      <c r="AT437" s="4" t="n"/>
      <c r="AU437" s="24">
        <f>IF($A437="","",$A437&amp;IF($B437="","0010",$B437))</f>
        <v/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41" t="n"/>
      <c r="K438" s="5" t="n"/>
      <c r="L438" s="18" t="n"/>
      <c r="M438" s="24">
        <f>IF($A438="","",IFERROR(INDEX('AJUSTES'!$B$4:$B$303,MATCH($AU438,'AJUSTES'!$A$4:$A$303,0)),IF($K438="","",$K438)))</f>
        <v/>
      </c>
      <c r="N438" s="24">
        <f>IF($A438="","",IFERROR(INDEX('CAT_ESTADOS_ERP'!$B$4:$B$22,MATCH(IFERROR(INDEX('2_IMPORTAR_EJECUCION'!$C$9:$C$1208,MATCH($AU438,'2_IMPORTAR_EJECUCION'!$J$9:$J$1208,0)),""),'CAT_ESTADOS_ERP'!$A$4:$A$22,0)),"Pendiente"))</f>
        <v/>
      </c>
      <c r="O438" s="24">
        <f>IF($J438="","",YEAR($J438+4-WEEKDAY($J438,2))&amp;"-S"&amp;TEXT(_xlfn.ISOWEEKNUM($J438),"00"))</f>
        <v/>
      </c>
      <c r="P438" s="24">
        <f>IF($J438="","",YEAR($J438))</f>
        <v/>
      </c>
      <c r="Q438" s="24">
        <f>IF($J438="","",MONTH($J438))</f>
        <v/>
      </c>
      <c r="R438" s="24">
        <f>IF($J438="","",$P438&amp;"-"&amp;TEXT($Q438,"00"))</f>
        <v/>
      </c>
      <c r="S438" s="24">
        <f>IF($J438="","",INDEX(lista_dias,WEEKDAY($J438,2)))</f>
        <v/>
      </c>
      <c r="T438" s="24">
        <f>IF($J438="","",IFERROR(INDEX('CALENDARIO'!$C$15:$C$214,MATCH(TEXT($J438,"yyyy-mm-dd")&amp;"|"&amp;$Y438&amp;"|"&amp;$Z438,'CALENDARIO'!$G$15:$G$214,0)),IFERROR(INDEX('CALENDARIO'!$C$15:$C$214,MATCH(TEXT($J438,"yyyy-mm-dd")&amp;"|"&amp;$Y438&amp;"|",'CALENDARIO'!$G$15:$G$214,0)),IFERROR(INDEX('CALENDARIO'!$C$15:$C$214,MATCH(TEXT($J438,"yyyy-mm-dd")&amp;"||",'CALENDARIO'!$G$15:$G$214,0)),INDEX(patronHabil,WEEKDAY($J438,2))))))</f>
        <v/>
      </c>
      <c r="U438" s="24">
        <f>IF($I438="","",IFERROR(INDEX('CAT_TIPOS_OT'!$C$4:$C$23,MATCH($I438,'CAT_TIPOS_OT'!$A$4:$A$23,0)),"sin_clasificar"))</f>
        <v/>
      </c>
      <c r="V438" s="24">
        <f>IF($I438="","",IF(IFERROR(INDEX('CAT_TIPOS_OT'!$D$4:$D$23,MATCH($I438,'CAT_TIPOS_OT'!$A$4:$A$23,0)),"SIN CLASIFICAR")="","SIN CLASIFICAR",IFERROR(INDEX('CAT_TIPOS_OT'!$D$4:$D$23,MATCH($I438,'CAT_TIPOS_OT'!$A$4:$A$23,0)),"SIN CLASIFICAR")))</f>
        <v/>
      </c>
      <c r="W438" s="24">
        <f>IF($H438="","",IF(IFERROR(INDEX('CAT_ACTIVIDADES'!$F$4:$F$26,MATCH($H438,'CAT_ACTIVIDADES'!$A$4:$A$26,0)),"")=0,"",IFERROR(INDEX('CAT_ACTIVIDADES'!$F$4:$F$26,MATCH($H438,'CAT_ACTIVIDADES'!$A$4:$A$26,0)),"")))</f>
        <v/>
      </c>
      <c r="X438" s="24">
        <f>IF($F438="","",IFERROR(INDEX('CAT_CENTROS_COSTO'!$F$4:$F$28,MATCH($F438,'CAT_CENTROS_COSTO'!$A$4:$A$28,0)),"(sin catálogo)"))</f>
        <v/>
      </c>
      <c r="Y438" s="24">
        <f>IF($F438="","",IFERROR(INDEX('CAT_CENTROS_COSTO'!$D$4:$D$28,MATCH($F438,'CAT_CENTROS_COSTO'!$A$4:$A$28,0)),"(sin catálogo)"))</f>
        <v/>
      </c>
      <c r="Z438" s="24">
        <f>IF($F438="","",IF((IFERROR(INDEX('CAT_CENTROS_COSTO'!$E$4:$E$28,MATCH($F438,'CAT_CENTROS_COSTO'!$A$4:$A$28,0)),""))&lt;&gt;"",IFERROR(INDEX('CAT_CENTROS_COSTO'!$E$4:$E$28,MATCH($F438,'CAT_CENTROS_COSTO'!$A$4:$A$28,0)),""),$Y438))</f>
        <v/>
      </c>
      <c r="AA438" s="24">
        <f>IF($F438="","",IFERROR(INDEX('CAT_CENTROS_COSTO'!$G$4:$G$28,MATCH($F438,'CAT_CENTROS_COSTO'!$A$4:$A$28,0)),"(sin catálogo)"))</f>
        <v/>
      </c>
      <c r="AB438" s="24">
        <f>IF($G438="","",IFERROR(INDEX('CAT_PUESTOS'!$B$4:$B$23,MATCH($G438,'CAT_PUESTOS'!$A$4:$A$23,0)),"(sin catálogo)"))</f>
        <v/>
      </c>
      <c r="AC438" s="24">
        <f>IF($H438="","",IFERROR(INDEX('CAT_ACTIVIDADES'!$B$4:$B$26,MATCH($H438,'CAT_ACTIVIDADES'!$A$4:$A$26,0)),"(sin catálogo)"))</f>
        <v/>
      </c>
      <c r="AD438" s="26">
        <f>IF($J438="","",TODAY()-$J438)</f>
        <v/>
      </c>
      <c r="AE438" s="26">
        <f>IF($J438="","",IF($J438&lt;=TODAY(),COUNTIFS(cal_fechas,"&gt;="&amp;$J438,cal_fechas,"&lt;"&amp;TODAY(),cal_habil,"sí"),-COUNTIFS(cal_fechas,"&gt;="&amp;TODAY(),cal_fechas,"&lt;"&amp;$J438,cal_habil,"sí")))</f>
        <v/>
      </c>
      <c r="AF438" s="24">
        <f>IF($AE438="","",IF($AE438&lt;0,"FUTURO",IF($AE438&gt;p_dias_backlog_max,"BACKLOG","MES CORRIENTE")))</f>
        <v/>
      </c>
      <c r="AG438" s="24">
        <f>IF($AE438="",FALSE,AND($AE438&gt;p_dias_backlog_min,$AE438&lt;=p_dias_backlog_max))</f>
        <v/>
      </c>
      <c r="AH438" s="4" t="n"/>
      <c r="AI438" s="24">
        <f>IF($AH438="","",IF((IFERROR(INDEX('ASIGNACIONES'!$J$4:$J$451,MATCH($O438&amp;"|"&amp;$S438&amp;"|"&amp;$AH438,'ASIGNACIONES'!$N$4:$N$451,0)),""))=0,"",IFERROR(INDEX('ASIGNACIONES'!$J$4:$J$451,MATCH($O438&amp;"|"&amp;$S438&amp;"|"&amp;$AH438,'ASIGNACIONES'!$N$4:$N$451,0)),"")))</f>
        <v/>
      </c>
      <c r="AJ438" s="42">
        <f>IF($AH438="","",SUMIFS('ORDENES'!$M$4:$M$1203,'ORDENES'!$AH$4:$AH$1203,$AH438,'ORDENES'!$O$4:$O$1203,$O438,'ORDENES'!$S$4:$S$1203,$S438))</f>
        <v/>
      </c>
      <c r="AK438" s="42">
        <f>IF($AJ438="","",p_factor_productividad*IFERROR(INDEX('ASIGNACIONES'!$M$4:$M$451,MATCH($O438&amp;"|"&amp;$S438&amp;"|"&amp;$AH438,'ASIGNACIONES'!$N$4:$N$451,0)),0)-$AJ438)</f>
        <v/>
      </c>
      <c r="AL438" s="32">
        <f>IF($A438="","",IFERROR(INDEX('2_IMPORTAR_EJECUCION'!$F$9:$F$1208,MATCH($AU438,'2_IMPORTAR_EJECUCION'!$J$9:$J$1208,0)),0))</f>
        <v/>
      </c>
      <c r="AM438" s="32">
        <f>IF($A438="","",MAX(0,IFERROR(INDEX('2_IMPORTAR_EJECUCION'!$H$9:$H$1208,MATCH($AU438,'2_IMPORTAR_EJECUCION'!$J$9:$J$1208,0)),0)-$AL438))</f>
        <v/>
      </c>
      <c r="AN438" s="32">
        <f>IF($A438="","",$AL438+$AM438)</f>
        <v/>
      </c>
      <c r="AO438" s="24">
        <f>IF($A438="","",IF(OR((IFERROR(INDEX('CAT_ACTIVIDADES'!$D$4:$D$26,MATCH($H438,'CAT_ACTIVIDADES'!$A$4:$A$26,0)),""))=0,(IFERROR(INDEX('CAT_ACTIVIDADES'!$D$4:$D$26,MATCH($H438,'CAT_ACTIVIDADES'!$A$4:$A$26,0)),""))=""),"SIN CLASIFICAR",IFERROR(INDEX('CAT_ACTIVIDADES'!$D$4:$D$26,MATCH($H438,'CAT_ACTIVIDADES'!$A$4:$A$26,0)),"")))</f>
        <v/>
      </c>
      <c r="AP438" s="4" t="n"/>
      <c r="AQ438" s="4" t="n"/>
      <c r="AR438" s="4" t="n"/>
      <c r="AS438" s="24">
        <f>IF($AR438="","",HYPERLINK(p_ruta_base_checklists&amp;$AR438,"abrir"))</f>
        <v/>
      </c>
      <c r="AT438" s="4" t="n"/>
      <c r="AU438" s="24">
        <f>IF($A438="","",$A438&amp;IF($B438="","0010",$B438))</f>
        <v/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41" t="n"/>
      <c r="K439" s="5" t="n"/>
      <c r="L439" s="18" t="n"/>
      <c r="M439" s="24">
        <f>IF($A439="","",IFERROR(INDEX('AJUSTES'!$B$4:$B$303,MATCH($AU439,'AJUSTES'!$A$4:$A$303,0)),IF($K439="","",$K439)))</f>
        <v/>
      </c>
      <c r="N439" s="24">
        <f>IF($A439="","",IFERROR(INDEX('CAT_ESTADOS_ERP'!$B$4:$B$22,MATCH(IFERROR(INDEX('2_IMPORTAR_EJECUCION'!$C$9:$C$1208,MATCH($AU439,'2_IMPORTAR_EJECUCION'!$J$9:$J$1208,0)),""),'CAT_ESTADOS_ERP'!$A$4:$A$22,0)),"Pendiente"))</f>
        <v/>
      </c>
      <c r="O439" s="24">
        <f>IF($J439="","",YEAR($J439+4-WEEKDAY($J439,2))&amp;"-S"&amp;TEXT(_xlfn.ISOWEEKNUM($J439),"00"))</f>
        <v/>
      </c>
      <c r="P439" s="24">
        <f>IF($J439="","",YEAR($J439))</f>
        <v/>
      </c>
      <c r="Q439" s="24">
        <f>IF($J439="","",MONTH($J439))</f>
        <v/>
      </c>
      <c r="R439" s="24">
        <f>IF($J439="","",$P439&amp;"-"&amp;TEXT($Q439,"00"))</f>
        <v/>
      </c>
      <c r="S439" s="24">
        <f>IF($J439="","",INDEX(lista_dias,WEEKDAY($J439,2)))</f>
        <v/>
      </c>
      <c r="T439" s="24">
        <f>IF($J439="","",IFERROR(INDEX('CALENDARIO'!$C$15:$C$214,MATCH(TEXT($J439,"yyyy-mm-dd")&amp;"|"&amp;$Y439&amp;"|"&amp;$Z439,'CALENDARIO'!$G$15:$G$214,0)),IFERROR(INDEX('CALENDARIO'!$C$15:$C$214,MATCH(TEXT($J439,"yyyy-mm-dd")&amp;"|"&amp;$Y439&amp;"|",'CALENDARIO'!$G$15:$G$214,0)),IFERROR(INDEX('CALENDARIO'!$C$15:$C$214,MATCH(TEXT($J439,"yyyy-mm-dd")&amp;"||",'CALENDARIO'!$G$15:$G$214,0)),INDEX(patronHabil,WEEKDAY($J439,2))))))</f>
        <v/>
      </c>
      <c r="U439" s="24">
        <f>IF($I439="","",IFERROR(INDEX('CAT_TIPOS_OT'!$C$4:$C$23,MATCH($I439,'CAT_TIPOS_OT'!$A$4:$A$23,0)),"sin_clasificar"))</f>
        <v/>
      </c>
      <c r="V439" s="24">
        <f>IF($I439="","",IF(IFERROR(INDEX('CAT_TIPOS_OT'!$D$4:$D$23,MATCH($I439,'CAT_TIPOS_OT'!$A$4:$A$23,0)),"SIN CLASIFICAR")="","SIN CLASIFICAR",IFERROR(INDEX('CAT_TIPOS_OT'!$D$4:$D$23,MATCH($I439,'CAT_TIPOS_OT'!$A$4:$A$23,0)),"SIN CLASIFICAR")))</f>
        <v/>
      </c>
      <c r="W439" s="24">
        <f>IF($H439="","",IF(IFERROR(INDEX('CAT_ACTIVIDADES'!$F$4:$F$26,MATCH($H439,'CAT_ACTIVIDADES'!$A$4:$A$26,0)),"")=0,"",IFERROR(INDEX('CAT_ACTIVIDADES'!$F$4:$F$26,MATCH($H439,'CAT_ACTIVIDADES'!$A$4:$A$26,0)),"")))</f>
        <v/>
      </c>
      <c r="X439" s="24">
        <f>IF($F439="","",IFERROR(INDEX('CAT_CENTROS_COSTO'!$F$4:$F$28,MATCH($F439,'CAT_CENTROS_COSTO'!$A$4:$A$28,0)),"(sin catálogo)"))</f>
        <v/>
      </c>
      <c r="Y439" s="24">
        <f>IF($F439="","",IFERROR(INDEX('CAT_CENTROS_COSTO'!$D$4:$D$28,MATCH($F439,'CAT_CENTROS_COSTO'!$A$4:$A$28,0)),"(sin catálogo)"))</f>
        <v/>
      </c>
      <c r="Z439" s="24">
        <f>IF($F439="","",IF((IFERROR(INDEX('CAT_CENTROS_COSTO'!$E$4:$E$28,MATCH($F439,'CAT_CENTROS_COSTO'!$A$4:$A$28,0)),""))&lt;&gt;"",IFERROR(INDEX('CAT_CENTROS_COSTO'!$E$4:$E$28,MATCH($F439,'CAT_CENTROS_COSTO'!$A$4:$A$28,0)),""),$Y439))</f>
        <v/>
      </c>
      <c r="AA439" s="24">
        <f>IF($F439="","",IFERROR(INDEX('CAT_CENTROS_COSTO'!$G$4:$G$28,MATCH($F439,'CAT_CENTROS_COSTO'!$A$4:$A$28,0)),"(sin catálogo)"))</f>
        <v/>
      </c>
      <c r="AB439" s="24">
        <f>IF($G439="","",IFERROR(INDEX('CAT_PUESTOS'!$B$4:$B$23,MATCH($G439,'CAT_PUESTOS'!$A$4:$A$23,0)),"(sin catálogo)"))</f>
        <v/>
      </c>
      <c r="AC439" s="24">
        <f>IF($H439="","",IFERROR(INDEX('CAT_ACTIVIDADES'!$B$4:$B$26,MATCH($H439,'CAT_ACTIVIDADES'!$A$4:$A$26,0)),"(sin catálogo)"))</f>
        <v/>
      </c>
      <c r="AD439" s="26">
        <f>IF($J439="","",TODAY()-$J439)</f>
        <v/>
      </c>
      <c r="AE439" s="26">
        <f>IF($J439="","",IF($J439&lt;=TODAY(),COUNTIFS(cal_fechas,"&gt;="&amp;$J439,cal_fechas,"&lt;"&amp;TODAY(),cal_habil,"sí"),-COUNTIFS(cal_fechas,"&gt;="&amp;TODAY(),cal_fechas,"&lt;"&amp;$J439,cal_habil,"sí")))</f>
        <v/>
      </c>
      <c r="AF439" s="24">
        <f>IF($AE439="","",IF($AE439&lt;0,"FUTURO",IF($AE439&gt;p_dias_backlog_max,"BACKLOG","MES CORRIENTE")))</f>
        <v/>
      </c>
      <c r="AG439" s="24">
        <f>IF($AE439="",FALSE,AND($AE439&gt;p_dias_backlog_min,$AE439&lt;=p_dias_backlog_max))</f>
        <v/>
      </c>
      <c r="AH439" s="4" t="n"/>
      <c r="AI439" s="24">
        <f>IF($AH439="","",IF((IFERROR(INDEX('ASIGNACIONES'!$J$4:$J$451,MATCH($O439&amp;"|"&amp;$S439&amp;"|"&amp;$AH439,'ASIGNACIONES'!$N$4:$N$451,0)),""))=0,"",IFERROR(INDEX('ASIGNACIONES'!$J$4:$J$451,MATCH($O439&amp;"|"&amp;$S439&amp;"|"&amp;$AH439,'ASIGNACIONES'!$N$4:$N$451,0)),"")))</f>
        <v/>
      </c>
      <c r="AJ439" s="42">
        <f>IF($AH439="","",SUMIFS('ORDENES'!$M$4:$M$1203,'ORDENES'!$AH$4:$AH$1203,$AH439,'ORDENES'!$O$4:$O$1203,$O439,'ORDENES'!$S$4:$S$1203,$S439))</f>
        <v/>
      </c>
      <c r="AK439" s="42">
        <f>IF($AJ439="","",p_factor_productividad*IFERROR(INDEX('ASIGNACIONES'!$M$4:$M$451,MATCH($O439&amp;"|"&amp;$S439&amp;"|"&amp;$AH439,'ASIGNACIONES'!$N$4:$N$451,0)),0)-$AJ439)</f>
        <v/>
      </c>
      <c r="AL439" s="32">
        <f>IF($A439="","",IFERROR(INDEX('2_IMPORTAR_EJECUCION'!$F$9:$F$1208,MATCH($AU439,'2_IMPORTAR_EJECUCION'!$J$9:$J$1208,0)),0))</f>
        <v/>
      </c>
      <c r="AM439" s="32">
        <f>IF($A439="","",MAX(0,IFERROR(INDEX('2_IMPORTAR_EJECUCION'!$H$9:$H$1208,MATCH($AU439,'2_IMPORTAR_EJECUCION'!$J$9:$J$1208,0)),0)-$AL439))</f>
        <v/>
      </c>
      <c r="AN439" s="32">
        <f>IF($A439="","",$AL439+$AM439)</f>
        <v/>
      </c>
      <c r="AO439" s="24">
        <f>IF($A439="","",IF(OR((IFERROR(INDEX('CAT_ACTIVIDADES'!$D$4:$D$26,MATCH($H439,'CAT_ACTIVIDADES'!$A$4:$A$26,0)),""))=0,(IFERROR(INDEX('CAT_ACTIVIDADES'!$D$4:$D$26,MATCH($H439,'CAT_ACTIVIDADES'!$A$4:$A$26,0)),""))=""),"SIN CLASIFICAR",IFERROR(INDEX('CAT_ACTIVIDADES'!$D$4:$D$26,MATCH($H439,'CAT_ACTIVIDADES'!$A$4:$A$26,0)),"")))</f>
        <v/>
      </c>
      <c r="AP439" s="4" t="n"/>
      <c r="AQ439" s="4" t="n"/>
      <c r="AR439" s="4" t="n"/>
      <c r="AS439" s="24">
        <f>IF($AR439="","",HYPERLINK(p_ruta_base_checklists&amp;$AR439,"abrir"))</f>
        <v/>
      </c>
      <c r="AT439" s="4" t="n"/>
      <c r="AU439" s="24">
        <f>IF($A439="","",$A439&amp;IF($B439="","0010",$B439))</f>
        <v/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41" t="n"/>
      <c r="K440" s="5" t="n"/>
      <c r="L440" s="18" t="n"/>
      <c r="M440" s="24">
        <f>IF($A440="","",IFERROR(INDEX('AJUSTES'!$B$4:$B$303,MATCH($AU440,'AJUSTES'!$A$4:$A$303,0)),IF($K440="","",$K440)))</f>
        <v/>
      </c>
      <c r="N440" s="24">
        <f>IF($A440="","",IFERROR(INDEX('CAT_ESTADOS_ERP'!$B$4:$B$22,MATCH(IFERROR(INDEX('2_IMPORTAR_EJECUCION'!$C$9:$C$1208,MATCH($AU440,'2_IMPORTAR_EJECUCION'!$J$9:$J$1208,0)),""),'CAT_ESTADOS_ERP'!$A$4:$A$22,0)),"Pendiente"))</f>
        <v/>
      </c>
      <c r="O440" s="24">
        <f>IF($J440="","",YEAR($J440+4-WEEKDAY($J440,2))&amp;"-S"&amp;TEXT(_xlfn.ISOWEEKNUM($J440),"00"))</f>
        <v/>
      </c>
      <c r="P440" s="24">
        <f>IF($J440="","",YEAR($J440))</f>
        <v/>
      </c>
      <c r="Q440" s="24">
        <f>IF($J440="","",MONTH($J440))</f>
        <v/>
      </c>
      <c r="R440" s="24">
        <f>IF($J440="","",$P440&amp;"-"&amp;TEXT($Q440,"00"))</f>
        <v/>
      </c>
      <c r="S440" s="24">
        <f>IF($J440="","",INDEX(lista_dias,WEEKDAY($J440,2)))</f>
        <v/>
      </c>
      <c r="T440" s="24">
        <f>IF($J440="","",IFERROR(INDEX('CALENDARIO'!$C$15:$C$214,MATCH(TEXT($J440,"yyyy-mm-dd")&amp;"|"&amp;$Y440&amp;"|"&amp;$Z440,'CALENDARIO'!$G$15:$G$214,0)),IFERROR(INDEX('CALENDARIO'!$C$15:$C$214,MATCH(TEXT($J440,"yyyy-mm-dd")&amp;"|"&amp;$Y440&amp;"|",'CALENDARIO'!$G$15:$G$214,0)),IFERROR(INDEX('CALENDARIO'!$C$15:$C$214,MATCH(TEXT($J440,"yyyy-mm-dd")&amp;"||",'CALENDARIO'!$G$15:$G$214,0)),INDEX(patronHabil,WEEKDAY($J440,2))))))</f>
        <v/>
      </c>
      <c r="U440" s="24">
        <f>IF($I440="","",IFERROR(INDEX('CAT_TIPOS_OT'!$C$4:$C$23,MATCH($I440,'CAT_TIPOS_OT'!$A$4:$A$23,0)),"sin_clasificar"))</f>
        <v/>
      </c>
      <c r="V440" s="24">
        <f>IF($I440="","",IF(IFERROR(INDEX('CAT_TIPOS_OT'!$D$4:$D$23,MATCH($I440,'CAT_TIPOS_OT'!$A$4:$A$23,0)),"SIN CLASIFICAR")="","SIN CLASIFICAR",IFERROR(INDEX('CAT_TIPOS_OT'!$D$4:$D$23,MATCH($I440,'CAT_TIPOS_OT'!$A$4:$A$23,0)),"SIN CLASIFICAR")))</f>
        <v/>
      </c>
      <c r="W440" s="24">
        <f>IF($H440="","",IF(IFERROR(INDEX('CAT_ACTIVIDADES'!$F$4:$F$26,MATCH($H440,'CAT_ACTIVIDADES'!$A$4:$A$26,0)),"")=0,"",IFERROR(INDEX('CAT_ACTIVIDADES'!$F$4:$F$26,MATCH($H440,'CAT_ACTIVIDADES'!$A$4:$A$26,0)),"")))</f>
        <v/>
      </c>
      <c r="X440" s="24">
        <f>IF($F440="","",IFERROR(INDEX('CAT_CENTROS_COSTO'!$F$4:$F$28,MATCH($F440,'CAT_CENTROS_COSTO'!$A$4:$A$28,0)),"(sin catálogo)"))</f>
        <v/>
      </c>
      <c r="Y440" s="24">
        <f>IF($F440="","",IFERROR(INDEX('CAT_CENTROS_COSTO'!$D$4:$D$28,MATCH($F440,'CAT_CENTROS_COSTO'!$A$4:$A$28,0)),"(sin catálogo)"))</f>
        <v/>
      </c>
      <c r="Z440" s="24">
        <f>IF($F440="","",IF((IFERROR(INDEX('CAT_CENTROS_COSTO'!$E$4:$E$28,MATCH($F440,'CAT_CENTROS_COSTO'!$A$4:$A$28,0)),""))&lt;&gt;"",IFERROR(INDEX('CAT_CENTROS_COSTO'!$E$4:$E$28,MATCH($F440,'CAT_CENTROS_COSTO'!$A$4:$A$28,0)),""),$Y440))</f>
        <v/>
      </c>
      <c r="AA440" s="24">
        <f>IF($F440="","",IFERROR(INDEX('CAT_CENTROS_COSTO'!$G$4:$G$28,MATCH($F440,'CAT_CENTROS_COSTO'!$A$4:$A$28,0)),"(sin catálogo)"))</f>
        <v/>
      </c>
      <c r="AB440" s="24">
        <f>IF($G440="","",IFERROR(INDEX('CAT_PUESTOS'!$B$4:$B$23,MATCH($G440,'CAT_PUESTOS'!$A$4:$A$23,0)),"(sin catálogo)"))</f>
        <v/>
      </c>
      <c r="AC440" s="24">
        <f>IF($H440="","",IFERROR(INDEX('CAT_ACTIVIDADES'!$B$4:$B$26,MATCH($H440,'CAT_ACTIVIDADES'!$A$4:$A$26,0)),"(sin catálogo)"))</f>
        <v/>
      </c>
      <c r="AD440" s="26">
        <f>IF($J440="","",TODAY()-$J440)</f>
        <v/>
      </c>
      <c r="AE440" s="26">
        <f>IF($J440="","",IF($J440&lt;=TODAY(),COUNTIFS(cal_fechas,"&gt;="&amp;$J440,cal_fechas,"&lt;"&amp;TODAY(),cal_habil,"sí"),-COUNTIFS(cal_fechas,"&gt;="&amp;TODAY(),cal_fechas,"&lt;"&amp;$J440,cal_habil,"sí")))</f>
        <v/>
      </c>
      <c r="AF440" s="24">
        <f>IF($AE440="","",IF($AE440&lt;0,"FUTURO",IF($AE440&gt;p_dias_backlog_max,"BACKLOG","MES CORRIENTE")))</f>
        <v/>
      </c>
      <c r="AG440" s="24">
        <f>IF($AE440="",FALSE,AND($AE440&gt;p_dias_backlog_min,$AE440&lt;=p_dias_backlog_max))</f>
        <v/>
      </c>
      <c r="AH440" s="4" t="n"/>
      <c r="AI440" s="24">
        <f>IF($AH440="","",IF((IFERROR(INDEX('ASIGNACIONES'!$J$4:$J$451,MATCH($O440&amp;"|"&amp;$S440&amp;"|"&amp;$AH440,'ASIGNACIONES'!$N$4:$N$451,0)),""))=0,"",IFERROR(INDEX('ASIGNACIONES'!$J$4:$J$451,MATCH($O440&amp;"|"&amp;$S440&amp;"|"&amp;$AH440,'ASIGNACIONES'!$N$4:$N$451,0)),"")))</f>
        <v/>
      </c>
      <c r="AJ440" s="42">
        <f>IF($AH440="","",SUMIFS('ORDENES'!$M$4:$M$1203,'ORDENES'!$AH$4:$AH$1203,$AH440,'ORDENES'!$O$4:$O$1203,$O440,'ORDENES'!$S$4:$S$1203,$S440))</f>
        <v/>
      </c>
      <c r="AK440" s="42">
        <f>IF($AJ440="","",p_factor_productividad*IFERROR(INDEX('ASIGNACIONES'!$M$4:$M$451,MATCH($O440&amp;"|"&amp;$S440&amp;"|"&amp;$AH440,'ASIGNACIONES'!$N$4:$N$451,0)),0)-$AJ440)</f>
        <v/>
      </c>
      <c r="AL440" s="32">
        <f>IF($A440="","",IFERROR(INDEX('2_IMPORTAR_EJECUCION'!$F$9:$F$1208,MATCH($AU440,'2_IMPORTAR_EJECUCION'!$J$9:$J$1208,0)),0))</f>
        <v/>
      </c>
      <c r="AM440" s="32">
        <f>IF($A440="","",MAX(0,IFERROR(INDEX('2_IMPORTAR_EJECUCION'!$H$9:$H$1208,MATCH($AU440,'2_IMPORTAR_EJECUCION'!$J$9:$J$1208,0)),0)-$AL440))</f>
        <v/>
      </c>
      <c r="AN440" s="32">
        <f>IF($A440="","",$AL440+$AM440)</f>
        <v/>
      </c>
      <c r="AO440" s="24">
        <f>IF($A440="","",IF(OR((IFERROR(INDEX('CAT_ACTIVIDADES'!$D$4:$D$26,MATCH($H440,'CAT_ACTIVIDADES'!$A$4:$A$26,0)),""))=0,(IFERROR(INDEX('CAT_ACTIVIDADES'!$D$4:$D$26,MATCH($H440,'CAT_ACTIVIDADES'!$A$4:$A$26,0)),""))=""),"SIN CLASIFICAR",IFERROR(INDEX('CAT_ACTIVIDADES'!$D$4:$D$26,MATCH($H440,'CAT_ACTIVIDADES'!$A$4:$A$26,0)),"")))</f>
        <v/>
      </c>
      <c r="AP440" s="4" t="n"/>
      <c r="AQ440" s="4" t="n"/>
      <c r="AR440" s="4" t="n"/>
      <c r="AS440" s="24">
        <f>IF($AR440="","",HYPERLINK(p_ruta_base_checklists&amp;$AR440,"abrir"))</f>
        <v/>
      </c>
      <c r="AT440" s="4" t="n"/>
      <c r="AU440" s="24">
        <f>IF($A440="","",$A440&amp;IF($B440="","0010",$B440))</f>
        <v/>
      </c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41" t="n"/>
      <c r="K441" s="5" t="n"/>
      <c r="L441" s="18" t="n"/>
      <c r="M441" s="24">
        <f>IF($A441="","",IFERROR(INDEX('AJUSTES'!$B$4:$B$303,MATCH($AU441,'AJUSTES'!$A$4:$A$303,0)),IF($K441="","",$K441)))</f>
        <v/>
      </c>
      <c r="N441" s="24">
        <f>IF($A441="","",IFERROR(INDEX('CAT_ESTADOS_ERP'!$B$4:$B$22,MATCH(IFERROR(INDEX('2_IMPORTAR_EJECUCION'!$C$9:$C$1208,MATCH($AU441,'2_IMPORTAR_EJECUCION'!$J$9:$J$1208,0)),""),'CAT_ESTADOS_ERP'!$A$4:$A$22,0)),"Pendiente"))</f>
        <v/>
      </c>
      <c r="O441" s="24">
        <f>IF($J441="","",YEAR($J441+4-WEEKDAY($J441,2))&amp;"-S"&amp;TEXT(_xlfn.ISOWEEKNUM($J441),"00"))</f>
        <v/>
      </c>
      <c r="P441" s="24">
        <f>IF($J441="","",YEAR($J441))</f>
        <v/>
      </c>
      <c r="Q441" s="24">
        <f>IF($J441="","",MONTH($J441))</f>
        <v/>
      </c>
      <c r="R441" s="24">
        <f>IF($J441="","",$P441&amp;"-"&amp;TEXT($Q441,"00"))</f>
        <v/>
      </c>
      <c r="S441" s="24">
        <f>IF($J441="","",INDEX(lista_dias,WEEKDAY($J441,2)))</f>
        <v/>
      </c>
      <c r="T441" s="24">
        <f>IF($J441="","",IFERROR(INDEX('CALENDARIO'!$C$15:$C$214,MATCH(TEXT($J441,"yyyy-mm-dd")&amp;"|"&amp;$Y441&amp;"|"&amp;$Z441,'CALENDARIO'!$G$15:$G$214,0)),IFERROR(INDEX('CALENDARIO'!$C$15:$C$214,MATCH(TEXT($J441,"yyyy-mm-dd")&amp;"|"&amp;$Y441&amp;"|",'CALENDARIO'!$G$15:$G$214,0)),IFERROR(INDEX('CALENDARIO'!$C$15:$C$214,MATCH(TEXT($J441,"yyyy-mm-dd")&amp;"||",'CALENDARIO'!$G$15:$G$214,0)),INDEX(patronHabil,WEEKDAY($J441,2))))))</f>
        <v/>
      </c>
      <c r="U441" s="24">
        <f>IF($I441="","",IFERROR(INDEX('CAT_TIPOS_OT'!$C$4:$C$23,MATCH($I441,'CAT_TIPOS_OT'!$A$4:$A$23,0)),"sin_clasificar"))</f>
        <v/>
      </c>
      <c r="V441" s="24">
        <f>IF($I441="","",IF(IFERROR(INDEX('CAT_TIPOS_OT'!$D$4:$D$23,MATCH($I441,'CAT_TIPOS_OT'!$A$4:$A$23,0)),"SIN CLASIFICAR")="","SIN CLASIFICAR",IFERROR(INDEX('CAT_TIPOS_OT'!$D$4:$D$23,MATCH($I441,'CAT_TIPOS_OT'!$A$4:$A$23,0)),"SIN CLASIFICAR")))</f>
        <v/>
      </c>
      <c r="W441" s="24">
        <f>IF($H441="","",IF(IFERROR(INDEX('CAT_ACTIVIDADES'!$F$4:$F$26,MATCH($H441,'CAT_ACTIVIDADES'!$A$4:$A$26,0)),"")=0,"",IFERROR(INDEX('CAT_ACTIVIDADES'!$F$4:$F$26,MATCH($H441,'CAT_ACTIVIDADES'!$A$4:$A$26,0)),"")))</f>
        <v/>
      </c>
      <c r="X441" s="24">
        <f>IF($F441="","",IFERROR(INDEX('CAT_CENTROS_COSTO'!$F$4:$F$28,MATCH($F441,'CAT_CENTROS_COSTO'!$A$4:$A$28,0)),"(sin catálogo)"))</f>
        <v/>
      </c>
      <c r="Y441" s="24">
        <f>IF($F441="","",IFERROR(INDEX('CAT_CENTROS_COSTO'!$D$4:$D$28,MATCH($F441,'CAT_CENTROS_COSTO'!$A$4:$A$28,0)),"(sin catálogo)"))</f>
        <v/>
      </c>
      <c r="Z441" s="24">
        <f>IF($F441="","",IF((IFERROR(INDEX('CAT_CENTROS_COSTO'!$E$4:$E$28,MATCH($F441,'CAT_CENTROS_COSTO'!$A$4:$A$28,0)),""))&lt;&gt;"",IFERROR(INDEX('CAT_CENTROS_COSTO'!$E$4:$E$28,MATCH($F441,'CAT_CENTROS_COSTO'!$A$4:$A$28,0)),""),$Y441))</f>
        <v/>
      </c>
      <c r="AA441" s="24">
        <f>IF($F441="","",IFERROR(INDEX('CAT_CENTROS_COSTO'!$G$4:$G$28,MATCH($F441,'CAT_CENTROS_COSTO'!$A$4:$A$28,0)),"(sin catálogo)"))</f>
        <v/>
      </c>
      <c r="AB441" s="24">
        <f>IF($G441="","",IFERROR(INDEX('CAT_PUESTOS'!$B$4:$B$23,MATCH($G441,'CAT_PUESTOS'!$A$4:$A$23,0)),"(sin catálogo)"))</f>
        <v/>
      </c>
      <c r="AC441" s="24">
        <f>IF($H441="","",IFERROR(INDEX('CAT_ACTIVIDADES'!$B$4:$B$26,MATCH($H441,'CAT_ACTIVIDADES'!$A$4:$A$26,0)),"(sin catálogo)"))</f>
        <v/>
      </c>
      <c r="AD441" s="26">
        <f>IF($J441="","",TODAY()-$J441)</f>
        <v/>
      </c>
      <c r="AE441" s="26">
        <f>IF($J441="","",IF($J441&lt;=TODAY(),COUNTIFS(cal_fechas,"&gt;="&amp;$J441,cal_fechas,"&lt;"&amp;TODAY(),cal_habil,"sí"),-COUNTIFS(cal_fechas,"&gt;="&amp;TODAY(),cal_fechas,"&lt;"&amp;$J441,cal_habil,"sí")))</f>
        <v/>
      </c>
      <c r="AF441" s="24">
        <f>IF($AE441="","",IF($AE441&lt;0,"FUTURO",IF($AE441&gt;p_dias_backlog_max,"BACKLOG","MES CORRIENTE")))</f>
        <v/>
      </c>
      <c r="AG441" s="24">
        <f>IF($AE441="",FALSE,AND($AE441&gt;p_dias_backlog_min,$AE441&lt;=p_dias_backlog_max))</f>
        <v/>
      </c>
      <c r="AH441" s="4" t="n"/>
      <c r="AI441" s="24">
        <f>IF($AH441="","",IF((IFERROR(INDEX('ASIGNACIONES'!$J$4:$J$451,MATCH($O441&amp;"|"&amp;$S441&amp;"|"&amp;$AH441,'ASIGNACIONES'!$N$4:$N$451,0)),""))=0,"",IFERROR(INDEX('ASIGNACIONES'!$J$4:$J$451,MATCH($O441&amp;"|"&amp;$S441&amp;"|"&amp;$AH441,'ASIGNACIONES'!$N$4:$N$451,0)),"")))</f>
        <v/>
      </c>
      <c r="AJ441" s="42">
        <f>IF($AH441="","",SUMIFS('ORDENES'!$M$4:$M$1203,'ORDENES'!$AH$4:$AH$1203,$AH441,'ORDENES'!$O$4:$O$1203,$O441,'ORDENES'!$S$4:$S$1203,$S441))</f>
        <v/>
      </c>
      <c r="AK441" s="42">
        <f>IF($AJ441="","",p_factor_productividad*IFERROR(INDEX('ASIGNACIONES'!$M$4:$M$451,MATCH($O441&amp;"|"&amp;$S441&amp;"|"&amp;$AH441,'ASIGNACIONES'!$N$4:$N$451,0)),0)-$AJ441)</f>
        <v/>
      </c>
      <c r="AL441" s="32">
        <f>IF($A441="","",IFERROR(INDEX('2_IMPORTAR_EJECUCION'!$F$9:$F$1208,MATCH($AU441,'2_IMPORTAR_EJECUCION'!$J$9:$J$1208,0)),0))</f>
        <v/>
      </c>
      <c r="AM441" s="32">
        <f>IF($A441="","",MAX(0,IFERROR(INDEX('2_IMPORTAR_EJECUCION'!$H$9:$H$1208,MATCH($AU441,'2_IMPORTAR_EJECUCION'!$J$9:$J$1208,0)),0)-$AL441))</f>
        <v/>
      </c>
      <c r="AN441" s="32">
        <f>IF($A441="","",$AL441+$AM441)</f>
        <v/>
      </c>
      <c r="AO441" s="24">
        <f>IF($A441="","",IF(OR((IFERROR(INDEX('CAT_ACTIVIDADES'!$D$4:$D$26,MATCH($H441,'CAT_ACTIVIDADES'!$A$4:$A$26,0)),""))=0,(IFERROR(INDEX('CAT_ACTIVIDADES'!$D$4:$D$26,MATCH($H441,'CAT_ACTIVIDADES'!$A$4:$A$26,0)),""))=""),"SIN CLASIFICAR",IFERROR(INDEX('CAT_ACTIVIDADES'!$D$4:$D$26,MATCH($H441,'CAT_ACTIVIDADES'!$A$4:$A$26,0)),"")))</f>
        <v/>
      </c>
      <c r="AP441" s="4" t="n"/>
      <c r="AQ441" s="4" t="n"/>
      <c r="AR441" s="4" t="n"/>
      <c r="AS441" s="24">
        <f>IF($AR441="","",HYPERLINK(p_ruta_base_checklists&amp;$AR441,"abrir"))</f>
        <v/>
      </c>
      <c r="AT441" s="4" t="n"/>
      <c r="AU441" s="24">
        <f>IF($A441="","",$A441&amp;IF($B441="","0010",$B441))</f>
        <v/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41" t="n"/>
      <c r="K442" s="5" t="n"/>
      <c r="L442" s="18" t="n"/>
      <c r="M442" s="24">
        <f>IF($A442="","",IFERROR(INDEX('AJUSTES'!$B$4:$B$303,MATCH($AU442,'AJUSTES'!$A$4:$A$303,0)),IF($K442="","",$K442)))</f>
        <v/>
      </c>
      <c r="N442" s="24">
        <f>IF($A442="","",IFERROR(INDEX('CAT_ESTADOS_ERP'!$B$4:$B$22,MATCH(IFERROR(INDEX('2_IMPORTAR_EJECUCION'!$C$9:$C$1208,MATCH($AU442,'2_IMPORTAR_EJECUCION'!$J$9:$J$1208,0)),""),'CAT_ESTADOS_ERP'!$A$4:$A$22,0)),"Pendiente"))</f>
        <v/>
      </c>
      <c r="O442" s="24">
        <f>IF($J442="","",YEAR($J442+4-WEEKDAY($J442,2))&amp;"-S"&amp;TEXT(_xlfn.ISOWEEKNUM($J442),"00"))</f>
        <v/>
      </c>
      <c r="P442" s="24">
        <f>IF($J442="","",YEAR($J442))</f>
        <v/>
      </c>
      <c r="Q442" s="24">
        <f>IF($J442="","",MONTH($J442))</f>
        <v/>
      </c>
      <c r="R442" s="24">
        <f>IF($J442="","",$P442&amp;"-"&amp;TEXT($Q442,"00"))</f>
        <v/>
      </c>
      <c r="S442" s="24">
        <f>IF($J442="","",INDEX(lista_dias,WEEKDAY($J442,2)))</f>
        <v/>
      </c>
      <c r="T442" s="24">
        <f>IF($J442="","",IFERROR(INDEX('CALENDARIO'!$C$15:$C$214,MATCH(TEXT($J442,"yyyy-mm-dd")&amp;"|"&amp;$Y442&amp;"|"&amp;$Z442,'CALENDARIO'!$G$15:$G$214,0)),IFERROR(INDEX('CALENDARIO'!$C$15:$C$214,MATCH(TEXT($J442,"yyyy-mm-dd")&amp;"|"&amp;$Y442&amp;"|",'CALENDARIO'!$G$15:$G$214,0)),IFERROR(INDEX('CALENDARIO'!$C$15:$C$214,MATCH(TEXT($J442,"yyyy-mm-dd")&amp;"||",'CALENDARIO'!$G$15:$G$214,0)),INDEX(patronHabil,WEEKDAY($J442,2))))))</f>
        <v/>
      </c>
      <c r="U442" s="24">
        <f>IF($I442="","",IFERROR(INDEX('CAT_TIPOS_OT'!$C$4:$C$23,MATCH($I442,'CAT_TIPOS_OT'!$A$4:$A$23,0)),"sin_clasificar"))</f>
        <v/>
      </c>
      <c r="V442" s="24">
        <f>IF($I442="","",IF(IFERROR(INDEX('CAT_TIPOS_OT'!$D$4:$D$23,MATCH($I442,'CAT_TIPOS_OT'!$A$4:$A$23,0)),"SIN CLASIFICAR")="","SIN CLASIFICAR",IFERROR(INDEX('CAT_TIPOS_OT'!$D$4:$D$23,MATCH($I442,'CAT_TIPOS_OT'!$A$4:$A$23,0)),"SIN CLASIFICAR")))</f>
        <v/>
      </c>
      <c r="W442" s="24">
        <f>IF($H442="","",IF(IFERROR(INDEX('CAT_ACTIVIDADES'!$F$4:$F$26,MATCH($H442,'CAT_ACTIVIDADES'!$A$4:$A$26,0)),"")=0,"",IFERROR(INDEX('CAT_ACTIVIDADES'!$F$4:$F$26,MATCH($H442,'CAT_ACTIVIDADES'!$A$4:$A$26,0)),"")))</f>
        <v/>
      </c>
      <c r="X442" s="24">
        <f>IF($F442="","",IFERROR(INDEX('CAT_CENTROS_COSTO'!$F$4:$F$28,MATCH($F442,'CAT_CENTROS_COSTO'!$A$4:$A$28,0)),"(sin catálogo)"))</f>
        <v/>
      </c>
      <c r="Y442" s="24">
        <f>IF($F442="","",IFERROR(INDEX('CAT_CENTROS_COSTO'!$D$4:$D$28,MATCH($F442,'CAT_CENTROS_COSTO'!$A$4:$A$28,0)),"(sin catálogo)"))</f>
        <v/>
      </c>
      <c r="Z442" s="24">
        <f>IF($F442="","",IF((IFERROR(INDEX('CAT_CENTROS_COSTO'!$E$4:$E$28,MATCH($F442,'CAT_CENTROS_COSTO'!$A$4:$A$28,0)),""))&lt;&gt;"",IFERROR(INDEX('CAT_CENTROS_COSTO'!$E$4:$E$28,MATCH($F442,'CAT_CENTROS_COSTO'!$A$4:$A$28,0)),""),$Y442))</f>
        <v/>
      </c>
      <c r="AA442" s="24">
        <f>IF($F442="","",IFERROR(INDEX('CAT_CENTROS_COSTO'!$G$4:$G$28,MATCH($F442,'CAT_CENTROS_COSTO'!$A$4:$A$28,0)),"(sin catálogo)"))</f>
        <v/>
      </c>
      <c r="AB442" s="24">
        <f>IF($G442="","",IFERROR(INDEX('CAT_PUESTOS'!$B$4:$B$23,MATCH($G442,'CAT_PUESTOS'!$A$4:$A$23,0)),"(sin catálogo)"))</f>
        <v/>
      </c>
      <c r="AC442" s="24">
        <f>IF($H442="","",IFERROR(INDEX('CAT_ACTIVIDADES'!$B$4:$B$26,MATCH($H442,'CAT_ACTIVIDADES'!$A$4:$A$26,0)),"(sin catálogo)"))</f>
        <v/>
      </c>
      <c r="AD442" s="26">
        <f>IF($J442="","",TODAY()-$J442)</f>
        <v/>
      </c>
      <c r="AE442" s="26">
        <f>IF($J442="","",IF($J442&lt;=TODAY(),COUNTIFS(cal_fechas,"&gt;="&amp;$J442,cal_fechas,"&lt;"&amp;TODAY(),cal_habil,"sí"),-COUNTIFS(cal_fechas,"&gt;="&amp;TODAY(),cal_fechas,"&lt;"&amp;$J442,cal_habil,"sí")))</f>
        <v/>
      </c>
      <c r="AF442" s="24">
        <f>IF($AE442="","",IF($AE442&lt;0,"FUTURO",IF($AE442&gt;p_dias_backlog_max,"BACKLOG","MES CORRIENTE")))</f>
        <v/>
      </c>
      <c r="AG442" s="24">
        <f>IF($AE442="",FALSE,AND($AE442&gt;p_dias_backlog_min,$AE442&lt;=p_dias_backlog_max))</f>
        <v/>
      </c>
      <c r="AH442" s="4" t="n"/>
      <c r="AI442" s="24">
        <f>IF($AH442="","",IF((IFERROR(INDEX('ASIGNACIONES'!$J$4:$J$451,MATCH($O442&amp;"|"&amp;$S442&amp;"|"&amp;$AH442,'ASIGNACIONES'!$N$4:$N$451,0)),""))=0,"",IFERROR(INDEX('ASIGNACIONES'!$J$4:$J$451,MATCH($O442&amp;"|"&amp;$S442&amp;"|"&amp;$AH442,'ASIGNACIONES'!$N$4:$N$451,0)),"")))</f>
        <v/>
      </c>
      <c r="AJ442" s="42">
        <f>IF($AH442="","",SUMIFS('ORDENES'!$M$4:$M$1203,'ORDENES'!$AH$4:$AH$1203,$AH442,'ORDENES'!$O$4:$O$1203,$O442,'ORDENES'!$S$4:$S$1203,$S442))</f>
        <v/>
      </c>
      <c r="AK442" s="42">
        <f>IF($AJ442="","",p_factor_productividad*IFERROR(INDEX('ASIGNACIONES'!$M$4:$M$451,MATCH($O442&amp;"|"&amp;$S442&amp;"|"&amp;$AH442,'ASIGNACIONES'!$N$4:$N$451,0)),0)-$AJ442)</f>
        <v/>
      </c>
      <c r="AL442" s="32">
        <f>IF($A442="","",IFERROR(INDEX('2_IMPORTAR_EJECUCION'!$F$9:$F$1208,MATCH($AU442,'2_IMPORTAR_EJECUCION'!$J$9:$J$1208,0)),0))</f>
        <v/>
      </c>
      <c r="AM442" s="32">
        <f>IF($A442="","",MAX(0,IFERROR(INDEX('2_IMPORTAR_EJECUCION'!$H$9:$H$1208,MATCH($AU442,'2_IMPORTAR_EJECUCION'!$J$9:$J$1208,0)),0)-$AL442))</f>
        <v/>
      </c>
      <c r="AN442" s="32">
        <f>IF($A442="","",$AL442+$AM442)</f>
        <v/>
      </c>
      <c r="AO442" s="24">
        <f>IF($A442="","",IF(OR((IFERROR(INDEX('CAT_ACTIVIDADES'!$D$4:$D$26,MATCH($H442,'CAT_ACTIVIDADES'!$A$4:$A$26,0)),""))=0,(IFERROR(INDEX('CAT_ACTIVIDADES'!$D$4:$D$26,MATCH($H442,'CAT_ACTIVIDADES'!$A$4:$A$26,0)),""))=""),"SIN CLASIFICAR",IFERROR(INDEX('CAT_ACTIVIDADES'!$D$4:$D$26,MATCH($H442,'CAT_ACTIVIDADES'!$A$4:$A$26,0)),"")))</f>
        <v/>
      </c>
      <c r="AP442" s="4" t="n"/>
      <c r="AQ442" s="4" t="n"/>
      <c r="AR442" s="4" t="n"/>
      <c r="AS442" s="24">
        <f>IF($AR442="","",HYPERLINK(p_ruta_base_checklists&amp;$AR442,"abrir"))</f>
        <v/>
      </c>
      <c r="AT442" s="4" t="n"/>
      <c r="AU442" s="24">
        <f>IF($A442="","",$A442&amp;IF($B442="","0010",$B442))</f>
        <v/>
      </c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41" t="n"/>
      <c r="K443" s="5" t="n"/>
      <c r="L443" s="18" t="n"/>
      <c r="M443" s="24">
        <f>IF($A443="","",IFERROR(INDEX('AJUSTES'!$B$4:$B$303,MATCH($AU443,'AJUSTES'!$A$4:$A$303,0)),IF($K443="","",$K443)))</f>
        <v/>
      </c>
      <c r="N443" s="24">
        <f>IF($A443="","",IFERROR(INDEX('CAT_ESTADOS_ERP'!$B$4:$B$22,MATCH(IFERROR(INDEX('2_IMPORTAR_EJECUCION'!$C$9:$C$1208,MATCH($AU443,'2_IMPORTAR_EJECUCION'!$J$9:$J$1208,0)),""),'CAT_ESTADOS_ERP'!$A$4:$A$22,0)),"Pendiente"))</f>
        <v/>
      </c>
      <c r="O443" s="24">
        <f>IF($J443="","",YEAR($J443+4-WEEKDAY($J443,2))&amp;"-S"&amp;TEXT(_xlfn.ISOWEEKNUM($J443),"00"))</f>
        <v/>
      </c>
      <c r="P443" s="24">
        <f>IF($J443="","",YEAR($J443))</f>
        <v/>
      </c>
      <c r="Q443" s="24">
        <f>IF($J443="","",MONTH($J443))</f>
        <v/>
      </c>
      <c r="R443" s="24">
        <f>IF($J443="","",$P443&amp;"-"&amp;TEXT($Q443,"00"))</f>
        <v/>
      </c>
      <c r="S443" s="24">
        <f>IF($J443="","",INDEX(lista_dias,WEEKDAY($J443,2)))</f>
        <v/>
      </c>
      <c r="T443" s="24">
        <f>IF($J443="","",IFERROR(INDEX('CALENDARIO'!$C$15:$C$214,MATCH(TEXT($J443,"yyyy-mm-dd")&amp;"|"&amp;$Y443&amp;"|"&amp;$Z443,'CALENDARIO'!$G$15:$G$214,0)),IFERROR(INDEX('CALENDARIO'!$C$15:$C$214,MATCH(TEXT($J443,"yyyy-mm-dd")&amp;"|"&amp;$Y443&amp;"|",'CALENDARIO'!$G$15:$G$214,0)),IFERROR(INDEX('CALENDARIO'!$C$15:$C$214,MATCH(TEXT($J443,"yyyy-mm-dd")&amp;"||",'CALENDARIO'!$G$15:$G$214,0)),INDEX(patronHabil,WEEKDAY($J443,2))))))</f>
        <v/>
      </c>
      <c r="U443" s="24">
        <f>IF($I443="","",IFERROR(INDEX('CAT_TIPOS_OT'!$C$4:$C$23,MATCH($I443,'CAT_TIPOS_OT'!$A$4:$A$23,0)),"sin_clasificar"))</f>
        <v/>
      </c>
      <c r="V443" s="24">
        <f>IF($I443="","",IF(IFERROR(INDEX('CAT_TIPOS_OT'!$D$4:$D$23,MATCH($I443,'CAT_TIPOS_OT'!$A$4:$A$23,0)),"SIN CLASIFICAR")="","SIN CLASIFICAR",IFERROR(INDEX('CAT_TIPOS_OT'!$D$4:$D$23,MATCH($I443,'CAT_TIPOS_OT'!$A$4:$A$23,0)),"SIN CLASIFICAR")))</f>
        <v/>
      </c>
      <c r="W443" s="24">
        <f>IF($H443="","",IF(IFERROR(INDEX('CAT_ACTIVIDADES'!$F$4:$F$26,MATCH($H443,'CAT_ACTIVIDADES'!$A$4:$A$26,0)),"")=0,"",IFERROR(INDEX('CAT_ACTIVIDADES'!$F$4:$F$26,MATCH($H443,'CAT_ACTIVIDADES'!$A$4:$A$26,0)),"")))</f>
        <v/>
      </c>
      <c r="X443" s="24">
        <f>IF($F443="","",IFERROR(INDEX('CAT_CENTROS_COSTO'!$F$4:$F$28,MATCH($F443,'CAT_CENTROS_COSTO'!$A$4:$A$28,0)),"(sin catálogo)"))</f>
        <v/>
      </c>
      <c r="Y443" s="24">
        <f>IF($F443="","",IFERROR(INDEX('CAT_CENTROS_COSTO'!$D$4:$D$28,MATCH($F443,'CAT_CENTROS_COSTO'!$A$4:$A$28,0)),"(sin catálogo)"))</f>
        <v/>
      </c>
      <c r="Z443" s="24">
        <f>IF($F443="","",IF((IFERROR(INDEX('CAT_CENTROS_COSTO'!$E$4:$E$28,MATCH($F443,'CAT_CENTROS_COSTO'!$A$4:$A$28,0)),""))&lt;&gt;"",IFERROR(INDEX('CAT_CENTROS_COSTO'!$E$4:$E$28,MATCH($F443,'CAT_CENTROS_COSTO'!$A$4:$A$28,0)),""),$Y443))</f>
        <v/>
      </c>
      <c r="AA443" s="24">
        <f>IF($F443="","",IFERROR(INDEX('CAT_CENTROS_COSTO'!$G$4:$G$28,MATCH($F443,'CAT_CENTROS_COSTO'!$A$4:$A$28,0)),"(sin catálogo)"))</f>
        <v/>
      </c>
      <c r="AB443" s="24">
        <f>IF($G443="","",IFERROR(INDEX('CAT_PUESTOS'!$B$4:$B$23,MATCH($G443,'CAT_PUESTOS'!$A$4:$A$23,0)),"(sin catálogo)"))</f>
        <v/>
      </c>
      <c r="AC443" s="24">
        <f>IF($H443="","",IFERROR(INDEX('CAT_ACTIVIDADES'!$B$4:$B$26,MATCH($H443,'CAT_ACTIVIDADES'!$A$4:$A$26,0)),"(sin catálogo)"))</f>
        <v/>
      </c>
      <c r="AD443" s="26">
        <f>IF($J443="","",TODAY()-$J443)</f>
        <v/>
      </c>
      <c r="AE443" s="26">
        <f>IF($J443="","",IF($J443&lt;=TODAY(),COUNTIFS(cal_fechas,"&gt;="&amp;$J443,cal_fechas,"&lt;"&amp;TODAY(),cal_habil,"sí"),-COUNTIFS(cal_fechas,"&gt;="&amp;TODAY(),cal_fechas,"&lt;"&amp;$J443,cal_habil,"sí")))</f>
        <v/>
      </c>
      <c r="AF443" s="24">
        <f>IF($AE443="","",IF($AE443&lt;0,"FUTURO",IF($AE443&gt;p_dias_backlog_max,"BACKLOG","MES CORRIENTE")))</f>
        <v/>
      </c>
      <c r="AG443" s="24">
        <f>IF($AE443="",FALSE,AND($AE443&gt;p_dias_backlog_min,$AE443&lt;=p_dias_backlog_max))</f>
        <v/>
      </c>
      <c r="AH443" s="4" t="n"/>
      <c r="AI443" s="24">
        <f>IF($AH443="","",IF((IFERROR(INDEX('ASIGNACIONES'!$J$4:$J$451,MATCH($O443&amp;"|"&amp;$S443&amp;"|"&amp;$AH443,'ASIGNACIONES'!$N$4:$N$451,0)),""))=0,"",IFERROR(INDEX('ASIGNACIONES'!$J$4:$J$451,MATCH($O443&amp;"|"&amp;$S443&amp;"|"&amp;$AH443,'ASIGNACIONES'!$N$4:$N$451,0)),"")))</f>
        <v/>
      </c>
      <c r="AJ443" s="42">
        <f>IF($AH443="","",SUMIFS('ORDENES'!$M$4:$M$1203,'ORDENES'!$AH$4:$AH$1203,$AH443,'ORDENES'!$O$4:$O$1203,$O443,'ORDENES'!$S$4:$S$1203,$S443))</f>
        <v/>
      </c>
      <c r="AK443" s="42">
        <f>IF($AJ443="","",p_factor_productividad*IFERROR(INDEX('ASIGNACIONES'!$M$4:$M$451,MATCH($O443&amp;"|"&amp;$S443&amp;"|"&amp;$AH443,'ASIGNACIONES'!$N$4:$N$451,0)),0)-$AJ443)</f>
        <v/>
      </c>
      <c r="AL443" s="32">
        <f>IF($A443="","",IFERROR(INDEX('2_IMPORTAR_EJECUCION'!$F$9:$F$1208,MATCH($AU443,'2_IMPORTAR_EJECUCION'!$J$9:$J$1208,0)),0))</f>
        <v/>
      </c>
      <c r="AM443" s="32">
        <f>IF($A443="","",MAX(0,IFERROR(INDEX('2_IMPORTAR_EJECUCION'!$H$9:$H$1208,MATCH($AU443,'2_IMPORTAR_EJECUCION'!$J$9:$J$1208,0)),0)-$AL443))</f>
        <v/>
      </c>
      <c r="AN443" s="32">
        <f>IF($A443="","",$AL443+$AM443)</f>
        <v/>
      </c>
      <c r="AO443" s="24">
        <f>IF($A443="","",IF(OR((IFERROR(INDEX('CAT_ACTIVIDADES'!$D$4:$D$26,MATCH($H443,'CAT_ACTIVIDADES'!$A$4:$A$26,0)),""))=0,(IFERROR(INDEX('CAT_ACTIVIDADES'!$D$4:$D$26,MATCH($H443,'CAT_ACTIVIDADES'!$A$4:$A$26,0)),""))=""),"SIN CLASIFICAR",IFERROR(INDEX('CAT_ACTIVIDADES'!$D$4:$D$26,MATCH($H443,'CAT_ACTIVIDADES'!$A$4:$A$26,0)),"")))</f>
        <v/>
      </c>
      <c r="AP443" s="4" t="n"/>
      <c r="AQ443" s="4" t="n"/>
      <c r="AR443" s="4" t="n"/>
      <c r="AS443" s="24">
        <f>IF($AR443="","",HYPERLINK(p_ruta_base_checklists&amp;$AR443,"abrir"))</f>
        <v/>
      </c>
      <c r="AT443" s="4" t="n"/>
      <c r="AU443" s="24">
        <f>IF($A443="","",$A443&amp;IF($B443="","0010",$B443))</f>
        <v/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41" t="n"/>
      <c r="K444" s="5" t="n"/>
      <c r="L444" s="18" t="n"/>
      <c r="M444" s="24">
        <f>IF($A444="","",IFERROR(INDEX('AJUSTES'!$B$4:$B$303,MATCH($AU444,'AJUSTES'!$A$4:$A$303,0)),IF($K444="","",$K444)))</f>
        <v/>
      </c>
      <c r="N444" s="24">
        <f>IF($A444="","",IFERROR(INDEX('CAT_ESTADOS_ERP'!$B$4:$B$22,MATCH(IFERROR(INDEX('2_IMPORTAR_EJECUCION'!$C$9:$C$1208,MATCH($AU444,'2_IMPORTAR_EJECUCION'!$J$9:$J$1208,0)),""),'CAT_ESTADOS_ERP'!$A$4:$A$22,0)),"Pendiente"))</f>
        <v/>
      </c>
      <c r="O444" s="24">
        <f>IF($J444="","",YEAR($J444+4-WEEKDAY($J444,2))&amp;"-S"&amp;TEXT(_xlfn.ISOWEEKNUM($J444),"00"))</f>
        <v/>
      </c>
      <c r="P444" s="24">
        <f>IF($J444="","",YEAR($J444))</f>
        <v/>
      </c>
      <c r="Q444" s="24">
        <f>IF($J444="","",MONTH($J444))</f>
        <v/>
      </c>
      <c r="R444" s="24">
        <f>IF($J444="","",$P444&amp;"-"&amp;TEXT($Q444,"00"))</f>
        <v/>
      </c>
      <c r="S444" s="24">
        <f>IF($J444="","",INDEX(lista_dias,WEEKDAY($J444,2)))</f>
        <v/>
      </c>
      <c r="T444" s="24">
        <f>IF($J444="","",IFERROR(INDEX('CALENDARIO'!$C$15:$C$214,MATCH(TEXT($J444,"yyyy-mm-dd")&amp;"|"&amp;$Y444&amp;"|"&amp;$Z444,'CALENDARIO'!$G$15:$G$214,0)),IFERROR(INDEX('CALENDARIO'!$C$15:$C$214,MATCH(TEXT($J444,"yyyy-mm-dd")&amp;"|"&amp;$Y444&amp;"|",'CALENDARIO'!$G$15:$G$214,0)),IFERROR(INDEX('CALENDARIO'!$C$15:$C$214,MATCH(TEXT($J444,"yyyy-mm-dd")&amp;"||",'CALENDARIO'!$G$15:$G$214,0)),INDEX(patronHabil,WEEKDAY($J444,2))))))</f>
        <v/>
      </c>
      <c r="U444" s="24">
        <f>IF($I444="","",IFERROR(INDEX('CAT_TIPOS_OT'!$C$4:$C$23,MATCH($I444,'CAT_TIPOS_OT'!$A$4:$A$23,0)),"sin_clasificar"))</f>
        <v/>
      </c>
      <c r="V444" s="24">
        <f>IF($I444="","",IF(IFERROR(INDEX('CAT_TIPOS_OT'!$D$4:$D$23,MATCH($I444,'CAT_TIPOS_OT'!$A$4:$A$23,0)),"SIN CLASIFICAR")="","SIN CLASIFICAR",IFERROR(INDEX('CAT_TIPOS_OT'!$D$4:$D$23,MATCH($I444,'CAT_TIPOS_OT'!$A$4:$A$23,0)),"SIN CLASIFICAR")))</f>
        <v/>
      </c>
      <c r="W444" s="24">
        <f>IF($H444="","",IF(IFERROR(INDEX('CAT_ACTIVIDADES'!$F$4:$F$26,MATCH($H444,'CAT_ACTIVIDADES'!$A$4:$A$26,0)),"")=0,"",IFERROR(INDEX('CAT_ACTIVIDADES'!$F$4:$F$26,MATCH($H444,'CAT_ACTIVIDADES'!$A$4:$A$26,0)),"")))</f>
        <v/>
      </c>
      <c r="X444" s="24">
        <f>IF($F444="","",IFERROR(INDEX('CAT_CENTROS_COSTO'!$F$4:$F$28,MATCH($F444,'CAT_CENTROS_COSTO'!$A$4:$A$28,0)),"(sin catálogo)"))</f>
        <v/>
      </c>
      <c r="Y444" s="24">
        <f>IF($F444="","",IFERROR(INDEX('CAT_CENTROS_COSTO'!$D$4:$D$28,MATCH($F444,'CAT_CENTROS_COSTO'!$A$4:$A$28,0)),"(sin catálogo)"))</f>
        <v/>
      </c>
      <c r="Z444" s="24">
        <f>IF($F444="","",IF((IFERROR(INDEX('CAT_CENTROS_COSTO'!$E$4:$E$28,MATCH($F444,'CAT_CENTROS_COSTO'!$A$4:$A$28,0)),""))&lt;&gt;"",IFERROR(INDEX('CAT_CENTROS_COSTO'!$E$4:$E$28,MATCH($F444,'CAT_CENTROS_COSTO'!$A$4:$A$28,0)),""),$Y444))</f>
        <v/>
      </c>
      <c r="AA444" s="24">
        <f>IF($F444="","",IFERROR(INDEX('CAT_CENTROS_COSTO'!$G$4:$G$28,MATCH($F444,'CAT_CENTROS_COSTO'!$A$4:$A$28,0)),"(sin catálogo)"))</f>
        <v/>
      </c>
      <c r="AB444" s="24">
        <f>IF($G444="","",IFERROR(INDEX('CAT_PUESTOS'!$B$4:$B$23,MATCH($G444,'CAT_PUESTOS'!$A$4:$A$23,0)),"(sin catálogo)"))</f>
        <v/>
      </c>
      <c r="AC444" s="24">
        <f>IF($H444="","",IFERROR(INDEX('CAT_ACTIVIDADES'!$B$4:$B$26,MATCH($H444,'CAT_ACTIVIDADES'!$A$4:$A$26,0)),"(sin catálogo)"))</f>
        <v/>
      </c>
      <c r="AD444" s="26">
        <f>IF($J444="","",TODAY()-$J444)</f>
        <v/>
      </c>
      <c r="AE444" s="26">
        <f>IF($J444="","",IF($J444&lt;=TODAY(),COUNTIFS(cal_fechas,"&gt;="&amp;$J444,cal_fechas,"&lt;"&amp;TODAY(),cal_habil,"sí"),-COUNTIFS(cal_fechas,"&gt;="&amp;TODAY(),cal_fechas,"&lt;"&amp;$J444,cal_habil,"sí")))</f>
        <v/>
      </c>
      <c r="AF444" s="24">
        <f>IF($AE444="","",IF($AE444&lt;0,"FUTURO",IF($AE444&gt;p_dias_backlog_max,"BACKLOG","MES CORRIENTE")))</f>
        <v/>
      </c>
      <c r="AG444" s="24">
        <f>IF($AE444="",FALSE,AND($AE444&gt;p_dias_backlog_min,$AE444&lt;=p_dias_backlog_max))</f>
        <v/>
      </c>
      <c r="AH444" s="4" t="n"/>
      <c r="AI444" s="24">
        <f>IF($AH444="","",IF((IFERROR(INDEX('ASIGNACIONES'!$J$4:$J$451,MATCH($O444&amp;"|"&amp;$S444&amp;"|"&amp;$AH444,'ASIGNACIONES'!$N$4:$N$451,0)),""))=0,"",IFERROR(INDEX('ASIGNACIONES'!$J$4:$J$451,MATCH($O444&amp;"|"&amp;$S444&amp;"|"&amp;$AH444,'ASIGNACIONES'!$N$4:$N$451,0)),"")))</f>
        <v/>
      </c>
      <c r="AJ444" s="42">
        <f>IF($AH444="","",SUMIFS('ORDENES'!$M$4:$M$1203,'ORDENES'!$AH$4:$AH$1203,$AH444,'ORDENES'!$O$4:$O$1203,$O444,'ORDENES'!$S$4:$S$1203,$S444))</f>
        <v/>
      </c>
      <c r="AK444" s="42">
        <f>IF($AJ444="","",p_factor_productividad*IFERROR(INDEX('ASIGNACIONES'!$M$4:$M$451,MATCH($O444&amp;"|"&amp;$S444&amp;"|"&amp;$AH444,'ASIGNACIONES'!$N$4:$N$451,0)),0)-$AJ444)</f>
        <v/>
      </c>
      <c r="AL444" s="32">
        <f>IF($A444="","",IFERROR(INDEX('2_IMPORTAR_EJECUCION'!$F$9:$F$1208,MATCH($AU444,'2_IMPORTAR_EJECUCION'!$J$9:$J$1208,0)),0))</f>
        <v/>
      </c>
      <c r="AM444" s="32">
        <f>IF($A444="","",MAX(0,IFERROR(INDEX('2_IMPORTAR_EJECUCION'!$H$9:$H$1208,MATCH($AU444,'2_IMPORTAR_EJECUCION'!$J$9:$J$1208,0)),0)-$AL444))</f>
        <v/>
      </c>
      <c r="AN444" s="32">
        <f>IF($A444="","",$AL444+$AM444)</f>
        <v/>
      </c>
      <c r="AO444" s="24">
        <f>IF($A444="","",IF(OR((IFERROR(INDEX('CAT_ACTIVIDADES'!$D$4:$D$26,MATCH($H444,'CAT_ACTIVIDADES'!$A$4:$A$26,0)),""))=0,(IFERROR(INDEX('CAT_ACTIVIDADES'!$D$4:$D$26,MATCH($H444,'CAT_ACTIVIDADES'!$A$4:$A$26,0)),""))=""),"SIN CLASIFICAR",IFERROR(INDEX('CAT_ACTIVIDADES'!$D$4:$D$26,MATCH($H444,'CAT_ACTIVIDADES'!$A$4:$A$26,0)),"")))</f>
        <v/>
      </c>
      <c r="AP444" s="4" t="n"/>
      <c r="AQ444" s="4" t="n"/>
      <c r="AR444" s="4" t="n"/>
      <c r="AS444" s="24">
        <f>IF($AR444="","",HYPERLINK(p_ruta_base_checklists&amp;$AR444,"abrir"))</f>
        <v/>
      </c>
      <c r="AT444" s="4" t="n"/>
      <c r="AU444" s="24">
        <f>IF($A444="","",$A444&amp;IF($B444="","0010",$B444))</f>
        <v/>
      </c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41" t="n"/>
      <c r="K445" s="5" t="n"/>
      <c r="L445" s="18" t="n"/>
      <c r="M445" s="24">
        <f>IF($A445="","",IFERROR(INDEX('AJUSTES'!$B$4:$B$303,MATCH($AU445,'AJUSTES'!$A$4:$A$303,0)),IF($K445="","",$K445)))</f>
        <v/>
      </c>
      <c r="N445" s="24">
        <f>IF($A445="","",IFERROR(INDEX('CAT_ESTADOS_ERP'!$B$4:$B$22,MATCH(IFERROR(INDEX('2_IMPORTAR_EJECUCION'!$C$9:$C$1208,MATCH($AU445,'2_IMPORTAR_EJECUCION'!$J$9:$J$1208,0)),""),'CAT_ESTADOS_ERP'!$A$4:$A$22,0)),"Pendiente"))</f>
        <v/>
      </c>
      <c r="O445" s="24">
        <f>IF($J445="","",YEAR($J445+4-WEEKDAY($J445,2))&amp;"-S"&amp;TEXT(_xlfn.ISOWEEKNUM($J445),"00"))</f>
        <v/>
      </c>
      <c r="P445" s="24">
        <f>IF($J445="","",YEAR($J445))</f>
        <v/>
      </c>
      <c r="Q445" s="24">
        <f>IF($J445="","",MONTH($J445))</f>
        <v/>
      </c>
      <c r="R445" s="24">
        <f>IF($J445="","",$P445&amp;"-"&amp;TEXT($Q445,"00"))</f>
        <v/>
      </c>
      <c r="S445" s="24">
        <f>IF($J445="","",INDEX(lista_dias,WEEKDAY($J445,2)))</f>
        <v/>
      </c>
      <c r="T445" s="24">
        <f>IF($J445="","",IFERROR(INDEX('CALENDARIO'!$C$15:$C$214,MATCH(TEXT($J445,"yyyy-mm-dd")&amp;"|"&amp;$Y445&amp;"|"&amp;$Z445,'CALENDARIO'!$G$15:$G$214,0)),IFERROR(INDEX('CALENDARIO'!$C$15:$C$214,MATCH(TEXT($J445,"yyyy-mm-dd")&amp;"|"&amp;$Y445&amp;"|",'CALENDARIO'!$G$15:$G$214,0)),IFERROR(INDEX('CALENDARIO'!$C$15:$C$214,MATCH(TEXT($J445,"yyyy-mm-dd")&amp;"||",'CALENDARIO'!$G$15:$G$214,0)),INDEX(patronHabil,WEEKDAY($J445,2))))))</f>
        <v/>
      </c>
      <c r="U445" s="24">
        <f>IF($I445="","",IFERROR(INDEX('CAT_TIPOS_OT'!$C$4:$C$23,MATCH($I445,'CAT_TIPOS_OT'!$A$4:$A$23,0)),"sin_clasificar"))</f>
        <v/>
      </c>
      <c r="V445" s="24">
        <f>IF($I445="","",IF(IFERROR(INDEX('CAT_TIPOS_OT'!$D$4:$D$23,MATCH($I445,'CAT_TIPOS_OT'!$A$4:$A$23,0)),"SIN CLASIFICAR")="","SIN CLASIFICAR",IFERROR(INDEX('CAT_TIPOS_OT'!$D$4:$D$23,MATCH($I445,'CAT_TIPOS_OT'!$A$4:$A$23,0)),"SIN CLASIFICAR")))</f>
        <v/>
      </c>
      <c r="W445" s="24">
        <f>IF($H445="","",IF(IFERROR(INDEX('CAT_ACTIVIDADES'!$F$4:$F$26,MATCH($H445,'CAT_ACTIVIDADES'!$A$4:$A$26,0)),"")=0,"",IFERROR(INDEX('CAT_ACTIVIDADES'!$F$4:$F$26,MATCH($H445,'CAT_ACTIVIDADES'!$A$4:$A$26,0)),"")))</f>
        <v/>
      </c>
      <c r="X445" s="24">
        <f>IF($F445="","",IFERROR(INDEX('CAT_CENTROS_COSTO'!$F$4:$F$28,MATCH($F445,'CAT_CENTROS_COSTO'!$A$4:$A$28,0)),"(sin catálogo)"))</f>
        <v/>
      </c>
      <c r="Y445" s="24">
        <f>IF($F445="","",IFERROR(INDEX('CAT_CENTROS_COSTO'!$D$4:$D$28,MATCH($F445,'CAT_CENTROS_COSTO'!$A$4:$A$28,0)),"(sin catálogo)"))</f>
        <v/>
      </c>
      <c r="Z445" s="24">
        <f>IF($F445="","",IF((IFERROR(INDEX('CAT_CENTROS_COSTO'!$E$4:$E$28,MATCH($F445,'CAT_CENTROS_COSTO'!$A$4:$A$28,0)),""))&lt;&gt;"",IFERROR(INDEX('CAT_CENTROS_COSTO'!$E$4:$E$28,MATCH($F445,'CAT_CENTROS_COSTO'!$A$4:$A$28,0)),""),$Y445))</f>
        <v/>
      </c>
      <c r="AA445" s="24">
        <f>IF($F445="","",IFERROR(INDEX('CAT_CENTROS_COSTO'!$G$4:$G$28,MATCH($F445,'CAT_CENTROS_COSTO'!$A$4:$A$28,0)),"(sin catálogo)"))</f>
        <v/>
      </c>
      <c r="AB445" s="24">
        <f>IF($G445="","",IFERROR(INDEX('CAT_PUESTOS'!$B$4:$B$23,MATCH($G445,'CAT_PUESTOS'!$A$4:$A$23,0)),"(sin catálogo)"))</f>
        <v/>
      </c>
      <c r="AC445" s="24">
        <f>IF($H445="","",IFERROR(INDEX('CAT_ACTIVIDADES'!$B$4:$B$26,MATCH($H445,'CAT_ACTIVIDADES'!$A$4:$A$26,0)),"(sin catálogo)"))</f>
        <v/>
      </c>
      <c r="AD445" s="26">
        <f>IF($J445="","",TODAY()-$J445)</f>
        <v/>
      </c>
      <c r="AE445" s="26">
        <f>IF($J445="","",IF($J445&lt;=TODAY(),COUNTIFS(cal_fechas,"&gt;="&amp;$J445,cal_fechas,"&lt;"&amp;TODAY(),cal_habil,"sí"),-COUNTIFS(cal_fechas,"&gt;="&amp;TODAY(),cal_fechas,"&lt;"&amp;$J445,cal_habil,"sí")))</f>
        <v/>
      </c>
      <c r="AF445" s="24">
        <f>IF($AE445="","",IF($AE445&lt;0,"FUTURO",IF($AE445&gt;p_dias_backlog_max,"BACKLOG","MES CORRIENTE")))</f>
        <v/>
      </c>
      <c r="AG445" s="24">
        <f>IF($AE445="",FALSE,AND($AE445&gt;p_dias_backlog_min,$AE445&lt;=p_dias_backlog_max))</f>
        <v/>
      </c>
      <c r="AH445" s="4" t="n"/>
      <c r="AI445" s="24">
        <f>IF($AH445="","",IF((IFERROR(INDEX('ASIGNACIONES'!$J$4:$J$451,MATCH($O445&amp;"|"&amp;$S445&amp;"|"&amp;$AH445,'ASIGNACIONES'!$N$4:$N$451,0)),""))=0,"",IFERROR(INDEX('ASIGNACIONES'!$J$4:$J$451,MATCH($O445&amp;"|"&amp;$S445&amp;"|"&amp;$AH445,'ASIGNACIONES'!$N$4:$N$451,0)),"")))</f>
        <v/>
      </c>
      <c r="AJ445" s="42">
        <f>IF($AH445="","",SUMIFS('ORDENES'!$M$4:$M$1203,'ORDENES'!$AH$4:$AH$1203,$AH445,'ORDENES'!$O$4:$O$1203,$O445,'ORDENES'!$S$4:$S$1203,$S445))</f>
        <v/>
      </c>
      <c r="AK445" s="42">
        <f>IF($AJ445="","",p_factor_productividad*IFERROR(INDEX('ASIGNACIONES'!$M$4:$M$451,MATCH($O445&amp;"|"&amp;$S445&amp;"|"&amp;$AH445,'ASIGNACIONES'!$N$4:$N$451,0)),0)-$AJ445)</f>
        <v/>
      </c>
      <c r="AL445" s="32">
        <f>IF($A445="","",IFERROR(INDEX('2_IMPORTAR_EJECUCION'!$F$9:$F$1208,MATCH($AU445,'2_IMPORTAR_EJECUCION'!$J$9:$J$1208,0)),0))</f>
        <v/>
      </c>
      <c r="AM445" s="32">
        <f>IF($A445="","",MAX(0,IFERROR(INDEX('2_IMPORTAR_EJECUCION'!$H$9:$H$1208,MATCH($AU445,'2_IMPORTAR_EJECUCION'!$J$9:$J$1208,0)),0)-$AL445))</f>
        <v/>
      </c>
      <c r="AN445" s="32">
        <f>IF($A445="","",$AL445+$AM445)</f>
        <v/>
      </c>
      <c r="AO445" s="24">
        <f>IF($A445="","",IF(OR((IFERROR(INDEX('CAT_ACTIVIDADES'!$D$4:$D$26,MATCH($H445,'CAT_ACTIVIDADES'!$A$4:$A$26,0)),""))=0,(IFERROR(INDEX('CAT_ACTIVIDADES'!$D$4:$D$26,MATCH($H445,'CAT_ACTIVIDADES'!$A$4:$A$26,0)),""))=""),"SIN CLASIFICAR",IFERROR(INDEX('CAT_ACTIVIDADES'!$D$4:$D$26,MATCH($H445,'CAT_ACTIVIDADES'!$A$4:$A$26,0)),"")))</f>
        <v/>
      </c>
      <c r="AP445" s="4" t="n"/>
      <c r="AQ445" s="4" t="n"/>
      <c r="AR445" s="4" t="n"/>
      <c r="AS445" s="24">
        <f>IF($AR445="","",HYPERLINK(p_ruta_base_checklists&amp;$AR445,"abrir"))</f>
        <v/>
      </c>
      <c r="AT445" s="4" t="n"/>
      <c r="AU445" s="24">
        <f>IF($A445="","",$A445&amp;IF($B445="","0010",$B445))</f>
        <v/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41" t="n"/>
      <c r="K446" s="5" t="n"/>
      <c r="L446" s="18" t="n"/>
      <c r="M446" s="24">
        <f>IF($A446="","",IFERROR(INDEX('AJUSTES'!$B$4:$B$303,MATCH($AU446,'AJUSTES'!$A$4:$A$303,0)),IF($K446="","",$K446)))</f>
        <v/>
      </c>
      <c r="N446" s="24">
        <f>IF($A446="","",IFERROR(INDEX('CAT_ESTADOS_ERP'!$B$4:$B$22,MATCH(IFERROR(INDEX('2_IMPORTAR_EJECUCION'!$C$9:$C$1208,MATCH($AU446,'2_IMPORTAR_EJECUCION'!$J$9:$J$1208,0)),""),'CAT_ESTADOS_ERP'!$A$4:$A$22,0)),"Pendiente"))</f>
        <v/>
      </c>
      <c r="O446" s="24">
        <f>IF($J446="","",YEAR($J446+4-WEEKDAY($J446,2))&amp;"-S"&amp;TEXT(_xlfn.ISOWEEKNUM($J446),"00"))</f>
        <v/>
      </c>
      <c r="P446" s="24">
        <f>IF($J446="","",YEAR($J446))</f>
        <v/>
      </c>
      <c r="Q446" s="24">
        <f>IF($J446="","",MONTH($J446))</f>
        <v/>
      </c>
      <c r="R446" s="24">
        <f>IF($J446="","",$P446&amp;"-"&amp;TEXT($Q446,"00"))</f>
        <v/>
      </c>
      <c r="S446" s="24">
        <f>IF($J446="","",INDEX(lista_dias,WEEKDAY($J446,2)))</f>
        <v/>
      </c>
      <c r="T446" s="24">
        <f>IF($J446="","",IFERROR(INDEX('CALENDARIO'!$C$15:$C$214,MATCH(TEXT($J446,"yyyy-mm-dd")&amp;"|"&amp;$Y446&amp;"|"&amp;$Z446,'CALENDARIO'!$G$15:$G$214,0)),IFERROR(INDEX('CALENDARIO'!$C$15:$C$214,MATCH(TEXT($J446,"yyyy-mm-dd")&amp;"|"&amp;$Y446&amp;"|",'CALENDARIO'!$G$15:$G$214,0)),IFERROR(INDEX('CALENDARIO'!$C$15:$C$214,MATCH(TEXT($J446,"yyyy-mm-dd")&amp;"||",'CALENDARIO'!$G$15:$G$214,0)),INDEX(patronHabil,WEEKDAY($J446,2))))))</f>
        <v/>
      </c>
      <c r="U446" s="24">
        <f>IF($I446="","",IFERROR(INDEX('CAT_TIPOS_OT'!$C$4:$C$23,MATCH($I446,'CAT_TIPOS_OT'!$A$4:$A$23,0)),"sin_clasificar"))</f>
        <v/>
      </c>
      <c r="V446" s="24">
        <f>IF($I446="","",IF(IFERROR(INDEX('CAT_TIPOS_OT'!$D$4:$D$23,MATCH($I446,'CAT_TIPOS_OT'!$A$4:$A$23,0)),"SIN CLASIFICAR")="","SIN CLASIFICAR",IFERROR(INDEX('CAT_TIPOS_OT'!$D$4:$D$23,MATCH($I446,'CAT_TIPOS_OT'!$A$4:$A$23,0)),"SIN CLASIFICAR")))</f>
        <v/>
      </c>
      <c r="W446" s="24">
        <f>IF($H446="","",IF(IFERROR(INDEX('CAT_ACTIVIDADES'!$F$4:$F$26,MATCH($H446,'CAT_ACTIVIDADES'!$A$4:$A$26,0)),"")=0,"",IFERROR(INDEX('CAT_ACTIVIDADES'!$F$4:$F$26,MATCH($H446,'CAT_ACTIVIDADES'!$A$4:$A$26,0)),"")))</f>
        <v/>
      </c>
      <c r="X446" s="24">
        <f>IF($F446="","",IFERROR(INDEX('CAT_CENTROS_COSTO'!$F$4:$F$28,MATCH($F446,'CAT_CENTROS_COSTO'!$A$4:$A$28,0)),"(sin catálogo)"))</f>
        <v/>
      </c>
      <c r="Y446" s="24">
        <f>IF($F446="","",IFERROR(INDEX('CAT_CENTROS_COSTO'!$D$4:$D$28,MATCH($F446,'CAT_CENTROS_COSTO'!$A$4:$A$28,0)),"(sin catálogo)"))</f>
        <v/>
      </c>
      <c r="Z446" s="24">
        <f>IF($F446="","",IF((IFERROR(INDEX('CAT_CENTROS_COSTO'!$E$4:$E$28,MATCH($F446,'CAT_CENTROS_COSTO'!$A$4:$A$28,0)),""))&lt;&gt;"",IFERROR(INDEX('CAT_CENTROS_COSTO'!$E$4:$E$28,MATCH($F446,'CAT_CENTROS_COSTO'!$A$4:$A$28,0)),""),$Y446))</f>
        <v/>
      </c>
      <c r="AA446" s="24">
        <f>IF($F446="","",IFERROR(INDEX('CAT_CENTROS_COSTO'!$G$4:$G$28,MATCH($F446,'CAT_CENTROS_COSTO'!$A$4:$A$28,0)),"(sin catálogo)"))</f>
        <v/>
      </c>
      <c r="AB446" s="24">
        <f>IF($G446="","",IFERROR(INDEX('CAT_PUESTOS'!$B$4:$B$23,MATCH($G446,'CAT_PUESTOS'!$A$4:$A$23,0)),"(sin catálogo)"))</f>
        <v/>
      </c>
      <c r="AC446" s="24">
        <f>IF($H446="","",IFERROR(INDEX('CAT_ACTIVIDADES'!$B$4:$B$26,MATCH($H446,'CAT_ACTIVIDADES'!$A$4:$A$26,0)),"(sin catálogo)"))</f>
        <v/>
      </c>
      <c r="AD446" s="26">
        <f>IF($J446="","",TODAY()-$J446)</f>
        <v/>
      </c>
      <c r="AE446" s="26">
        <f>IF($J446="","",IF($J446&lt;=TODAY(),COUNTIFS(cal_fechas,"&gt;="&amp;$J446,cal_fechas,"&lt;"&amp;TODAY(),cal_habil,"sí"),-COUNTIFS(cal_fechas,"&gt;="&amp;TODAY(),cal_fechas,"&lt;"&amp;$J446,cal_habil,"sí")))</f>
        <v/>
      </c>
      <c r="AF446" s="24">
        <f>IF($AE446="","",IF($AE446&lt;0,"FUTURO",IF($AE446&gt;p_dias_backlog_max,"BACKLOG","MES CORRIENTE")))</f>
        <v/>
      </c>
      <c r="AG446" s="24">
        <f>IF($AE446="",FALSE,AND($AE446&gt;p_dias_backlog_min,$AE446&lt;=p_dias_backlog_max))</f>
        <v/>
      </c>
      <c r="AH446" s="4" t="n"/>
      <c r="AI446" s="24">
        <f>IF($AH446="","",IF((IFERROR(INDEX('ASIGNACIONES'!$J$4:$J$451,MATCH($O446&amp;"|"&amp;$S446&amp;"|"&amp;$AH446,'ASIGNACIONES'!$N$4:$N$451,0)),""))=0,"",IFERROR(INDEX('ASIGNACIONES'!$J$4:$J$451,MATCH($O446&amp;"|"&amp;$S446&amp;"|"&amp;$AH446,'ASIGNACIONES'!$N$4:$N$451,0)),"")))</f>
        <v/>
      </c>
      <c r="AJ446" s="42">
        <f>IF($AH446="","",SUMIFS('ORDENES'!$M$4:$M$1203,'ORDENES'!$AH$4:$AH$1203,$AH446,'ORDENES'!$O$4:$O$1203,$O446,'ORDENES'!$S$4:$S$1203,$S446))</f>
        <v/>
      </c>
      <c r="AK446" s="42">
        <f>IF($AJ446="","",p_factor_productividad*IFERROR(INDEX('ASIGNACIONES'!$M$4:$M$451,MATCH($O446&amp;"|"&amp;$S446&amp;"|"&amp;$AH446,'ASIGNACIONES'!$N$4:$N$451,0)),0)-$AJ446)</f>
        <v/>
      </c>
      <c r="AL446" s="32">
        <f>IF($A446="","",IFERROR(INDEX('2_IMPORTAR_EJECUCION'!$F$9:$F$1208,MATCH($AU446,'2_IMPORTAR_EJECUCION'!$J$9:$J$1208,0)),0))</f>
        <v/>
      </c>
      <c r="AM446" s="32">
        <f>IF($A446="","",MAX(0,IFERROR(INDEX('2_IMPORTAR_EJECUCION'!$H$9:$H$1208,MATCH($AU446,'2_IMPORTAR_EJECUCION'!$J$9:$J$1208,0)),0)-$AL446))</f>
        <v/>
      </c>
      <c r="AN446" s="32">
        <f>IF($A446="","",$AL446+$AM446)</f>
        <v/>
      </c>
      <c r="AO446" s="24">
        <f>IF($A446="","",IF(OR((IFERROR(INDEX('CAT_ACTIVIDADES'!$D$4:$D$26,MATCH($H446,'CAT_ACTIVIDADES'!$A$4:$A$26,0)),""))=0,(IFERROR(INDEX('CAT_ACTIVIDADES'!$D$4:$D$26,MATCH($H446,'CAT_ACTIVIDADES'!$A$4:$A$26,0)),""))=""),"SIN CLASIFICAR",IFERROR(INDEX('CAT_ACTIVIDADES'!$D$4:$D$26,MATCH($H446,'CAT_ACTIVIDADES'!$A$4:$A$26,0)),"")))</f>
        <v/>
      </c>
      <c r="AP446" s="4" t="n"/>
      <c r="AQ446" s="4" t="n"/>
      <c r="AR446" s="4" t="n"/>
      <c r="AS446" s="24">
        <f>IF($AR446="","",HYPERLINK(p_ruta_base_checklists&amp;$AR446,"abrir"))</f>
        <v/>
      </c>
      <c r="AT446" s="4" t="n"/>
      <c r="AU446" s="24">
        <f>IF($A446="","",$A446&amp;IF($B446="","0010",$B446))</f>
        <v/>
      </c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41" t="n"/>
      <c r="K447" s="5" t="n"/>
      <c r="L447" s="18" t="n"/>
      <c r="M447" s="24">
        <f>IF($A447="","",IFERROR(INDEX('AJUSTES'!$B$4:$B$303,MATCH($AU447,'AJUSTES'!$A$4:$A$303,0)),IF($K447="","",$K447)))</f>
        <v/>
      </c>
      <c r="N447" s="24">
        <f>IF($A447="","",IFERROR(INDEX('CAT_ESTADOS_ERP'!$B$4:$B$22,MATCH(IFERROR(INDEX('2_IMPORTAR_EJECUCION'!$C$9:$C$1208,MATCH($AU447,'2_IMPORTAR_EJECUCION'!$J$9:$J$1208,0)),""),'CAT_ESTADOS_ERP'!$A$4:$A$22,0)),"Pendiente"))</f>
        <v/>
      </c>
      <c r="O447" s="24">
        <f>IF($J447="","",YEAR($J447+4-WEEKDAY($J447,2))&amp;"-S"&amp;TEXT(_xlfn.ISOWEEKNUM($J447),"00"))</f>
        <v/>
      </c>
      <c r="P447" s="24">
        <f>IF($J447="","",YEAR($J447))</f>
        <v/>
      </c>
      <c r="Q447" s="24">
        <f>IF($J447="","",MONTH($J447))</f>
        <v/>
      </c>
      <c r="R447" s="24">
        <f>IF($J447="","",$P447&amp;"-"&amp;TEXT($Q447,"00"))</f>
        <v/>
      </c>
      <c r="S447" s="24">
        <f>IF($J447="","",INDEX(lista_dias,WEEKDAY($J447,2)))</f>
        <v/>
      </c>
      <c r="T447" s="24">
        <f>IF($J447="","",IFERROR(INDEX('CALENDARIO'!$C$15:$C$214,MATCH(TEXT($J447,"yyyy-mm-dd")&amp;"|"&amp;$Y447&amp;"|"&amp;$Z447,'CALENDARIO'!$G$15:$G$214,0)),IFERROR(INDEX('CALENDARIO'!$C$15:$C$214,MATCH(TEXT($J447,"yyyy-mm-dd")&amp;"|"&amp;$Y447&amp;"|",'CALENDARIO'!$G$15:$G$214,0)),IFERROR(INDEX('CALENDARIO'!$C$15:$C$214,MATCH(TEXT($J447,"yyyy-mm-dd")&amp;"||",'CALENDARIO'!$G$15:$G$214,0)),INDEX(patronHabil,WEEKDAY($J447,2))))))</f>
        <v/>
      </c>
      <c r="U447" s="24">
        <f>IF($I447="","",IFERROR(INDEX('CAT_TIPOS_OT'!$C$4:$C$23,MATCH($I447,'CAT_TIPOS_OT'!$A$4:$A$23,0)),"sin_clasificar"))</f>
        <v/>
      </c>
      <c r="V447" s="24">
        <f>IF($I447="","",IF(IFERROR(INDEX('CAT_TIPOS_OT'!$D$4:$D$23,MATCH($I447,'CAT_TIPOS_OT'!$A$4:$A$23,0)),"SIN CLASIFICAR")="","SIN CLASIFICAR",IFERROR(INDEX('CAT_TIPOS_OT'!$D$4:$D$23,MATCH($I447,'CAT_TIPOS_OT'!$A$4:$A$23,0)),"SIN CLASIFICAR")))</f>
        <v/>
      </c>
      <c r="W447" s="24">
        <f>IF($H447="","",IF(IFERROR(INDEX('CAT_ACTIVIDADES'!$F$4:$F$26,MATCH($H447,'CAT_ACTIVIDADES'!$A$4:$A$26,0)),"")=0,"",IFERROR(INDEX('CAT_ACTIVIDADES'!$F$4:$F$26,MATCH($H447,'CAT_ACTIVIDADES'!$A$4:$A$26,0)),"")))</f>
        <v/>
      </c>
      <c r="X447" s="24">
        <f>IF($F447="","",IFERROR(INDEX('CAT_CENTROS_COSTO'!$F$4:$F$28,MATCH($F447,'CAT_CENTROS_COSTO'!$A$4:$A$28,0)),"(sin catálogo)"))</f>
        <v/>
      </c>
      <c r="Y447" s="24">
        <f>IF($F447="","",IFERROR(INDEX('CAT_CENTROS_COSTO'!$D$4:$D$28,MATCH($F447,'CAT_CENTROS_COSTO'!$A$4:$A$28,0)),"(sin catálogo)"))</f>
        <v/>
      </c>
      <c r="Z447" s="24">
        <f>IF($F447="","",IF((IFERROR(INDEX('CAT_CENTROS_COSTO'!$E$4:$E$28,MATCH($F447,'CAT_CENTROS_COSTO'!$A$4:$A$28,0)),""))&lt;&gt;"",IFERROR(INDEX('CAT_CENTROS_COSTO'!$E$4:$E$28,MATCH($F447,'CAT_CENTROS_COSTO'!$A$4:$A$28,0)),""),$Y447))</f>
        <v/>
      </c>
      <c r="AA447" s="24">
        <f>IF($F447="","",IFERROR(INDEX('CAT_CENTROS_COSTO'!$G$4:$G$28,MATCH($F447,'CAT_CENTROS_COSTO'!$A$4:$A$28,0)),"(sin catálogo)"))</f>
        <v/>
      </c>
      <c r="AB447" s="24">
        <f>IF($G447="","",IFERROR(INDEX('CAT_PUESTOS'!$B$4:$B$23,MATCH($G447,'CAT_PUESTOS'!$A$4:$A$23,0)),"(sin catálogo)"))</f>
        <v/>
      </c>
      <c r="AC447" s="24">
        <f>IF($H447="","",IFERROR(INDEX('CAT_ACTIVIDADES'!$B$4:$B$26,MATCH($H447,'CAT_ACTIVIDADES'!$A$4:$A$26,0)),"(sin catálogo)"))</f>
        <v/>
      </c>
      <c r="AD447" s="26">
        <f>IF($J447="","",TODAY()-$J447)</f>
        <v/>
      </c>
      <c r="AE447" s="26">
        <f>IF($J447="","",IF($J447&lt;=TODAY(),COUNTIFS(cal_fechas,"&gt;="&amp;$J447,cal_fechas,"&lt;"&amp;TODAY(),cal_habil,"sí"),-COUNTIFS(cal_fechas,"&gt;="&amp;TODAY(),cal_fechas,"&lt;"&amp;$J447,cal_habil,"sí")))</f>
        <v/>
      </c>
      <c r="AF447" s="24">
        <f>IF($AE447="","",IF($AE447&lt;0,"FUTURO",IF($AE447&gt;p_dias_backlog_max,"BACKLOG","MES CORRIENTE")))</f>
        <v/>
      </c>
      <c r="AG447" s="24">
        <f>IF($AE447="",FALSE,AND($AE447&gt;p_dias_backlog_min,$AE447&lt;=p_dias_backlog_max))</f>
        <v/>
      </c>
      <c r="AH447" s="4" t="n"/>
      <c r="AI447" s="24">
        <f>IF($AH447="","",IF((IFERROR(INDEX('ASIGNACIONES'!$J$4:$J$451,MATCH($O447&amp;"|"&amp;$S447&amp;"|"&amp;$AH447,'ASIGNACIONES'!$N$4:$N$451,0)),""))=0,"",IFERROR(INDEX('ASIGNACIONES'!$J$4:$J$451,MATCH($O447&amp;"|"&amp;$S447&amp;"|"&amp;$AH447,'ASIGNACIONES'!$N$4:$N$451,0)),"")))</f>
        <v/>
      </c>
      <c r="AJ447" s="42">
        <f>IF($AH447="","",SUMIFS('ORDENES'!$M$4:$M$1203,'ORDENES'!$AH$4:$AH$1203,$AH447,'ORDENES'!$O$4:$O$1203,$O447,'ORDENES'!$S$4:$S$1203,$S447))</f>
        <v/>
      </c>
      <c r="AK447" s="42">
        <f>IF($AJ447="","",p_factor_productividad*IFERROR(INDEX('ASIGNACIONES'!$M$4:$M$451,MATCH($O447&amp;"|"&amp;$S447&amp;"|"&amp;$AH447,'ASIGNACIONES'!$N$4:$N$451,0)),0)-$AJ447)</f>
        <v/>
      </c>
      <c r="AL447" s="32">
        <f>IF($A447="","",IFERROR(INDEX('2_IMPORTAR_EJECUCION'!$F$9:$F$1208,MATCH($AU447,'2_IMPORTAR_EJECUCION'!$J$9:$J$1208,0)),0))</f>
        <v/>
      </c>
      <c r="AM447" s="32">
        <f>IF($A447="","",MAX(0,IFERROR(INDEX('2_IMPORTAR_EJECUCION'!$H$9:$H$1208,MATCH($AU447,'2_IMPORTAR_EJECUCION'!$J$9:$J$1208,0)),0)-$AL447))</f>
        <v/>
      </c>
      <c r="AN447" s="32">
        <f>IF($A447="","",$AL447+$AM447)</f>
        <v/>
      </c>
      <c r="AO447" s="24">
        <f>IF($A447="","",IF(OR((IFERROR(INDEX('CAT_ACTIVIDADES'!$D$4:$D$26,MATCH($H447,'CAT_ACTIVIDADES'!$A$4:$A$26,0)),""))=0,(IFERROR(INDEX('CAT_ACTIVIDADES'!$D$4:$D$26,MATCH($H447,'CAT_ACTIVIDADES'!$A$4:$A$26,0)),""))=""),"SIN CLASIFICAR",IFERROR(INDEX('CAT_ACTIVIDADES'!$D$4:$D$26,MATCH($H447,'CAT_ACTIVIDADES'!$A$4:$A$26,0)),"")))</f>
        <v/>
      </c>
      <c r="AP447" s="4" t="n"/>
      <c r="AQ447" s="4" t="n"/>
      <c r="AR447" s="4" t="n"/>
      <c r="AS447" s="24">
        <f>IF($AR447="","",HYPERLINK(p_ruta_base_checklists&amp;$AR447,"abrir"))</f>
        <v/>
      </c>
      <c r="AT447" s="4" t="n"/>
      <c r="AU447" s="24">
        <f>IF($A447="","",$A447&amp;IF($B447="","0010",$B447))</f>
        <v/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41" t="n"/>
      <c r="K448" s="5" t="n"/>
      <c r="L448" s="18" t="n"/>
      <c r="M448" s="24">
        <f>IF($A448="","",IFERROR(INDEX('AJUSTES'!$B$4:$B$303,MATCH($AU448,'AJUSTES'!$A$4:$A$303,0)),IF($K448="","",$K448)))</f>
        <v/>
      </c>
      <c r="N448" s="24">
        <f>IF($A448="","",IFERROR(INDEX('CAT_ESTADOS_ERP'!$B$4:$B$22,MATCH(IFERROR(INDEX('2_IMPORTAR_EJECUCION'!$C$9:$C$1208,MATCH($AU448,'2_IMPORTAR_EJECUCION'!$J$9:$J$1208,0)),""),'CAT_ESTADOS_ERP'!$A$4:$A$22,0)),"Pendiente"))</f>
        <v/>
      </c>
      <c r="O448" s="24">
        <f>IF($J448="","",YEAR($J448+4-WEEKDAY($J448,2))&amp;"-S"&amp;TEXT(_xlfn.ISOWEEKNUM($J448),"00"))</f>
        <v/>
      </c>
      <c r="P448" s="24">
        <f>IF($J448="","",YEAR($J448))</f>
        <v/>
      </c>
      <c r="Q448" s="24">
        <f>IF($J448="","",MONTH($J448))</f>
        <v/>
      </c>
      <c r="R448" s="24">
        <f>IF($J448="","",$P448&amp;"-"&amp;TEXT($Q448,"00"))</f>
        <v/>
      </c>
      <c r="S448" s="24">
        <f>IF($J448="","",INDEX(lista_dias,WEEKDAY($J448,2)))</f>
        <v/>
      </c>
      <c r="T448" s="24">
        <f>IF($J448="","",IFERROR(INDEX('CALENDARIO'!$C$15:$C$214,MATCH(TEXT($J448,"yyyy-mm-dd")&amp;"|"&amp;$Y448&amp;"|"&amp;$Z448,'CALENDARIO'!$G$15:$G$214,0)),IFERROR(INDEX('CALENDARIO'!$C$15:$C$214,MATCH(TEXT($J448,"yyyy-mm-dd")&amp;"|"&amp;$Y448&amp;"|",'CALENDARIO'!$G$15:$G$214,0)),IFERROR(INDEX('CALENDARIO'!$C$15:$C$214,MATCH(TEXT($J448,"yyyy-mm-dd")&amp;"||",'CALENDARIO'!$G$15:$G$214,0)),INDEX(patronHabil,WEEKDAY($J448,2))))))</f>
        <v/>
      </c>
      <c r="U448" s="24">
        <f>IF($I448="","",IFERROR(INDEX('CAT_TIPOS_OT'!$C$4:$C$23,MATCH($I448,'CAT_TIPOS_OT'!$A$4:$A$23,0)),"sin_clasificar"))</f>
        <v/>
      </c>
      <c r="V448" s="24">
        <f>IF($I448="","",IF(IFERROR(INDEX('CAT_TIPOS_OT'!$D$4:$D$23,MATCH($I448,'CAT_TIPOS_OT'!$A$4:$A$23,0)),"SIN CLASIFICAR")="","SIN CLASIFICAR",IFERROR(INDEX('CAT_TIPOS_OT'!$D$4:$D$23,MATCH($I448,'CAT_TIPOS_OT'!$A$4:$A$23,0)),"SIN CLASIFICAR")))</f>
        <v/>
      </c>
      <c r="W448" s="24">
        <f>IF($H448="","",IF(IFERROR(INDEX('CAT_ACTIVIDADES'!$F$4:$F$26,MATCH($H448,'CAT_ACTIVIDADES'!$A$4:$A$26,0)),"")=0,"",IFERROR(INDEX('CAT_ACTIVIDADES'!$F$4:$F$26,MATCH($H448,'CAT_ACTIVIDADES'!$A$4:$A$26,0)),"")))</f>
        <v/>
      </c>
      <c r="X448" s="24">
        <f>IF($F448="","",IFERROR(INDEX('CAT_CENTROS_COSTO'!$F$4:$F$28,MATCH($F448,'CAT_CENTROS_COSTO'!$A$4:$A$28,0)),"(sin catálogo)"))</f>
        <v/>
      </c>
      <c r="Y448" s="24">
        <f>IF($F448="","",IFERROR(INDEX('CAT_CENTROS_COSTO'!$D$4:$D$28,MATCH($F448,'CAT_CENTROS_COSTO'!$A$4:$A$28,0)),"(sin catálogo)"))</f>
        <v/>
      </c>
      <c r="Z448" s="24">
        <f>IF($F448="","",IF((IFERROR(INDEX('CAT_CENTROS_COSTO'!$E$4:$E$28,MATCH($F448,'CAT_CENTROS_COSTO'!$A$4:$A$28,0)),""))&lt;&gt;"",IFERROR(INDEX('CAT_CENTROS_COSTO'!$E$4:$E$28,MATCH($F448,'CAT_CENTROS_COSTO'!$A$4:$A$28,0)),""),$Y448))</f>
        <v/>
      </c>
      <c r="AA448" s="24">
        <f>IF($F448="","",IFERROR(INDEX('CAT_CENTROS_COSTO'!$G$4:$G$28,MATCH($F448,'CAT_CENTROS_COSTO'!$A$4:$A$28,0)),"(sin catálogo)"))</f>
        <v/>
      </c>
      <c r="AB448" s="24">
        <f>IF($G448="","",IFERROR(INDEX('CAT_PUESTOS'!$B$4:$B$23,MATCH($G448,'CAT_PUESTOS'!$A$4:$A$23,0)),"(sin catálogo)"))</f>
        <v/>
      </c>
      <c r="AC448" s="24">
        <f>IF($H448="","",IFERROR(INDEX('CAT_ACTIVIDADES'!$B$4:$B$26,MATCH($H448,'CAT_ACTIVIDADES'!$A$4:$A$26,0)),"(sin catálogo)"))</f>
        <v/>
      </c>
      <c r="AD448" s="26">
        <f>IF($J448="","",TODAY()-$J448)</f>
        <v/>
      </c>
      <c r="AE448" s="26">
        <f>IF($J448="","",IF($J448&lt;=TODAY(),COUNTIFS(cal_fechas,"&gt;="&amp;$J448,cal_fechas,"&lt;"&amp;TODAY(),cal_habil,"sí"),-COUNTIFS(cal_fechas,"&gt;="&amp;TODAY(),cal_fechas,"&lt;"&amp;$J448,cal_habil,"sí")))</f>
        <v/>
      </c>
      <c r="AF448" s="24">
        <f>IF($AE448="","",IF($AE448&lt;0,"FUTURO",IF($AE448&gt;p_dias_backlog_max,"BACKLOG","MES CORRIENTE")))</f>
        <v/>
      </c>
      <c r="AG448" s="24">
        <f>IF($AE448="",FALSE,AND($AE448&gt;p_dias_backlog_min,$AE448&lt;=p_dias_backlog_max))</f>
        <v/>
      </c>
      <c r="AH448" s="4" t="n"/>
      <c r="AI448" s="24">
        <f>IF($AH448="","",IF((IFERROR(INDEX('ASIGNACIONES'!$J$4:$J$451,MATCH($O448&amp;"|"&amp;$S448&amp;"|"&amp;$AH448,'ASIGNACIONES'!$N$4:$N$451,0)),""))=0,"",IFERROR(INDEX('ASIGNACIONES'!$J$4:$J$451,MATCH($O448&amp;"|"&amp;$S448&amp;"|"&amp;$AH448,'ASIGNACIONES'!$N$4:$N$451,0)),"")))</f>
        <v/>
      </c>
      <c r="AJ448" s="42">
        <f>IF($AH448="","",SUMIFS('ORDENES'!$M$4:$M$1203,'ORDENES'!$AH$4:$AH$1203,$AH448,'ORDENES'!$O$4:$O$1203,$O448,'ORDENES'!$S$4:$S$1203,$S448))</f>
        <v/>
      </c>
      <c r="AK448" s="42">
        <f>IF($AJ448="","",p_factor_productividad*IFERROR(INDEX('ASIGNACIONES'!$M$4:$M$451,MATCH($O448&amp;"|"&amp;$S448&amp;"|"&amp;$AH448,'ASIGNACIONES'!$N$4:$N$451,0)),0)-$AJ448)</f>
        <v/>
      </c>
      <c r="AL448" s="32">
        <f>IF($A448="","",IFERROR(INDEX('2_IMPORTAR_EJECUCION'!$F$9:$F$1208,MATCH($AU448,'2_IMPORTAR_EJECUCION'!$J$9:$J$1208,0)),0))</f>
        <v/>
      </c>
      <c r="AM448" s="32">
        <f>IF($A448="","",MAX(0,IFERROR(INDEX('2_IMPORTAR_EJECUCION'!$H$9:$H$1208,MATCH($AU448,'2_IMPORTAR_EJECUCION'!$J$9:$J$1208,0)),0)-$AL448))</f>
        <v/>
      </c>
      <c r="AN448" s="32">
        <f>IF($A448="","",$AL448+$AM448)</f>
        <v/>
      </c>
      <c r="AO448" s="24">
        <f>IF($A448="","",IF(OR((IFERROR(INDEX('CAT_ACTIVIDADES'!$D$4:$D$26,MATCH($H448,'CAT_ACTIVIDADES'!$A$4:$A$26,0)),""))=0,(IFERROR(INDEX('CAT_ACTIVIDADES'!$D$4:$D$26,MATCH($H448,'CAT_ACTIVIDADES'!$A$4:$A$26,0)),""))=""),"SIN CLASIFICAR",IFERROR(INDEX('CAT_ACTIVIDADES'!$D$4:$D$26,MATCH($H448,'CAT_ACTIVIDADES'!$A$4:$A$26,0)),"")))</f>
        <v/>
      </c>
      <c r="AP448" s="4" t="n"/>
      <c r="AQ448" s="4" t="n"/>
      <c r="AR448" s="4" t="n"/>
      <c r="AS448" s="24">
        <f>IF($AR448="","",HYPERLINK(p_ruta_base_checklists&amp;$AR448,"abrir"))</f>
        <v/>
      </c>
      <c r="AT448" s="4" t="n"/>
      <c r="AU448" s="24">
        <f>IF($A448="","",$A448&amp;IF($B448="","0010",$B448))</f>
        <v/>
      </c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41" t="n"/>
      <c r="K449" s="5" t="n"/>
      <c r="L449" s="18" t="n"/>
      <c r="M449" s="24">
        <f>IF($A449="","",IFERROR(INDEX('AJUSTES'!$B$4:$B$303,MATCH($AU449,'AJUSTES'!$A$4:$A$303,0)),IF($K449="","",$K449)))</f>
        <v/>
      </c>
      <c r="N449" s="24">
        <f>IF($A449="","",IFERROR(INDEX('CAT_ESTADOS_ERP'!$B$4:$B$22,MATCH(IFERROR(INDEX('2_IMPORTAR_EJECUCION'!$C$9:$C$1208,MATCH($AU449,'2_IMPORTAR_EJECUCION'!$J$9:$J$1208,0)),""),'CAT_ESTADOS_ERP'!$A$4:$A$22,0)),"Pendiente"))</f>
        <v/>
      </c>
      <c r="O449" s="24">
        <f>IF($J449="","",YEAR($J449+4-WEEKDAY($J449,2))&amp;"-S"&amp;TEXT(_xlfn.ISOWEEKNUM($J449),"00"))</f>
        <v/>
      </c>
      <c r="P449" s="24">
        <f>IF($J449="","",YEAR($J449))</f>
        <v/>
      </c>
      <c r="Q449" s="24">
        <f>IF($J449="","",MONTH($J449))</f>
        <v/>
      </c>
      <c r="R449" s="24">
        <f>IF($J449="","",$P449&amp;"-"&amp;TEXT($Q449,"00"))</f>
        <v/>
      </c>
      <c r="S449" s="24">
        <f>IF($J449="","",INDEX(lista_dias,WEEKDAY($J449,2)))</f>
        <v/>
      </c>
      <c r="T449" s="24">
        <f>IF($J449="","",IFERROR(INDEX('CALENDARIO'!$C$15:$C$214,MATCH(TEXT($J449,"yyyy-mm-dd")&amp;"|"&amp;$Y449&amp;"|"&amp;$Z449,'CALENDARIO'!$G$15:$G$214,0)),IFERROR(INDEX('CALENDARIO'!$C$15:$C$214,MATCH(TEXT($J449,"yyyy-mm-dd")&amp;"|"&amp;$Y449&amp;"|",'CALENDARIO'!$G$15:$G$214,0)),IFERROR(INDEX('CALENDARIO'!$C$15:$C$214,MATCH(TEXT($J449,"yyyy-mm-dd")&amp;"||",'CALENDARIO'!$G$15:$G$214,0)),INDEX(patronHabil,WEEKDAY($J449,2))))))</f>
        <v/>
      </c>
      <c r="U449" s="24">
        <f>IF($I449="","",IFERROR(INDEX('CAT_TIPOS_OT'!$C$4:$C$23,MATCH($I449,'CAT_TIPOS_OT'!$A$4:$A$23,0)),"sin_clasificar"))</f>
        <v/>
      </c>
      <c r="V449" s="24">
        <f>IF($I449="","",IF(IFERROR(INDEX('CAT_TIPOS_OT'!$D$4:$D$23,MATCH($I449,'CAT_TIPOS_OT'!$A$4:$A$23,0)),"SIN CLASIFICAR")="","SIN CLASIFICAR",IFERROR(INDEX('CAT_TIPOS_OT'!$D$4:$D$23,MATCH($I449,'CAT_TIPOS_OT'!$A$4:$A$23,0)),"SIN CLASIFICAR")))</f>
        <v/>
      </c>
      <c r="W449" s="24">
        <f>IF($H449="","",IF(IFERROR(INDEX('CAT_ACTIVIDADES'!$F$4:$F$26,MATCH($H449,'CAT_ACTIVIDADES'!$A$4:$A$26,0)),"")=0,"",IFERROR(INDEX('CAT_ACTIVIDADES'!$F$4:$F$26,MATCH($H449,'CAT_ACTIVIDADES'!$A$4:$A$26,0)),"")))</f>
        <v/>
      </c>
      <c r="X449" s="24">
        <f>IF($F449="","",IFERROR(INDEX('CAT_CENTROS_COSTO'!$F$4:$F$28,MATCH($F449,'CAT_CENTROS_COSTO'!$A$4:$A$28,0)),"(sin catálogo)"))</f>
        <v/>
      </c>
      <c r="Y449" s="24">
        <f>IF($F449="","",IFERROR(INDEX('CAT_CENTROS_COSTO'!$D$4:$D$28,MATCH($F449,'CAT_CENTROS_COSTO'!$A$4:$A$28,0)),"(sin catálogo)"))</f>
        <v/>
      </c>
      <c r="Z449" s="24">
        <f>IF($F449="","",IF((IFERROR(INDEX('CAT_CENTROS_COSTO'!$E$4:$E$28,MATCH($F449,'CAT_CENTROS_COSTO'!$A$4:$A$28,0)),""))&lt;&gt;"",IFERROR(INDEX('CAT_CENTROS_COSTO'!$E$4:$E$28,MATCH($F449,'CAT_CENTROS_COSTO'!$A$4:$A$28,0)),""),$Y449))</f>
        <v/>
      </c>
      <c r="AA449" s="24">
        <f>IF($F449="","",IFERROR(INDEX('CAT_CENTROS_COSTO'!$G$4:$G$28,MATCH($F449,'CAT_CENTROS_COSTO'!$A$4:$A$28,0)),"(sin catálogo)"))</f>
        <v/>
      </c>
      <c r="AB449" s="24">
        <f>IF($G449="","",IFERROR(INDEX('CAT_PUESTOS'!$B$4:$B$23,MATCH($G449,'CAT_PUESTOS'!$A$4:$A$23,0)),"(sin catálogo)"))</f>
        <v/>
      </c>
      <c r="AC449" s="24">
        <f>IF($H449="","",IFERROR(INDEX('CAT_ACTIVIDADES'!$B$4:$B$26,MATCH($H449,'CAT_ACTIVIDADES'!$A$4:$A$26,0)),"(sin catálogo)"))</f>
        <v/>
      </c>
      <c r="AD449" s="26">
        <f>IF($J449="","",TODAY()-$J449)</f>
        <v/>
      </c>
      <c r="AE449" s="26">
        <f>IF($J449="","",IF($J449&lt;=TODAY(),COUNTIFS(cal_fechas,"&gt;="&amp;$J449,cal_fechas,"&lt;"&amp;TODAY(),cal_habil,"sí"),-COUNTIFS(cal_fechas,"&gt;="&amp;TODAY(),cal_fechas,"&lt;"&amp;$J449,cal_habil,"sí")))</f>
        <v/>
      </c>
      <c r="AF449" s="24">
        <f>IF($AE449="","",IF($AE449&lt;0,"FUTURO",IF($AE449&gt;p_dias_backlog_max,"BACKLOG","MES CORRIENTE")))</f>
        <v/>
      </c>
      <c r="AG449" s="24">
        <f>IF($AE449="",FALSE,AND($AE449&gt;p_dias_backlog_min,$AE449&lt;=p_dias_backlog_max))</f>
        <v/>
      </c>
      <c r="AH449" s="4" t="n"/>
      <c r="AI449" s="24">
        <f>IF($AH449="","",IF((IFERROR(INDEX('ASIGNACIONES'!$J$4:$J$451,MATCH($O449&amp;"|"&amp;$S449&amp;"|"&amp;$AH449,'ASIGNACIONES'!$N$4:$N$451,0)),""))=0,"",IFERROR(INDEX('ASIGNACIONES'!$J$4:$J$451,MATCH($O449&amp;"|"&amp;$S449&amp;"|"&amp;$AH449,'ASIGNACIONES'!$N$4:$N$451,0)),"")))</f>
        <v/>
      </c>
      <c r="AJ449" s="42">
        <f>IF($AH449="","",SUMIFS('ORDENES'!$M$4:$M$1203,'ORDENES'!$AH$4:$AH$1203,$AH449,'ORDENES'!$O$4:$O$1203,$O449,'ORDENES'!$S$4:$S$1203,$S449))</f>
        <v/>
      </c>
      <c r="AK449" s="42">
        <f>IF($AJ449="","",p_factor_productividad*IFERROR(INDEX('ASIGNACIONES'!$M$4:$M$451,MATCH($O449&amp;"|"&amp;$S449&amp;"|"&amp;$AH449,'ASIGNACIONES'!$N$4:$N$451,0)),0)-$AJ449)</f>
        <v/>
      </c>
      <c r="AL449" s="32">
        <f>IF($A449="","",IFERROR(INDEX('2_IMPORTAR_EJECUCION'!$F$9:$F$1208,MATCH($AU449,'2_IMPORTAR_EJECUCION'!$J$9:$J$1208,0)),0))</f>
        <v/>
      </c>
      <c r="AM449" s="32">
        <f>IF($A449="","",MAX(0,IFERROR(INDEX('2_IMPORTAR_EJECUCION'!$H$9:$H$1208,MATCH($AU449,'2_IMPORTAR_EJECUCION'!$J$9:$J$1208,0)),0)-$AL449))</f>
        <v/>
      </c>
      <c r="AN449" s="32">
        <f>IF($A449="","",$AL449+$AM449)</f>
        <v/>
      </c>
      <c r="AO449" s="24">
        <f>IF($A449="","",IF(OR((IFERROR(INDEX('CAT_ACTIVIDADES'!$D$4:$D$26,MATCH($H449,'CAT_ACTIVIDADES'!$A$4:$A$26,0)),""))=0,(IFERROR(INDEX('CAT_ACTIVIDADES'!$D$4:$D$26,MATCH($H449,'CAT_ACTIVIDADES'!$A$4:$A$26,0)),""))=""),"SIN CLASIFICAR",IFERROR(INDEX('CAT_ACTIVIDADES'!$D$4:$D$26,MATCH($H449,'CAT_ACTIVIDADES'!$A$4:$A$26,0)),"")))</f>
        <v/>
      </c>
      <c r="AP449" s="4" t="n"/>
      <c r="AQ449" s="4" t="n"/>
      <c r="AR449" s="4" t="n"/>
      <c r="AS449" s="24">
        <f>IF($AR449="","",HYPERLINK(p_ruta_base_checklists&amp;$AR449,"abrir"))</f>
        <v/>
      </c>
      <c r="AT449" s="4" t="n"/>
      <c r="AU449" s="24">
        <f>IF($A449="","",$A449&amp;IF($B449="","0010",$B449))</f>
        <v/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41" t="n"/>
      <c r="K450" s="5" t="n"/>
      <c r="L450" s="18" t="n"/>
      <c r="M450" s="24">
        <f>IF($A450="","",IFERROR(INDEX('AJUSTES'!$B$4:$B$303,MATCH($AU450,'AJUSTES'!$A$4:$A$303,0)),IF($K450="","",$K450)))</f>
        <v/>
      </c>
      <c r="N450" s="24">
        <f>IF($A450="","",IFERROR(INDEX('CAT_ESTADOS_ERP'!$B$4:$B$22,MATCH(IFERROR(INDEX('2_IMPORTAR_EJECUCION'!$C$9:$C$1208,MATCH($AU450,'2_IMPORTAR_EJECUCION'!$J$9:$J$1208,0)),""),'CAT_ESTADOS_ERP'!$A$4:$A$22,0)),"Pendiente"))</f>
        <v/>
      </c>
      <c r="O450" s="24">
        <f>IF($J450="","",YEAR($J450+4-WEEKDAY($J450,2))&amp;"-S"&amp;TEXT(_xlfn.ISOWEEKNUM($J450),"00"))</f>
        <v/>
      </c>
      <c r="P450" s="24">
        <f>IF($J450="","",YEAR($J450))</f>
        <v/>
      </c>
      <c r="Q450" s="24">
        <f>IF($J450="","",MONTH($J450))</f>
        <v/>
      </c>
      <c r="R450" s="24">
        <f>IF($J450="","",$P450&amp;"-"&amp;TEXT($Q450,"00"))</f>
        <v/>
      </c>
      <c r="S450" s="24">
        <f>IF($J450="","",INDEX(lista_dias,WEEKDAY($J450,2)))</f>
        <v/>
      </c>
      <c r="T450" s="24">
        <f>IF($J450="","",IFERROR(INDEX('CALENDARIO'!$C$15:$C$214,MATCH(TEXT($J450,"yyyy-mm-dd")&amp;"|"&amp;$Y450&amp;"|"&amp;$Z450,'CALENDARIO'!$G$15:$G$214,0)),IFERROR(INDEX('CALENDARIO'!$C$15:$C$214,MATCH(TEXT($J450,"yyyy-mm-dd")&amp;"|"&amp;$Y450&amp;"|",'CALENDARIO'!$G$15:$G$214,0)),IFERROR(INDEX('CALENDARIO'!$C$15:$C$214,MATCH(TEXT($J450,"yyyy-mm-dd")&amp;"||",'CALENDARIO'!$G$15:$G$214,0)),INDEX(patronHabil,WEEKDAY($J450,2))))))</f>
        <v/>
      </c>
      <c r="U450" s="24">
        <f>IF($I450="","",IFERROR(INDEX('CAT_TIPOS_OT'!$C$4:$C$23,MATCH($I450,'CAT_TIPOS_OT'!$A$4:$A$23,0)),"sin_clasificar"))</f>
        <v/>
      </c>
      <c r="V450" s="24">
        <f>IF($I450="","",IF(IFERROR(INDEX('CAT_TIPOS_OT'!$D$4:$D$23,MATCH($I450,'CAT_TIPOS_OT'!$A$4:$A$23,0)),"SIN CLASIFICAR")="","SIN CLASIFICAR",IFERROR(INDEX('CAT_TIPOS_OT'!$D$4:$D$23,MATCH($I450,'CAT_TIPOS_OT'!$A$4:$A$23,0)),"SIN CLASIFICAR")))</f>
        <v/>
      </c>
      <c r="W450" s="24">
        <f>IF($H450="","",IF(IFERROR(INDEX('CAT_ACTIVIDADES'!$F$4:$F$26,MATCH($H450,'CAT_ACTIVIDADES'!$A$4:$A$26,0)),"")=0,"",IFERROR(INDEX('CAT_ACTIVIDADES'!$F$4:$F$26,MATCH($H450,'CAT_ACTIVIDADES'!$A$4:$A$26,0)),"")))</f>
        <v/>
      </c>
      <c r="X450" s="24">
        <f>IF($F450="","",IFERROR(INDEX('CAT_CENTROS_COSTO'!$F$4:$F$28,MATCH($F450,'CAT_CENTROS_COSTO'!$A$4:$A$28,0)),"(sin catálogo)"))</f>
        <v/>
      </c>
      <c r="Y450" s="24">
        <f>IF($F450="","",IFERROR(INDEX('CAT_CENTROS_COSTO'!$D$4:$D$28,MATCH($F450,'CAT_CENTROS_COSTO'!$A$4:$A$28,0)),"(sin catálogo)"))</f>
        <v/>
      </c>
      <c r="Z450" s="24">
        <f>IF($F450="","",IF((IFERROR(INDEX('CAT_CENTROS_COSTO'!$E$4:$E$28,MATCH($F450,'CAT_CENTROS_COSTO'!$A$4:$A$28,0)),""))&lt;&gt;"",IFERROR(INDEX('CAT_CENTROS_COSTO'!$E$4:$E$28,MATCH($F450,'CAT_CENTROS_COSTO'!$A$4:$A$28,0)),""),$Y450))</f>
        <v/>
      </c>
      <c r="AA450" s="24">
        <f>IF($F450="","",IFERROR(INDEX('CAT_CENTROS_COSTO'!$G$4:$G$28,MATCH($F450,'CAT_CENTROS_COSTO'!$A$4:$A$28,0)),"(sin catálogo)"))</f>
        <v/>
      </c>
      <c r="AB450" s="24">
        <f>IF($G450="","",IFERROR(INDEX('CAT_PUESTOS'!$B$4:$B$23,MATCH($G450,'CAT_PUESTOS'!$A$4:$A$23,0)),"(sin catálogo)"))</f>
        <v/>
      </c>
      <c r="AC450" s="24">
        <f>IF($H450="","",IFERROR(INDEX('CAT_ACTIVIDADES'!$B$4:$B$26,MATCH($H450,'CAT_ACTIVIDADES'!$A$4:$A$26,0)),"(sin catálogo)"))</f>
        <v/>
      </c>
      <c r="AD450" s="26">
        <f>IF($J450="","",TODAY()-$J450)</f>
        <v/>
      </c>
      <c r="AE450" s="26">
        <f>IF($J450="","",IF($J450&lt;=TODAY(),COUNTIFS(cal_fechas,"&gt;="&amp;$J450,cal_fechas,"&lt;"&amp;TODAY(),cal_habil,"sí"),-COUNTIFS(cal_fechas,"&gt;="&amp;TODAY(),cal_fechas,"&lt;"&amp;$J450,cal_habil,"sí")))</f>
        <v/>
      </c>
      <c r="AF450" s="24">
        <f>IF($AE450="","",IF($AE450&lt;0,"FUTURO",IF($AE450&gt;p_dias_backlog_max,"BACKLOG","MES CORRIENTE")))</f>
        <v/>
      </c>
      <c r="AG450" s="24">
        <f>IF($AE450="",FALSE,AND($AE450&gt;p_dias_backlog_min,$AE450&lt;=p_dias_backlog_max))</f>
        <v/>
      </c>
      <c r="AH450" s="4" t="n"/>
      <c r="AI450" s="24">
        <f>IF($AH450="","",IF((IFERROR(INDEX('ASIGNACIONES'!$J$4:$J$451,MATCH($O450&amp;"|"&amp;$S450&amp;"|"&amp;$AH450,'ASIGNACIONES'!$N$4:$N$451,0)),""))=0,"",IFERROR(INDEX('ASIGNACIONES'!$J$4:$J$451,MATCH($O450&amp;"|"&amp;$S450&amp;"|"&amp;$AH450,'ASIGNACIONES'!$N$4:$N$451,0)),"")))</f>
        <v/>
      </c>
      <c r="AJ450" s="42">
        <f>IF($AH450="","",SUMIFS('ORDENES'!$M$4:$M$1203,'ORDENES'!$AH$4:$AH$1203,$AH450,'ORDENES'!$O$4:$O$1203,$O450,'ORDENES'!$S$4:$S$1203,$S450))</f>
        <v/>
      </c>
      <c r="AK450" s="42">
        <f>IF($AJ450="","",p_factor_productividad*IFERROR(INDEX('ASIGNACIONES'!$M$4:$M$451,MATCH($O450&amp;"|"&amp;$S450&amp;"|"&amp;$AH450,'ASIGNACIONES'!$N$4:$N$451,0)),0)-$AJ450)</f>
        <v/>
      </c>
      <c r="AL450" s="32">
        <f>IF($A450="","",IFERROR(INDEX('2_IMPORTAR_EJECUCION'!$F$9:$F$1208,MATCH($AU450,'2_IMPORTAR_EJECUCION'!$J$9:$J$1208,0)),0))</f>
        <v/>
      </c>
      <c r="AM450" s="32">
        <f>IF($A450="","",MAX(0,IFERROR(INDEX('2_IMPORTAR_EJECUCION'!$H$9:$H$1208,MATCH($AU450,'2_IMPORTAR_EJECUCION'!$J$9:$J$1208,0)),0)-$AL450))</f>
        <v/>
      </c>
      <c r="AN450" s="32">
        <f>IF($A450="","",$AL450+$AM450)</f>
        <v/>
      </c>
      <c r="AO450" s="24">
        <f>IF($A450="","",IF(OR((IFERROR(INDEX('CAT_ACTIVIDADES'!$D$4:$D$26,MATCH($H450,'CAT_ACTIVIDADES'!$A$4:$A$26,0)),""))=0,(IFERROR(INDEX('CAT_ACTIVIDADES'!$D$4:$D$26,MATCH($H450,'CAT_ACTIVIDADES'!$A$4:$A$26,0)),""))=""),"SIN CLASIFICAR",IFERROR(INDEX('CAT_ACTIVIDADES'!$D$4:$D$26,MATCH($H450,'CAT_ACTIVIDADES'!$A$4:$A$26,0)),"")))</f>
        <v/>
      </c>
      <c r="AP450" s="4" t="n"/>
      <c r="AQ450" s="4" t="n"/>
      <c r="AR450" s="4" t="n"/>
      <c r="AS450" s="24">
        <f>IF($AR450="","",HYPERLINK(p_ruta_base_checklists&amp;$AR450,"abrir"))</f>
        <v/>
      </c>
      <c r="AT450" s="4" t="n"/>
      <c r="AU450" s="24">
        <f>IF($A450="","",$A450&amp;IF($B450="","0010",$B450))</f>
        <v/>
      </c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41" t="n"/>
      <c r="K451" s="5" t="n"/>
      <c r="L451" s="18" t="n"/>
      <c r="M451" s="24">
        <f>IF($A451="","",IFERROR(INDEX('AJUSTES'!$B$4:$B$303,MATCH($AU451,'AJUSTES'!$A$4:$A$303,0)),IF($K451="","",$K451)))</f>
        <v/>
      </c>
      <c r="N451" s="24">
        <f>IF($A451="","",IFERROR(INDEX('CAT_ESTADOS_ERP'!$B$4:$B$22,MATCH(IFERROR(INDEX('2_IMPORTAR_EJECUCION'!$C$9:$C$1208,MATCH($AU451,'2_IMPORTAR_EJECUCION'!$J$9:$J$1208,0)),""),'CAT_ESTADOS_ERP'!$A$4:$A$22,0)),"Pendiente"))</f>
        <v/>
      </c>
      <c r="O451" s="24">
        <f>IF($J451="","",YEAR($J451+4-WEEKDAY($J451,2))&amp;"-S"&amp;TEXT(_xlfn.ISOWEEKNUM($J451),"00"))</f>
        <v/>
      </c>
      <c r="P451" s="24">
        <f>IF($J451="","",YEAR($J451))</f>
        <v/>
      </c>
      <c r="Q451" s="24">
        <f>IF($J451="","",MONTH($J451))</f>
        <v/>
      </c>
      <c r="R451" s="24">
        <f>IF($J451="","",$P451&amp;"-"&amp;TEXT($Q451,"00"))</f>
        <v/>
      </c>
      <c r="S451" s="24">
        <f>IF($J451="","",INDEX(lista_dias,WEEKDAY($J451,2)))</f>
        <v/>
      </c>
      <c r="T451" s="24">
        <f>IF($J451="","",IFERROR(INDEX('CALENDARIO'!$C$15:$C$214,MATCH(TEXT($J451,"yyyy-mm-dd")&amp;"|"&amp;$Y451&amp;"|"&amp;$Z451,'CALENDARIO'!$G$15:$G$214,0)),IFERROR(INDEX('CALENDARIO'!$C$15:$C$214,MATCH(TEXT($J451,"yyyy-mm-dd")&amp;"|"&amp;$Y451&amp;"|",'CALENDARIO'!$G$15:$G$214,0)),IFERROR(INDEX('CALENDARIO'!$C$15:$C$214,MATCH(TEXT($J451,"yyyy-mm-dd")&amp;"||",'CALENDARIO'!$G$15:$G$214,0)),INDEX(patronHabil,WEEKDAY($J451,2))))))</f>
        <v/>
      </c>
      <c r="U451" s="24">
        <f>IF($I451="","",IFERROR(INDEX('CAT_TIPOS_OT'!$C$4:$C$23,MATCH($I451,'CAT_TIPOS_OT'!$A$4:$A$23,0)),"sin_clasificar"))</f>
        <v/>
      </c>
      <c r="V451" s="24">
        <f>IF($I451="","",IF(IFERROR(INDEX('CAT_TIPOS_OT'!$D$4:$D$23,MATCH($I451,'CAT_TIPOS_OT'!$A$4:$A$23,0)),"SIN CLASIFICAR")="","SIN CLASIFICAR",IFERROR(INDEX('CAT_TIPOS_OT'!$D$4:$D$23,MATCH($I451,'CAT_TIPOS_OT'!$A$4:$A$23,0)),"SIN CLASIFICAR")))</f>
        <v/>
      </c>
      <c r="W451" s="24">
        <f>IF($H451="","",IF(IFERROR(INDEX('CAT_ACTIVIDADES'!$F$4:$F$26,MATCH($H451,'CAT_ACTIVIDADES'!$A$4:$A$26,0)),"")=0,"",IFERROR(INDEX('CAT_ACTIVIDADES'!$F$4:$F$26,MATCH($H451,'CAT_ACTIVIDADES'!$A$4:$A$26,0)),"")))</f>
        <v/>
      </c>
      <c r="X451" s="24">
        <f>IF($F451="","",IFERROR(INDEX('CAT_CENTROS_COSTO'!$F$4:$F$28,MATCH($F451,'CAT_CENTROS_COSTO'!$A$4:$A$28,0)),"(sin catálogo)"))</f>
        <v/>
      </c>
      <c r="Y451" s="24">
        <f>IF($F451="","",IFERROR(INDEX('CAT_CENTROS_COSTO'!$D$4:$D$28,MATCH($F451,'CAT_CENTROS_COSTO'!$A$4:$A$28,0)),"(sin catálogo)"))</f>
        <v/>
      </c>
      <c r="Z451" s="24">
        <f>IF($F451="","",IF((IFERROR(INDEX('CAT_CENTROS_COSTO'!$E$4:$E$28,MATCH($F451,'CAT_CENTROS_COSTO'!$A$4:$A$28,0)),""))&lt;&gt;"",IFERROR(INDEX('CAT_CENTROS_COSTO'!$E$4:$E$28,MATCH($F451,'CAT_CENTROS_COSTO'!$A$4:$A$28,0)),""),$Y451))</f>
        <v/>
      </c>
      <c r="AA451" s="24">
        <f>IF($F451="","",IFERROR(INDEX('CAT_CENTROS_COSTO'!$G$4:$G$28,MATCH($F451,'CAT_CENTROS_COSTO'!$A$4:$A$28,0)),"(sin catálogo)"))</f>
        <v/>
      </c>
      <c r="AB451" s="24">
        <f>IF($G451="","",IFERROR(INDEX('CAT_PUESTOS'!$B$4:$B$23,MATCH($G451,'CAT_PUESTOS'!$A$4:$A$23,0)),"(sin catálogo)"))</f>
        <v/>
      </c>
      <c r="AC451" s="24">
        <f>IF($H451="","",IFERROR(INDEX('CAT_ACTIVIDADES'!$B$4:$B$26,MATCH($H451,'CAT_ACTIVIDADES'!$A$4:$A$26,0)),"(sin catálogo)"))</f>
        <v/>
      </c>
      <c r="AD451" s="26">
        <f>IF($J451="","",TODAY()-$J451)</f>
        <v/>
      </c>
      <c r="AE451" s="26">
        <f>IF($J451="","",IF($J451&lt;=TODAY(),COUNTIFS(cal_fechas,"&gt;="&amp;$J451,cal_fechas,"&lt;"&amp;TODAY(),cal_habil,"sí"),-COUNTIFS(cal_fechas,"&gt;="&amp;TODAY(),cal_fechas,"&lt;"&amp;$J451,cal_habil,"sí")))</f>
        <v/>
      </c>
      <c r="AF451" s="24">
        <f>IF($AE451="","",IF($AE451&lt;0,"FUTURO",IF($AE451&gt;p_dias_backlog_max,"BACKLOG","MES CORRIENTE")))</f>
        <v/>
      </c>
      <c r="AG451" s="24">
        <f>IF($AE451="",FALSE,AND($AE451&gt;p_dias_backlog_min,$AE451&lt;=p_dias_backlog_max))</f>
        <v/>
      </c>
      <c r="AH451" s="4" t="n"/>
      <c r="AI451" s="24">
        <f>IF($AH451="","",IF((IFERROR(INDEX('ASIGNACIONES'!$J$4:$J$451,MATCH($O451&amp;"|"&amp;$S451&amp;"|"&amp;$AH451,'ASIGNACIONES'!$N$4:$N$451,0)),""))=0,"",IFERROR(INDEX('ASIGNACIONES'!$J$4:$J$451,MATCH($O451&amp;"|"&amp;$S451&amp;"|"&amp;$AH451,'ASIGNACIONES'!$N$4:$N$451,0)),"")))</f>
        <v/>
      </c>
      <c r="AJ451" s="42">
        <f>IF($AH451="","",SUMIFS('ORDENES'!$M$4:$M$1203,'ORDENES'!$AH$4:$AH$1203,$AH451,'ORDENES'!$O$4:$O$1203,$O451,'ORDENES'!$S$4:$S$1203,$S451))</f>
        <v/>
      </c>
      <c r="AK451" s="42">
        <f>IF($AJ451="","",p_factor_productividad*IFERROR(INDEX('ASIGNACIONES'!$M$4:$M$451,MATCH($O451&amp;"|"&amp;$S451&amp;"|"&amp;$AH451,'ASIGNACIONES'!$N$4:$N$451,0)),0)-$AJ451)</f>
        <v/>
      </c>
      <c r="AL451" s="32">
        <f>IF($A451="","",IFERROR(INDEX('2_IMPORTAR_EJECUCION'!$F$9:$F$1208,MATCH($AU451,'2_IMPORTAR_EJECUCION'!$J$9:$J$1208,0)),0))</f>
        <v/>
      </c>
      <c r="AM451" s="32">
        <f>IF($A451="","",MAX(0,IFERROR(INDEX('2_IMPORTAR_EJECUCION'!$H$9:$H$1208,MATCH($AU451,'2_IMPORTAR_EJECUCION'!$J$9:$J$1208,0)),0)-$AL451))</f>
        <v/>
      </c>
      <c r="AN451" s="32">
        <f>IF($A451="","",$AL451+$AM451)</f>
        <v/>
      </c>
      <c r="AO451" s="24">
        <f>IF($A451="","",IF(OR((IFERROR(INDEX('CAT_ACTIVIDADES'!$D$4:$D$26,MATCH($H451,'CAT_ACTIVIDADES'!$A$4:$A$26,0)),""))=0,(IFERROR(INDEX('CAT_ACTIVIDADES'!$D$4:$D$26,MATCH($H451,'CAT_ACTIVIDADES'!$A$4:$A$26,0)),""))=""),"SIN CLASIFICAR",IFERROR(INDEX('CAT_ACTIVIDADES'!$D$4:$D$26,MATCH($H451,'CAT_ACTIVIDADES'!$A$4:$A$26,0)),"")))</f>
        <v/>
      </c>
      <c r="AP451" s="4" t="n"/>
      <c r="AQ451" s="4" t="n"/>
      <c r="AR451" s="4" t="n"/>
      <c r="AS451" s="24">
        <f>IF($AR451="","",HYPERLINK(p_ruta_base_checklists&amp;$AR451,"abrir"))</f>
        <v/>
      </c>
      <c r="AT451" s="4" t="n"/>
      <c r="AU451" s="24">
        <f>IF($A451="","",$A451&amp;IF($B451="","0010",$B451))</f>
        <v/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41" t="n"/>
      <c r="K452" s="5" t="n"/>
      <c r="L452" s="18" t="n"/>
      <c r="M452" s="24">
        <f>IF($A452="","",IFERROR(INDEX('AJUSTES'!$B$4:$B$303,MATCH($AU452,'AJUSTES'!$A$4:$A$303,0)),IF($K452="","",$K452)))</f>
        <v/>
      </c>
      <c r="N452" s="24">
        <f>IF($A452="","",IFERROR(INDEX('CAT_ESTADOS_ERP'!$B$4:$B$22,MATCH(IFERROR(INDEX('2_IMPORTAR_EJECUCION'!$C$9:$C$1208,MATCH($AU452,'2_IMPORTAR_EJECUCION'!$J$9:$J$1208,0)),""),'CAT_ESTADOS_ERP'!$A$4:$A$22,0)),"Pendiente"))</f>
        <v/>
      </c>
      <c r="O452" s="24">
        <f>IF($J452="","",YEAR($J452+4-WEEKDAY($J452,2))&amp;"-S"&amp;TEXT(_xlfn.ISOWEEKNUM($J452),"00"))</f>
        <v/>
      </c>
      <c r="P452" s="24">
        <f>IF($J452="","",YEAR($J452))</f>
        <v/>
      </c>
      <c r="Q452" s="24">
        <f>IF($J452="","",MONTH($J452))</f>
        <v/>
      </c>
      <c r="R452" s="24">
        <f>IF($J452="","",$P452&amp;"-"&amp;TEXT($Q452,"00"))</f>
        <v/>
      </c>
      <c r="S452" s="24">
        <f>IF($J452="","",INDEX(lista_dias,WEEKDAY($J452,2)))</f>
        <v/>
      </c>
      <c r="T452" s="24">
        <f>IF($J452="","",IFERROR(INDEX('CALENDARIO'!$C$15:$C$214,MATCH(TEXT($J452,"yyyy-mm-dd")&amp;"|"&amp;$Y452&amp;"|"&amp;$Z452,'CALENDARIO'!$G$15:$G$214,0)),IFERROR(INDEX('CALENDARIO'!$C$15:$C$214,MATCH(TEXT($J452,"yyyy-mm-dd")&amp;"|"&amp;$Y452&amp;"|",'CALENDARIO'!$G$15:$G$214,0)),IFERROR(INDEX('CALENDARIO'!$C$15:$C$214,MATCH(TEXT($J452,"yyyy-mm-dd")&amp;"||",'CALENDARIO'!$G$15:$G$214,0)),INDEX(patronHabil,WEEKDAY($J452,2))))))</f>
        <v/>
      </c>
      <c r="U452" s="24">
        <f>IF($I452="","",IFERROR(INDEX('CAT_TIPOS_OT'!$C$4:$C$23,MATCH($I452,'CAT_TIPOS_OT'!$A$4:$A$23,0)),"sin_clasificar"))</f>
        <v/>
      </c>
      <c r="V452" s="24">
        <f>IF($I452="","",IF(IFERROR(INDEX('CAT_TIPOS_OT'!$D$4:$D$23,MATCH($I452,'CAT_TIPOS_OT'!$A$4:$A$23,0)),"SIN CLASIFICAR")="","SIN CLASIFICAR",IFERROR(INDEX('CAT_TIPOS_OT'!$D$4:$D$23,MATCH($I452,'CAT_TIPOS_OT'!$A$4:$A$23,0)),"SIN CLASIFICAR")))</f>
        <v/>
      </c>
      <c r="W452" s="24">
        <f>IF($H452="","",IF(IFERROR(INDEX('CAT_ACTIVIDADES'!$F$4:$F$26,MATCH($H452,'CAT_ACTIVIDADES'!$A$4:$A$26,0)),"")=0,"",IFERROR(INDEX('CAT_ACTIVIDADES'!$F$4:$F$26,MATCH($H452,'CAT_ACTIVIDADES'!$A$4:$A$26,0)),"")))</f>
        <v/>
      </c>
      <c r="X452" s="24">
        <f>IF($F452="","",IFERROR(INDEX('CAT_CENTROS_COSTO'!$F$4:$F$28,MATCH($F452,'CAT_CENTROS_COSTO'!$A$4:$A$28,0)),"(sin catálogo)"))</f>
        <v/>
      </c>
      <c r="Y452" s="24">
        <f>IF($F452="","",IFERROR(INDEX('CAT_CENTROS_COSTO'!$D$4:$D$28,MATCH($F452,'CAT_CENTROS_COSTO'!$A$4:$A$28,0)),"(sin catálogo)"))</f>
        <v/>
      </c>
      <c r="Z452" s="24">
        <f>IF($F452="","",IF((IFERROR(INDEX('CAT_CENTROS_COSTO'!$E$4:$E$28,MATCH($F452,'CAT_CENTROS_COSTO'!$A$4:$A$28,0)),""))&lt;&gt;"",IFERROR(INDEX('CAT_CENTROS_COSTO'!$E$4:$E$28,MATCH($F452,'CAT_CENTROS_COSTO'!$A$4:$A$28,0)),""),$Y452))</f>
        <v/>
      </c>
      <c r="AA452" s="24">
        <f>IF($F452="","",IFERROR(INDEX('CAT_CENTROS_COSTO'!$G$4:$G$28,MATCH($F452,'CAT_CENTROS_COSTO'!$A$4:$A$28,0)),"(sin catálogo)"))</f>
        <v/>
      </c>
      <c r="AB452" s="24">
        <f>IF($G452="","",IFERROR(INDEX('CAT_PUESTOS'!$B$4:$B$23,MATCH($G452,'CAT_PUESTOS'!$A$4:$A$23,0)),"(sin catálogo)"))</f>
        <v/>
      </c>
      <c r="AC452" s="24">
        <f>IF($H452="","",IFERROR(INDEX('CAT_ACTIVIDADES'!$B$4:$B$26,MATCH($H452,'CAT_ACTIVIDADES'!$A$4:$A$26,0)),"(sin catálogo)"))</f>
        <v/>
      </c>
      <c r="AD452" s="26">
        <f>IF($J452="","",TODAY()-$J452)</f>
        <v/>
      </c>
      <c r="AE452" s="26">
        <f>IF($J452="","",IF($J452&lt;=TODAY(),COUNTIFS(cal_fechas,"&gt;="&amp;$J452,cal_fechas,"&lt;"&amp;TODAY(),cal_habil,"sí"),-COUNTIFS(cal_fechas,"&gt;="&amp;TODAY(),cal_fechas,"&lt;"&amp;$J452,cal_habil,"sí")))</f>
        <v/>
      </c>
      <c r="AF452" s="24">
        <f>IF($AE452="","",IF($AE452&lt;0,"FUTURO",IF($AE452&gt;p_dias_backlog_max,"BACKLOG","MES CORRIENTE")))</f>
        <v/>
      </c>
      <c r="AG452" s="24">
        <f>IF($AE452="",FALSE,AND($AE452&gt;p_dias_backlog_min,$AE452&lt;=p_dias_backlog_max))</f>
        <v/>
      </c>
      <c r="AH452" s="4" t="n"/>
      <c r="AI452" s="24">
        <f>IF($AH452="","",IF((IFERROR(INDEX('ASIGNACIONES'!$J$4:$J$451,MATCH($O452&amp;"|"&amp;$S452&amp;"|"&amp;$AH452,'ASIGNACIONES'!$N$4:$N$451,0)),""))=0,"",IFERROR(INDEX('ASIGNACIONES'!$J$4:$J$451,MATCH($O452&amp;"|"&amp;$S452&amp;"|"&amp;$AH452,'ASIGNACIONES'!$N$4:$N$451,0)),"")))</f>
        <v/>
      </c>
      <c r="AJ452" s="42">
        <f>IF($AH452="","",SUMIFS('ORDENES'!$M$4:$M$1203,'ORDENES'!$AH$4:$AH$1203,$AH452,'ORDENES'!$O$4:$O$1203,$O452,'ORDENES'!$S$4:$S$1203,$S452))</f>
        <v/>
      </c>
      <c r="AK452" s="42">
        <f>IF($AJ452="","",p_factor_productividad*IFERROR(INDEX('ASIGNACIONES'!$M$4:$M$451,MATCH($O452&amp;"|"&amp;$S452&amp;"|"&amp;$AH452,'ASIGNACIONES'!$N$4:$N$451,0)),0)-$AJ452)</f>
        <v/>
      </c>
      <c r="AL452" s="32">
        <f>IF($A452="","",IFERROR(INDEX('2_IMPORTAR_EJECUCION'!$F$9:$F$1208,MATCH($AU452,'2_IMPORTAR_EJECUCION'!$J$9:$J$1208,0)),0))</f>
        <v/>
      </c>
      <c r="AM452" s="32">
        <f>IF($A452="","",MAX(0,IFERROR(INDEX('2_IMPORTAR_EJECUCION'!$H$9:$H$1208,MATCH($AU452,'2_IMPORTAR_EJECUCION'!$J$9:$J$1208,0)),0)-$AL452))</f>
        <v/>
      </c>
      <c r="AN452" s="32">
        <f>IF($A452="","",$AL452+$AM452)</f>
        <v/>
      </c>
      <c r="AO452" s="24">
        <f>IF($A452="","",IF(OR((IFERROR(INDEX('CAT_ACTIVIDADES'!$D$4:$D$26,MATCH($H452,'CAT_ACTIVIDADES'!$A$4:$A$26,0)),""))=0,(IFERROR(INDEX('CAT_ACTIVIDADES'!$D$4:$D$26,MATCH($H452,'CAT_ACTIVIDADES'!$A$4:$A$26,0)),""))=""),"SIN CLASIFICAR",IFERROR(INDEX('CAT_ACTIVIDADES'!$D$4:$D$26,MATCH($H452,'CAT_ACTIVIDADES'!$A$4:$A$26,0)),"")))</f>
        <v/>
      </c>
      <c r="AP452" s="4" t="n"/>
      <c r="AQ452" s="4" t="n"/>
      <c r="AR452" s="4" t="n"/>
      <c r="AS452" s="24">
        <f>IF($AR452="","",HYPERLINK(p_ruta_base_checklists&amp;$AR452,"abrir"))</f>
        <v/>
      </c>
      <c r="AT452" s="4" t="n"/>
      <c r="AU452" s="24">
        <f>IF($A452="","",$A452&amp;IF($B452="","0010",$B452))</f>
        <v/>
      </c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41" t="n"/>
      <c r="K453" s="5" t="n"/>
      <c r="L453" s="18" t="n"/>
      <c r="M453" s="24">
        <f>IF($A453="","",IFERROR(INDEX('AJUSTES'!$B$4:$B$303,MATCH($AU453,'AJUSTES'!$A$4:$A$303,0)),IF($K453="","",$K453)))</f>
        <v/>
      </c>
      <c r="N453" s="24">
        <f>IF($A453="","",IFERROR(INDEX('CAT_ESTADOS_ERP'!$B$4:$B$22,MATCH(IFERROR(INDEX('2_IMPORTAR_EJECUCION'!$C$9:$C$1208,MATCH($AU453,'2_IMPORTAR_EJECUCION'!$J$9:$J$1208,0)),""),'CAT_ESTADOS_ERP'!$A$4:$A$22,0)),"Pendiente"))</f>
        <v/>
      </c>
      <c r="O453" s="24">
        <f>IF($J453="","",YEAR($J453+4-WEEKDAY($J453,2))&amp;"-S"&amp;TEXT(_xlfn.ISOWEEKNUM($J453),"00"))</f>
        <v/>
      </c>
      <c r="P453" s="24">
        <f>IF($J453="","",YEAR($J453))</f>
        <v/>
      </c>
      <c r="Q453" s="24">
        <f>IF($J453="","",MONTH($J453))</f>
        <v/>
      </c>
      <c r="R453" s="24">
        <f>IF($J453="","",$P453&amp;"-"&amp;TEXT($Q453,"00"))</f>
        <v/>
      </c>
      <c r="S453" s="24">
        <f>IF($J453="","",INDEX(lista_dias,WEEKDAY($J453,2)))</f>
        <v/>
      </c>
      <c r="T453" s="24">
        <f>IF($J453="","",IFERROR(INDEX('CALENDARIO'!$C$15:$C$214,MATCH(TEXT($J453,"yyyy-mm-dd")&amp;"|"&amp;$Y453&amp;"|"&amp;$Z453,'CALENDARIO'!$G$15:$G$214,0)),IFERROR(INDEX('CALENDARIO'!$C$15:$C$214,MATCH(TEXT($J453,"yyyy-mm-dd")&amp;"|"&amp;$Y453&amp;"|",'CALENDARIO'!$G$15:$G$214,0)),IFERROR(INDEX('CALENDARIO'!$C$15:$C$214,MATCH(TEXT($J453,"yyyy-mm-dd")&amp;"||",'CALENDARIO'!$G$15:$G$214,0)),INDEX(patronHabil,WEEKDAY($J453,2))))))</f>
        <v/>
      </c>
      <c r="U453" s="24">
        <f>IF($I453="","",IFERROR(INDEX('CAT_TIPOS_OT'!$C$4:$C$23,MATCH($I453,'CAT_TIPOS_OT'!$A$4:$A$23,0)),"sin_clasificar"))</f>
        <v/>
      </c>
      <c r="V453" s="24">
        <f>IF($I453="","",IF(IFERROR(INDEX('CAT_TIPOS_OT'!$D$4:$D$23,MATCH($I453,'CAT_TIPOS_OT'!$A$4:$A$23,0)),"SIN CLASIFICAR")="","SIN CLASIFICAR",IFERROR(INDEX('CAT_TIPOS_OT'!$D$4:$D$23,MATCH($I453,'CAT_TIPOS_OT'!$A$4:$A$23,0)),"SIN CLASIFICAR")))</f>
        <v/>
      </c>
      <c r="W453" s="24">
        <f>IF($H453="","",IF(IFERROR(INDEX('CAT_ACTIVIDADES'!$F$4:$F$26,MATCH($H453,'CAT_ACTIVIDADES'!$A$4:$A$26,0)),"")=0,"",IFERROR(INDEX('CAT_ACTIVIDADES'!$F$4:$F$26,MATCH($H453,'CAT_ACTIVIDADES'!$A$4:$A$26,0)),"")))</f>
        <v/>
      </c>
      <c r="X453" s="24">
        <f>IF($F453="","",IFERROR(INDEX('CAT_CENTROS_COSTO'!$F$4:$F$28,MATCH($F453,'CAT_CENTROS_COSTO'!$A$4:$A$28,0)),"(sin catálogo)"))</f>
        <v/>
      </c>
      <c r="Y453" s="24">
        <f>IF($F453="","",IFERROR(INDEX('CAT_CENTROS_COSTO'!$D$4:$D$28,MATCH($F453,'CAT_CENTROS_COSTO'!$A$4:$A$28,0)),"(sin catálogo)"))</f>
        <v/>
      </c>
      <c r="Z453" s="24">
        <f>IF($F453="","",IF((IFERROR(INDEX('CAT_CENTROS_COSTO'!$E$4:$E$28,MATCH($F453,'CAT_CENTROS_COSTO'!$A$4:$A$28,0)),""))&lt;&gt;"",IFERROR(INDEX('CAT_CENTROS_COSTO'!$E$4:$E$28,MATCH($F453,'CAT_CENTROS_COSTO'!$A$4:$A$28,0)),""),$Y453))</f>
        <v/>
      </c>
      <c r="AA453" s="24">
        <f>IF($F453="","",IFERROR(INDEX('CAT_CENTROS_COSTO'!$G$4:$G$28,MATCH($F453,'CAT_CENTROS_COSTO'!$A$4:$A$28,0)),"(sin catálogo)"))</f>
        <v/>
      </c>
      <c r="AB453" s="24">
        <f>IF($G453="","",IFERROR(INDEX('CAT_PUESTOS'!$B$4:$B$23,MATCH($G453,'CAT_PUESTOS'!$A$4:$A$23,0)),"(sin catálogo)"))</f>
        <v/>
      </c>
      <c r="AC453" s="24">
        <f>IF($H453="","",IFERROR(INDEX('CAT_ACTIVIDADES'!$B$4:$B$26,MATCH($H453,'CAT_ACTIVIDADES'!$A$4:$A$26,0)),"(sin catálogo)"))</f>
        <v/>
      </c>
      <c r="AD453" s="26">
        <f>IF($J453="","",TODAY()-$J453)</f>
        <v/>
      </c>
      <c r="AE453" s="26">
        <f>IF($J453="","",IF($J453&lt;=TODAY(),COUNTIFS(cal_fechas,"&gt;="&amp;$J453,cal_fechas,"&lt;"&amp;TODAY(),cal_habil,"sí"),-COUNTIFS(cal_fechas,"&gt;="&amp;TODAY(),cal_fechas,"&lt;"&amp;$J453,cal_habil,"sí")))</f>
        <v/>
      </c>
      <c r="AF453" s="24">
        <f>IF($AE453="","",IF($AE453&lt;0,"FUTURO",IF($AE453&gt;p_dias_backlog_max,"BACKLOG","MES CORRIENTE")))</f>
        <v/>
      </c>
      <c r="AG453" s="24">
        <f>IF($AE453="",FALSE,AND($AE453&gt;p_dias_backlog_min,$AE453&lt;=p_dias_backlog_max))</f>
        <v/>
      </c>
      <c r="AH453" s="4" t="n"/>
      <c r="AI453" s="24">
        <f>IF($AH453="","",IF((IFERROR(INDEX('ASIGNACIONES'!$J$4:$J$451,MATCH($O453&amp;"|"&amp;$S453&amp;"|"&amp;$AH453,'ASIGNACIONES'!$N$4:$N$451,0)),""))=0,"",IFERROR(INDEX('ASIGNACIONES'!$J$4:$J$451,MATCH($O453&amp;"|"&amp;$S453&amp;"|"&amp;$AH453,'ASIGNACIONES'!$N$4:$N$451,0)),"")))</f>
        <v/>
      </c>
      <c r="AJ453" s="42">
        <f>IF($AH453="","",SUMIFS('ORDENES'!$M$4:$M$1203,'ORDENES'!$AH$4:$AH$1203,$AH453,'ORDENES'!$O$4:$O$1203,$O453,'ORDENES'!$S$4:$S$1203,$S453))</f>
        <v/>
      </c>
      <c r="AK453" s="42">
        <f>IF($AJ453="","",p_factor_productividad*IFERROR(INDEX('ASIGNACIONES'!$M$4:$M$451,MATCH($O453&amp;"|"&amp;$S453&amp;"|"&amp;$AH453,'ASIGNACIONES'!$N$4:$N$451,0)),0)-$AJ453)</f>
        <v/>
      </c>
      <c r="AL453" s="32">
        <f>IF($A453="","",IFERROR(INDEX('2_IMPORTAR_EJECUCION'!$F$9:$F$1208,MATCH($AU453,'2_IMPORTAR_EJECUCION'!$J$9:$J$1208,0)),0))</f>
        <v/>
      </c>
      <c r="AM453" s="32">
        <f>IF($A453="","",MAX(0,IFERROR(INDEX('2_IMPORTAR_EJECUCION'!$H$9:$H$1208,MATCH($AU453,'2_IMPORTAR_EJECUCION'!$J$9:$J$1208,0)),0)-$AL453))</f>
        <v/>
      </c>
      <c r="AN453" s="32">
        <f>IF($A453="","",$AL453+$AM453)</f>
        <v/>
      </c>
      <c r="AO453" s="24">
        <f>IF($A453="","",IF(OR((IFERROR(INDEX('CAT_ACTIVIDADES'!$D$4:$D$26,MATCH($H453,'CAT_ACTIVIDADES'!$A$4:$A$26,0)),""))=0,(IFERROR(INDEX('CAT_ACTIVIDADES'!$D$4:$D$26,MATCH($H453,'CAT_ACTIVIDADES'!$A$4:$A$26,0)),""))=""),"SIN CLASIFICAR",IFERROR(INDEX('CAT_ACTIVIDADES'!$D$4:$D$26,MATCH($H453,'CAT_ACTIVIDADES'!$A$4:$A$26,0)),"")))</f>
        <v/>
      </c>
      <c r="AP453" s="4" t="n"/>
      <c r="AQ453" s="4" t="n"/>
      <c r="AR453" s="4" t="n"/>
      <c r="AS453" s="24">
        <f>IF($AR453="","",HYPERLINK(p_ruta_base_checklists&amp;$AR453,"abrir"))</f>
        <v/>
      </c>
      <c r="AT453" s="4" t="n"/>
      <c r="AU453" s="24">
        <f>IF($A453="","",$A453&amp;IF($B453="","0010",$B453))</f>
        <v/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41" t="n"/>
      <c r="K454" s="5" t="n"/>
      <c r="L454" s="18" t="n"/>
      <c r="M454" s="24">
        <f>IF($A454="","",IFERROR(INDEX('AJUSTES'!$B$4:$B$303,MATCH($AU454,'AJUSTES'!$A$4:$A$303,0)),IF($K454="","",$K454)))</f>
        <v/>
      </c>
      <c r="N454" s="24">
        <f>IF($A454="","",IFERROR(INDEX('CAT_ESTADOS_ERP'!$B$4:$B$22,MATCH(IFERROR(INDEX('2_IMPORTAR_EJECUCION'!$C$9:$C$1208,MATCH($AU454,'2_IMPORTAR_EJECUCION'!$J$9:$J$1208,0)),""),'CAT_ESTADOS_ERP'!$A$4:$A$22,0)),"Pendiente"))</f>
        <v/>
      </c>
      <c r="O454" s="24">
        <f>IF($J454="","",YEAR($J454+4-WEEKDAY($J454,2))&amp;"-S"&amp;TEXT(_xlfn.ISOWEEKNUM($J454),"00"))</f>
        <v/>
      </c>
      <c r="P454" s="24">
        <f>IF($J454="","",YEAR($J454))</f>
        <v/>
      </c>
      <c r="Q454" s="24">
        <f>IF($J454="","",MONTH($J454))</f>
        <v/>
      </c>
      <c r="R454" s="24">
        <f>IF($J454="","",$P454&amp;"-"&amp;TEXT($Q454,"00"))</f>
        <v/>
      </c>
      <c r="S454" s="24">
        <f>IF($J454="","",INDEX(lista_dias,WEEKDAY($J454,2)))</f>
        <v/>
      </c>
      <c r="T454" s="24">
        <f>IF($J454="","",IFERROR(INDEX('CALENDARIO'!$C$15:$C$214,MATCH(TEXT($J454,"yyyy-mm-dd")&amp;"|"&amp;$Y454&amp;"|"&amp;$Z454,'CALENDARIO'!$G$15:$G$214,0)),IFERROR(INDEX('CALENDARIO'!$C$15:$C$214,MATCH(TEXT($J454,"yyyy-mm-dd")&amp;"|"&amp;$Y454&amp;"|",'CALENDARIO'!$G$15:$G$214,0)),IFERROR(INDEX('CALENDARIO'!$C$15:$C$214,MATCH(TEXT($J454,"yyyy-mm-dd")&amp;"||",'CALENDARIO'!$G$15:$G$214,0)),INDEX(patronHabil,WEEKDAY($J454,2))))))</f>
        <v/>
      </c>
      <c r="U454" s="24">
        <f>IF($I454="","",IFERROR(INDEX('CAT_TIPOS_OT'!$C$4:$C$23,MATCH($I454,'CAT_TIPOS_OT'!$A$4:$A$23,0)),"sin_clasificar"))</f>
        <v/>
      </c>
      <c r="V454" s="24">
        <f>IF($I454="","",IF(IFERROR(INDEX('CAT_TIPOS_OT'!$D$4:$D$23,MATCH($I454,'CAT_TIPOS_OT'!$A$4:$A$23,0)),"SIN CLASIFICAR")="","SIN CLASIFICAR",IFERROR(INDEX('CAT_TIPOS_OT'!$D$4:$D$23,MATCH($I454,'CAT_TIPOS_OT'!$A$4:$A$23,0)),"SIN CLASIFICAR")))</f>
        <v/>
      </c>
      <c r="W454" s="24">
        <f>IF($H454="","",IF(IFERROR(INDEX('CAT_ACTIVIDADES'!$F$4:$F$26,MATCH($H454,'CAT_ACTIVIDADES'!$A$4:$A$26,0)),"")=0,"",IFERROR(INDEX('CAT_ACTIVIDADES'!$F$4:$F$26,MATCH($H454,'CAT_ACTIVIDADES'!$A$4:$A$26,0)),"")))</f>
        <v/>
      </c>
      <c r="X454" s="24">
        <f>IF($F454="","",IFERROR(INDEX('CAT_CENTROS_COSTO'!$F$4:$F$28,MATCH($F454,'CAT_CENTROS_COSTO'!$A$4:$A$28,0)),"(sin catálogo)"))</f>
        <v/>
      </c>
      <c r="Y454" s="24">
        <f>IF($F454="","",IFERROR(INDEX('CAT_CENTROS_COSTO'!$D$4:$D$28,MATCH($F454,'CAT_CENTROS_COSTO'!$A$4:$A$28,0)),"(sin catálogo)"))</f>
        <v/>
      </c>
      <c r="Z454" s="24">
        <f>IF($F454="","",IF((IFERROR(INDEX('CAT_CENTROS_COSTO'!$E$4:$E$28,MATCH($F454,'CAT_CENTROS_COSTO'!$A$4:$A$28,0)),""))&lt;&gt;"",IFERROR(INDEX('CAT_CENTROS_COSTO'!$E$4:$E$28,MATCH($F454,'CAT_CENTROS_COSTO'!$A$4:$A$28,0)),""),$Y454))</f>
        <v/>
      </c>
      <c r="AA454" s="24">
        <f>IF($F454="","",IFERROR(INDEX('CAT_CENTROS_COSTO'!$G$4:$G$28,MATCH($F454,'CAT_CENTROS_COSTO'!$A$4:$A$28,0)),"(sin catálogo)"))</f>
        <v/>
      </c>
      <c r="AB454" s="24">
        <f>IF($G454="","",IFERROR(INDEX('CAT_PUESTOS'!$B$4:$B$23,MATCH($G454,'CAT_PUESTOS'!$A$4:$A$23,0)),"(sin catálogo)"))</f>
        <v/>
      </c>
      <c r="AC454" s="24">
        <f>IF($H454="","",IFERROR(INDEX('CAT_ACTIVIDADES'!$B$4:$B$26,MATCH($H454,'CAT_ACTIVIDADES'!$A$4:$A$26,0)),"(sin catálogo)"))</f>
        <v/>
      </c>
      <c r="AD454" s="26">
        <f>IF($J454="","",TODAY()-$J454)</f>
        <v/>
      </c>
      <c r="AE454" s="26">
        <f>IF($J454="","",IF($J454&lt;=TODAY(),COUNTIFS(cal_fechas,"&gt;="&amp;$J454,cal_fechas,"&lt;"&amp;TODAY(),cal_habil,"sí"),-COUNTIFS(cal_fechas,"&gt;="&amp;TODAY(),cal_fechas,"&lt;"&amp;$J454,cal_habil,"sí")))</f>
        <v/>
      </c>
      <c r="AF454" s="24">
        <f>IF($AE454="","",IF($AE454&lt;0,"FUTURO",IF($AE454&gt;p_dias_backlog_max,"BACKLOG","MES CORRIENTE")))</f>
        <v/>
      </c>
      <c r="AG454" s="24">
        <f>IF($AE454="",FALSE,AND($AE454&gt;p_dias_backlog_min,$AE454&lt;=p_dias_backlog_max))</f>
        <v/>
      </c>
      <c r="AH454" s="4" t="n"/>
      <c r="AI454" s="24">
        <f>IF($AH454="","",IF((IFERROR(INDEX('ASIGNACIONES'!$J$4:$J$451,MATCH($O454&amp;"|"&amp;$S454&amp;"|"&amp;$AH454,'ASIGNACIONES'!$N$4:$N$451,0)),""))=0,"",IFERROR(INDEX('ASIGNACIONES'!$J$4:$J$451,MATCH($O454&amp;"|"&amp;$S454&amp;"|"&amp;$AH454,'ASIGNACIONES'!$N$4:$N$451,0)),"")))</f>
        <v/>
      </c>
      <c r="AJ454" s="42">
        <f>IF($AH454="","",SUMIFS('ORDENES'!$M$4:$M$1203,'ORDENES'!$AH$4:$AH$1203,$AH454,'ORDENES'!$O$4:$O$1203,$O454,'ORDENES'!$S$4:$S$1203,$S454))</f>
        <v/>
      </c>
      <c r="AK454" s="42">
        <f>IF($AJ454="","",p_factor_productividad*IFERROR(INDEX('ASIGNACIONES'!$M$4:$M$451,MATCH($O454&amp;"|"&amp;$S454&amp;"|"&amp;$AH454,'ASIGNACIONES'!$N$4:$N$451,0)),0)-$AJ454)</f>
        <v/>
      </c>
      <c r="AL454" s="32">
        <f>IF($A454="","",IFERROR(INDEX('2_IMPORTAR_EJECUCION'!$F$9:$F$1208,MATCH($AU454,'2_IMPORTAR_EJECUCION'!$J$9:$J$1208,0)),0))</f>
        <v/>
      </c>
      <c r="AM454" s="32">
        <f>IF($A454="","",MAX(0,IFERROR(INDEX('2_IMPORTAR_EJECUCION'!$H$9:$H$1208,MATCH($AU454,'2_IMPORTAR_EJECUCION'!$J$9:$J$1208,0)),0)-$AL454))</f>
        <v/>
      </c>
      <c r="AN454" s="32">
        <f>IF($A454="","",$AL454+$AM454)</f>
        <v/>
      </c>
      <c r="AO454" s="24">
        <f>IF($A454="","",IF(OR((IFERROR(INDEX('CAT_ACTIVIDADES'!$D$4:$D$26,MATCH($H454,'CAT_ACTIVIDADES'!$A$4:$A$26,0)),""))=0,(IFERROR(INDEX('CAT_ACTIVIDADES'!$D$4:$D$26,MATCH($H454,'CAT_ACTIVIDADES'!$A$4:$A$26,0)),""))=""),"SIN CLASIFICAR",IFERROR(INDEX('CAT_ACTIVIDADES'!$D$4:$D$26,MATCH($H454,'CAT_ACTIVIDADES'!$A$4:$A$26,0)),"")))</f>
        <v/>
      </c>
      <c r="AP454" s="4" t="n"/>
      <c r="AQ454" s="4" t="n"/>
      <c r="AR454" s="4" t="n"/>
      <c r="AS454" s="24">
        <f>IF($AR454="","",HYPERLINK(p_ruta_base_checklists&amp;$AR454,"abrir"))</f>
        <v/>
      </c>
      <c r="AT454" s="4" t="n"/>
      <c r="AU454" s="24">
        <f>IF($A454="","",$A454&amp;IF($B454="","0010",$B454))</f>
        <v/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41" t="n"/>
      <c r="K455" s="5" t="n"/>
      <c r="L455" s="18" t="n"/>
      <c r="M455" s="24">
        <f>IF($A455="","",IFERROR(INDEX('AJUSTES'!$B$4:$B$303,MATCH($AU455,'AJUSTES'!$A$4:$A$303,0)),IF($K455="","",$K455)))</f>
        <v/>
      </c>
      <c r="N455" s="24">
        <f>IF($A455="","",IFERROR(INDEX('CAT_ESTADOS_ERP'!$B$4:$B$22,MATCH(IFERROR(INDEX('2_IMPORTAR_EJECUCION'!$C$9:$C$1208,MATCH($AU455,'2_IMPORTAR_EJECUCION'!$J$9:$J$1208,0)),""),'CAT_ESTADOS_ERP'!$A$4:$A$22,0)),"Pendiente"))</f>
        <v/>
      </c>
      <c r="O455" s="24">
        <f>IF($J455="","",YEAR($J455+4-WEEKDAY($J455,2))&amp;"-S"&amp;TEXT(_xlfn.ISOWEEKNUM($J455),"00"))</f>
        <v/>
      </c>
      <c r="P455" s="24">
        <f>IF($J455="","",YEAR($J455))</f>
        <v/>
      </c>
      <c r="Q455" s="24">
        <f>IF($J455="","",MONTH($J455))</f>
        <v/>
      </c>
      <c r="R455" s="24">
        <f>IF($J455="","",$P455&amp;"-"&amp;TEXT($Q455,"00"))</f>
        <v/>
      </c>
      <c r="S455" s="24">
        <f>IF($J455="","",INDEX(lista_dias,WEEKDAY($J455,2)))</f>
        <v/>
      </c>
      <c r="T455" s="24">
        <f>IF($J455="","",IFERROR(INDEX('CALENDARIO'!$C$15:$C$214,MATCH(TEXT($J455,"yyyy-mm-dd")&amp;"|"&amp;$Y455&amp;"|"&amp;$Z455,'CALENDARIO'!$G$15:$G$214,0)),IFERROR(INDEX('CALENDARIO'!$C$15:$C$214,MATCH(TEXT($J455,"yyyy-mm-dd")&amp;"|"&amp;$Y455&amp;"|",'CALENDARIO'!$G$15:$G$214,0)),IFERROR(INDEX('CALENDARIO'!$C$15:$C$214,MATCH(TEXT($J455,"yyyy-mm-dd")&amp;"||",'CALENDARIO'!$G$15:$G$214,0)),INDEX(patronHabil,WEEKDAY($J455,2))))))</f>
        <v/>
      </c>
      <c r="U455" s="24">
        <f>IF($I455="","",IFERROR(INDEX('CAT_TIPOS_OT'!$C$4:$C$23,MATCH($I455,'CAT_TIPOS_OT'!$A$4:$A$23,0)),"sin_clasificar"))</f>
        <v/>
      </c>
      <c r="V455" s="24">
        <f>IF($I455="","",IF(IFERROR(INDEX('CAT_TIPOS_OT'!$D$4:$D$23,MATCH($I455,'CAT_TIPOS_OT'!$A$4:$A$23,0)),"SIN CLASIFICAR")="","SIN CLASIFICAR",IFERROR(INDEX('CAT_TIPOS_OT'!$D$4:$D$23,MATCH($I455,'CAT_TIPOS_OT'!$A$4:$A$23,0)),"SIN CLASIFICAR")))</f>
        <v/>
      </c>
      <c r="W455" s="24">
        <f>IF($H455="","",IF(IFERROR(INDEX('CAT_ACTIVIDADES'!$F$4:$F$26,MATCH($H455,'CAT_ACTIVIDADES'!$A$4:$A$26,0)),"")=0,"",IFERROR(INDEX('CAT_ACTIVIDADES'!$F$4:$F$26,MATCH($H455,'CAT_ACTIVIDADES'!$A$4:$A$26,0)),"")))</f>
        <v/>
      </c>
      <c r="X455" s="24">
        <f>IF($F455="","",IFERROR(INDEX('CAT_CENTROS_COSTO'!$F$4:$F$28,MATCH($F455,'CAT_CENTROS_COSTO'!$A$4:$A$28,0)),"(sin catálogo)"))</f>
        <v/>
      </c>
      <c r="Y455" s="24">
        <f>IF($F455="","",IFERROR(INDEX('CAT_CENTROS_COSTO'!$D$4:$D$28,MATCH($F455,'CAT_CENTROS_COSTO'!$A$4:$A$28,0)),"(sin catálogo)"))</f>
        <v/>
      </c>
      <c r="Z455" s="24">
        <f>IF($F455="","",IF((IFERROR(INDEX('CAT_CENTROS_COSTO'!$E$4:$E$28,MATCH($F455,'CAT_CENTROS_COSTO'!$A$4:$A$28,0)),""))&lt;&gt;"",IFERROR(INDEX('CAT_CENTROS_COSTO'!$E$4:$E$28,MATCH($F455,'CAT_CENTROS_COSTO'!$A$4:$A$28,0)),""),$Y455))</f>
        <v/>
      </c>
      <c r="AA455" s="24">
        <f>IF($F455="","",IFERROR(INDEX('CAT_CENTROS_COSTO'!$G$4:$G$28,MATCH($F455,'CAT_CENTROS_COSTO'!$A$4:$A$28,0)),"(sin catálogo)"))</f>
        <v/>
      </c>
      <c r="AB455" s="24">
        <f>IF($G455="","",IFERROR(INDEX('CAT_PUESTOS'!$B$4:$B$23,MATCH($G455,'CAT_PUESTOS'!$A$4:$A$23,0)),"(sin catálogo)"))</f>
        <v/>
      </c>
      <c r="AC455" s="24">
        <f>IF($H455="","",IFERROR(INDEX('CAT_ACTIVIDADES'!$B$4:$B$26,MATCH($H455,'CAT_ACTIVIDADES'!$A$4:$A$26,0)),"(sin catálogo)"))</f>
        <v/>
      </c>
      <c r="AD455" s="26">
        <f>IF($J455="","",TODAY()-$J455)</f>
        <v/>
      </c>
      <c r="AE455" s="26">
        <f>IF($J455="","",IF($J455&lt;=TODAY(),COUNTIFS(cal_fechas,"&gt;="&amp;$J455,cal_fechas,"&lt;"&amp;TODAY(),cal_habil,"sí"),-COUNTIFS(cal_fechas,"&gt;="&amp;TODAY(),cal_fechas,"&lt;"&amp;$J455,cal_habil,"sí")))</f>
        <v/>
      </c>
      <c r="AF455" s="24">
        <f>IF($AE455="","",IF($AE455&lt;0,"FUTURO",IF($AE455&gt;p_dias_backlog_max,"BACKLOG","MES CORRIENTE")))</f>
        <v/>
      </c>
      <c r="AG455" s="24">
        <f>IF($AE455="",FALSE,AND($AE455&gt;p_dias_backlog_min,$AE455&lt;=p_dias_backlog_max))</f>
        <v/>
      </c>
      <c r="AH455" s="4" t="n"/>
      <c r="AI455" s="24">
        <f>IF($AH455="","",IF((IFERROR(INDEX('ASIGNACIONES'!$J$4:$J$451,MATCH($O455&amp;"|"&amp;$S455&amp;"|"&amp;$AH455,'ASIGNACIONES'!$N$4:$N$451,0)),""))=0,"",IFERROR(INDEX('ASIGNACIONES'!$J$4:$J$451,MATCH($O455&amp;"|"&amp;$S455&amp;"|"&amp;$AH455,'ASIGNACIONES'!$N$4:$N$451,0)),"")))</f>
        <v/>
      </c>
      <c r="AJ455" s="42">
        <f>IF($AH455="","",SUMIFS('ORDENES'!$M$4:$M$1203,'ORDENES'!$AH$4:$AH$1203,$AH455,'ORDENES'!$O$4:$O$1203,$O455,'ORDENES'!$S$4:$S$1203,$S455))</f>
        <v/>
      </c>
      <c r="AK455" s="42">
        <f>IF($AJ455="","",p_factor_productividad*IFERROR(INDEX('ASIGNACIONES'!$M$4:$M$451,MATCH($O455&amp;"|"&amp;$S455&amp;"|"&amp;$AH455,'ASIGNACIONES'!$N$4:$N$451,0)),0)-$AJ455)</f>
        <v/>
      </c>
      <c r="AL455" s="32">
        <f>IF($A455="","",IFERROR(INDEX('2_IMPORTAR_EJECUCION'!$F$9:$F$1208,MATCH($AU455,'2_IMPORTAR_EJECUCION'!$J$9:$J$1208,0)),0))</f>
        <v/>
      </c>
      <c r="AM455" s="32">
        <f>IF($A455="","",MAX(0,IFERROR(INDEX('2_IMPORTAR_EJECUCION'!$H$9:$H$1208,MATCH($AU455,'2_IMPORTAR_EJECUCION'!$J$9:$J$1208,0)),0)-$AL455))</f>
        <v/>
      </c>
      <c r="AN455" s="32">
        <f>IF($A455="","",$AL455+$AM455)</f>
        <v/>
      </c>
      <c r="AO455" s="24">
        <f>IF($A455="","",IF(OR((IFERROR(INDEX('CAT_ACTIVIDADES'!$D$4:$D$26,MATCH($H455,'CAT_ACTIVIDADES'!$A$4:$A$26,0)),""))=0,(IFERROR(INDEX('CAT_ACTIVIDADES'!$D$4:$D$26,MATCH($H455,'CAT_ACTIVIDADES'!$A$4:$A$26,0)),""))=""),"SIN CLASIFICAR",IFERROR(INDEX('CAT_ACTIVIDADES'!$D$4:$D$26,MATCH($H455,'CAT_ACTIVIDADES'!$A$4:$A$26,0)),"")))</f>
        <v/>
      </c>
      <c r="AP455" s="4" t="n"/>
      <c r="AQ455" s="4" t="n"/>
      <c r="AR455" s="4" t="n"/>
      <c r="AS455" s="24">
        <f>IF($AR455="","",HYPERLINK(p_ruta_base_checklists&amp;$AR455,"abrir"))</f>
        <v/>
      </c>
      <c r="AT455" s="4" t="n"/>
      <c r="AU455" s="24">
        <f>IF($A455="","",$A455&amp;IF($B455="","0010",$B455))</f>
        <v/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41" t="n"/>
      <c r="K456" s="5" t="n"/>
      <c r="L456" s="18" t="n"/>
      <c r="M456" s="24">
        <f>IF($A456="","",IFERROR(INDEX('AJUSTES'!$B$4:$B$303,MATCH($AU456,'AJUSTES'!$A$4:$A$303,0)),IF($K456="","",$K456)))</f>
        <v/>
      </c>
      <c r="N456" s="24">
        <f>IF($A456="","",IFERROR(INDEX('CAT_ESTADOS_ERP'!$B$4:$B$22,MATCH(IFERROR(INDEX('2_IMPORTAR_EJECUCION'!$C$9:$C$1208,MATCH($AU456,'2_IMPORTAR_EJECUCION'!$J$9:$J$1208,0)),""),'CAT_ESTADOS_ERP'!$A$4:$A$22,0)),"Pendiente"))</f>
        <v/>
      </c>
      <c r="O456" s="24">
        <f>IF($J456="","",YEAR($J456+4-WEEKDAY($J456,2))&amp;"-S"&amp;TEXT(_xlfn.ISOWEEKNUM($J456),"00"))</f>
        <v/>
      </c>
      <c r="P456" s="24">
        <f>IF($J456="","",YEAR($J456))</f>
        <v/>
      </c>
      <c r="Q456" s="24">
        <f>IF($J456="","",MONTH($J456))</f>
        <v/>
      </c>
      <c r="R456" s="24">
        <f>IF($J456="","",$P456&amp;"-"&amp;TEXT($Q456,"00"))</f>
        <v/>
      </c>
      <c r="S456" s="24">
        <f>IF($J456="","",INDEX(lista_dias,WEEKDAY($J456,2)))</f>
        <v/>
      </c>
      <c r="T456" s="24">
        <f>IF($J456="","",IFERROR(INDEX('CALENDARIO'!$C$15:$C$214,MATCH(TEXT($J456,"yyyy-mm-dd")&amp;"|"&amp;$Y456&amp;"|"&amp;$Z456,'CALENDARIO'!$G$15:$G$214,0)),IFERROR(INDEX('CALENDARIO'!$C$15:$C$214,MATCH(TEXT($J456,"yyyy-mm-dd")&amp;"|"&amp;$Y456&amp;"|",'CALENDARIO'!$G$15:$G$214,0)),IFERROR(INDEX('CALENDARIO'!$C$15:$C$214,MATCH(TEXT($J456,"yyyy-mm-dd")&amp;"||",'CALENDARIO'!$G$15:$G$214,0)),INDEX(patronHabil,WEEKDAY($J456,2))))))</f>
        <v/>
      </c>
      <c r="U456" s="24">
        <f>IF($I456="","",IFERROR(INDEX('CAT_TIPOS_OT'!$C$4:$C$23,MATCH($I456,'CAT_TIPOS_OT'!$A$4:$A$23,0)),"sin_clasificar"))</f>
        <v/>
      </c>
      <c r="V456" s="24">
        <f>IF($I456="","",IF(IFERROR(INDEX('CAT_TIPOS_OT'!$D$4:$D$23,MATCH($I456,'CAT_TIPOS_OT'!$A$4:$A$23,0)),"SIN CLASIFICAR")="","SIN CLASIFICAR",IFERROR(INDEX('CAT_TIPOS_OT'!$D$4:$D$23,MATCH($I456,'CAT_TIPOS_OT'!$A$4:$A$23,0)),"SIN CLASIFICAR")))</f>
        <v/>
      </c>
      <c r="W456" s="24">
        <f>IF($H456="","",IF(IFERROR(INDEX('CAT_ACTIVIDADES'!$F$4:$F$26,MATCH($H456,'CAT_ACTIVIDADES'!$A$4:$A$26,0)),"")=0,"",IFERROR(INDEX('CAT_ACTIVIDADES'!$F$4:$F$26,MATCH($H456,'CAT_ACTIVIDADES'!$A$4:$A$26,0)),"")))</f>
        <v/>
      </c>
      <c r="X456" s="24">
        <f>IF($F456="","",IFERROR(INDEX('CAT_CENTROS_COSTO'!$F$4:$F$28,MATCH($F456,'CAT_CENTROS_COSTO'!$A$4:$A$28,0)),"(sin catálogo)"))</f>
        <v/>
      </c>
      <c r="Y456" s="24">
        <f>IF($F456="","",IFERROR(INDEX('CAT_CENTROS_COSTO'!$D$4:$D$28,MATCH($F456,'CAT_CENTROS_COSTO'!$A$4:$A$28,0)),"(sin catálogo)"))</f>
        <v/>
      </c>
      <c r="Z456" s="24">
        <f>IF($F456="","",IF((IFERROR(INDEX('CAT_CENTROS_COSTO'!$E$4:$E$28,MATCH($F456,'CAT_CENTROS_COSTO'!$A$4:$A$28,0)),""))&lt;&gt;"",IFERROR(INDEX('CAT_CENTROS_COSTO'!$E$4:$E$28,MATCH($F456,'CAT_CENTROS_COSTO'!$A$4:$A$28,0)),""),$Y456))</f>
        <v/>
      </c>
      <c r="AA456" s="24">
        <f>IF($F456="","",IFERROR(INDEX('CAT_CENTROS_COSTO'!$G$4:$G$28,MATCH($F456,'CAT_CENTROS_COSTO'!$A$4:$A$28,0)),"(sin catálogo)"))</f>
        <v/>
      </c>
      <c r="AB456" s="24">
        <f>IF($G456="","",IFERROR(INDEX('CAT_PUESTOS'!$B$4:$B$23,MATCH($G456,'CAT_PUESTOS'!$A$4:$A$23,0)),"(sin catálogo)"))</f>
        <v/>
      </c>
      <c r="AC456" s="24">
        <f>IF($H456="","",IFERROR(INDEX('CAT_ACTIVIDADES'!$B$4:$B$26,MATCH($H456,'CAT_ACTIVIDADES'!$A$4:$A$26,0)),"(sin catálogo)"))</f>
        <v/>
      </c>
      <c r="AD456" s="26">
        <f>IF($J456="","",TODAY()-$J456)</f>
        <v/>
      </c>
      <c r="AE456" s="26">
        <f>IF($J456="","",IF($J456&lt;=TODAY(),COUNTIFS(cal_fechas,"&gt;="&amp;$J456,cal_fechas,"&lt;"&amp;TODAY(),cal_habil,"sí"),-COUNTIFS(cal_fechas,"&gt;="&amp;TODAY(),cal_fechas,"&lt;"&amp;$J456,cal_habil,"sí")))</f>
        <v/>
      </c>
      <c r="AF456" s="24">
        <f>IF($AE456="","",IF($AE456&lt;0,"FUTURO",IF($AE456&gt;p_dias_backlog_max,"BACKLOG","MES CORRIENTE")))</f>
        <v/>
      </c>
      <c r="AG456" s="24">
        <f>IF($AE456="",FALSE,AND($AE456&gt;p_dias_backlog_min,$AE456&lt;=p_dias_backlog_max))</f>
        <v/>
      </c>
      <c r="AH456" s="4" t="n"/>
      <c r="AI456" s="24">
        <f>IF($AH456="","",IF((IFERROR(INDEX('ASIGNACIONES'!$J$4:$J$451,MATCH($O456&amp;"|"&amp;$S456&amp;"|"&amp;$AH456,'ASIGNACIONES'!$N$4:$N$451,0)),""))=0,"",IFERROR(INDEX('ASIGNACIONES'!$J$4:$J$451,MATCH($O456&amp;"|"&amp;$S456&amp;"|"&amp;$AH456,'ASIGNACIONES'!$N$4:$N$451,0)),"")))</f>
        <v/>
      </c>
      <c r="AJ456" s="42">
        <f>IF($AH456="","",SUMIFS('ORDENES'!$M$4:$M$1203,'ORDENES'!$AH$4:$AH$1203,$AH456,'ORDENES'!$O$4:$O$1203,$O456,'ORDENES'!$S$4:$S$1203,$S456))</f>
        <v/>
      </c>
      <c r="AK456" s="42">
        <f>IF($AJ456="","",p_factor_productividad*IFERROR(INDEX('ASIGNACIONES'!$M$4:$M$451,MATCH($O456&amp;"|"&amp;$S456&amp;"|"&amp;$AH456,'ASIGNACIONES'!$N$4:$N$451,0)),0)-$AJ456)</f>
        <v/>
      </c>
      <c r="AL456" s="32">
        <f>IF($A456="","",IFERROR(INDEX('2_IMPORTAR_EJECUCION'!$F$9:$F$1208,MATCH($AU456,'2_IMPORTAR_EJECUCION'!$J$9:$J$1208,0)),0))</f>
        <v/>
      </c>
      <c r="AM456" s="32">
        <f>IF($A456="","",MAX(0,IFERROR(INDEX('2_IMPORTAR_EJECUCION'!$H$9:$H$1208,MATCH($AU456,'2_IMPORTAR_EJECUCION'!$J$9:$J$1208,0)),0)-$AL456))</f>
        <v/>
      </c>
      <c r="AN456" s="32">
        <f>IF($A456="","",$AL456+$AM456)</f>
        <v/>
      </c>
      <c r="AO456" s="24">
        <f>IF($A456="","",IF(OR((IFERROR(INDEX('CAT_ACTIVIDADES'!$D$4:$D$26,MATCH($H456,'CAT_ACTIVIDADES'!$A$4:$A$26,0)),""))=0,(IFERROR(INDEX('CAT_ACTIVIDADES'!$D$4:$D$26,MATCH($H456,'CAT_ACTIVIDADES'!$A$4:$A$26,0)),""))=""),"SIN CLASIFICAR",IFERROR(INDEX('CAT_ACTIVIDADES'!$D$4:$D$26,MATCH($H456,'CAT_ACTIVIDADES'!$A$4:$A$26,0)),"")))</f>
        <v/>
      </c>
      <c r="AP456" s="4" t="n"/>
      <c r="AQ456" s="4" t="n"/>
      <c r="AR456" s="4" t="n"/>
      <c r="AS456" s="24">
        <f>IF($AR456="","",HYPERLINK(p_ruta_base_checklists&amp;$AR456,"abrir"))</f>
        <v/>
      </c>
      <c r="AT456" s="4" t="n"/>
      <c r="AU456" s="24">
        <f>IF($A456="","",$A456&amp;IF($B456="","0010",$B456))</f>
        <v/>
      </c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41" t="n"/>
      <c r="K457" s="5" t="n"/>
      <c r="L457" s="18" t="n"/>
      <c r="M457" s="24">
        <f>IF($A457="","",IFERROR(INDEX('AJUSTES'!$B$4:$B$303,MATCH($AU457,'AJUSTES'!$A$4:$A$303,0)),IF($K457="","",$K457)))</f>
        <v/>
      </c>
      <c r="N457" s="24">
        <f>IF($A457="","",IFERROR(INDEX('CAT_ESTADOS_ERP'!$B$4:$B$22,MATCH(IFERROR(INDEX('2_IMPORTAR_EJECUCION'!$C$9:$C$1208,MATCH($AU457,'2_IMPORTAR_EJECUCION'!$J$9:$J$1208,0)),""),'CAT_ESTADOS_ERP'!$A$4:$A$22,0)),"Pendiente"))</f>
        <v/>
      </c>
      <c r="O457" s="24">
        <f>IF($J457="","",YEAR($J457+4-WEEKDAY($J457,2))&amp;"-S"&amp;TEXT(_xlfn.ISOWEEKNUM($J457),"00"))</f>
        <v/>
      </c>
      <c r="P457" s="24">
        <f>IF($J457="","",YEAR($J457))</f>
        <v/>
      </c>
      <c r="Q457" s="24">
        <f>IF($J457="","",MONTH($J457))</f>
        <v/>
      </c>
      <c r="R457" s="24">
        <f>IF($J457="","",$P457&amp;"-"&amp;TEXT($Q457,"00"))</f>
        <v/>
      </c>
      <c r="S457" s="24">
        <f>IF($J457="","",INDEX(lista_dias,WEEKDAY($J457,2)))</f>
        <v/>
      </c>
      <c r="T457" s="24">
        <f>IF($J457="","",IFERROR(INDEX('CALENDARIO'!$C$15:$C$214,MATCH(TEXT($J457,"yyyy-mm-dd")&amp;"|"&amp;$Y457&amp;"|"&amp;$Z457,'CALENDARIO'!$G$15:$G$214,0)),IFERROR(INDEX('CALENDARIO'!$C$15:$C$214,MATCH(TEXT($J457,"yyyy-mm-dd")&amp;"|"&amp;$Y457&amp;"|",'CALENDARIO'!$G$15:$G$214,0)),IFERROR(INDEX('CALENDARIO'!$C$15:$C$214,MATCH(TEXT($J457,"yyyy-mm-dd")&amp;"||",'CALENDARIO'!$G$15:$G$214,0)),INDEX(patronHabil,WEEKDAY($J457,2))))))</f>
        <v/>
      </c>
      <c r="U457" s="24">
        <f>IF($I457="","",IFERROR(INDEX('CAT_TIPOS_OT'!$C$4:$C$23,MATCH($I457,'CAT_TIPOS_OT'!$A$4:$A$23,0)),"sin_clasificar"))</f>
        <v/>
      </c>
      <c r="V457" s="24">
        <f>IF($I457="","",IF(IFERROR(INDEX('CAT_TIPOS_OT'!$D$4:$D$23,MATCH($I457,'CAT_TIPOS_OT'!$A$4:$A$23,0)),"SIN CLASIFICAR")="","SIN CLASIFICAR",IFERROR(INDEX('CAT_TIPOS_OT'!$D$4:$D$23,MATCH($I457,'CAT_TIPOS_OT'!$A$4:$A$23,0)),"SIN CLASIFICAR")))</f>
        <v/>
      </c>
      <c r="W457" s="24">
        <f>IF($H457="","",IF(IFERROR(INDEX('CAT_ACTIVIDADES'!$F$4:$F$26,MATCH($H457,'CAT_ACTIVIDADES'!$A$4:$A$26,0)),"")=0,"",IFERROR(INDEX('CAT_ACTIVIDADES'!$F$4:$F$26,MATCH($H457,'CAT_ACTIVIDADES'!$A$4:$A$26,0)),"")))</f>
        <v/>
      </c>
      <c r="X457" s="24">
        <f>IF($F457="","",IFERROR(INDEX('CAT_CENTROS_COSTO'!$F$4:$F$28,MATCH($F457,'CAT_CENTROS_COSTO'!$A$4:$A$28,0)),"(sin catálogo)"))</f>
        <v/>
      </c>
      <c r="Y457" s="24">
        <f>IF($F457="","",IFERROR(INDEX('CAT_CENTROS_COSTO'!$D$4:$D$28,MATCH($F457,'CAT_CENTROS_COSTO'!$A$4:$A$28,0)),"(sin catálogo)"))</f>
        <v/>
      </c>
      <c r="Z457" s="24">
        <f>IF($F457="","",IF((IFERROR(INDEX('CAT_CENTROS_COSTO'!$E$4:$E$28,MATCH($F457,'CAT_CENTROS_COSTO'!$A$4:$A$28,0)),""))&lt;&gt;"",IFERROR(INDEX('CAT_CENTROS_COSTO'!$E$4:$E$28,MATCH($F457,'CAT_CENTROS_COSTO'!$A$4:$A$28,0)),""),$Y457))</f>
        <v/>
      </c>
      <c r="AA457" s="24">
        <f>IF($F457="","",IFERROR(INDEX('CAT_CENTROS_COSTO'!$G$4:$G$28,MATCH($F457,'CAT_CENTROS_COSTO'!$A$4:$A$28,0)),"(sin catálogo)"))</f>
        <v/>
      </c>
      <c r="AB457" s="24">
        <f>IF($G457="","",IFERROR(INDEX('CAT_PUESTOS'!$B$4:$B$23,MATCH($G457,'CAT_PUESTOS'!$A$4:$A$23,0)),"(sin catálogo)"))</f>
        <v/>
      </c>
      <c r="AC457" s="24">
        <f>IF($H457="","",IFERROR(INDEX('CAT_ACTIVIDADES'!$B$4:$B$26,MATCH($H457,'CAT_ACTIVIDADES'!$A$4:$A$26,0)),"(sin catálogo)"))</f>
        <v/>
      </c>
      <c r="AD457" s="26">
        <f>IF($J457="","",TODAY()-$J457)</f>
        <v/>
      </c>
      <c r="AE457" s="26">
        <f>IF($J457="","",IF($J457&lt;=TODAY(),COUNTIFS(cal_fechas,"&gt;="&amp;$J457,cal_fechas,"&lt;"&amp;TODAY(),cal_habil,"sí"),-COUNTIFS(cal_fechas,"&gt;="&amp;TODAY(),cal_fechas,"&lt;"&amp;$J457,cal_habil,"sí")))</f>
        <v/>
      </c>
      <c r="AF457" s="24">
        <f>IF($AE457="","",IF($AE457&lt;0,"FUTURO",IF($AE457&gt;p_dias_backlog_max,"BACKLOG","MES CORRIENTE")))</f>
        <v/>
      </c>
      <c r="AG457" s="24">
        <f>IF($AE457="",FALSE,AND($AE457&gt;p_dias_backlog_min,$AE457&lt;=p_dias_backlog_max))</f>
        <v/>
      </c>
      <c r="AH457" s="4" t="n"/>
      <c r="AI457" s="24">
        <f>IF($AH457="","",IF((IFERROR(INDEX('ASIGNACIONES'!$J$4:$J$451,MATCH($O457&amp;"|"&amp;$S457&amp;"|"&amp;$AH457,'ASIGNACIONES'!$N$4:$N$451,0)),""))=0,"",IFERROR(INDEX('ASIGNACIONES'!$J$4:$J$451,MATCH($O457&amp;"|"&amp;$S457&amp;"|"&amp;$AH457,'ASIGNACIONES'!$N$4:$N$451,0)),"")))</f>
        <v/>
      </c>
      <c r="AJ457" s="42">
        <f>IF($AH457="","",SUMIFS('ORDENES'!$M$4:$M$1203,'ORDENES'!$AH$4:$AH$1203,$AH457,'ORDENES'!$O$4:$O$1203,$O457,'ORDENES'!$S$4:$S$1203,$S457))</f>
        <v/>
      </c>
      <c r="AK457" s="42">
        <f>IF($AJ457="","",p_factor_productividad*IFERROR(INDEX('ASIGNACIONES'!$M$4:$M$451,MATCH($O457&amp;"|"&amp;$S457&amp;"|"&amp;$AH457,'ASIGNACIONES'!$N$4:$N$451,0)),0)-$AJ457)</f>
        <v/>
      </c>
      <c r="AL457" s="32">
        <f>IF($A457="","",IFERROR(INDEX('2_IMPORTAR_EJECUCION'!$F$9:$F$1208,MATCH($AU457,'2_IMPORTAR_EJECUCION'!$J$9:$J$1208,0)),0))</f>
        <v/>
      </c>
      <c r="AM457" s="32">
        <f>IF($A457="","",MAX(0,IFERROR(INDEX('2_IMPORTAR_EJECUCION'!$H$9:$H$1208,MATCH($AU457,'2_IMPORTAR_EJECUCION'!$J$9:$J$1208,0)),0)-$AL457))</f>
        <v/>
      </c>
      <c r="AN457" s="32">
        <f>IF($A457="","",$AL457+$AM457)</f>
        <v/>
      </c>
      <c r="AO457" s="24">
        <f>IF($A457="","",IF(OR((IFERROR(INDEX('CAT_ACTIVIDADES'!$D$4:$D$26,MATCH($H457,'CAT_ACTIVIDADES'!$A$4:$A$26,0)),""))=0,(IFERROR(INDEX('CAT_ACTIVIDADES'!$D$4:$D$26,MATCH($H457,'CAT_ACTIVIDADES'!$A$4:$A$26,0)),""))=""),"SIN CLASIFICAR",IFERROR(INDEX('CAT_ACTIVIDADES'!$D$4:$D$26,MATCH($H457,'CAT_ACTIVIDADES'!$A$4:$A$26,0)),"")))</f>
        <v/>
      </c>
      <c r="AP457" s="4" t="n"/>
      <c r="AQ457" s="4" t="n"/>
      <c r="AR457" s="4" t="n"/>
      <c r="AS457" s="24">
        <f>IF($AR457="","",HYPERLINK(p_ruta_base_checklists&amp;$AR457,"abrir"))</f>
        <v/>
      </c>
      <c r="AT457" s="4" t="n"/>
      <c r="AU457" s="24">
        <f>IF($A457="","",$A457&amp;IF($B457="","0010",$B457))</f>
        <v/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41" t="n"/>
      <c r="K458" s="5" t="n"/>
      <c r="L458" s="18" t="n"/>
      <c r="M458" s="24">
        <f>IF($A458="","",IFERROR(INDEX('AJUSTES'!$B$4:$B$303,MATCH($AU458,'AJUSTES'!$A$4:$A$303,0)),IF($K458="","",$K458)))</f>
        <v/>
      </c>
      <c r="N458" s="24">
        <f>IF($A458="","",IFERROR(INDEX('CAT_ESTADOS_ERP'!$B$4:$B$22,MATCH(IFERROR(INDEX('2_IMPORTAR_EJECUCION'!$C$9:$C$1208,MATCH($AU458,'2_IMPORTAR_EJECUCION'!$J$9:$J$1208,0)),""),'CAT_ESTADOS_ERP'!$A$4:$A$22,0)),"Pendiente"))</f>
        <v/>
      </c>
      <c r="O458" s="24">
        <f>IF($J458="","",YEAR($J458+4-WEEKDAY($J458,2))&amp;"-S"&amp;TEXT(_xlfn.ISOWEEKNUM($J458),"00"))</f>
        <v/>
      </c>
      <c r="P458" s="24">
        <f>IF($J458="","",YEAR($J458))</f>
        <v/>
      </c>
      <c r="Q458" s="24">
        <f>IF($J458="","",MONTH($J458))</f>
        <v/>
      </c>
      <c r="R458" s="24">
        <f>IF($J458="","",$P458&amp;"-"&amp;TEXT($Q458,"00"))</f>
        <v/>
      </c>
      <c r="S458" s="24">
        <f>IF($J458="","",INDEX(lista_dias,WEEKDAY($J458,2)))</f>
        <v/>
      </c>
      <c r="T458" s="24">
        <f>IF($J458="","",IFERROR(INDEX('CALENDARIO'!$C$15:$C$214,MATCH(TEXT($J458,"yyyy-mm-dd")&amp;"|"&amp;$Y458&amp;"|"&amp;$Z458,'CALENDARIO'!$G$15:$G$214,0)),IFERROR(INDEX('CALENDARIO'!$C$15:$C$214,MATCH(TEXT($J458,"yyyy-mm-dd")&amp;"|"&amp;$Y458&amp;"|",'CALENDARIO'!$G$15:$G$214,0)),IFERROR(INDEX('CALENDARIO'!$C$15:$C$214,MATCH(TEXT($J458,"yyyy-mm-dd")&amp;"||",'CALENDARIO'!$G$15:$G$214,0)),INDEX(patronHabil,WEEKDAY($J458,2))))))</f>
        <v/>
      </c>
      <c r="U458" s="24">
        <f>IF($I458="","",IFERROR(INDEX('CAT_TIPOS_OT'!$C$4:$C$23,MATCH($I458,'CAT_TIPOS_OT'!$A$4:$A$23,0)),"sin_clasificar"))</f>
        <v/>
      </c>
      <c r="V458" s="24">
        <f>IF($I458="","",IF(IFERROR(INDEX('CAT_TIPOS_OT'!$D$4:$D$23,MATCH($I458,'CAT_TIPOS_OT'!$A$4:$A$23,0)),"SIN CLASIFICAR")="","SIN CLASIFICAR",IFERROR(INDEX('CAT_TIPOS_OT'!$D$4:$D$23,MATCH($I458,'CAT_TIPOS_OT'!$A$4:$A$23,0)),"SIN CLASIFICAR")))</f>
        <v/>
      </c>
      <c r="W458" s="24">
        <f>IF($H458="","",IF(IFERROR(INDEX('CAT_ACTIVIDADES'!$F$4:$F$26,MATCH($H458,'CAT_ACTIVIDADES'!$A$4:$A$26,0)),"")=0,"",IFERROR(INDEX('CAT_ACTIVIDADES'!$F$4:$F$26,MATCH($H458,'CAT_ACTIVIDADES'!$A$4:$A$26,0)),"")))</f>
        <v/>
      </c>
      <c r="X458" s="24">
        <f>IF($F458="","",IFERROR(INDEX('CAT_CENTROS_COSTO'!$F$4:$F$28,MATCH($F458,'CAT_CENTROS_COSTO'!$A$4:$A$28,0)),"(sin catálogo)"))</f>
        <v/>
      </c>
      <c r="Y458" s="24">
        <f>IF($F458="","",IFERROR(INDEX('CAT_CENTROS_COSTO'!$D$4:$D$28,MATCH($F458,'CAT_CENTROS_COSTO'!$A$4:$A$28,0)),"(sin catálogo)"))</f>
        <v/>
      </c>
      <c r="Z458" s="24">
        <f>IF($F458="","",IF((IFERROR(INDEX('CAT_CENTROS_COSTO'!$E$4:$E$28,MATCH($F458,'CAT_CENTROS_COSTO'!$A$4:$A$28,0)),""))&lt;&gt;"",IFERROR(INDEX('CAT_CENTROS_COSTO'!$E$4:$E$28,MATCH($F458,'CAT_CENTROS_COSTO'!$A$4:$A$28,0)),""),$Y458))</f>
        <v/>
      </c>
      <c r="AA458" s="24">
        <f>IF($F458="","",IFERROR(INDEX('CAT_CENTROS_COSTO'!$G$4:$G$28,MATCH($F458,'CAT_CENTROS_COSTO'!$A$4:$A$28,0)),"(sin catálogo)"))</f>
        <v/>
      </c>
      <c r="AB458" s="24">
        <f>IF($G458="","",IFERROR(INDEX('CAT_PUESTOS'!$B$4:$B$23,MATCH($G458,'CAT_PUESTOS'!$A$4:$A$23,0)),"(sin catálogo)"))</f>
        <v/>
      </c>
      <c r="AC458" s="24">
        <f>IF($H458="","",IFERROR(INDEX('CAT_ACTIVIDADES'!$B$4:$B$26,MATCH($H458,'CAT_ACTIVIDADES'!$A$4:$A$26,0)),"(sin catálogo)"))</f>
        <v/>
      </c>
      <c r="AD458" s="26">
        <f>IF($J458="","",TODAY()-$J458)</f>
        <v/>
      </c>
      <c r="AE458" s="26">
        <f>IF($J458="","",IF($J458&lt;=TODAY(),COUNTIFS(cal_fechas,"&gt;="&amp;$J458,cal_fechas,"&lt;"&amp;TODAY(),cal_habil,"sí"),-COUNTIFS(cal_fechas,"&gt;="&amp;TODAY(),cal_fechas,"&lt;"&amp;$J458,cal_habil,"sí")))</f>
        <v/>
      </c>
      <c r="AF458" s="24">
        <f>IF($AE458="","",IF($AE458&lt;0,"FUTURO",IF($AE458&gt;p_dias_backlog_max,"BACKLOG","MES CORRIENTE")))</f>
        <v/>
      </c>
      <c r="AG458" s="24">
        <f>IF($AE458="",FALSE,AND($AE458&gt;p_dias_backlog_min,$AE458&lt;=p_dias_backlog_max))</f>
        <v/>
      </c>
      <c r="AH458" s="4" t="n"/>
      <c r="AI458" s="24">
        <f>IF($AH458="","",IF((IFERROR(INDEX('ASIGNACIONES'!$J$4:$J$451,MATCH($O458&amp;"|"&amp;$S458&amp;"|"&amp;$AH458,'ASIGNACIONES'!$N$4:$N$451,0)),""))=0,"",IFERROR(INDEX('ASIGNACIONES'!$J$4:$J$451,MATCH($O458&amp;"|"&amp;$S458&amp;"|"&amp;$AH458,'ASIGNACIONES'!$N$4:$N$451,0)),"")))</f>
        <v/>
      </c>
      <c r="AJ458" s="42">
        <f>IF($AH458="","",SUMIFS('ORDENES'!$M$4:$M$1203,'ORDENES'!$AH$4:$AH$1203,$AH458,'ORDENES'!$O$4:$O$1203,$O458,'ORDENES'!$S$4:$S$1203,$S458))</f>
        <v/>
      </c>
      <c r="AK458" s="42">
        <f>IF($AJ458="","",p_factor_productividad*IFERROR(INDEX('ASIGNACIONES'!$M$4:$M$451,MATCH($O458&amp;"|"&amp;$S458&amp;"|"&amp;$AH458,'ASIGNACIONES'!$N$4:$N$451,0)),0)-$AJ458)</f>
        <v/>
      </c>
      <c r="AL458" s="32">
        <f>IF($A458="","",IFERROR(INDEX('2_IMPORTAR_EJECUCION'!$F$9:$F$1208,MATCH($AU458,'2_IMPORTAR_EJECUCION'!$J$9:$J$1208,0)),0))</f>
        <v/>
      </c>
      <c r="AM458" s="32">
        <f>IF($A458="","",MAX(0,IFERROR(INDEX('2_IMPORTAR_EJECUCION'!$H$9:$H$1208,MATCH($AU458,'2_IMPORTAR_EJECUCION'!$J$9:$J$1208,0)),0)-$AL458))</f>
        <v/>
      </c>
      <c r="AN458" s="32">
        <f>IF($A458="","",$AL458+$AM458)</f>
        <v/>
      </c>
      <c r="AO458" s="24">
        <f>IF($A458="","",IF(OR((IFERROR(INDEX('CAT_ACTIVIDADES'!$D$4:$D$26,MATCH($H458,'CAT_ACTIVIDADES'!$A$4:$A$26,0)),""))=0,(IFERROR(INDEX('CAT_ACTIVIDADES'!$D$4:$D$26,MATCH($H458,'CAT_ACTIVIDADES'!$A$4:$A$26,0)),""))=""),"SIN CLASIFICAR",IFERROR(INDEX('CAT_ACTIVIDADES'!$D$4:$D$26,MATCH($H458,'CAT_ACTIVIDADES'!$A$4:$A$26,0)),"")))</f>
        <v/>
      </c>
      <c r="AP458" s="4" t="n"/>
      <c r="AQ458" s="4" t="n"/>
      <c r="AR458" s="4" t="n"/>
      <c r="AS458" s="24">
        <f>IF($AR458="","",HYPERLINK(p_ruta_base_checklists&amp;$AR458,"abrir"))</f>
        <v/>
      </c>
      <c r="AT458" s="4" t="n"/>
      <c r="AU458" s="24">
        <f>IF($A458="","",$A458&amp;IF($B458="","0010",$B458))</f>
        <v/>
      </c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41" t="n"/>
      <c r="K459" s="5" t="n"/>
      <c r="L459" s="18" t="n"/>
      <c r="M459" s="24">
        <f>IF($A459="","",IFERROR(INDEX('AJUSTES'!$B$4:$B$303,MATCH($AU459,'AJUSTES'!$A$4:$A$303,0)),IF($K459="","",$K459)))</f>
        <v/>
      </c>
      <c r="N459" s="24">
        <f>IF($A459="","",IFERROR(INDEX('CAT_ESTADOS_ERP'!$B$4:$B$22,MATCH(IFERROR(INDEX('2_IMPORTAR_EJECUCION'!$C$9:$C$1208,MATCH($AU459,'2_IMPORTAR_EJECUCION'!$J$9:$J$1208,0)),""),'CAT_ESTADOS_ERP'!$A$4:$A$22,0)),"Pendiente"))</f>
        <v/>
      </c>
      <c r="O459" s="24">
        <f>IF($J459="","",YEAR($J459+4-WEEKDAY($J459,2))&amp;"-S"&amp;TEXT(_xlfn.ISOWEEKNUM($J459),"00"))</f>
        <v/>
      </c>
      <c r="P459" s="24">
        <f>IF($J459="","",YEAR($J459))</f>
        <v/>
      </c>
      <c r="Q459" s="24">
        <f>IF($J459="","",MONTH($J459))</f>
        <v/>
      </c>
      <c r="R459" s="24">
        <f>IF($J459="","",$P459&amp;"-"&amp;TEXT($Q459,"00"))</f>
        <v/>
      </c>
      <c r="S459" s="24">
        <f>IF($J459="","",INDEX(lista_dias,WEEKDAY($J459,2)))</f>
        <v/>
      </c>
      <c r="T459" s="24">
        <f>IF($J459="","",IFERROR(INDEX('CALENDARIO'!$C$15:$C$214,MATCH(TEXT($J459,"yyyy-mm-dd")&amp;"|"&amp;$Y459&amp;"|"&amp;$Z459,'CALENDARIO'!$G$15:$G$214,0)),IFERROR(INDEX('CALENDARIO'!$C$15:$C$214,MATCH(TEXT($J459,"yyyy-mm-dd")&amp;"|"&amp;$Y459&amp;"|",'CALENDARIO'!$G$15:$G$214,0)),IFERROR(INDEX('CALENDARIO'!$C$15:$C$214,MATCH(TEXT($J459,"yyyy-mm-dd")&amp;"||",'CALENDARIO'!$G$15:$G$214,0)),INDEX(patronHabil,WEEKDAY($J459,2))))))</f>
        <v/>
      </c>
      <c r="U459" s="24">
        <f>IF($I459="","",IFERROR(INDEX('CAT_TIPOS_OT'!$C$4:$C$23,MATCH($I459,'CAT_TIPOS_OT'!$A$4:$A$23,0)),"sin_clasificar"))</f>
        <v/>
      </c>
      <c r="V459" s="24">
        <f>IF($I459="","",IF(IFERROR(INDEX('CAT_TIPOS_OT'!$D$4:$D$23,MATCH($I459,'CAT_TIPOS_OT'!$A$4:$A$23,0)),"SIN CLASIFICAR")="","SIN CLASIFICAR",IFERROR(INDEX('CAT_TIPOS_OT'!$D$4:$D$23,MATCH($I459,'CAT_TIPOS_OT'!$A$4:$A$23,0)),"SIN CLASIFICAR")))</f>
        <v/>
      </c>
      <c r="W459" s="24">
        <f>IF($H459="","",IF(IFERROR(INDEX('CAT_ACTIVIDADES'!$F$4:$F$26,MATCH($H459,'CAT_ACTIVIDADES'!$A$4:$A$26,0)),"")=0,"",IFERROR(INDEX('CAT_ACTIVIDADES'!$F$4:$F$26,MATCH($H459,'CAT_ACTIVIDADES'!$A$4:$A$26,0)),"")))</f>
        <v/>
      </c>
      <c r="X459" s="24">
        <f>IF($F459="","",IFERROR(INDEX('CAT_CENTROS_COSTO'!$F$4:$F$28,MATCH($F459,'CAT_CENTROS_COSTO'!$A$4:$A$28,0)),"(sin catálogo)"))</f>
        <v/>
      </c>
      <c r="Y459" s="24">
        <f>IF($F459="","",IFERROR(INDEX('CAT_CENTROS_COSTO'!$D$4:$D$28,MATCH($F459,'CAT_CENTROS_COSTO'!$A$4:$A$28,0)),"(sin catálogo)"))</f>
        <v/>
      </c>
      <c r="Z459" s="24">
        <f>IF($F459="","",IF((IFERROR(INDEX('CAT_CENTROS_COSTO'!$E$4:$E$28,MATCH($F459,'CAT_CENTROS_COSTO'!$A$4:$A$28,0)),""))&lt;&gt;"",IFERROR(INDEX('CAT_CENTROS_COSTO'!$E$4:$E$28,MATCH($F459,'CAT_CENTROS_COSTO'!$A$4:$A$28,0)),""),$Y459))</f>
        <v/>
      </c>
      <c r="AA459" s="24">
        <f>IF($F459="","",IFERROR(INDEX('CAT_CENTROS_COSTO'!$G$4:$G$28,MATCH($F459,'CAT_CENTROS_COSTO'!$A$4:$A$28,0)),"(sin catálogo)"))</f>
        <v/>
      </c>
      <c r="AB459" s="24">
        <f>IF($G459="","",IFERROR(INDEX('CAT_PUESTOS'!$B$4:$B$23,MATCH($G459,'CAT_PUESTOS'!$A$4:$A$23,0)),"(sin catálogo)"))</f>
        <v/>
      </c>
      <c r="AC459" s="24">
        <f>IF($H459="","",IFERROR(INDEX('CAT_ACTIVIDADES'!$B$4:$B$26,MATCH($H459,'CAT_ACTIVIDADES'!$A$4:$A$26,0)),"(sin catálogo)"))</f>
        <v/>
      </c>
      <c r="AD459" s="26">
        <f>IF($J459="","",TODAY()-$J459)</f>
        <v/>
      </c>
      <c r="AE459" s="26">
        <f>IF($J459="","",IF($J459&lt;=TODAY(),COUNTIFS(cal_fechas,"&gt;="&amp;$J459,cal_fechas,"&lt;"&amp;TODAY(),cal_habil,"sí"),-COUNTIFS(cal_fechas,"&gt;="&amp;TODAY(),cal_fechas,"&lt;"&amp;$J459,cal_habil,"sí")))</f>
        <v/>
      </c>
      <c r="AF459" s="24">
        <f>IF($AE459="","",IF($AE459&lt;0,"FUTURO",IF($AE459&gt;p_dias_backlog_max,"BACKLOG","MES CORRIENTE")))</f>
        <v/>
      </c>
      <c r="AG459" s="24">
        <f>IF($AE459="",FALSE,AND($AE459&gt;p_dias_backlog_min,$AE459&lt;=p_dias_backlog_max))</f>
        <v/>
      </c>
      <c r="AH459" s="4" t="n"/>
      <c r="AI459" s="24">
        <f>IF($AH459="","",IF((IFERROR(INDEX('ASIGNACIONES'!$J$4:$J$451,MATCH($O459&amp;"|"&amp;$S459&amp;"|"&amp;$AH459,'ASIGNACIONES'!$N$4:$N$451,0)),""))=0,"",IFERROR(INDEX('ASIGNACIONES'!$J$4:$J$451,MATCH($O459&amp;"|"&amp;$S459&amp;"|"&amp;$AH459,'ASIGNACIONES'!$N$4:$N$451,0)),"")))</f>
        <v/>
      </c>
      <c r="AJ459" s="42">
        <f>IF($AH459="","",SUMIFS('ORDENES'!$M$4:$M$1203,'ORDENES'!$AH$4:$AH$1203,$AH459,'ORDENES'!$O$4:$O$1203,$O459,'ORDENES'!$S$4:$S$1203,$S459))</f>
        <v/>
      </c>
      <c r="AK459" s="42">
        <f>IF($AJ459="","",p_factor_productividad*IFERROR(INDEX('ASIGNACIONES'!$M$4:$M$451,MATCH($O459&amp;"|"&amp;$S459&amp;"|"&amp;$AH459,'ASIGNACIONES'!$N$4:$N$451,0)),0)-$AJ459)</f>
        <v/>
      </c>
      <c r="AL459" s="32">
        <f>IF($A459="","",IFERROR(INDEX('2_IMPORTAR_EJECUCION'!$F$9:$F$1208,MATCH($AU459,'2_IMPORTAR_EJECUCION'!$J$9:$J$1208,0)),0))</f>
        <v/>
      </c>
      <c r="AM459" s="32">
        <f>IF($A459="","",MAX(0,IFERROR(INDEX('2_IMPORTAR_EJECUCION'!$H$9:$H$1208,MATCH($AU459,'2_IMPORTAR_EJECUCION'!$J$9:$J$1208,0)),0)-$AL459))</f>
        <v/>
      </c>
      <c r="AN459" s="32">
        <f>IF($A459="","",$AL459+$AM459)</f>
        <v/>
      </c>
      <c r="AO459" s="24">
        <f>IF($A459="","",IF(OR((IFERROR(INDEX('CAT_ACTIVIDADES'!$D$4:$D$26,MATCH($H459,'CAT_ACTIVIDADES'!$A$4:$A$26,0)),""))=0,(IFERROR(INDEX('CAT_ACTIVIDADES'!$D$4:$D$26,MATCH($H459,'CAT_ACTIVIDADES'!$A$4:$A$26,0)),""))=""),"SIN CLASIFICAR",IFERROR(INDEX('CAT_ACTIVIDADES'!$D$4:$D$26,MATCH($H459,'CAT_ACTIVIDADES'!$A$4:$A$26,0)),"")))</f>
        <v/>
      </c>
      <c r="AP459" s="4" t="n"/>
      <c r="AQ459" s="4" t="n"/>
      <c r="AR459" s="4" t="n"/>
      <c r="AS459" s="24">
        <f>IF($AR459="","",HYPERLINK(p_ruta_base_checklists&amp;$AR459,"abrir"))</f>
        <v/>
      </c>
      <c r="AT459" s="4" t="n"/>
      <c r="AU459" s="24">
        <f>IF($A459="","",$A459&amp;IF($B459="","0010",$B459))</f>
        <v/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41" t="n"/>
      <c r="K460" s="5" t="n"/>
      <c r="L460" s="18" t="n"/>
      <c r="M460" s="24">
        <f>IF($A460="","",IFERROR(INDEX('AJUSTES'!$B$4:$B$303,MATCH($AU460,'AJUSTES'!$A$4:$A$303,0)),IF($K460="","",$K460)))</f>
        <v/>
      </c>
      <c r="N460" s="24">
        <f>IF($A460="","",IFERROR(INDEX('CAT_ESTADOS_ERP'!$B$4:$B$22,MATCH(IFERROR(INDEX('2_IMPORTAR_EJECUCION'!$C$9:$C$1208,MATCH($AU460,'2_IMPORTAR_EJECUCION'!$J$9:$J$1208,0)),""),'CAT_ESTADOS_ERP'!$A$4:$A$22,0)),"Pendiente"))</f>
        <v/>
      </c>
      <c r="O460" s="24">
        <f>IF($J460="","",YEAR($J460+4-WEEKDAY($J460,2))&amp;"-S"&amp;TEXT(_xlfn.ISOWEEKNUM($J460),"00"))</f>
        <v/>
      </c>
      <c r="P460" s="24">
        <f>IF($J460="","",YEAR($J460))</f>
        <v/>
      </c>
      <c r="Q460" s="24">
        <f>IF($J460="","",MONTH($J460))</f>
        <v/>
      </c>
      <c r="R460" s="24">
        <f>IF($J460="","",$P460&amp;"-"&amp;TEXT($Q460,"00"))</f>
        <v/>
      </c>
      <c r="S460" s="24">
        <f>IF($J460="","",INDEX(lista_dias,WEEKDAY($J460,2)))</f>
        <v/>
      </c>
      <c r="T460" s="24">
        <f>IF($J460="","",IFERROR(INDEX('CALENDARIO'!$C$15:$C$214,MATCH(TEXT($J460,"yyyy-mm-dd")&amp;"|"&amp;$Y460&amp;"|"&amp;$Z460,'CALENDARIO'!$G$15:$G$214,0)),IFERROR(INDEX('CALENDARIO'!$C$15:$C$214,MATCH(TEXT($J460,"yyyy-mm-dd")&amp;"|"&amp;$Y460&amp;"|",'CALENDARIO'!$G$15:$G$214,0)),IFERROR(INDEX('CALENDARIO'!$C$15:$C$214,MATCH(TEXT($J460,"yyyy-mm-dd")&amp;"||",'CALENDARIO'!$G$15:$G$214,0)),INDEX(patronHabil,WEEKDAY($J460,2))))))</f>
        <v/>
      </c>
      <c r="U460" s="24">
        <f>IF($I460="","",IFERROR(INDEX('CAT_TIPOS_OT'!$C$4:$C$23,MATCH($I460,'CAT_TIPOS_OT'!$A$4:$A$23,0)),"sin_clasificar"))</f>
        <v/>
      </c>
      <c r="V460" s="24">
        <f>IF($I460="","",IF(IFERROR(INDEX('CAT_TIPOS_OT'!$D$4:$D$23,MATCH($I460,'CAT_TIPOS_OT'!$A$4:$A$23,0)),"SIN CLASIFICAR")="","SIN CLASIFICAR",IFERROR(INDEX('CAT_TIPOS_OT'!$D$4:$D$23,MATCH($I460,'CAT_TIPOS_OT'!$A$4:$A$23,0)),"SIN CLASIFICAR")))</f>
        <v/>
      </c>
      <c r="W460" s="24">
        <f>IF($H460="","",IF(IFERROR(INDEX('CAT_ACTIVIDADES'!$F$4:$F$26,MATCH($H460,'CAT_ACTIVIDADES'!$A$4:$A$26,0)),"")=0,"",IFERROR(INDEX('CAT_ACTIVIDADES'!$F$4:$F$26,MATCH($H460,'CAT_ACTIVIDADES'!$A$4:$A$26,0)),"")))</f>
        <v/>
      </c>
      <c r="X460" s="24">
        <f>IF($F460="","",IFERROR(INDEX('CAT_CENTROS_COSTO'!$F$4:$F$28,MATCH($F460,'CAT_CENTROS_COSTO'!$A$4:$A$28,0)),"(sin catálogo)"))</f>
        <v/>
      </c>
      <c r="Y460" s="24">
        <f>IF($F460="","",IFERROR(INDEX('CAT_CENTROS_COSTO'!$D$4:$D$28,MATCH($F460,'CAT_CENTROS_COSTO'!$A$4:$A$28,0)),"(sin catálogo)"))</f>
        <v/>
      </c>
      <c r="Z460" s="24">
        <f>IF($F460="","",IF((IFERROR(INDEX('CAT_CENTROS_COSTO'!$E$4:$E$28,MATCH($F460,'CAT_CENTROS_COSTO'!$A$4:$A$28,0)),""))&lt;&gt;"",IFERROR(INDEX('CAT_CENTROS_COSTO'!$E$4:$E$28,MATCH($F460,'CAT_CENTROS_COSTO'!$A$4:$A$28,0)),""),$Y460))</f>
        <v/>
      </c>
      <c r="AA460" s="24">
        <f>IF($F460="","",IFERROR(INDEX('CAT_CENTROS_COSTO'!$G$4:$G$28,MATCH($F460,'CAT_CENTROS_COSTO'!$A$4:$A$28,0)),"(sin catálogo)"))</f>
        <v/>
      </c>
      <c r="AB460" s="24">
        <f>IF($G460="","",IFERROR(INDEX('CAT_PUESTOS'!$B$4:$B$23,MATCH($G460,'CAT_PUESTOS'!$A$4:$A$23,0)),"(sin catálogo)"))</f>
        <v/>
      </c>
      <c r="AC460" s="24">
        <f>IF($H460="","",IFERROR(INDEX('CAT_ACTIVIDADES'!$B$4:$B$26,MATCH($H460,'CAT_ACTIVIDADES'!$A$4:$A$26,0)),"(sin catálogo)"))</f>
        <v/>
      </c>
      <c r="AD460" s="26">
        <f>IF($J460="","",TODAY()-$J460)</f>
        <v/>
      </c>
      <c r="AE460" s="26">
        <f>IF($J460="","",IF($J460&lt;=TODAY(),COUNTIFS(cal_fechas,"&gt;="&amp;$J460,cal_fechas,"&lt;"&amp;TODAY(),cal_habil,"sí"),-COUNTIFS(cal_fechas,"&gt;="&amp;TODAY(),cal_fechas,"&lt;"&amp;$J460,cal_habil,"sí")))</f>
        <v/>
      </c>
      <c r="AF460" s="24">
        <f>IF($AE460="","",IF($AE460&lt;0,"FUTURO",IF($AE460&gt;p_dias_backlog_max,"BACKLOG","MES CORRIENTE")))</f>
        <v/>
      </c>
      <c r="AG460" s="24">
        <f>IF($AE460="",FALSE,AND($AE460&gt;p_dias_backlog_min,$AE460&lt;=p_dias_backlog_max))</f>
        <v/>
      </c>
      <c r="AH460" s="4" t="n"/>
      <c r="AI460" s="24">
        <f>IF($AH460="","",IF((IFERROR(INDEX('ASIGNACIONES'!$J$4:$J$451,MATCH($O460&amp;"|"&amp;$S460&amp;"|"&amp;$AH460,'ASIGNACIONES'!$N$4:$N$451,0)),""))=0,"",IFERROR(INDEX('ASIGNACIONES'!$J$4:$J$451,MATCH($O460&amp;"|"&amp;$S460&amp;"|"&amp;$AH460,'ASIGNACIONES'!$N$4:$N$451,0)),"")))</f>
        <v/>
      </c>
      <c r="AJ460" s="42">
        <f>IF($AH460="","",SUMIFS('ORDENES'!$M$4:$M$1203,'ORDENES'!$AH$4:$AH$1203,$AH460,'ORDENES'!$O$4:$O$1203,$O460,'ORDENES'!$S$4:$S$1203,$S460))</f>
        <v/>
      </c>
      <c r="AK460" s="42">
        <f>IF($AJ460="","",p_factor_productividad*IFERROR(INDEX('ASIGNACIONES'!$M$4:$M$451,MATCH($O460&amp;"|"&amp;$S460&amp;"|"&amp;$AH460,'ASIGNACIONES'!$N$4:$N$451,0)),0)-$AJ460)</f>
        <v/>
      </c>
      <c r="AL460" s="32">
        <f>IF($A460="","",IFERROR(INDEX('2_IMPORTAR_EJECUCION'!$F$9:$F$1208,MATCH($AU460,'2_IMPORTAR_EJECUCION'!$J$9:$J$1208,0)),0))</f>
        <v/>
      </c>
      <c r="AM460" s="32">
        <f>IF($A460="","",MAX(0,IFERROR(INDEX('2_IMPORTAR_EJECUCION'!$H$9:$H$1208,MATCH($AU460,'2_IMPORTAR_EJECUCION'!$J$9:$J$1208,0)),0)-$AL460))</f>
        <v/>
      </c>
      <c r="AN460" s="32">
        <f>IF($A460="","",$AL460+$AM460)</f>
        <v/>
      </c>
      <c r="AO460" s="24">
        <f>IF($A460="","",IF(OR((IFERROR(INDEX('CAT_ACTIVIDADES'!$D$4:$D$26,MATCH($H460,'CAT_ACTIVIDADES'!$A$4:$A$26,0)),""))=0,(IFERROR(INDEX('CAT_ACTIVIDADES'!$D$4:$D$26,MATCH($H460,'CAT_ACTIVIDADES'!$A$4:$A$26,0)),""))=""),"SIN CLASIFICAR",IFERROR(INDEX('CAT_ACTIVIDADES'!$D$4:$D$26,MATCH($H460,'CAT_ACTIVIDADES'!$A$4:$A$26,0)),"")))</f>
        <v/>
      </c>
      <c r="AP460" s="4" t="n"/>
      <c r="AQ460" s="4" t="n"/>
      <c r="AR460" s="4" t="n"/>
      <c r="AS460" s="24">
        <f>IF($AR460="","",HYPERLINK(p_ruta_base_checklists&amp;$AR460,"abrir"))</f>
        <v/>
      </c>
      <c r="AT460" s="4" t="n"/>
      <c r="AU460" s="24">
        <f>IF($A460="","",$A460&amp;IF($B460="","0010",$B460))</f>
        <v/>
      </c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41" t="n"/>
      <c r="K461" s="5" t="n"/>
      <c r="L461" s="18" t="n"/>
      <c r="M461" s="24">
        <f>IF($A461="","",IFERROR(INDEX('AJUSTES'!$B$4:$B$303,MATCH($AU461,'AJUSTES'!$A$4:$A$303,0)),IF($K461="","",$K461)))</f>
        <v/>
      </c>
      <c r="N461" s="24">
        <f>IF($A461="","",IFERROR(INDEX('CAT_ESTADOS_ERP'!$B$4:$B$22,MATCH(IFERROR(INDEX('2_IMPORTAR_EJECUCION'!$C$9:$C$1208,MATCH($AU461,'2_IMPORTAR_EJECUCION'!$J$9:$J$1208,0)),""),'CAT_ESTADOS_ERP'!$A$4:$A$22,0)),"Pendiente"))</f>
        <v/>
      </c>
      <c r="O461" s="24">
        <f>IF($J461="","",YEAR($J461+4-WEEKDAY($J461,2))&amp;"-S"&amp;TEXT(_xlfn.ISOWEEKNUM($J461),"00"))</f>
        <v/>
      </c>
      <c r="P461" s="24">
        <f>IF($J461="","",YEAR($J461))</f>
        <v/>
      </c>
      <c r="Q461" s="24">
        <f>IF($J461="","",MONTH($J461))</f>
        <v/>
      </c>
      <c r="R461" s="24">
        <f>IF($J461="","",$P461&amp;"-"&amp;TEXT($Q461,"00"))</f>
        <v/>
      </c>
      <c r="S461" s="24">
        <f>IF($J461="","",INDEX(lista_dias,WEEKDAY($J461,2)))</f>
        <v/>
      </c>
      <c r="T461" s="24">
        <f>IF($J461="","",IFERROR(INDEX('CALENDARIO'!$C$15:$C$214,MATCH(TEXT($J461,"yyyy-mm-dd")&amp;"|"&amp;$Y461&amp;"|"&amp;$Z461,'CALENDARIO'!$G$15:$G$214,0)),IFERROR(INDEX('CALENDARIO'!$C$15:$C$214,MATCH(TEXT($J461,"yyyy-mm-dd")&amp;"|"&amp;$Y461&amp;"|",'CALENDARIO'!$G$15:$G$214,0)),IFERROR(INDEX('CALENDARIO'!$C$15:$C$214,MATCH(TEXT($J461,"yyyy-mm-dd")&amp;"||",'CALENDARIO'!$G$15:$G$214,0)),INDEX(patronHabil,WEEKDAY($J461,2))))))</f>
        <v/>
      </c>
      <c r="U461" s="24">
        <f>IF($I461="","",IFERROR(INDEX('CAT_TIPOS_OT'!$C$4:$C$23,MATCH($I461,'CAT_TIPOS_OT'!$A$4:$A$23,0)),"sin_clasificar"))</f>
        <v/>
      </c>
      <c r="V461" s="24">
        <f>IF($I461="","",IF(IFERROR(INDEX('CAT_TIPOS_OT'!$D$4:$D$23,MATCH($I461,'CAT_TIPOS_OT'!$A$4:$A$23,0)),"SIN CLASIFICAR")="","SIN CLASIFICAR",IFERROR(INDEX('CAT_TIPOS_OT'!$D$4:$D$23,MATCH($I461,'CAT_TIPOS_OT'!$A$4:$A$23,0)),"SIN CLASIFICAR")))</f>
        <v/>
      </c>
      <c r="W461" s="24">
        <f>IF($H461="","",IF(IFERROR(INDEX('CAT_ACTIVIDADES'!$F$4:$F$26,MATCH($H461,'CAT_ACTIVIDADES'!$A$4:$A$26,0)),"")=0,"",IFERROR(INDEX('CAT_ACTIVIDADES'!$F$4:$F$26,MATCH($H461,'CAT_ACTIVIDADES'!$A$4:$A$26,0)),"")))</f>
        <v/>
      </c>
      <c r="X461" s="24">
        <f>IF($F461="","",IFERROR(INDEX('CAT_CENTROS_COSTO'!$F$4:$F$28,MATCH($F461,'CAT_CENTROS_COSTO'!$A$4:$A$28,0)),"(sin catálogo)"))</f>
        <v/>
      </c>
      <c r="Y461" s="24">
        <f>IF($F461="","",IFERROR(INDEX('CAT_CENTROS_COSTO'!$D$4:$D$28,MATCH($F461,'CAT_CENTROS_COSTO'!$A$4:$A$28,0)),"(sin catálogo)"))</f>
        <v/>
      </c>
      <c r="Z461" s="24">
        <f>IF($F461="","",IF((IFERROR(INDEX('CAT_CENTROS_COSTO'!$E$4:$E$28,MATCH($F461,'CAT_CENTROS_COSTO'!$A$4:$A$28,0)),""))&lt;&gt;"",IFERROR(INDEX('CAT_CENTROS_COSTO'!$E$4:$E$28,MATCH($F461,'CAT_CENTROS_COSTO'!$A$4:$A$28,0)),""),$Y461))</f>
        <v/>
      </c>
      <c r="AA461" s="24">
        <f>IF($F461="","",IFERROR(INDEX('CAT_CENTROS_COSTO'!$G$4:$G$28,MATCH($F461,'CAT_CENTROS_COSTO'!$A$4:$A$28,0)),"(sin catálogo)"))</f>
        <v/>
      </c>
      <c r="AB461" s="24">
        <f>IF($G461="","",IFERROR(INDEX('CAT_PUESTOS'!$B$4:$B$23,MATCH($G461,'CAT_PUESTOS'!$A$4:$A$23,0)),"(sin catálogo)"))</f>
        <v/>
      </c>
      <c r="AC461" s="24">
        <f>IF($H461="","",IFERROR(INDEX('CAT_ACTIVIDADES'!$B$4:$B$26,MATCH($H461,'CAT_ACTIVIDADES'!$A$4:$A$26,0)),"(sin catálogo)"))</f>
        <v/>
      </c>
      <c r="AD461" s="26">
        <f>IF($J461="","",TODAY()-$J461)</f>
        <v/>
      </c>
      <c r="AE461" s="26">
        <f>IF($J461="","",IF($J461&lt;=TODAY(),COUNTIFS(cal_fechas,"&gt;="&amp;$J461,cal_fechas,"&lt;"&amp;TODAY(),cal_habil,"sí"),-COUNTIFS(cal_fechas,"&gt;="&amp;TODAY(),cal_fechas,"&lt;"&amp;$J461,cal_habil,"sí")))</f>
        <v/>
      </c>
      <c r="AF461" s="24">
        <f>IF($AE461="","",IF($AE461&lt;0,"FUTURO",IF($AE461&gt;p_dias_backlog_max,"BACKLOG","MES CORRIENTE")))</f>
        <v/>
      </c>
      <c r="AG461" s="24">
        <f>IF($AE461="",FALSE,AND($AE461&gt;p_dias_backlog_min,$AE461&lt;=p_dias_backlog_max))</f>
        <v/>
      </c>
      <c r="AH461" s="4" t="n"/>
      <c r="AI461" s="24">
        <f>IF($AH461="","",IF((IFERROR(INDEX('ASIGNACIONES'!$J$4:$J$451,MATCH($O461&amp;"|"&amp;$S461&amp;"|"&amp;$AH461,'ASIGNACIONES'!$N$4:$N$451,0)),""))=0,"",IFERROR(INDEX('ASIGNACIONES'!$J$4:$J$451,MATCH($O461&amp;"|"&amp;$S461&amp;"|"&amp;$AH461,'ASIGNACIONES'!$N$4:$N$451,0)),"")))</f>
        <v/>
      </c>
      <c r="AJ461" s="42">
        <f>IF($AH461="","",SUMIFS('ORDENES'!$M$4:$M$1203,'ORDENES'!$AH$4:$AH$1203,$AH461,'ORDENES'!$O$4:$O$1203,$O461,'ORDENES'!$S$4:$S$1203,$S461))</f>
        <v/>
      </c>
      <c r="AK461" s="42">
        <f>IF($AJ461="","",p_factor_productividad*IFERROR(INDEX('ASIGNACIONES'!$M$4:$M$451,MATCH($O461&amp;"|"&amp;$S461&amp;"|"&amp;$AH461,'ASIGNACIONES'!$N$4:$N$451,0)),0)-$AJ461)</f>
        <v/>
      </c>
      <c r="AL461" s="32">
        <f>IF($A461="","",IFERROR(INDEX('2_IMPORTAR_EJECUCION'!$F$9:$F$1208,MATCH($AU461,'2_IMPORTAR_EJECUCION'!$J$9:$J$1208,0)),0))</f>
        <v/>
      </c>
      <c r="AM461" s="32">
        <f>IF($A461="","",MAX(0,IFERROR(INDEX('2_IMPORTAR_EJECUCION'!$H$9:$H$1208,MATCH($AU461,'2_IMPORTAR_EJECUCION'!$J$9:$J$1208,0)),0)-$AL461))</f>
        <v/>
      </c>
      <c r="AN461" s="32">
        <f>IF($A461="","",$AL461+$AM461)</f>
        <v/>
      </c>
      <c r="AO461" s="24">
        <f>IF($A461="","",IF(OR((IFERROR(INDEX('CAT_ACTIVIDADES'!$D$4:$D$26,MATCH($H461,'CAT_ACTIVIDADES'!$A$4:$A$26,0)),""))=0,(IFERROR(INDEX('CAT_ACTIVIDADES'!$D$4:$D$26,MATCH($H461,'CAT_ACTIVIDADES'!$A$4:$A$26,0)),""))=""),"SIN CLASIFICAR",IFERROR(INDEX('CAT_ACTIVIDADES'!$D$4:$D$26,MATCH($H461,'CAT_ACTIVIDADES'!$A$4:$A$26,0)),"")))</f>
        <v/>
      </c>
      <c r="AP461" s="4" t="n"/>
      <c r="AQ461" s="4" t="n"/>
      <c r="AR461" s="4" t="n"/>
      <c r="AS461" s="24">
        <f>IF($AR461="","",HYPERLINK(p_ruta_base_checklists&amp;$AR461,"abrir"))</f>
        <v/>
      </c>
      <c r="AT461" s="4" t="n"/>
      <c r="AU461" s="24">
        <f>IF($A461="","",$A461&amp;IF($B461="","0010",$B461))</f>
        <v/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41" t="n"/>
      <c r="K462" s="5" t="n"/>
      <c r="L462" s="18" t="n"/>
      <c r="M462" s="24">
        <f>IF($A462="","",IFERROR(INDEX('AJUSTES'!$B$4:$B$303,MATCH($AU462,'AJUSTES'!$A$4:$A$303,0)),IF($K462="","",$K462)))</f>
        <v/>
      </c>
      <c r="N462" s="24">
        <f>IF($A462="","",IFERROR(INDEX('CAT_ESTADOS_ERP'!$B$4:$B$22,MATCH(IFERROR(INDEX('2_IMPORTAR_EJECUCION'!$C$9:$C$1208,MATCH($AU462,'2_IMPORTAR_EJECUCION'!$J$9:$J$1208,0)),""),'CAT_ESTADOS_ERP'!$A$4:$A$22,0)),"Pendiente"))</f>
        <v/>
      </c>
      <c r="O462" s="24">
        <f>IF($J462="","",YEAR($J462+4-WEEKDAY($J462,2))&amp;"-S"&amp;TEXT(_xlfn.ISOWEEKNUM($J462),"00"))</f>
        <v/>
      </c>
      <c r="P462" s="24">
        <f>IF($J462="","",YEAR($J462))</f>
        <v/>
      </c>
      <c r="Q462" s="24">
        <f>IF($J462="","",MONTH($J462))</f>
        <v/>
      </c>
      <c r="R462" s="24">
        <f>IF($J462="","",$P462&amp;"-"&amp;TEXT($Q462,"00"))</f>
        <v/>
      </c>
      <c r="S462" s="24">
        <f>IF($J462="","",INDEX(lista_dias,WEEKDAY($J462,2)))</f>
        <v/>
      </c>
      <c r="T462" s="24">
        <f>IF($J462="","",IFERROR(INDEX('CALENDARIO'!$C$15:$C$214,MATCH(TEXT($J462,"yyyy-mm-dd")&amp;"|"&amp;$Y462&amp;"|"&amp;$Z462,'CALENDARIO'!$G$15:$G$214,0)),IFERROR(INDEX('CALENDARIO'!$C$15:$C$214,MATCH(TEXT($J462,"yyyy-mm-dd")&amp;"|"&amp;$Y462&amp;"|",'CALENDARIO'!$G$15:$G$214,0)),IFERROR(INDEX('CALENDARIO'!$C$15:$C$214,MATCH(TEXT($J462,"yyyy-mm-dd")&amp;"||",'CALENDARIO'!$G$15:$G$214,0)),INDEX(patronHabil,WEEKDAY($J462,2))))))</f>
        <v/>
      </c>
      <c r="U462" s="24">
        <f>IF($I462="","",IFERROR(INDEX('CAT_TIPOS_OT'!$C$4:$C$23,MATCH($I462,'CAT_TIPOS_OT'!$A$4:$A$23,0)),"sin_clasificar"))</f>
        <v/>
      </c>
      <c r="V462" s="24">
        <f>IF($I462="","",IF(IFERROR(INDEX('CAT_TIPOS_OT'!$D$4:$D$23,MATCH($I462,'CAT_TIPOS_OT'!$A$4:$A$23,0)),"SIN CLASIFICAR")="","SIN CLASIFICAR",IFERROR(INDEX('CAT_TIPOS_OT'!$D$4:$D$23,MATCH($I462,'CAT_TIPOS_OT'!$A$4:$A$23,0)),"SIN CLASIFICAR")))</f>
        <v/>
      </c>
      <c r="W462" s="24">
        <f>IF($H462="","",IF(IFERROR(INDEX('CAT_ACTIVIDADES'!$F$4:$F$26,MATCH($H462,'CAT_ACTIVIDADES'!$A$4:$A$26,0)),"")=0,"",IFERROR(INDEX('CAT_ACTIVIDADES'!$F$4:$F$26,MATCH($H462,'CAT_ACTIVIDADES'!$A$4:$A$26,0)),"")))</f>
        <v/>
      </c>
      <c r="X462" s="24">
        <f>IF($F462="","",IFERROR(INDEX('CAT_CENTROS_COSTO'!$F$4:$F$28,MATCH($F462,'CAT_CENTROS_COSTO'!$A$4:$A$28,0)),"(sin catálogo)"))</f>
        <v/>
      </c>
      <c r="Y462" s="24">
        <f>IF($F462="","",IFERROR(INDEX('CAT_CENTROS_COSTO'!$D$4:$D$28,MATCH($F462,'CAT_CENTROS_COSTO'!$A$4:$A$28,0)),"(sin catálogo)"))</f>
        <v/>
      </c>
      <c r="Z462" s="24">
        <f>IF($F462="","",IF((IFERROR(INDEX('CAT_CENTROS_COSTO'!$E$4:$E$28,MATCH($F462,'CAT_CENTROS_COSTO'!$A$4:$A$28,0)),""))&lt;&gt;"",IFERROR(INDEX('CAT_CENTROS_COSTO'!$E$4:$E$28,MATCH($F462,'CAT_CENTROS_COSTO'!$A$4:$A$28,0)),""),$Y462))</f>
        <v/>
      </c>
      <c r="AA462" s="24">
        <f>IF($F462="","",IFERROR(INDEX('CAT_CENTROS_COSTO'!$G$4:$G$28,MATCH($F462,'CAT_CENTROS_COSTO'!$A$4:$A$28,0)),"(sin catálogo)"))</f>
        <v/>
      </c>
      <c r="AB462" s="24">
        <f>IF($G462="","",IFERROR(INDEX('CAT_PUESTOS'!$B$4:$B$23,MATCH($G462,'CAT_PUESTOS'!$A$4:$A$23,0)),"(sin catálogo)"))</f>
        <v/>
      </c>
      <c r="AC462" s="24">
        <f>IF($H462="","",IFERROR(INDEX('CAT_ACTIVIDADES'!$B$4:$B$26,MATCH($H462,'CAT_ACTIVIDADES'!$A$4:$A$26,0)),"(sin catálogo)"))</f>
        <v/>
      </c>
      <c r="AD462" s="26">
        <f>IF($J462="","",TODAY()-$J462)</f>
        <v/>
      </c>
      <c r="AE462" s="26">
        <f>IF($J462="","",IF($J462&lt;=TODAY(),COUNTIFS(cal_fechas,"&gt;="&amp;$J462,cal_fechas,"&lt;"&amp;TODAY(),cal_habil,"sí"),-COUNTIFS(cal_fechas,"&gt;="&amp;TODAY(),cal_fechas,"&lt;"&amp;$J462,cal_habil,"sí")))</f>
        <v/>
      </c>
      <c r="AF462" s="24">
        <f>IF($AE462="","",IF($AE462&lt;0,"FUTURO",IF($AE462&gt;p_dias_backlog_max,"BACKLOG","MES CORRIENTE")))</f>
        <v/>
      </c>
      <c r="AG462" s="24">
        <f>IF($AE462="",FALSE,AND($AE462&gt;p_dias_backlog_min,$AE462&lt;=p_dias_backlog_max))</f>
        <v/>
      </c>
      <c r="AH462" s="4" t="n"/>
      <c r="AI462" s="24">
        <f>IF($AH462="","",IF((IFERROR(INDEX('ASIGNACIONES'!$J$4:$J$451,MATCH($O462&amp;"|"&amp;$S462&amp;"|"&amp;$AH462,'ASIGNACIONES'!$N$4:$N$451,0)),""))=0,"",IFERROR(INDEX('ASIGNACIONES'!$J$4:$J$451,MATCH($O462&amp;"|"&amp;$S462&amp;"|"&amp;$AH462,'ASIGNACIONES'!$N$4:$N$451,0)),"")))</f>
        <v/>
      </c>
      <c r="AJ462" s="42">
        <f>IF($AH462="","",SUMIFS('ORDENES'!$M$4:$M$1203,'ORDENES'!$AH$4:$AH$1203,$AH462,'ORDENES'!$O$4:$O$1203,$O462,'ORDENES'!$S$4:$S$1203,$S462))</f>
        <v/>
      </c>
      <c r="AK462" s="42">
        <f>IF($AJ462="","",p_factor_productividad*IFERROR(INDEX('ASIGNACIONES'!$M$4:$M$451,MATCH($O462&amp;"|"&amp;$S462&amp;"|"&amp;$AH462,'ASIGNACIONES'!$N$4:$N$451,0)),0)-$AJ462)</f>
        <v/>
      </c>
      <c r="AL462" s="32">
        <f>IF($A462="","",IFERROR(INDEX('2_IMPORTAR_EJECUCION'!$F$9:$F$1208,MATCH($AU462,'2_IMPORTAR_EJECUCION'!$J$9:$J$1208,0)),0))</f>
        <v/>
      </c>
      <c r="AM462" s="32">
        <f>IF($A462="","",MAX(0,IFERROR(INDEX('2_IMPORTAR_EJECUCION'!$H$9:$H$1208,MATCH($AU462,'2_IMPORTAR_EJECUCION'!$J$9:$J$1208,0)),0)-$AL462))</f>
        <v/>
      </c>
      <c r="AN462" s="32">
        <f>IF($A462="","",$AL462+$AM462)</f>
        <v/>
      </c>
      <c r="AO462" s="24">
        <f>IF($A462="","",IF(OR((IFERROR(INDEX('CAT_ACTIVIDADES'!$D$4:$D$26,MATCH($H462,'CAT_ACTIVIDADES'!$A$4:$A$26,0)),""))=0,(IFERROR(INDEX('CAT_ACTIVIDADES'!$D$4:$D$26,MATCH($H462,'CAT_ACTIVIDADES'!$A$4:$A$26,0)),""))=""),"SIN CLASIFICAR",IFERROR(INDEX('CAT_ACTIVIDADES'!$D$4:$D$26,MATCH($H462,'CAT_ACTIVIDADES'!$A$4:$A$26,0)),"")))</f>
        <v/>
      </c>
      <c r="AP462" s="4" t="n"/>
      <c r="AQ462" s="4" t="n"/>
      <c r="AR462" s="4" t="n"/>
      <c r="AS462" s="24">
        <f>IF($AR462="","",HYPERLINK(p_ruta_base_checklists&amp;$AR462,"abrir"))</f>
        <v/>
      </c>
      <c r="AT462" s="4" t="n"/>
      <c r="AU462" s="24">
        <f>IF($A462="","",$A462&amp;IF($B462="","0010",$B462))</f>
        <v/>
      </c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41" t="n"/>
      <c r="K463" s="5" t="n"/>
      <c r="L463" s="18" t="n"/>
      <c r="M463" s="24">
        <f>IF($A463="","",IFERROR(INDEX('AJUSTES'!$B$4:$B$303,MATCH($AU463,'AJUSTES'!$A$4:$A$303,0)),IF($K463="","",$K463)))</f>
        <v/>
      </c>
      <c r="N463" s="24">
        <f>IF($A463="","",IFERROR(INDEX('CAT_ESTADOS_ERP'!$B$4:$B$22,MATCH(IFERROR(INDEX('2_IMPORTAR_EJECUCION'!$C$9:$C$1208,MATCH($AU463,'2_IMPORTAR_EJECUCION'!$J$9:$J$1208,0)),""),'CAT_ESTADOS_ERP'!$A$4:$A$22,0)),"Pendiente"))</f>
        <v/>
      </c>
      <c r="O463" s="24">
        <f>IF($J463="","",YEAR($J463+4-WEEKDAY($J463,2))&amp;"-S"&amp;TEXT(_xlfn.ISOWEEKNUM($J463),"00"))</f>
        <v/>
      </c>
      <c r="P463" s="24">
        <f>IF($J463="","",YEAR($J463))</f>
        <v/>
      </c>
      <c r="Q463" s="24">
        <f>IF($J463="","",MONTH($J463))</f>
        <v/>
      </c>
      <c r="R463" s="24">
        <f>IF($J463="","",$P463&amp;"-"&amp;TEXT($Q463,"00"))</f>
        <v/>
      </c>
      <c r="S463" s="24">
        <f>IF($J463="","",INDEX(lista_dias,WEEKDAY($J463,2)))</f>
        <v/>
      </c>
      <c r="T463" s="24">
        <f>IF($J463="","",IFERROR(INDEX('CALENDARIO'!$C$15:$C$214,MATCH(TEXT($J463,"yyyy-mm-dd")&amp;"|"&amp;$Y463&amp;"|"&amp;$Z463,'CALENDARIO'!$G$15:$G$214,0)),IFERROR(INDEX('CALENDARIO'!$C$15:$C$214,MATCH(TEXT($J463,"yyyy-mm-dd")&amp;"|"&amp;$Y463&amp;"|",'CALENDARIO'!$G$15:$G$214,0)),IFERROR(INDEX('CALENDARIO'!$C$15:$C$214,MATCH(TEXT($J463,"yyyy-mm-dd")&amp;"||",'CALENDARIO'!$G$15:$G$214,0)),INDEX(patronHabil,WEEKDAY($J463,2))))))</f>
        <v/>
      </c>
      <c r="U463" s="24">
        <f>IF($I463="","",IFERROR(INDEX('CAT_TIPOS_OT'!$C$4:$C$23,MATCH($I463,'CAT_TIPOS_OT'!$A$4:$A$23,0)),"sin_clasificar"))</f>
        <v/>
      </c>
      <c r="V463" s="24">
        <f>IF($I463="","",IF(IFERROR(INDEX('CAT_TIPOS_OT'!$D$4:$D$23,MATCH($I463,'CAT_TIPOS_OT'!$A$4:$A$23,0)),"SIN CLASIFICAR")="","SIN CLASIFICAR",IFERROR(INDEX('CAT_TIPOS_OT'!$D$4:$D$23,MATCH($I463,'CAT_TIPOS_OT'!$A$4:$A$23,0)),"SIN CLASIFICAR")))</f>
        <v/>
      </c>
      <c r="W463" s="24">
        <f>IF($H463="","",IF(IFERROR(INDEX('CAT_ACTIVIDADES'!$F$4:$F$26,MATCH($H463,'CAT_ACTIVIDADES'!$A$4:$A$26,0)),"")=0,"",IFERROR(INDEX('CAT_ACTIVIDADES'!$F$4:$F$26,MATCH($H463,'CAT_ACTIVIDADES'!$A$4:$A$26,0)),"")))</f>
        <v/>
      </c>
      <c r="X463" s="24">
        <f>IF($F463="","",IFERROR(INDEX('CAT_CENTROS_COSTO'!$F$4:$F$28,MATCH($F463,'CAT_CENTROS_COSTO'!$A$4:$A$28,0)),"(sin catálogo)"))</f>
        <v/>
      </c>
      <c r="Y463" s="24">
        <f>IF($F463="","",IFERROR(INDEX('CAT_CENTROS_COSTO'!$D$4:$D$28,MATCH($F463,'CAT_CENTROS_COSTO'!$A$4:$A$28,0)),"(sin catálogo)"))</f>
        <v/>
      </c>
      <c r="Z463" s="24">
        <f>IF($F463="","",IF((IFERROR(INDEX('CAT_CENTROS_COSTO'!$E$4:$E$28,MATCH($F463,'CAT_CENTROS_COSTO'!$A$4:$A$28,0)),""))&lt;&gt;"",IFERROR(INDEX('CAT_CENTROS_COSTO'!$E$4:$E$28,MATCH($F463,'CAT_CENTROS_COSTO'!$A$4:$A$28,0)),""),$Y463))</f>
        <v/>
      </c>
      <c r="AA463" s="24">
        <f>IF($F463="","",IFERROR(INDEX('CAT_CENTROS_COSTO'!$G$4:$G$28,MATCH($F463,'CAT_CENTROS_COSTO'!$A$4:$A$28,0)),"(sin catálogo)"))</f>
        <v/>
      </c>
      <c r="AB463" s="24">
        <f>IF($G463="","",IFERROR(INDEX('CAT_PUESTOS'!$B$4:$B$23,MATCH($G463,'CAT_PUESTOS'!$A$4:$A$23,0)),"(sin catálogo)"))</f>
        <v/>
      </c>
      <c r="AC463" s="24">
        <f>IF($H463="","",IFERROR(INDEX('CAT_ACTIVIDADES'!$B$4:$B$26,MATCH($H463,'CAT_ACTIVIDADES'!$A$4:$A$26,0)),"(sin catálogo)"))</f>
        <v/>
      </c>
      <c r="AD463" s="26">
        <f>IF($J463="","",TODAY()-$J463)</f>
        <v/>
      </c>
      <c r="AE463" s="26">
        <f>IF($J463="","",IF($J463&lt;=TODAY(),COUNTIFS(cal_fechas,"&gt;="&amp;$J463,cal_fechas,"&lt;"&amp;TODAY(),cal_habil,"sí"),-COUNTIFS(cal_fechas,"&gt;="&amp;TODAY(),cal_fechas,"&lt;"&amp;$J463,cal_habil,"sí")))</f>
        <v/>
      </c>
      <c r="AF463" s="24">
        <f>IF($AE463="","",IF($AE463&lt;0,"FUTURO",IF($AE463&gt;p_dias_backlog_max,"BACKLOG","MES CORRIENTE")))</f>
        <v/>
      </c>
      <c r="AG463" s="24">
        <f>IF($AE463="",FALSE,AND($AE463&gt;p_dias_backlog_min,$AE463&lt;=p_dias_backlog_max))</f>
        <v/>
      </c>
      <c r="AH463" s="4" t="n"/>
      <c r="AI463" s="24">
        <f>IF($AH463="","",IF((IFERROR(INDEX('ASIGNACIONES'!$J$4:$J$451,MATCH($O463&amp;"|"&amp;$S463&amp;"|"&amp;$AH463,'ASIGNACIONES'!$N$4:$N$451,0)),""))=0,"",IFERROR(INDEX('ASIGNACIONES'!$J$4:$J$451,MATCH($O463&amp;"|"&amp;$S463&amp;"|"&amp;$AH463,'ASIGNACIONES'!$N$4:$N$451,0)),"")))</f>
        <v/>
      </c>
      <c r="AJ463" s="42">
        <f>IF($AH463="","",SUMIFS('ORDENES'!$M$4:$M$1203,'ORDENES'!$AH$4:$AH$1203,$AH463,'ORDENES'!$O$4:$O$1203,$O463,'ORDENES'!$S$4:$S$1203,$S463))</f>
        <v/>
      </c>
      <c r="AK463" s="42">
        <f>IF($AJ463="","",p_factor_productividad*IFERROR(INDEX('ASIGNACIONES'!$M$4:$M$451,MATCH($O463&amp;"|"&amp;$S463&amp;"|"&amp;$AH463,'ASIGNACIONES'!$N$4:$N$451,0)),0)-$AJ463)</f>
        <v/>
      </c>
      <c r="AL463" s="32">
        <f>IF($A463="","",IFERROR(INDEX('2_IMPORTAR_EJECUCION'!$F$9:$F$1208,MATCH($AU463,'2_IMPORTAR_EJECUCION'!$J$9:$J$1208,0)),0))</f>
        <v/>
      </c>
      <c r="AM463" s="32">
        <f>IF($A463="","",MAX(0,IFERROR(INDEX('2_IMPORTAR_EJECUCION'!$H$9:$H$1208,MATCH($AU463,'2_IMPORTAR_EJECUCION'!$J$9:$J$1208,0)),0)-$AL463))</f>
        <v/>
      </c>
      <c r="AN463" s="32">
        <f>IF($A463="","",$AL463+$AM463)</f>
        <v/>
      </c>
      <c r="AO463" s="24">
        <f>IF($A463="","",IF(OR((IFERROR(INDEX('CAT_ACTIVIDADES'!$D$4:$D$26,MATCH($H463,'CAT_ACTIVIDADES'!$A$4:$A$26,0)),""))=0,(IFERROR(INDEX('CAT_ACTIVIDADES'!$D$4:$D$26,MATCH($H463,'CAT_ACTIVIDADES'!$A$4:$A$26,0)),""))=""),"SIN CLASIFICAR",IFERROR(INDEX('CAT_ACTIVIDADES'!$D$4:$D$26,MATCH($H463,'CAT_ACTIVIDADES'!$A$4:$A$26,0)),"")))</f>
        <v/>
      </c>
      <c r="AP463" s="4" t="n"/>
      <c r="AQ463" s="4" t="n"/>
      <c r="AR463" s="4" t="n"/>
      <c r="AS463" s="24">
        <f>IF($AR463="","",HYPERLINK(p_ruta_base_checklists&amp;$AR463,"abrir"))</f>
        <v/>
      </c>
      <c r="AT463" s="4" t="n"/>
      <c r="AU463" s="24">
        <f>IF($A463="","",$A463&amp;IF($B463="","0010",$B463))</f>
        <v/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41" t="n"/>
      <c r="K464" s="5" t="n"/>
      <c r="L464" s="18" t="n"/>
      <c r="M464" s="24">
        <f>IF($A464="","",IFERROR(INDEX('AJUSTES'!$B$4:$B$303,MATCH($AU464,'AJUSTES'!$A$4:$A$303,0)),IF($K464="","",$K464)))</f>
        <v/>
      </c>
      <c r="N464" s="24">
        <f>IF($A464="","",IFERROR(INDEX('CAT_ESTADOS_ERP'!$B$4:$B$22,MATCH(IFERROR(INDEX('2_IMPORTAR_EJECUCION'!$C$9:$C$1208,MATCH($AU464,'2_IMPORTAR_EJECUCION'!$J$9:$J$1208,0)),""),'CAT_ESTADOS_ERP'!$A$4:$A$22,0)),"Pendiente"))</f>
        <v/>
      </c>
      <c r="O464" s="24">
        <f>IF($J464="","",YEAR($J464+4-WEEKDAY($J464,2))&amp;"-S"&amp;TEXT(_xlfn.ISOWEEKNUM($J464),"00"))</f>
        <v/>
      </c>
      <c r="P464" s="24">
        <f>IF($J464="","",YEAR($J464))</f>
        <v/>
      </c>
      <c r="Q464" s="24">
        <f>IF($J464="","",MONTH($J464))</f>
        <v/>
      </c>
      <c r="R464" s="24">
        <f>IF($J464="","",$P464&amp;"-"&amp;TEXT($Q464,"00"))</f>
        <v/>
      </c>
      <c r="S464" s="24">
        <f>IF($J464="","",INDEX(lista_dias,WEEKDAY($J464,2)))</f>
        <v/>
      </c>
      <c r="T464" s="24">
        <f>IF($J464="","",IFERROR(INDEX('CALENDARIO'!$C$15:$C$214,MATCH(TEXT($J464,"yyyy-mm-dd")&amp;"|"&amp;$Y464&amp;"|"&amp;$Z464,'CALENDARIO'!$G$15:$G$214,0)),IFERROR(INDEX('CALENDARIO'!$C$15:$C$214,MATCH(TEXT($J464,"yyyy-mm-dd")&amp;"|"&amp;$Y464&amp;"|",'CALENDARIO'!$G$15:$G$214,0)),IFERROR(INDEX('CALENDARIO'!$C$15:$C$214,MATCH(TEXT($J464,"yyyy-mm-dd")&amp;"||",'CALENDARIO'!$G$15:$G$214,0)),INDEX(patronHabil,WEEKDAY($J464,2))))))</f>
        <v/>
      </c>
      <c r="U464" s="24">
        <f>IF($I464="","",IFERROR(INDEX('CAT_TIPOS_OT'!$C$4:$C$23,MATCH($I464,'CAT_TIPOS_OT'!$A$4:$A$23,0)),"sin_clasificar"))</f>
        <v/>
      </c>
      <c r="V464" s="24">
        <f>IF($I464="","",IF(IFERROR(INDEX('CAT_TIPOS_OT'!$D$4:$D$23,MATCH($I464,'CAT_TIPOS_OT'!$A$4:$A$23,0)),"SIN CLASIFICAR")="","SIN CLASIFICAR",IFERROR(INDEX('CAT_TIPOS_OT'!$D$4:$D$23,MATCH($I464,'CAT_TIPOS_OT'!$A$4:$A$23,0)),"SIN CLASIFICAR")))</f>
        <v/>
      </c>
      <c r="W464" s="24">
        <f>IF($H464="","",IF(IFERROR(INDEX('CAT_ACTIVIDADES'!$F$4:$F$26,MATCH($H464,'CAT_ACTIVIDADES'!$A$4:$A$26,0)),"")=0,"",IFERROR(INDEX('CAT_ACTIVIDADES'!$F$4:$F$26,MATCH($H464,'CAT_ACTIVIDADES'!$A$4:$A$26,0)),"")))</f>
        <v/>
      </c>
      <c r="X464" s="24">
        <f>IF($F464="","",IFERROR(INDEX('CAT_CENTROS_COSTO'!$F$4:$F$28,MATCH($F464,'CAT_CENTROS_COSTO'!$A$4:$A$28,0)),"(sin catálogo)"))</f>
        <v/>
      </c>
      <c r="Y464" s="24">
        <f>IF($F464="","",IFERROR(INDEX('CAT_CENTROS_COSTO'!$D$4:$D$28,MATCH($F464,'CAT_CENTROS_COSTO'!$A$4:$A$28,0)),"(sin catálogo)"))</f>
        <v/>
      </c>
      <c r="Z464" s="24">
        <f>IF($F464="","",IF((IFERROR(INDEX('CAT_CENTROS_COSTO'!$E$4:$E$28,MATCH($F464,'CAT_CENTROS_COSTO'!$A$4:$A$28,0)),""))&lt;&gt;"",IFERROR(INDEX('CAT_CENTROS_COSTO'!$E$4:$E$28,MATCH($F464,'CAT_CENTROS_COSTO'!$A$4:$A$28,0)),""),$Y464))</f>
        <v/>
      </c>
      <c r="AA464" s="24">
        <f>IF($F464="","",IFERROR(INDEX('CAT_CENTROS_COSTO'!$G$4:$G$28,MATCH($F464,'CAT_CENTROS_COSTO'!$A$4:$A$28,0)),"(sin catálogo)"))</f>
        <v/>
      </c>
      <c r="AB464" s="24">
        <f>IF($G464="","",IFERROR(INDEX('CAT_PUESTOS'!$B$4:$B$23,MATCH($G464,'CAT_PUESTOS'!$A$4:$A$23,0)),"(sin catálogo)"))</f>
        <v/>
      </c>
      <c r="AC464" s="24">
        <f>IF($H464="","",IFERROR(INDEX('CAT_ACTIVIDADES'!$B$4:$B$26,MATCH($H464,'CAT_ACTIVIDADES'!$A$4:$A$26,0)),"(sin catálogo)"))</f>
        <v/>
      </c>
      <c r="AD464" s="26">
        <f>IF($J464="","",TODAY()-$J464)</f>
        <v/>
      </c>
      <c r="AE464" s="26">
        <f>IF($J464="","",IF($J464&lt;=TODAY(),COUNTIFS(cal_fechas,"&gt;="&amp;$J464,cal_fechas,"&lt;"&amp;TODAY(),cal_habil,"sí"),-COUNTIFS(cal_fechas,"&gt;="&amp;TODAY(),cal_fechas,"&lt;"&amp;$J464,cal_habil,"sí")))</f>
        <v/>
      </c>
      <c r="AF464" s="24">
        <f>IF($AE464="","",IF($AE464&lt;0,"FUTURO",IF($AE464&gt;p_dias_backlog_max,"BACKLOG","MES CORRIENTE")))</f>
        <v/>
      </c>
      <c r="AG464" s="24">
        <f>IF($AE464="",FALSE,AND($AE464&gt;p_dias_backlog_min,$AE464&lt;=p_dias_backlog_max))</f>
        <v/>
      </c>
      <c r="AH464" s="4" t="n"/>
      <c r="AI464" s="24">
        <f>IF($AH464="","",IF((IFERROR(INDEX('ASIGNACIONES'!$J$4:$J$451,MATCH($O464&amp;"|"&amp;$S464&amp;"|"&amp;$AH464,'ASIGNACIONES'!$N$4:$N$451,0)),""))=0,"",IFERROR(INDEX('ASIGNACIONES'!$J$4:$J$451,MATCH($O464&amp;"|"&amp;$S464&amp;"|"&amp;$AH464,'ASIGNACIONES'!$N$4:$N$451,0)),"")))</f>
        <v/>
      </c>
      <c r="AJ464" s="42">
        <f>IF($AH464="","",SUMIFS('ORDENES'!$M$4:$M$1203,'ORDENES'!$AH$4:$AH$1203,$AH464,'ORDENES'!$O$4:$O$1203,$O464,'ORDENES'!$S$4:$S$1203,$S464))</f>
        <v/>
      </c>
      <c r="AK464" s="42">
        <f>IF($AJ464="","",p_factor_productividad*IFERROR(INDEX('ASIGNACIONES'!$M$4:$M$451,MATCH($O464&amp;"|"&amp;$S464&amp;"|"&amp;$AH464,'ASIGNACIONES'!$N$4:$N$451,0)),0)-$AJ464)</f>
        <v/>
      </c>
      <c r="AL464" s="32">
        <f>IF($A464="","",IFERROR(INDEX('2_IMPORTAR_EJECUCION'!$F$9:$F$1208,MATCH($AU464,'2_IMPORTAR_EJECUCION'!$J$9:$J$1208,0)),0))</f>
        <v/>
      </c>
      <c r="AM464" s="32">
        <f>IF($A464="","",MAX(0,IFERROR(INDEX('2_IMPORTAR_EJECUCION'!$H$9:$H$1208,MATCH($AU464,'2_IMPORTAR_EJECUCION'!$J$9:$J$1208,0)),0)-$AL464))</f>
        <v/>
      </c>
      <c r="AN464" s="32">
        <f>IF($A464="","",$AL464+$AM464)</f>
        <v/>
      </c>
      <c r="AO464" s="24">
        <f>IF($A464="","",IF(OR((IFERROR(INDEX('CAT_ACTIVIDADES'!$D$4:$D$26,MATCH($H464,'CAT_ACTIVIDADES'!$A$4:$A$26,0)),""))=0,(IFERROR(INDEX('CAT_ACTIVIDADES'!$D$4:$D$26,MATCH($H464,'CAT_ACTIVIDADES'!$A$4:$A$26,0)),""))=""),"SIN CLASIFICAR",IFERROR(INDEX('CAT_ACTIVIDADES'!$D$4:$D$26,MATCH($H464,'CAT_ACTIVIDADES'!$A$4:$A$26,0)),"")))</f>
        <v/>
      </c>
      <c r="AP464" s="4" t="n"/>
      <c r="AQ464" s="4" t="n"/>
      <c r="AR464" s="4" t="n"/>
      <c r="AS464" s="24">
        <f>IF($AR464="","",HYPERLINK(p_ruta_base_checklists&amp;$AR464,"abrir"))</f>
        <v/>
      </c>
      <c r="AT464" s="4" t="n"/>
      <c r="AU464" s="24">
        <f>IF($A464="","",$A464&amp;IF($B464="","0010",$B464))</f>
        <v/>
      </c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41" t="n"/>
      <c r="K465" s="5" t="n"/>
      <c r="L465" s="18" t="n"/>
      <c r="M465" s="24">
        <f>IF($A465="","",IFERROR(INDEX('AJUSTES'!$B$4:$B$303,MATCH($AU465,'AJUSTES'!$A$4:$A$303,0)),IF($K465="","",$K465)))</f>
        <v/>
      </c>
      <c r="N465" s="24">
        <f>IF($A465="","",IFERROR(INDEX('CAT_ESTADOS_ERP'!$B$4:$B$22,MATCH(IFERROR(INDEX('2_IMPORTAR_EJECUCION'!$C$9:$C$1208,MATCH($AU465,'2_IMPORTAR_EJECUCION'!$J$9:$J$1208,0)),""),'CAT_ESTADOS_ERP'!$A$4:$A$22,0)),"Pendiente"))</f>
        <v/>
      </c>
      <c r="O465" s="24">
        <f>IF($J465="","",YEAR($J465+4-WEEKDAY($J465,2))&amp;"-S"&amp;TEXT(_xlfn.ISOWEEKNUM($J465),"00"))</f>
        <v/>
      </c>
      <c r="P465" s="24">
        <f>IF($J465="","",YEAR($J465))</f>
        <v/>
      </c>
      <c r="Q465" s="24">
        <f>IF($J465="","",MONTH($J465))</f>
        <v/>
      </c>
      <c r="R465" s="24">
        <f>IF($J465="","",$P465&amp;"-"&amp;TEXT($Q465,"00"))</f>
        <v/>
      </c>
      <c r="S465" s="24">
        <f>IF($J465="","",INDEX(lista_dias,WEEKDAY($J465,2)))</f>
        <v/>
      </c>
      <c r="T465" s="24">
        <f>IF($J465="","",IFERROR(INDEX('CALENDARIO'!$C$15:$C$214,MATCH(TEXT($J465,"yyyy-mm-dd")&amp;"|"&amp;$Y465&amp;"|"&amp;$Z465,'CALENDARIO'!$G$15:$G$214,0)),IFERROR(INDEX('CALENDARIO'!$C$15:$C$214,MATCH(TEXT($J465,"yyyy-mm-dd")&amp;"|"&amp;$Y465&amp;"|",'CALENDARIO'!$G$15:$G$214,0)),IFERROR(INDEX('CALENDARIO'!$C$15:$C$214,MATCH(TEXT($J465,"yyyy-mm-dd")&amp;"||",'CALENDARIO'!$G$15:$G$214,0)),INDEX(patronHabil,WEEKDAY($J465,2))))))</f>
        <v/>
      </c>
      <c r="U465" s="24">
        <f>IF($I465="","",IFERROR(INDEX('CAT_TIPOS_OT'!$C$4:$C$23,MATCH($I465,'CAT_TIPOS_OT'!$A$4:$A$23,0)),"sin_clasificar"))</f>
        <v/>
      </c>
      <c r="V465" s="24">
        <f>IF($I465="","",IF(IFERROR(INDEX('CAT_TIPOS_OT'!$D$4:$D$23,MATCH($I465,'CAT_TIPOS_OT'!$A$4:$A$23,0)),"SIN CLASIFICAR")="","SIN CLASIFICAR",IFERROR(INDEX('CAT_TIPOS_OT'!$D$4:$D$23,MATCH($I465,'CAT_TIPOS_OT'!$A$4:$A$23,0)),"SIN CLASIFICAR")))</f>
        <v/>
      </c>
      <c r="W465" s="24">
        <f>IF($H465="","",IF(IFERROR(INDEX('CAT_ACTIVIDADES'!$F$4:$F$26,MATCH($H465,'CAT_ACTIVIDADES'!$A$4:$A$26,0)),"")=0,"",IFERROR(INDEX('CAT_ACTIVIDADES'!$F$4:$F$26,MATCH($H465,'CAT_ACTIVIDADES'!$A$4:$A$26,0)),"")))</f>
        <v/>
      </c>
      <c r="X465" s="24">
        <f>IF($F465="","",IFERROR(INDEX('CAT_CENTROS_COSTO'!$F$4:$F$28,MATCH($F465,'CAT_CENTROS_COSTO'!$A$4:$A$28,0)),"(sin catálogo)"))</f>
        <v/>
      </c>
      <c r="Y465" s="24">
        <f>IF($F465="","",IFERROR(INDEX('CAT_CENTROS_COSTO'!$D$4:$D$28,MATCH($F465,'CAT_CENTROS_COSTO'!$A$4:$A$28,0)),"(sin catálogo)"))</f>
        <v/>
      </c>
      <c r="Z465" s="24">
        <f>IF($F465="","",IF((IFERROR(INDEX('CAT_CENTROS_COSTO'!$E$4:$E$28,MATCH($F465,'CAT_CENTROS_COSTO'!$A$4:$A$28,0)),""))&lt;&gt;"",IFERROR(INDEX('CAT_CENTROS_COSTO'!$E$4:$E$28,MATCH($F465,'CAT_CENTROS_COSTO'!$A$4:$A$28,0)),""),$Y465))</f>
        <v/>
      </c>
      <c r="AA465" s="24">
        <f>IF($F465="","",IFERROR(INDEX('CAT_CENTROS_COSTO'!$G$4:$G$28,MATCH($F465,'CAT_CENTROS_COSTO'!$A$4:$A$28,0)),"(sin catálogo)"))</f>
        <v/>
      </c>
      <c r="AB465" s="24">
        <f>IF($G465="","",IFERROR(INDEX('CAT_PUESTOS'!$B$4:$B$23,MATCH($G465,'CAT_PUESTOS'!$A$4:$A$23,0)),"(sin catálogo)"))</f>
        <v/>
      </c>
      <c r="AC465" s="24">
        <f>IF($H465="","",IFERROR(INDEX('CAT_ACTIVIDADES'!$B$4:$B$26,MATCH($H465,'CAT_ACTIVIDADES'!$A$4:$A$26,0)),"(sin catálogo)"))</f>
        <v/>
      </c>
      <c r="AD465" s="26">
        <f>IF($J465="","",TODAY()-$J465)</f>
        <v/>
      </c>
      <c r="AE465" s="26">
        <f>IF($J465="","",IF($J465&lt;=TODAY(),COUNTIFS(cal_fechas,"&gt;="&amp;$J465,cal_fechas,"&lt;"&amp;TODAY(),cal_habil,"sí"),-COUNTIFS(cal_fechas,"&gt;="&amp;TODAY(),cal_fechas,"&lt;"&amp;$J465,cal_habil,"sí")))</f>
        <v/>
      </c>
      <c r="AF465" s="24">
        <f>IF($AE465="","",IF($AE465&lt;0,"FUTURO",IF($AE465&gt;p_dias_backlog_max,"BACKLOG","MES CORRIENTE")))</f>
        <v/>
      </c>
      <c r="AG465" s="24">
        <f>IF($AE465="",FALSE,AND($AE465&gt;p_dias_backlog_min,$AE465&lt;=p_dias_backlog_max))</f>
        <v/>
      </c>
      <c r="AH465" s="4" t="n"/>
      <c r="AI465" s="24">
        <f>IF($AH465="","",IF((IFERROR(INDEX('ASIGNACIONES'!$J$4:$J$451,MATCH($O465&amp;"|"&amp;$S465&amp;"|"&amp;$AH465,'ASIGNACIONES'!$N$4:$N$451,0)),""))=0,"",IFERROR(INDEX('ASIGNACIONES'!$J$4:$J$451,MATCH($O465&amp;"|"&amp;$S465&amp;"|"&amp;$AH465,'ASIGNACIONES'!$N$4:$N$451,0)),"")))</f>
        <v/>
      </c>
      <c r="AJ465" s="42">
        <f>IF($AH465="","",SUMIFS('ORDENES'!$M$4:$M$1203,'ORDENES'!$AH$4:$AH$1203,$AH465,'ORDENES'!$O$4:$O$1203,$O465,'ORDENES'!$S$4:$S$1203,$S465))</f>
        <v/>
      </c>
      <c r="AK465" s="42">
        <f>IF($AJ465="","",p_factor_productividad*IFERROR(INDEX('ASIGNACIONES'!$M$4:$M$451,MATCH($O465&amp;"|"&amp;$S465&amp;"|"&amp;$AH465,'ASIGNACIONES'!$N$4:$N$451,0)),0)-$AJ465)</f>
        <v/>
      </c>
      <c r="AL465" s="32">
        <f>IF($A465="","",IFERROR(INDEX('2_IMPORTAR_EJECUCION'!$F$9:$F$1208,MATCH($AU465,'2_IMPORTAR_EJECUCION'!$J$9:$J$1208,0)),0))</f>
        <v/>
      </c>
      <c r="AM465" s="32">
        <f>IF($A465="","",MAX(0,IFERROR(INDEX('2_IMPORTAR_EJECUCION'!$H$9:$H$1208,MATCH($AU465,'2_IMPORTAR_EJECUCION'!$J$9:$J$1208,0)),0)-$AL465))</f>
        <v/>
      </c>
      <c r="AN465" s="32">
        <f>IF($A465="","",$AL465+$AM465)</f>
        <v/>
      </c>
      <c r="AO465" s="24">
        <f>IF($A465="","",IF(OR((IFERROR(INDEX('CAT_ACTIVIDADES'!$D$4:$D$26,MATCH($H465,'CAT_ACTIVIDADES'!$A$4:$A$26,0)),""))=0,(IFERROR(INDEX('CAT_ACTIVIDADES'!$D$4:$D$26,MATCH($H465,'CAT_ACTIVIDADES'!$A$4:$A$26,0)),""))=""),"SIN CLASIFICAR",IFERROR(INDEX('CAT_ACTIVIDADES'!$D$4:$D$26,MATCH($H465,'CAT_ACTIVIDADES'!$A$4:$A$26,0)),"")))</f>
        <v/>
      </c>
      <c r="AP465" s="4" t="n"/>
      <c r="AQ465" s="4" t="n"/>
      <c r="AR465" s="4" t="n"/>
      <c r="AS465" s="24">
        <f>IF($AR465="","",HYPERLINK(p_ruta_base_checklists&amp;$AR465,"abrir"))</f>
        <v/>
      </c>
      <c r="AT465" s="4" t="n"/>
      <c r="AU465" s="24">
        <f>IF($A465="","",$A465&amp;IF($B465="","0010",$B465))</f>
        <v/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41" t="n"/>
      <c r="K466" s="5" t="n"/>
      <c r="L466" s="18" t="n"/>
      <c r="M466" s="24">
        <f>IF($A466="","",IFERROR(INDEX('AJUSTES'!$B$4:$B$303,MATCH($AU466,'AJUSTES'!$A$4:$A$303,0)),IF($K466="","",$K466)))</f>
        <v/>
      </c>
      <c r="N466" s="24">
        <f>IF($A466="","",IFERROR(INDEX('CAT_ESTADOS_ERP'!$B$4:$B$22,MATCH(IFERROR(INDEX('2_IMPORTAR_EJECUCION'!$C$9:$C$1208,MATCH($AU466,'2_IMPORTAR_EJECUCION'!$J$9:$J$1208,0)),""),'CAT_ESTADOS_ERP'!$A$4:$A$22,0)),"Pendiente"))</f>
        <v/>
      </c>
      <c r="O466" s="24">
        <f>IF($J466="","",YEAR($J466+4-WEEKDAY($J466,2))&amp;"-S"&amp;TEXT(_xlfn.ISOWEEKNUM($J466),"00"))</f>
        <v/>
      </c>
      <c r="P466" s="24">
        <f>IF($J466="","",YEAR($J466))</f>
        <v/>
      </c>
      <c r="Q466" s="24">
        <f>IF($J466="","",MONTH($J466))</f>
        <v/>
      </c>
      <c r="R466" s="24">
        <f>IF($J466="","",$P466&amp;"-"&amp;TEXT($Q466,"00"))</f>
        <v/>
      </c>
      <c r="S466" s="24">
        <f>IF($J466="","",INDEX(lista_dias,WEEKDAY($J466,2)))</f>
        <v/>
      </c>
      <c r="T466" s="24">
        <f>IF($J466="","",IFERROR(INDEX('CALENDARIO'!$C$15:$C$214,MATCH(TEXT($J466,"yyyy-mm-dd")&amp;"|"&amp;$Y466&amp;"|"&amp;$Z466,'CALENDARIO'!$G$15:$G$214,0)),IFERROR(INDEX('CALENDARIO'!$C$15:$C$214,MATCH(TEXT($J466,"yyyy-mm-dd")&amp;"|"&amp;$Y466&amp;"|",'CALENDARIO'!$G$15:$G$214,0)),IFERROR(INDEX('CALENDARIO'!$C$15:$C$214,MATCH(TEXT($J466,"yyyy-mm-dd")&amp;"||",'CALENDARIO'!$G$15:$G$214,0)),INDEX(patronHabil,WEEKDAY($J466,2))))))</f>
        <v/>
      </c>
      <c r="U466" s="24">
        <f>IF($I466="","",IFERROR(INDEX('CAT_TIPOS_OT'!$C$4:$C$23,MATCH($I466,'CAT_TIPOS_OT'!$A$4:$A$23,0)),"sin_clasificar"))</f>
        <v/>
      </c>
      <c r="V466" s="24">
        <f>IF($I466="","",IF(IFERROR(INDEX('CAT_TIPOS_OT'!$D$4:$D$23,MATCH($I466,'CAT_TIPOS_OT'!$A$4:$A$23,0)),"SIN CLASIFICAR")="","SIN CLASIFICAR",IFERROR(INDEX('CAT_TIPOS_OT'!$D$4:$D$23,MATCH($I466,'CAT_TIPOS_OT'!$A$4:$A$23,0)),"SIN CLASIFICAR")))</f>
        <v/>
      </c>
      <c r="W466" s="24">
        <f>IF($H466="","",IF(IFERROR(INDEX('CAT_ACTIVIDADES'!$F$4:$F$26,MATCH($H466,'CAT_ACTIVIDADES'!$A$4:$A$26,0)),"")=0,"",IFERROR(INDEX('CAT_ACTIVIDADES'!$F$4:$F$26,MATCH($H466,'CAT_ACTIVIDADES'!$A$4:$A$26,0)),"")))</f>
        <v/>
      </c>
      <c r="X466" s="24">
        <f>IF($F466="","",IFERROR(INDEX('CAT_CENTROS_COSTO'!$F$4:$F$28,MATCH($F466,'CAT_CENTROS_COSTO'!$A$4:$A$28,0)),"(sin catálogo)"))</f>
        <v/>
      </c>
      <c r="Y466" s="24">
        <f>IF($F466="","",IFERROR(INDEX('CAT_CENTROS_COSTO'!$D$4:$D$28,MATCH($F466,'CAT_CENTROS_COSTO'!$A$4:$A$28,0)),"(sin catálogo)"))</f>
        <v/>
      </c>
      <c r="Z466" s="24">
        <f>IF($F466="","",IF((IFERROR(INDEX('CAT_CENTROS_COSTO'!$E$4:$E$28,MATCH($F466,'CAT_CENTROS_COSTO'!$A$4:$A$28,0)),""))&lt;&gt;"",IFERROR(INDEX('CAT_CENTROS_COSTO'!$E$4:$E$28,MATCH($F466,'CAT_CENTROS_COSTO'!$A$4:$A$28,0)),""),$Y466))</f>
        <v/>
      </c>
      <c r="AA466" s="24">
        <f>IF($F466="","",IFERROR(INDEX('CAT_CENTROS_COSTO'!$G$4:$G$28,MATCH($F466,'CAT_CENTROS_COSTO'!$A$4:$A$28,0)),"(sin catálogo)"))</f>
        <v/>
      </c>
      <c r="AB466" s="24">
        <f>IF($G466="","",IFERROR(INDEX('CAT_PUESTOS'!$B$4:$B$23,MATCH($G466,'CAT_PUESTOS'!$A$4:$A$23,0)),"(sin catálogo)"))</f>
        <v/>
      </c>
      <c r="AC466" s="24">
        <f>IF($H466="","",IFERROR(INDEX('CAT_ACTIVIDADES'!$B$4:$B$26,MATCH($H466,'CAT_ACTIVIDADES'!$A$4:$A$26,0)),"(sin catálogo)"))</f>
        <v/>
      </c>
      <c r="AD466" s="26">
        <f>IF($J466="","",TODAY()-$J466)</f>
        <v/>
      </c>
      <c r="AE466" s="26">
        <f>IF($J466="","",IF($J466&lt;=TODAY(),COUNTIFS(cal_fechas,"&gt;="&amp;$J466,cal_fechas,"&lt;"&amp;TODAY(),cal_habil,"sí"),-COUNTIFS(cal_fechas,"&gt;="&amp;TODAY(),cal_fechas,"&lt;"&amp;$J466,cal_habil,"sí")))</f>
        <v/>
      </c>
      <c r="AF466" s="24">
        <f>IF($AE466="","",IF($AE466&lt;0,"FUTURO",IF($AE466&gt;p_dias_backlog_max,"BACKLOG","MES CORRIENTE")))</f>
        <v/>
      </c>
      <c r="AG466" s="24">
        <f>IF($AE466="",FALSE,AND($AE466&gt;p_dias_backlog_min,$AE466&lt;=p_dias_backlog_max))</f>
        <v/>
      </c>
      <c r="AH466" s="4" t="n"/>
      <c r="AI466" s="24">
        <f>IF($AH466="","",IF((IFERROR(INDEX('ASIGNACIONES'!$J$4:$J$451,MATCH($O466&amp;"|"&amp;$S466&amp;"|"&amp;$AH466,'ASIGNACIONES'!$N$4:$N$451,0)),""))=0,"",IFERROR(INDEX('ASIGNACIONES'!$J$4:$J$451,MATCH($O466&amp;"|"&amp;$S466&amp;"|"&amp;$AH466,'ASIGNACIONES'!$N$4:$N$451,0)),"")))</f>
        <v/>
      </c>
      <c r="AJ466" s="42">
        <f>IF($AH466="","",SUMIFS('ORDENES'!$M$4:$M$1203,'ORDENES'!$AH$4:$AH$1203,$AH466,'ORDENES'!$O$4:$O$1203,$O466,'ORDENES'!$S$4:$S$1203,$S466))</f>
        <v/>
      </c>
      <c r="AK466" s="42">
        <f>IF($AJ466="","",p_factor_productividad*IFERROR(INDEX('ASIGNACIONES'!$M$4:$M$451,MATCH($O466&amp;"|"&amp;$S466&amp;"|"&amp;$AH466,'ASIGNACIONES'!$N$4:$N$451,0)),0)-$AJ466)</f>
        <v/>
      </c>
      <c r="AL466" s="32">
        <f>IF($A466="","",IFERROR(INDEX('2_IMPORTAR_EJECUCION'!$F$9:$F$1208,MATCH($AU466,'2_IMPORTAR_EJECUCION'!$J$9:$J$1208,0)),0))</f>
        <v/>
      </c>
      <c r="AM466" s="32">
        <f>IF($A466="","",MAX(0,IFERROR(INDEX('2_IMPORTAR_EJECUCION'!$H$9:$H$1208,MATCH($AU466,'2_IMPORTAR_EJECUCION'!$J$9:$J$1208,0)),0)-$AL466))</f>
        <v/>
      </c>
      <c r="AN466" s="32">
        <f>IF($A466="","",$AL466+$AM466)</f>
        <v/>
      </c>
      <c r="AO466" s="24">
        <f>IF($A466="","",IF(OR((IFERROR(INDEX('CAT_ACTIVIDADES'!$D$4:$D$26,MATCH($H466,'CAT_ACTIVIDADES'!$A$4:$A$26,0)),""))=0,(IFERROR(INDEX('CAT_ACTIVIDADES'!$D$4:$D$26,MATCH($H466,'CAT_ACTIVIDADES'!$A$4:$A$26,0)),""))=""),"SIN CLASIFICAR",IFERROR(INDEX('CAT_ACTIVIDADES'!$D$4:$D$26,MATCH($H466,'CAT_ACTIVIDADES'!$A$4:$A$26,0)),"")))</f>
        <v/>
      </c>
      <c r="AP466" s="4" t="n"/>
      <c r="AQ466" s="4" t="n"/>
      <c r="AR466" s="4" t="n"/>
      <c r="AS466" s="24">
        <f>IF($AR466="","",HYPERLINK(p_ruta_base_checklists&amp;$AR466,"abrir"))</f>
        <v/>
      </c>
      <c r="AT466" s="4" t="n"/>
      <c r="AU466" s="24">
        <f>IF($A466="","",$A466&amp;IF($B466="","0010",$B466))</f>
        <v/>
      </c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41" t="n"/>
      <c r="K467" s="5" t="n"/>
      <c r="L467" s="18" t="n"/>
      <c r="M467" s="24">
        <f>IF($A467="","",IFERROR(INDEX('AJUSTES'!$B$4:$B$303,MATCH($AU467,'AJUSTES'!$A$4:$A$303,0)),IF($K467="","",$K467)))</f>
        <v/>
      </c>
      <c r="N467" s="24">
        <f>IF($A467="","",IFERROR(INDEX('CAT_ESTADOS_ERP'!$B$4:$B$22,MATCH(IFERROR(INDEX('2_IMPORTAR_EJECUCION'!$C$9:$C$1208,MATCH($AU467,'2_IMPORTAR_EJECUCION'!$J$9:$J$1208,0)),""),'CAT_ESTADOS_ERP'!$A$4:$A$22,0)),"Pendiente"))</f>
        <v/>
      </c>
      <c r="O467" s="24">
        <f>IF($J467="","",YEAR($J467+4-WEEKDAY($J467,2))&amp;"-S"&amp;TEXT(_xlfn.ISOWEEKNUM($J467),"00"))</f>
        <v/>
      </c>
      <c r="P467" s="24">
        <f>IF($J467="","",YEAR($J467))</f>
        <v/>
      </c>
      <c r="Q467" s="24">
        <f>IF($J467="","",MONTH($J467))</f>
        <v/>
      </c>
      <c r="R467" s="24">
        <f>IF($J467="","",$P467&amp;"-"&amp;TEXT($Q467,"00"))</f>
        <v/>
      </c>
      <c r="S467" s="24">
        <f>IF($J467="","",INDEX(lista_dias,WEEKDAY($J467,2)))</f>
        <v/>
      </c>
      <c r="T467" s="24">
        <f>IF($J467="","",IFERROR(INDEX('CALENDARIO'!$C$15:$C$214,MATCH(TEXT($J467,"yyyy-mm-dd")&amp;"|"&amp;$Y467&amp;"|"&amp;$Z467,'CALENDARIO'!$G$15:$G$214,0)),IFERROR(INDEX('CALENDARIO'!$C$15:$C$214,MATCH(TEXT($J467,"yyyy-mm-dd")&amp;"|"&amp;$Y467&amp;"|",'CALENDARIO'!$G$15:$G$214,0)),IFERROR(INDEX('CALENDARIO'!$C$15:$C$214,MATCH(TEXT($J467,"yyyy-mm-dd")&amp;"||",'CALENDARIO'!$G$15:$G$214,0)),INDEX(patronHabil,WEEKDAY($J467,2))))))</f>
        <v/>
      </c>
      <c r="U467" s="24">
        <f>IF($I467="","",IFERROR(INDEX('CAT_TIPOS_OT'!$C$4:$C$23,MATCH($I467,'CAT_TIPOS_OT'!$A$4:$A$23,0)),"sin_clasificar"))</f>
        <v/>
      </c>
      <c r="V467" s="24">
        <f>IF($I467="","",IF(IFERROR(INDEX('CAT_TIPOS_OT'!$D$4:$D$23,MATCH($I467,'CAT_TIPOS_OT'!$A$4:$A$23,0)),"SIN CLASIFICAR")="","SIN CLASIFICAR",IFERROR(INDEX('CAT_TIPOS_OT'!$D$4:$D$23,MATCH($I467,'CAT_TIPOS_OT'!$A$4:$A$23,0)),"SIN CLASIFICAR")))</f>
        <v/>
      </c>
      <c r="W467" s="24">
        <f>IF($H467="","",IF(IFERROR(INDEX('CAT_ACTIVIDADES'!$F$4:$F$26,MATCH($H467,'CAT_ACTIVIDADES'!$A$4:$A$26,0)),"")=0,"",IFERROR(INDEX('CAT_ACTIVIDADES'!$F$4:$F$26,MATCH($H467,'CAT_ACTIVIDADES'!$A$4:$A$26,0)),"")))</f>
        <v/>
      </c>
      <c r="X467" s="24">
        <f>IF($F467="","",IFERROR(INDEX('CAT_CENTROS_COSTO'!$F$4:$F$28,MATCH($F467,'CAT_CENTROS_COSTO'!$A$4:$A$28,0)),"(sin catálogo)"))</f>
        <v/>
      </c>
      <c r="Y467" s="24">
        <f>IF($F467="","",IFERROR(INDEX('CAT_CENTROS_COSTO'!$D$4:$D$28,MATCH($F467,'CAT_CENTROS_COSTO'!$A$4:$A$28,0)),"(sin catálogo)"))</f>
        <v/>
      </c>
      <c r="Z467" s="24">
        <f>IF($F467="","",IF((IFERROR(INDEX('CAT_CENTROS_COSTO'!$E$4:$E$28,MATCH($F467,'CAT_CENTROS_COSTO'!$A$4:$A$28,0)),""))&lt;&gt;"",IFERROR(INDEX('CAT_CENTROS_COSTO'!$E$4:$E$28,MATCH($F467,'CAT_CENTROS_COSTO'!$A$4:$A$28,0)),""),$Y467))</f>
        <v/>
      </c>
      <c r="AA467" s="24">
        <f>IF($F467="","",IFERROR(INDEX('CAT_CENTROS_COSTO'!$G$4:$G$28,MATCH($F467,'CAT_CENTROS_COSTO'!$A$4:$A$28,0)),"(sin catálogo)"))</f>
        <v/>
      </c>
      <c r="AB467" s="24">
        <f>IF($G467="","",IFERROR(INDEX('CAT_PUESTOS'!$B$4:$B$23,MATCH($G467,'CAT_PUESTOS'!$A$4:$A$23,0)),"(sin catálogo)"))</f>
        <v/>
      </c>
      <c r="AC467" s="24">
        <f>IF($H467="","",IFERROR(INDEX('CAT_ACTIVIDADES'!$B$4:$B$26,MATCH($H467,'CAT_ACTIVIDADES'!$A$4:$A$26,0)),"(sin catálogo)"))</f>
        <v/>
      </c>
      <c r="AD467" s="26">
        <f>IF($J467="","",TODAY()-$J467)</f>
        <v/>
      </c>
      <c r="AE467" s="26">
        <f>IF($J467="","",IF($J467&lt;=TODAY(),COUNTIFS(cal_fechas,"&gt;="&amp;$J467,cal_fechas,"&lt;"&amp;TODAY(),cal_habil,"sí"),-COUNTIFS(cal_fechas,"&gt;="&amp;TODAY(),cal_fechas,"&lt;"&amp;$J467,cal_habil,"sí")))</f>
        <v/>
      </c>
      <c r="AF467" s="24">
        <f>IF($AE467="","",IF($AE467&lt;0,"FUTURO",IF($AE467&gt;p_dias_backlog_max,"BACKLOG","MES CORRIENTE")))</f>
        <v/>
      </c>
      <c r="AG467" s="24">
        <f>IF($AE467="",FALSE,AND($AE467&gt;p_dias_backlog_min,$AE467&lt;=p_dias_backlog_max))</f>
        <v/>
      </c>
      <c r="AH467" s="4" t="n"/>
      <c r="AI467" s="24">
        <f>IF($AH467="","",IF((IFERROR(INDEX('ASIGNACIONES'!$J$4:$J$451,MATCH($O467&amp;"|"&amp;$S467&amp;"|"&amp;$AH467,'ASIGNACIONES'!$N$4:$N$451,0)),""))=0,"",IFERROR(INDEX('ASIGNACIONES'!$J$4:$J$451,MATCH($O467&amp;"|"&amp;$S467&amp;"|"&amp;$AH467,'ASIGNACIONES'!$N$4:$N$451,0)),"")))</f>
        <v/>
      </c>
      <c r="AJ467" s="42">
        <f>IF($AH467="","",SUMIFS('ORDENES'!$M$4:$M$1203,'ORDENES'!$AH$4:$AH$1203,$AH467,'ORDENES'!$O$4:$O$1203,$O467,'ORDENES'!$S$4:$S$1203,$S467))</f>
        <v/>
      </c>
      <c r="AK467" s="42">
        <f>IF($AJ467="","",p_factor_productividad*IFERROR(INDEX('ASIGNACIONES'!$M$4:$M$451,MATCH($O467&amp;"|"&amp;$S467&amp;"|"&amp;$AH467,'ASIGNACIONES'!$N$4:$N$451,0)),0)-$AJ467)</f>
        <v/>
      </c>
      <c r="AL467" s="32">
        <f>IF($A467="","",IFERROR(INDEX('2_IMPORTAR_EJECUCION'!$F$9:$F$1208,MATCH($AU467,'2_IMPORTAR_EJECUCION'!$J$9:$J$1208,0)),0))</f>
        <v/>
      </c>
      <c r="AM467" s="32">
        <f>IF($A467="","",MAX(0,IFERROR(INDEX('2_IMPORTAR_EJECUCION'!$H$9:$H$1208,MATCH($AU467,'2_IMPORTAR_EJECUCION'!$J$9:$J$1208,0)),0)-$AL467))</f>
        <v/>
      </c>
      <c r="AN467" s="32">
        <f>IF($A467="","",$AL467+$AM467)</f>
        <v/>
      </c>
      <c r="AO467" s="24">
        <f>IF($A467="","",IF(OR((IFERROR(INDEX('CAT_ACTIVIDADES'!$D$4:$D$26,MATCH($H467,'CAT_ACTIVIDADES'!$A$4:$A$26,0)),""))=0,(IFERROR(INDEX('CAT_ACTIVIDADES'!$D$4:$D$26,MATCH($H467,'CAT_ACTIVIDADES'!$A$4:$A$26,0)),""))=""),"SIN CLASIFICAR",IFERROR(INDEX('CAT_ACTIVIDADES'!$D$4:$D$26,MATCH($H467,'CAT_ACTIVIDADES'!$A$4:$A$26,0)),"")))</f>
        <v/>
      </c>
      <c r="AP467" s="4" t="n"/>
      <c r="AQ467" s="4" t="n"/>
      <c r="AR467" s="4" t="n"/>
      <c r="AS467" s="24">
        <f>IF($AR467="","",HYPERLINK(p_ruta_base_checklists&amp;$AR467,"abrir"))</f>
        <v/>
      </c>
      <c r="AT467" s="4" t="n"/>
      <c r="AU467" s="24">
        <f>IF($A467="","",$A467&amp;IF($B467="","0010",$B467))</f>
        <v/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41" t="n"/>
      <c r="K468" s="5" t="n"/>
      <c r="L468" s="18" t="n"/>
      <c r="M468" s="24">
        <f>IF($A468="","",IFERROR(INDEX('AJUSTES'!$B$4:$B$303,MATCH($AU468,'AJUSTES'!$A$4:$A$303,0)),IF($K468="","",$K468)))</f>
        <v/>
      </c>
      <c r="N468" s="24">
        <f>IF($A468="","",IFERROR(INDEX('CAT_ESTADOS_ERP'!$B$4:$B$22,MATCH(IFERROR(INDEX('2_IMPORTAR_EJECUCION'!$C$9:$C$1208,MATCH($AU468,'2_IMPORTAR_EJECUCION'!$J$9:$J$1208,0)),""),'CAT_ESTADOS_ERP'!$A$4:$A$22,0)),"Pendiente"))</f>
        <v/>
      </c>
      <c r="O468" s="24">
        <f>IF($J468="","",YEAR($J468+4-WEEKDAY($J468,2))&amp;"-S"&amp;TEXT(_xlfn.ISOWEEKNUM($J468),"00"))</f>
        <v/>
      </c>
      <c r="P468" s="24">
        <f>IF($J468="","",YEAR($J468))</f>
        <v/>
      </c>
      <c r="Q468" s="24">
        <f>IF($J468="","",MONTH($J468))</f>
        <v/>
      </c>
      <c r="R468" s="24">
        <f>IF($J468="","",$P468&amp;"-"&amp;TEXT($Q468,"00"))</f>
        <v/>
      </c>
      <c r="S468" s="24">
        <f>IF($J468="","",INDEX(lista_dias,WEEKDAY($J468,2)))</f>
        <v/>
      </c>
      <c r="T468" s="24">
        <f>IF($J468="","",IFERROR(INDEX('CALENDARIO'!$C$15:$C$214,MATCH(TEXT($J468,"yyyy-mm-dd")&amp;"|"&amp;$Y468&amp;"|"&amp;$Z468,'CALENDARIO'!$G$15:$G$214,0)),IFERROR(INDEX('CALENDARIO'!$C$15:$C$214,MATCH(TEXT($J468,"yyyy-mm-dd")&amp;"|"&amp;$Y468&amp;"|",'CALENDARIO'!$G$15:$G$214,0)),IFERROR(INDEX('CALENDARIO'!$C$15:$C$214,MATCH(TEXT($J468,"yyyy-mm-dd")&amp;"||",'CALENDARIO'!$G$15:$G$214,0)),INDEX(patronHabil,WEEKDAY($J468,2))))))</f>
        <v/>
      </c>
      <c r="U468" s="24">
        <f>IF($I468="","",IFERROR(INDEX('CAT_TIPOS_OT'!$C$4:$C$23,MATCH($I468,'CAT_TIPOS_OT'!$A$4:$A$23,0)),"sin_clasificar"))</f>
        <v/>
      </c>
      <c r="V468" s="24">
        <f>IF($I468="","",IF(IFERROR(INDEX('CAT_TIPOS_OT'!$D$4:$D$23,MATCH($I468,'CAT_TIPOS_OT'!$A$4:$A$23,0)),"SIN CLASIFICAR")="","SIN CLASIFICAR",IFERROR(INDEX('CAT_TIPOS_OT'!$D$4:$D$23,MATCH($I468,'CAT_TIPOS_OT'!$A$4:$A$23,0)),"SIN CLASIFICAR")))</f>
        <v/>
      </c>
      <c r="W468" s="24">
        <f>IF($H468="","",IF(IFERROR(INDEX('CAT_ACTIVIDADES'!$F$4:$F$26,MATCH($H468,'CAT_ACTIVIDADES'!$A$4:$A$26,0)),"")=0,"",IFERROR(INDEX('CAT_ACTIVIDADES'!$F$4:$F$26,MATCH($H468,'CAT_ACTIVIDADES'!$A$4:$A$26,0)),"")))</f>
        <v/>
      </c>
      <c r="X468" s="24">
        <f>IF($F468="","",IFERROR(INDEX('CAT_CENTROS_COSTO'!$F$4:$F$28,MATCH($F468,'CAT_CENTROS_COSTO'!$A$4:$A$28,0)),"(sin catálogo)"))</f>
        <v/>
      </c>
      <c r="Y468" s="24">
        <f>IF($F468="","",IFERROR(INDEX('CAT_CENTROS_COSTO'!$D$4:$D$28,MATCH($F468,'CAT_CENTROS_COSTO'!$A$4:$A$28,0)),"(sin catálogo)"))</f>
        <v/>
      </c>
      <c r="Z468" s="24">
        <f>IF($F468="","",IF((IFERROR(INDEX('CAT_CENTROS_COSTO'!$E$4:$E$28,MATCH($F468,'CAT_CENTROS_COSTO'!$A$4:$A$28,0)),""))&lt;&gt;"",IFERROR(INDEX('CAT_CENTROS_COSTO'!$E$4:$E$28,MATCH($F468,'CAT_CENTROS_COSTO'!$A$4:$A$28,0)),""),$Y468))</f>
        <v/>
      </c>
      <c r="AA468" s="24">
        <f>IF($F468="","",IFERROR(INDEX('CAT_CENTROS_COSTO'!$G$4:$G$28,MATCH($F468,'CAT_CENTROS_COSTO'!$A$4:$A$28,0)),"(sin catálogo)"))</f>
        <v/>
      </c>
      <c r="AB468" s="24">
        <f>IF($G468="","",IFERROR(INDEX('CAT_PUESTOS'!$B$4:$B$23,MATCH($G468,'CAT_PUESTOS'!$A$4:$A$23,0)),"(sin catálogo)"))</f>
        <v/>
      </c>
      <c r="AC468" s="24">
        <f>IF($H468="","",IFERROR(INDEX('CAT_ACTIVIDADES'!$B$4:$B$26,MATCH($H468,'CAT_ACTIVIDADES'!$A$4:$A$26,0)),"(sin catálogo)"))</f>
        <v/>
      </c>
      <c r="AD468" s="26">
        <f>IF($J468="","",TODAY()-$J468)</f>
        <v/>
      </c>
      <c r="AE468" s="26">
        <f>IF($J468="","",IF($J468&lt;=TODAY(),COUNTIFS(cal_fechas,"&gt;="&amp;$J468,cal_fechas,"&lt;"&amp;TODAY(),cal_habil,"sí"),-COUNTIFS(cal_fechas,"&gt;="&amp;TODAY(),cal_fechas,"&lt;"&amp;$J468,cal_habil,"sí")))</f>
        <v/>
      </c>
      <c r="AF468" s="24">
        <f>IF($AE468="","",IF($AE468&lt;0,"FUTURO",IF($AE468&gt;p_dias_backlog_max,"BACKLOG","MES CORRIENTE")))</f>
        <v/>
      </c>
      <c r="AG468" s="24">
        <f>IF($AE468="",FALSE,AND($AE468&gt;p_dias_backlog_min,$AE468&lt;=p_dias_backlog_max))</f>
        <v/>
      </c>
      <c r="AH468" s="4" t="n"/>
      <c r="AI468" s="24">
        <f>IF($AH468="","",IF((IFERROR(INDEX('ASIGNACIONES'!$J$4:$J$451,MATCH($O468&amp;"|"&amp;$S468&amp;"|"&amp;$AH468,'ASIGNACIONES'!$N$4:$N$451,0)),""))=0,"",IFERROR(INDEX('ASIGNACIONES'!$J$4:$J$451,MATCH($O468&amp;"|"&amp;$S468&amp;"|"&amp;$AH468,'ASIGNACIONES'!$N$4:$N$451,0)),"")))</f>
        <v/>
      </c>
      <c r="AJ468" s="42">
        <f>IF($AH468="","",SUMIFS('ORDENES'!$M$4:$M$1203,'ORDENES'!$AH$4:$AH$1203,$AH468,'ORDENES'!$O$4:$O$1203,$O468,'ORDENES'!$S$4:$S$1203,$S468))</f>
        <v/>
      </c>
      <c r="AK468" s="42">
        <f>IF($AJ468="","",p_factor_productividad*IFERROR(INDEX('ASIGNACIONES'!$M$4:$M$451,MATCH($O468&amp;"|"&amp;$S468&amp;"|"&amp;$AH468,'ASIGNACIONES'!$N$4:$N$451,0)),0)-$AJ468)</f>
        <v/>
      </c>
      <c r="AL468" s="32">
        <f>IF($A468="","",IFERROR(INDEX('2_IMPORTAR_EJECUCION'!$F$9:$F$1208,MATCH($AU468,'2_IMPORTAR_EJECUCION'!$J$9:$J$1208,0)),0))</f>
        <v/>
      </c>
      <c r="AM468" s="32">
        <f>IF($A468="","",MAX(0,IFERROR(INDEX('2_IMPORTAR_EJECUCION'!$H$9:$H$1208,MATCH($AU468,'2_IMPORTAR_EJECUCION'!$J$9:$J$1208,0)),0)-$AL468))</f>
        <v/>
      </c>
      <c r="AN468" s="32">
        <f>IF($A468="","",$AL468+$AM468)</f>
        <v/>
      </c>
      <c r="AO468" s="24">
        <f>IF($A468="","",IF(OR((IFERROR(INDEX('CAT_ACTIVIDADES'!$D$4:$D$26,MATCH($H468,'CAT_ACTIVIDADES'!$A$4:$A$26,0)),""))=0,(IFERROR(INDEX('CAT_ACTIVIDADES'!$D$4:$D$26,MATCH($H468,'CAT_ACTIVIDADES'!$A$4:$A$26,0)),""))=""),"SIN CLASIFICAR",IFERROR(INDEX('CAT_ACTIVIDADES'!$D$4:$D$26,MATCH($H468,'CAT_ACTIVIDADES'!$A$4:$A$26,0)),"")))</f>
        <v/>
      </c>
      <c r="AP468" s="4" t="n"/>
      <c r="AQ468" s="4" t="n"/>
      <c r="AR468" s="4" t="n"/>
      <c r="AS468" s="24">
        <f>IF($AR468="","",HYPERLINK(p_ruta_base_checklists&amp;$AR468,"abrir"))</f>
        <v/>
      </c>
      <c r="AT468" s="4" t="n"/>
      <c r="AU468" s="24">
        <f>IF($A468="","",$A468&amp;IF($B468="","0010",$B468))</f>
        <v/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41" t="n"/>
      <c r="K469" s="5" t="n"/>
      <c r="L469" s="18" t="n"/>
      <c r="M469" s="24">
        <f>IF($A469="","",IFERROR(INDEX('AJUSTES'!$B$4:$B$303,MATCH($AU469,'AJUSTES'!$A$4:$A$303,0)),IF($K469="","",$K469)))</f>
        <v/>
      </c>
      <c r="N469" s="24">
        <f>IF($A469="","",IFERROR(INDEX('CAT_ESTADOS_ERP'!$B$4:$B$22,MATCH(IFERROR(INDEX('2_IMPORTAR_EJECUCION'!$C$9:$C$1208,MATCH($AU469,'2_IMPORTAR_EJECUCION'!$J$9:$J$1208,0)),""),'CAT_ESTADOS_ERP'!$A$4:$A$22,0)),"Pendiente"))</f>
        <v/>
      </c>
      <c r="O469" s="24">
        <f>IF($J469="","",YEAR($J469+4-WEEKDAY($J469,2))&amp;"-S"&amp;TEXT(_xlfn.ISOWEEKNUM($J469),"00"))</f>
        <v/>
      </c>
      <c r="P469" s="24">
        <f>IF($J469="","",YEAR($J469))</f>
        <v/>
      </c>
      <c r="Q469" s="24">
        <f>IF($J469="","",MONTH($J469))</f>
        <v/>
      </c>
      <c r="R469" s="24">
        <f>IF($J469="","",$P469&amp;"-"&amp;TEXT($Q469,"00"))</f>
        <v/>
      </c>
      <c r="S469" s="24">
        <f>IF($J469="","",INDEX(lista_dias,WEEKDAY($J469,2)))</f>
        <v/>
      </c>
      <c r="T469" s="24">
        <f>IF($J469="","",IFERROR(INDEX('CALENDARIO'!$C$15:$C$214,MATCH(TEXT($J469,"yyyy-mm-dd")&amp;"|"&amp;$Y469&amp;"|"&amp;$Z469,'CALENDARIO'!$G$15:$G$214,0)),IFERROR(INDEX('CALENDARIO'!$C$15:$C$214,MATCH(TEXT($J469,"yyyy-mm-dd")&amp;"|"&amp;$Y469&amp;"|",'CALENDARIO'!$G$15:$G$214,0)),IFERROR(INDEX('CALENDARIO'!$C$15:$C$214,MATCH(TEXT($J469,"yyyy-mm-dd")&amp;"||",'CALENDARIO'!$G$15:$G$214,0)),INDEX(patronHabil,WEEKDAY($J469,2))))))</f>
        <v/>
      </c>
      <c r="U469" s="24">
        <f>IF($I469="","",IFERROR(INDEX('CAT_TIPOS_OT'!$C$4:$C$23,MATCH($I469,'CAT_TIPOS_OT'!$A$4:$A$23,0)),"sin_clasificar"))</f>
        <v/>
      </c>
      <c r="V469" s="24">
        <f>IF($I469="","",IF(IFERROR(INDEX('CAT_TIPOS_OT'!$D$4:$D$23,MATCH($I469,'CAT_TIPOS_OT'!$A$4:$A$23,0)),"SIN CLASIFICAR")="","SIN CLASIFICAR",IFERROR(INDEX('CAT_TIPOS_OT'!$D$4:$D$23,MATCH($I469,'CAT_TIPOS_OT'!$A$4:$A$23,0)),"SIN CLASIFICAR")))</f>
        <v/>
      </c>
      <c r="W469" s="24">
        <f>IF($H469="","",IF(IFERROR(INDEX('CAT_ACTIVIDADES'!$F$4:$F$26,MATCH($H469,'CAT_ACTIVIDADES'!$A$4:$A$26,0)),"")=0,"",IFERROR(INDEX('CAT_ACTIVIDADES'!$F$4:$F$26,MATCH($H469,'CAT_ACTIVIDADES'!$A$4:$A$26,0)),"")))</f>
        <v/>
      </c>
      <c r="X469" s="24">
        <f>IF($F469="","",IFERROR(INDEX('CAT_CENTROS_COSTO'!$F$4:$F$28,MATCH($F469,'CAT_CENTROS_COSTO'!$A$4:$A$28,0)),"(sin catálogo)"))</f>
        <v/>
      </c>
      <c r="Y469" s="24">
        <f>IF($F469="","",IFERROR(INDEX('CAT_CENTROS_COSTO'!$D$4:$D$28,MATCH($F469,'CAT_CENTROS_COSTO'!$A$4:$A$28,0)),"(sin catálogo)"))</f>
        <v/>
      </c>
      <c r="Z469" s="24">
        <f>IF($F469="","",IF((IFERROR(INDEX('CAT_CENTROS_COSTO'!$E$4:$E$28,MATCH($F469,'CAT_CENTROS_COSTO'!$A$4:$A$28,0)),""))&lt;&gt;"",IFERROR(INDEX('CAT_CENTROS_COSTO'!$E$4:$E$28,MATCH($F469,'CAT_CENTROS_COSTO'!$A$4:$A$28,0)),""),$Y469))</f>
        <v/>
      </c>
      <c r="AA469" s="24">
        <f>IF($F469="","",IFERROR(INDEX('CAT_CENTROS_COSTO'!$G$4:$G$28,MATCH($F469,'CAT_CENTROS_COSTO'!$A$4:$A$28,0)),"(sin catálogo)"))</f>
        <v/>
      </c>
      <c r="AB469" s="24">
        <f>IF($G469="","",IFERROR(INDEX('CAT_PUESTOS'!$B$4:$B$23,MATCH($G469,'CAT_PUESTOS'!$A$4:$A$23,0)),"(sin catálogo)"))</f>
        <v/>
      </c>
      <c r="AC469" s="24">
        <f>IF($H469="","",IFERROR(INDEX('CAT_ACTIVIDADES'!$B$4:$B$26,MATCH($H469,'CAT_ACTIVIDADES'!$A$4:$A$26,0)),"(sin catálogo)"))</f>
        <v/>
      </c>
      <c r="AD469" s="26">
        <f>IF($J469="","",TODAY()-$J469)</f>
        <v/>
      </c>
      <c r="AE469" s="26">
        <f>IF($J469="","",IF($J469&lt;=TODAY(),COUNTIFS(cal_fechas,"&gt;="&amp;$J469,cal_fechas,"&lt;"&amp;TODAY(),cal_habil,"sí"),-COUNTIFS(cal_fechas,"&gt;="&amp;TODAY(),cal_fechas,"&lt;"&amp;$J469,cal_habil,"sí")))</f>
        <v/>
      </c>
      <c r="AF469" s="24">
        <f>IF($AE469="","",IF($AE469&lt;0,"FUTURO",IF($AE469&gt;p_dias_backlog_max,"BACKLOG","MES CORRIENTE")))</f>
        <v/>
      </c>
      <c r="AG469" s="24">
        <f>IF($AE469="",FALSE,AND($AE469&gt;p_dias_backlog_min,$AE469&lt;=p_dias_backlog_max))</f>
        <v/>
      </c>
      <c r="AH469" s="4" t="n"/>
      <c r="AI469" s="24">
        <f>IF($AH469="","",IF((IFERROR(INDEX('ASIGNACIONES'!$J$4:$J$451,MATCH($O469&amp;"|"&amp;$S469&amp;"|"&amp;$AH469,'ASIGNACIONES'!$N$4:$N$451,0)),""))=0,"",IFERROR(INDEX('ASIGNACIONES'!$J$4:$J$451,MATCH($O469&amp;"|"&amp;$S469&amp;"|"&amp;$AH469,'ASIGNACIONES'!$N$4:$N$451,0)),"")))</f>
        <v/>
      </c>
      <c r="AJ469" s="42">
        <f>IF($AH469="","",SUMIFS('ORDENES'!$M$4:$M$1203,'ORDENES'!$AH$4:$AH$1203,$AH469,'ORDENES'!$O$4:$O$1203,$O469,'ORDENES'!$S$4:$S$1203,$S469))</f>
        <v/>
      </c>
      <c r="AK469" s="42">
        <f>IF($AJ469="","",p_factor_productividad*IFERROR(INDEX('ASIGNACIONES'!$M$4:$M$451,MATCH($O469&amp;"|"&amp;$S469&amp;"|"&amp;$AH469,'ASIGNACIONES'!$N$4:$N$451,0)),0)-$AJ469)</f>
        <v/>
      </c>
      <c r="AL469" s="32">
        <f>IF($A469="","",IFERROR(INDEX('2_IMPORTAR_EJECUCION'!$F$9:$F$1208,MATCH($AU469,'2_IMPORTAR_EJECUCION'!$J$9:$J$1208,0)),0))</f>
        <v/>
      </c>
      <c r="AM469" s="32">
        <f>IF($A469="","",MAX(0,IFERROR(INDEX('2_IMPORTAR_EJECUCION'!$H$9:$H$1208,MATCH($AU469,'2_IMPORTAR_EJECUCION'!$J$9:$J$1208,0)),0)-$AL469))</f>
        <v/>
      </c>
      <c r="AN469" s="32">
        <f>IF($A469="","",$AL469+$AM469)</f>
        <v/>
      </c>
      <c r="AO469" s="24">
        <f>IF($A469="","",IF(OR((IFERROR(INDEX('CAT_ACTIVIDADES'!$D$4:$D$26,MATCH($H469,'CAT_ACTIVIDADES'!$A$4:$A$26,0)),""))=0,(IFERROR(INDEX('CAT_ACTIVIDADES'!$D$4:$D$26,MATCH($H469,'CAT_ACTIVIDADES'!$A$4:$A$26,0)),""))=""),"SIN CLASIFICAR",IFERROR(INDEX('CAT_ACTIVIDADES'!$D$4:$D$26,MATCH($H469,'CAT_ACTIVIDADES'!$A$4:$A$26,0)),"")))</f>
        <v/>
      </c>
      <c r="AP469" s="4" t="n"/>
      <c r="AQ469" s="4" t="n"/>
      <c r="AR469" s="4" t="n"/>
      <c r="AS469" s="24">
        <f>IF($AR469="","",HYPERLINK(p_ruta_base_checklists&amp;$AR469,"abrir"))</f>
        <v/>
      </c>
      <c r="AT469" s="4" t="n"/>
      <c r="AU469" s="24">
        <f>IF($A469="","",$A469&amp;IF($B469="","0010",$B469))</f>
        <v/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41" t="n"/>
      <c r="K470" s="5" t="n"/>
      <c r="L470" s="18" t="n"/>
      <c r="M470" s="24">
        <f>IF($A470="","",IFERROR(INDEX('AJUSTES'!$B$4:$B$303,MATCH($AU470,'AJUSTES'!$A$4:$A$303,0)),IF($K470="","",$K470)))</f>
        <v/>
      </c>
      <c r="N470" s="24">
        <f>IF($A470="","",IFERROR(INDEX('CAT_ESTADOS_ERP'!$B$4:$B$22,MATCH(IFERROR(INDEX('2_IMPORTAR_EJECUCION'!$C$9:$C$1208,MATCH($AU470,'2_IMPORTAR_EJECUCION'!$J$9:$J$1208,0)),""),'CAT_ESTADOS_ERP'!$A$4:$A$22,0)),"Pendiente"))</f>
        <v/>
      </c>
      <c r="O470" s="24">
        <f>IF($J470="","",YEAR($J470+4-WEEKDAY($J470,2))&amp;"-S"&amp;TEXT(_xlfn.ISOWEEKNUM($J470),"00"))</f>
        <v/>
      </c>
      <c r="P470" s="24">
        <f>IF($J470="","",YEAR($J470))</f>
        <v/>
      </c>
      <c r="Q470" s="24">
        <f>IF($J470="","",MONTH($J470))</f>
        <v/>
      </c>
      <c r="R470" s="24">
        <f>IF($J470="","",$P470&amp;"-"&amp;TEXT($Q470,"00"))</f>
        <v/>
      </c>
      <c r="S470" s="24">
        <f>IF($J470="","",INDEX(lista_dias,WEEKDAY($J470,2)))</f>
        <v/>
      </c>
      <c r="T470" s="24">
        <f>IF($J470="","",IFERROR(INDEX('CALENDARIO'!$C$15:$C$214,MATCH(TEXT($J470,"yyyy-mm-dd")&amp;"|"&amp;$Y470&amp;"|"&amp;$Z470,'CALENDARIO'!$G$15:$G$214,0)),IFERROR(INDEX('CALENDARIO'!$C$15:$C$214,MATCH(TEXT($J470,"yyyy-mm-dd")&amp;"|"&amp;$Y470&amp;"|",'CALENDARIO'!$G$15:$G$214,0)),IFERROR(INDEX('CALENDARIO'!$C$15:$C$214,MATCH(TEXT($J470,"yyyy-mm-dd")&amp;"||",'CALENDARIO'!$G$15:$G$214,0)),INDEX(patronHabil,WEEKDAY($J470,2))))))</f>
        <v/>
      </c>
      <c r="U470" s="24">
        <f>IF($I470="","",IFERROR(INDEX('CAT_TIPOS_OT'!$C$4:$C$23,MATCH($I470,'CAT_TIPOS_OT'!$A$4:$A$23,0)),"sin_clasificar"))</f>
        <v/>
      </c>
      <c r="V470" s="24">
        <f>IF($I470="","",IF(IFERROR(INDEX('CAT_TIPOS_OT'!$D$4:$D$23,MATCH($I470,'CAT_TIPOS_OT'!$A$4:$A$23,0)),"SIN CLASIFICAR")="","SIN CLASIFICAR",IFERROR(INDEX('CAT_TIPOS_OT'!$D$4:$D$23,MATCH($I470,'CAT_TIPOS_OT'!$A$4:$A$23,0)),"SIN CLASIFICAR")))</f>
        <v/>
      </c>
      <c r="W470" s="24">
        <f>IF($H470="","",IF(IFERROR(INDEX('CAT_ACTIVIDADES'!$F$4:$F$26,MATCH($H470,'CAT_ACTIVIDADES'!$A$4:$A$26,0)),"")=0,"",IFERROR(INDEX('CAT_ACTIVIDADES'!$F$4:$F$26,MATCH($H470,'CAT_ACTIVIDADES'!$A$4:$A$26,0)),"")))</f>
        <v/>
      </c>
      <c r="X470" s="24">
        <f>IF($F470="","",IFERROR(INDEX('CAT_CENTROS_COSTO'!$F$4:$F$28,MATCH($F470,'CAT_CENTROS_COSTO'!$A$4:$A$28,0)),"(sin catálogo)"))</f>
        <v/>
      </c>
      <c r="Y470" s="24">
        <f>IF($F470="","",IFERROR(INDEX('CAT_CENTROS_COSTO'!$D$4:$D$28,MATCH($F470,'CAT_CENTROS_COSTO'!$A$4:$A$28,0)),"(sin catálogo)"))</f>
        <v/>
      </c>
      <c r="Z470" s="24">
        <f>IF($F470="","",IF((IFERROR(INDEX('CAT_CENTROS_COSTO'!$E$4:$E$28,MATCH($F470,'CAT_CENTROS_COSTO'!$A$4:$A$28,0)),""))&lt;&gt;"",IFERROR(INDEX('CAT_CENTROS_COSTO'!$E$4:$E$28,MATCH($F470,'CAT_CENTROS_COSTO'!$A$4:$A$28,0)),""),$Y470))</f>
        <v/>
      </c>
      <c r="AA470" s="24">
        <f>IF($F470="","",IFERROR(INDEX('CAT_CENTROS_COSTO'!$G$4:$G$28,MATCH($F470,'CAT_CENTROS_COSTO'!$A$4:$A$28,0)),"(sin catálogo)"))</f>
        <v/>
      </c>
      <c r="AB470" s="24">
        <f>IF($G470="","",IFERROR(INDEX('CAT_PUESTOS'!$B$4:$B$23,MATCH($G470,'CAT_PUESTOS'!$A$4:$A$23,0)),"(sin catálogo)"))</f>
        <v/>
      </c>
      <c r="AC470" s="24">
        <f>IF($H470="","",IFERROR(INDEX('CAT_ACTIVIDADES'!$B$4:$B$26,MATCH($H470,'CAT_ACTIVIDADES'!$A$4:$A$26,0)),"(sin catálogo)"))</f>
        <v/>
      </c>
      <c r="AD470" s="26">
        <f>IF($J470="","",TODAY()-$J470)</f>
        <v/>
      </c>
      <c r="AE470" s="26">
        <f>IF($J470="","",IF($J470&lt;=TODAY(),COUNTIFS(cal_fechas,"&gt;="&amp;$J470,cal_fechas,"&lt;"&amp;TODAY(),cal_habil,"sí"),-COUNTIFS(cal_fechas,"&gt;="&amp;TODAY(),cal_fechas,"&lt;"&amp;$J470,cal_habil,"sí")))</f>
        <v/>
      </c>
      <c r="AF470" s="24">
        <f>IF($AE470="","",IF($AE470&lt;0,"FUTURO",IF($AE470&gt;p_dias_backlog_max,"BACKLOG","MES CORRIENTE")))</f>
        <v/>
      </c>
      <c r="AG470" s="24">
        <f>IF($AE470="",FALSE,AND($AE470&gt;p_dias_backlog_min,$AE470&lt;=p_dias_backlog_max))</f>
        <v/>
      </c>
      <c r="AH470" s="4" t="n"/>
      <c r="AI470" s="24">
        <f>IF($AH470="","",IF((IFERROR(INDEX('ASIGNACIONES'!$J$4:$J$451,MATCH($O470&amp;"|"&amp;$S470&amp;"|"&amp;$AH470,'ASIGNACIONES'!$N$4:$N$451,0)),""))=0,"",IFERROR(INDEX('ASIGNACIONES'!$J$4:$J$451,MATCH($O470&amp;"|"&amp;$S470&amp;"|"&amp;$AH470,'ASIGNACIONES'!$N$4:$N$451,0)),"")))</f>
        <v/>
      </c>
      <c r="AJ470" s="42">
        <f>IF($AH470="","",SUMIFS('ORDENES'!$M$4:$M$1203,'ORDENES'!$AH$4:$AH$1203,$AH470,'ORDENES'!$O$4:$O$1203,$O470,'ORDENES'!$S$4:$S$1203,$S470))</f>
        <v/>
      </c>
      <c r="AK470" s="42">
        <f>IF($AJ470="","",p_factor_productividad*IFERROR(INDEX('ASIGNACIONES'!$M$4:$M$451,MATCH($O470&amp;"|"&amp;$S470&amp;"|"&amp;$AH470,'ASIGNACIONES'!$N$4:$N$451,0)),0)-$AJ470)</f>
        <v/>
      </c>
      <c r="AL470" s="32">
        <f>IF($A470="","",IFERROR(INDEX('2_IMPORTAR_EJECUCION'!$F$9:$F$1208,MATCH($AU470,'2_IMPORTAR_EJECUCION'!$J$9:$J$1208,0)),0))</f>
        <v/>
      </c>
      <c r="AM470" s="32">
        <f>IF($A470="","",MAX(0,IFERROR(INDEX('2_IMPORTAR_EJECUCION'!$H$9:$H$1208,MATCH($AU470,'2_IMPORTAR_EJECUCION'!$J$9:$J$1208,0)),0)-$AL470))</f>
        <v/>
      </c>
      <c r="AN470" s="32">
        <f>IF($A470="","",$AL470+$AM470)</f>
        <v/>
      </c>
      <c r="AO470" s="24">
        <f>IF($A470="","",IF(OR((IFERROR(INDEX('CAT_ACTIVIDADES'!$D$4:$D$26,MATCH($H470,'CAT_ACTIVIDADES'!$A$4:$A$26,0)),""))=0,(IFERROR(INDEX('CAT_ACTIVIDADES'!$D$4:$D$26,MATCH($H470,'CAT_ACTIVIDADES'!$A$4:$A$26,0)),""))=""),"SIN CLASIFICAR",IFERROR(INDEX('CAT_ACTIVIDADES'!$D$4:$D$26,MATCH($H470,'CAT_ACTIVIDADES'!$A$4:$A$26,0)),"")))</f>
        <v/>
      </c>
      <c r="AP470" s="4" t="n"/>
      <c r="AQ470" s="4" t="n"/>
      <c r="AR470" s="4" t="n"/>
      <c r="AS470" s="24">
        <f>IF($AR470="","",HYPERLINK(p_ruta_base_checklists&amp;$AR470,"abrir"))</f>
        <v/>
      </c>
      <c r="AT470" s="4" t="n"/>
      <c r="AU470" s="24">
        <f>IF($A470="","",$A470&amp;IF($B470="","0010",$B470))</f>
        <v/>
      </c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41" t="n"/>
      <c r="K471" s="5" t="n"/>
      <c r="L471" s="18" t="n"/>
      <c r="M471" s="24">
        <f>IF($A471="","",IFERROR(INDEX('AJUSTES'!$B$4:$B$303,MATCH($AU471,'AJUSTES'!$A$4:$A$303,0)),IF($K471="","",$K471)))</f>
        <v/>
      </c>
      <c r="N471" s="24">
        <f>IF($A471="","",IFERROR(INDEX('CAT_ESTADOS_ERP'!$B$4:$B$22,MATCH(IFERROR(INDEX('2_IMPORTAR_EJECUCION'!$C$9:$C$1208,MATCH($AU471,'2_IMPORTAR_EJECUCION'!$J$9:$J$1208,0)),""),'CAT_ESTADOS_ERP'!$A$4:$A$22,0)),"Pendiente"))</f>
        <v/>
      </c>
      <c r="O471" s="24">
        <f>IF($J471="","",YEAR($J471+4-WEEKDAY($J471,2))&amp;"-S"&amp;TEXT(_xlfn.ISOWEEKNUM($J471),"00"))</f>
        <v/>
      </c>
      <c r="P471" s="24">
        <f>IF($J471="","",YEAR($J471))</f>
        <v/>
      </c>
      <c r="Q471" s="24">
        <f>IF($J471="","",MONTH($J471))</f>
        <v/>
      </c>
      <c r="R471" s="24">
        <f>IF($J471="","",$P471&amp;"-"&amp;TEXT($Q471,"00"))</f>
        <v/>
      </c>
      <c r="S471" s="24">
        <f>IF($J471="","",INDEX(lista_dias,WEEKDAY($J471,2)))</f>
        <v/>
      </c>
      <c r="T471" s="24">
        <f>IF($J471="","",IFERROR(INDEX('CALENDARIO'!$C$15:$C$214,MATCH(TEXT($J471,"yyyy-mm-dd")&amp;"|"&amp;$Y471&amp;"|"&amp;$Z471,'CALENDARIO'!$G$15:$G$214,0)),IFERROR(INDEX('CALENDARIO'!$C$15:$C$214,MATCH(TEXT($J471,"yyyy-mm-dd")&amp;"|"&amp;$Y471&amp;"|",'CALENDARIO'!$G$15:$G$214,0)),IFERROR(INDEX('CALENDARIO'!$C$15:$C$214,MATCH(TEXT($J471,"yyyy-mm-dd")&amp;"||",'CALENDARIO'!$G$15:$G$214,0)),INDEX(patronHabil,WEEKDAY($J471,2))))))</f>
        <v/>
      </c>
      <c r="U471" s="24">
        <f>IF($I471="","",IFERROR(INDEX('CAT_TIPOS_OT'!$C$4:$C$23,MATCH($I471,'CAT_TIPOS_OT'!$A$4:$A$23,0)),"sin_clasificar"))</f>
        <v/>
      </c>
      <c r="V471" s="24">
        <f>IF($I471="","",IF(IFERROR(INDEX('CAT_TIPOS_OT'!$D$4:$D$23,MATCH($I471,'CAT_TIPOS_OT'!$A$4:$A$23,0)),"SIN CLASIFICAR")="","SIN CLASIFICAR",IFERROR(INDEX('CAT_TIPOS_OT'!$D$4:$D$23,MATCH($I471,'CAT_TIPOS_OT'!$A$4:$A$23,0)),"SIN CLASIFICAR")))</f>
        <v/>
      </c>
      <c r="W471" s="24">
        <f>IF($H471="","",IF(IFERROR(INDEX('CAT_ACTIVIDADES'!$F$4:$F$26,MATCH($H471,'CAT_ACTIVIDADES'!$A$4:$A$26,0)),"")=0,"",IFERROR(INDEX('CAT_ACTIVIDADES'!$F$4:$F$26,MATCH($H471,'CAT_ACTIVIDADES'!$A$4:$A$26,0)),"")))</f>
        <v/>
      </c>
      <c r="X471" s="24">
        <f>IF($F471="","",IFERROR(INDEX('CAT_CENTROS_COSTO'!$F$4:$F$28,MATCH($F471,'CAT_CENTROS_COSTO'!$A$4:$A$28,0)),"(sin catálogo)"))</f>
        <v/>
      </c>
      <c r="Y471" s="24">
        <f>IF($F471="","",IFERROR(INDEX('CAT_CENTROS_COSTO'!$D$4:$D$28,MATCH($F471,'CAT_CENTROS_COSTO'!$A$4:$A$28,0)),"(sin catálogo)"))</f>
        <v/>
      </c>
      <c r="Z471" s="24">
        <f>IF($F471="","",IF((IFERROR(INDEX('CAT_CENTROS_COSTO'!$E$4:$E$28,MATCH($F471,'CAT_CENTROS_COSTO'!$A$4:$A$28,0)),""))&lt;&gt;"",IFERROR(INDEX('CAT_CENTROS_COSTO'!$E$4:$E$28,MATCH($F471,'CAT_CENTROS_COSTO'!$A$4:$A$28,0)),""),$Y471))</f>
        <v/>
      </c>
      <c r="AA471" s="24">
        <f>IF($F471="","",IFERROR(INDEX('CAT_CENTROS_COSTO'!$G$4:$G$28,MATCH($F471,'CAT_CENTROS_COSTO'!$A$4:$A$28,0)),"(sin catálogo)"))</f>
        <v/>
      </c>
      <c r="AB471" s="24">
        <f>IF($G471="","",IFERROR(INDEX('CAT_PUESTOS'!$B$4:$B$23,MATCH($G471,'CAT_PUESTOS'!$A$4:$A$23,0)),"(sin catálogo)"))</f>
        <v/>
      </c>
      <c r="AC471" s="24">
        <f>IF($H471="","",IFERROR(INDEX('CAT_ACTIVIDADES'!$B$4:$B$26,MATCH($H471,'CAT_ACTIVIDADES'!$A$4:$A$26,0)),"(sin catálogo)"))</f>
        <v/>
      </c>
      <c r="AD471" s="26">
        <f>IF($J471="","",TODAY()-$J471)</f>
        <v/>
      </c>
      <c r="AE471" s="26">
        <f>IF($J471="","",IF($J471&lt;=TODAY(),COUNTIFS(cal_fechas,"&gt;="&amp;$J471,cal_fechas,"&lt;"&amp;TODAY(),cal_habil,"sí"),-COUNTIFS(cal_fechas,"&gt;="&amp;TODAY(),cal_fechas,"&lt;"&amp;$J471,cal_habil,"sí")))</f>
        <v/>
      </c>
      <c r="AF471" s="24">
        <f>IF($AE471="","",IF($AE471&lt;0,"FUTURO",IF($AE471&gt;p_dias_backlog_max,"BACKLOG","MES CORRIENTE")))</f>
        <v/>
      </c>
      <c r="AG471" s="24">
        <f>IF($AE471="",FALSE,AND($AE471&gt;p_dias_backlog_min,$AE471&lt;=p_dias_backlog_max))</f>
        <v/>
      </c>
      <c r="AH471" s="4" t="n"/>
      <c r="AI471" s="24">
        <f>IF($AH471="","",IF((IFERROR(INDEX('ASIGNACIONES'!$J$4:$J$451,MATCH($O471&amp;"|"&amp;$S471&amp;"|"&amp;$AH471,'ASIGNACIONES'!$N$4:$N$451,0)),""))=0,"",IFERROR(INDEX('ASIGNACIONES'!$J$4:$J$451,MATCH($O471&amp;"|"&amp;$S471&amp;"|"&amp;$AH471,'ASIGNACIONES'!$N$4:$N$451,0)),"")))</f>
        <v/>
      </c>
      <c r="AJ471" s="42">
        <f>IF($AH471="","",SUMIFS('ORDENES'!$M$4:$M$1203,'ORDENES'!$AH$4:$AH$1203,$AH471,'ORDENES'!$O$4:$O$1203,$O471,'ORDENES'!$S$4:$S$1203,$S471))</f>
        <v/>
      </c>
      <c r="AK471" s="42">
        <f>IF($AJ471="","",p_factor_productividad*IFERROR(INDEX('ASIGNACIONES'!$M$4:$M$451,MATCH($O471&amp;"|"&amp;$S471&amp;"|"&amp;$AH471,'ASIGNACIONES'!$N$4:$N$451,0)),0)-$AJ471)</f>
        <v/>
      </c>
      <c r="AL471" s="32">
        <f>IF($A471="","",IFERROR(INDEX('2_IMPORTAR_EJECUCION'!$F$9:$F$1208,MATCH($AU471,'2_IMPORTAR_EJECUCION'!$J$9:$J$1208,0)),0))</f>
        <v/>
      </c>
      <c r="AM471" s="32">
        <f>IF($A471="","",MAX(0,IFERROR(INDEX('2_IMPORTAR_EJECUCION'!$H$9:$H$1208,MATCH($AU471,'2_IMPORTAR_EJECUCION'!$J$9:$J$1208,0)),0)-$AL471))</f>
        <v/>
      </c>
      <c r="AN471" s="32">
        <f>IF($A471="","",$AL471+$AM471)</f>
        <v/>
      </c>
      <c r="AO471" s="24">
        <f>IF($A471="","",IF(OR((IFERROR(INDEX('CAT_ACTIVIDADES'!$D$4:$D$26,MATCH($H471,'CAT_ACTIVIDADES'!$A$4:$A$26,0)),""))=0,(IFERROR(INDEX('CAT_ACTIVIDADES'!$D$4:$D$26,MATCH($H471,'CAT_ACTIVIDADES'!$A$4:$A$26,0)),""))=""),"SIN CLASIFICAR",IFERROR(INDEX('CAT_ACTIVIDADES'!$D$4:$D$26,MATCH($H471,'CAT_ACTIVIDADES'!$A$4:$A$26,0)),"")))</f>
        <v/>
      </c>
      <c r="AP471" s="4" t="n"/>
      <c r="AQ471" s="4" t="n"/>
      <c r="AR471" s="4" t="n"/>
      <c r="AS471" s="24">
        <f>IF($AR471="","",HYPERLINK(p_ruta_base_checklists&amp;$AR471,"abrir"))</f>
        <v/>
      </c>
      <c r="AT471" s="4" t="n"/>
      <c r="AU471" s="24">
        <f>IF($A471="","",$A471&amp;IF($B471="","0010",$B471))</f>
        <v/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41" t="n"/>
      <c r="K472" s="5" t="n"/>
      <c r="L472" s="18" t="n"/>
      <c r="M472" s="24">
        <f>IF($A472="","",IFERROR(INDEX('AJUSTES'!$B$4:$B$303,MATCH($AU472,'AJUSTES'!$A$4:$A$303,0)),IF($K472="","",$K472)))</f>
        <v/>
      </c>
      <c r="N472" s="24">
        <f>IF($A472="","",IFERROR(INDEX('CAT_ESTADOS_ERP'!$B$4:$B$22,MATCH(IFERROR(INDEX('2_IMPORTAR_EJECUCION'!$C$9:$C$1208,MATCH($AU472,'2_IMPORTAR_EJECUCION'!$J$9:$J$1208,0)),""),'CAT_ESTADOS_ERP'!$A$4:$A$22,0)),"Pendiente"))</f>
        <v/>
      </c>
      <c r="O472" s="24">
        <f>IF($J472="","",YEAR($J472+4-WEEKDAY($J472,2))&amp;"-S"&amp;TEXT(_xlfn.ISOWEEKNUM($J472),"00"))</f>
        <v/>
      </c>
      <c r="P472" s="24">
        <f>IF($J472="","",YEAR($J472))</f>
        <v/>
      </c>
      <c r="Q472" s="24">
        <f>IF($J472="","",MONTH($J472))</f>
        <v/>
      </c>
      <c r="R472" s="24">
        <f>IF($J472="","",$P472&amp;"-"&amp;TEXT($Q472,"00"))</f>
        <v/>
      </c>
      <c r="S472" s="24">
        <f>IF($J472="","",INDEX(lista_dias,WEEKDAY($J472,2)))</f>
        <v/>
      </c>
      <c r="T472" s="24">
        <f>IF($J472="","",IFERROR(INDEX('CALENDARIO'!$C$15:$C$214,MATCH(TEXT($J472,"yyyy-mm-dd")&amp;"|"&amp;$Y472&amp;"|"&amp;$Z472,'CALENDARIO'!$G$15:$G$214,0)),IFERROR(INDEX('CALENDARIO'!$C$15:$C$214,MATCH(TEXT($J472,"yyyy-mm-dd")&amp;"|"&amp;$Y472&amp;"|",'CALENDARIO'!$G$15:$G$214,0)),IFERROR(INDEX('CALENDARIO'!$C$15:$C$214,MATCH(TEXT($J472,"yyyy-mm-dd")&amp;"||",'CALENDARIO'!$G$15:$G$214,0)),INDEX(patronHabil,WEEKDAY($J472,2))))))</f>
        <v/>
      </c>
      <c r="U472" s="24">
        <f>IF($I472="","",IFERROR(INDEX('CAT_TIPOS_OT'!$C$4:$C$23,MATCH($I472,'CAT_TIPOS_OT'!$A$4:$A$23,0)),"sin_clasificar"))</f>
        <v/>
      </c>
      <c r="V472" s="24">
        <f>IF($I472="","",IF(IFERROR(INDEX('CAT_TIPOS_OT'!$D$4:$D$23,MATCH($I472,'CAT_TIPOS_OT'!$A$4:$A$23,0)),"SIN CLASIFICAR")="","SIN CLASIFICAR",IFERROR(INDEX('CAT_TIPOS_OT'!$D$4:$D$23,MATCH($I472,'CAT_TIPOS_OT'!$A$4:$A$23,0)),"SIN CLASIFICAR")))</f>
        <v/>
      </c>
      <c r="W472" s="24">
        <f>IF($H472="","",IF(IFERROR(INDEX('CAT_ACTIVIDADES'!$F$4:$F$26,MATCH($H472,'CAT_ACTIVIDADES'!$A$4:$A$26,0)),"")=0,"",IFERROR(INDEX('CAT_ACTIVIDADES'!$F$4:$F$26,MATCH($H472,'CAT_ACTIVIDADES'!$A$4:$A$26,0)),"")))</f>
        <v/>
      </c>
      <c r="X472" s="24">
        <f>IF($F472="","",IFERROR(INDEX('CAT_CENTROS_COSTO'!$F$4:$F$28,MATCH($F472,'CAT_CENTROS_COSTO'!$A$4:$A$28,0)),"(sin catálogo)"))</f>
        <v/>
      </c>
      <c r="Y472" s="24">
        <f>IF($F472="","",IFERROR(INDEX('CAT_CENTROS_COSTO'!$D$4:$D$28,MATCH($F472,'CAT_CENTROS_COSTO'!$A$4:$A$28,0)),"(sin catálogo)"))</f>
        <v/>
      </c>
      <c r="Z472" s="24">
        <f>IF($F472="","",IF((IFERROR(INDEX('CAT_CENTROS_COSTO'!$E$4:$E$28,MATCH($F472,'CAT_CENTROS_COSTO'!$A$4:$A$28,0)),""))&lt;&gt;"",IFERROR(INDEX('CAT_CENTROS_COSTO'!$E$4:$E$28,MATCH($F472,'CAT_CENTROS_COSTO'!$A$4:$A$28,0)),""),$Y472))</f>
        <v/>
      </c>
      <c r="AA472" s="24">
        <f>IF($F472="","",IFERROR(INDEX('CAT_CENTROS_COSTO'!$G$4:$G$28,MATCH($F472,'CAT_CENTROS_COSTO'!$A$4:$A$28,0)),"(sin catálogo)"))</f>
        <v/>
      </c>
      <c r="AB472" s="24">
        <f>IF($G472="","",IFERROR(INDEX('CAT_PUESTOS'!$B$4:$B$23,MATCH($G472,'CAT_PUESTOS'!$A$4:$A$23,0)),"(sin catálogo)"))</f>
        <v/>
      </c>
      <c r="AC472" s="24">
        <f>IF($H472="","",IFERROR(INDEX('CAT_ACTIVIDADES'!$B$4:$B$26,MATCH($H472,'CAT_ACTIVIDADES'!$A$4:$A$26,0)),"(sin catálogo)"))</f>
        <v/>
      </c>
      <c r="AD472" s="26">
        <f>IF($J472="","",TODAY()-$J472)</f>
        <v/>
      </c>
      <c r="AE472" s="26">
        <f>IF($J472="","",IF($J472&lt;=TODAY(),COUNTIFS(cal_fechas,"&gt;="&amp;$J472,cal_fechas,"&lt;"&amp;TODAY(),cal_habil,"sí"),-COUNTIFS(cal_fechas,"&gt;="&amp;TODAY(),cal_fechas,"&lt;"&amp;$J472,cal_habil,"sí")))</f>
        <v/>
      </c>
      <c r="AF472" s="24">
        <f>IF($AE472="","",IF($AE472&lt;0,"FUTURO",IF($AE472&gt;p_dias_backlog_max,"BACKLOG","MES CORRIENTE")))</f>
        <v/>
      </c>
      <c r="AG472" s="24">
        <f>IF($AE472="",FALSE,AND($AE472&gt;p_dias_backlog_min,$AE472&lt;=p_dias_backlog_max))</f>
        <v/>
      </c>
      <c r="AH472" s="4" t="n"/>
      <c r="AI472" s="24">
        <f>IF($AH472="","",IF((IFERROR(INDEX('ASIGNACIONES'!$J$4:$J$451,MATCH($O472&amp;"|"&amp;$S472&amp;"|"&amp;$AH472,'ASIGNACIONES'!$N$4:$N$451,0)),""))=0,"",IFERROR(INDEX('ASIGNACIONES'!$J$4:$J$451,MATCH($O472&amp;"|"&amp;$S472&amp;"|"&amp;$AH472,'ASIGNACIONES'!$N$4:$N$451,0)),"")))</f>
        <v/>
      </c>
      <c r="AJ472" s="42">
        <f>IF($AH472="","",SUMIFS('ORDENES'!$M$4:$M$1203,'ORDENES'!$AH$4:$AH$1203,$AH472,'ORDENES'!$O$4:$O$1203,$O472,'ORDENES'!$S$4:$S$1203,$S472))</f>
        <v/>
      </c>
      <c r="AK472" s="42">
        <f>IF($AJ472="","",p_factor_productividad*IFERROR(INDEX('ASIGNACIONES'!$M$4:$M$451,MATCH($O472&amp;"|"&amp;$S472&amp;"|"&amp;$AH472,'ASIGNACIONES'!$N$4:$N$451,0)),0)-$AJ472)</f>
        <v/>
      </c>
      <c r="AL472" s="32">
        <f>IF($A472="","",IFERROR(INDEX('2_IMPORTAR_EJECUCION'!$F$9:$F$1208,MATCH($AU472,'2_IMPORTAR_EJECUCION'!$J$9:$J$1208,0)),0))</f>
        <v/>
      </c>
      <c r="AM472" s="32">
        <f>IF($A472="","",MAX(0,IFERROR(INDEX('2_IMPORTAR_EJECUCION'!$H$9:$H$1208,MATCH($AU472,'2_IMPORTAR_EJECUCION'!$J$9:$J$1208,0)),0)-$AL472))</f>
        <v/>
      </c>
      <c r="AN472" s="32">
        <f>IF($A472="","",$AL472+$AM472)</f>
        <v/>
      </c>
      <c r="AO472" s="24">
        <f>IF($A472="","",IF(OR((IFERROR(INDEX('CAT_ACTIVIDADES'!$D$4:$D$26,MATCH($H472,'CAT_ACTIVIDADES'!$A$4:$A$26,0)),""))=0,(IFERROR(INDEX('CAT_ACTIVIDADES'!$D$4:$D$26,MATCH($H472,'CAT_ACTIVIDADES'!$A$4:$A$26,0)),""))=""),"SIN CLASIFICAR",IFERROR(INDEX('CAT_ACTIVIDADES'!$D$4:$D$26,MATCH($H472,'CAT_ACTIVIDADES'!$A$4:$A$26,0)),"")))</f>
        <v/>
      </c>
      <c r="AP472" s="4" t="n"/>
      <c r="AQ472" s="4" t="n"/>
      <c r="AR472" s="4" t="n"/>
      <c r="AS472" s="24">
        <f>IF($AR472="","",HYPERLINK(p_ruta_base_checklists&amp;$AR472,"abrir"))</f>
        <v/>
      </c>
      <c r="AT472" s="4" t="n"/>
      <c r="AU472" s="24">
        <f>IF($A472="","",$A472&amp;IF($B472="","0010",$B472))</f>
        <v/>
      </c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41" t="n"/>
      <c r="K473" s="5" t="n"/>
      <c r="L473" s="18" t="n"/>
      <c r="M473" s="24">
        <f>IF($A473="","",IFERROR(INDEX('AJUSTES'!$B$4:$B$303,MATCH($AU473,'AJUSTES'!$A$4:$A$303,0)),IF($K473="","",$K473)))</f>
        <v/>
      </c>
      <c r="N473" s="24">
        <f>IF($A473="","",IFERROR(INDEX('CAT_ESTADOS_ERP'!$B$4:$B$22,MATCH(IFERROR(INDEX('2_IMPORTAR_EJECUCION'!$C$9:$C$1208,MATCH($AU473,'2_IMPORTAR_EJECUCION'!$J$9:$J$1208,0)),""),'CAT_ESTADOS_ERP'!$A$4:$A$22,0)),"Pendiente"))</f>
        <v/>
      </c>
      <c r="O473" s="24">
        <f>IF($J473="","",YEAR($J473+4-WEEKDAY($J473,2))&amp;"-S"&amp;TEXT(_xlfn.ISOWEEKNUM($J473),"00"))</f>
        <v/>
      </c>
      <c r="P473" s="24">
        <f>IF($J473="","",YEAR($J473))</f>
        <v/>
      </c>
      <c r="Q473" s="24">
        <f>IF($J473="","",MONTH($J473))</f>
        <v/>
      </c>
      <c r="R473" s="24">
        <f>IF($J473="","",$P473&amp;"-"&amp;TEXT($Q473,"00"))</f>
        <v/>
      </c>
      <c r="S473" s="24">
        <f>IF($J473="","",INDEX(lista_dias,WEEKDAY($J473,2)))</f>
        <v/>
      </c>
      <c r="T473" s="24">
        <f>IF($J473="","",IFERROR(INDEX('CALENDARIO'!$C$15:$C$214,MATCH(TEXT($J473,"yyyy-mm-dd")&amp;"|"&amp;$Y473&amp;"|"&amp;$Z473,'CALENDARIO'!$G$15:$G$214,0)),IFERROR(INDEX('CALENDARIO'!$C$15:$C$214,MATCH(TEXT($J473,"yyyy-mm-dd")&amp;"|"&amp;$Y473&amp;"|",'CALENDARIO'!$G$15:$G$214,0)),IFERROR(INDEX('CALENDARIO'!$C$15:$C$214,MATCH(TEXT($J473,"yyyy-mm-dd")&amp;"||",'CALENDARIO'!$G$15:$G$214,0)),INDEX(patronHabil,WEEKDAY($J473,2))))))</f>
        <v/>
      </c>
      <c r="U473" s="24">
        <f>IF($I473="","",IFERROR(INDEX('CAT_TIPOS_OT'!$C$4:$C$23,MATCH($I473,'CAT_TIPOS_OT'!$A$4:$A$23,0)),"sin_clasificar"))</f>
        <v/>
      </c>
      <c r="V473" s="24">
        <f>IF($I473="","",IF(IFERROR(INDEX('CAT_TIPOS_OT'!$D$4:$D$23,MATCH($I473,'CAT_TIPOS_OT'!$A$4:$A$23,0)),"SIN CLASIFICAR")="","SIN CLASIFICAR",IFERROR(INDEX('CAT_TIPOS_OT'!$D$4:$D$23,MATCH($I473,'CAT_TIPOS_OT'!$A$4:$A$23,0)),"SIN CLASIFICAR")))</f>
        <v/>
      </c>
      <c r="W473" s="24">
        <f>IF($H473="","",IF(IFERROR(INDEX('CAT_ACTIVIDADES'!$F$4:$F$26,MATCH($H473,'CAT_ACTIVIDADES'!$A$4:$A$26,0)),"")=0,"",IFERROR(INDEX('CAT_ACTIVIDADES'!$F$4:$F$26,MATCH($H473,'CAT_ACTIVIDADES'!$A$4:$A$26,0)),"")))</f>
        <v/>
      </c>
      <c r="X473" s="24">
        <f>IF($F473="","",IFERROR(INDEX('CAT_CENTROS_COSTO'!$F$4:$F$28,MATCH($F473,'CAT_CENTROS_COSTO'!$A$4:$A$28,0)),"(sin catálogo)"))</f>
        <v/>
      </c>
      <c r="Y473" s="24">
        <f>IF($F473="","",IFERROR(INDEX('CAT_CENTROS_COSTO'!$D$4:$D$28,MATCH($F473,'CAT_CENTROS_COSTO'!$A$4:$A$28,0)),"(sin catálogo)"))</f>
        <v/>
      </c>
      <c r="Z473" s="24">
        <f>IF($F473="","",IF((IFERROR(INDEX('CAT_CENTROS_COSTO'!$E$4:$E$28,MATCH($F473,'CAT_CENTROS_COSTO'!$A$4:$A$28,0)),""))&lt;&gt;"",IFERROR(INDEX('CAT_CENTROS_COSTO'!$E$4:$E$28,MATCH($F473,'CAT_CENTROS_COSTO'!$A$4:$A$28,0)),""),$Y473))</f>
        <v/>
      </c>
      <c r="AA473" s="24">
        <f>IF($F473="","",IFERROR(INDEX('CAT_CENTROS_COSTO'!$G$4:$G$28,MATCH($F473,'CAT_CENTROS_COSTO'!$A$4:$A$28,0)),"(sin catálogo)"))</f>
        <v/>
      </c>
      <c r="AB473" s="24">
        <f>IF($G473="","",IFERROR(INDEX('CAT_PUESTOS'!$B$4:$B$23,MATCH($G473,'CAT_PUESTOS'!$A$4:$A$23,0)),"(sin catálogo)"))</f>
        <v/>
      </c>
      <c r="AC473" s="24">
        <f>IF($H473="","",IFERROR(INDEX('CAT_ACTIVIDADES'!$B$4:$B$26,MATCH($H473,'CAT_ACTIVIDADES'!$A$4:$A$26,0)),"(sin catálogo)"))</f>
        <v/>
      </c>
      <c r="AD473" s="26">
        <f>IF($J473="","",TODAY()-$J473)</f>
        <v/>
      </c>
      <c r="AE473" s="26">
        <f>IF($J473="","",IF($J473&lt;=TODAY(),COUNTIFS(cal_fechas,"&gt;="&amp;$J473,cal_fechas,"&lt;"&amp;TODAY(),cal_habil,"sí"),-COUNTIFS(cal_fechas,"&gt;="&amp;TODAY(),cal_fechas,"&lt;"&amp;$J473,cal_habil,"sí")))</f>
        <v/>
      </c>
      <c r="AF473" s="24">
        <f>IF($AE473="","",IF($AE473&lt;0,"FUTURO",IF($AE473&gt;p_dias_backlog_max,"BACKLOG","MES CORRIENTE")))</f>
        <v/>
      </c>
      <c r="AG473" s="24">
        <f>IF($AE473="",FALSE,AND($AE473&gt;p_dias_backlog_min,$AE473&lt;=p_dias_backlog_max))</f>
        <v/>
      </c>
      <c r="AH473" s="4" t="n"/>
      <c r="AI473" s="24">
        <f>IF($AH473="","",IF((IFERROR(INDEX('ASIGNACIONES'!$J$4:$J$451,MATCH($O473&amp;"|"&amp;$S473&amp;"|"&amp;$AH473,'ASIGNACIONES'!$N$4:$N$451,0)),""))=0,"",IFERROR(INDEX('ASIGNACIONES'!$J$4:$J$451,MATCH($O473&amp;"|"&amp;$S473&amp;"|"&amp;$AH473,'ASIGNACIONES'!$N$4:$N$451,0)),"")))</f>
        <v/>
      </c>
      <c r="AJ473" s="42">
        <f>IF($AH473="","",SUMIFS('ORDENES'!$M$4:$M$1203,'ORDENES'!$AH$4:$AH$1203,$AH473,'ORDENES'!$O$4:$O$1203,$O473,'ORDENES'!$S$4:$S$1203,$S473))</f>
        <v/>
      </c>
      <c r="AK473" s="42">
        <f>IF($AJ473="","",p_factor_productividad*IFERROR(INDEX('ASIGNACIONES'!$M$4:$M$451,MATCH($O473&amp;"|"&amp;$S473&amp;"|"&amp;$AH473,'ASIGNACIONES'!$N$4:$N$451,0)),0)-$AJ473)</f>
        <v/>
      </c>
      <c r="AL473" s="32">
        <f>IF($A473="","",IFERROR(INDEX('2_IMPORTAR_EJECUCION'!$F$9:$F$1208,MATCH($AU473,'2_IMPORTAR_EJECUCION'!$J$9:$J$1208,0)),0))</f>
        <v/>
      </c>
      <c r="AM473" s="32">
        <f>IF($A473="","",MAX(0,IFERROR(INDEX('2_IMPORTAR_EJECUCION'!$H$9:$H$1208,MATCH($AU473,'2_IMPORTAR_EJECUCION'!$J$9:$J$1208,0)),0)-$AL473))</f>
        <v/>
      </c>
      <c r="AN473" s="32">
        <f>IF($A473="","",$AL473+$AM473)</f>
        <v/>
      </c>
      <c r="AO473" s="24">
        <f>IF($A473="","",IF(OR((IFERROR(INDEX('CAT_ACTIVIDADES'!$D$4:$D$26,MATCH($H473,'CAT_ACTIVIDADES'!$A$4:$A$26,0)),""))=0,(IFERROR(INDEX('CAT_ACTIVIDADES'!$D$4:$D$26,MATCH($H473,'CAT_ACTIVIDADES'!$A$4:$A$26,0)),""))=""),"SIN CLASIFICAR",IFERROR(INDEX('CAT_ACTIVIDADES'!$D$4:$D$26,MATCH($H473,'CAT_ACTIVIDADES'!$A$4:$A$26,0)),"")))</f>
        <v/>
      </c>
      <c r="AP473" s="4" t="n"/>
      <c r="AQ473" s="4" t="n"/>
      <c r="AR473" s="4" t="n"/>
      <c r="AS473" s="24">
        <f>IF($AR473="","",HYPERLINK(p_ruta_base_checklists&amp;$AR473,"abrir"))</f>
        <v/>
      </c>
      <c r="AT473" s="4" t="n"/>
      <c r="AU473" s="24">
        <f>IF($A473="","",$A473&amp;IF($B473="","0010",$B473))</f>
        <v/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41" t="n"/>
      <c r="K474" s="5" t="n"/>
      <c r="L474" s="18" t="n"/>
      <c r="M474" s="24">
        <f>IF($A474="","",IFERROR(INDEX('AJUSTES'!$B$4:$B$303,MATCH($AU474,'AJUSTES'!$A$4:$A$303,0)),IF($K474="","",$K474)))</f>
        <v/>
      </c>
      <c r="N474" s="24">
        <f>IF($A474="","",IFERROR(INDEX('CAT_ESTADOS_ERP'!$B$4:$B$22,MATCH(IFERROR(INDEX('2_IMPORTAR_EJECUCION'!$C$9:$C$1208,MATCH($AU474,'2_IMPORTAR_EJECUCION'!$J$9:$J$1208,0)),""),'CAT_ESTADOS_ERP'!$A$4:$A$22,0)),"Pendiente"))</f>
        <v/>
      </c>
      <c r="O474" s="24">
        <f>IF($J474="","",YEAR($J474+4-WEEKDAY($J474,2))&amp;"-S"&amp;TEXT(_xlfn.ISOWEEKNUM($J474),"00"))</f>
        <v/>
      </c>
      <c r="P474" s="24">
        <f>IF($J474="","",YEAR($J474))</f>
        <v/>
      </c>
      <c r="Q474" s="24">
        <f>IF($J474="","",MONTH($J474))</f>
        <v/>
      </c>
      <c r="R474" s="24">
        <f>IF($J474="","",$P474&amp;"-"&amp;TEXT($Q474,"00"))</f>
        <v/>
      </c>
      <c r="S474" s="24">
        <f>IF($J474="","",INDEX(lista_dias,WEEKDAY($J474,2)))</f>
        <v/>
      </c>
      <c r="T474" s="24">
        <f>IF($J474="","",IFERROR(INDEX('CALENDARIO'!$C$15:$C$214,MATCH(TEXT($J474,"yyyy-mm-dd")&amp;"|"&amp;$Y474&amp;"|"&amp;$Z474,'CALENDARIO'!$G$15:$G$214,0)),IFERROR(INDEX('CALENDARIO'!$C$15:$C$214,MATCH(TEXT($J474,"yyyy-mm-dd")&amp;"|"&amp;$Y474&amp;"|",'CALENDARIO'!$G$15:$G$214,0)),IFERROR(INDEX('CALENDARIO'!$C$15:$C$214,MATCH(TEXT($J474,"yyyy-mm-dd")&amp;"||",'CALENDARIO'!$G$15:$G$214,0)),INDEX(patronHabil,WEEKDAY($J474,2))))))</f>
        <v/>
      </c>
      <c r="U474" s="24">
        <f>IF($I474="","",IFERROR(INDEX('CAT_TIPOS_OT'!$C$4:$C$23,MATCH($I474,'CAT_TIPOS_OT'!$A$4:$A$23,0)),"sin_clasificar"))</f>
        <v/>
      </c>
      <c r="V474" s="24">
        <f>IF($I474="","",IF(IFERROR(INDEX('CAT_TIPOS_OT'!$D$4:$D$23,MATCH($I474,'CAT_TIPOS_OT'!$A$4:$A$23,0)),"SIN CLASIFICAR")="","SIN CLASIFICAR",IFERROR(INDEX('CAT_TIPOS_OT'!$D$4:$D$23,MATCH($I474,'CAT_TIPOS_OT'!$A$4:$A$23,0)),"SIN CLASIFICAR")))</f>
        <v/>
      </c>
      <c r="W474" s="24">
        <f>IF($H474="","",IF(IFERROR(INDEX('CAT_ACTIVIDADES'!$F$4:$F$26,MATCH($H474,'CAT_ACTIVIDADES'!$A$4:$A$26,0)),"")=0,"",IFERROR(INDEX('CAT_ACTIVIDADES'!$F$4:$F$26,MATCH($H474,'CAT_ACTIVIDADES'!$A$4:$A$26,0)),"")))</f>
        <v/>
      </c>
      <c r="X474" s="24">
        <f>IF($F474="","",IFERROR(INDEX('CAT_CENTROS_COSTO'!$F$4:$F$28,MATCH($F474,'CAT_CENTROS_COSTO'!$A$4:$A$28,0)),"(sin catálogo)"))</f>
        <v/>
      </c>
      <c r="Y474" s="24">
        <f>IF($F474="","",IFERROR(INDEX('CAT_CENTROS_COSTO'!$D$4:$D$28,MATCH($F474,'CAT_CENTROS_COSTO'!$A$4:$A$28,0)),"(sin catálogo)"))</f>
        <v/>
      </c>
      <c r="Z474" s="24">
        <f>IF($F474="","",IF((IFERROR(INDEX('CAT_CENTROS_COSTO'!$E$4:$E$28,MATCH($F474,'CAT_CENTROS_COSTO'!$A$4:$A$28,0)),""))&lt;&gt;"",IFERROR(INDEX('CAT_CENTROS_COSTO'!$E$4:$E$28,MATCH($F474,'CAT_CENTROS_COSTO'!$A$4:$A$28,0)),""),$Y474))</f>
        <v/>
      </c>
      <c r="AA474" s="24">
        <f>IF($F474="","",IFERROR(INDEX('CAT_CENTROS_COSTO'!$G$4:$G$28,MATCH($F474,'CAT_CENTROS_COSTO'!$A$4:$A$28,0)),"(sin catálogo)"))</f>
        <v/>
      </c>
      <c r="AB474" s="24">
        <f>IF($G474="","",IFERROR(INDEX('CAT_PUESTOS'!$B$4:$B$23,MATCH($G474,'CAT_PUESTOS'!$A$4:$A$23,0)),"(sin catálogo)"))</f>
        <v/>
      </c>
      <c r="AC474" s="24">
        <f>IF($H474="","",IFERROR(INDEX('CAT_ACTIVIDADES'!$B$4:$B$26,MATCH($H474,'CAT_ACTIVIDADES'!$A$4:$A$26,0)),"(sin catálogo)"))</f>
        <v/>
      </c>
      <c r="AD474" s="26">
        <f>IF($J474="","",TODAY()-$J474)</f>
        <v/>
      </c>
      <c r="AE474" s="26">
        <f>IF($J474="","",IF($J474&lt;=TODAY(),COUNTIFS(cal_fechas,"&gt;="&amp;$J474,cal_fechas,"&lt;"&amp;TODAY(),cal_habil,"sí"),-COUNTIFS(cal_fechas,"&gt;="&amp;TODAY(),cal_fechas,"&lt;"&amp;$J474,cal_habil,"sí")))</f>
        <v/>
      </c>
      <c r="AF474" s="24">
        <f>IF($AE474="","",IF($AE474&lt;0,"FUTURO",IF($AE474&gt;p_dias_backlog_max,"BACKLOG","MES CORRIENTE")))</f>
        <v/>
      </c>
      <c r="AG474" s="24">
        <f>IF($AE474="",FALSE,AND($AE474&gt;p_dias_backlog_min,$AE474&lt;=p_dias_backlog_max))</f>
        <v/>
      </c>
      <c r="AH474" s="4" t="n"/>
      <c r="AI474" s="24">
        <f>IF($AH474="","",IF((IFERROR(INDEX('ASIGNACIONES'!$J$4:$J$451,MATCH($O474&amp;"|"&amp;$S474&amp;"|"&amp;$AH474,'ASIGNACIONES'!$N$4:$N$451,0)),""))=0,"",IFERROR(INDEX('ASIGNACIONES'!$J$4:$J$451,MATCH($O474&amp;"|"&amp;$S474&amp;"|"&amp;$AH474,'ASIGNACIONES'!$N$4:$N$451,0)),"")))</f>
        <v/>
      </c>
      <c r="AJ474" s="42">
        <f>IF($AH474="","",SUMIFS('ORDENES'!$M$4:$M$1203,'ORDENES'!$AH$4:$AH$1203,$AH474,'ORDENES'!$O$4:$O$1203,$O474,'ORDENES'!$S$4:$S$1203,$S474))</f>
        <v/>
      </c>
      <c r="AK474" s="42">
        <f>IF($AJ474="","",p_factor_productividad*IFERROR(INDEX('ASIGNACIONES'!$M$4:$M$451,MATCH($O474&amp;"|"&amp;$S474&amp;"|"&amp;$AH474,'ASIGNACIONES'!$N$4:$N$451,0)),0)-$AJ474)</f>
        <v/>
      </c>
      <c r="AL474" s="32">
        <f>IF($A474="","",IFERROR(INDEX('2_IMPORTAR_EJECUCION'!$F$9:$F$1208,MATCH($AU474,'2_IMPORTAR_EJECUCION'!$J$9:$J$1208,0)),0))</f>
        <v/>
      </c>
      <c r="AM474" s="32">
        <f>IF($A474="","",MAX(0,IFERROR(INDEX('2_IMPORTAR_EJECUCION'!$H$9:$H$1208,MATCH($AU474,'2_IMPORTAR_EJECUCION'!$J$9:$J$1208,0)),0)-$AL474))</f>
        <v/>
      </c>
      <c r="AN474" s="32">
        <f>IF($A474="","",$AL474+$AM474)</f>
        <v/>
      </c>
      <c r="AO474" s="24">
        <f>IF($A474="","",IF(OR((IFERROR(INDEX('CAT_ACTIVIDADES'!$D$4:$D$26,MATCH($H474,'CAT_ACTIVIDADES'!$A$4:$A$26,0)),""))=0,(IFERROR(INDEX('CAT_ACTIVIDADES'!$D$4:$D$26,MATCH($H474,'CAT_ACTIVIDADES'!$A$4:$A$26,0)),""))=""),"SIN CLASIFICAR",IFERROR(INDEX('CAT_ACTIVIDADES'!$D$4:$D$26,MATCH($H474,'CAT_ACTIVIDADES'!$A$4:$A$26,0)),"")))</f>
        <v/>
      </c>
      <c r="AP474" s="4" t="n"/>
      <c r="AQ474" s="4" t="n"/>
      <c r="AR474" s="4" t="n"/>
      <c r="AS474" s="24">
        <f>IF($AR474="","",HYPERLINK(p_ruta_base_checklists&amp;$AR474,"abrir"))</f>
        <v/>
      </c>
      <c r="AT474" s="4" t="n"/>
      <c r="AU474" s="24">
        <f>IF($A474="","",$A474&amp;IF($B474="","0010",$B474))</f>
        <v/>
      </c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41" t="n"/>
      <c r="K475" s="5" t="n"/>
      <c r="L475" s="18" t="n"/>
      <c r="M475" s="24">
        <f>IF($A475="","",IFERROR(INDEX('AJUSTES'!$B$4:$B$303,MATCH($AU475,'AJUSTES'!$A$4:$A$303,0)),IF($K475="","",$K475)))</f>
        <v/>
      </c>
      <c r="N475" s="24">
        <f>IF($A475="","",IFERROR(INDEX('CAT_ESTADOS_ERP'!$B$4:$B$22,MATCH(IFERROR(INDEX('2_IMPORTAR_EJECUCION'!$C$9:$C$1208,MATCH($AU475,'2_IMPORTAR_EJECUCION'!$J$9:$J$1208,0)),""),'CAT_ESTADOS_ERP'!$A$4:$A$22,0)),"Pendiente"))</f>
        <v/>
      </c>
      <c r="O475" s="24">
        <f>IF($J475="","",YEAR($J475+4-WEEKDAY($J475,2))&amp;"-S"&amp;TEXT(_xlfn.ISOWEEKNUM($J475),"00"))</f>
        <v/>
      </c>
      <c r="P475" s="24">
        <f>IF($J475="","",YEAR($J475))</f>
        <v/>
      </c>
      <c r="Q475" s="24">
        <f>IF($J475="","",MONTH($J475))</f>
        <v/>
      </c>
      <c r="R475" s="24">
        <f>IF($J475="","",$P475&amp;"-"&amp;TEXT($Q475,"00"))</f>
        <v/>
      </c>
      <c r="S475" s="24">
        <f>IF($J475="","",INDEX(lista_dias,WEEKDAY($J475,2)))</f>
        <v/>
      </c>
      <c r="T475" s="24">
        <f>IF($J475="","",IFERROR(INDEX('CALENDARIO'!$C$15:$C$214,MATCH(TEXT($J475,"yyyy-mm-dd")&amp;"|"&amp;$Y475&amp;"|"&amp;$Z475,'CALENDARIO'!$G$15:$G$214,0)),IFERROR(INDEX('CALENDARIO'!$C$15:$C$214,MATCH(TEXT($J475,"yyyy-mm-dd")&amp;"|"&amp;$Y475&amp;"|",'CALENDARIO'!$G$15:$G$214,0)),IFERROR(INDEX('CALENDARIO'!$C$15:$C$214,MATCH(TEXT($J475,"yyyy-mm-dd")&amp;"||",'CALENDARIO'!$G$15:$G$214,0)),INDEX(patronHabil,WEEKDAY($J475,2))))))</f>
        <v/>
      </c>
      <c r="U475" s="24">
        <f>IF($I475="","",IFERROR(INDEX('CAT_TIPOS_OT'!$C$4:$C$23,MATCH($I475,'CAT_TIPOS_OT'!$A$4:$A$23,0)),"sin_clasificar"))</f>
        <v/>
      </c>
      <c r="V475" s="24">
        <f>IF($I475="","",IF(IFERROR(INDEX('CAT_TIPOS_OT'!$D$4:$D$23,MATCH($I475,'CAT_TIPOS_OT'!$A$4:$A$23,0)),"SIN CLASIFICAR")="","SIN CLASIFICAR",IFERROR(INDEX('CAT_TIPOS_OT'!$D$4:$D$23,MATCH($I475,'CAT_TIPOS_OT'!$A$4:$A$23,0)),"SIN CLASIFICAR")))</f>
        <v/>
      </c>
      <c r="W475" s="24">
        <f>IF($H475="","",IF(IFERROR(INDEX('CAT_ACTIVIDADES'!$F$4:$F$26,MATCH($H475,'CAT_ACTIVIDADES'!$A$4:$A$26,0)),"")=0,"",IFERROR(INDEX('CAT_ACTIVIDADES'!$F$4:$F$26,MATCH($H475,'CAT_ACTIVIDADES'!$A$4:$A$26,0)),"")))</f>
        <v/>
      </c>
      <c r="X475" s="24">
        <f>IF($F475="","",IFERROR(INDEX('CAT_CENTROS_COSTO'!$F$4:$F$28,MATCH($F475,'CAT_CENTROS_COSTO'!$A$4:$A$28,0)),"(sin catálogo)"))</f>
        <v/>
      </c>
      <c r="Y475" s="24">
        <f>IF($F475="","",IFERROR(INDEX('CAT_CENTROS_COSTO'!$D$4:$D$28,MATCH($F475,'CAT_CENTROS_COSTO'!$A$4:$A$28,0)),"(sin catálogo)"))</f>
        <v/>
      </c>
      <c r="Z475" s="24">
        <f>IF($F475="","",IF((IFERROR(INDEX('CAT_CENTROS_COSTO'!$E$4:$E$28,MATCH($F475,'CAT_CENTROS_COSTO'!$A$4:$A$28,0)),""))&lt;&gt;"",IFERROR(INDEX('CAT_CENTROS_COSTO'!$E$4:$E$28,MATCH($F475,'CAT_CENTROS_COSTO'!$A$4:$A$28,0)),""),$Y475))</f>
        <v/>
      </c>
      <c r="AA475" s="24">
        <f>IF($F475="","",IFERROR(INDEX('CAT_CENTROS_COSTO'!$G$4:$G$28,MATCH($F475,'CAT_CENTROS_COSTO'!$A$4:$A$28,0)),"(sin catálogo)"))</f>
        <v/>
      </c>
      <c r="AB475" s="24">
        <f>IF($G475="","",IFERROR(INDEX('CAT_PUESTOS'!$B$4:$B$23,MATCH($G475,'CAT_PUESTOS'!$A$4:$A$23,0)),"(sin catálogo)"))</f>
        <v/>
      </c>
      <c r="AC475" s="24">
        <f>IF($H475="","",IFERROR(INDEX('CAT_ACTIVIDADES'!$B$4:$B$26,MATCH($H475,'CAT_ACTIVIDADES'!$A$4:$A$26,0)),"(sin catálogo)"))</f>
        <v/>
      </c>
      <c r="AD475" s="26">
        <f>IF($J475="","",TODAY()-$J475)</f>
        <v/>
      </c>
      <c r="AE475" s="26">
        <f>IF($J475="","",IF($J475&lt;=TODAY(),COUNTIFS(cal_fechas,"&gt;="&amp;$J475,cal_fechas,"&lt;"&amp;TODAY(),cal_habil,"sí"),-COUNTIFS(cal_fechas,"&gt;="&amp;TODAY(),cal_fechas,"&lt;"&amp;$J475,cal_habil,"sí")))</f>
        <v/>
      </c>
      <c r="AF475" s="24">
        <f>IF($AE475="","",IF($AE475&lt;0,"FUTURO",IF($AE475&gt;p_dias_backlog_max,"BACKLOG","MES CORRIENTE")))</f>
        <v/>
      </c>
      <c r="AG475" s="24">
        <f>IF($AE475="",FALSE,AND($AE475&gt;p_dias_backlog_min,$AE475&lt;=p_dias_backlog_max))</f>
        <v/>
      </c>
      <c r="AH475" s="4" t="n"/>
      <c r="AI475" s="24">
        <f>IF($AH475="","",IF((IFERROR(INDEX('ASIGNACIONES'!$J$4:$J$451,MATCH($O475&amp;"|"&amp;$S475&amp;"|"&amp;$AH475,'ASIGNACIONES'!$N$4:$N$451,0)),""))=0,"",IFERROR(INDEX('ASIGNACIONES'!$J$4:$J$451,MATCH($O475&amp;"|"&amp;$S475&amp;"|"&amp;$AH475,'ASIGNACIONES'!$N$4:$N$451,0)),"")))</f>
        <v/>
      </c>
      <c r="AJ475" s="42">
        <f>IF($AH475="","",SUMIFS('ORDENES'!$M$4:$M$1203,'ORDENES'!$AH$4:$AH$1203,$AH475,'ORDENES'!$O$4:$O$1203,$O475,'ORDENES'!$S$4:$S$1203,$S475))</f>
        <v/>
      </c>
      <c r="AK475" s="42">
        <f>IF($AJ475="","",p_factor_productividad*IFERROR(INDEX('ASIGNACIONES'!$M$4:$M$451,MATCH($O475&amp;"|"&amp;$S475&amp;"|"&amp;$AH475,'ASIGNACIONES'!$N$4:$N$451,0)),0)-$AJ475)</f>
        <v/>
      </c>
      <c r="AL475" s="32">
        <f>IF($A475="","",IFERROR(INDEX('2_IMPORTAR_EJECUCION'!$F$9:$F$1208,MATCH($AU475,'2_IMPORTAR_EJECUCION'!$J$9:$J$1208,0)),0))</f>
        <v/>
      </c>
      <c r="AM475" s="32">
        <f>IF($A475="","",MAX(0,IFERROR(INDEX('2_IMPORTAR_EJECUCION'!$H$9:$H$1208,MATCH($AU475,'2_IMPORTAR_EJECUCION'!$J$9:$J$1208,0)),0)-$AL475))</f>
        <v/>
      </c>
      <c r="AN475" s="32">
        <f>IF($A475="","",$AL475+$AM475)</f>
        <v/>
      </c>
      <c r="AO475" s="24">
        <f>IF($A475="","",IF(OR((IFERROR(INDEX('CAT_ACTIVIDADES'!$D$4:$D$26,MATCH($H475,'CAT_ACTIVIDADES'!$A$4:$A$26,0)),""))=0,(IFERROR(INDEX('CAT_ACTIVIDADES'!$D$4:$D$26,MATCH($H475,'CAT_ACTIVIDADES'!$A$4:$A$26,0)),""))=""),"SIN CLASIFICAR",IFERROR(INDEX('CAT_ACTIVIDADES'!$D$4:$D$26,MATCH($H475,'CAT_ACTIVIDADES'!$A$4:$A$26,0)),"")))</f>
        <v/>
      </c>
      <c r="AP475" s="4" t="n"/>
      <c r="AQ475" s="4" t="n"/>
      <c r="AR475" s="4" t="n"/>
      <c r="AS475" s="24">
        <f>IF($AR475="","",HYPERLINK(p_ruta_base_checklists&amp;$AR475,"abrir"))</f>
        <v/>
      </c>
      <c r="AT475" s="4" t="n"/>
      <c r="AU475" s="24">
        <f>IF($A475="","",$A475&amp;IF($B475="","0010",$B475))</f>
        <v/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41" t="n"/>
      <c r="K476" s="5" t="n"/>
      <c r="L476" s="18" t="n"/>
      <c r="M476" s="24">
        <f>IF($A476="","",IFERROR(INDEX('AJUSTES'!$B$4:$B$303,MATCH($AU476,'AJUSTES'!$A$4:$A$303,0)),IF($K476="","",$K476)))</f>
        <v/>
      </c>
      <c r="N476" s="24">
        <f>IF($A476="","",IFERROR(INDEX('CAT_ESTADOS_ERP'!$B$4:$B$22,MATCH(IFERROR(INDEX('2_IMPORTAR_EJECUCION'!$C$9:$C$1208,MATCH($AU476,'2_IMPORTAR_EJECUCION'!$J$9:$J$1208,0)),""),'CAT_ESTADOS_ERP'!$A$4:$A$22,0)),"Pendiente"))</f>
        <v/>
      </c>
      <c r="O476" s="24">
        <f>IF($J476="","",YEAR($J476+4-WEEKDAY($J476,2))&amp;"-S"&amp;TEXT(_xlfn.ISOWEEKNUM($J476),"00"))</f>
        <v/>
      </c>
      <c r="P476" s="24">
        <f>IF($J476="","",YEAR($J476))</f>
        <v/>
      </c>
      <c r="Q476" s="24">
        <f>IF($J476="","",MONTH($J476))</f>
        <v/>
      </c>
      <c r="R476" s="24">
        <f>IF($J476="","",$P476&amp;"-"&amp;TEXT($Q476,"00"))</f>
        <v/>
      </c>
      <c r="S476" s="24">
        <f>IF($J476="","",INDEX(lista_dias,WEEKDAY($J476,2)))</f>
        <v/>
      </c>
      <c r="T476" s="24">
        <f>IF($J476="","",IFERROR(INDEX('CALENDARIO'!$C$15:$C$214,MATCH(TEXT($J476,"yyyy-mm-dd")&amp;"|"&amp;$Y476&amp;"|"&amp;$Z476,'CALENDARIO'!$G$15:$G$214,0)),IFERROR(INDEX('CALENDARIO'!$C$15:$C$214,MATCH(TEXT($J476,"yyyy-mm-dd")&amp;"|"&amp;$Y476&amp;"|",'CALENDARIO'!$G$15:$G$214,0)),IFERROR(INDEX('CALENDARIO'!$C$15:$C$214,MATCH(TEXT($J476,"yyyy-mm-dd")&amp;"||",'CALENDARIO'!$G$15:$G$214,0)),INDEX(patronHabil,WEEKDAY($J476,2))))))</f>
        <v/>
      </c>
      <c r="U476" s="24">
        <f>IF($I476="","",IFERROR(INDEX('CAT_TIPOS_OT'!$C$4:$C$23,MATCH($I476,'CAT_TIPOS_OT'!$A$4:$A$23,0)),"sin_clasificar"))</f>
        <v/>
      </c>
      <c r="V476" s="24">
        <f>IF($I476="","",IF(IFERROR(INDEX('CAT_TIPOS_OT'!$D$4:$D$23,MATCH($I476,'CAT_TIPOS_OT'!$A$4:$A$23,0)),"SIN CLASIFICAR")="","SIN CLASIFICAR",IFERROR(INDEX('CAT_TIPOS_OT'!$D$4:$D$23,MATCH($I476,'CAT_TIPOS_OT'!$A$4:$A$23,0)),"SIN CLASIFICAR")))</f>
        <v/>
      </c>
      <c r="W476" s="24">
        <f>IF($H476="","",IF(IFERROR(INDEX('CAT_ACTIVIDADES'!$F$4:$F$26,MATCH($H476,'CAT_ACTIVIDADES'!$A$4:$A$26,0)),"")=0,"",IFERROR(INDEX('CAT_ACTIVIDADES'!$F$4:$F$26,MATCH($H476,'CAT_ACTIVIDADES'!$A$4:$A$26,0)),"")))</f>
        <v/>
      </c>
      <c r="X476" s="24">
        <f>IF($F476="","",IFERROR(INDEX('CAT_CENTROS_COSTO'!$F$4:$F$28,MATCH($F476,'CAT_CENTROS_COSTO'!$A$4:$A$28,0)),"(sin catálogo)"))</f>
        <v/>
      </c>
      <c r="Y476" s="24">
        <f>IF($F476="","",IFERROR(INDEX('CAT_CENTROS_COSTO'!$D$4:$D$28,MATCH($F476,'CAT_CENTROS_COSTO'!$A$4:$A$28,0)),"(sin catálogo)"))</f>
        <v/>
      </c>
      <c r="Z476" s="24">
        <f>IF($F476="","",IF((IFERROR(INDEX('CAT_CENTROS_COSTO'!$E$4:$E$28,MATCH($F476,'CAT_CENTROS_COSTO'!$A$4:$A$28,0)),""))&lt;&gt;"",IFERROR(INDEX('CAT_CENTROS_COSTO'!$E$4:$E$28,MATCH($F476,'CAT_CENTROS_COSTO'!$A$4:$A$28,0)),""),$Y476))</f>
        <v/>
      </c>
      <c r="AA476" s="24">
        <f>IF($F476="","",IFERROR(INDEX('CAT_CENTROS_COSTO'!$G$4:$G$28,MATCH($F476,'CAT_CENTROS_COSTO'!$A$4:$A$28,0)),"(sin catálogo)"))</f>
        <v/>
      </c>
      <c r="AB476" s="24">
        <f>IF($G476="","",IFERROR(INDEX('CAT_PUESTOS'!$B$4:$B$23,MATCH($G476,'CAT_PUESTOS'!$A$4:$A$23,0)),"(sin catálogo)"))</f>
        <v/>
      </c>
      <c r="AC476" s="24">
        <f>IF($H476="","",IFERROR(INDEX('CAT_ACTIVIDADES'!$B$4:$B$26,MATCH($H476,'CAT_ACTIVIDADES'!$A$4:$A$26,0)),"(sin catálogo)"))</f>
        <v/>
      </c>
      <c r="AD476" s="26">
        <f>IF($J476="","",TODAY()-$J476)</f>
        <v/>
      </c>
      <c r="AE476" s="26">
        <f>IF($J476="","",IF($J476&lt;=TODAY(),COUNTIFS(cal_fechas,"&gt;="&amp;$J476,cal_fechas,"&lt;"&amp;TODAY(),cal_habil,"sí"),-COUNTIFS(cal_fechas,"&gt;="&amp;TODAY(),cal_fechas,"&lt;"&amp;$J476,cal_habil,"sí")))</f>
        <v/>
      </c>
      <c r="AF476" s="24">
        <f>IF($AE476="","",IF($AE476&lt;0,"FUTURO",IF($AE476&gt;p_dias_backlog_max,"BACKLOG","MES CORRIENTE")))</f>
        <v/>
      </c>
      <c r="AG476" s="24">
        <f>IF($AE476="",FALSE,AND($AE476&gt;p_dias_backlog_min,$AE476&lt;=p_dias_backlog_max))</f>
        <v/>
      </c>
      <c r="AH476" s="4" t="n"/>
      <c r="AI476" s="24">
        <f>IF($AH476="","",IF((IFERROR(INDEX('ASIGNACIONES'!$J$4:$J$451,MATCH($O476&amp;"|"&amp;$S476&amp;"|"&amp;$AH476,'ASIGNACIONES'!$N$4:$N$451,0)),""))=0,"",IFERROR(INDEX('ASIGNACIONES'!$J$4:$J$451,MATCH($O476&amp;"|"&amp;$S476&amp;"|"&amp;$AH476,'ASIGNACIONES'!$N$4:$N$451,0)),"")))</f>
        <v/>
      </c>
      <c r="AJ476" s="42">
        <f>IF($AH476="","",SUMIFS('ORDENES'!$M$4:$M$1203,'ORDENES'!$AH$4:$AH$1203,$AH476,'ORDENES'!$O$4:$O$1203,$O476,'ORDENES'!$S$4:$S$1203,$S476))</f>
        <v/>
      </c>
      <c r="AK476" s="42">
        <f>IF($AJ476="","",p_factor_productividad*IFERROR(INDEX('ASIGNACIONES'!$M$4:$M$451,MATCH($O476&amp;"|"&amp;$S476&amp;"|"&amp;$AH476,'ASIGNACIONES'!$N$4:$N$451,0)),0)-$AJ476)</f>
        <v/>
      </c>
      <c r="AL476" s="32">
        <f>IF($A476="","",IFERROR(INDEX('2_IMPORTAR_EJECUCION'!$F$9:$F$1208,MATCH($AU476,'2_IMPORTAR_EJECUCION'!$J$9:$J$1208,0)),0))</f>
        <v/>
      </c>
      <c r="AM476" s="32">
        <f>IF($A476="","",MAX(0,IFERROR(INDEX('2_IMPORTAR_EJECUCION'!$H$9:$H$1208,MATCH($AU476,'2_IMPORTAR_EJECUCION'!$J$9:$J$1208,0)),0)-$AL476))</f>
        <v/>
      </c>
      <c r="AN476" s="32">
        <f>IF($A476="","",$AL476+$AM476)</f>
        <v/>
      </c>
      <c r="AO476" s="24">
        <f>IF($A476="","",IF(OR((IFERROR(INDEX('CAT_ACTIVIDADES'!$D$4:$D$26,MATCH($H476,'CAT_ACTIVIDADES'!$A$4:$A$26,0)),""))=0,(IFERROR(INDEX('CAT_ACTIVIDADES'!$D$4:$D$26,MATCH($H476,'CAT_ACTIVIDADES'!$A$4:$A$26,0)),""))=""),"SIN CLASIFICAR",IFERROR(INDEX('CAT_ACTIVIDADES'!$D$4:$D$26,MATCH($H476,'CAT_ACTIVIDADES'!$A$4:$A$26,0)),"")))</f>
        <v/>
      </c>
      <c r="AP476" s="4" t="n"/>
      <c r="AQ476" s="4" t="n"/>
      <c r="AR476" s="4" t="n"/>
      <c r="AS476" s="24">
        <f>IF($AR476="","",HYPERLINK(p_ruta_base_checklists&amp;$AR476,"abrir"))</f>
        <v/>
      </c>
      <c r="AT476" s="4" t="n"/>
      <c r="AU476" s="24">
        <f>IF($A476="","",$A476&amp;IF($B476="","0010",$B476))</f>
        <v/>
      </c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41" t="n"/>
      <c r="K477" s="5" t="n"/>
      <c r="L477" s="18" t="n"/>
      <c r="M477" s="24">
        <f>IF($A477="","",IFERROR(INDEX('AJUSTES'!$B$4:$B$303,MATCH($AU477,'AJUSTES'!$A$4:$A$303,0)),IF($K477="","",$K477)))</f>
        <v/>
      </c>
      <c r="N477" s="24">
        <f>IF($A477="","",IFERROR(INDEX('CAT_ESTADOS_ERP'!$B$4:$B$22,MATCH(IFERROR(INDEX('2_IMPORTAR_EJECUCION'!$C$9:$C$1208,MATCH($AU477,'2_IMPORTAR_EJECUCION'!$J$9:$J$1208,0)),""),'CAT_ESTADOS_ERP'!$A$4:$A$22,0)),"Pendiente"))</f>
        <v/>
      </c>
      <c r="O477" s="24">
        <f>IF($J477="","",YEAR($J477+4-WEEKDAY($J477,2))&amp;"-S"&amp;TEXT(_xlfn.ISOWEEKNUM($J477),"00"))</f>
        <v/>
      </c>
      <c r="P477" s="24">
        <f>IF($J477="","",YEAR($J477))</f>
        <v/>
      </c>
      <c r="Q477" s="24">
        <f>IF($J477="","",MONTH($J477))</f>
        <v/>
      </c>
      <c r="R477" s="24">
        <f>IF($J477="","",$P477&amp;"-"&amp;TEXT($Q477,"00"))</f>
        <v/>
      </c>
      <c r="S477" s="24">
        <f>IF($J477="","",INDEX(lista_dias,WEEKDAY($J477,2)))</f>
        <v/>
      </c>
      <c r="T477" s="24">
        <f>IF($J477="","",IFERROR(INDEX('CALENDARIO'!$C$15:$C$214,MATCH(TEXT($J477,"yyyy-mm-dd")&amp;"|"&amp;$Y477&amp;"|"&amp;$Z477,'CALENDARIO'!$G$15:$G$214,0)),IFERROR(INDEX('CALENDARIO'!$C$15:$C$214,MATCH(TEXT($J477,"yyyy-mm-dd")&amp;"|"&amp;$Y477&amp;"|",'CALENDARIO'!$G$15:$G$214,0)),IFERROR(INDEX('CALENDARIO'!$C$15:$C$214,MATCH(TEXT($J477,"yyyy-mm-dd")&amp;"||",'CALENDARIO'!$G$15:$G$214,0)),INDEX(patronHabil,WEEKDAY($J477,2))))))</f>
        <v/>
      </c>
      <c r="U477" s="24">
        <f>IF($I477="","",IFERROR(INDEX('CAT_TIPOS_OT'!$C$4:$C$23,MATCH($I477,'CAT_TIPOS_OT'!$A$4:$A$23,0)),"sin_clasificar"))</f>
        <v/>
      </c>
      <c r="V477" s="24">
        <f>IF($I477="","",IF(IFERROR(INDEX('CAT_TIPOS_OT'!$D$4:$D$23,MATCH($I477,'CAT_TIPOS_OT'!$A$4:$A$23,0)),"SIN CLASIFICAR")="","SIN CLASIFICAR",IFERROR(INDEX('CAT_TIPOS_OT'!$D$4:$D$23,MATCH($I477,'CAT_TIPOS_OT'!$A$4:$A$23,0)),"SIN CLASIFICAR")))</f>
        <v/>
      </c>
      <c r="W477" s="24">
        <f>IF($H477="","",IF(IFERROR(INDEX('CAT_ACTIVIDADES'!$F$4:$F$26,MATCH($H477,'CAT_ACTIVIDADES'!$A$4:$A$26,0)),"")=0,"",IFERROR(INDEX('CAT_ACTIVIDADES'!$F$4:$F$26,MATCH($H477,'CAT_ACTIVIDADES'!$A$4:$A$26,0)),"")))</f>
        <v/>
      </c>
      <c r="X477" s="24">
        <f>IF($F477="","",IFERROR(INDEX('CAT_CENTROS_COSTO'!$F$4:$F$28,MATCH($F477,'CAT_CENTROS_COSTO'!$A$4:$A$28,0)),"(sin catálogo)"))</f>
        <v/>
      </c>
      <c r="Y477" s="24">
        <f>IF($F477="","",IFERROR(INDEX('CAT_CENTROS_COSTO'!$D$4:$D$28,MATCH($F477,'CAT_CENTROS_COSTO'!$A$4:$A$28,0)),"(sin catálogo)"))</f>
        <v/>
      </c>
      <c r="Z477" s="24">
        <f>IF($F477="","",IF((IFERROR(INDEX('CAT_CENTROS_COSTO'!$E$4:$E$28,MATCH($F477,'CAT_CENTROS_COSTO'!$A$4:$A$28,0)),""))&lt;&gt;"",IFERROR(INDEX('CAT_CENTROS_COSTO'!$E$4:$E$28,MATCH($F477,'CAT_CENTROS_COSTO'!$A$4:$A$28,0)),""),$Y477))</f>
        <v/>
      </c>
      <c r="AA477" s="24">
        <f>IF($F477="","",IFERROR(INDEX('CAT_CENTROS_COSTO'!$G$4:$G$28,MATCH($F477,'CAT_CENTROS_COSTO'!$A$4:$A$28,0)),"(sin catálogo)"))</f>
        <v/>
      </c>
      <c r="AB477" s="24">
        <f>IF($G477="","",IFERROR(INDEX('CAT_PUESTOS'!$B$4:$B$23,MATCH($G477,'CAT_PUESTOS'!$A$4:$A$23,0)),"(sin catálogo)"))</f>
        <v/>
      </c>
      <c r="AC477" s="24">
        <f>IF($H477="","",IFERROR(INDEX('CAT_ACTIVIDADES'!$B$4:$B$26,MATCH($H477,'CAT_ACTIVIDADES'!$A$4:$A$26,0)),"(sin catálogo)"))</f>
        <v/>
      </c>
      <c r="AD477" s="26">
        <f>IF($J477="","",TODAY()-$J477)</f>
        <v/>
      </c>
      <c r="AE477" s="26">
        <f>IF($J477="","",IF($J477&lt;=TODAY(),COUNTIFS(cal_fechas,"&gt;="&amp;$J477,cal_fechas,"&lt;"&amp;TODAY(),cal_habil,"sí"),-COUNTIFS(cal_fechas,"&gt;="&amp;TODAY(),cal_fechas,"&lt;"&amp;$J477,cal_habil,"sí")))</f>
        <v/>
      </c>
      <c r="AF477" s="24">
        <f>IF($AE477="","",IF($AE477&lt;0,"FUTURO",IF($AE477&gt;p_dias_backlog_max,"BACKLOG","MES CORRIENTE")))</f>
        <v/>
      </c>
      <c r="AG477" s="24">
        <f>IF($AE477="",FALSE,AND($AE477&gt;p_dias_backlog_min,$AE477&lt;=p_dias_backlog_max))</f>
        <v/>
      </c>
      <c r="AH477" s="4" t="n"/>
      <c r="AI477" s="24">
        <f>IF($AH477="","",IF((IFERROR(INDEX('ASIGNACIONES'!$J$4:$J$451,MATCH($O477&amp;"|"&amp;$S477&amp;"|"&amp;$AH477,'ASIGNACIONES'!$N$4:$N$451,0)),""))=0,"",IFERROR(INDEX('ASIGNACIONES'!$J$4:$J$451,MATCH($O477&amp;"|"&amp;$S477&amp;"|"&amp;$AH477,'ASIGNACIONES'!$N$4:$N$451,0)),"")))</f>
        <v/>
      </c>
      <c r="AJ477" s="42">
        <f>IF($AH477="","",SUMIFS('ORDENES'!$M$4:$M$1203,'ORDENES'!$AH$4:$AH$1203,$AH477,'ORDENES'!$O$4:$O$1203,$O477,'ORDENES'!$S$4:$S$1203,$S477))</f>
        <v/>
      </c>
      <c r="AK477" s="42">
        <f>IF($AJ477="","",p_factor_productividad*IFERROR(INDEX('ASIGNACIONES'!$M$4:$M$451,MATCH($O477&amp;"|"&amp;$S477&amp;"|"&amp;$AH477,'ASIGNACIONES'!$N$4:$N$451,0)),0)-$AJ477)</f>
        <v/>
      </c>
      <c r="AL477" s="32">
        <f>IF($A477="","",IFERROR(INDEX('2_IMPORTAR_EJECUCION'!$F$9:$F$1208,MATCH($AU477,'2_IMPORTAR_EJECUCION'!$J$9:$J$1208,0)),0))</f>
        <v/>
      </c>
      <c r="AM477" s="32">
        <f>IF($A477="","",MAX(0,IFERROR(INDEX('2_IMPORTAR_EJECUCION'!$H$9:$H$1208,MATCH($AU477,'2_IMPORTAR_EJECUCION'!$J$9:$J$1208,0)),0)-$AL477))</f>
        <v/>
      </c>
      <c r="AN477" s="32">
        <f>IF($A477="","",$AL477+$AM477)</f>
        <v/>
      </c>
      <c r="AO477" s="24">
        <f>IF($A477="","",IF(OR((IFERROR(INDEX('CAT_ACTIVIDADES'!$D$4:$D$26,MATCH($H477,'CAT_ACTIVIDADES'!$A$4:$A$26,0)),""))=0,(IFERROR(INDEX('CAT_ACTIVIDADES'!$D$4:$D$26,MATCH($H477,'CAT_ACTIVIDADES'!$A$4:$A$26,0)),""))=""),"SIN CLASIFICAR",IFERROR(INDEX('CAT_ACTIVIDADES'!$D$4:$D$26,MATCH($H477,'CAT_ACTIVIDADES'!$A$4:$A$26,0)),"")))</f>
        <v/>
      </c>
      <c r="AP477" s="4" t="n"/>
      <c r="AQ477" s="4" t="n"/>
      <c r="AR477" s="4" t="n"/>
      <c r="AS477" s="24">
        <f>IF($AR477="","",HYPERLINK(p_ruta_base_checklists&amp;$AR477,"abrir"))</f>
        <v/>
      </c>
      <c r="AT477" s="4" t="n"/>
      <c r="AU477" s="24">
        <f>IF($A477="","",$A477&amp;IF($B477="","0010",$B477))</f>
        <v/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41" t="n"/>
      <c r="K478" s="5" t="n"/>
      <c r="L478" s="18" t="n"/>
      <c r="M478" s="24">
        <f>IF($A478="","",IFERROR(INDEX('AJUSTES'!$B$4:$B$303,MATCH($AU478,'AJUSTES'!$A$4:$A$303,0)),IF($K478="","",$K478)))</f>
        <v/>
      </c>
      <c r="N478" s="24">
        <f>IF($A478="","",IFERROR(INDEX('CAT_ESTADOS_ERP'!$B$4:$B$22,MATCH(IFERROR(INDEX('2_IMPORTAR_EJECUCION'!$C$9:$C$1208,MATCH($AU478,'2_IMPORTAR_EJECUCION'!$J$9:$J$1208,0)),""),'CAT_ESTADOS_ERP'!$A$4:$A$22,0)),"Pendiente"))</f>
        <v/>
      </c>
      <c r="O478" s="24">
        <f>IF($J478="","",YEAR($J478+4-WEEKDAY($J478,2))&amp;"-S"&amp;TEXT(_xlfn.ISOWEEKNUM($J478),"00"))</f>
        <v/>
      </c>
      <c r="P478" s="24">
        <f>IF($J478="","",YEAR($J478))</f>
        <v/>
      </c>
      <c r="Q478" s="24">
        <f>IF($J478="","",MONTH($J478))</f>
        <v/>
      </c>
      <c r="R478" s="24">
        <f>IF($J478="","",$P478&amp;"-"&amp;TEXT($Q478,"00"))</f>
        <v/>
      </c>
      <c r="S478" s="24">
        <f>IF($J478="","",INDEX(lista_dias,WEEKDAY($J478,2)))</f>
        <v/>
      </c>
      <c r="T478" s="24">
        <f>IF($J478="","",IFERROR(INDEX('CALENDARIO'!$C$15:$C$214,MATCH(TEXT($J478,"yyyy-mm-dd")&amp;"|"&amp;$Y478&amp;"|"&amp;$Z478,'CALENDARIO'!$G$15:$G$214,0)),IFERROR(INDEX('CALENDARIO'!$C$15:$C$214,MATCH(TEXT($J478,"yyyy-mm-dd")&amp;"|"&amp;$Y478&amp;"|",'CALENDARIO'!$G$15:$G$214,0)),IFERROR(INDEX('CALENDARIO'!$C$15:$C$214,MATCH(TEXT($J478,"yyyy-mm-dd")&amp;"||",'CALENDARIO'!$G$15:$G$214,0)),INDEX(patronHabil,WEEKDAY($J478,2))))))</f>
        <v/>
      </c>
      <c r="U478" s="24">
        <f>IF($I478="","",IFERROR(INDEX('CAT_TIPOS_OT'!$C$4:$C$23,MATCH($I478,'CAT_TIPOS_OT'!$A$4:$A$23,0)),"sin_clasificar"))</f>
        <v/>
      </c>
      <c r="V478" s="24">
        <f>IF($I478="","",IF(IFERROR(INDEX('CAT_TIPOS_OT'!$D$4:$D$23,MATCH($I478,'CAT_TIPOS_OT'!$A$4:$A$23,0)),"SIN CLASIFICAR")="","SIN CLASIFICAR",IFERROR(INDEX('CAT_TIPOS_OT'!$D$4:$D$23,MATCH($I478,'CAT_TIPOS_OT'!$A$4:$A$23,0)),"SIN CLASIFICAR")))</f>
        <v/>
      </c>
      <c r="W478" s="24">
        <f>IF($H478="","",IF(IFERROR(INDEX('CAT_ACTIVIDADES'!$F$4:$F$26,MATCH($H478,'CAT_ACTIVIDADES'!$A$4:$A$26,0)),"")=0,"",IFERROR(INDEX('CAT_ACTIVIDADES'!$F$4:$F$26,MATCH($H478,'CAT_ACTIVIDADES'!$A$4:$A$26,0)),"")))</f>
        <v/>
      </c>
      <c r="X478" s="24">
        <f>IF($F478="","",IFERROR(INDEX('CAT_CENTROS_COSTO'!$F$4:$F$28,MATCH($F478,'CAT_CENTROS_COSTO'!$A$4:$A$28,0)),"(sin catálogo)"))</f>
        <v/>
      </c>
      <c r="Y478" s="24">
        <f>IF($F478="","",IFERROR(INDEX('CAT_CENTROS_COSTO'!$D$4:$D$28,MATCH($F478,'CAT_CENTROS_COSTO'!$A$4:$A$28,0)),"(sin catálogo)"))</f>
        <v/>
      </c>
      <c r="Z478" s="24">
        <f>IF($F478="","",IF((IFERROR(INDEX('CAT_CENTROS_COSTO'!$E$4:$E$28,MATCH($F478,'CAT_CENTROS_COSTO'!$A$4:$A$28,0)),""))&lt;&gt;"",IFERROR(INDEX('CAT_CENTROS_COSTO'!$E$4:$E$28,MATCH($F478,'CAT_CENTROS_COSTO'!$A$4:$A$28,0)),""),$Y478))</f>
        <v/>
      </c>
      <c r="AA478" s="24">
        <f>IF($F478="","",IFERROR(INDEX('CAT_CENTROS_COSTO'!$G$4:$G$28,MATCH($F478,'CAT_CENTROS_COSTO'!$A$4:$A$28,0)),"(sin catálogo)"))</f>
        <v/>
      </c>
      <c r="AB478" s="24">
        <f>IF($G478="","",IFERROR(INDEX('CAT_PUESTOS'!$B$4:$B$23,MATCH($G478,'CAT_PUESTOS'!$A$4:$A$23,0)),"(sin catálogo)"))</f>
        <v/>
      </c>
      <c r="AC478" s="24">
        <f>IF($H478="","",IFERROR(INDEX('CAT_ACTIVIDADES'!$B$4:$B$26,MATCH($H478,'CAT_ACTIVIDADES'!$A$4:$A$26,0)),"(sin catálogo)"))</f>
        <v/>
      </c>
      <c r="AD478" s="26">
        <f>IF($J478="","",TODAY()-$J478)</f>
        <v/>
      </c>
      <c r="AE478" s="26">
        <f>IF($J478="","",IF($J478&lt;=TODAY(),COUNTIFS(cal_fechas,"&gt;="&amp;$J478,cal_fechas,"&lt;"&amp;TODAY(),cal_habil,"sí"),-COUNTIFS(cal_fechas,"&gt;="&amp;TODAY(),cal_fechas,"&lt;"&amp;$J478,cal_habil,"sí")))</f>
        <v/>
      </c>
      <c r="AF478" s="24">
        <f>IF($AE478="","",IF($AE478&lt;0,"FUTURO",IF($AE478&gt;p_dias_backlog_max,"BACKLOG","MES CORRIENTE")))</f>
        <v/>
      </c>
      <c r="AG478" s="24">
        <f>IF($AE478="",FALSE,AND($AE478&gt;p_dias_backlog_min,$AE478&lt;=p_dias_backlog_max))</f>
        <v/>
      </c>
      <c r="AH478" s="4" t="n"/>
      <c r="AI478" s="24">
        <f>IF($AH478="","",IF((IFERROR(INDEX('ASIGNACIONES'!$J$4:$J$451,MATCH($O478&amp;"|"&amp;$S478&amp;"|"&amp;$AH478,'ASIGNACIONES'!$N$4:$N$451,0)),""))=0,"",IFERROR(INDEX('ASIGNACIONES'!$J$4:$J$451,MATCH($O478&amp;"|"&amp;$S478&amp;"|"&amp;$AH478,'ASIGNACIONES'!$N$4:$N$451,0)),"")))</f>
        <v/>
      </c>
      <c r="AJ478" s="42">
        <f>IF($AH478="","",SUMIFS('ORDENES'!$M$4:$M$1203,'ORDENES'!$AH$4:$AH$1203,$AH478,'ORDENES'!$O$4:$O$1203,$O478,'ORDENES'!$S$4:$S$1203,$S478))</f>
        <v/>
      </c>
      <c r="AK478" s="42">
        <f>IF($AJ478="","",p_factor_productividad*IFERROR(INDEX('ASIGNACIONES'!$M$4:$M$451,MATCH($O478&amp;"|"&amp;$S478&amp;"|"&amp;$AH478,'ASIGNACIONES'!$N$4:$N$451,0)),0)-$AJ478)</f>
        <v/>
      </c>
      <c r="AL478" s="32">
        <f>IF($A478="","",IFERROR(INDEX('2_IMPORTAR_EJECUCION'!$F$9:$F$1208,MATCH($AU478,'2_IMPORTAR_EJECUCION'!$J$9:$J$1208,0)),0))</f>
        <v/>
      </c>
      <c r="AM478" s="32">
        <f>IF($A478="","",MAX(0,IFERROR(INDEX('2_IMPORTAR_EJECUCION'!$H$9:$H$1208,MATCH($AU478,'2_IMPORTAR_EJECUCION'!$J$9:$J$1208,0)),0)-$AL478))</f>
        <v/>
      </c>
      <c r="AN478" s="32">
        <f>IF($A478="","",$AL478+$AM478)</f>
        <v/>
      </c>
      <c r="AO478" s="24">
        <f>IF($A478="","",IF(OR((IFERROR(INDEX('CAT_ACTIVIDADES'!$D$4:$D$26,MATCH($H478,'CAT_ACTIVIDADES'!$A$4:$A$26,0)),""))=0,(IFERROR(INDEX('CAT_ACTIVIDADES'!$D$4:$D$26,MATCH($H478,'CAT_ACTIVIDADES'!$A$4:$A$26,0)),""))=""),"SIN CLASIFICAR",IFERROR(INDEX('CAT_ACTIVIDADES'!$D$4:$D$26,MATCH($H478,'CAT_ACTIVIDADES'!$A$4:$A$26,0)),"")))</f>
        <v/>
      </c>
      <c r="AP478" s="4" t="n"/>
      <c r="AQ478" s="4" t="n"/>
      <c r="AR478" s="4" t="n"/>
      <c r="AS478" s="24">
        <f>IF($AR478="","",HYPERLINK(p_ruta_base_checklists&amp;$AR478,"abrir"))</f>
        <v/>
      </c>
      <c r="AT478" s="4" t="n"/>
      <c r="AU478" s="24">
        <f>IF($A478="","",$A478&amp;IF($B478="","0010",$B478))</f>
        <v/>
      </c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41" t="n"/>
      <c r="K479" s="5" t="n"/>
      <c r="L479" s="18" t="n"/>
      <c r="M479" s="24">
        <f>IF($A479="","",IFERROR(INDEX('AJUSTES'!$B$4:$B$303,MATCH($AU479,'AJUSTES'!$A$4:$A$303,0)),IF($K479="","",$K479)))</f>
        <v/>
      </c>
      <c r="N479" s="24">
        <f>IF($A479="","",IFERROR(INDEX('CAT_ESTADOS_ERP'!$B$4:$B$22,MATCH(IFERROR(INDEX('2_IMPORTAR_EJECUCION'!$C$9:$C$1208,MATCH($AU479,'2_IMPORTAR_EJECUCION'!$J$9:$J$1208,0)),""),'CAT_ESTADOS_ERP'!$A$4:$A$22,0)),"Pendiente"))</f>
        <v/>
      </c>
      <c r="O479" s="24">
        <f>IF($J479="","",YEAR($J479+4-WEEKDAY($J479,2))&amp;"-S"&amp;TEXT(_xlfn.ISOWEEKNUM($J479),"00"))</f>
        <v/>
      </c>
      <c r="P479" s="24">
        <f>IF($J479="","",YEAR($J479))</f>
        <v/>
      </c>
      <c r="Q479" s="24">
        <f>IF($J479="","",MONTH($J479))</f>
        <v/>
      </c>
      <c r="R479" s="24">
        <f>IF($J479="","",$P479&amp;"-"&amp;TEXT($Q479,"00"))</f>
        <v/>
      </c>
      <c r="S479" s="24">
        <f>IF($J479="","",INDEX(lista_dias,WEEKDAY($J479,2)))</f>
        <v/>
      </c>
      <c r="T479" s="24">
        <f>IF($J479="","",IFERROR(INDEX('CALENDARIO'!$C$15:$C$214,MATCH(TEXT($J479,"yyyy-mm-dd")&amp;"|"&amp;$Y479&amp;"|"&amp;$Z479,'CALENDARIO'!$G$15:$G$214,0)),IFERROR(INDEX('CALENDARIO'!$C$15:$C$214,MATCH(TEXT($J479,"yyyy-mm-dd")&amp;"|"&amp;$Y479&amp;"|",'CALENDARIO'!$G$15:$G$214,0)),IFERROR(INDEX('CALENDARIO'!$C$15:$C$214,MATCH(TEXT($J479,"yyyy-mm-dd")&amp;"||",'CALENDARIO'!$G$15:$G$214,0)),INDEX(patronHabil,WEEKDAY($J479,2))))))</f>
        <v/>
      </c>
      <c r="U479" s="24">
        <f>IF($I479="","",IFERROR(INDEX('CAT_TIPOS_OT'!$C$4:$C$23,MATCH($I479,'CAT_TIPOS_OT'!$A$4:$A$23,0)),"sin_clasificar"))</f>
        <v/>
      </c>
      <c r="V479" s="24">
        <f>IF($I479="","",IF(IFERROR(INDEX('CAT_TIPOS_OT'!$D$4:$D$23,MATCH($I479,'CAT_TIPOS_OT'!$A$4:$A$23,0)),"SIN CLASIFICAR")="","SIN CLASIFICAR",IFERROR(INDEX('CAT_TIPOS_OT'!$D$4:$D$23,MATCH($I479,'CAT_TIPOS_OT'!$A$4:$A$23,0)),"SIN CLASIFICAR")))</f>
        <v/>
      </c>
      <c r="W479" s="24">
        <f>IF($H479="","",IF(IFERROR(INDEX('CAT_ACTIVIDADES'!$F$4:$F$26,MATCH($H479,'CAT_ACTIVIDADES'!$A$4:$A$26,0)),"")=0,"",IFERROR(INDEX('CAT_ACTIVIDADES'!$F$4:$F$26,MATCH($H479,'CAT_ACTIVIDADES'!$A$4:$A$26,0)),"")))</f>
        <v/>
      </c>
      <c r="X479" s="24">
        <f>IF($F479="","",IFERROR(INDEX('CAT_CENTROS_COSTO'!$F$4:$F$28,MATCH($F479,'CAT_CENTROS_COSTO'!$A$4:$A$28,0)),"(sin catálogo)"))</f>
        <v/>
      </c>
      <c r="Y479" s="24">
        <f>IF($F479="","",IFERROR(INDEX('CAT_CENTROS_COSTO'!$D$4:$D$28,MATCH($F479,'CAT_CENTROS_COSTO'!$A$4:$A$28,0)),"(sin catálogo)"))</f>
        <v/>
      </c>
      <c r="Z479" s="24">
        <f>IF($F479="","",IF((IFERROR(INDEX('CAT_CENTROS_COSTO'!$E$4:$E$28,MATCH($F479,'CAT_CENTROS_COSTO'!$A$4:$A$28,0)),""))&lt;&gt;"",IFERROR(INDEX('CAT_CENTROS_COSTO'!$E$4:$E$28,MATCH($F479,'CAT_CENTROS_COSTO'!$A$4:$A$28,0)),""),$Y479))</f>
        <v/>
      </c>
      <c r="AA479" s="24">
        <f>IF($F479="","",IFERROR(INDEX('CAT_CENTROS_COSTO'!$G$4:$G$28,MATCH($F479,'CAT_CENTROS_COSTO'!$A$4:$A$28,0)),"(sin catálogo)"))</f>
        <v/>
      </c>
      <c r="AB479" s="24">
        <f>IF($G479="","",IFERROR(INDEX('CAT_PUESTOS'!$B$4:$B$23,MATCH($G479,'CAT_PUESTOS'!$A$4:$A$23,0)),"(sin catálogo)"))</f>
        <v/>
      </c>
      <c r="AC479" s="24">
        <f>IF($H479="","",IFERROR(INDEX('CAT_ACTIVIDADES'!$B$4:$B$26,MATCH($H479,'CAT_ACTIVIDADES'!$A$4:$A$26,0)),"(sin catálogo)"))</f>
        <v/>
      </c>
      <c r="AD479" s="26">
        <f>IF($J479="","",TODAY()-$J479)</f>
        <v/>
      </c>
      <c r="AE479" s="26">
        <f>IF($J479="","",IF($J479&lt;=TODAY(),COUNTIFS(cal_fechas,"&gt;="&amp;$J479,cal_fechas,"&lt;"&amp;TODAY(),cal_habil,"sí"),-COUNTIFS(cal_fechas,"&gt;="&amp;TODAY(),cal_fechas,"&lt;"&amp;$J479,cal_habil,"sí")))</f>
        <v/>
      </c>
      <c r="AF479" s="24">
        <f>IF($AE479="","",IF($AE479&lt;0,"FUTURO",IF($AE479&gt;p_dias_backlog_max,"BACKLOG","MES CORRIENTE")))</f>
        <v/>
      </c>
      <c r="AG479" s="24">
        <f>IF($AE479="",FALSE,AND($AE479&gt;p_dias_backlog_min,$AE479&lt;=p_dias_backlog_max))</f>
        <v/>
      </c>
      <c r="AH479" s="4" t="n"/>
      <c r="AI479" s="24">
        <f>IF($AH479="","",IF((IFERROR(INDEX('ASIGNACIONES'!$J$4:$J$451,MATCH($O479&amp;"|"&amp;$S479&amp;"|"&amp;$AH479,'ASIGNACIONES'!$N$4:$N$451,0)),""))=0,"",IFERROR(INDEX('ASIGNACIONES'!$J$4:$J$451,MATCH($O479&amp;"|"&amp;$S479&amp;"|"&amp;$AH479,'ASIGNACIONES'!$N$4:$N$451,0)),"")))</f>
        <v/>
      </c>
      <c r="AJ479" s="42">
        <f>IF($AH479="","",SUMIFS('ORDENES'!$M$4:$M$1203,'ORDENES'!$AH$4:$AH$1203,$AH479,'ORDENES'!$O$4:$O$1203,$O479,'ORDENES'!$S$4:$S$1203,$S479))</f>
        <v/>
      </c>
      <c r="AK479" s="42">
        <f>IF($AJ479="","",p_factor_productividad*IFERROR(INDEX('ASIGNACIONES'!$M$4:$M$451,MATCH($O479&amp;"|"&amp;$S479&amp;"|"&amp;$AH479,'ASIGNACIONES'!$N$4:$N$451,0)),0)-$AJ479)</f>
        <v/>
      </c>
      <c r="AL479" s="32">
        <f>IF($A479="","",IFERROR(INDEX('2_IMPORTAR_EJECUCION'!$F$9:$F$1208,MATCH($AU479,'2_IMPORTAR_EJECUCION'!$J$9:$J$1208,0)),0))</f>
        <v/>
      </c>
      <c r="AM479" s="32">
        <f>IF($A479="","",MAX(0,IFERROR(INDEX('2_IMPORTAR_EJECUCION'!$H$9:$H$1208,MATCH($AU479,'2_IMPORTAR_EJECUCION'!$J$9:$J$1208,0)),0)-$AL479))</f>
        <v/>
      </c>
      <c r="AN479" s="32">
        <f>IF($A479="","",$AL479+$AM479)</f>
        <v/>
      </c>
      <c r="AO479" s="24">
        <f>IF($A479="","",IF(OR((IFERROR(INDEX('CAT_ACTIVIDADES'!$D$4:$D$26,MATCH($H479,'CAT_ACTIVIDADES'!$A$4:$A$26,0)),""))=0,(IFERROR(INDEX('CAT_ACTIVIDADES'!$D$4:$D$26,MATCH($H479,'CAT_ACTIVIDADES'!$A$4:$A$26,0)),""))=""),"SIN CLASIFICAR",IFERROR(INDEX('CAT_ACTIVIDADES'!$D$4:$D$26,MATCH($H479,'CAT_ACTIVIDADES'!$A$4:$A$26,0)),"")))</f>
        <v/>
      </c>
      <c r="AP479" s="4" t="n"/>
      <c r="AQ479" s="4" t="n"/>
      <c r="AR479" s="4" t="n"/>
      <c r="AS479" s="24">
        <f>IF($AR479="","",HYPERLINK(p_ruta_base_checklists&amp;$AR479,"abrir"))</f>
        <v/>
      </c>
      <c r="AT479" s="4" t="n"/>
      <c r="AU479" s="24">
        <f>IF($A479="","",$A479&amp;IF($B479="","0010",$B479))</f>
        <v/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41" t="n"/>
      <c r="K480" s="5" t="n"/>
      <c r="L480" s="18" t="n"/>
      <c r="M480" s="24">
        <f>IF($A480="","",IFERROR(INDEX('AJUSTES'!$B$4:$B$303,MATCH($AU480,'AJUSTES'!$A$4:$A$303,0)),IF($K480="","",$K480)))</f>
        <v/>
      </c>
      <c r="N480" s="24">
        <f>IF($A480="","",IFERROR(INDEX('CAT_ESTADOS_ERP'!$B$4:$B$22,MATCH(IFERROR(INDEX('2_IMPORTAR_EJECUCION'!$C$9:$C$1208,MATCH($AU480,'2_IMPORTAR_EJECUCION'!$J$9:$J$1208,0)),""),'CAT_ESTADOS_ERP'!$A$4:$A$22,0)),"Pendiente"))</f>
        <v/>
      </c>
      <c r="O480" s="24">
        <f>IF($J480="","",YEAR($J480+4-WEEKDAY($J480,2))&amp;"-S"&amp;TEXT(_xlfn.ISOWEEKNUM($J480),"00"))</f>
        <v/>
      </c>
      <c r="P480" s="24">
        <f>IF($J480="","",YEAR($J480))</f>
        <v/>
      </c>
      <c r="Q480" s="24">
        <f>IF($J480="","",MONTH($J480))</f>
        <v/>
      </c>
      <c r="R480" s="24">
        <f>IF($J480="","",$P480&amp;"-"&amp;TEXT($Q480,"00"))</f>
        <v/>
      </c>
      <c r="S480" s="24">
        <f>IF($J480="","",INDEX(lista_dias,WEEKDAY($J480,2)))</f>
        <v/>
      </c>
      <c r="T480" s="24">
        <f>IF($J480="","",IFERROR(INDEX('CALENDARIO'!$C$15:$C$214,MATCH(TEXT($J480,"yyyy-mm-dd")&amp;"|"&amp;$Y480&amp;"|"&amp;$Z480,'CALENDARIO'!$G$15:$G$214,0)),IFERROR(INDEX('CALENDARIO'!$C$15:$C$214,MATCH(TEXT($J480,"yyyy-mm-dd")&amp;"|"&amp;$Y480&amp;"|",'CALENDARIO'!$G$15:$G$214,0)),IFERROR(INDEX('CALENDARIO'!$C$15:$C$214,MATCH(TEXT($J480,"yyyy-mm-dd")&amp;"||",'CALENDARIO'!$G$15:$G$214,0)),INDEX(patronHabil,WEEKDAY($J480,2))))))</f>
        <v/>
      </c>
      <c r="U480" s="24">
        <f>IF($I480="","",IFERROR(INDEX('CAT_TIPOS_OT'!$C$4:$C$23,MATCH($I480,'CAT_TIPOS_OT'!$A$4:$A$23,0)),"sin_clasificar"))</f>
        <v/>
      </c>
      <c r="V480" s="24">
        <f>IF($I480="","",IF(IFERROR(INDEX('CAT_TIPOS_OT'!$D$4:$D$23,MATCH($I480,'CAT_TIPOS_OT'!$A$4:$A$23,0)),"SIN CLASIFICAR")="","SIN CLASIFICAR",IFERROR(INDEX('CAT_TIPOS_OT'!$D$4:$D$23,MATCH($I480,'CAT_TIPOS_OT'!$A$4:$A$23,0)),"SIN CLASIFICAR")))</f>
        <v/>
      </c>
      <c r="W480" s="24">
        <f>IF($H480="","",IF(IFERROR(INDEX('CAT_ACTIVIDADES'!$F$4:$F$26,MATCH($H480,'CAT_ACTIVIDADES'!$A$4:$A$26,0)),"")=0,"",IFERROR(INDEX('CAT_ACTIVIDADES'!$F$4:$F$26,MATCH($H480,'CAT_ACTIVIDADES'!$A$4:$A$26,0)),"")))</f>
        <v/>
      </c>
      <c r="X480" s="24">
        <f>IF($F480="","",IFERROR(INDEX('CAT_CENTROS_COSTO'!$F$4:$F$28,MATCH($F480,'CAT_CENTROS_COSTO'!$A$4:$A$28,0)),"(sin catálogo)"))</f>
        <v/>
      </c>
      <c r="Y480" s="24">
        <f>IF($F480="","",IFERROR(INDEX('CAT_CENTROS_COSTO'!$D$4:$D$28,MATCH($F480,'CAT_CENTROS_COSTO'!$A$4:$A$28,0)),"(sin catálogo)"))</f>
        <v/>
      </c>
      <c r="Z480" s="24">
        <f>IF($F480="","",IF((IFERROR(INDEX('CAT_CENTROS_COSTO'!$E$4:$E$28,MATCH($F480,'CAT_CENTROS_COSTO'!$A$4:$A$28,0)),""))&lt;&gt;"",IFERROR(INDEX('CAT_CENTROS_COSTO'!$E$4:$E$28,MATCH($F480,'CAT_CENTROS_COSTO'!$A$4:$A$28,0)),""),$Y480))</f>
        <v/>
      </c>
      <c r="AA480" s="24">
        <f>IF($F480="","",IFERROR(INDEX('CAT_CENTROS_COSTO'!$G$4:$G$28,MATCH($F480,'CAT_CENTROS_COSTO'!$A$4:$A$28,0)),"(sin catálogo)"))</f>
        <v/>
      </c>
      <c r="AB480" s="24">
        <f>IF($G480="","",IFERROR(INDEX('CAT_PUESTOS'!$B$4:$B$23,MATCH($G480,'CAT_PUESTOS'!$A$4:$A$23,0)),"(sin catálogo)"))</f>
        <v/>
      </c>
      <c r="AC480" s="24">
        <f>IF($H480="","",IFERROR(INDEX('CAT_ACTIVIDADES'!$B$4:$B$26,MATCH($H480,'CAT_ACTIVIDADES'!$A$4:$A$26,0)),"(sin catálogo)"))</f>
        <v/>
      </c>
      <c r="AD480" s="26">
        <f>IF($J480="","",TODAY()-$J480)</f>
        <v/>
      </c>
      <c r="AE480" s="26">
        <f>IF($J480="","",IF($J480&lt;=TODAY(),COUNTIFS(cal_fechas,"&gt;="&amp;$J480,cal_fechas,"&lt;"&amp;TODAY(),cal_habil,"sí"),-COUNTIFS(cal_fechas,"&gt;="&amp;TODAY(),cal_fechas,"&lt;"&amp;$J480,cal_habil,"sí")))</f>
        <v/>
      </c>
      <c r="AF480" s="24">
        <f>IF($AE480="","",IF($AE480&lt;0,"FUTURO",IF($AE480&gt;p_dias_backlog_max,"BACKLOG","MES CORRIENTE")))</f>
        <v/>
      </c>
      <c r="AG480" s="24">
        <f>IF($AE480="",FALSE,AND($AE480&gt;p_dias_backlog_min,$AE480&lt;=p_dias_backlog_max))</f>
        <v/>
      </c>
      <c r="AH480" s="4" t="n"/>
      <c r="AI480" s="24">
        <f>IF($AH480="","",IF((IFERROR(INDEX('ASIGNACIONES'!$J$4:$J$451,MATCH($O480&amp;"|"&amp;$S480&amp;"|"&amp;$AH480,'ASIGNACIONES'!$N$4:$N$451,0)),""))=0,"",IFERROR(INDEX('ASIGNACIONES'!$J$4:$J$451,MATCH($O480&amp;"|"&amp;$S480&amp;"|"&amp;$AH480,'ASIGNACIONES'!$N$4:$N$451,0)),"")))</f>
        <v/>
      </c>
      <c r="AJ480" s="42">
        <f>IF($AH480="","",SUMIFS('ORDENES'!$M$4:$M$1203,'ORDENES'!$AH$4:$AH$1203,$AH480,'ORDENES'!$O$4:$O$1203,$O480,'ORDENES'!$S$4:$S$1203,$S480))</f>
        <v/>
      </c>
      <c r="AK480" s="42">
        <f>IF($AJ480="","",p_factor_productividad*IFERROR(INDEX('ASIGNACIONES'!$M$4:$M$451,MATCH($O480&amp;"|"&amp;$S480&amp;"|"&amp;$AH480,'ASIGNACIONES'!$N$4:$N$451,0)),0)-$AJ480)</f>
        <v/>
      </c>
      <c r="AL480" s="32">
        <f>IF($A480="","",IFERROR(INDEX('2_IMPORTAR_EJECUCION'!$F$9:$F$1208,MATCH($AU480,'2_IMPORTAR_EJECUCION'!$J$9:$J$1208,0)),0))</f>
        <v/>
      </c>
      <c r="AM480" s="32">
        <f>IF($A480="","",MAX(0,IFERROR(INDEX('2_IMPORTAR_EJECUCION'!$H$9:$H$1208,MATCH($AU480,'2_IMPORTAR_EJECUCION'!$J$9:$J$1208,0)),0)-$AL480))</f>
        <v/>
      </c>
      <c r="AN480" s="32">
        <f>IF($A480="","",$AL480+$AM480)</f>
        <v/>
      </c>
      <c r="AO480" s="24">
        <f>IF($A480="","",IF(OR((IFERROR(INDEX('CAT_ACTIVIDADES'!$D$4:$D$26,MATCH($H480,'CAT_ACTIVIDADES'!$A$4:$A$26,0)),""))=0,(IFERROR(INDEX('CAT_ACTIVIDADES'!$D$4:$D$26,MATCH($H480,'CAT_ACTIVIDADES'!$A$4:$A$26,0)),""))=""),"SIN CLASIFICAR",IFERROR(INDEX('CAT_ACTIVIDADES'!$D$4:$D$26,MATCH($H480,'CAT_ACTIVIDADES'!$A$4:$A$26,0)),"")))</f>
        <v/>
      </c>
      <c r="AP480" s="4" t="n"/>
      <c r="AQ480" s="4" t="n"/>
      <c r="AR480" s="4" t="n"/>
      <c r="AS480" s="24">
        <f>IF($AR480="","",HYPERLINK(p_ruta_base_checklists&amp;$AR480,"abrir"))</f>
        <v/>
      </c>
      <c r="AT480" s="4" t="n"/>
      <c r="AU480" s="24">
        <f>IF($A480="","",$A480&amp;IF($B480="","0010",$B480))</f>
        <v/>
      </c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41" t="n"/>
      <c r="K481" s="5" t="n"/>
      <c r="L481" s="18" t="n"/>
      <c r="M481" s="24">
        <f>IF($A481="","",IFERROR(INDEX('AJUSTES'!$B$4:$B$303,MATCH($AU481,'AJUSTES'!$A$4:$A$303,0)),IF($K481="","",$K481)))</f>
        <v/>
      </c>
      <c r="N481" s="24">
        <f>IF($A481="","",IFERROR(INDEX('CAT_ESTADOS_ERP'!$B$4:$B$22,MATCH(IFERROR(INDEX('2_IMPORTAR_EJECUCION'!$C$9:$C$1208,MATCH($AU481,'2_IMPORTAR_EJECUCION'!$J$9:$J$1208,0)),""),'CAT_ESTADOS_ERP'!$A$4:$A$22,0)),"Pendiente"))</f>
        <v/>
      </c>
      <c r="O481" s="24">
        <f>IF($J481="","",YEAR($J481+4-WEEKDAY($J481,2))&amp;"-S"&amp;TEXT(_xlfn.ISOWEEKNUM($J481),"00"))</f>
        <v/>
      </c>
      <c r="P481" s="24">
        <f>IF($J481="","",YEAR($J481))</f>
        <v/>
      </c>
      <c r="Q481" s="24">
        <f>IF($J481="","",MONTH($J481))</f>
        <v/>
      </c>
      <c r="R481" s="24">
        <f>IF($J481="","",$P481&amp;"-"&amp;TEXT($Q481,"00"))</f>
        <v/>
      </c>
      <c r="S481" s="24">
        <f>IF($J481="","",INDEX(lista_dias,WEEKDAY($J481,2)))</f>
        <v/>
      </c>
      <c r="T481" s="24">
        <f>IF($J481="","",IFERROR(INDEX('CALENDARIO'!$C$15:$C$214,MATCH(TEXT($J481,"yyyy-mm-dd")&amp;"|"&amp;$Y481&amp;"|"&amp;$Z481,'CALENDARIO'!$G$15:$G$214,0)),IFERROR(INDEX('CALENDARIO'!$C$15:$C$214,MATCH(TEXT($J481,"yyyy-mm-dd")&amp;"|"&amp;$Y481&amp;"|",'CALENDARIO'!$G$15:$G$214,0)),IFERROR(INDEX('CALENDARIO'!$C$15:$C$214,MATCH(TEXT($J481,"yyyy-mm-dd")&amp;"||",'CALENDARIO'!$G$15:$G$214,0)),INDEX(patronHabil,WEEKDAY($J481,2))))))</f>
        <v/>
      </c>
      <c r="U481" s="24">
        <f>IF($I481="","",IFERROR(INDEX('CAT_TIPOS_OT'!$C$4:$C$23,MATCH($I481,'CAT_TIPOS_OT'!$A$4:$A$23,0)),"sin_clasificar"))</f>
        <v/>
      </c>
      <c r="V481" s="24">
        <f>IF($I481="","",IF(IFERROR(INDEX('CAT_TIPOS_OT'!$D$4:$D$23,MATCH($I481,'CAT_TIPOS_OT'!$A$4:$A$23,0)),"SIN CLASIFICAR")="","SIN CLASIFICAR",IFERROR(INDEX('CAT_TIPOS_OT'!$D$4:$D$23,MATCH($I481,'CAT_TIPOS_OT'!$A$4:$A$23,0)),"SIN CLASIFICAR")))</f>
        <v/>
      </c>
      <c r="W481" s="24">
        <f>IF($H481="","",IF(IFERROR(INDEX('CAT_ACTIVIDADES'!$F$4:$F$26,MATCH($H481,'CAT_ACTIVIDADES'!$A$4:$A$26,0)),"")=0,"",IFERROR(INDEX('CAT_ACTIVIDADES'!$F$4:$F$26,MATCH($H481,'CAT_ACTIVIDADES'!$A$4:$A$26,0)),"")))</f>
        <v/>
      </c>
      <c r="X481" s="24">
        <f>IF($F481="","",IFERROR(INDEX('CAT_CENTROS_COSTO'!$F$4:$F$28,MATCH($F481,'CAT_CENTROS_COSTO'!$A$4:$A$28,0)),"(sin catálogo)"))</f>
        <v/>
      </c>
      <c r="Y481" s="24">
        <f>IF($F481="","",IFERROR(INDEX('CAT_CENTROS_COSTO'!$D$4:$D$28,MATCH($F481,'CAT_CENTROS_COSTO'!$A$4:$A$28,0)),"(sin catálogo)"))</f>
        <v/>
      </c>
      <c r="Z481" s="24">
        <f>IF($F481="","",IF((IFERROR(INDEX('CAT_CENTROS_COSTO'!$E$4:$E$28,MATCH($F481,'CAT_CENTROS_COSTO'!$A$4:$A$28,0)),""))&lt;&gt;"",IFERROR(INDEX('CAT_CENTROS_COSTO'!$E$4:$E$28,MATCH($F481,'CAT_CENTROS_COSTO'!$A$4:$A$28,0)),""),$Y481))</f>
        <v/>
      </c>
      <c r="AA481" s="24">
        <f>IF($F481="","",IFERROR(INDEX('CAT_CENTROS_COSTO'!$G$4:$G$28,MATCH($F481,'CAT_CENTROS_COSTO'!$A$4:$A$28,0)),"(sin catálogo)"))</f>
        <v/>
      </c>
      <c r="AB481" s="24">
        <f>IF($G481="","",IFERROR(INDEX('CAT_PUESTOS'!$B$4:$B$23,MATCH($G481,'CAT_PUESTOS'!$A$4:$A$23,0)),"(sin catálogo)"))</f>
        <v/>
      </c>
      <c r="AC481" s="24">
        <f>IF($H481="","",IFERROR(INDEX('CAT_ACTIVIDADES'!$B$4:$B$26,MATCH($H481,'CAT_ACTIVIDADES'!$A$4:$A$26,0)),"(sin catálogo)"))</f>
        <v/>
      </c>
      <c r="AD481" s="26">
        <f>IF($J481="","",TODAY()-$J481)</f>
        <v/>
      </c>
      <c r="AE481" s="26">
        <f>IF($J481="","",IF($J481&lt;=TODAY(),COUNTIFS(cal_fechas,"&gt;="&amp;$J481,cal_fechas,"&lt;"&amp;TODAY(),cal_habil,"sí"),-COUNTIFS(cal_fechas,"&gt;="&amp;TODAY(),cal_fechas,"&lt;"&amp;$J481,cal_habil,"sí")))</f>
        <v/>
      </c>
      <c r="AF481" s="24">
        <f>IF($AE481="","",IF($AE481&lt;0,"FUTURO",IF($AE481&gt;p_dias_backlog_max,"BACKLOG","MES CORRIENTE")))</f>
        <v/>
      </c>
      <c r="AG481" s="24">
        <f>IF($AE481="",FALSE,AND($AE481&gt;p_dias_backlog_min,$AE481&lt;=p_dias_backlog_max))</f>
        <v/>
      </c>
      <c r="AH481" s="4" t="n"/>
      <c r="AI481" s="24">
        <f>IF($AH481="","",IF((IFERROR(INDEX('ASIGNACIONES'!$J$4:$J$451,MATCH($O481&amp;"|"&amp;$S481&amp;"|"&amp;$AH481,'ASIGNACIONES'!$N$4:$N$451,0)),""))=0,"",IFERROR(INDEX('ASIGNACIONES'!$J$4:$J$451,MATCH($O481&amp;"|"&amp;$S481&amp;"|"&amp;$AH481,'ASIGNACIONES'!$N$4:$N$451,0)),"")))</f>
        <v/>
      </c>
      <c r="AJ481" s="42">
        <f>IF($AH481="","",SUMIFS('ORDENES'!$M$4:$M$1203,'ORDENES'!$AH$4:$AH$1203,$AH481,'ORDENES'!$O$4:$O$1203,$O481,'ORDENES'!$S$4:$S$1203,$S481))</f>
        <v/>
      </c>
      <c r="AK481" s="42">
        <f>IF($AJ481="","",p_factor_productividad*IFERROR(INDEX('ASIGNACIONES'!$M$4:$M$451,MATCH($O481&amp;"|"&amp;$S481&amp;"|"&amp;$AH481,'ASIGNACIONES'!$N$4:$N$451,0)),0)-$AJ481)</f>
        <v/>
      </c>
      <c r="AL481" s="32">
        <f>IF($A481="","",IFERROR(INDEX('2_IMPORTAR_EJECUCION'!$F$9:$F$1208,MATCH($AU481,'2_IMPORTAR_EJECUCION'!$J$9:$J$1208,0)),0))</f>
        <v/>
      </c>
      <c r="AM481" s="32">
        <f>IF($A481="","",MAX(0,IFERROR(INDEX('2_IMPORTAR_EJECUCION'!$H$9:$H$1208,MATCH($AU481,'2_IMPORTAR_EJECUCION'!$J$9:$J$1208,0)),0)-$AL481))</f>
        <v/>
      </c>
      <c r="AN481" s="32">
        <f>IF($A481="","",$AL481+$AM481)</f>
        <v/>
      </c>
      <c r="AO481" s="24">
        <f>IF($A481="","",IF(OR((IFERROR(INDEX('CAT_ACTIVIDADES'!$D$4:$D$26,MATCH($H481,'CAT_ACTIVIDADES'!$A$4:$A$26,0)),""))=0,(IFERROR(INDEX('CAT_ACTIVIDADES'!$D$4:$D$26,MATCH($H481,'CAT_ACTIVIDADES'!$A$4:$A$26,0)),""))=""),"SIN CLASIFICAR",IFERROR(INDEX('CAT_ACTIVIDADES'!$D$4:$D$26,MATCH($H481,'CAT_ACTIVIDADES'!$A$4:$A$26,0)),"")))</f>
        <v/>
      </c>
      <c r="AP481" s="4" t="n"/>
      <c r="AQ481" s="4" t="n"/>
      <c r="AR481" s="4" t="n"/>
      <c r="AS481" s="24">
        <f>IF($AR481="","",HYPERLINK(p_ruta_base_checklists&amp;$AR481,"abrir"))</f>
        <v/>
      </c>
      <c r="AT481" s="4" t="n"/>
      <c r="AU481" s="24">
        <f>IF($A481="","",$A481&amp;IF($B481="","0010",$B481))</f>
        <v/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41" t="n"/>
      <c r="K482" s="5" t="n"/>
      <c r="L482" s="18" t="n"/>
      <c r="M482" s="24">
        <f>IF($A482="","",IFERROR(INDEX('AJUSTES'!$B$4:$B$303,MATCH($AU482,'AJUSTES'!$A$4:$A$303,0)),IF($K482="","",$K482)))</f>
        <v/>
      </c>
      <c r="N482" s="24">
        <f>IF($A482="","",IFERROR(INDEX('CAT_ESTADOS_ERP'!$B$4:$B$22,MATCH(IFERROR(INDEX('2_IMPORTAR_EJECUCION'!$C$9:$C$1208,MATCH($AU482,'2_IMPORTAR_EJECUCION'!$J$9:$J$1208,0)),""),'CAT_ESTADOS_ERP'!$A$4:$A$22,0)),"Pendiente"))</f>
        <v/>
      </c>
      <c r="O482" s="24">
        <f>IF($J482="","",YEAR($J482+4-WEEKDAY($J482,2))&amp;"-S"&amp;TEXT(_xlfn.ISOWEEKNUM($J482),"00"))</f>
        <v/>
      </c>
      <c r="P482" s="24">
        <f>IF($J482="","",YEAR($J482))</f>
        <v/>
      </c>
      <c r="Q482" s="24">
        <f>IF($J482="","",MONTH($J482))</f>
        <v/>
      </c>
      <c r="R482" s="24">
        <f>IF($J482="","",$P482&amp;"-"&amp;TEXT($Q482,"00"))</f>
        <v/>
      </c>
      <c r="S482" s="24">
        <f>IF($J482="","",INDEX(lista_dias,WEEKDAY($J482,2)))</f>
        <v/>
      </c>
      <c r="T482" s="24">
        <f>IF($J482="","",IFERROR(INDEX('CALENDARIO'!$C$15:$C$214,MATCH(TEXT($J482,"yyyy-mm-dd")&amp;"|"&amp;$Y482&amp;"|"&amp;$Z482,'CALENDARIO'!$G$15:$G$214,0)),IFERROR(INDEX('CALENDARIO'!$C$15:$C$214,MATCH(TEXT($J482,"yyyy-mm-dd")&amp;"|"&amp;$Y482&amp;"|",'CALENDARIO'!$G$15:$G$214,0)),IFERROR(INDEX('CALENDARIO'!$C$15:$C$214,MATCH(TEXT($J482,"yyyy-mm-dd")&amp;"||",'CALENDARIO'!$G$15:$G$214,0)),INDEX(patronHabil,WEEKDAY($J482,2))))))</f>
        <v/>
      </c>
      <c r="U482" s="24">
        <f>IF($I482="","",IFERROR(INDEX('CAT_TIPOS_OT'!$C$4:$C$23,MATCH($I482,'CAT_TIPOS_OT'!$A$4:$A$23,0)),"sin_clasificar"))</f>
        <v/>
      </c>
      <c r="V482" s="24">
        <f>IF($I482="","",IF(IFERROR(INDEX('CAT_TIPOS_OT'!$D$4:$D$23,MATCH($I482,'CAT_TIPOS_OT'!$A$4:$A$23,0)),"SIN CLASIFICAR")="","SIN CLASIFICAR",IFERROR(INDEX('CAT_TIPOS_OT'!$D$4:$D$23,MATCH($I482,'CAT_TIPOS_OT'!$A$4:$A$23,0)),"SIN CLASIFICAR")))</f>
        <v/>
      </c>
      <c r="W482" s="24">
        <f>IF($H482="","",IF(IFERROR(INDEX('CAT_ACTIVIDADES'!$F$4:$F$26,MATCH($H482,'CAT_ACTIVIDADES'!$A$4:$A$26,0)),"")=0,"",IFERROR(INDEX('CAT_ACTIVIDADES'!$F$4:$F$26,MATCH($H482,'CAT_ACTIVIDADES'!$A$4:$A$26,0)),"")))</f>
        <v/>
      </c>
      <c r="X482" s="24">
        <f>IF($F482="","",IFERROR(INDEX('CAT_CENTROS_COSTO'!$F$4:$F$28,MATCH($F482,'CAT_CENTROS_COSTO'!$A$4:$A$28,0)),"(sin catálogo)"))</f>
        <v/>
      </c>
      <c r="Y482" s="24">
        <f>IF($F482="","",IFERROR(INDEX('CAT_CENTROS_COSTO'!$D$4:$D$28,MATCH($F482,'CAT_CENTROS_COSTO'!$A$4:$A$28,0)),"(sin catálogo)"))</f>
        <v/>
      </c>
      <c r="Z482" s="24">
        <f>IF($F482="","",IF((IFERROR(INDEX('CAT_CENTROS_COSTO'!$E$4:$E$28,MATCH($F482,'CAT_CENTROS_COSTO'!$A$4:$A$28,0)),""))&lt;&gt;"",IFERROR(INDEX('CAT_CENTROS_COSTO'!$E$4:$E$28,MATCH($F482,'CAT_CENTROS_COSTO'!$A$4:$A$28,0)),""),$Y482))</f>
        <v/>
      </c>
      <c r="AA482" s="24">
        <f>IF($F482="","",IFERROR(INDEX('CAT_CENTROS_COSTO'!$G$4:$G$28,MATCH($F482,'CAT_CENTROS_COSTO'!$A$4:$A$28,0)),"(sin catálogo)"))</f>
        <v/>
      </c>
      <c r="AB482" s="24">
        <f>IF($G482="","",IFERROR(INDEX('CAT_PUESTOS'!$B$4:$B$23,MATCH($G482,'CAT_PUESTOS'!$A$4:$A$23,0)),"(sin catálogo)"))</f>
        <v/>
      </c>
      <c r="AC482" s="24">
        <f>IF($H482="","",IFERROR(INDEX('CAT_ACTIVIDADES'!$B$4:$B$26,MATCH($H482,'CAT_ACTIVIDADES'!$A$4:$A$26,0)),"(sin catálogo)"))</f>
        <v/>
      </c>
      <c r="AD482" s="26">
        <f>IF($J482="","",TODAY()-$J482)</f>
        <v/>
      </c>
      <c r="AE482" s="26">
        <f>IF($J482="","",IF($J482&lt;=TODAY(),COUNTIFS(cal_fechas,"&gt;="&amp;$J482,cal_fechas,"&lt;"&amp;TODAY(),cal_habil,"sí"),-COUNTIFS(cal_fechas,"&gt;="&amp;TODAY(),cal_fechas,"&lt;"&amp;$J482,cal_habil,"sí")))</f>
        <v/>
      </c>
      <c r="AF482" s="24">
        <f>IF($AE482="","",IF($AE482&lt;0,"FUTURO",IF($AE482&gt;p_dias_backlog_max,"BACKLOG","MES CORRIENTE")))</f>
        <v/>
      </c>
      <c r="AG482" s="24">
        <f>IF($AE482="",FALSE,AND($AE482&gt;p_dias_backlog_min,$AE482&lt;=p_dias_backlog_max))</f>
        <v/>
      </c>
      <c r="AH482" s="4" t="n"/>
      <c r="AI482" s="24">
        <f>IF($AH482="","",IF((IFERROR(INDEX('ASIGNACIONES'!$J$4:$J$451,MATCH($O482&amp;"|"&amp;$S482&amp;"|"&amp;$AH482,'ASIGNACIONES'!$N$4:$N$451,0)),""))=0,"",IFERROR(INDEX('ASIGNACIONES'!$J$4:$J$451,MATCH($O482&amp;"|"&amp;$S482&amp;"|"&amp;$AH482,'ASIGNACIONES'!$N$4:$N$451,0)),"")))</f>
        <v/>
      </c>
      <c r="AJ482" s="42">
        <f>IF($AH482="","",SUMIFS('ORDENES'!$M$4:$M$1203,'ORDENES'!$AH$4:$AH$1203,$AH482,'ORDENES'!$O$4:$O$1203,$O482,'ORDENES'!$S$4:$S$1203,$S482))</f>
        <v/>
      </c>
      <c r="AK482" s="42">
        <f>IF($AJ482="","",p_factor_productividad*IFERROR(INDEX('ASIGNACIONES'!$M$4:$M$451,MATCH($O482&amp;"|"&amp;$S482&amp;"|"&amp;$AH482,'ASIGNACIONES'!$N$4:$N$451,0)),0)-$AJ482)</f>
        <v/>
      </c>
      <c r="AL482" s="32">
        <f>IF($A482="","",IFERROR(INDEX('2_IMPORTAR_EJECUCION'!$F$9:$F$1208,MATCH($AU482,'2_IMPORTAR_EJECUCION'!$J$9:$J$1208,0)),0))</f>
        <v/>
      </c>
      <c r="AM482" s="32">
        <f>IF($A482="","",MAX(0,IFERROR(INDEX('2_IMPORTAR_EJECUCION'!$H$9:$H$1208,MATCH($AU482,'2_IMPORTAR_EJECUCION'!$J$9:$J$1208,0)),0)-$AL482))</f>
        <v/>
      </c>
      <c r="AN482" s="32">
        <f>IF($A482="","",$AL482+$AM482)</f>
        <v/>
      </c>
      <c r="AO482" s="24">
        <f>IF($A482="","",IF(OR((IFERROR(INDEX('CAT_ACTIVIDADES'!$D$4:$D$26,MATCH($H482,'CAT_ACTIVIDADES'!$A$4:$A$26,0)),""))=0,(IFERROR(INDEX('CAT_ACTIVIDADES'!$D$4:$D$26,MATCH($H482,'CAT_ACTIVIDADES'!$A$4:$A$26,0)),""))=""),"SIN CLASIFICAR",IFERROR(INDEX('CAT_ACTIVIDADES'!$D$4:$D$26,MATCH($H482,'CAT_ACTIVIDADES'!$A$4:$A$26,0)),"")))</f>
        <v/>
      </c>
      <c r="AP482" s="4" t="n"/>
      <c r="AQ482" s="4" t="n"/>
      <c r="AR482" s="4" t="n"/>
      <c r="AS482" s="24">
        <f>IF($AR482="","",HYPERLINK(p_ruta_base_checklists&amp;$AR482,"abrir"))</f>
        <v/>
      </c>
      <c r="AT482" s="4" t="n"/>
      <c r="AU482" s="24">
        <f>IF($A482="","",$A482&amp;IF($B482="","0010",$B482))</f>
        <v/>
      </c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41" t="n"/>
      <c r="K483" s="5" t="n"/>
      <c r="L483" s="18" t="n"/>
      <c r="M483" s="24">
        <f>IF($A483="","",IFERROR(INDEX('AJUSTES'!$B$4:$B$303,MATCH($AU483,'AJUSTES'!$A$4:$A$303,0)),IF($K483="","",$K483)))</f>
        <v/>
      </c>
      <c r="N483" s="24">
        <f>IF($A483="","",IFERROR(INDEX('CAT_ESTADOS_ERP'!$B$4:$B$22,MATCH(IFERROR(INDEX('2_IMPORTAR_EJECUCION'!$C$9:$C$1208,MATCH($AU483,'2_IMPORTAR_EJECUCION'!$J$9:$J$1208,0)),""),'CAT_ESTADOS_ERP'!$A$4:$A$22,0)),"Pendiente"))</f>
        <v/>
      </c>
      <c r="O483" s="24">
        <f>IF($J483="","",YEAR($J483+4-WEEKDAY($J483,2))&amp;"-S"&amp;TEXT(_xlfn.ISOWEEKNUM($J483),"00"))</f>
        <v/>
      </c>
      <c r="P483" s="24">
        <f>IF($J483="","",YEAR($J483))</f>
        <v/>
      </c>
      <c r="Q483" s="24">
        <f>IF($J483="","",MONTH($J483))</f>
        <v/>
      </c>
      <c r="R483" s="24">
        <f>IF($J483="","",$P483&amp;"-"&amp;TEXT($Q483,"00"))</f>
        <v/>
      </c>
      <c r="S483" s="24">
        <f>IF($J483="","",INDEX(lista_dias,WEEKDAY($J483,2)))</f>
        <v/>
      </c>
      <c r="T483" s="24">
        <f>IF($J483="","",IFERROR(INDEX('CALENDARIO'!$C$15:$C$214,MATCH(TEXT($J483,"yyyy-mm-dd")&amp;"|"&amp;$Y483&amp;"|"&amp;$Z483,'CALENDARIO'!$G$15:$G$214,0)),IFERROR(INDEX('CALENDARIO'!$C$15:$C$214,MATCH(TEXT($J483,"yyyy-mm-dd")&amp;"|"&amp;$Y483&amp;"|",'CALENDARIO'!$G$15:$G$214,0)),IFERROR(INDEX('CALENDARIO'!$C$15:$C$214,MATCH(TEXT($J483,"yyyy-mm-dd")&amp;"||",'CALENDARIO'!$G$15:$G$214,0)),INDEX(patronHabil,WEEKDAY($J483,2))))))</f>
        <v/>
      </c>
      <c r="U483" s="24">
        <f>IF($I483="","",IFERROR(INDEX('CAT_TIPOS_OT'!$C$4:$C$23,MATCH($I483,'CAT_TIPOS_OT'!$A$4:$A$23,0)),"sin_clasificar"))</f>
        <v/>
      </c>
      <c r="V483" s="24">
        <f>IF($I483="","",IF(IFERROR(INDEX('CAT_TIPOS_OT'!$D$4:$D$23,MATCH($I483,'CAT_TIPOS_OT'!$A$4:$A$23,0)),"SIN CLASIFICAR")="","SIN CLASIFICAR",IFERROR(INDEX('CAT_TIPOS_OT'!$D$4:$D$23,MATCH($I483,'CAT_TIPOS_OT'!$A$4:$A$23,0)),"SIN CLASIFICAR")))</f>
        <v/>
      </c>
      <c r="W483" s="24">
        <f>IF($H483="","",IF(IFERROR(INDEX('CAT_ACTIVIDADES'!$F$4:$F$26,MATCH($H483,'CAT_ACTIVIDADES'!$A$4:$A$26,0)),"")=0,"",IFERROR(INDEX('CAT_ACTIVIDADES'!$F$4:$F$26,MATCH($H483,'CAT_ACTIVIDADES'!$A$4:$A$26,0)),"")))</f>
        <v/>
      </c>
      <c r="X483" s="24">
        <f>IF($F483="","",IFERROR(INDEX('CAT_CENTROS_COSTO'!$F$4:$F$28,MATCH($F483,'CAT_CENTROS_COSTO'!$A$4:$A$28,0)),"(sin catálogo)"))</f>
        <v/>
      </c>
      <c r="Y483" s="24">
        <f>IF($F483="","",IFERROR(INDEX('CAT_CENTROS_COSTO'!$D$4:$D$28,MATCH($F483,'CAT_CENTROS_COSTO'!$A$4:$A$28,0)),"(sin catálogo)"))</f>
        <v/>
      </c>
      <c r="Z483" s="24">
        <f>IF($F483="","",IF((IFERROR(INDEX('CAT_CENTROS_COSTO'!$E$4:$E$28,MATCH($F483,'CAT_CENTROS_COSTO'!$A$4:$A$28,0)),""))&lt;&gt;"",IFERROR(INDEX('CAT_CENTROS_COSTO'!$E$4:$E$28,MATCH($F483,'CAT_CENTROS_COSTO'!$A$4:$A$28,0)),""),$Y483))</f>
        <v/>
      </c>
      <c r="AA483" s="24">
        <f>IF($F483="","",IFERROR(INDEX('CAT_CENTROS_COSTO'!$G$4:$G$28,MATCH($F483,'CAT_CENTROS_COSTO'!$A$4:$A$28,0)),"(sin catálogo)"))</f>
        <v/>
      </c>
      <c r="AB483" s="24">
        <f>IF($G483="","",IFERROR(INDEX('CAT_PUESTOS'!$B$4:$B$23,MATCH($G483,'CAT_PUESTOS'!$A$4:$A$23,0)),"(sin catálogo)"))</f>
        <v/>
      </c>
      <c r="AC483" s="24">
        <f>IF($H483="","",IFERROR(INDEX('CAT_ACTIVIDADES'!$B$4:$B$26,MATCH($H483,'CAT_ACTIVIDADES'!$A$4:$A$26,0)),"(sin catálogo)"))</f>
        <v/>
      </c>
      <c r="AD483" s="26">
        <f>IF($J483="","",TODAY()-$J483)</f>
        <v/>
      </c>
      <c r="AE483" s="26">
        <f>IF($J483="","",IF($J483&lt;=TODAY(),COUNTIFS(cal_fechas,"&gt;="&amp;$J483,cal_fechas,"&lt;"&amp;TODAY(),cal_habil,"sí"),-COUNTIFS(cal_fechas,"&gt;="&amp;TODAY(),cal_fechas,"&lt;"&amp;$J483,cal_habil,"sí")))</f>
        <v/>
      </c>
      <c r="AF483" s="24">
        <f>IF($AE483="","",IF($AE483&lt;0,"FUTURO",IF($AE483&gt;p_dias_backlog_max,"BACKLOG","MES CORRIENTE")))</f>
        <v/>
      </c>
      <c r="AG483" s="24">
        <f>IF($AE483="",FALSE,AND($AE483&gt;p_dias_backlog_min,$AE483&lt;=p_dias_backlog_max))</f>
        <v/>
      </c>
      <c r="AH483" s="4" t="n"/>
      <c r="AI483" s="24">
        <f>IF($AH483="","",IF((IFERROR(INDEX('ASIGNACIONES'!$J$4:$J$451,MATCH($O483&amp;"|"&amp;$S483&amp;"|"&amp;$AH483,'ASIGNACIONES'!$N$4:$N$451,0)),""))=0,"",IFERROR(INDEX('ASIGNACIONES'!$J$4:$J$451,MATCH($O483&amp;"|"&amp;$S483&amp;"|"&amp;$AH483,'ASIGNACIONES'!$N$4:$N$451,0)),"")))</f>
        <v/>
      </c>
      <c r="AJ483" s="42">
        <f>IF($AH483="","",SUMIFS('ORDENES'!$M$4:$M$1203,'ORDENES'!$AH$4:$AH$1203,$AH483,'ORDENES'!$O$4:$O$1203,$O483,'ORDENES'!$S$4:$S$1203,$S483))</f>
        <v/>
      </c>
      <c r="AK483" s="42">
        <f>IF($AJ483="","",p_factor_productividad*IFERROR(INDEX('ASIGNACIONES'!$M$4:$M$451,MATCH($O483&amp;"|"&amp;$S483&amp;"|"&amp;$AH483,'ASIGNACIONES'!$N$4:$N$451,0)),0)-$AJ483)</f>
        <v/>
      </c>
      <c r="AL483" s="32">
        <f>IF($A483="","",IFERROR(INDEX('2_IMPORTAR_EJECUCION'!$F$9:$F$1208,MATCH($AU483,'2_IMPORTAR_EJECUCION'!$J$9:$J$1208,0)),0))</f>
        <v/>
      </c>
      <c r="AM483" s="32">
        <f>IF($A483="","",MAX(0,IFERROR(INDEX('2_IMPORTAR_EJECUCION'!$H$9:$H$1208,MATCH($AU483,'2_IMPORTAR_EJECUCION'!$J$9:$J$1208,0)),0)-$AL483))</f>
        <v/>
      </c>
      <c r="AN483" s="32">
        <f>IF($A483="","",$AL483+$AM483)</f>
        <v/>
      </c>
      <c r="AO483" s="24">
        <f>IF($A483="","",IF(OR((IFERROR(INDEX('CAT_ACTIVIDADES'!$D$4:$D$26,MATCH($H483,'CAT_ACTIVIDADES'!$A$4:$A$26,0)),""))=0,(IFERROR(INDEX('CAT_ACTIVIDADES'!$D$4:$D$26,MATCH($H483,'CAT_ACTIVIDADES'!$A$4:$A$26,0)),""))=""),"SIN CLASIFICAR",IFERROR(INDEX('CAT_ACTIVIDADES'!$D$4:$D$26,MATCH($H483,'CAT_ACTIVIDADES'!$A$4:$A$26,0)),"")))</f>
        <v/>
      </c>
      <c r="AP483" s="4" t="n"/>
      <c r="AQ483" s="4" t="n"/>
      <c r="AR483" s="4" t="n"/>
      <c r="AS483" s="24">
        <f>IF($AR483="","",HYPERLINK(p_ruta_base_checklists&amp;$AR483,"abrir"))</f>
        <v/>
      </c>
      <c r="AT483" s="4" t="n"/>
      <c r="AU483" s="24">
        <f>IF($A483="","",$A483&amp;IF($B483="","0010",$B483))</f>
        <v/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41" t="n"/>
      <c r="K484" s="5" t="n"/>
      <c r="L484" s="18" t="n"/>
      <c r="M484" s="24">
        <f>IF($A484="","",IFERROR(INDEX('AJUSTES'!$B$4:$B$303,MATCH($AU484,'AJUSTES'!$A$4:$A$303,0)),IF($K484="","",$K484)))</f>
        <v/>
      </c>
      <c r="N484" s="24">
        <f>IF($A484="","",IFERROR(INDEX('CAT_ESTADOS_ERP'!$B$4:$B$22,MATCH(IFERROR(INDEX('2_IMPORTAR_EJECUCION'!$C$9:$C$1208,MATCH($AU484,'2_IMPORTAR_EJECUCION'!$J$9:$J$1208,0)),""),'CAT_ESTADOS_ERP'!$A$4:$A$22,0)),"Pendiente"))</f>
        <v/>
      </c>
      <c r="O484" s="24">
        <f>IF($J484="","",YEAR($J484+4-WEEKDAY($J484,2))&amp;"-S"&amp;TEXT(_xlfn.ISOWEEKNUM($J484),"00"))</f>
        <v/>
      </c>
      <c r="P484" s="24">
        <f>IF($J484="","",YEAR($J484))</f>
        <v/>
      </c>
      <c r="Q484" s="24">
        <f>IF($J484="","",MONTH($J484))</f>
        <v/>
      </c>
      <c r="R484" s="24">
        <f>IF($J484="","",$P484&amp;"-"&amp;TEXT($Q484,"00"))</f>
        <v/>
      </c>
      <c r="S484" s="24">
        <f>IF($J484="","",INDEX(lista_dias,WEEKDAY($J484,2)))</f>
        <v/>
      </c>
      <c r="T484" s="24">
        <f>IF($J484="","",IFERROR(INDEX('CALENDARIO'!$C$15:$C$214,MATCH(TEXT($J484,"yyyy-mm-dd")&amp;"|"&amp;$Y484&amp;"|"&amp;$Z484,'CALENDARIO'!$G$15:$G$214,0)),IFERROR(INDEX('CALENDARIO'!$C$15:$C$214,MATCH(TEXT($J484,"yyyy-mm-dd")&amp;"|"&amp;$Y484&amp;"|",'CALENDARIO'!$G$15:$G$214,0)),IFERROR(INDEX('CALENDARIO'!$C$15:$C$214,MATCH(TEXT($J484,"yyyy-mm-dd")&amp;"||",'CALENDARIO'!$G$15:$G$214,0)),INDEX(patronHabil,WEEKDAY($J484,2))))))</f>
        <v/>
      </c>
      <c r="U484" s="24">
        <f>IF($I484="","",IFERROR(INDEX('CAT_TIPOS_OT'!$C$4:$C$23,MATCH($I484,'CAT_TIPOS_OT'!$A$4:$A$23,0)),"sin_clasificar"))</f>
        <v/>
      </c>
      <c r="V484" s="24">
        <f>IF($I484="","",IF(IFERROR(INDEX('CAT_TIPOS_OT'!$D$4:$D$23,MATCH($I484,'CAT_TIPOS_OT'!$A$4:$A$23,0)),"SIN CLASIFICAR")="","SIN CLASIFICAR",IFERROR(INDEX('CAT_TIPOS_OT'!$D$4:$D$23,MATCH($I484,'CAT_TIPOS_OT'!$A$4:$A$23,0)),"SIN CLASIFICAR")))</f>
        <v/>
      </c>
      <c r="W484" s="24">
        <f>IF($H484="","",IF(IFERROR(INDEX('CAT_ACTIVIDADES'!$F$4:$F$26,MATCH($H484,'CAT_ACTIVIDADES'!$A$4:$A$26,0)),"")=0,"",IFERROR(INDEX('CAT_ACTIVIDADES'!$F$4:$F$26,MATCH($H484,'CAT_ACTIVIDADES'!$A$4:$A$26,0)),"")))</f>
        <v/>
      </c>
      <c r="X484" s="24">
        <f>IF($F484="","",IFERROR(INDEX('CAT_CENTROS_COSTO'!$F$4:$F$28,MATCH($F484,'CAT_CENTROS_COSTO'!$A$4:$A$28,0)),"(sin catálogo)"))</f>
        <v/>
      </c>
      <c r="Y484" s="24">
        <f>IF($F484="","",IFERROR(INDEX('CAT_CENTROS_COSTO'!$D$4:$D$28,MATCH($F484,'CAT_CENTROS_COSTO'!$A$4:$A$28,0)),"(sin catálogo)"))</f>
        <v/>
      </c>
      <c r="Z484" s="24">
        <f>IF($F484="","",IF((IFERROR(INDEX('CAT_CENTROS_COSTO'!$E$4:$E$28,MATCH($F484,'CAT_CENTROS_COSTO'!$A$4:$A$28,0)),""))&lt;&gt;"",IFERROR(INDEX('CAT_CENTROS_COSTO'!$E$4:$E$28,MATCH($F484,'CAT_CENTROS_COSTO'!$A$4:$A$28,0)),""),$Y484))</f>
        <v/>
      </c>
      <c r="AA484" s="24">
        <f>IF($F484="","",IFERROR(INDEX('CAT_CENTROS_COSTO'!$G$4:$G$28,MATCH($F484,'CAT_CENTROS_COSTO'!$A$4:$A$28,0)),"(sin catálogo)"))</f>
        <v/>
      </c>
      <c r="AB484" s="24">
        <f>IF($G484="","",IFERROR(INDEX('CAT_PUESTOS'!$B$4:$B$23,MATCH($G484,'CAT_PUESTOS'!$A$4:$A$23,0)),"(sin catálogo)"))</f>
        <v/>
      </c>
      <c r="AC484" s="24">
        <f>IF($H484="","",IFERROR(INDEX('CAT_ACTIVIDADES'!$B$4:$B$26,MATCH($H484,'CAT_ACTIVIDADES'!$A$4:$A$26,0)),"(sin catálogo)"))</f>
        <v/>
      </c>
      <c r="AD484" s="26">
        <f>IF($J484="","",TODAY()-$J484)</f>
        <v/>
      </c>
      <c r="AE484" s="26">
        <f>IF($J484="","",IF($J484&lt;=TODAY(),COUNTIFS(cal_fechas,"&gt;="&amp;$J484,cal_fechas,"&lt;"&amp;TODAY(),cal_habil,"sí"),-COUNTIFS(cal_fechas,"&gt;="&amp;TODAY(),cal_fechas,"&lt;"&amp;$J484,cal_habil,"sí")))</f>
        <v/>
      </c>
      <c r="AF484" s="24">
        <f>IF($AE484="","",IF($AE484&lt;0,"FUTURO",IF($AE484&gt;p_dias_backlog_max,"BACKLOG","MES CORRIENTE")))</f>
        <v/>
      </c>
      <c r="AG484" s="24">
        <f>IF($AE484="",FALSE,AND($AE484&gt;p_dias_backlog_min,$AE484&lt;=p_dias_backlog_max))</f>
        <v/>
      </c>
      <c r="AH484" s="4" t="n"/>
      <c r="AI484" s="24">
        <f>IF($AH484="","",IF((IFERROR(INDEX('ASIGNACIONES'!$J$4:$J$451,MATCH($O484&amp;"|"&amp;$S484&amp;"|"&amp;$AH484,'ASIGNACIONES'!$N$4:$N$451,0)),""))=0,"",IFERROR(INDEX('ASIGNACIONES'!$J$4:$J$451,MATCH($O484&amp;"|"&amp;$S484&amp;"|"&amp;$AH484,'ASIGNACIONES'!$N$4:$N$451,0)),"")))</f>
        <v/>
      </c>
      <c r="AJ484" s="42">
        <f>IF($AH484="","",SUMIFS('ORDENES'!$M$4:$M$1203,'ORDENES'!$AH$4:$AH$1203,$AH484,'ORDENES'!$O$4:$O$1203,$O484,'ORDENES'!$S$4:$S$1203,$S484))</f>
        <v/>
      </c>
      <c r="AK484" s="42">
        <f>IF($AJ484="","",p_factor_productividad*IFERROR(INDEX('ASIGNACIONES'!$M$4:$M$451,MATCH($O484&amp;"|"&amp;$S484&amp;"|"&amp;$AH484,'ASIGNACIONES'!$N$4:$N$451,0)),0)-$AJ484)</f>
        <v/>
      </c>
      <c r="AL484" s="32">
        <f>IF($A484="","",IFERROR(INDEX('2_IMPORTAR_EJECUCION'!$F$9:$F$1208,MATCH($AU484,'2_IMPORTAR_EJECUCION'!$J$9:$J$1208,0)),0))</f>
        <v/>
      </c>
      <c r="AM484" s="32">
        <f>IF($A484="","",MAX(0,IFERROR(INDEX('2_IMPORTAR_EJECUCION'!$H$9:$H$1208,MATCH($AU484,'2_IMPORTAR_EJECUCION'!$J$9:$J$1208,0)),0)-$AL484))</f>
        <v/>
      </c>
      <c r="AN484" s="32">
        <f>IF($A484="","",$AL484+$AM484)</f>
        <v/>
      </c>
      <c r="AO484" s="24">
        <f>IF($A484="","",IF(OR((IFERROR(INDEX('CAT_ACTIVIDADES'!$D$4:$D$26,MATCH($H484,'CAT_ACTIVIDADES'!$A$4:$A$26,0)),""))=0,(IFERROR(INDEX('CAT_ACTIVIDADES'!$D$4:$D$26,MATCH($H484,'CAT_ACTIVIDADES'!$A$4:$A$26,0)),""))=""),"SIN CLASIFICAR",IFERROR(INDEX('CAT_ACTIVIDADES'!$D$4:$D$26,MATCH($H484,'CAT_ACTIVIDADES'!$A$4:$A$26,0)),"")))</f>
        <v/>
      </c>
      <c r="AP484" s="4" t="n"/>
      <c r="AQ484" s="4" t="n"/>
      <c r="AR484" s="4" t="n"/>
      <c r="AS484" s="24">
        <f>IF($AR484="","",HYPERLINK(p_ruta_base_checklists&amp;$AR484,"abrir"))</f>
        <v/>
      </c>
      <c r="AT484" s="4" t="n"/>
      <c r="AU484" s="24">
        <f>IF($A484="","",$A484&amp;IF($B484="","0010",$B484))</f>
        <v/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41" t="n"/>
      <c r="K485" s="5" t="n"/>
      <c r="L485" s="18" t="n"/>
      <c r="M485" s="24">
        <f>IF($A485="","",IFERROR(INDEX('AJUSTES'!$B$4:$B$303,MATCH($AU485,'AJUSTES'!$A$4:$A$303,0)),IF($K485="","",$K485)))</f>
        <v/>
      </c>
      <c r="N485" s="24">
        <f>IF($A485="","",IFERROR(INDEX('CAT_ESTADOS_ERP'!$B$4:$B$22,MATCH(IFERROR(INDEX('2_IMPORTAR_EJECUCION'!$C$9:$C$1208,MATCH($AU485,'2_IMPORTAR_EJECUCION'!$J$9:$J$1208,0)),""),'CAT_ESTADOS_ERP'!$A$4:$A$22,0)),"Pendiente"))</f>
        <v/>
      </c>
      <c r="O485" s="24">
        <f>IF($J485="","",YEAR($J485+4-WEEKDAY($J485,2))&amp;"-S"&amp;TEXT(_xlfn.ISOWEEKNUM($J485),"00"))</f>
        <v/>
      </c>
      <c r="P485" s="24">
        <f>IF($J485="","",YEAR($J485))</f>
        <v/>
      </c>
      <c r="Q485" s="24">
        <f>IF($J485="","",MONTH($J485))</f>
        <v/>
      </c>
      <c r="R485" s="24">
        <f>IF($J485="","",$P485&amp;"-"&amp;TEXT($Q485,"00"))</f>
        <v/>
      </c>
      <c r="S485" s="24">
        <f>IF($J485="","",INDEX(lista_dias,WEEKDAY($J485,2)))</f>
        <v/>
      </c>
      <c r="T485" s="24">
        <f>IF($J485="","",IFERROR(INDEX('CALENDARIO'!$C$15:$C$214,MATCH(TEXT($J485,"yyyy-mm-dd")&amp;"|"&amp;$Y485&amp;"|"&amp;$Z485,'CALENDARIO'!$G$15:$G$214,0)),IFERROR(INDEX('CALENDARIO'!$C$15:$C$214,MATCH(TEXT($J485,"yyyy-mm-dd")&amp;"|"&amp;$Y485&amp;"|",'CALENDARIO'!$G$15:$G$214,0)),IFERROR(INDEX('CALENDARIO'!$C$15:$C$214,MATCH(TEXT($J485,"yyyy-mm-dd")&amp;"||",'CALENDARIO'!$G$15:$G$214,0)),INDEX(patronHabil,WEEKDAY($J485,2))))))</f>
        <v/>
      </c>
      <c r="U485" s="24">
        <f>IF($I485="","",IFERROR(INDEX('CAT_TIPOS_OT'!$C$4:$C$23,MATCH($I485,'CAT_TIPOS_OT'!$A$4:$A$23,0)),"sin_clasificar"))</f>
        <v/>
      </c>
      <c r="V485" s="24">
        <f>IF($I485="","",IF(IFERROR(INDEX('CAT_TIPOS_OT'!$D$4:$D$23,MATCH($I485,'CAT_TIPOS_OT'!$A$4:$A$23,0)),"SIN CLASIFICAR")="","SIN CLASIFICAR",IFERROR(INDEX('CAT_TIPOS_OT'!$D$4:$D$23,MATCH($I485,'CAT_TIPOS_OT'!$A$4:$A$23,0)),"SIN CLASIFICAR")))</f>
        <v/>
      </c>
      <c r="W485" s="24">
        <f>IF($H485="","",IF(IFERROR(INDEX('CAT_ACTIVIDADES'!$F$4:$F$26,MATCH($H485,'CAT_ACTIVIDADES'!$A$4:$A$26,0)),"")=0,"",IFERROR(INDEX('CAT_ACTIVIDADES'!$F$4:$F$26,MATCH($H485,'CAT_ACTIVIDADES'!$A$4:$A$26,0)),"")))</f>
        <v/>
      </c>
      <c r="X485" s="24">
        <f>IF($F485="","",IFERROR(INDEX('CAT_CENTROS_COSTO'!$F$4:$F$28,MATCH($F485,'CAT_CENTROS_COSTO'!$A$4:$A$28,0)),"(sin catálogo)"))</f>
        <v/>
      </c>
      <c r="Y485" s="24">
        <f>IF($F485="","",IFERROR(INDEX('CAT_CENTROS_COSTO'!$D$4:$D$28,MATCH($F485,'CAT_CENTROS_COSTO'!$A$4:$A$28,0)),"(sin catálogo)"))</f>
        <v/>
      </c>
      <c r="Z485" s="24">
        <f>IF($F485="","",IF((IFERROR(INDEX('CAT_CENTROS_COSTO'!$E$4:$E$28,MATCH($F485,'CAT_CENTROS_COSTO'!$A$4:$A$28,0)),""))&lt;&gt;"",IFERROR(INDEX('CAT_CENTROS_COSTO'!$E$4:$E$28,MATCH($F485,'CAT_CENTROS_COSTO'!$A$4:$A$28,0)),""),$Y485))</f>
        <v/>
      </c>
      <c r="AA485" s="24">
        <f>IF($F485="","",IFERROR(INDEX('CAT_CENTROS_COSTO'!$G$4:$G$28,MATCH($F485,'CAT_CENTROS_COSTO'!$A$4:$A$28,0)),"(sin catálogo)"))</f>
        <v/>
      </c>
      <c r="AB485" s="24">
        <f>IF($G485="","",IFERROR(INDEX('CAT_PUESTOS'!$B$4:$B$23,MATCH($G485,'CAT_PUESTOS'!$A$4:$A$23,0)),"(sin catálogo)"))</f>
        <v/>
      </c>
      <c r="AC485" s="24">
        <f>IF($H485="","",IFERROR(INDEX('CAT_ACTIVIDADES'!$B$4:$B$26,MATCH($H485,'CAT_ACTIVIDADES'!$A$4:$A$26,0)),"(sin catálogo)"))</f>
        <v/>
      </c>
      <c r="AD485" s="26">
        <f>IF($J485="","",TODAY()-$J485)</f>
        <v/>
      </c>
      <c r="AE485" s="26">
        <f>IF($J485="","",IF($J485&lt;=TODAY(),COUNTIFS(cal_fechas,"&gt;="&amp;$J485,cal_fechas,"&lt;"&amp;TODAY(),cal_habil,"sí"),-COUNTIFS(cal_fechas,"&gt;="&amp;TODAY(),cal_fechas,"&lt;"&amp;$J485,cal_habil,"sí")))</f>
        <v/>
      </c>
      <c r="AF485" s="24">
        <f>IF($AE485="","",IF($AE485&lt;0,"FUTURO",IF($AE485&gt;p_dias_backlog_max,"BACKLOG","MES CORRIENTE")))</f>
        <v/>
      </c>
      <c r="AG485" s="24">
        <f>IF($AE485="",FALSE,AND($AE485&gt;p_dias_backlog_min,$AE485&lt;=p_dias_backlog_max))</f>
        <v/>
      </c>
      <c r="AH485" s="4" t="n"/>
      <c r="AI485" s="24">
        <f>IF($AH485="","",IF((IFERROR(INDEX('ASIGNACIONES'!$J$4:$J$451,MATCH($O485&amp;"|"&amp;$S485&amp;"|"&amp;$AH485,'ASIGNACIONES'!$N$4:$N$451,0)),""))=0,"",IFERROR(INDEX('ASIGNACIONES'!$J$4:$J$451,MATCH($O485&amp;"|"&amp;$S485&amp;"|"&amp;$AH485,'ASIGNACIONES'!$N$4:$N$451,0)),"")))</f>
        <v/>
      </c>
      <c r="AJ485" s="42">
        <f>IF($AH485="","",SUMIFS('ORDENES'!$M$4:$M$1203,'ORDENES'!$AH$4:$AH$1203,$AH485,'ORDENES'!$O$4:$O$1203,$O485,'ORDENES'!$S$4:$S$1203,$S485))</f>
        <v/>
      </c>
      <c r="AK485" s="42">
        <f>IF($AJ485="","",p_factor_productividad*IFERROR(INDEX('ASIGNACIONES'!$M$4:$M$451,MATCH($O485&amp;"|"&amp;$S485&amp;"|"&amp;$AH485,'ASIGNACIONES'!$N$4:$N$451,0)),0)-$AJ485)</f>
        <v/>
      </c>
      <c r="AL485" s="32">
        <f>IF($A485="","",IFERROR(INDEX('2_IMPORTAR_EJECUCION'!$F$9:$F$1208,MATCH($AU485,'2_IMPORTAR_EJECUCION'!$J$9:$J$1208,0)),0))</f>
        <v/>
      </c>
      <c r="AM485" s="32">
        <f>IF($A485="","",MAX(0,IFERROR(INDEX('2_IMPORTAR_EJECUCION'!$H$9:$H$1208,MATCH($AU485,'2_IMPORTAR_EJECUCION'!$J$9:$J$1208,0)),0)-$AL485))</f>
        <v/>
      </c>
      <c r="AN485" s="32">
        <f>IF($A485="","",$AL485+$AM485)</f>
        <v/>
      </c>
      <c r="AO485" s="24">
        <f>IF($A485="","",IF(OR((IFERROR(INDEX('CAT_ACTIVIDADES'!$D$4:$D$26,MATCH($H485,'CAT_ACTIVIDADES'!$A$4:$A$26,0)),""))=0,(IFERROR(INDEX('CAT_ACTIVIDADES'!$D$4:$D$26,MATCH($H485,'CAT_ACTIVIDADES'!$A$4:$A$26,0)),""))=""),"SIN CLASIFICAR",IFERROR(INDEX('CAT_ACTIVIDADES'!$D$4:$D$26,MATCH($H485,'CAT_ACTIVIDADES'!$A$4:$A$26,0)),"")))</f>
        <v/>
      </c>
      <c r="AP485" s="4" t="n"/>
      <c r="AQ485" s="4" t="n"/>
      <c r="AR485" s="4" t="n"/>
      <c r="AS485" s="24">
        <f>IF($AR485="","",HYPERLINK(p_ruta_base_checklists&amp;$AR485,"abrir"))</f>
        <v/>
      </c>
      <c r="AT485" s="4" t="n"/>
      <c r="AU485" s="24">
        <f>IF($A485="","",$A485&amp;IF($B485="","0010",$B485))</f>
        <v/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41" t="n"/>
      <c r="K486" s="5" t="n"/>
      <c r="L486" s="18" t="n"/>
      <c r="M486" s="24">
        <f>IF($A486="","",IFERROR(INDEX('AJUSTES'!$B$4:$B$303,MATCH($AU486,'AJUSTES'!$A$4:$A$303,0)),IF($K486="","",$K486)))</f>
        <v/>
      </c>
      <c r="N486" s="24">
        <f>IF($A486="","",IFERROR(INDEX('CAT_ESTADOS_ERP'!$B$4:$B$22,MATCH(IFERROR(INDEX('2_IMPORTAR_EJECUCION'!$C$9:$C$1208,MATCH($AU486,'2_IMPORTAR_EJECUCION'!$J$9:$J$1208,0)),""),'CAT_ESTADOS_ERP'!$A$4:$A$22,0)),"Pendiente"))</f>
        <v/>
      </c>
      <c r="O486" s="24">
        <f>IF($J486="","",YEAR($J486+4-WEEKDAY($J486,2))&amp;"-S"&amp;TEXT(_xlfn.ISOWEEKNUM($J486),"00"))</f>
        <v/>
      </c>
      <c r="P486" s="24">
        <f>IF($J486="","",YEAR($J486))</f>
        <v/>
      </c>
      <c r="Q486" s="24">
        <f>IF($J486="","",MONTH($J486))</f>
        <v/>
      </c>
      <c r="R486" s="24">
        <f>IF($J486="","",$P486&amp;"-"&amp;TEXT($Q486,"00"))</f>
        <v/>
      </c>
      <c r="S486" s="24">
        <f>IF($J486="","",INDEX(lista_dias,WEEKDAY($J486,2)))</f>
        <v/>
      </c>
      <c r="T486" s="24">
        <f>IF($J486="","",IFERROR(INDEX('CALENDARIO'!$C$15:$C$214,MATCH(TEXT($J486,"yyyy-mm-dd")&amp;"|"&amp;$Y486&amp;"|"&amp;$Z486,'CALENDARIO'!$G$15:$G$214,0)),IFERROR(INDEX('CALENDARIO'!$C$15:$C$214,MATCH(TEXT($J486,"yyyy-mm-dd")&amp;"|"&amp;$Y486&amp;"|",'CALENDARIO'!$G$15:$G$214,0)),IFERROR(INDEX('CALENDARIO'!$C$15:$C$214,MATCH(TEXT($J486,"yyyy-mm-dd")&amp;"||",'CALENDARIO'!$G$15:$G$214,0)),INDEX(patronHabil,WEEKDAY($J486,2))))))</f>
        <v/>
      </c>
      <c r="U486" s="24">
        <f>IF($I486="","",IFERROR(INDEX('CAT_TIPOS_OT'!$C$4:$C$23,MATCH($I486,'CAT_TIPOS_OT'!$A$4:$A$23,0)),"sin_clasificar"))</f>
        <v/>
      </c>
      <c r="V486" s="24">
        <f>IF($I486="","",IF(IFERROR(INDEX('CAT_TIPOS_OT'!$D$4:$D$23,MATCH($I486,'CAT_TIPOS_OT'!$A$4:$A$23,0)),"SIN CLASIFICAR")="","SIN CLASIFICAR",IFERROR(INDEX('CAT_TIPOS_OT'!$D$4:$D$23,MATCH($I486,'CAT_TIPOS_OT'!$A$4:$A$23,0)),"SIN CLASIFICAR")))</f>
        <v/>
      </c>
      <c r="W486" s="24">
        <f>IF($H486="","",IF(IFERROR(INDEX('CAT_ACTIVIDADES'!$F$4:$F$26,MATCH($H486,'CAT_ACTIVIDADES'!$A$4:$A$26,0)),"")=0,"",IFERROR(INDEX('CAT_ACTIVIDADES'!$F$4:$F$26,MATCH($H486,'CAT_ACTIVIDADES'!$A$4:$A$26,0)),"")))</f>
        <v/>
      </c>
      <c r="X486" s="24">
        <f>IF($F486="","",IFERROR(INDEX('CAT_CENTROS_COSTO'!$F$4:$F$28,MATCH($F486,'CAT_CENTROS_COSTO'!$A$4:$A$28,0)),"(sin catálogo)"))</f>
        <v/>
      </c>
      <c r="Y486" s="24">
        <f>IF($F486="","",IFERROR(INDEX('CAT_CENTROS_COSTO'!$D$4:$D$28,MATCH($F486,'CAT_CENTROS_COSTO'!$A$4:$A$28,0)),"(sin catálogo)"))</f>
        <v/>
      </c>
      <c r="Z486" s="24">
        <f>IF($F486="","",IF((IFERROR(INDEX('CAT_CENTROS_COSTO'!$E$4:$E$28,MATCH($F486,'CAT_CENTROS_COSTO'!$A$4:$A$28,0)),""))&lt;&gt;"",IFERROR(INDEX('CAT_CENTROS_COSTO'!$E$4:$E$28,MATCH($F486,'CAT_CENTROS_COSTO'!$A$4:$A$28,0)),""),$Y486))</f>
        <v/>
      </c>
      <c r="AA486" s="24">
        <f>IF($F486="","",IFERROR(INDEX('CAT_CENTROS_COSTO'!$G$4:$G$28,MATCH($F486,'CAT_CENTROS_COSTO'!$A$4:$A$28,0)),"(sin catálogo)"))</f>
        <v/>
      </c>
      <c r="AB486" s="24">
        <f>IF($G486="","",IFERROR(INDEX('CAT_PUESTOS'!$B$4:$B$23,MATCH($G486,'CAT_PUESTOS'!$A$4:$A$23,0)),"(sin catálogo)"))</f>
        <v/>
      </c>
      <c r="AC486" s="24">
        <f>IF($H486="","",IFERROR(INDEX('CAT_ACTIVIDADES'!$B$4:$B$26,MATCH($H486,'CAT_ACTIVIDADES'!$A$4:$A$26,0)),"(sin catálogo)"))</f>
        <v/>
      </c>
      <c r="AD486" s="26">
        <f>IF($J486="","",TODAY()-$J486)</f>
        <v/>
      </c>
      <c r="AE486" s="26">
        <f>IF($J486="","",IF($J486&lt;=TODAY(),COUNTIFS(cal_fechas,"&gt;="&amp;$J486,cal_fechas,"&lt;"&amp;TODAY(),cal_habil,"sí"),-COUNTIFS(cal_fechas,"&gt;="&amp;TODAY(),cal_fechas,"&lt;"&amp;$J486,cal_habil,"sí")))</f>
        <v/>
      </c>
      <c r="AF486" s="24">
        <f>IF($AE486="","",IF($AE486&lt;0,"FUTURO",IF($AE486&gt;p_dias_backlog_max,"BACKLOG","MES CORRIENTE")))</f>
        <v/>
      </c>
      <c r="AG486" s="24">
        <f>IF($AE486="",FALSE,AND($AE486&gt;p_dias_backlog_min,$AE486&lt;=p_dias_backlog_max))</f>
        <v/>
      </c>
      <c r="AH486" s="4" t="n"/>
      <c r="AI486" s="24">
        <f>IF($AH486="","",IF((IFERROR(INDEX('ASIGNACIONES'!$J$4:$J$451,MATCH($O486&amp;"|"&amp;$S486&amp;"|"&amp;$AH486,'ASIGNACIONES'!$N$4:$N$451,0)),""))=0,"",IFERROR(INDEX('ASIGNACIONES'!$J$4:$J$451,MATCH($O486&amp;"|"&amp;$S486&amp;"|"&amp;$AH486,'ASIGNACIONES'!$N$4:$N$451,0)),"")))</f>
        <v/>
      </c>
      <c r="AJ486" s="42">
        <f>IF($AH486="","",SUMIFS('ORDENES'!$M$4:$M$1203,'ORDENES'!$AH$4:$AH$1203,$AH486,'ORDENES'!$O$4:$O$1203,$O486,'ORDENES'!$S$4:$S$1203,$S486))</f>
        <v/>
      </c>
      <c r="AK486" s="42">
        <f>IF($AJ486="","",p_factor_productividad*IFERROR(INDEX('ASIGNACIONES'!$M$4:$M$451,MATCH($O486&amp;"|"&amp;$S486&amp;"|"&amp;$AH486,'ASIGNACIONES'!$N$4:$N$451,0)),0)-$AJ486)</f>
        <v/>
      </c>
      <c r="AL486" s="32">
        <f>IF($A486="","",IFERROR(INDEX('2_IMPORTAR_EJECUCION'!$F$9:$F$1208,MATCH($AU486,'2_IMPORTAR_EJECUCION'!$J$9:$J$1208,0)),0))</f>
        <v/>
      </c>
      <c r="AM486" s="32">
        <f>IF($A486="","",MAX(0,IFERROR(INDEX('2_IMPORTAR_EJECUCION'!$H$9:$H$1208,MATCH($AU486,'2_IMPORTAR_EJECUCION'!$J$9:$J$1208,0)),0)-$AL486))</f>
        <v/>
      </c>
      <c r="AN486" s="32">
        <f>IF($A486="","",$AL486+$AM486)</f>
        <v/>
      </c>
      <c r="AO486" s="24">
        <f>IF($A486="","",IF(OR((IFERROR(INDEX('CAT_ACTIVIDADES'!$D$4:$D$26,MATCH($H486,'CAT_ACTIVIDADES'!$A$4:$A$26,0)),""))=0,(IFERROR(INDEX('CAT_ACTIVIDADES'!$D$4:$D$26,MATCH($H486,'CAT_ACTIVIDADES'!$A$4:$A$26,0)),""))=""),"SIN CLASIFICAR",IFERROR(INDEX('CAT_ACTIVIDADES'!$D$4:$D$26,MATCH($H486,'CAT_ACTIVIDADES'!$A$4:$A$26,0)),"")))</f>
        <v/>
      </c>
      <c r="AP486" s="4" t="n"/>
      <c r="AQ486" s="4" t="n"/>
      <c r="AR486" s="4" t="n"/>
      <c r="AS486" s="24">
        <f>IF($AR486="","",HYPERLINK(p_ruta_base_checklists&amp;$AR486,"abrir"))</f>
        <v/>
      </c>
      <c r="AT486" s="4" t="n"/>
      <c r="AU486" s="24">
        <f>IF($A486="","",$A486&amp;IF($B486="","0010",$B486))</f>
        <v/>
      </c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41" t="n"/>
      <c r="K487" s="5" t="n"/>
      <c r="L487" s="18" t="n"/>
      <c r="M487" s="24">
        <f>IF($A487="","",IFERROR(INDEX('AJUSTES'!$B$4:$B$303,MATCH($AU487,'AJUSTES'!$A$4:$A$303,0)),IF($K487="","",$K487)))</f>
        <v/>
      </c>
      <c r="N487" s="24">
        <f>IF($A487="","",IFERROR(INDEX('CAT_ESTADOS_ERP'!$B$4:$B$22,MATCH(IFERROR(INDEX('2_IMPORTAR_EJECUCION'!$C$9:$C$1208,MATCH($AU487,'2_IMPORTAR_EJECUCION'!$J$9:$J$1208,0)),""),'CAT_ESTADOS_ERP'!$A$4:$A$22,0)),"Pendiente"))</f>
        <v/>
      </c>
      <c r="O487" s="24">
        <f>IF($J487="","",YEAR($J487+4-WEEKDAY($J487,2))&amp;"-S"&amp;TEXT(_xlfn.ISOWEEKNUM($J487),"00"))</f>
        <v/>
      </c>
      <c r="P487" s="24">
        <f>IF($J487="","",YEAR($J487))</f>
        <v/>
      </c>
      <c r="Q487" s="24">
        <f>IF($J487="","",MONTH($J487))</f>
        <v/>
      </c>
      <c r="R487" s="24">
        <f>IF($J487="","",$P487&amp;"-"&amp;TEXT($Q487,"00"))</f>
        <v/>
      </c>
      <c r="S487" s="24">
        <f>IF($J487="","",INDEX(lista_dias,WEEKDAY($J487,2)))</f>
        <v/>
      </c>
      <c r="T487" s="24">
        <f>IF($J487="","",IFERROR(INDEX('CALENDARIO'!$C$15:$C$214,MATCH(TEXT($J487,"yyyy-mm-dd")&amp;"|"&amp;$Y487&amp;"|"&amp;$Z487,'CALENDARIO'!$G$15:$G$214,0)),IFERROR(INDEX('CALENDARIO'!$C$15:$C$214,MATCH(TEXT($J487,"yyyy-mm-dd")&amp;"|"&amp;$Y487&amp;"|",'CALENDARIO'!$G$15:$G$214,0)),IFERROR(INDEX('CALENDARIO'!$C$15:$C$214,MATCH(TEXT($J487,"yyyy-mm-dd")&amp;"||",'CALENDARIO'!$G$15:$G$214,0)),INDEX(patronHabil,WEEKDAY($J487,2))))))</f>
        <v/>
      </c>
      <c r="U487" s="24">
        <f>IF($I487="","",IFERROR(INDEX('CAT_TIPOS_OT'!$C$4:$C$23,MATCH($I487,'CAT_TIPOS_OT'!$A$4:$A$23,0)),"sin_clasificar"))</f>
        <v/>
      </c>
      <c r="V487" s="24">
        <f>IF($I487="","",IF(IFERROR(INDEX('CAT_TIPOS_OT'!$D$4:$D$23,MATCH($I487,'CAT_TIPOS_OT'!$A$4:$A$23,0)),"SIN CLASIFICAR")="","SIN CLASIFICAR",IFERROR(INDEX('CAT_TIPOS_OT'!$D$4:$D$23,MATCH($I487,'CAT_TIPOS_OT'!$A$4:$A$23,0)),"SIN CLASIFICAR")))</f>
        <v/>
      </c>
      <c r="W487" s="24">
        <f>IF($H487="","",IF(IFERROR(INDEX('CAT_ACTIVIDADES'!$F$4:$F$26,MATCH($H487,'CAT_ACTIVIDADES'!$A$4:$A$26,0)),"")=0,"",IFERROR(INDEX('CAT_ACTIVIDADES'!$F$4:$F$26,MATCH($H487,'CAT_ACTIVIDADES'!$A$4:$A$26,0)),"")))</f>
        <v/>
      </c>
      <c r="X487" s="24">
        <f>IF($F487="","",IFERROR(INDEX('CAT_CENTROS_COSTO'!$F$4:$F$28,MATCH($F487,'CAT_CENTROS_COSTO'!$A$4:$A$28,0)),"(sin catálogo)"))</f>
        <v/>
      </c>
      <c r="Y487" s="24">
        <f>IF($F487="","",IFERROR(INDEX('CAT_CENTROS_COSTO'!$D$4:$D$28,MATCH($F487,'CAT_CENTROS_COSTO'!$A$4:$A$28,0)),"(sin catálogo)"))</f>
        <v/>
      </c>
      <c r="Z487" s="24">
        <f>IF($F487="","",IF((IFERROR(INDEX('CAT_CENTROS_COSTO'!$E$4:$E$28,MATCH($F487,'CAT_CENTROS_COSTO'!$A$4:$A$28,0)),""))&lt;&gt;"",IFERROR(INDEX('CAT_CENTROS_COSTO'!$E$4:$E$28,MATCH($F487,'CAT_CENTROS_COSTO'!$A$4:$A$28,0)),""),$Y487))</f>
        <v/>
      </c>
      <c r="AA487" s="24">
        <f>IF($F487="","",IFERROR(INDEX('CAT_CENTROS_COSTO'!$G$4:$G$28,MATCH($F487,'CAT_CENTROS_COSTO'!$A$4:$A$28,0)),"(sin catálogo)"))</f>
        <v/>
      </c>
      <c r="AB487" s="24">
        <f>IF($G487="","",IFERROR(INDEX('CAT_PUESTOS'!$B$4:$B$23,MATCH($G487,'CAT_PUESTOS'!$A$4:$A$23,0)),"(sin catálogo)"))</f>
        <v/>
      </c>
      <c r="AC487" s="24">
        <f>IF($H487="","",IFERROR(INDEX('CAT_ACTIVIDADES'!$B$4:$B$26,MATCH($H487,'CAT_ACTIVIDADES'!$A$4:$A$26,0)),"(sin catálogo)"))</f>
        <v/>
      </c>
      <c r="AD487" s="26">
        <f>IF($J487="","",TODAY()-$J487)</f>
        <v/>
      </c>
      <c r="AE487" s="26">
        <f>IF($J487="","",IF($J487&lt;=TODAY(),COUNTIFS(cal_fechas,"&gt;="&amp;$J487,cal_fechas,"&lt;"&amp;TODAY(),cal_habil,"sí"),-COUNTIFS(cal_fechas,"&gt;="&amp;TODAY(),cal_fechas,"&lt;"&amp;$J487,cal_habil,"sí")))</f>
        <v/>
      </c>
      <c r="AF487" s="24">
        <f>IF($AE487="","",IF($AE487&lt;0,"FUTURO",IF($AE487&gt;p_dias_backlog_max,"BACKLOG","MES CORRIENTE")))</f>
        <v/>
      </c>
      <c r="AG487" s="24">
        <f>IF($AE487="",FALSE,AND($AE487&gt;p_dias_backlog_min,$AE487&lt;=p_dias_backlog_max))</f>
        <v/>
      </c>
      <c r="AH487" s="4" t="n"/>
      <c r="AI487" s="24">
        <f>IF($AH487="","",IF((IFERROR(INDEX('ASIGNACIONES'!$J$4:$J$451,MATCH($O487&amp;"|"&amp;$S487&amp;"|"&amp;$AH487,'ASIGNACIONES'!$N$4:$N$451,0)),""))=0,"",IFERROR(INDEX('ASIGNACIONES'!$J$4:$J$451,MATCH($O487&amp;"|"&amp;$S487&amp;"|"&amp;$AH487,'ASIGNACIONES'!$N$4:$N$451,0)),"")))</f>
        <v/>
      </c>
      <c r="AJ487" s="42">
        <f>IF($AH487="","",SUMIFS('ORDENES'!$M$4:$M$1203,'ORDENES'!$AH$4:$AH$1203,$AH487,'ORDENES'!$O$4:$O$1203,$O487,'ORDENES'!$S$4:$S$1203,$S487))</f>
        <v/>
      </c>
      <c r="AK487" s="42">
        <f>IF($AJ487="","",p_factor_productividad*IFERROR(INDEX('ASIGNACIONES'!$M$4:$M$451,MATCH($O487&amp;"|"&amp;$S487&amp;"|"&amp;$AH487,'ASIGNACIONES'!$N$4:$N$451,0)),0)-$AJ487)</f>
        <v/>
      </c>
      <c r="AL487" s="32">
        <f>IF($A487="","",IFERROR(INDEX('2_IMPORTAR_EJECUCION'!$F$9:$F$1208,MATCH($AU487,'2_IMPORTAR_EJECUCION'!$J$9:$J$1208,0)),0))</f>
        <v/>
      </c>
      <c r="AM487" s="32">
        <f>IF($A487="","",MAX(0,IFERROR(INDEX('2_IMPORTAR_EJECUCION'!$H$9:$H$1208,MATCH($AU487,'2_IMPORTAR_EJECUCION'!$J$9:$J$1208,0)),0)-$AL487))</f>
        <v/>
      </c>
      <c r="AN487" s="32">
        <f>IF($A487="","",$AL487+$AM487)</f>
        <v/>
      </c>
      <c r="AO487" s="24">
        <f>IF($A487="","",IF(OR((IFERROR(INDEX('CAT_ACTIVIDADES'!$D$4:$D$26,MATCH($H487,'CAT_ACTIVIDADES'!$A$4:$A$26,0)),""))=0,(IFERROR(INDEX('CAT_ACTIVIDADES'!$D$4:$D$26,MATCH($H487,'CAT_ACTIVIDADES'!$A$4:$A$26,0)),""))=""),"SIN CLASIFICAR",IFERROR(INDEX('CAT_ACTIVIDADES'!$D$4:$D$26,MATCH($H487,'CAT_ACTIVIDADES'!$A$4:$A$26,0)),"")))</f>
        <v/>
      </c>
      <c r="AP487" s="4" t="n"/>
      <c r="AQ487" s="4" t="n"/>
      <c r="AR487" s="4" t="n"/>
      <c r="AS487" s="24">
        <f>IF($AR487="","",HYPERLINK(p_ruta_base_checklists&amp;$AR487,"abrir"))</f>
        <v/>
      </c>
      <c r="AT487" s="4" t="n"/>
      <c r="AU487" s="24">
        <f>IF($A487="","",$A487&amp;IF($B487="","0010",$B487))</f>
        <v/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41" t="n"/>
      <c r="K488" s="5" t="n"/>
      <c r="L488" s="18" t="n"/>
      <c r="M488" s="24">
        <f>IF($A488="","",IFERROR(INDEX('AJUSTES'!$B$4:$B$303,MATCH($AU488,'AJUSTES'!$A$4:$A$303,0)),IF($K488="","",$K488)))</f>
        <v/>
      </c>
      <c r="N488" s="24">
        <f>IF($A488="","",IFERROR(INDEX('CAT_ESTADOS_ERP'!$B$4:$B$22,MATCH(IFERROR(INDEX('2_IMPORTAR_EJECUCION'!$C$9:$C$1208,MATCH($AU488,'2_IMPORTAR_EJECUCION'!$J$9:$J$1208,0)),""),'CAT_ESTADOS_ERP'!$A$4:$A$22,0)),"Pendiente"))</f>
        <v/>
      </c>
      <c r="O488" s="24">
        <f>IF($J488="","",YEAR($J488+4-WEEKDAY($J488,2))&amp;"-S"&amp;TEXT(_xlfn.ISOWEEKNUM($J488),"00"))</f>
        <v/>
      </c>
      <c r="P488" s="24">
        <f>IF($J488="","",YEAR($J488))</f>
        <v/>
      </c>
      <c r="Q488" s="24">
        <f>IF($J488="","",MONTH($J488))</f>
        <v/>
      </c>
      <c r="R488" s="24">
        <f>IF($J488="","",$P488&amp;"-"&amp;TEXT($Q488,"00"))</f>
        <v/>
      </c>
      <c r="S488" s="24">
        <f>IF($J488="","",INDEX(lista_dias,WEEKDAY($J488,2)))</f>
        <v/>
      </c>
      <c r="T488" s="24">
        <f>IF($J488="","",IFERROR(INDEX('CALENDARIO'!$C$15:$C$214,MATCH(TEXT($J488,"yyyy-mm-dd")&amp;"|"&amp;$Y488&amp;"|"&amp;$Z488,'CALENDARIO'!$G$15:$G$214,0)),IFERROR(INDEX('CALENDARIO'!$C$15:$C$214,MATCH(TEXT($J488,"yyyy-mm-dd")&amp;"|"&amp;$Y488&amp;"|",'CALENDARIO'!$G$15:$G$214,0)),IFERROR(INDEX('CALENDARIO'!$C$15:$C$214,MATCH(TEXT($J488,"yyyy-mm-dd")&amp;"||",'CALENDARIO'!$G$15:$G$214,0)),INDEX(patronHabil,WEEKDAY($J488,2))))))</f>
        <v/>
      </c>
      <c r="U488" s="24">
        <f>IF($I488="","",IFERROR(INDEX('CAT_TIPOS_OT'!$C$4:$C$23,MATCH($I488,'CAT_TIPOS_OT'!$A$4:$A$23,0)),"sin_clasificar"))</f>
        <v/>
      </c>
      <c r="V488" s="24">
        <f>IF($I488="","",IF(IFERROR(INDEX('CAT_TIPOS_OT'!$D$4:$D$23,MATCH($I488,'CAT_TIPOS_OT'!$A$4:$A$23,0)),"SIN CLASIFICAR")="","SIN CLASIFICAR",IFERROR(INDEX('CAT_TIPOS_OT'!$D$4:$D$23,MATCH($I488,'CAT_TIPOS_OT'!$A$4:$A$23,0)),"SIN CLASIFICAR")))</f>
        <v/>
      </c>
      <c r="W488" s="24">
        <f>IF($H488="","",IF(IFERROR(INDEX('CAT_ACTIVIDADES'!$F$4:$F$26,MATCH($H488,'CAT_ACTIVIDADES'!$A$4:$A$26,0)),"")=0,"",IFERROR(INDEX('CAT_ACTIVIDADES'!$F$4:$F$26,MATCH($H488,'CAT_ACTIVIDADES'!$A$4:$A$26,0)),"")))</f>
        <v/>
      </c>
      <c r="X488" s="24">
        <f>IF($F488="","",IFERROR(INDEX('CAT_CENTROS_COSTO'!$F$4:$F$28,MATCH($F488,'CAT_CENTROS_COSTO'!$A$4:$A$28,0)),"(sin catálogo)"))</f>
        <v/>
      </c>
      <c r="Y488" s="24">
        <f>IF($F488="","",IFERROR(INDEX('CAT_CENTROS_COSTO'!$D$4:$D$28,MATCH($F488,'CAT_CENTROS_COSTO'!$A$4:$A$28,0)),"(sin catálogo)"))</f>
        <v/>
      </c>
      <c r="Z488" s="24">
        <f>IF($F488="","",IF((IFERROR(INDEX('CAT_CENTROS_COSTO'!$E$4:$E$28,MATCH($F488,'CAT_CENTROS_COSTO'!$A$4:$A$28,0)),""))&lt;&gt;"",IFERROR(INDEX('CAT_CENTROS_COSTO'!$E$4:$E$28,MATCH($F488,'CAT_CENTROS_COSTO'!$A$4:$A$28,0)),""),$Y488))</f>
        <v/>
      </c>
      <c r="AA488" s="24">
        <f>IF($F488="","",IFERROR(INDEX('CAT_CENTROS_COSTO'!$G$4:$G$28,MATCH($F488,'CAT_CENTROS_COSTO'!$A$4:$A$28,0)),"(sin catálogo)"))</f>
        <v/>
      </c>
      <c r="AB488" s="24">
        <f>IF($G488="","",IFERROR(INDEX('CAT_PUESTOS'!$B$4:$B$23,MATCH($G488,'CAT_PUESTOS'!$A$4:$A$23,0)),"(sin catálogo)"))</f>
        <v/>
      </c>
      <c r="AC488" s="24">
        <f>IF($H488="","",IFERROR(INDEX('CAT_ACTIVIDADES'!$B$4:$B$26,MATCH($H488,'CAT_ACTIVIDADES'!$A$4:$A$26,0)),"(sin catálogo)"))</f>
        <v/>
      </c>
      <c r="AD488" s="26">
        <f>IF($J488="","",TODAY()-$J488)</f>
        <v/>
      </c>
      <c r="AE488" s="26">
        <f>IF($J488="","",IF($J488&lt;=TODAY(),COUNTIFS(cal_fechas,"&gt;="&amp;$J488,cal_fechas,"&lt;"&amp;TODAY(),cal_habil,"sí"),-COUNTIFS(cal_fechas,"&gt;="&amp;TODAY(),cal_fechas,"&lt;"&amp;$J488,cal_habil,"sí")))</f>
        <v/>
      </c>
      <c r="AF488" s="24">
        <f>IF($AE488="","",IF($AE488&lt;0,"FUTURO",IF($AE488&gt;p_dias_backlog_max,"BACKLOG","MES CORRIENTE")))</f>
        <v/>
      </c>
      <c r="AG488" s="24">
        <f>IF($AE488="",FALSE,AND($AE488&gt;p_dias_backlog_min,$AE488&lt;=p_dias_backlog_max))</f>
        <v/>
      </c>
      <c r="AH488" s="4" t="n"/>
      <c r="AI488" s="24">
        <f>IF($AH488="","",IF((IFERROR(INDEX('ASIGNACIONES'!$J$4:$J$451,MATCH($O488&amp;"|"&amp;$S488&amp;"|"&amp;$AH488,'ASIGNACIONES'!$N$4:$N$451,0)),""))=0,"",IFERROR(INDEX('ASIGNACIONES'!$J$4:$J$451,MATCH($O488&amp;"|"&amp;$S488&amp;"|"&amp;$AH488,'ASIGNACIONES'!$N$4:$N$451,0)),"")))</f>
        <v/>
      </c>
      <c r="AJ488" s="42">
        <f>IF($AH488="","",SUMIFS('ORDENES'!$M$4:$M$1203,'ORDENES'!$AH$4:$AH$1203,$AH488,'ORDENES'!$O$4:$O$1203,$O488,'ORDENES'!$S$4:$S$1203,$S488))</f>
        <v/>
      </c>
      <c r="AK488" s="42">
        <f>IF($AJ488="","",p_factor_productividad*IFERROR(INDEX('ASIGNACIONES'!$M$4:$M$451,MATCH($O488&amp;"|"&amp;$S488&amp;"|"&amp;$AH488,'ASIGNACIONES'!$N$4:$N$451,0)),0)-$AJ488)</f>
        <v/>
      </c>
      <c r="AL488" s="32">
        <f>IF($A488="","",IFERROR(INDEX('2_IMPORTAR_EJECUCION'!$F$9:$F$1208,MATCH($AU488,'2_IMPORTAR_EJECUCION'!$J$9:$J$1208,0)),0))</f>
        <v/>
      </c>
      <c r="AM488" s="32">
        <f>IF($A488="","",MAX(0,IFERROR(INDEX('2_IMPORTAR_EJECUCION'!$H$9:$H$1208,MATCH($AU488,'2_IMPORTAR_EJECUCION'!$J$9:$J$1208,0)),0)-$AL488))</f>
        <v/>
      </c>
      <c r="AN488" s="32">
        <f>IF($A488="","",$AL488+$AM488)</f>
        <v/>
      </c>
      <c r="AO488" s="24">
        <f>IF($A488="","",IF(OR((IFERROR(INDEX('CAT_ACTIVIDADES'!$D$4:$D$26,MATCH($H488,'CAT_ACTIVIDADES'!$A$4:$A$26,0)),""))=0,(IFERROR(INDEX('CAT_ACTIVIDADES'!$D$4:$D$26,MATCH($H488,'CAT_ACTIVIDADES'!$A$4:$A$26,0)),""))=""),"SIN CLASIFICAR",IFERROR(INDEX('CAT_ACTIVIDADES'!$D$4:$D$26,MATCH($H488,'CAT_ACTIVIDADES'!$A$4:$A$26,0)),"")))</f>
        <v/>
      </c>
      <c r="AP488" s="4" t="n"/>
      <c r="AQ488" s="4" t="n"/>
      <c r="AR488" s="4" t="n"/>
      <c r="AS488" s="24">
        <f>IF($AR488="","",HYPERLINK(p_ruta_base_checklists&amp;$AR488,"abrir"))</f>
        <v/>
      </c>
      <c r="AT488" s="4" t="n"/>
      <c r="AU488" s="24">
        <f>IF($A488="","",$A488&amp;IF($B488="","0010",$B488))</f>
        <v/>
      </c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41" t="n"/>
      <c r="K489" s="5" t="n"/>
      <c r="L489" s="18" t="n"/>
      <c r="M489" s="24">
        <f>IF($A489="","",IFERROR(INDEX('AJUSTES'!$B$4:$B$303,MATCH($AU489,'AJUSTES'!$A$4:$A$303,0)),IF($K489="","",$K489)))</f>
        <v/>
      </c>
      <c r="N489" s="24">
        <f>IF($A489="","",IFERROR(INDEX('CAT_ESTADOS_ERP'!$B$4:$B$22,MATCH(IFERROR(INDEX('2_IMPORTAR_EJECUCION'!$C$9:$C$1208,MATCH($AU489,'2_IMPORTAR_EJECUCION'!$J$9:$J$1208,0)),""),'CAT_ESTADOS_ERP'!$A$4:$A$22,0)),"Pendiente"))</f>
        <v/>
      </c>
      <c r="O489" s="24">
        <f>IF($J489="","",YEAR($J489+4-WEEKDAY($J489,2))&amp;"-S"&amp;TEXT(_xlfn.ISOWEEKNUM($J489),"00"))</f>
        <v/>
      </c>
      <c r="P489" s="24">
        <f>IF($J489="","",YEAR($J489))</f>
        <v/>
      </c>
      <c r="Q489" s="24">
        <f>IF($J489="","",MONTH($J489))</f>
        <v/>
      </c>
      <c r="R489" s="24">
        <f>IF($J489="","",$P489&amp;"-"&amp;TEXT($Q489,"00"))</f>
        <v/>
      </c>
      <c r="S489" s="24">
        <f>IF($J489="","",INDEX(lista_dias,WEEKDAY($J489,2)))</f>
        <v/>
      </c>
      <c r="T489" s="24">
        <f>IF($J489="","",IFERROR(INDEX('CALENDARIO'!$C$15:$C$214,MATCH(TEXT($J489,"yyyy-mm-dd")&amp;"|"&amp;$Y489&amp;"|"&amp;$Z489,'CALENDARIO'!$G$15:$G$214,0)),IFERROR(INDEX('CALENDARIO'!$C$15:$C$214,MATCH(TEXT($J489,"yyyy-mm-dd")&amp;"|"&amp;$Y489&amp;"|",'CALENDARIO'!$G$15:$G$214,0)),IFERROR(INDEX('CALENDARIO'!$C$15:$C$214,MATCH(TEXT($J489,"yyyy-mm-dd")&amp;"||",'CALENDARIO'!$G$15:$G$214,0)),INDEX(patronHabil,WEEKDAY($J489,2))))))</f>
        <v/>
      </c>
      <c r="U489" s="24">
        <f>IF($I489="","",IFERROR(INDEX('CAT_TIPOS_OT'!$C$4:$C$23,MATCH($I489,'CAT_TIPOS_OT'!$A$4:$A$23,0)),"sin_clasificar"))</f>
        <v/>
      </c>
      <c r="V489" s="24">
        <f>IF($I489="","",IF(IFERROR(INDEX('CAT_TIPOS_OT'!$D$4:$D$23,MATCH($I489,'CAT_TIPOS_OT'!$A$4:$A$23,0)),"SIN CLASIFICAR")="","SIN CLASIFICAR",IFERROR(INDEX('CAT_TIPOS_OT'!$D$4:$D$23,MATCH($I489,'CAT_TIPOS_OT'!$A$4:$A$23,0)),"SIN CLASIFICAR")))</f>
        <v/>
      </c>
      <c r="W489" s="24">
        <f>IF($H489="","",IF(IFERROR(INDEX('CAT_ACTIVIDADES'!$F$4:$F$26,MATCH($H489,'CAT_ACTIVIDADES'!$A$4:$A$26,0)),"")=0,"",IFERROR(INDEX('CAT_ACTIVIDADES'!$F$4:$F$26,MATCH($H489,'CAT_ACTIVIDADES'!$A$4:$A$26,0)),"")))</f>
        <v/>
      </c>
      <c r="X489" s="24">
        <f>IF($F489="","",IFERROR(INDEX('CAT_CENTROS_COSTO'!$F$4:$F$28,MATCH($F489,'CAT_CENTROS_COSTO'!$A$4:$A$28,0)),"(sin catálogo)"))</f>
        <v/>
      </c>
      <c r="Y489" s="24">
        <f>IF($F489="","",IFERROR(INDEX('CAT_CENTROS_COSTO'!$D$4:$D$28,MATCH($F489,'CAT_CENTROS_COSTO'!$A$4:$A$28,0)),"(sin catálogo)"))</f>
        <v/>
      </c>
      <c r="Z489" s="24">
        <f>IF($F489="","",IF((IFERROR(INDEX('CAT_CENTROS_COSTO'!$E$4:$E$28,MATCH($F489,'CAT_CENTROS_COSTO'!$A$4:$A$28,0)),""))&lt;&gt;"",IFERROR(INDEX('CAT_CENTROS_COSTO'!$E$4:$E$28,MATCH($F489,'CAT_CENTROS_COSTO'!$A$4:$A$28,0)),""),$Y489))</f>
        <v/>
      </c>
      <c r="AA489" s="24">
        <f>IF($F489="","",IFERROR(INDEX('CAT_CENTROS_COSTO'!$G$4:$G$28,MATCH($F489,'CAT_CENTROS_COSTO'!$A$4:$A$28,0)),"(sin catálogo)"))</f>
        <v/>
      </c>
      <c r="AB489" s="24">
        <f>IF($G489="","",IFERROR(INDEX('CAT_PUESTOS'!$B$4:$B$23,MATCH($G489,'CAT_PUESTOS'!$A$4:$A$23,0)),"(sin catálogo)"))</f>
        <v/>
      </c>
      <c r="AC489" s="24">
        <f>IF($H489="","",IFERROR(INDEX('CAT_ACTIVIDADES'!$B$4:$B$26,MATCH($H489,'CAT_ACTIVIDADES'!$A$4:$A$26,0)),"(sin catálogo)"))</f>
        <v/>
      </c>
      <c r="AD489" s="26">
        <f>IF($J489="","",TODAY()-$J489)</f>
        <v/>
      </c>
      <c r="AE489" s="26">
        <f>IF($J489="","",IF($J489&lt;=TODAY(),COUNTIFS(cal_fechas,"&gt;="&amp;$J489,cal_fechas,"&lt;"&amp;TODAY(),cal_habil,"sí"),-COUNTIFS(cal_fechas,"&gt;="&amp;TODAY(),cal_fechas,"&lt;"&amp;$J489,cal_habil,"sí")))</f>
        <v/>
      </c>
      <c r="AF489" s="24">
        <f>IF($AE489="","",IF($AE489&lt;0,"FUTURO",IF($AE489&gt;p_dias_backlog_max,"BACKLOG","MES CORRIENTE")))</f>
        <v/>
      </c>
      <c r="AG489" s="24">
        <f>IF($AE489="",FALSE,AND($AE489&gt;p_dias_backlog_min,$AE489&lt;=p_dias_backlog_max))</f>
        <v/>
      </c>
      <c r="AH489" s="4" t="n"/>
      <c r="AI489" s="24">
        <f>IF($AH489="","",IF((IFERROR(INDEX('ASIGNACIONES'!$J$4:$J$451,MATCH($O489&amp;"|"&amp;$S489&amp;"|"&amp;$AH489,'ASIGNACIONES'!$N$4:$N$451,0)),""))=0,"",IFERROR(INDEX('ASIGNACIONES'!$J$4:$J$451,MATCH($O489&amp;"|"&amp;$S489&amp;"|"&amp;$AH489,'ASIGNACIONES'!$N$4:$N$451,0)),"")))</f>
        <v/>
      </c>
      <c r="AJ489" s="42">
        <f>IF($AH489="","",SUMIFS('ORDENES'!$M$4:$M$1203,'ORDENES'!$AH$4:$AH$1203,$AH489,'ORDENES'!$O$4:$O$1203,$O489,'ORDENES'!$S$4:$S$1203,$S489))</f>
        <v/>
      </c>
      <c r="AK489" s="42">
        <f>IF($AJ489="","",p_factor_productividad*IFERROR(INDEX('ASIGNACIONES'!$M$4:$M$451,MATCH($O489&amp;"|"&amp;$S489&amp;"|"&amp;$AH489,'ASIGNACIONES'!$N$4:$N$451,0)),0)-$AJ489)</f>
        <v/>
      </c>
      <c r="AL489" s="32">
        <f>IF($A489="","",IFERROR(INDEX('2_IMPORTAR_EJECUCION'!$F$9:$F$1208,MATCH($AU489,'2_IMPORTAR_EJECUCION'!$J$9:$J$1208,0)),0))</f>
        <v/>
      </c>
      <c r="AM489" s="32">
        <f>IF($A489="","",MAX(0,IFERROR(INDEX('2_IMPORTAR_EJECUCION'!$H$9:$H$1208,MATCH($AU489,'2_IMPORTAR_EJECUCION'!$J$9:$J$1208,0)),0)-$AL489))</f>
        <v/>
      </c>
      <c r="AN489" s="32">
        <f>IF($A489="","",$AL489+$AM489)</f>
        <v/>
      </c>
      <c r="AO489" s="24">
        <f>IF($A489="","",IF(OR((IFERROR(INDEX('CAT_ACTIVIDADES'!$D$4:$D$26,MATCH($H489,'CAT_ACTIVIDADES'!$A$4:$A$26,0)),""))=0,(IFERROR(INDEX('CAT_ACTIVIDADES'!$D$4:$D$26,MATCH($H489,'CAT_ACTIVIDADES'!$A$4:$A$26,0)),""))=""),"SIN CLASIFICAR",IFERROR(INDEX('CAT_ACTIVIDADES'!$D$4:$D$26,MATCH($H489,'CAT_ACTIVIDADES'!$A$4:$A$26,0)),"")))</f>
        <v/>
      </c>
      <c r="AP489" s="4" t="n"/>
      <c r="AQ489" s="4" t="n"/>
      <c r="AR489" s="4" t="n"/>
      <c r="AS489" s="24">
        <f>IF($AR489="","",HYPERLINK(p_ruta_base_checklists&amp;$AR489,"abrir"))</f>
        <v/>
      </c>
      <c r="AT489" s="4" t="n"/>
      <c r="AU489" s="24">
        <f>IF($A489="","",$A489&amp;IF($B489="","0010",$B489))</f>
        <v/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41" t="n"/>
      <c r="K490" s="5" t="n"/>
      <c r="L490" s="18" t="n"/>
      <c r="M490" s="24">
        <f>IF($A490="","",IFERROR(INDEX('AJUSTES'!$B$4:$B$303,MATCH($AU490,'AJUSTES'!$A$4:$A$303,0)),IF($K490="","",$K490)))</f>
        <v/>
      </c>
      <c r="N490" s="24">
        <f>IF($A490="","",IFERROR(INDEX('CAT_ESTADOS_ERP'!$B$4:$B$22,MATCH(IFERROR(INDEX('2_IMPORTAR_EJECUCION'!$C$9:$C$1208,MATCH($AU490,'2_IMPORTAR_EJECUCION'!$J$9:$J$1208,0)),""),'CAT_ESTADOS_ERP'!$A$4:$A$22,0)),"Pendiente"))</f>
        <v/>
      </c>
      <c r="O490" s="24">
        <f>IF($J490="","",YEAR($J490+4-WEEKDAY($J490,2))&amp;"-S"&amp;TEXT(_xlfn.ISOWEEKNUM($J490),"00"))</f>
        <v/>
      </c>
      <c r="P490" s="24">
        <f>IF($J490="","",YEAR($J490))</f>
        <v/>
      </c>
      <c r="Q490" s="24">
        <f>IF($J490="","",MONTH($J490))</f>
        <v/>
      </c>
      <c r="R490" s="24">
        <f>IF($J490="","",$P490&amp;"-"&amp;TEXT($Q490,"00"))</f>
        <v/>
      </c>
      <c r="S490" s="24">
        <f>IF($J490="","",INDEX(lista_dias,WEEKDAY($J490,2)))</f>
        <v/>
      </c>
      <c r="T490" s="24">
        <f>IF($J490="","",IFERROR(INDEX('CALENDARIO'!$C$15:$C$214,MATCH(TEXT($J490,"yyyy-mm-dd")&amp;"|"&amp;$Y490&amp;"|"&amp;$Z490,'CALENDARIO'!$G$15:$G$214,0)),IFERROR(INDEX('CALENDARIO'!$C$15:$C$214,MATCH(TEXT($J490,"yyyy-mm-dd")&amp;"|"&amp;$Y490&amp;"|",'CALENDARIO'!$G$15:$G$214,0)),IFERROR(INDEX('CALENDARIO'!$C$15:$C$214,MATCH(TEXT($J490,"yyyy-mm-dd")&amp;"||",'CALENDARIO'!$G$15:$G$214,0)),INDEX(patronHabil,WEEKDAY($J490,2))))))</f>
        <v/>
      </c>
      <c r="U490" s="24">
        <f>IF($I490="","",IFERROR(INDEX('CAT_TIPOS_OT'!$C$4:$C$23,MATCH($I490,'CAT_TIPOS_OT'!$A$4:$A$23,0)),"sin_clasificar"))</f>
        <v/>
      </c>
      <c r="V490" s="24">
        <f>IF($I490="","",IF(IFERROR(INDEX('CAT_TIPOS_OT'!$D$4:$D$23,MATCH($I490,'CAT_TIPOS_OT'!$A$4:$A$23,0)),"SIN CLASIFICAR")="","SIN CLASIFICAR",IFERROR(INDEX('CAT_TIPOS_OT'!$D$4:$D$23,MATCH($I490,'CAT_TIPOS_OT'!$A$4:$A$23,0)),"SIN CLASIFICAR")))</f>
        <v/>
      </c>
      <c r="W490" s="24">
        <f>IF($H490="","",IF(IFERROR(INDEX('CAT_ACTIVIDADES'!$F$4:$F$26,MATCH($H490,'CAT_ACTIVIDADES'!$A$4:$A$26,0)),"")=0,"",IFERROR(INDEX('CAT_ACTIVIDADES'!$F$4:$F$26,MATCH($H490,'CAT_ACTIVIDADES'!$A$4:$A$26,0)),"")))</f>
        <v/>
      </c>
      <c r="X490" s="24">
        <f>IF($F490="","",IFERROR(INDEX('CAT_CENTROS_COSTO'!$F$4:$F$28,MATCH($F490,'CAT_CENTROS_COSTO'!$A$4:$A$28,0)),"(sin catálogo)"))</f>
        <v/>
      </c>
      <c r="Y490" s="24">
        <f>IF($F490="","",IFERROR(INDEX('CAT_CENTROS_COSTO'!$D$4:$D$28,MATCH($F490,'CAT_CENTROS_COSTO'!$A$4:$A$28,0)),"(sin catálogo)"))</f>
        <v/>
      </c>
      <c r="Z490" s="24">
        <f>IF($F490="","",IF((IFERROR(INDEX('CAT_CENTROS_COSTO'!$E$4:$E$28,MATCH($F490,'CAT_CENTROS_COSTO'!$A$4:$A$28,0)),""))&lt;&gt;"",IFERROR(INDEX('CAT_CENTROS_COSTO'!$E$4:$E$28,MATCH($F490,'CAT_CENTROS_COSTO'!$A$4:$A$28,0)),""),$Y490))</f>
        <v/>
      </c>
      <c r="AA490" s="24">
        <f>IF($F490="","",IFERROR(INDEX('CAT_CENTROS_COSTO'!$G$4:$G$28,MATCH($F490,'CAT_CENTROS_COSTO'!$A$4:$A$28,0)),"(sin catálogo)"))</f>
        <v/>
      </c>
      <c r="AB490" s="24">
        <f>IF($G490="","",IFERROR(INDEX('CAT_PUESTOS'!$B$4:$B$23,MATCH($G490,'CAT_PUESTOS'!$A$4:$A$23,0)),"(sin catálogo)"))</f>
        <v/>
      </c>
      <c r="AC490" s="24">
        <f>IF($H490="","",IFERROR(INDEX('CAT_ACTIVIDADES'!$B$4:$B$26,MATCH($H490,'CAT_ACTIVIDADES'!$A$4:$A$26,0)),"(sin catálogo)"))</f>
        <v/>
      </c>
      <c r="AD490" s="26">
        <f>IF($J490="","",TODAY()-$J490)</f>
        <v/>
      </c>
      <c r="AE490" s="26">
        <f>IF($J490="","",IF($J490&lt;=TODAY(),COUNTIFS(cal_fechas,"&gt;="&amp;$J490,cal_fechas,"&lt;"&amp;TODAY(),cal_habil,"sí"),-COUNTIFS(cal_fechas,"&gt;="&amp;TODAY(),cal_fechas,"&lt;"&amp;$J490,cal_habil,"sí")))</f>
        <v/>
      </c>
      <c r="AF490" s="24">
        <f>IF($AE490="","",IF($AE490&lt;0,"FUTURO",IF($AE490&gt;p_dias_backlog_max,"BACKLOG","MES CORRIENTE")))</f>
        <v/>
      </c>
      <c r="AG490" s="24">
        <f>IF($AE490="",FALSE,AND($AE490&gt;p_dias_backlog_min,$AE490&lt;=p_dias_backlog_max))</f>
        <v/>
      </c>
      <c r="AH490" s="4" t="n"/>
      <c r="AI490" s="24">
        <f>IF($AH490="","",IF((IFERROR(INDEX('ASIGNACIONES'!$J$4:$J$451,MATCH($O490&amp;"|"&amp;$S490&amp;"|"&amp;$AH490,'ASIGNACIONES'!$N$4:$N$451,0)),""))=0,"",IFERROR(INDEX('ASIGNACIONES'!$J$4:$J$451,MATCH($O490&amp;"|"&amp;$S490&amp;"|"&amp;$AH490,'ASIGNACIONES'!$N$4:$N$451,0)),"")))</f>
        <v/>
      </c>
      <c r="AJ490" s="42">
        <f>IF($AH490="","",SUMIFS('ORDENES'!$M$4:$M$1203,'ORDENES'!$AH$4:$AH$1203,$AH490,'ORDENES'!$O$4:$O$1203,$O490,'ORDENES'!$S$4:$S$1203,$S490))</f>
        <v/>
      </c>
      <c r="AK490" s="42">
        <f>IF($AJ490="","",p_factor_productividad*IFERROR(INDEX('ASIGNACIONES'!$M$4:$M$451,MATCH($O490&amp;"|"&amp;$S490&amp;"|"&amp;$AH490,'ASIGNACIONES'!$N$4:$N$451,0)),0)-$AJ490)</f>
        <v/>
      </c>
      <c r="AL490" s="32">
        <f>IF($A490="","",IFERROR(INDEX('2_IMPORTAR_EJECUCION'!$F$9:$F$1208,MATCH($AU490,'2_IMPORTAR_EJECUCION'!$J$9:$J$1208,0)),0))</f>
        <v/>
      </c>
      <c r="AM490" s="32">
        <f>IF($A490="","",MAX(0,IFERROR(INDEX('2_IMPORTAR_EJECUCION'!$H$9:$H$1208,MATCH($AU490,'2_IMPORTAR_EJECUCION'!$J$9:$J$1208,0)),0)-$AL490))</f>
        <v/>
      </c>
      <c r="AN490" s="32">
        <f>IF($A490="","",$AL490+$AM490)</f>
        <v/>
      </c>
      <c r="AO490" s="24">
        <f>IF($A490="","",IF(OR((IFERROR(INDEX('CAT_ACTIVIDADES'!$D$4:$D$26,MATCH($H490,'CAT_ACTIVIDADES'!$A$4:$A$26,0)),""))=0,(IFERROR(INDEX('CAT_ACTIVIDADES'!$D$4:$D$26,MATCH($H490,'CAT_ACTIVIDADES'!$A$4:$A$26,0)),""))=""),"SIN CLASIFICAR",IFERROR(INDEX('CAT_ACTIVIDADES'!$D$4:$D$26,MATCH($H490,'CAT_ACTIVIDADES'!$A$4:$A$26,0)),"")))</f>
        <v/>
      </c>
      <c r="AP490" s="4" t="n"/>
      <c r="AQ490" s="4" t="n"/>
      <c r="AR490" s="4" t="n"/>
      <c r="AS490" s="24">
        <f>IF($AR490="","",HYPERLINK(p_ruta_base_checklists&amp;$AR490,"abrir"))</f>
        <v/>
      </c>
      <c r="AT490" s="4" t="n"/>
      <c r="AU490" s="24">
        <f>IF($A490="","",$A490&amp;IF($B490="","0010",$B490))</f>
        <v/>
      </c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41" t="n"/>
      <c r="K491" s="5" t="n"/>
      <c r="L491" s="18" t="n"/>
      <c r="M491" s="24">
        <f>IF($A491="","",IFERROR(INDEX('AJUSTES'!$B$4:$B$303,MATCH($AU491,'AJUSTES'!$A$4:$A$303,0)),IF($K491="","",$K491)))</f>
        <v/>
      </c>
      <c r="N491" s="24">
        <f>IF($A491="","",IFERROR(INDEX('CAT_ESTADOS_ERP'!$B$4:$B$22,MATCH(IFERROR(INDEX('2_IMPORTAR_EJECUCION'!$C$9:$C$1208,MATCH($AU491,'2_IMPORTAR_EJECUCION'!$J$9:$J$1208,0)),""),'CAT_ESTADOS_ERP'!$A$4:$A$22,0)),"Pendiente"))</f>
        <v/>
      </c>
      <c r="O491" s="24">
        <f>IF($J491="","",YEAR($J491+4-WEEKDAY($J491,2))&amp;"-S"&amp;TEXT(_xlfn.ISOWEEKNUM($J491),"00"))</f>
        <v/>
      </c>
      <c r="P491" s="24">
        <f>IF($J491="","",YEAR($J491))</f>
        <v/>
      </c>
      <c r="Q491" s="24">
        <f>IF($J491="","",MONTH($J491))</f>
        <v/>
      </c>
      <c r="R491" s="24">
        <f>IF($J491="","",$P491&amp;"-"&amp;TEXT($Q491,"00"))</f>
        <v/>
      </c>
      <c r="S491" s="24">
        <f>IF($J491="","",INDEX(lista_dias,WEEKDAY($J491,2)))</f>
        <v/>
      </c>
      <c r="T491" s="24">
        <f>IF($J491="","",IFERROR(INDEX('CALENDARIO'!$C$15:$C$214,MATCH(TEXT($J491,"yyyy-mm-dd")&amp;"|"&amp;$Y491&amp;"|"&amp;$Z491,'CALENDARIO'!$G$15:$G$214,0)),IFERROR(INDEX('CALENDARIO'!$C$15:$C$214,MATCH(TEXT($J491,"yyyy-mm-dd")&amp;"|"&amp;$Y491&amp;"|",'CALENDARIO'!$G$15:$G$214,0)),IFERROR(INDEX('CALENDARIO'!$C$15:$C$214,MATCH(TEXT($J491,"yyyy-mm-dd")&amp;"||",'CALENDARIO'!$G$15:$G$214,0)),INDEX(patronHabil,WEEKDAY($J491,2))))))</f>
        <v/>
      </c>
      <c r="U491" s="24">
        <f>IF($I491="","",IFERROR(INDEX('CAT_TIPOS_OT'!$C$4:$C$23,MATCH($I491,'CAT_TIPOS_OT'!$A$4:$A$23,0)),"sin_clasificar"))</f>
        <v/>
      </c>
      <c r="V491" s="24">
        <f>IF($I491="","",IF(IFERROR(INDEX('CAT_TIPOS_OT'!$D$4:$D$23,MATCH($I491,'CAT_TIPOS_OT'!$A$4:$A$23,0)),"SIN CLASIFICAR")="","SIN CLASIFICAR",IFERROR(INDEX('CAT_TIPOS_OT'!$D$4:$D$23,MATCH($I491,'CAT_TIPOS_OT'!$A$4:$A$23,0)),"SIN CLASIFICAR")))</f>
        <v/>
      </c>
      <c r="W491" s="24">
        <f>IF($H491="","",IF(IFERROR(INDEX('CAT_ACTIVIDADES'!$F$4:$F$26,MATCH($H491,'CAT_ACTIVIDADES'!$A$4:$A$26,0)),"")=0,"",IFERROR(INDEX('CAT_ACTIVIDADES'!$F$4:$F$26,MATCH($H491,'CAT_ACTIVIDADES'!$A$4:$A$26,0)),"")))</f>
        <v/>
      </c>
      <c r="X491" s="24">
        <f>IF($F491="","",IFERROR(INDEX('CAT_CENTROS_COSTO'!$F$4:$F$28,MATCH($F491,'CAT_CENTROS_COSTO'!$A$4:$A$28,0)),"(sin catálogo)"))</f>
        <v/>
      </c>
      <c r="Y491" s="24">
        <f>IF($F491="","",IFERROR(INDEX('CAT_CENTROS_COSTO'!$D$4:$D$28,MATCH($F491,'CAT_CENTROS_COSTO'!$A$4:$A$28,0)),"(sin catálogo)"))</f>
        <v/>
      </c>
      <c r="Z491" s="24">
        <f>IF($F491="","",IF((IFERROR(INDEX('CAT_CENTROS_COSTO'!$E$4:$E$28,MATCH($F491,'CAT_CENTROS_COSTO'!$A$4:$A$28,0)),""))&lt;&gt;"",IFERROR(INDEX('CAT_CENTROS_COSTO'!$E$4:$E$28,MATCH($F491,'CAT_CENTROS_COSTO'!$A$4:$A$28,0)),""),$Y491))</f>
        <v/>
      </c>
      <c r="AA491" s="24">
        <f>IF($F491="","",IFERROR(INDEX('CAT_CENTROS_COSTO'!$G$4:$G$28,MATCH($F491,'CAT_CENTROS_COSTO'!$A$4:$A$28,0)),"(sin catálogo)"))</f>
        <v/>
      </c>
      <c r="AB491" s="24">
        <f>IF($G491="","",IFERROR(INDEX('CAT_PUESTOS'!$B$4:$B$23,MATCH($G491,'CAT_PUESTOS'!$A$4:$A$23,0)),"(sin catálogo)"))</f>
        <v/>
      </c>
      <c r="AC491" s="24">
        <f>IF($H491="","",IFERROR(INDEX('CAT_ACTIVIDADES'!$B$4:$B$26,MATCH($H491,'CAT_ACTIVIDADES'!$A$4:$A$26,0)),"(sin catálogo)"))</f>
        <v/>
      </c>
      <c r="AD491" s="26">
        <f>IF($J491="","",TODAY()-$J491)</f>
        <v/>
      </c>
      <c r="AE491" s="26">
        <f>IF($J491="","",IF($J491&lt;=TODAY(),COUNTIFS(cal_fechas,"&gt;="&amp;$J491,cal_fechas,"&lt;"&amp;TODAY(),cal_habil,"sí"),-COUNTIFS(cal_fechas,"&gt;="&amp;TODAY(),cal_fechas,"&lt;"&amp;$J491,cal_habil,"sí")))</f>
        <v/>
      </c>
      <c r="AF491" s="24">
        <f>IF($AE491="","",IF($AE491&lt;0,"FUTURO",IF($AE491&gt;p_dias_backlog_max,"BACKLOG","MES CORRIENTE")))</f>
        <v/>
      </c>
      <c r="AG491" s="24">
        <f>IF($AE491="",FALSE,AND($AE491&gt;p_dias_backlog_min,$AE491&lt;=p_dias_backlog_max))</f>
        <v/>
      </c>
      <c r="AH491" s="4" t="n"/>
      <c r="AI491" s="24">
        <f>IF($AH491="","",IF((IFERROR(INDEX('ASIGNACIONES'!$J$4:$J$451,MATCH($O491&amp;"|"&amp;$S491&amp;"|"&amp;$AH491,'ASIGNACIONES'!$N$4:$N$451,0)),""))=0,"",IFERROR(INDEX('ASIGNACIONES'!$J$4:$J$451,MATCH($O491&amp;"|"&amp;$S491&amp;"|"&amp;$AH491,'ASIGNACIONES'!$N$4:$N$451,0)),"")))</f>
        <v/>
      </c>
      <c r="AJ491" s="42">
        <f>IF($AH491="","",SUMIFS('ORDENES'!$M$4:$M$1203,'ORDENES'!$AH$4:$AH$1203,$AH491,'ORDENES'!$O$4:$O$1203,$O491,'ORDENES'!$S$4:$S$1203,$S491))</f>
        <v/>
      </c>
      <c r="AK491" s="42">
        <f>IF($AJ491="","",p_factor_productividad*IFERROR(INDEX('ASIGNACIONES'!$M$4:$M$451,MATCH($O491&amp;"|"&amp;$S491&amp;"|"&amp;$AH491,'ASIGNACIONES'!$N$4:$N$451,0)),0)-$AJ491)</f>
        <v/>
      </c>
      <c r="AL491" s="32">
        <f>IF($A491="","",IFERROR(INDEX('2_IMPORTAR_EJECUCION'!$F$9:$F$1208,MATCH($AU491,'2_IMPORTAR_EJECUCION'!$J$9:$J$1208,0)),0))</f>
        <v/>
      </c>
      <c r="AM491" s="32">
        <f>IF($A491="","",MAX(0,IFERROR(INDEX('2_IMPORTAR_EJECUCION'!$H$9:$H$1208,MATCH($AU491,'2_IMPORTAR_EJECUCION'!$J$9:$J$1208,0)),0)-$AL491))</f>
        <v/>
      </c>
      <c r="AN491" s="32">
        <f>IF($A491="","",$AL491+$AM491)</f>
        <v/>
      </c>
      <c r="AO491" s="24">
        <f>IF($A491="","",IF(OR((IFERROR(INDEX('CAT_ACTIVIDADES'!$D$4:$D$26,MATCH($H491,'CAT_ACTIVIDADES'!$A$4:$A$26,0)),""))=0,(IFERROR(INDEX('CAT_ACTIVIDADES'!$D$4:$D$26,MATCH($H491,'CAT_ACTIVIDADES'!$A$4:$A$26,0)),""))=""),"SIN CLASIFICAR",IFERROR(INDEX('CAT_ACTIVIDADES'!$D$4:$D$26,MATCH($H491,'CAT_ACTIVIDADES'!$A$4:$A$26,0)),"")))</f>
        <v/>
      </c>
      <c r="AP491" s="4" t="n"/>
      <c r="AQ491" s="4" t="n"/>
      <c r="AR491" s="4" t="n"/>
      <c r="AS491" s="24">
        <f>IF($AR491="","",HYPERLINK(p_ruta_base_checklists&amp;$AR491,"abrir"))</f>
        <v/>
      </c>
      <c r="AT491" s="4" t="n"/>
      <c r="AU491" s="24">
        <f>IF($A491="","",$A491&amp;IF($B491="","0010",$B491))</f>
        <v/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41" t="n"/>
      <c r="K492" s="5" t="n"/>
      <c r="L492" s="18" t="n"/>
      <c r="M492" s="24">
        <f>IF($A492="","",IFERROR(INDEX('AJUSTES'!$B$4:$B$303,MATCH($AU492,'AJUSTES'!$A$4:$A$303,0)),IF($K492="","",$K492)))</f>
        <v/>
      </c>
      <c r="N492" s="24">
        <f>IF($A492="","",IFERROR(INDEX('CAT_ESTADOS_ERP'!$B$4:$B$22,MATCH(IFERROR(INDEX('2_IMPORTAR_EJECUCION'!$C$9:$C$1208,MATCH($AU492,'2_IMPORTAR_EJECUCION'!$J$9:$J$1208,0)),""),'CAT_ESTADOS_ERP'!$A$4:$A$22,0)),"Pendiente"))</f>
        <v/>
      </c>
      <c r="O492" s="24">
        <f>IF($J492="","",YEAR($J492+4-WEEKDAY($J492,2))&amp;"-S"&amp;TEXT(_xlfn.ISOWEEKNUM($J492),"00"))</f>
        <v/>
      </c>
      <c r="P492" s="24">
        <f>IF($J492="","",YEAR($J492))</f>
        <v/>
      </c>
      <c r="Q492" s="24">
        <f>IF($J492="","",MONTH($J492))</f>
        <v/>
      </c>
      <c r="R492" s="24">
        <f>IF($J492="","",$P492&amp;"-"&amp;TEXT($Q492,"00"))</f>
        <v/>
      </c>
      <c r="S492" s="24">
        <f>IF($J492="","",INDEX(lista_dias,WEEKDAY($J492,2)))</f>
        <v/>
      </c>
      <c r="T492" s="24">
        <f>IF($J492="","",IFERROR(INDEX('CALENDARIO'!$C$15:$C$214,MATCH(TEXT($J492,"yyyy-mm-dd")&amp;"|"&amp;$Y492&amp;"|"&amp;$Z492,'CALENDARIO'!$G$15:$G$214,0)),IFERROR(INDEX('CALENDARIO'!$C$15:$C$214,MATCH(TEXT($J492,"yyyy-mm-dd")&amp;"|"&amp;$Y492&amp;"|",'CALENDARIO'!$G$15:$G$214,0)),IFERROR(INDEX('CALENDARIO'!$C$15:$C$214,MATCH(TEXT($J492,"yyyy-mm-dd")&amp;"||",'CALENDARIO'!$G$15:$G$214,0)),INDEX(patronHabil,WEEKDAY($J492,2))))))</f>
        <v/>
      </c>
      <c r="U492" s="24">
        <f>IF($I492="","",IFERROR(INDEX('CAT_TIPOS_OT'!$C$4:$C$23,MATCH($I492,'CAT_TIPOS_OT'!$A$4:$A$23,0)),"sin_clasificar"))</f>
        <v/>
      </c>
      <c r="V492" s="24">
        <f>IF($I492="","",IF(IFERROR(INDEX('CAT_TIPOS_OT'!$D$4:$D$23,MATCH($I492,'CAT_TIPOS_OT'!$A$4:$A$23,0)),"SIN CLASIFICAR")="","SIN CLASIFICAR",IFERROR(INDEX('CAT_TIPOS_OT'!$D$4:$D$23,MATCH($I492,'CAT_TIPOS_OT'!$A$4:$A$23,0)),"SIN CLASIFICAR")))</f>
        <v/>
      </c>
      <c r="W492" s="24">
        <f>IF($H492="","",IF(IFERROR(INDEX('CAT_ACTIVIDADES'!$F$4:$F$26,MATCH($H492,'CAT_ACTIVIDADES'!$A$4:$A$26,0)),"")=0,"",IFERROR(INDEX('CAT_ACTIVIDADES'!$F$4:$F$26,MATCH($H492,'CAT_ACTIVIDADES'!$A$4:$A$26,0)),"")))</f>
        <v/>
      </c>
      <c r="X492" s="24">
        <f>IF($F492="","",IFERROR(INDEX('CAT_CENTROS_COSTO'!$F$4:$F$28,MATCH($F492,'CAT_CENTROS_COSTO'!$A$4:$A$28,0)),"(sin catálogo)"))</f>
        <v/>
      </c>
      <c r="Y492" s="24">
        <f>IF($F492="","",IFERROR(INDEX('CAT_CENTROS_COSTO'!$D$4:$D$28,MATCH($F492,'CAT_CENTROS_COSTO'!$A$4:$A$28,0)),"(sin catálogo)"))</f>
        <v/>
      </c>
      <c r="Z492" s="24">
        <f>IF($F492="","",IF((IFERROR(INDEX('CAT_CENTROS_COSTO'!$E$4:$E$28,MATCH($F492,'CAT_CENTROS_COSTO'!$A$4:$A$28,0)),""))&lt;&gt;"",IFERROR(INDEX('CAT_CENTROS_COSTO'!$E$4:$E$28,MATCH($F492,'CAT_CENTROS_COSTO'!$A$4:$A$28,0)),""),$Y492))</f>
        <v/>
      </c>
      <c r="AA492" s="24">
        <f>IF($F492="","",IFERROR(INDEX('CAT_CENTROS_COSTO'!$G$4:$G$28,MATCH($F492,'CAT_CENTROS_COSTO'!$A$4:$A$28,0)),"(sin catálogo)"))</f>
        <v/>
      </c>
      <c r="AB492" s="24">
        <f>IF($G492="","",IFERROR(INDEX('CAT_PUESTOS'!$B$4:$B$23,MATCH($G492,'CAT_PUESTOS'!$A$4:$A$23,0)),"(sin catálogo)"))</f>
        <v/>
      </c>
      <c r="AC492" s="24">
        <f>IF($H492="","",IFERROR(INDEX('CAT_ACTIVIDADES'!$B$4:$B$26,MATCH($H492,'CAT_ACTIVIDADES'!$A$4:$A$26,0)),"(sin catálogo)"))</f>
        <v/>
      </c>
      <c r="AD492" s="26">
        <f>IF($J492="","",TODAY()-$J492)</f>
        <v/>
      </c>
      <c r="AE492" s="26">
        <f>IF($J492="","",IF($J492&lt;=TODAY(),COUNTIFS(cal_fechas,"&gt;="&amp;$J492,cal_fechas,"&lt;"&amp;TODAY(),cal_habil,"sí"),-COUNTIFS(cal_fechas,"&gt;="&amp;TODAY(),cal_fechas,"&lt;"&amp;$J492,cal_habil,"sí")))</f>
        <v/>
      </c>
      <c r="AF492" s="24">
        <f>IF($AE492="","",IF($AE492&lt;0,"FUTURO",IF($AE492&gt;p_dias_backlog_max,"BACKLOG","MES CORRIENTE")))</f>
        <v/>
      </c>
      <c r="AG492" s="24">
        <f>IF($AE492="",FALSE,AND($AE492&gt;p_dias_backlog_min,$AE492&lt;=p_dias_backlog_max))</f>
        <v/>
      </c>
      <c r="AH492" s="4" t="n"/>
      <c r="AI492" s="24">
        <f>IF($AH492="","",IF((IFERROR(INDEX('ASIGNACIONES'!$J$4:$J$451,MATCH($O492&amp;"|"&amp;$S492&amp;"|"&amp;$AH492,'ASIGNACIONES'!$N$4:$N$451,0)),""))=0,"",IFERROR(INDEX('ASIGNACIONES'!$J$4:$J$451,MATCH($O492&amp;"|"&amp;$S492&amp;"|"&amp;$AH492,'ASIGNACIONES'!$N$4:$N$451,0)),"")))</f>
        <v/>
      </c>
      <c r="AJ492" s="42">
        <f>IF($AH492="","",SUMIFS('ORDENES'!$M$4:$M$1203,'ORDENES'!$AH$4:$AH$1203,$AH492,'ORDENES'!$O$4:$O$1203,$O492,'ORDENES'!$S$4:$S$1203,$S492))</f>
        <v/>
      </c>
      <c r="AK492" s="42">
        <f>IF($AJ492="","",p_factor_productividad*IFERROR(INDEX('ASIGNACIONES'!$M$4:$M$451,MATCH($O492&amp;"|"&amp;$S492&amp;"|"&amp;$AH492,'ASIGNACIONES'!$N$4:$N$451,0)),0)-$AJ492)</f>
        <v/>
      </c>
      <c r="AL492" s="32">
        <f>IF($A492="","",IFERROR(INDEX('2_IMPORTAR_EJECUCION'!$F$9:$F$1208,MATCH($AU492,'2_IMPORTAR_EJECUCION'!$J$9:$J$1208,0)),0))</f>
        <v/>
      </c>
      <c r="AM492" s="32">
        <f>IF($A492="","",MAX(0,IFERROR(INDEX('2_IMPORTAR_EJECUCION'!$H$9:$H$1208,MATCH($AU492,'2_IMPORTAR_EJECUCION'!$J$9:$J$1208,0)),0)-$AL492))</f>
        <v/>
      </c>
      <c r="AN492" s="32">
        <f>IF($A492="","",$AL492+$AM492)</f>
        <v/>
      </c>
      <c r="AO492" s="24">
        <f>IF($A492="","",IF(OR((IFERROR(INDEX('CAT_ACTIVIDADES'!$D$4:$D$26,MATCH($H492,'CAT_ACTIVIDADES'!$A$4:$A$26,0)),""))=0,(IFERROR(INDEX('CAT_ACTIVIDADES'!$D$4:$D$26,MATCH($H492,'CAT_ACTIVIDADES'!$A$4:$A$26,0)),""))=""),"SIN CLASIFICAR",IFERROR(INDEX('CAT_ACTIVIDADES'!$D$4:$D$26,MATCH($H492,'CAT_ACTIVIDADES'!$A$4:$A$26,0)),"")))</f>
        <v/>
      </c>
      <c r="AP492" s="4" t="n"/>
      <c r="AQ492" s="4" t="n"/>
      <c r="AR492" s="4" t="n"/>
      <c r="AS492" s="24">
        <f>IF($AR492="","",HYPERLINK(p_ruta_base_checklists&amp;$AR492,"abrir"))</f>
        <v/>
      </c>
      <c r="AT492" s="4" t="n"/>
      <c r="AU492" s="24">
        <f>IF($A492="","",$A492&amp;IF($B492="","0010",$B492))</f>
        <v/>
      </c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41" t="n"/>
      <c r="K493" s="5" t="n"/>
      <c r="L493" s="18" t="n"/>
      <c r="M493" s="24">
        <f>IF($A493="","",IFERROR(INDEX('AJUSTES'!$B$4:$B$303,MATCH($AU493,'AJUSTES'!$A$4:$A$303,0)),IF($K493="","",$K493)))</f>
        <v/>
      </c>
      <c r="N493" s="24">
        <f>IF($A493="","",IFERROR(INDEX('CAT_ESTADOS_ERP'!$B$4:$B$22,MATCH(IFERROR(INDEX('2_IMPORTAR_EJECUCION'!$C$9:$C$1208,MATCH($AU493,'2_IMPORTAR_EJECUCION'!$J$9:$J$1208,0)),""),'CAT_ESTADOS_ERP'!$A$4:$A$22,0)),"Pendiente"))</f>
        <v/>
      </c>
      <c r="O493" s="24">
        <f>IF($J493="","",YEAR($J493+4-WEEKDAY($J493,2))&amp;"-S"&amp;TEXT(_xlfn.ISOWEEKNUM($J493),"00"))</f>
        <v/>
      </c>
      <c r="P493" s="24">
        <f>IF($J493="","",YEAR($J493))</f>
        <v/>
      </c>
      <c r="Q493" s="24">
        <f>IF($J493="","",MONTH($J493))</f>
        <v/>
      </c>
      <c r="R493" s="24">
        <f>IF($J493="","",$P493&amp;"-"&amp;TEXT($Q493,"00"))</f>
        <v/>
      </c>
      <c r="S493" s="24">
        <f>IF($J493="","",INDEX(lista_dias,WEEKDAY($J493,2)))</f>
        <v/>
      </c>
      <c r="T493" s="24">
        <f>IF($J493="","",IFERROR(INDEX('CALENDARIO'!$C$15:$C$214,MATCH(TEXT($J493,"yyyy-mm-dd")&amp;"|"&amp;$Y493&amp;"|"&amp;$Z493,'CALENDARIO'!$G$15:$G$214,0)),IFERROR(INDEX('CALENDARIO'!$C$15:$C$214,MATCH(TEXT($J493,"yyyy-mm-dd")&amp;"|"&amp;$Y493&amp;"|",'CALENDARIO'!$G$15:$G$214,0)),IFERROR(INDEX('CALENDARIO'!$C$15:$C$214,MATCH(TEXT($J493,"yyyy-mm-dd")&amp;"||",'CALENDARIO'!$G$15:$G$214,0)),INDEX(patronHabil,WEEKDAY($J493,2))))))</f>
        <v/>
      </c>
      <c r="U493" s="24">
        <f>IF($I493="","",IFERROR(INDEX('CAT_TIPOS_OT'!$C$4:$C$23,MATCH($I493,'CAT_TIPOS_OT'!$A$4:$A$23,0)),"sin_clasificar"))</f>
        <v/>
      </c>
      <c r="V493" s="24">
        <f>IF($I493="","",IF(IFERROR(INDEX('CAT_TIPOS_OT'!$D$4:$D$23,MATCH($I493,'CAT_TIPOS_OT'!$A$4:$A$23,0)),"SIN CLASIFICAR")="","SIN CLASIFICAR",IFERROR(INDEX('CAT_TIPOS_OT'!$D$4:$D$23,MATCH($I493,'CAT_TIPOS_OT'!$A$4:$A$23,0)),"SIN CLASIFICAR")))</f>
        <v/>
      </c>
      <c r="W493" s="24">
        <f>IF($H493="","",IF(IFERROR(INDEX('CAT_ACTIVIDADES'!$F$4:$F$26,MATCH($H493,'CAT_ACTIVIDADES'!$A$4:$A$26,0)),"")=0,"",IFERROR(INDEX('CAT_ACTIVIDADES'!$F$4:$F$26,MATCH($H493,'CAT_ACTIVIDADES'!$A$4:$A$26,0)),"")))</f>
        <v/>
      </c>
      <c r="X493" s="24">
        <f>IF($F493="","",IFERROR(INDEX('CAT_CENTROS_COSTO'!$F$4:$F$28,MATCH($F493,'CAT_CENTROS_COSTO'!$A$4:$A$28,0)),"(sin catálogo)"))</f>
        <v/>
      </c>
      <c r="Y493" s="24">
        <f>IF($F493="","",IFERROR(INDEX('CAT_CENTROS_COSTO'!$D$4:$D$28,MATCH($F493,'CAT_CENTROS_COSTO'!$A$4:$A$28,0)),"(sin catálogo)"))</f>
        <v/>
      </c>
      <c r="Z493" s="24">
        <f>IF($F493="","",IF((IFERROR(INDEX('CAT_CENTROS_COSTO'!$E$4:$E$28,MATCH($F493,'CAT_CENTROS_COSTO'!$A$4:$A$28,0)),""))&lt;&gt;"",IFERROR(INDEX('CAT_CENTROS_COSTO'!$E$4:$E$28,MATCH($F493,'CAT_CENTROS_COSTO'!$A$4:$A$28,0)),""),$Y493))</f>
        <v/>
      </c>
      <c r="AA493" s="24">
        <f>IF($F493="","",IFERROR(INDEX('CAT_CENTROS_COSTO'!$G$4:$G$28,MATCH($F493,'CAT_CENTROS_COSTO'!$A$4:$A$28,0)),"(sin catálogo)"))</f>
        <v/>
      </c>
      <c r="AB493" s="24">
        <f>IF($G493="","",IFERROR(INDEX('CAT_PUESTOS'!$B$4:$B$23,MATCH($G493,'CAT_PUESTOS'!$A$4:$A$23,0)),"(sin catálogo)"))</f>
        <v/>
      </c>
      <c r="AC493" s="24">
        <f>IF($H493="","",IFERROR(INDEX('CAT_ACTIVIDADES'!$B$4:$B$26,MATCH($H493,'CAT_ACTIVIDADES'!$A$4:$A$26,0)),"(sin catálogo)"))</f>
        <v/>
      </c>
      <c r="AD493" s="26">
        <f>IF($J493="","",TODAY()-$J493)</f>
        <v/>
      </c>
      <c r="AE493" s="26">
        <f>IF($J493="","",IF($J493&lt;=TODAY(),COUNTIFS(cal_fechas,"&gt;="&amp;$J493,cal_fechas,"&lt;"&amp;TODAY(),cal_habil,"sí"),-COUNTIFS(cal_fechas,"&gt;="&amp;TODAY(),cal_fechas,"&lt;"&amp;$J493,cal_habil,"sí")))</f>
        <v/>
      </c>
      <c r="AF493" s="24">
        <f>IF($AE493="","",IF($AE493&lt;0,"FUTURO",IF($AE493&gt;p_dias_backlog_max,"BACKLOG","MES CORRIENTE")))</f>
        <v/>
      </c>
      <c r="AG493" s="24">
        <f>IF($AE493="",FALSE,AND($AE493&gt;p_dias_backlog_min,$AE493&lt;=p_dias_backlog_max))</f>
        <v/>
      </c>
      <c r="AH493" s="4" t="n"/>
      <c r="AI493" s="24">
        <f>IF($AH493="","",IF((IFERROR(INDEX('ASIGNACIONES'!$J$4:$J$451,MATCH($O493&amp;"|"&amp;$S493&amp;"|"&amp;$AH493,'ASIGNACIONES'!$N$4:$N$451,0)),""))=0,"",IFERROR(INDEX('ASIGNACIONES'!$J$4:$J$451,MATCH($O493&amp;"|"&amp;$S493&amp;"|"&amp;$AH493,'ASIGNACIONES'!$N$4:$N$451,0)),"")))</f>
        <v/>
      </c>
      <c r="AJ493" s="42">
        <f>IF($AH493="","",SUMIFS('ORDENES'!$M$4:$M$1203,'ORDENES'!$AH$4:$AH$1203,$AH493,'ORDENES'!$O$4:$O$1203,$O493,'ORDENES'!$S$4:$S$1203,$S493))</f>
        <v/>
      </c>
      <c r="AK493" s="42">
        <f>IF($AJ493="","",p_factor_productividad*IFERROR(INDEX('ASIGNACIONES'!$M$4:$M$451,MATCH($O493&amp;"|"&amp;$S493&amp;"|"&amp;$AH493,'ASIGNACIONES'!$N$4:$N$451,0)),0)-$AJ493)</f>
        <v/>
      </c>
      <c r="AL493" s="32">
        <f>IF($A493="","",IFERROR(INDEX('2_IMPORTAR_EJECUCION'!$F$9:$F$1208,MATCH($AU493,'2_IMPORTAR_EJECUCION'!$J$9:$J$1208,0)),0))</f>
        <v/>
      </c>
      <c r="AM493" s="32">
        <f>IF($A493="","",MAX(0,IFERROR(INDEX('2_IMPORTAR_EJECUCION'!$H$9:$H$1208,MATCH($AU493,'2_IMPORTAR_EJECUCION'!$J$9:$J$1208,0)),0)-$AL493))</f>
        <v/>
      </c>
      <c r="AN493" s="32">
        <f>IF($A493="","",$AL493+$AM493)</f>
        <v/>
      </c>
      <c r="AO493" s="24">
        <f>IF($A493="","",IF(OR((IFERROR(INDEX('CAT_ACTIVIDADES'!$D$4:$D$26,MATCH($H493,'CAT_ACTIVIDADES'!$A$4:$A$26,0)),""))=0,(IFERROR(INDEX('CAT_ACTIVIDADES'!$D$4:$D$26,MATCH($H493,'CAT_ACTIVIDADES'!$A$4:$A$26,0)),""))=""),"SIN CLASIFICAR",IFERROR(INDEX('CAT_ACTIVIDADES'!$D$4:$D$26,MATCH($H493,'CAT_ACTIVIDADES'!$A$4:$A$26,0)),"")))</f>
        <v/>
      </c>
      <c r="AP493" s="4" t="n"/>
      <c r="AQ493" s="4" t="n"/>
      <c r="AR493" s="4" t="n"/>
      <c r="AS493" s="24">
        <f>IF($AR493="","",HYPERLINK(p_ruta_base_checklists&amp;$AR493,"abrir"))</f>
        <v/>
      </c>
      <c r="AT493" s="4" t="n"/>
      <c r="AU493" s="24">
        <f>IF($A493="","",$A493&amp;IF($B493="","0010",$B493))</f>
        <v/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41" t="n"/>
      <c r="K494" s="5" t="n"/>
      <c r="L494" s="18" t="n"/>
      <c r="M494" s="24">
        <f>IF($A494="","",IFERROR(INDEX('AJUSTES'!$B$4:$B$303,MATCH($AU494,'AJUSTES'!$A$4:$A$303,0)),IF($K494="","",$K494)))</f>
        <v/>
      </c>
      <c r="N494" s="24">
        <f>IF($A494="","",IFERROR(INDEX('CAT_ESTADOS_ERP'!$B$4:$B$22,MATCH(IFERROR(INDEX('2_IMPORTAR_EJECUCION'!$C$9:$C$1208,MATCH($AU494,'2_IMPORTAR_EJECUCION'!$J$9:$J$1208,0)),""),'CAT_ESTADOS_ERP'!$A$4:$A$22,0)),"Pendiente"))</f>
        <v/>
      </c>
      <c r="O494" s="24">
        <f>IF($J494="","",YEAR($J494+4-WEEKDAY($J494,2))&amp;"-S"&amp;TEXT(_xlfn.ISOWEEKNUM($J494),"00"))</f>
        <v/>
      </c>
      <c r="P494" s="24">
        <f>IF($J494="","",YEAR($J494))</f>
        <v/>
      </c>
      <c r="Q494" s="24">
        <f>IF($J494="","",MONTH($J494))</f>
        <v/>
      </c>
      <c r="R494" s="24">
        <f>IF($J494="","",$P494&amp;"-"&amp;TEXT($Q494,"00"))</f>
        <v/>
      </c>
      <c r="S494" s="24">
        <f>IF($J494="","",INDEX(lista_dias,WEEKDAY($J494,2)))</f>
        <v/>
      </c>
      <c r="T494" s="24">
        <f>IF($J494="","",IFERROR(INDEX('CALENDARIO'!$C$15:$C$214,MATCH(TEXT($J494,"yyyy-mm-dd")&amp;"|"&amp;$Y494&amp;"|"&amp;$Z494,'CALENDARIO'!$G$15:$G$214,0)),IFERROR(INDEX('CALENDARIO'!$C$15:$C$214,MATCH(TEXT($J494,"yyyy-mm-dd")&amp;"|"&amp;$Y494&amp;"|",'CALENDARIO'!$G$15:$G$214,0)),IFERROR(INDEX('CALENDARIO'!$C$15:$C$214,MATCH(TEXT($J494,"yyyy-mm-dd")&amp;"||",'CALENDARIO'!$G$15:$G$214,0)),INDEX(patronHabil,WEEKDAY($J494,2))))))</f>
        <v/>
      </c>
      <c r="U494" s="24">
        <f>IF($I494="","",IFERROR(INDEX('CAT_TIPOS_OT'!$C$4:$C$23,MATCH($I494,'CAT_TIPOS_OT'!$A$4:$A$23,0)),"sin_clasificar"))</f>
        <v/>
      </c>
      <c r="V494" s="24">
        <f>IF($I494="","",IF(IFERROR(INDEX('CAT_TIPOS_OT'!$D$4:$D$23,MATCH($I494,'CAT_TIPOS_OT'!$A$4:$A$23,0)),"SIN CLASIFICAR")="","SIN CLASIFICAR",IFERROR(INDEX('CAT_TIPOS_OT'!$D$4:$D$23,MATCH($I494,'CAT_TIPOS_OT'!$A$4:$A$23,0)),"SIN CLASIFICAR")))</f>
        <v/>
      </c>
      <c r="W494" s="24">
        <f>IF($H494="","",IF(IFERROR(INDEX('CAT_ACTIVIDADES'!$F$4:$F$26,MATCH($H494,'CAT_ACTIVIDADES'!$A$4:$A$26,0)),"")=0,"",IFERROR(INDEX('CAT_ACTIVIDADES'!$F$4:$F$26,MATCH($H494,'CAT_ACTIVIDADES'!$A$4:$A$26,0)),"")))</f>
        <v/>
      </c>
      <c r="X494" s="24">
        <f>IF($F494="","",IFERROR(INDEX('CAT_CENTROS_COSTO'!$F$4:$F$28,MATCH($F494,'CAT_CENTROS_COSTO'!$A$4:$A$28,0)),"(sin catálogo)"))</f>
        <v/>
      </c>
      <c r="Y494" s="24">
        <f>IF($F494="","",IFERROR(INDEX('CAT_CENTROS_COSTO'!$D$4:$D$28,MATCH($F494,'CAT_CENTROS_COSTO'!$A$4:$A$28,0)),"(sin catálogo)"))</f>
        <v/>
      </c>
      <c r="Z494" s="24">
        <f>IF($F494="","",IF((IFERROR(INDEX('CAT_CENTROS_COSTO'!$E$4:$E$28,MATCH($F494,'CAT_CENTROS_COSTO'!$A$4:$A$28,0)),""))&lt;&gt;"",IFERROR(INDEX('CAT_CENTROS_COSTO'!$E$4:$E$28,MATCH($F494,'CAT_CENTROS_COSTO'!$A$4:$A$28,0)),""),$Y494))</f>
        <v/>
      </c>
      <c r="AA494" s="24">
        <f>IF($F494="","",IFERROR(INDEX('CAT_CENTROS_COSTO'!$G$4:$G$28,MATCH($F494,'CAT_CENTROS_COSTO'!$A$4:$A$28,0)),"(sin catálogo)"))</f>
        <v/>
      </c>
      <c r="AB494" s="24">
        <f>IF($G494="","",IFERROR(INDEX('CAT_PUESTOS'!$B$4:$B$23,MATCH($G494,'CAT_PUESTOS'!$A$4:$A$23,0)),"(sin catálogo)"))</f>
        <v/>
      </c>
      <c r="AC494" s="24">
        <f>IF($H494="","",IFERROR(INDEX('CAT_ACTIVIDADES'!$B$4:$B$26,MATCH($H494,'CAT_ACTIVIDADES'!$A$4:$A$26,0)),"(sin catálogo)"))</f>
        <v/>
      </c>
      <c r="AD494" s="26">
        <f>IF($J494="","",TODAY()-$J494)</f>
        <v/>
      </c>
      <c r="AE494" s="26">
        <f>IF($J494="","",IF($J494&lt;=TODAY(),COUNTIFS(cal_fechas,"&gt;="&amp;$J494,cal_fechas,"&lt;"&amp;TODAY(),cal_habil,"sí"),-COUNTIFS(cal_fechas,"&gt;="&amp;TODAY(),cal_fechas,"&lt;"&amp;$J494,cal_habil,"sí")))</f>
        <v/>
      </c>
      <c r="AF494" s="24">
        <f>IF($AE494="","",IF($AE494&lt;0,"FUTURO",IF($AE494&gt;p_dias_backlog_max,"BACKLOG","MES CORRIENTE")))</f>
        <v/>
      </c>
      <c r="AG494" s="24">
        <f>IF($AE494="",FALSE,AND($AE494&gt;p_dias_backlog_min,$AE494&lt;=p_dias_backlog_max))</f>
        <v/>
      </c>
      <c r="AH494" s="4" t="n"/>
      <c r="AI494" s="24">
        <f>IF($AH494="","",IF((IFERROR(INDEX('ASIGNACIONES'!$J$4:$J$451,MATCH($O494&amp;"|"&amp;$S494&amp;"|"&amp;$AH494,'ASIGNACIONES'!$N$4:$N$451,0)),""))=0,"",IFERROR(INDEX('ASIGNACIONES'!$J$4:$J$451,MATCH($O494&amp;"|"&amp;$S494&amp;"|"&amp;$AH494,'ASIGNACIONES'!$N$4:$N$451,0)),"")))</f>
        <v/>
      </c>
      <c r="AJ494" s="42">
        <f>IF($AH494="","",SUMIFS('ORDENES'!$M$4:$M$1203,'ORDENES'!$AH$4:$AH$1203,$AH494,'ORDENES'!$O$4:$O$1203,$O494,'ORDENES'!$S$4:$S$1203,$S494))</f>
        <v/>
      </c>
      <c r="AK494" s="42">
        <f>IF($AJ494="","",p_factor_productividad*IFERROR(INDEX('ASIGNACIONES'!$M$4:$M$451,MATCH($O494&amp;"|"&amp;$S494&amp;"|"&amp;$AH494,'ASIGNACIONES'!$N$4:$N$451,0)),0)-$AJ494)</f>
        <v/>
      </c>
      <c r="AL494" s="32">
        <f>IF($A494="","",IFERROR(INDEX('2_IMPORTAR_EJECUCION'!$F$9:$F$1208,MATCH($AU494,'2_IMPORTAR_EJECUCION'!$J$9:$J$1208,0)),0))</f>
        <v/>
      </c>
      <c r="AM494" s="32">
        <f>IF($A494="","",MAX(0,IFERROR(INDEX('2_IMPORTAR_EJECUCION'!$H$9:$H$1208,MATCH($AU494,'2_IMPORTAR_EJECUCION'!$J$9:$J$1208,0)),0)-$AL494))</f>
        <v/>
      </c>
      <c r="AN494" s="32">
        <f>IF($A494="","",$AL494+$AM494)</f>
        <v/>
      </c>
      <c r="AO494" s="24">
        <f>IF($A494="","",IF(OR((IFERROR(INDEX('CAT_ACTIVIDADES'!$D$4:$D$26,MATCH($H494,'CAT_ACTIVIDADES'!$A$4:$A$26,0)),""))=0,(IFERROR(INDEX('CAT_ACTIVIDADES'!$D$4:$D$26,MATCH($H494,'CAT_ACTIVIDADES'!$A$4:$A$26,0)),""))=""),"SIN CLASIFICAR",IFERROR(INDEX('CAT_ACTIVIDADES'!$D$4:$D$26,MATCH($H494,'CAT_ACTIVIDADES'!$A$4:$A$26,0)),"")))</f>
        <v/>
      </c>
      <c r="AP494" s="4" t="n"/>
      <c r="AQ494" s="4" t="n"/>
      <c r="AR494" s="4" t="n"/>
      <c r="AS494" s="24">
        <f>IF($AR494="","",HYPERLINK(p_ruta_base_checklists&amp;$AR494,"abrir"))</f>
        <v/>
      </c>
      <c r="AT494" s="4" t="n"/>
      <c r="AU494" s="24">
        <f>IF($A494="","",$A494&amp;IF($B494="","0010",$B494))</f>
        <v/>
      </c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41" t="n"/>
      <c r="K495" s="5" t="n"/>
      <c r="L495" s="18" t="n"/>
      <c r="M495" s="24">
        <f>IF($A495="","",IFERROR(INDEX('AJUSTES'!$B$4:$B$303,MATCH($AU495,'AJUSTES'!$A$4:$A$303,0)),IF($K495="","",$K495)))</f>
        <v/>
      </c>
      <c r="N495" s="24">
        <f>IF($A495="","",IFERROR(INDEX('CAT_ESTADOS_ERP'!$B$4:$B$22,MATCH(IFERROR(INDEX('2_IMPORTAR_EJECUCION'!$C$9:$C$1208,MATCH($AU495,'2_IMPORTAR_EJECUCION'!$J$9:$J$1208,0)),""),'CAT_ESTADOS_ERP'!$A$4:$A$22,0)),"Pendiente"))</f>
        <v/>
      </c>
      <c r="O495" s="24">
        <f>IF($J495="","",YEAR($J495+4-WEEKDAY($J495,2))&amp;"-S"&amp;TEXT(_xlfn.ISOWEEKNUM($J495),"00"))</f>
        <v/>
      </c>
      <c r="P495" s="24">
        <f>IF($J495="","",YEAR($J495))</f>
        <v/>
      </c>
      <c r="Q495" s="24">
        <f>IF($J495="","",MONTH($J495))</f>
        <v/>
      </c>
      <c r="R495" s="24">
        <f>IF($J495="","",$P495&amp;"-"&amp;TEXT($Q495,"00"))</f>
        <v/>
      </c>
      <c r="S495" s="24">
        <f>IF($J495="","",INDEX(lista_dias,WEEKDAY($J495,2)))</f>
        <v/>
      </c>
      <c r="T495" s="24">
        <f>IF($J495="","",IFERROR(INDEX('CALENDARIO'!$C$15:$C$214,MATCH(TEXT($J495,"yyyy-mm-dd")&amp;"|"&amp;$Y495&amp;"|"&amp;$Z495,'CALENDARIO'!$G$15:$G$214,0)),IFERROR(INDEX('CALENDARIO'!$C$15:$C$214,MATCH(TEXT($J495,"yyyy-mm-dd")&amp;"|"&amp;$Y495&amp;"|",'CALENDARIO'!$G$15:$G$214,0)),IFERROR(INDEX('CALENDARIO'!$C$15:$C$214,MATCH(TEXT($J495,"yyyy-mm-dd")&amp;"||",'CALENDARIO'!$G$15:$G$214,0)),INDEX(patronHabil,WEEKDAY($J495,2))))))</f>
        <v/>
      </c>
      <c r="U495" s="24">
        <f>IF($I495="","",IFERROR(INDEX('CAT_TIPOS_OT'!$C$4:$C$23,MATCH($I495,'CAT_TIPOS_OT'!$A$4:$A$23,0)),"sin_clasificar"))</f>
        <v/>
      </c>
      <c r="V495" s="24">
        <f>IF($I495="","",IF(IFERROR(INDEX('CAT_TIPOS_OT'!$D$4:$D$23,MATCH($I495,'CAT_TIPOS_OT'!$A$4:$A$23,0)),"SIN CLASIFICAR")="","SIN CLASIFICAR",IFERROR(INDEX('CAT_TIPOS_OT'!$D$4:$D$23,MATCH($I495,'CAT_TIPOS_OT'!$A$4:$A$23,0)),"SIN CLASIFICAR")))</f>
        <v/>
      </c>
      <c r="W495" s="24">
        <f>IF($H495="","",IF(IFERROR(INDEX('CAT_ACTIVIDADES'!$F$4:$F$26,MATCH($H495,'CAT_ACTIVIDADES'!$A$4:$A$26,0)),"")=0,"",IFERROR(INDEX('CAT_ACTIVIDADES'!$F$4:$F$26,MATCH($H495,'CAT_ACTIVIDADES'!$A$4:$A$26,0)),"")))</f>
        <v/>
      </c>
      <c r="X495" s="24">
        <f>IF($F495="","",IFERROR(INDEX('CAT_CENTROS_COSTO'!$F$4:$F$28,MATCH($F495,'CAT_CENTROS_COSTO'!$A$4:$A$28,0)),"(sin catálogo)"))</f>
        <v/>
      </c>
      <c r="Y495" s="24">
        <f>IF($F495="","",IFERROR(INDEX('CAT_CENTROS_COSTO'!$D$4:$D$28,MATCH($F495,'CAT_CENTROS_COSTO'!$A$4:$A$28,0)),"(sin catálogo)"))</f>
        <v/>
      </c>
      <c r="Z495" s="24">
        <f>IF($F495="","",IF((IFERROR(INDEX('CAT_CENTROS_COSTO'!$E$4:$E$28,MATCH($F495,'CAT_CENTROS_COSTO'!$A$4:$A$28,0)),""))&lt;&gt;"",IFERROR(INDEX('CAT_CENTROS_COSTO'!$E$4:$E$28,MATCH($F495,'CAT_CENTROS_COSTO'!$A$4:$A$28,0)),""),$Y495))</f>
        <v/>
      </c>
      <c r="AA495" s="24">
        <f>IF($F495="","",IFERROR(INDEX('CAT_CENTROS_COSTO'!$G$4:$G$28,MATCH($F495,'CAT_CENTROS_COSTO'!$A$4:$A$28,0)),"(sin catálogo)"))</f>
        <v/>
      </c>
      <c r="AB495" s="24">
        <f>IF($G495="","",IFERROR(INDEX('CAT_PUESTOS'!$B$4:$B$23,MATCH($G495,'CAT_PUESTOS'!$A$4:$A$23,0)),"(sin catálogo)"))</f>
        <v/>
      </c>
      <c r="AC495" s="24">
        <f>IF($H495="","",IFERROR(INDEX('CAT_ACTIVIDADES'!$B$4:$B$26,MATCH($H495,'CAT_ACTIVIDADES'!$A$4:$A$26,0)),"(sin catálogo)"))</f>
        <v/>
      </c>
      <c r="AD495" s="26">
        <f>IF($J495="","",TODAY()-$J495)</f>
        <v/>
      </c>
      <c r="AE495" s="26">
        <f>IF($J495="","",IF($J495&lt;=TODAY(),COUNTIFS(cal_fechas,"&gt;="&amp;$J495,cal_fechas,"&lt;"&amp;TODAY(),cal_habil,"sí"),-COUNTIFS(cal_fechas,"&gt;="&amp;TODAY(),cal_fechas,"&lt;"&amp;$J495,cal_habil,"sí")))</f>
        <v/>
      </c>
      <c r="AF495" s="24">
        <f>IF($AE495="","",IF($AE495&lt;0,"FUTURO",IF($AE495&gt;p_dias_backlog_max,"BACKLOG","MES CORRIENTE")))</f>
        <v/>
      </c>
      <c r="AG495" s="24">
        <f>IF($AE495="",FALSE,AND($AE495&gt;p_dias_backlog_min,$AE495&lt;=p_dias_backlog_max))</f>
        <v/>
      </c>
      <c r="AH495" s="4" t="n"/>
      <c r="AI495" s="24">
        <f>IF($AH495="","",IF((IFERROR(INDEX('ASIGNACIONES'!$J$4:$J$451,MATCH($O495&amp;"|"&amp;$S495&amp;"|"&amp;$AH495,'ASIGNACIONES'!$N$4:$N$451,0)),""))=0,"",IFERROR(INDEX('ASIGNACIONES'!$J$4:$J$451,MATCH($O495&amp;"|"&amp;$S495&amp;"|"&amp;$AH495,'ASIGNACIONES'!$N$4:$N$451,0)),"")))</f>
        <v/>
      </c>
      <c r="AJ495" s="42">
        <f>IF($AH495="","",SUMIFS('ORDENES'!$M$4:$M$1203,'ORDENES'!$AH$4:$AH$1203,$AH495,'ORDENES'!$O$4:$O$1203,$O495,'ORDENES'!$S$4:$S$1203,$S495))</f>
        <v/>
      </c>
      <c r="AK495" s="42">
        <f>IF($AJ495="","",p_factor_productividad*IFERROR(INDEX('ASIGNACIONES'!$M$4:$M$451,MATCH($O495&amp;"|"&amp;$S495&amp;"|"&amp;$AH495,'ASIGNACIONES'!$N$4:$N$451,0)),0)-$AJ495)</f>
        <v/>
      </c>
      <c r="AL495" s="32">
        <f>IF($A495="","",IFERROR(INDEX('2_IMPORTAR_EJECUCION'!$F$9:$F$1208,MATCH($AU495,'2_IMPORTAR_EJECUCION'!$J$9:$J$1208,0)),0))</f>
        <v/>
      </c>
      <c r="AM495" s="32">
        <f>IF($A495="","",MAX(0,IFERROR(INDEX('2_IMPORTAR_EJECUCION'!$H$9:$H$1208,MATCH($AU495,'2_IMPORTAR_EJECUCION'!$J$9:$J$1208,0)),0)-$AL495))</f>
        <v/>
      </c>
      <c r="AN495" s="32">
        <f>IF($A495="","",$AL495+$AM495)</f>
        <v/>
      </c>
      <c r="AO495" s="24">
        <f>IF($A495="","",IF(OR((IFERROR(INDEX('CAT_ACTIVIDADES'!$D$4:$D$26,MATCH($H495,'CAT_ACTIVIDADES'!$A$4:$A$26,0)),""))=0,(IFERROR(INDEX('CAT_ACTIVIDADES'!$D$4:$D$26,MATCH($H495,'CAT_ACTIVIDADES'!$A$4:$A$26,0)),""))=""),"SIN CLASIFICAR",IFERROR(INDEX('CAT_ACTIVIDADES'!$D$4:$D$26,MATCH($H495,'CAT_ACTIVIDADES'!$A$4:$A$26,0)),"")))</f>
        <v/>
      </c>
      <c r="AP495" s="4" t="n"/>
      <c r="AQ495" s="4" t="n"/>
      <c r="AR495" s="4" t="n"/>
      <c r="AS495" s="24">
        <f>IF($AR495="","",HYPERLINK(p_ruta_base_checklists&amp;$AR495,"abrir"))</f>
        <v/>
      </c>
      <c r="AT495" s="4" t="n"/>
      <c r="AU495" s="24">
        <f>IF($A495="","",$A495&amp;IF($B495="","0010",$B495))</f>
        <v/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41" t="n"/>
      <c r="K496" s="5" t="n"/>
      <c r="L496" s="18" t="n"/>
      <c r="M496" s="24">
        <f>IF($A496="","",IFERROR(INDEX('AJUSTES'!$B$4:$B$303,MATCH($AU496,'AJUSTES'!$A$4:$A$303,0)),IF($K496="","",$K496)))</f>
        <v/>
      </c>
      <c r="N496" s="24">
        <f>IF($A496="","",IFERROR(INDEX('CAT_ESTADOS_ERP'!$B$4:$B$22,MATCH(IFERROR(INDEX('2_IMPORTAR_EJECUCION'!$C$9:$C$1208,MATCH($AU496,'2_IMPORTAR_EJECUCION'!$J$9:$J$1208,0)),""),'CAT_ESTADOS_ERP'!$A$4:$A$22,0)),"Pendiente"))</f>
        <v/>
      </c>
      <c r="O496" s="24">
        <f>IF($J496="","",YEAR($J496+4-WEEKDAY($J496,2))&amp;"-S"&amp;TEXT(_xlfn.ISOWEEKNUM($J496),"00"))</f>
        <v/>
      </c>
      <c r="P496" s="24">
        <f>IF($J496="","",YEAR($J496))</f>
        <v/>
      </c>
      <c r="Q496" s="24">
        <f>IF($J496="","",MONTH($J496))</f>
        <v/>
      </c>
      <c r="R496" s="24">
        <f>IF($J496="","",$P496&amp;"-"&amp;TEXT($Q496,"00"))</f>
        <v/>
      </c>
      <c r="S496" s="24">
        <f>IF($J496="","",INDEX(lista_dias,WEEKDAY($J496,2)))</f>
        <v/>
      </c>
      <c r="T496" s="24">
        <f>IF($J496="","",IFERROR(INDEX('CALENDARIO'!$C$15:$C$214,MATCH(TEXT($J496,"yyyy-mm-dd")&amp;"|"&amp;$Y496&amp;"|"&amp;$Z496,'CALENDARIO'!$G$15:$G$214,0)),IFERROR(INDEX('CALENDARIO'!$C$15:$C$214,MATCH(TEXT($J496,"yyyy-mm-dd")&amp;"|"&amp;$Y496&amp;"|",'CALENDARIO'!$G$15:$G$214,0)),IFERROR(INDEX('CALENDARIO'!$C$15:$C$214,MATCH(TEXT($J496,"yyyy-mm-dd")&amp;"||",'CALENDARIO'!$G$15:$G$214,0)),INDEX(patronHabil,WEEKDAY($J496,2))))))</f>
        <v/>
      </c>
      <c r="U496" s="24">
        <f>IF($I496="","",IFERROR(INDEX('CAT_TIPOS_OT'!$C$4:$C$23,MATCH($I496,'CAT_TIPOS_OT'!$A$4:$A$23,0)),"sin_clasificar"))</f>
        <v/>
      </c>
      <c r="V496" s="24">
        <f>IF($I496="","",IF(IFERROR(INDEX('CAT_TIPOS_OT'!$D$4:$D$23,MATCH($I496,'CAT_TIPOS_OT'!$A$4:$A$23,0)),"SIN CLASIFICAR")="","SIN CLASIFICAR",IFERROR(INDEX('CAT_TIPOS_OT'!$D$4:$D$23,MATCH($I496,'CAT_TIPOS_OT'!$A$4:$A$23,0)),"SIN CLASIFICAR")))</f>
        <v/>
      </c>
      <c r="W496" s="24">
        <f>IF($H496="","",IF(IFERROR(INDEX('CAT_ACTIVIDADES'!$F$4:$F$26,MATCH($H496,'CAT_ACTIVIDADES'!$A$4:$A$26,0)),"")=0,"",IFERROR(INDEX('CAT_ACTIVIDADES'!$F$4:$F$26,MATCH($H496,'CAT_ACTIVIDADES'!$A$4:$A$26,0)),"")))</f>
        <v/>
      </c>
      <c r="X496" s="24">
        <f>IF($F496="","",IFERROR(INDEX('CAT_CENTROS_COSTO'!$F$4:$F$28,MATCH($F496,'CAT_CENTROS_COSTO'!$A$4:$A$28,0)),"(sin catálogo)"))</f>
        <v/>
      </c>
      <c r="Y496" s="24">
        <f>IF($F496="","",IFERROR(INDEX('CAT_CENTROS_COSTO'!$D$4:$D$28,MATCH($F496,'CAT_CENTROS_COSTO'!$A$4:$A$28,0)),"(sin catálogo)"))</f>
        <v/>
      </c>
      <c r="Z496" s="24">
        <f>IF($F496="","",IF((IFERROR(INDEX('CAT_CENTROS_COSTO'!$E$4:$E$28,MATCH($F496,'CAT_CENTROS_COSTO'!$A$4:$A$28,0)),""))&lt;&gt;"",IFERROR(INDEX('CAT_CENTROS_COSTO'!$E$4:$E$28,MATCH($F496,'CAT_CENTROS_COSTO'!$A$4:$A$28,0)),""),$Y496))</f>
        <v/>
      </c>
      <c r="AA496" s="24">
        <f>IF($F496="","",IFERROR(INDEX('CAT_CENTROS_COSTO'!$G$4:$G$28,MATCH($F496,'CAT_CENTROS_COSTO'!$A$4:$A$28,0)),"(sin catálogo)"))</f>
        <v/>
      </c>
      <c r="AB496" s="24">
        <f>IF($G496="","",IFERROR(INDEX('CAT_PUESTOS'!$B$4:$B$23,MATCH($G496,'CAT_PUESTOS'!$A$4:$A$23,0)),"(sin catálogo)"))</f>
        <v/>
      </c>
      <c r="AC496" s="24">
        <f>IF($H496="","",IFERROR(INDEX('CAT_ACTIVIDADES'!$B$4:$B$26,MATCH($H496,'CAT_ACTIVIDADES'!$A$4:$A$26,0)),"(sin catálogo)"))</f>
        <v/>
      </c>
      <c r="AD496" s="26">
        <f>IF($J496="","",TODAY()-$J496)</f>
        <v/>
      </c>
      <c r="AE496" s="26">
        <f>IF($J496="","",IF($J496&lt;=TODAY(),COUNTIFS(cal_fechas,"&gt;="&amp;$J496,cal_fechas,"&lt;"&amp;TODAY(),cal_habil,"sí"),-COUNTIFS(cal_fechas,"&gt;="&amp;TODAY(),cal_fechas,"&lt;"&amp;$J496,cal_habil,"sí")))</f>
        <v/>
      </c>
      <c r="AF496" s="24">
        <f>IF($AE496="","",IF($AE496&lt;0,"FUTURO",IF($AE496&gt;p_dias_backlog_max,"BACKLOG","MES CORRIENTE")))</f>
        <v/>
      </c>
      <c r="AG496" s="24">
        <f>IF($AE496="",FALSE,AND($AE496&gt;p_dias_backlog_min,$AE496&lt;=p_dias_backlog_max))</f>
        <v/>
      </c>
      <c r="AH496" s="4" t="n"/>
      <c r="AI496" s="24">
        <f>IF($AH496="","",IF((IFERROR(INDEX('ASIGNACIONES'!$J$4:$J$451,MATCH($O496&amp;"|"&amp;$S496&amp;"|"&amp;$AH496,'ASIGNACIONES'!$N$4:$N$451,0)),""))=0,"",IFERROR(INDEX('ASIGNACIONES'!$J$4:$J$451,MATCH($O496&amp;"|"&amp;$S496&amp;"|"&amp;$AH496,'ASIGNACIONES'!$N$4:$N$451,0)),"")))</f>
        <v/>
      </c>
      <c r="AJ496" s="42">
        <f>IF($AH496="","",SUMIFS('ORDENES'!$M$4:$M$1203,'ORDENES'!$AH$4:$AH$1203,$AH496,'ORDENES'!$O$4:$O$1203,$O496,'ORDENES'!$S$4:$S$1203,$S496))</f>
        <v/>
      </c>
      <c r="AK496" s="42">
        <f>IF($AJ496="","",p_factor_productividad*IFERROR(INDEX('ASIGNACIONES'!$M$4:$M$451,MATCH($O496&amp;"|"&amp;$S496&amp;"|"&amp;$AH496,'ASIGNACIONES'!$N$4:$N$451,0)),0)-$AJ496)</f>
        <v/>
      </c>
      <c r="AL496" s="32">
        <f>IF($A496="","",IFERROR(INDEX('2_IMPORTAR_EJECUCION'!$F$9:$F$1208,MATCH($AU496,'2_IMPORTAR_EJECUCION'!$J$9:$J$1208,0)),0))</f>
        <v/>
      </c>
      <c r="AM496" s="32">
        <f>IF($A496="","",MAX(0,IFERROR(INDEX('2_IMPORTAR_EJECUCION'!$H$9:$H$1208,MATCH($AU496,'2_IMPORTAR_EJECUCION'!$J$9:$J$1208,0)),0)-$AL496))</f>
        <v/>
      </c>
      <c r="AN496" s="32">
        <f>IF($A496="","",$AL496+$AM496)</f>
        <v/>
      </c>
      <c r="AO496" s="24">
        <f>IF($A496="","",IF(OR((IFERROR(INDEX('CAT_ACTIVIDADES'!$D$4:$D$26,MATCH($H496,'CAT_ACTIVIDADES'!$A$4:$A$26,0)),""))=0,(IFERROR(INDEX('CAT_ACTIVIDADES'!$D$4:$D$26,MATCH($H496,'CAT_ACTIVIDADES'!$A$4:$A$26,0)),""))=""),"SIN CLASIFICAR",IFERROR(INDEX('CAT_ACTIVIDADES'!$D$4:$D$26,MATCH($H496,'CAT_ACTIVIDADES'!$A$4:$A$26,0)),"")))</f>
        <v/>
      </c>
      <c r="AP496" s="4" t="n"/>
      <c r="AQ496" s="4" t="n"/>
      <c r="AR496" s="4" t="n"/>
      <c r="AS496" s="24">
        <f>IF($AR496="","",HYPERLINK(p_ruta_base_checklists&amp;$AR496,"abrir"))</f>
        <v/>
      </c>
      <c r="AT496" s="4" t="n"/>
      <c r="AU496" s="24">
        <f>IF($A496="","",$A496&amp;IF($B496="","0010",$B496))</f>
        <v/>
      </c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41" t="n"/>
      <c r="K497" s="5" t="n"/>
      <c r="L497" s="18" t="n"/>
      <c r="M497" s="24">
        <f>IF($A497="","",IFERROR(INDEX('AJUSTES'!$B$4:$B$303,MATCH($AU497,'AJUSTES'!$A$4:$A$303,0)),IF($K497="","",$K497)))</f>
        <v/>
      </c>
      <c r="N497" s="24">
        <f>IF($A497="","",IFERROR(INDEX('CAT_ESTADOS_ERP'!$B$4:$B$22,MATCH(IFERROR(INDEX('2_IMPORTAR_EJECUCION'!$C$9:$C$1208,MATCH($AU497,'2_IMPORTAR_EJECUCION'!$J$9:$J$1208,0)),""),'CAT_ESTADOS_ERP'!$A$4:$A$22,0)),"Pendiente"))</f>
        <v/>
      </c>
      <c r="O497" s="24">
        <f>IF($J497="","",YEAR($J497+4-WEEKDAY($J497,2))&amp;"-S"&amp;TEXT(_xlfn.ISOWEEKNUM($J497),"00"))</f>
        <v/>
      </c>
      <c r="P497" s="24">
        <f>IF($J497="","",YEAR($J497))</f>
        <v/>
      </c>
      <c r="Q497" s="24">
        <f>IF($J497="","",MONTH($J497))</f>
        <v/>
      </c>
      <c r="R497" s="24">
        <f>IF($J497="","",$P497&amp;"-"&amp;TEXT($Q497,"00"))</f>
        <v/>
      </c>
      <c r="S497" s="24">
        <f>IF($J497="","",INDEX(lista_dias,WEEKDAY($J497,2)))</f>
        <v/>
      </c>
      <c r="T497" s="24">
        <f>IF($J497="","",IFERROR(INDEX('CALENDARIO'!$C$15:$C$214,MATCH(TEXT($J497,"yyyy-mm-dd")&amp;"|"&amp;$Y497&amp;"|"&amp;$Z497,'CALENDARIO'!$G$15:$G$214,0)),IFERROR(INDEX('CALENDARIO'!$C$15:$C$214,MATCH(TEXT($J497,"yyyy-mm-dd")&amp;"|"&amp;$Y497&amp;"|",'CALENDARIO'!$G$15:$G$214,0)),IFERROR(INDEX('CALENDARIO'!$C$15:$C$214,MATCH(TEXT($J497,"yyyy-mm-dd")&amp;"||",'CALENDARIO'!$G$15:$G$214,0)),INDEX(patronHabil,WEEKDAY($J497,2))))))</f>
        <v/>
      </c>
      <c r="U497" s="24">
        <f>IF($I497="","",IFERROR(INDEX('CAT_TIPOS_OT'!$C$4:$C$23,MATCH($I497,'CAT_TIPOS_OT'!$A$4:$A$23,0)),"sin_clasificar"))</f>
        <v/>
      </c>
      <c r="V497" s="24">
        <f>IF($I497="","",IF(IFERROR(INDEX('CAT_TIPOS_OT'!$D$4:$D$23,MATCH($I497,'CAT_TIPOS_OT'!$A$4:$A$23,0)),"SIN CLASIFICAR")="","SIN CLASIFICAR",IFERROR(INDEX('CAT_TIPOS_OT'!$D$4:$D$23,MATCH($I497,'CAT_TIPOS_OT'!$A$4:$A$23,0)),"SIN CLASIFICAR")))</f>
        <v/>
      </c>
      <c r="W497" s="24">
        <f>IF($H497="","",IF(IFERROR(INDEX('CAT_ACTIVIDADES'!$F$4:$F$26,MATCH($H497,'CAT_ACTIVIDADES'!$A$4:$A$26,0)),"")=0,"",IFERROR(INDEX('CAT_ACTIVIDADES'!$F$4:$F$26,MATCH($H497,'CAT_ACTIVIDADES'!$A$4:$A$26,0)),"")))</f>
        <v/>
      </c>
      <c r="X497" s="24">
        <f>IF($F497="","",IFERROR(INDEX('CAT_CENTROS_COSTO'!$F$4:$F$28,MATCH($F497,'CAT_CENTROS_COSTO'!$A$4:$A$28,0)),"(sin catálogo)"))</f>
        <v/>
      </c>
      <c r="Y497" s="24">
        <f>IF($F497="","",IFERROR(INDEX('CAT_CENTROS_COSTO'!$D$4:$D$28,MATCH($F497,'CAT_CENTROS_COSTO'!$A$4:$A$28,0)),"(sin catálogo)"))</f>
        <v/>
      </c>
      <c r="Z497" s="24">
        <f>IF($F497="","",IF((IFERROR(INDEX('CAT_CENTROS_COSTO'!$E$4:$E$28,MATCH($F497,'CAT_CENTROS_COSTO'!$A$4:$A$28,0)),""))&lt;&gt;"",IFERROR(INDEX('CAT_CENTROS_COSTO'!$E$4:$E$28,MATCH($F497,'CAT_CENTROS_COSTO'!$A$4:$A$28,0)),""),$Y497))</f>
        <v/>
      </c>
      <c r="AA497" s="24">
        <f>IF($F497="","",IFERROR(INDEX('CAT_CENTROS_COSTO'!$G$4:$G$28,MATCH($F497,'CAT_CENTROS_COSTO'!$A$4:$A$28,0)),"(sin catálogo)"))</f>
        <v/>
      </c>
      <c r="AB497" s="24">
        <f>IF($G497="","",IFERROR(INDEX('CAT_PUESTOS'!$B$4:$B$23,MATCH($G497,'CAT_PUESTOS'!$A$4:$A$23,0)),"(sin catálogo)"))</f>
        <v/>
      </c>
      <c r="AC497" s="24">
        <f>IF($H497="","",IFERROR(INDEX('CAT_ACTIVIDADES'!$B$4:$B$26,MATCH($H497,'CAT_ACTIVIDADES'!$A$4:$A$26,0)),"(sin catálogo)"))</f>
        <v/>
      </c>
      <c r="AD497" s="26">
        <f>IF($J497="","",TODAY()-$J497)</f>
        <v/>
      </c>
      <c r="AE497" s="26">
        <f>IF($J497="","",IF($J497&lt;=TODAY(),COUNTIFS(cal_fechas,"&gt;="&amp;$J497,cal_fechas,"&lt;"&amp;TODAY(),cal_habil,"sí"),-COUNTIFS(cal_fechas,"&gt;="&amp;TODAY(),cal_fechas,"&lt;"&amp;$J497,cal_habil,"sí")))</f>
        <v/>
      </c>
      <c r="AF497" s="24">
        <f>IF($AE497="","",IF($AE497&lt;0,"FUTURO",IF($AE497&gt;p_dias_backlog_max,"BACKLOG","MES CORRIENTE")))</f>
        <v/>
      </c>
      <c r="AG497" s="24">
        <f>IF($AE497="",FALSE,AND($AE497&gt;p_dias_backlog_min,$AE497&lt;=p_dias_backlog_max))</f>
        <v/>
      </c>
      <c r="AH497" s="4" t="n"/>
      <c r="AI497" s="24">
        <f>IF($AH497="","",IF((IFERROR(INDEX('ASIGNACIONES'!$J$4:$J$451,MATCH($O497&amp;"|"&amp;$S497&amp;"|"&amp;$AH497,'ASIGNACIONES'!$N$4:$N$451,0)),""))=0,"",IFERROR(INDEX('ASIGNACIONES'!$J$4:$J$451,MATCH($O497&amp;"|"&amp;$S497&amp;"|"&amp;$AH497,'ASIGNACIONES'!$N$4:$N$451,0)),"")))</f>
        <v/>
      </c>
      <c r="AJ497" s="42">
        <f>IF($AH497="","",SUMIFS('ORDENES'!$M$4:$M$1203,'ORDENES'!$AH$4:$AH$1203,$AH497,'ORDENES'!$O$4:$O$1203,$O497,'ORDENES'!$S$4:$S$1203,$S497))</f>
        <v/>
      </c>
      <c r="AK497" s="42">
        <f>IF($AJ497="","",p_factor_productividad*IFERROR(INDEX('ASIGNACIONES'!$M$4:$M$451,MATCH($O497&amp;"|"&amp;$S497&amp;"|"&amp;$AH497,'ASIGNACIONES'!$N$4:$N$451,0)),0)-$AJ497)</f>
        <v/>
      </c>
      <c r="AL497" s="32">
        <f>IF($A497="","",IFERROR(INDEX('2_IMPORTAR_EJECUCION'!$F$9:$F$1208,MATCH($AU497,'2_IMPORTAR_EJECUCION'!$J$9:$J$1208,0)),0))</f>
        <v/>
      </c>
      <c r="AM497" s="32">
        <f>IF($A497="","",MAX(0,IFERROR(INDEX('2_IMPORTAR_EJECUCION'!$H$9:$H$1208,MATCH($AU497,'2_IMPORTAR_EJECUCION'!$J$9:$J$1208,0)),0)-$AL497))</f>
        <v/>
      </c>
      <c r="AN497" s="32">
        <f>IF($A497="","",$AL497+$AM497)</f>
        <v/>
      </c>
      <c r="AO497" s="24">
        <f>IF($A497="","",IF(OR((IFERROR(INDEX('CAT_ACTIVIDADES'!$D$4:$D$26,MATCH($H497,'CAT_ACTIVIDADES'!$A$4:$A$26,0)),""))=0,(IFERROR(INDEX('CAT_ACTIVIDADES'!$D$4:$D$26,MATCH($H497,'CAT_ACTIVIDADES'!$A$4:$A$26,0)),""))=""),"SIN CLASIFICAR",IFERROR(INDEX('CAT_ACTIVIDADES'!$D$4:$D$26,MATCH($H497,'CAT_ACTIVIDADES'!$A$4:$A$26,0)),"")))</f>
        <v/>
      </c>
      <c r="AP497" s="4" t="n"/>
      <c r="AQ497" s="4" t="n"/>
      <c r="AR497" s="4" t="n"/>
      <c r="AS497" s="24">
        <f>IF($AR497="","",HYPERLINK(p_ruta_base_checklists&amp;$AR497,"abrir"))</f>
        <v/>
      </c>
      <c r="AT497" s="4" t="n"/>
      <c r="AU497" s="24">
        <f>IF($A497="","",$A497&amp;IF($B497="","0010",$B497))</f>
        <v/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41" t="n"/>
      <c r="K498" s="5" t="n"/>
      <c r="L498" s="18" t="n"/>
      <c r="M498" s="24">
        <f>IF($A498="","",IFERROR(INDEX('AJUSTES'!$B$4:$B$303,MATCH($AU498,'AJUSTES'!$A$4:$A$303,0)),IF($K498="","",$K498)))</f>
        <v/>
      </c>
      <c r="N498" s="24">
        <f>IF($A498="","",IFERROR(INDEX('CAT_ESTADOS_ERP'!$B$4:$B$22,MATCH(IFERROR(INDEX('2_IMPORTAR_EJECUCION'!$C$9:$C$1208,MATCH($AU498,'2_IMPORTAR_EJECUCION'!$J$9:$J$1208,0)),""),'CAT_ESTADOS_ERP'!$A$4:$A$22,0)),"Pendiente"))</f>
        <v/>
      </c>
      <c r="O498" s="24">
        <f>IF($J498="","",YEAR($J498+4-WEEKDAY($J498,2))&amp;"-S"&amp;TEXT(_xlfn.ISOWEEKNUM($J498),"00"))</f>
        <v/>
      </c>
      <c r="P498" s="24">
        <f>IF($J498="","",YEAR($J498))</f>
        <v/>
      </c>
      <c r="Q498" s="24">
        <f>IF($J498="","",MONTH($J498))</f>
        <v/>
      </c>
      <c r="R498" s="24">
        <f>IF($J498="","",$P498&amp;"-"&amp;TEXT($Q498,"00"))</f>
        <v/>
      </c>
      <c r="S498" s="24">
        <f>IF($J498="","",INDEX(lista_dias,WEEKDAY($J498,2)))</f>
        <v/>
      </c>
      <c r="T498" s="24">
        <f>IF($J498="","",IFERROR(INDEX('CALENDARIO'!$C$15:$C$214,MATCH(TEXT($J498,"yyyy-mm-dd")&amp;"|"&amp;$Y498&amp;"|"&amp;$Z498,'CALENDARIO'!$G$15:$G$214,0)),IFERROR(INDEX('CALENDARIO'!$C$15:$C$214,MATCH(TEXT($J498,"yyyy-mm-dd")&amp;"|"&amp;$Y498&amp;"|",'CALENDARIO'!$G$15:$G$214,0)),IFERROR(INDEX('CALENDARIO'!$C$15:$C$214,MATCH(TEXT($J498,"yyyy-mm-dd")&amp;"||",'CALENDARIO'!$G$15:$G$214,0)),INDEX(patronHabil,WEEKDAY($J498,2))))))</f>
        <v/>
      </c>
      <c r="U498" s="24">
        <f>IF($I498="","",IFERROR(INDEX('CAT_TIPOS_OT'!$C$4:$C$23,MATCH($I498,'CAT_TIPOS_OT'!$A$4:$A$23,0)),"sin_clasificar"))</f>
        <v/>
      </c>
      <c r="V498" s="24">
        <f>IF($I498="","",IF(IFERROR(INDEX('CAT_TIPOS_OT'!$D$4:$D$23,MATCH($I498,'CAT_TIPOS_OT'!$A$4:$A$23,0)),"SIN CLASIFICAR")="","SIN CLASIFICAR",IFERROR(INDEX('CAT_TIPOS_OT'!$D$4:$D$23,MATCH($I498,'CAT_TIPOS_OT'!$A$4:$A$23,0)),"SIN CLASIFICAR")))</f>
        <v/>
      </c>
      <c r="W498" s="24">
        <f>IF($H498="","",IF(IFERROR(INDEX('CAT_ACTIVIDADES'!$F$4:$F$26,MATCH($H498,'CAT_ACTIVIDADES'!$A$4:$A$26,0)),"")=0,"",IFERROR(INDEX('CAT_ACTIVIDADES'!$F$4:$F$26,MATCH($H498,'CAT_ACTIVIDADES'!$A$4:$A$26,0)),"")))</f>
        <v/>
      </c>
      <c r="X498" s="24">
        <f>IF($F498="","",IFERROR(INDEX('CAT_CENTROS_COSTO'!$F$4:$F$28,MATCH($F498,'CAT_CENTROS_COSTO'!$A$4:$A$28,0)),"(sin catálogo)"))</f>
        <v/>
      </c>
      <c r="Y498" s="24">
        <f>IF($F498="","",IFERROR(INDEX('CAT_CENTROS_COSTO'!$D$4:$D$28,MATCH($F498,'CAT_CENTROS_COSTO'!$A$4:$A$28,0)),"(sin catálogo)"))</f>
        <v/>
      </c>
      <c r="Z498" s="24">
        <f>IF($F498="","",IF((IFERROR(INDEX('CAT_CENTROS_COSTO'!$E$4:$E$28,MATCH($F498,'CAT_CENTROS_COSTO'!$A$4:$A$28,0)),""))&lt;&gt;"",IFERROR(INDEX('CAT_CENTROS_COSTO'!$E$4:$E$28,MATCH($F498,'CAT_CENTROS_COSTO'!$A$4:$A$28,0)),""),$Y498))</f>
        <v/>
      </c>
      <c r="AA498" s="24">
        <f>IF($F498="","",IFERROR(INDEX('CAT_CENTROS_COSTO'!$G$4:$G$28,MATCH($F498,'CAT_CENTROS_COSTO'!$A$4:$A$28,0)),"(sin catálogo)"))</f>
        <v/>
      </c>
      <c r="AB498" s="24">
        <f>IF($G498="","",IFERROR(INDEX('CAT_PUESTOS'!$B$4:$B$23,MATCH($G498,'CAT_PUESTOS'!$A$4:$A$23,0)),"(sin catálogo)"))</f>
        <v/>
      </c>
      <c r="AC498" s="24">
        <f>IF($H498="","",IFERROR(INDEX('CAT_ACTIVIDADES'!$B$4:$B$26,MATCH($H498,'CAT_ACTIVIDADES'!$A$4:$A$26,0)),"(sin catálogo)"))</f>
        <v/>
      </c>
      <c r="AD498" s="26">
        <f>IF($J498="","",TODAY()-$J498)</f>
        <v/>
      </c>
      <c r="AE498" s="26">
        <f>IF($J498="","",IF($J498&lt;=TODAY(),COUNTIFS(cal_fechas,"&gt;="&amp;$J498,cal_fechas,"&lt;"&amp;TODAY(),cal_habil,"sí"),-COUNTIFS(cal_fechas,"&gt;="&amp;TODAY(),cal_fechas,"&lt;"&amp;$J498,cal_habil,"sí")))</f>
        <v/>
      </c>
      <c r="AF498" s="24">
        <f>IF($AE498="","",IF($AE498&lt;0,"FUTURO",IF($AE498&gt;p_dias_backlog_max,"BACKLOG","MES CORRIENTE")))</f>
        <v/>
      </c>
      <c r="AG498" s="24">
        <f>IF($AE498="",FALSE,AND($AE498&gt;p_dias_backlog_min,$AE498&lt;=p_dias_backlog_max))</f>
        <v/>
      </c>
      <c r="AH498" s="4" t="n"/>
      <c r="AI498" s="24">
        <f>IF($AH498="","",IF((IFERROR(INDEX('ASIGNACIONES'!$J$4:$J$451,MATCH($O498&amp;"|"&amp;$S498&amp;"|"&amp;$AH498,'ASIGNACIONES'!$N$4:$N$451,0)),""))=0,"",IFERROR(INDEX('ASIGNACIONES'!$J$4:$J$451,MATCH($O498&amp;"|"&amp;$S498&amp;"|"&amp;$AH498,'ASIGNACIONES'!$N$4:$N$451,0)),"")))</f>
        <v/>
      </c>
      <c r="AJ498" s="42">
        <f>IF($AH498="","",SUMIFS('ORDENES'!$M$4:$M$1203,'ORDENES'!$AH$4:$AH$1203,$AH498,'ORDENES'!$O$4:$O$1203,$O498,'ORDENES'!$S$4:$S$1203,$S498))</f>
        <v/>
      </c>
      <c r="AK498" s="42">
        <f>IF($AJ498="","",p_factor_productividad*IFERROR(INDEX('ASIGNACIONES'!$M$4:$M$451,MATCH($O498&amp;"|"&amp;$S498&amp;"|"&amp;$AH498,'ASIGNACIONES'!$N$4:$N$451,0)),0)-$AJ498)</f>
        <v/>
      </c>
      <c r="AL498" s="32">
        <f>IF($A498="","",IFERROR(INDEX('2_IMPORTAR_EJECUCION'!$F$9:$F$1208,MATCH($AU498,'2_IMPORTAR_EJECUCION'!$J$9:$J$1208,0)),0))</f>
        <v/>
      </c>
      <c r="AM498" s="32">
        <f>IF($A498="","",MAX(0,IFERROR(INDEX('2_IMPORTAR_EJECUCION'!$H$9:$H$1208,MATCH($AU498,'2_IMPORTAR_EJECUCION'!$J$9:$J$1208,0)),0)-$AL498))</f>
        <v/>
      </c>
      <c r="AN498" s="32">
        <f>IF($A498="","",$AL498+$AM498)</f>
        <v/>
      </c>
      <c r="AO498" s="24">
        <f>IF($A498="","",IF(OR((IFERROR(INDEX('CAT_ACTIVIDADES'!$D$4:$D$26,MATCH($H498,'CAT_ACTIVIDADES'!$A$4:$A$26,0)),""))=0,(IFERROR(INDEX('CAT_ACTIVIDADES'!$D$4:$D$26,MATCH($H498,'CAT_ACTIVIDADES'!$A$4:$A$26,0)),""))=""),"SIN CLASIFICAR",IFERROR(INDEX('CAT_ACTIVIDADES'!$D$4:$D$26,MATCH($H498,'CAT_ACTIVIDADES'!$A$4:$A$26,0)),"")))</f>
        <v/>
      </c>
      <c r="AP498" s="4" t="n"/>
      <c r="AQ498" s="4" t="n"/>
      <c r="AR498" s="4" t="n"/>
      <c r="AS498" s="24">
        <f>IF($AR498="","",HYPERLINK(p_ruta_base_checklists&amp;$AR498,"abrir"))</f>
        <v/>
      </c>
      <c r="AT498" s="4" t="n"/>
      <c r="AU498" s="24">
        <f>IF($A498="","",$A498&amp;IF($B498="","0010",$B498))</f>
        <v/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41" t="n"/>
      <c r="K499" s="5" t="n"/>
      <c r="L499" s="18" t="n"/>
      <c r="M499" s="24">
        <f>IF($A499="","",IFERROR(INDEX('AJUSTES'!$B$4:$B$303,MATCH($AU499,'AJUSTES'!$A$4:$A$303,0)),IF($K499="","",$K499)))</f>
        <v/>
      </c>
      <c r="N499" s="24">
        <f>IF($A499="","",IFERROR(INDEX('CAT_ESTADOS_ERP'!$B$4:$B$22,MATCH(IFERROR(INDEX('2_IMPORTAR_EJECUCION'!$C$9:$C$1208,MATCH($AU499,'2_IMPORTAR_EJECUCION'!$J$9:$J$1208,0)),""),'CAT_ESTADOS_ERP'!$A$4:$A$22,0)),"Pendiente"))</f>
        <v/>
      </c>
      <c r="O499" s="24">
        <f>IF($J499="","",YEAR($J499+4-WEEKDAY($J499,2))&amp;"-S"&amp;TEXT(_xlfn.ISOWEEKNUM($J499),"00"))</f>
        <v/>
      </c>
      <c r="P499" s="24">
        <f>IF($J499="","",YEAR($J499))</f>
        <v/>
      </c>
      <c r="Q499" s="24">
        <f>IF($J499="","",MONTH($J499))</f>
        <v/>
      </c>
      <c r="R499" s="24">
        <f>IF($J499="","",$P499&amp;"-"&amp;TEXT($Q499,"00"))</f>
        <v/>
      </c>
      <c r="S499" s="24">
        <f>IF($J499="","",INDEX(lista_dias,WEEKDAY($J499,2)))</f>
        <v/>
      </c>
      <c r="T499" s="24">
        <f>IF($J499="","",IFERROR(INDEX('CALENDARIO'!$C$15:$C$214,MATCH(TEXT($J499,"yyyy-mm-dd")&amp;"|"&amp;$Y499&amp;"|"&amp;$Z499,'CALENDARIO'!$G$15:$G$214,0)),IFERROR(INDEX('CALENDARIO'!$C$15:$C$214,MATCH(TEXT($J499,"yyyy-mm-dd")&amp;"|"&amp;$Y499&amp;"|",'CALENDARIO'!$G$15:$G$214,0)),IFERROR(INDEX('CALENDARIO'!$C$15:$C$214,MATCH(TEXT($J499,"yyyy-mm-dd")&amp;"||",'CALENDARIO'!$G$15:$G$214,0)),INDEX(patronHabil,WEEKDAY($J499,2))))))</f>
        <v/>
      </c>
      <c r="U499" s="24">
        <f>IF($I499="","",IFERROR(INDEX('CAT_TIPOS_OT'!$C$4:$C$23,MATCH($I499,'CAT_TIPOS_OT'!$A$4:$A$23,0)),"sin_clasificar"))</f>
        <v/>
      </c>
      <c r="V499" s="24">
        <f>IF($I499="","",IF(IFERROR(INDEX('CAT_TIPOS_OT'!$D$4:$D$23,MATCH($I499,'CAT_TIPOS_OT'!$A$4:$A$23,0)),"SIN CLASIFICAR")="","SIN CLASIFICAR",IFERROR(INDEX('CAT_TIPOS_OT'!$D$4:$D$23,MATCH($I499,'CAT_TIPOS_OT'!$A$4:$A$23,0)),"SIN CLASIFICAR")))</f>
        <v/>
      </c>
      <c r="W499" s="24">
        <f>IF($H499="","",IF(IFERROR(INDEX('CAT_ACTIVIDADES'!$F$4:$F$26,MATCH($H499,'CAT_ACTIVIDADES'!$A$4:$A$26,0)),"")=0,"",IFERROR(INDEX('CAT_ACTIVIDADES'!$F$4:$F$26,MATCH($H499,'CAT_ACTIVIDADES'!$A$4:$A$26,0)),"")))</f>
        <v/>
      </c>
      <c r="X499" s="24">
        <f>IF($F499="","",IFERROR(INDEX('CAT_CENTROS_COSTO'!$F$4:$F$28,MATCH($F499,'CAT_CENTROS_COSTO'!$A$4:$A$28,0)),"(sin catálogo)"))</f>
        <v/>
      </c>
      <c r="Y499" s="24">
        <f>IF($F499="","",IFERROR(INDEX('CAT_CENTROS_COSTO'!$D$4:$D$28,MATCH($F499,'CAT_CENTROS_COSTO'!$A$4:$A$28,0)),"(sin catálogo)"))</f>
        <v/>
      </c>
      <c r="Z499" s="24">
        <f>IF($F499="","",IF((IFERROR(INDEX('CAT_CENTROS_COSTO'!$E$4:$E$28,MATCH($F499,'CAT_CENTROS_COSTO'!$A$4:$A$28,0)),""))&lt;&gt;"",IFERROR(INDEX('CAT_CENTROS_COSTO'!$E$4:$E$28,MATCH($F499,'CAT_CENTROS_COSTO'!$A$4:$A$28,0)),""),$Y499))</f>
        <v/>
      </c>
      <c r="AA499" s="24">
        <f>IF($F499="","",IFERROR(INDEX('CAT_CENTROS_COSTO'!$G$4:$G$28,MATCH($F499,'CAT_CENTROS_COSTO'!$A$4:$A$28,0)),"(sin catálogo)"))</f>
        <v/>
      </c>
      <c r="AB499" s="24">
        <f>IF($G499="","",IFERROR(INDEX('CAT_PUESTOS'!$B$4:$B$23,MATCH($G499,'CAT_PUESTOS'!$A$4:$A$23,0)),"(sin catálogo)"))</f>
        <v/>
      </c>
      <c r="AC499" s="24">
        <f>IF($H499="","",IFERROR(INDEX('CAT_ACTIVIDADES'!$B$4:$B$26,MATCH($H499,'CAT_ACTIVIDADES'!$A$4:$A$26,0)),"(sin catálogo)"))</f>
        <v/>
      </c>
      <c r="AD499" s="26">
        <f>IF($J499="","",TODAY()-$J499)</f>
        <v/>
      </c>
      <c r="AE499" s="26">
        <f>IF($J499="","",IF($J499&lt;=TODAY(),COUNTIFS(cal_fechas,"&gt;="&amp;$J499,cal_fechas,"&lt;"&amp;TODAY(),cal_habil,"sí"),-COUNTIFS(cal_fechas,"&gt;="&amp;TODAY(),cal_fechas,"&lt;"&amp;$J499,cal_habil,"sí")))</f>
        <v/>
      </c>
      <c r="AF499" s="24">
        <f>IF($AE499="","",IF($AE499&lt;0,"FUTURO",IF($AE499&gt;p_dias_backlog_max,"BACKLOG","MES CORRIENTE")))</f>
        <v/>
      </c>
      <c r="AG499" s="24">
        <f>IF($AE499="",FALSE,AND($AE499&gt;p_dias_backlog_min,$AE499&lt;=p_dias_backlog_max))</f>
        <v/>
      </c>
      <c r="AH499" s="4" t="n"/>
      <c r="AI499" s="24">
        <f>IF($AH499="","",IF((IFERROR(INDEX('ASIGNACIONES'!$J$4:$J$451,MATCH($O499&amp;"|"&amp;$S499&amp;"|"&amp;$AH499,'ASIGNACIONES'!$N$4:$N$451,0)),""))=0,"",IFERROR(INDEX('ASIGNACIONES'!$J$4:$J$451,MATCH($O499&amp;"|"&amp;$S499&amp;"|"&amp;$AH499,'ASIGNACIONES'!$N$4:$N$451,0)),"")))</f>
        <v/>
      </c>
      <c r="AJ499" s="42">
        <f>IF($AH499="","",SUMIFS('ORDENES'!$M$4:$M$1203,'ORDENES'!$AH$4:$AH$1203,$AH499,'ORDENES'!$O$4:$O$1203,$O499,'ORDENES'!$S$4:$S$1203,$S499))</f>
        <v/>
      </c>
      <c r="AK499" s="42">
        <f>IF($AJ499="","",p_factor_productividad*IFERROR(INDEX('ASIGNACIONES'!$M$4:$M$451,MATCH($O499&amp;"|"&amp;$S499&amp;"|"&amp;$AH499,'ASIGNACIONES'!$N$4:$N$451,0)),0)-$AJ499)</f>
        <v/>
      </c>
      <c r="AL499" s="32">
        <f>IF($A499="","",IFERROR(INDEX('2_IMPORTAR_EJECUCION'!$F$9:$F$1208,MATCH($AU499,'2_IMPORTAR_EJECUCION'!$J$9:$J$1208,0)),0))</f>
        <v/>
      </c>
      <c r="AM499" s="32">
        <f>IF($A499="","",MAX(0,IFERROR(INDEX('2_IMPORTAR_EJECUCION'!$H$9:$H$1208,MATCH($AU499,'2_IMPORTAR_EJECUCION'!$J$9:$J$1208,0)),0)-$AL499))</f>
        <v/>
      </c>
      <c r="AN499" s="32">
        <f>IF($A499="","",$AL499+$AM499)</f>
        <v/>
      </c>
      <c r="AO499" s="24">
        <f>IF($A499="","",IF(OR((IFERROR(INDEX('CAT_ACTIVIDADES'!$D$4:$D$26,MATCH($H499,'CAT_ACTIVIDADES'!$A$4:$A$26,0)),""))=0,(IFERROR(INDEX('CAT_ACTIVIDADES'!$D$4:$D$26,MATCH($H499,'CAT_ACTIVIDADES'!$A$4:$A$26,0)),""))=""),"SIN CLASIFICAR",IFERROR(INDEX('CAT_ACTIVIDADES'!$D$4:$D$26,MATCH($H499,'CAT_ACTIVIDADES'!$A$4:$A$26,0)),"")))</f>
        <v/>
      </c>
      <c r="AP499" s="4" t="n"/>
      <c r="AQ499" s="4" t="n"/>
      <c r="AR499" s="4" t="n"/>
      <c r="AS499" s="24">
        <f>IF($AR499="","",HYPERLINK(p_ruta_base_checklists&amp;$AR499,"abrir"))</f>
        <v/>
      </c>
      <c r="AT499" s="4" t="n"/>
      <c r="AU499" s="24">
        <f>IF($A499="","",$A499&amp;IF($B499="","0010",$B499))</f>
        <v/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41" t="n"/>
      <c r="K500" s="5" t="n"/>
      <c r="L500" s="18" t="n"/>
      <c r="M500" s="24">
        <f>IF($A500="","",IFERROR(INDEX('AJUSTES'!$B$4:$B$303,MATCH($AU500,'AJUSTES'!$A$4:$A$303,0)),IF($K500="","",$K500)))</f>
        <v/>
      </c>
      <c r="N500" s="24">
        <f>IF($A500="","",IFERROR(INDEX('CAT_ESTADOS_ERP'!$B$4:$B$22,MATCH(IFERROR(INDEX('2_IMPORTAR_EJECUCION'!$C$9:$C$1208,MATCH($AU500,'2_IMPORTAR_EJECUCION'!$J$9:$J$1208,0)),""),'CAT_ESTADOS_ERP'!$A$4:$A$22,0)),"Pendiente"))</f>
        <v/>
      </c>
      <c r="O500" s="24">
        <f>IF($J500="","",YEAR($J500+4-WEEKDAY($J500,2))&amp;"-S"&amp;TEXT(_xlfn.ISOWEEKNUM($J500),"00"))</f>
        <v/>
      </c>
      <c r="P500" s="24">
        <f>IF($J500="","",YEAR($J500))</f>
        <v/>
      </c>
      <c r="Q500" s="24">
        <f>IF($J500="","",MONTH($J500))</f>
        <v/>
      </c>
      <c r="R500" s="24">
        <f>IF($J500="","",$P500&amp;"-"&amp;TEXT($Q500,"00"))</f>
        <v/>
      </c>
      <c r="S500" s="24">
        <f>IF($J500="","",INDEX(lista_dias,WEEKDAY($J500,2)))</f>
        <v/>
      </c>
      <c r="T500" s="24">
        <f>IF($J500="","",IFERROR(INDEX('CALENDARIO'!$C$15:$C$214,MATCH(TEXT($J500,"yyyy-mm-dd")&amp;"|"&amp;$Y500&amp;"|"&amp;$Z500,'CALENDARIO'!$G$15:$G$214,0)),IFERROR(INDEX('CALENDARIO'!$C$15:$C$214,MATCH(TEXT($J500,"yyyy-mm-dd")&amp;"|"&amp;$Y500&amp;"|",'CALENDARIO'!$G$15:$G$214,0)),IFERROR(INDEX('CALENDARIO'!$C$15:$C$214,MATCH(TEXT($J500,"yyyy-mm-dd")&amp;"||",'CALENDARIO'!$G$15:$G$214,0)),INDEX(patronHabil,WEEKDAY($J500,2))))))</f>
        <v/>
      </c>
      <c r="U500" s="24">
        <f>IF($I500="","",IFERROR(INDEX('CAT_TIPOS_OT'!$C$4:$C$23,MATCH($I500,'CAT_TIPOS_OT'!$A$4:$A$23,0)),"sin_clasificar"))</f>
        <v/>
      </c>
      <c r="V500" s="24">
        <f>IF($I500="","",IF(IFERROR(INDEX('CAT_TIPOS_OT'!$D$4:$D$23,MATCH($I500,'CAT_TIPOS_OT'!$A$4:$A$23,0)),"SIN CLASIFICAR")="","SIN CLASIFICAR",IFERROR(INDEX('CAT_TIPOS_OT'!$D$4:$D$23,MATCH($I500,'CAT_TIPOS_OT'!$A$4:$A$23,0)),"SIN CLASIFICAR")))</f>
        <v/>
      </c>
      <c r="W500" s="24">
        <f>IF($H500="","",IF(IFERROR(INDEX('CAT_ACTIVIDADES'!$F$4:$F$26,MATCH($H500,'CAT_ACTIVIDADES'!$A$4:$A$26,0)),"")=0,"",IFERROR(INDEX('CAT_ACTIVIDADES'!$F$4:$F$26,MATCH($H500,'CAT_ACTIVIDADES'!$A$4:$A$26,0)),"")))</f>
        <v/>
      </c>
      <c r="X500" s="24">
        <f>IF($F500="","",IFERROR(INDEX('CAT_CENTROS_COSTO'!$F$4:$F$28,MATCH($F500,'CAT_CENTROS_COSTO'!$A$4:$A$28,0)),"(sin catálogo)"))</f>
        <v/>
      </c>
      <c r="Y500" s="24">
        <f>IF($F500="","",IFERROR(INDEX('CAT_CENTROS_COSTO'!$D$4:$D$28,MATCH($F500,'CAT_CENTROS_COSTO'!$A$4:$A$28,0)),"(sin catálogo)"))</f>
        <v/>
      </c>
      <c r="Z500" s="24">
        <f>IF($F500="","",IF((IFERROR(INDEX('CAT_CENTROS_COSTO'!$E$4:$E$28,MATCH($F500,'CAT_CENTROS_COSTO'!$A$4:$A$28,0)),""))&lt;&gt;"",IFERROR(INDEX('CAT_CENTROS_COSTO'!$E$4:$E$28,MATCH($F500,'CAT_CENTROS_COSTO'!$A$4:$A$28,0)),""),$Y500))</f>
        <v/>
      </c>
      <c r="AA500" s="24">
        <f>IF($F500="","",IFERROR(INDEX('CAT_CENTROS_COSTO'!$G$4:$G$28,MATCH($F500,'CAT_CENTROS_COSTO'!$A$4:$A$28,0)),"(sin catálogo)"))</f>
        <v/>
      </c>
      <c r="AB500" s="24">
        <f>IF($G500="","",IFERROR(INDEX('CAT_PUESTOS'!$B$4:$B$23,MATCH($G500,'CAT_PUESTOS'!$A$4:$A$23,0)),"(sin catálogo)"))</f>
        <v/>
      </c>
      <c r="AC500" s="24">
        <f>IF($H500="","",IFERROR(INDEX('CAT_ACTIVIDADES'!$B$4:$B$26,MATCH($H500,'CAT_ACTIVIDADES'!$A$4:$A$26,0)),"(sin catálogo)"))</f>
        <v/>
      </c>
      <c r="AD500" s="26">
        <f>IF($J500="","",TODAY()-$J500)</f>
        <v/>
      </c>
      <c r="AE500" s="26">
        <f>IF($J500="","",IF($J500&lt;=TODAY(),COUNTIFS(cal_fechas,"&gt;="&amp;$J500,cal_fechas,"&lt;"&amp;TODAY(),cal_habil,"sí"),-COUNTIFS(cal_fechas,"&gt;="&amp;TODAY(),cal_fechas,"&lt;"&amp;$J500,cal_habil,"sí")))</f>
        <v/>
      </c>
      <c r="AF500" s="24">
        <f>IF($AE500="","",IF($AE500&lt;0,"FUTURO",IF($AE500&gt;p_dias_backlog_max,"BACKLOG","MES CORRIENTE")))</f>
        <v/>
      </c>
      <c r="AG500" s="24">
        <f>IF($AE500="",FALSE,AND($AE500&gt;p_dias_backlog_min,$AE500&lt;=p_dias_backlog_max))</f>
        <v/>
      </c>
      <c r="AH500" s="4" t="n"/>
      <c r="AI500" s="24">
        <f>IF($AH500="","",IF((IFERROR(INDEX('ASIGNACIONES'!$J$4:$J$451,MATCH($O500&amp;"|"&amp;$S500&amp;"|"&amp;$AH500,'ASIGNACIONES'!$N$4:$N$451,0)),""))=0,"",IFERROR(INDEX('ASIGNACIONES'!$J$4:$J$451,MATCH($O500&amp;"|"&amp;$S500&amp;"|"&amp;$AH500,'ASIGNACIONES'!$N$4:$N$451,0)),"")))</f>
        <v/>
      </c>
      <c r="AJ500" s="42">
        <f>IF($AH500="","",SUMIFS('ORDENES'!$M$4:$M$1203,'ORDENES'!$AH$4:$AH$1203,$AH500,'ORDENES'!$O$4:$O$1203,$O500,'ORDENES'!$S$4:$S$1203,$S500))</f>
        <v/>
      </c>
      <c r="AK500" s="42">
        <f>IF($AJ500="","",p_factor_productividad*IFERROR(INDEX('ASIGNACIONES'!$M$4:$M$451,MATCH($O500&amp;"|"&amp;$S500&amp;"|"&amp;$AH500,'ASIGNACIONES'!$N$4:$N$451,0)),0)-$AJ500)</f>
        <v/>
      </c>
      <c r="AL500" s="32">
        <f>IF($A500="","",IFERROR(INDEX('2_IMPORTAR_EJECUCION'!$F$9:$F$1208,MATCH($AU500,'2_IMPORTAR_EJECUCION'!$J$9:$J$1208,0)),0))</f>
        <v/>
      </c>
      <c r="AM500" s="32">
        <f>IF($A500="","",MAX(0,IFERROR(INDEX('2_IMPORTAR_EJECUCION'!$H$9:$H$1208,MATCH($AU500,'2_IMPORTAR_EJECUCION'!$J$9:$J$1208,0)),0)-$AL500))</f>
        <v/>
      </c>
      <c r="AN500" s="32">
        <f>IF($A500="","",$AL500+$AM500)</f>
        <v/>
      </c>
      <c r="AO500" s="24">
        <f>IF($A500="","",IF(OR((IFERROR(INDEX('CAT_ACTIVIDADES'!$D$4:$D$26,MATCH($H500,'CAT_ACTIVIDADES'!$A$4:$A$26,0)),""))=0,(IFERROR(INDEX('CAT_ACTIVIDADES'!$D$4:$D$26,MATCH($H500,'CAT_ACTIVIDADES'!$A$4:$A$26,0)),""))=""),"SIN CLASIFICAR",IFERROR(INDEX('CAT_ACTIVIDADES'!$D$4:$D$26,MATCH($H500,'CAT_ACTIVIDADES'!$A$4:$A$26,0)),"")))</f>
        <v/>
      </c>
      <c r="AP500" s="4" t="n"/>
      <c r="AQ500" s="4" t="n"/>
      <c r="AR500" s="4" t="n"/>
      <c r="AS500" s="24">
        <f>IF($AR500="","",HYPERLINK(p_ruta_base_checklists&amp;$AR500,"abrir"))</f>
        <v/>
      </c>
      <c r="AT500" s="4" t="n"/>
      <c r="AU500" s="24">
        <f>IF($A500="","",$A500&amp;IF($B500="","0010",$B500))</f>
        <v/>
      </c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41" t="n"/>
      <c r="K501" s="5" t="n"/>
      <c r="L501" s="18" t="n"/>
      <c r="M501" s="24">
        <f>IF($A501="","",IFERROR(INDEX('AJUSTES'!$B$4:$B$303,MATCH($AU501,'AJUSTES'!$A$4:$A$303,0)),IF($K501="","",$K501)))</f>
        <v/>
      </c>
      <c r="N501" s="24">
        <f>IF($A501="","",IFERROR(INDEX('CAT_ESTADOS_ERP'!$B$4:$B$22,MATCH(IFERROR(INDEX('2_IMPORTAR_EJECUCION'!$C$9:$C$1208,MATCH($AU501,'2_IMPORTAR_EJECUCION'!$J$9:$J$1208,0)),""),'CAT_ESTADOS_ERP'!$A$4:$A$22,0)),"Pendiente"))</f>
        <v/>
      </c>
      <c r="O501" s="24">
        <f>IF($J501="","",YEAR($J501+4-WEEKDAY($J501,2))&amp;"-S"&amp;TEXT(_xlfn.ISOWEEKNUM($J501),"00"))</f>
        <v/>
      </c>
      <c r="P501" s="24">
        <f>IF($J501="","",YEAR($J501))</f>
        <v/>
      </c>
      <c r="Q501" s="24">
        <f>IF($J501="","",MONTH($J501))</f>
        <v/>
      </c>
      <c r="R501" s="24">
        <f>IF($J501="","",$P501&amp;"-"&amp;TEXT($Q501,"00"))</f>
        <v/>
      </c>
      <c r="S501" s="24">
        <f>IF($J501="","",INDEX(lista_dias,WEEKDAY($J501,2)))</f>
        <v/>
      </c>
      <c r="T501" s="24">
        <f>IF($J501="","",IFERROR(INDEX('CALENDARIO'!$C$15:$C$214,MATCH(TEXT($J501,"yyyy-mm-dd")&amp;"|"&amp;$Y501&amp;"|"&amp;$Z501,'CALENDARIO'!$G$15:$G$214,0)),IFERROR(INDEX('CALENDARIO'!$C$15:$C$214,MATCH(TEXT($J501,"yyyy-mm-dd")&amp;"|"&amp;$Y501&amp;"|",'CALENDARIO'!$G$15:$G$214,0)),IFERROR(INDEX('CALENDARIO'!$C$15:$C$214,MATCH(TEXT($J501,"yyyy-mm-dd")&amp;"||",'CALENDARIO'!$G$15:$G$214,0)),INDEX(patronHabil,WEEKDAY($J501,2))))))</f>
        <v/>
      </c>
      <c r="U501" s="24">
        <f>IF($I501="","",IFERROR(INDEX('CAT_TIPOS_OT'!$C$4:$C$23,MATCH($I501,'CAT_TIPOS_OT'!$A$4:$A$23,0)),"sin_clasificar"))</f>
        <v/>
      </c>
      <c r="V501" s="24">
        <f>IF($I501="","",IF(IFERROR(INDEX('CAT_TIPOS_OT'!$D$4:$D$23,MATCH($I501,'CAT_TIPOS_OT'!$A$4:$A$23,0)),"SIN CLASIFICAR")="","SIN CLASIFICAR",IFERROR(INDEX('CAT_TIPOS_OT'!$D$4:$D$23,MATCH($I501,'CAT_TIPOS_OT'!$A$4:$A$23,0)),"SIN CLASIFICAR")))</f>
        <v/>
      </c>
      <c r="W501" s="24">
        <f>IF($H501="","",IF(IFERROR(INDEX('CAT_ACTIVIDADES'!$F$4:$F$26,MATCH($H501,'CAT_ACTIVIDADES'!$A$4:$A$26,0)),"")=0,"",IFERROR(INDEX('CAT_ACTIVIDADES'!$F$4:$F$26,MATCH($H501,'CAT_ACTIVIDADES'!$A$4:$A$26,0)),"")))</f>
        <v/>
      </c>
      <c r="X501" s="24">
        <f>IF($F501="","",IFERROR(INDEX('CAT_CENTROS_COSTO'!$F$4:$F$28,MATCH($F501,'CAT_CENTROS_COSTO'!$A$4:$A$28,0)),"(sin catálogo)"))</f>
        <v/>
      </c>
      <c r="Y501" s="24">
        <f>IF($F501="","",IFERROR(INDEX('CAT_CENTROS_COSTO'!$D$4:$D$28,MATCH($F501,'CAT_CENTROS_COSTO'!$A$4:$A$28,0)),"(sin catálogo)"))</f>
        <v/>
      </c>
      <c r="Z501" s="24">
        <f>IF($F501="","",IF((IFERROR(INDEX('CAT_CENTROS_COSTO'!$E$4:$E$28,MATCH($F501,'CAT_CENTROS_COSTO'!$A$4:$A$28,0)),""))&lt;&gt;"",IFERROR(INDEX('CAT_CENTROS_COSTO'!$E$4:$E$28,MATCH($F501,'CAT_CENTROS_COSTO'!$A$4:$A$28,0)),""),$Y501))</f>
        <v/>
      </c>
      <c r="AA501" s="24">
        <f>IF($F501="","",IFERROR(INDEX('CAT_CENTROS_COSTO'!$G$4:$G$28,MATCH($F501,'CAT_CENTROS_COSTO'!$A$4:$A$28,0)),"(sin catálogo)"))</f>
        <v/>
      </c>
      <c r="AB501" s="24">
        <f>IF($G501="","",IFERROR(INDEX('CAT_PUESTOS'!$B$4:$B$23,MATCH($G501,'CAT_PUESTOS'!$A$4:$A$23,0)),"(sin catálogo)"))</f>
        <v/>
      </c>
      <c r="AC501" s="24">
        <f>IF($H501="","",IFERROR(INDEX('CAT_ACTIVIDADES'!$B$4:$B$26,MATCH($H501,'CAT_ACTIVIDADES'!$A$4:$A$26,0)),"(sin catálogo)"))</f>
        <v/>
      </c>
      <c r="AD501" s="26">
        <f>IF($J501="","",TODAY()-$J501)</f>
        <v/>
      </c>
      <c r="AE501" s="26">
        <f>IF($J501="","",IF($J501&lt;=TODAY(),COUNTIFS(cal_fechas,"&gt;="&amp;$J501,cal_fechas,"&lt;"&amp;TODAY(),cal_habil,"sí"),-COUNTIFS(cal_fechas,"&gt;="&amp;TODAY(),cal_fechas,"&lt;"&amp;$J501,cal_habil,"sí")))</f>
        <v/>
      </c>
      <c r="AF501" s="24">
        <f>IF($AE501="","",IF($AE501&lt;0,"FUTURO",IF($AE501&gt;p_dias_backlog_max,"BACKLOG","MES CORRIENTE")))</f>
        <v/>
      </c>
      <c r="AG501" s="24">
        <f>IF($AE501="",FALSE,AND($AE501&gt;p_dias_backlog_min,$AE501&lt;=p_dias_backlog_max))</f>
        <v/>
      </c>
      <c r="AH501" s="4" t="n"/>
      <c r="AI501" s="24">
        <f>IF($AH501="","",IF((IFERROR(INDEX('ASIGNACIONES'!$J$4:$J$451,MATCH($O501&amp;"|"&amp;$S501&amp;"|"&amp;$AH501,'ASIGNACIONES'!$N$4:$N$451,0)),""))=0,"",IFERROR(INDEX('ASIGNACIONES'!$J$4:$J$451,MATCH($O501&amp;"|"&amp;$S501&amp;"|"&amp;$AH501,'ASIGNACIONES'!$N$4:$N$451,0)),"")))</f>
        <v/>
      </c>
      <c r="AJ501" s="42">
        <f>IF($AH501="","",SUMIFS('ORDENES'!$M$4:$M$1203,'ORDENES'!$AH$4:$AH$1203,$AH501,'ORDENES'!$O$4:$O$1203,$O501,'ORDENES'!$S$4:$S$1203,$S501))</f>
        <v/>
      </c>
      <c r="AK501" s="42">
        <f>IF($AJ501="","",p_factor_productividad*IFERROR(INDEX('ASIGNACIONES'!$M$4:$M$451,MATCH($O501&amp;"|"&amp;$S501&amp;"|"&amp;$AH501,'ASIGNACIONES'!$N$4:$N$451,0)),0)-$AJ501)</f>
        <v/>
      </c>
      <c r="AL501" s="32">
        <f>IF($A501="","",IFERROR(INDEX('2_IMPORTAR_EJECUCION'!$F$9:$F$1208,MATCH($AU501,'2_IMPORTAR_EJECUCION'!$J$9:$J$1208,0)),0))</f>
        <v/>
      </c>
      <c r="AM501" s="32">
        <f>IF($A501="","",MAX(0,IFERROR(INDEX('2_IMPORTAR_EJECUCION'!$H$9:$H$1208,MATCH($AU501,'2_IMPORTAR_EJECUCION'!$J$9:$J$1208,0)),0)-$AL501))</f>
        <v/>
      </c>
      <c r="AN501" s="32">
        <f>IF($A501="","",$AL501+$AM501)</f>
        <v/>
      </c>
      <c r="AO501" s="24">
        <f>IF($A501="","",IF(OR((IFERROR(INDEX('CAT_ACTIVIDADES'!$D$4:$D$26,MATCH($H501,'CAT_ACTIVIDADES'!$A$4:$A$26,0)),""))=0,(IFERROR(INDEX('CAT_ACTIVIDADES'!$D$4:$D$26,MATCH($H501,'CAT_ACTIVIDADES'!$A$4:$A$26,0)),""))=""),"SIN CLASIFICAR",IFERROR(INDEX('CAT_ACTIVIDADES'!$D$4:$D$26,MATCH($H501,'CAT_ACTIVIDADES'!$A$4:$A$26,0)),"")))</f>
        <v/>
      </c>
      <c r="AP501" s="4" t="n"/>
      <c r="AQ501" s="4" t="n"/>
      <c r="AR501" s="4" t="n"/>
      <c r="AS501" s="24">
        <f>IF($AR501="","",HYPERLINK(p_ruta_base_checklists&amp;$AR501,"abrir"))</f>
        <v/>
      </c>
      <c r="AT501" s="4" t="n"/>
      <c r="AU501" s="24">
        <f>IF($A501="","",$A501&amp;IF($B501="","0010",$B501))</f>
        <v/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41" t="n"/>
      <c r="K502" s="5" t="n"/>
      <c r="L502" s="18" t="n"/>
      <c r="M502" s="24">
        <f>IF($A502="","",IFERROR(INDEX('AJUSTES'!$B$4:$B$303,MATCH($AU502,'AJUSTES'!$A$4:$A$303,0)),IF($K502="","",$K502)))</f>
        <v/>
      </c>
      <c r="N502" s="24">
        <f>IF($A502="","",IFERROR(INDEX('CAT_ESTADOS_ERP'!$B$4:$B$22,MATCH(IFERROR(INDEX('2_IMPORTAR_EJECUCION'!$C$9:$C$1208,MATCH($AU502,'2_IMPORTAR_EJECUCION'!$J$9:$J$1208,0)),""),'CAT_ESTADOS_ERP'!$A$4:$A$22,0)),"Pendiente"))</f>
        <v/>
      </c>
      <c r="O502" s="24">
        <f>IF($J502="","",YEAR($J502+4-WEEKDAY($J502,2))&amp;"-S"&amp;TEXT(_xlfn.ISOWEEKNUM($J502),"00"))</f>
        <v/>
      </c>
      <c r="P502" s="24">
        <f>IF($J502="","",YEAR($J502))</f>
        <v/>
      </c>
      <c r="Q502" s="24">
        <f>IF($J502="","",MONTH($J502))</f>
        <v/>
      </c>
      <c r="R502" s="24">
        <f>IF($J502="","",$P502&amp;"-"&amp;TEXT($Q502,"00"))</f>
        <v/>
      </c>
      <c r="S502" s="24">
        <f>IF($J502="","",INDEX(lista_dias,WEEKDAY($J502,2)))</f>
        <v/>
      </c>
      <c r="T502" s="24">
        <f>IF($J502="","",IFERROR(INDEX('CALENDARIO'!$C$15:$C$214,MATCH(TEXT($J502,"yyyy-mm-dd")&amp;"|"&amp;$Y502&amp;"|"&amp;$Z502,'CALENDARIO'!$G$15:$G$214,0)),IFERROR(INDEX('CALENDARIO'!$C$15:$C$214,MATCH(TEXT($J502,"yyyy-mm-dd")&amp;"|"&amp;$Y502&amp;"|",'CALENDARIO'!$G$15:$G$214,0)),IFERROR(INDEX('CALENDARIO'!$C$15:$C$214,MATCH(TEXT($J502,"yyyy-mm-dd")&amp;"||",'CALENDARIO'!$G$15:$G$214,0)),INDEX(patronHabil,WEEKDAY($J502,2))))))</f>
        <v/>
      </c>
      <c r="U502" s="24">
        <f>IF($I502="","",IFERROR(INDEX('CAT_TIPOS_OT'!$C$4:$C$23,MATCH($I502,'CAT_TIPOS_OT'!$A$4:$A$23,0)),"sin_clasificar"))</f>
        <v/>
      </c>
      <c r="V502" s="24">
        <f>IF($I502="","",IF(IFERROR(INDEX('CAT_TIPOS_OT'!$D$4:$D$23,MATCH($I502,'CAT_TIPOS_OT'!$A$4:$A$23,0)),"SIN CLASIFICAR")="","SIN CLASIFICAR",IFERROR(INDEX('CAT_TIPOS_OT'!$D$4:$D$23,MATCH($I502,'CAT_TIPOS_OT'!$A$4:$A$23,0)),"SIN CLASIFICAR")))</f>
        <v/>
      </c>
      <c r="W502" s="24">
        <f>IF($H502="","",IF(IFERROR(INDEX('CAT_ACTIVIDADES'!$F$4:$F$26,MATCH($H502,'CAT_ACTIVIDADES'!$A$4:$A$26,0)),"")=0,"",IFERROR(INDEX('CAT_ACTIVIDADES'!$F$4:$F$26,MATCH($H502,'CAT_ACTIVIDADES'!$A$4:$A$26,0)),"")))</f>
        <v/>
      </c>
      <c r="X502" s="24">
        <f>IF($F502="","",IFERROR(INDEX('CAT_CENTROS_COSTO'!$F$4:$F$28,MATCH($F502,'CAT_CENTROS_COSTO'!$A$4:$A$28,0)),"(sin catálogo)"))</f>
        <v/>
      </c>
      <c r="Y502" s="24">
        <f>IF($F502="","",IFERROR(INDEX('CAT_CENTROS_COSTO'!$D$4:$D$28,MATCH($F502,'CAT_CENTROS_COSTO'!$A$4:$A$28,0)),"(sin catálogo)"))</f>
        <v/>
      </c>
      <c r="Z502" s="24">
        <f>IF($F502="","",IF((IFERROR(INDEX('CAT_CENTROS_COSTO'!$E$4:$E$28,MATCH($F502,'CAT_CENTROS_COSTO'!$A$4:$A$28,0)),""))&lt;&gt;"",IFERROR(INDEX('CAT_CENTROS_COSTO'!$E$4:$E$28,MATCH($F502,'CAT_CENTROS_COSTO'!$A$4:$A$28,0)),""),$Y502))</f>
        <v/>
      </c>
      <c r="AA502" s="24">
        <f>IF($F502="","",IFERROR(INDEX('CAT_CENTROS_COSTO'!$G$4:$G$28,MATCH($F502,'CAT_CENTROS_COSTO'!$A$4:$A$28,0)),"(sin catálogo)"))</f>
        <v/>
      </c>
      <c r="AB502" s="24">
        <f>IF($G502="","",IFERROR(INDEX('CAT_PUESTOS'!$B$4:$B$23,MATCH($G502,'CAT_PUESTOS'!$A$4:$A$23,0)),"(sin catálogo)"))</f>
        <v/>
      </c>
      <c r="AC502" s="24">
        <f>IF($H502="","",IFERROR(INDEX('CAT_ACTIVIDADES'!$B$4:$B$26,MATCH($H502,'CAT_ACTIVIDADES'!$A$4:$A$26,0)),"(sin catálogo)"))</f>
        <v/>
      </c>
      <c r="AD502" s="26">
        <f>IF($J502="","",TODAY()-$J502)</f>
        <v/>
      </c>
      <c r="AE502" s="26">
        <f>IF($J502="","",IF($J502&lt;=TODAY(),COUNTIFS(cal_fechas,"&gt;="&amp;$J502,cal_fechas,"&lt;"&amp;TODAY(),cal_habil,"sí"),-COUNTIFS(cal_fechas,"&gt;="&amp;TODAY(),cal_fechas,"&lt;"&amp;$J502,cal_habil,"sí")))</f>
        <v/>
      </c>
      <c r="AF502" s="24">
        <f>IF($AE502="","",IF($AE502&lt;0,"FUTURO",IF($AE502&gt;p_dias_backlog_max,"BACKLOG","MES CORRIENTE")))</f>
        <v/>
      </c>
      <c r="AG502" s="24">
        <f>IF($AE502="",FALSE,AND($AE502&gt;p_dias_backlog_min,$AE502&lt;=p_dias_backlog_max))</f>
        <v/>
      </c>
      <c r="AH502" s="4" t="n"/>
      <c r="AI502" s="24">
        <f>IF($AH502="","",IF((IFERROR(INDEX('ASIGNACIONES'!$J$4:$J$451,MATCH($O502&amp;"|"&amp;$S502&amp;"|"&amp;$AH502,'ASIGNACIONES'!$N$4:$N$451,0)),""))=0,"",IFERROR(INDEX('ASIGNACIONES'!$J$4:$J$451,MATCH($O502&amp;"|"&amp;$S502&amp;"|"&amp;$AH502,'ASIGNACIONES'!$N$4:$N$451,0)),"")))</f>
        <v/>
      </c>
      <c r="AJ502" s="42">
        <f>IF($AH502="","",SUMIFS('ORDENES'!$M$4:$M$1203,'ORDENES'!$AH$4:$AH$1203,$AH502,'ORDENES'!$O$4:$O$1203,$O502,'ORDENES'!$S$4:$S$1203,$S502))</f>
        <v/>
      </c>
      <c r="AK502" s="42">
        <f>IF($AJ502="","",p_factor_productividad*IFERROR(INDEX('ASIGNACIONES'!$M$4:$M$451,MATCH($O502&amp;"|"&amp;$S502&amp;"|"&amp;$AH502,'ASIGNACIONES'!$N$4:$N$451,0)),0)-$AJ502)</f>
        <v/>
      </c>
      <c r="AL502" s="32">
        <f>IF($A502="","",IFERROR(INDEX('2_IMPORTAR_EJECUCION'!$F$9:$F$1208,MATCH($AU502,'2_IMPORTAR_EJECUCION'!$J$9:$J$1208,0)),0))</f>
        <v/>
      </c>
      <c r="AM502" s="32">
        <f>IF($A502="","",MAX(0,IFERROR(INDEX('2_IMPORTAR_EJECUCION'!$H$9:$H$1208,MATCH($AU502,'2_IMPORTAR_EJECUCION'!$J$9:$J$1208,0)),0)-$AL502))</f>
        <v/>
      </c>
      <c r="AN502" s="32">
        <f>IF($A502="","",$AL502+$AM502)</f>
        <v/>
      </c>
      <c r="AO502" s="24">
        <f>IF($A502="","",IF(OR((IFERROR(INDEX('CAT_ACTIVIDADES'!$D$4:$D$26,MATCH($H502,'CAT_ACTIVIDADES'!$A$4:$A$26,0)),""))=0,(IFERROR(INDEX('CAT_ACTIVIDADES'!$D$4:$D$26,MATCH($H502,'CAT_ACTIVIDADES'!$A$4:$A$26,0)),""))=""),"SIN CLASIFICAR",IFERROR(INDEX('CAT_ACTIVIDADES'!$D$4:$D$26,MATCH($H502,'CAT_ACTIVIDADES'!$A$4:$A$26,0)),"")))</f>
        <v/>
      </c>
      <c r="AP502" s="4" t="n"/>
      <c r="AQ502" s="4" t="n"/>
      <c r="AR502" s="4" t="n"/>
      <c r="AS502" s="24">
        <f>IF($AR502="","",HYPERLINK(p_ruta_base_checklists&amp;$AR502,"abrir"))</f>
        <v/>
      </c>
      <c r="AT502" s="4" t="n"/>
      <c r="AU502" s="24">
        <f>IF($A502="","",$A502&amp;IF($B502="","0010",$B502))</f>
        <v/>
      </c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41" t="n"/>
      <c r="K503" s="5" t="n"/>
      <c r="L503" s="18" t="n"/>
      <c r="M503" s="24">
        <f>IF($A503="","",IFERROR(INDEX('AJUSTES'!$B$4:$B$303,MATCH($AU503,'AJUSTES'!$A$4:$A$303,0)),IF($K503="","",$K503)))</f>
        <v/>
      </c>
      <c r="N503" s="24">
        <f>IF($A503="","",IFERROR(INDEX('CAT_ESTADOS_ERP'!$B$4:$B$22,MATCH(IFERROR(INDEX('2_IMPORTAR_EJECUCION'!$C$9:$C$1208,MATCH($AU503,'2_IMPORTAR_EJECUCION'!$J$9:$J$1208,0)),""),'CAT_ESTADOS_ERP'!$A$4:$A$22,0)),"Pendiente"))</f>
        <v/>
      </c>
      <c r="O503" s="24">
        <f>IF($J503="","",YEAR($J503+4-WEEKDAY($J503,2))&amp;"-S"&amp;TEXT(_xlfn.ISOWEEKNUM($J503),"00"))</f>
        <v/>
      </c>
      <c r="P503" s="24">
        <f>IF($J503="","",YEAR($J503))</f>
        <v/>
      </c>
      <c r="Q503" s="24">
        <f>IF($J503="","",MONTH($J503))</f>
        <v/>
      </c>
      <c r="R503" s="24">
        <f>IF($J503="","",$P503&amp;"-"&amp;TEXT($Q503,"00"))</f>
        <v/>
      </c>
      <c r="S503" s="24">
        <f>IF($J503="","",INDEX(lista_dias,WEEKDAY($J503,2)))</f>
        <v/>
      </c>
      <c r="T503" s="24">
        <f>IF($J503="","",IFERROR(INDEX('CALENDARIO'!$C$15:$C$214,MATCH(TEXT($J503,"yyyy-mm-dd")&amp;"|"&amp;$Y503&amp;"|"&amp;$Z503,'CALENDARIO'!$G$15:$G$214,0)),IFERROR(INDEX('CALENDARIO'!$C$15:$C$214,MATCH(TEXT($J503,"yyyy-mm-dd")&amp;"|"&amp;$Y503&amp;"|",'CALENDARIO'!$G$15:$G$214,0)),IFERROR(INDEX('CALENDARIO'!$C$15:$C$214,MATCH(TEXT($J503,"yyyy-mm-dd")&amp;"||",'CALENDARIO'!$G$15:$G$214,0)),INDEX(patronHabil,WEEKDAY($J503,2))))))</f>
        <v/>
      </c>
      <c r="U503" s="24">
        <f>IF($I503="","",IFERROR(INDEX('CAT_TIPOS_OT'!$C$4:$C$23,MATCH($I503,'CAT_TIPOS_OT'!$A$4:$A$23,0)),"sin_clasificar"))</f>
        <v/>
      </c>
      <c r="V503" s="24">
        <f>IF($I503="","",IF(IFERROR(INDEX('CAT_TIPOS_OT'!$D$4:$D$23,MATCH($I503,'CAT_TIPOS_OT'!$A$4:$A$23,0)),"SIN CLASIFICAR")="","SIN CLASIFICAR",IFERROR(INDEX('CAT_TIPOS_OT'!$D$4:$D$23,MATCH($I503,'CAT_TIPOS_OT'!$A$4:$A$23,0)),"SIN CLASIFICAR")))</f>
        <v/>
      </c>
      <c r="W503" s="24">
        <f>IF($H503="","",IF(IFERROR(INDEX('CAT_ACTIVIDADES'!$F$4:$F$26,MATCH($H503,'CAT_ACTIVIDADES'!$A$4:$A$26,0)),"")=0,"",IFERROR(INDEX('CAT_ACTIVIDADES'!$F$4:$F$26,MATCH($H503,'CAT_ACTIVIDADES'!$A$4:$A$26,0)),"")))</f>
        <v/>
      </c>
      <c r="X503" s="24">
        <f>IF($F503="","",IFERROR(INDEX('CAT_CENTROS_COSTO'!$F$4:$F$28,MATCH($F503,'CAT_CENTROS_COSTO'!$A$4:$A$28,0)),"(sin catálogo)"))</f>
        <v/>
      </c>
      <c r="Y503" s="24">
        <f>IF($F503="","",IFERROR(INDEX('CAT_CENTROS_COSTO'!$D$4:$D$28,MATCH($F503,'CAT_CENTROS_COSTO'!$A$4:$A$28,0)),"(sin catálogo)"))</f>
        <v/>
      </c>
      <c r="Z503" s="24">
        <f>IF($F503="","",IF((IFERROR(INDEX('CAT_CENTROS_COSTO'!$E$4:$E$28,MATCH($F503,'CAT_CENTROS_COSTO'!$A$4:$A$28,0)),""))&lt;&gt;"",IFERROR(INDEX('CAT_CENTROS_COSTO'!$E$4:$E$28,MATCH($F503,'CAT_CENTROS_COSTO'!$A$4:$A$28,0)),""),$Y503))</f>
        <v/>
      </c>
      <c r="AA503" s="24">
        <f>IF($F503="","",IFERROR(INDEX('CAT_CENTROS_COSTO'!$G$4:$G$28,MATCH($F503,'CAT_CENTROS_COSTO'!$A$4:$A$28,0)),"(sin catálogo)"))</f>
        <v/>
      </c>
      <c r="AB503" s="24">
        <f>IF($G503="","",IFERROR(INDEX('CAT_PUESTOS'!$B$4:$B$23,MATCH($G503,'CAT_PUESTOS'!$A$4:$A$23,0)),"(sin catálogo)"))</f>
        <v/>
      </c>
      <c r="AC503" s="24">
        <f>IF($H503="","",IFERROR(INDEX('CAT_ACTIVIDADES'!$B$4:$B$26,MATCH($H503,'CAT_ACTIVIDADES'!$A$4:$A$26,0)),"(sin catálogo)"))</f>
        <v/>
      </c>
      <c r="AD503" s="26">
        <f>IF($J503="","",TODAY()-$J503)</f>
        <v/>
      </c>
      <c r="AE503" s="26">
        <f>IF($J503="","",IF($J503&lt;=TODAY(),COUNTIFS(cal_fechas,"&gt;="&amp;$J503,cal_fechas,"&lt;"&amp;TODAY(),cal_habil,"sí"),-COUNTIFS(cal_fechas,"&gt;="&amp;TODAY(),cal_fechas,"&lt;"&amp;$J503,cal_habil,"sí")))</f>
        <v/>
      </c>
      <c r="AF503" s="24">
        <f>IF($AE503="","",IF($AE503&lt;0,"FUTURO",IF($AE503&gt;p_dias_backlog_max,"BACKLOG","MES CORRIENTE")))</f>
        <v/>
      </c>
      <c r="AG503" s="24">
        <f>IF($AE503="",FALSE,AND($AE503&gt;p_dias_backlog_min,$AE503&lt;=p_dias_backlog_max))</f>
        <v/>
      </c>
      <c r="AH503" s="4" t="n"/>
      <c r="AI503" s="24">
        <f>IF($AH503="","",IF((IFERROR(INDEX('ASIGNACIONES'!$J$4:$J$451,MATCH($O503&amp;"|"&amp;$S503&amp;"|"&amp;$AH503,'ASIGNACIONES'!$N$4:$N$451,0)),""))=0,"",IFERROR(INDEX('ASIGNACIONES'!$J$4:$J$451,MATCH($O503&amp;"|"&amp;$S503&amp;"|"&amp;$AH503,'ASIGNACIONES'!$N$4:$N$451,0)),"")))</f>
        <v/>
      </c>
      <c r="AJ503" s="42">
        <f>IF($AH503="","",SUMIFS('ORDENES'!$M$4:$M$1203,'ORDENES'!$AH$4:$AH$1203,$AH503,'ORDENES'!$O$4:$O$1203,$O503,'ORDENES'!$S$4:$S$1203,$S503))</f>
        <v/>
      </c>
      <c r="AK503" s="42">
        <f>IF($AJ503="","",p_factor_productividad*IFERROR(INDEX('ASIGNACIONES'!$M$4:$M$451,MATCH($O503&amp;"|"&amp;$S503&amp;"|"&amp;$AH503,'ASIGNACIONES'!$N$4:$N$451,0)),0)-$AJ503)</f>
        <v/>
      </c>
      <c r="AL503" s="32">
        <f>IF($A503="","",IFERROR(INDEX('2_IMPORTAR_EJECUCION'!$F$9:$F$1208,MATCH($AU503,'2_IMPORTAR_EJECUCION'!$J$9:$J$1208,0)),0))</f>
        <v/>
      </c>
      <c r="AM503" s="32">
        <f>IF($A503="","",MAX(0,IFERROR(INDEX('2_IMPORTAR_EJECUCION'!$H$9:$H$1208,MATCH($AU503,'2_IMPORTAR_EJECUCION'!$J$9:$J$1208,0)),0)-$AL503))</f>
        <v/>
      </c>
      <c r="AN503" s="32">
        <f>IF($A503="","",$AL503+$AM503)</f>
        <v/>
      </c>
      <c r="AO503" s="24">
        <f>IF($A503="","",IF(OR((IFERROR(INDEX('CAT_ACTIVIDADES'!$D$4:$D$26,MATCH($H503,'CAT_ACTIVIDADES'!$A$4:$A$26,0)),""))=0,(IFERROR(INDEX('CAT_ACTIVIDADES'!$D$4:$D$26,MATCH($H503,'CAT_ACTIVIDADES'!$A$4:$A$26,0)),""))=""),"SIN CLASIFICAR",IFERROR(INDEX('CAT_ACTIVIDADES'!$D$4:$D$26,MATCH($H503,'CAT_ACTIVIDADES'!$A$4:$A$26,0)),"")))</f>
        <v/>
      </c>
      <c r="AP503" s="4" t="n"/>
      <c r="AQ503" s="4" t="n"/>
      <c r="AR503" s="4" t="n"/>
      <c r="AS503" s="24">
        <f>IF($AR503="","",HYPERLINK(p_ruta_base_checklists&amp;$AR503,"abrir"))</f>
        <v/>
      </c>
      <c r="AT503" s="4" t="n"/>
      <c r="AU503" s="24">
        <f>IF($A503="","",$A503&amp;IF($B503="","0010",$B503))</f>
        <v/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41" t="n"/>
      <c r="K504" s="5" t="n"/>
      <c r="L504" s="18" t="n"/>
      <c r="M504" s="24">
        <f>IF($A504="","",IFERROR(INDEX('AJUSTES'!$B$4:$B$303,MATCH($AU504,'AJUSTES'!$A$4:$A$303,0)),IF($K504="","",$K504)))</f>
        <v/>
      </c>
      <c r="N504" s="24">
        <f>IF($A504="","",IFERROR(INDEX('CAT_ESTADOS_ERP'!$B$4:$B$22,MATCH(IFERROR(INDEX('2_IMPORTAR_EJECUCION'!$C$9:$C$1208,MATCH($AU504,'2_IMPORTAR_EJECUCION'!$J$9:$J$1208,0)),""),'CAT_ESTADOS_ERP'!$A$4:$A$22,0)),"Pendiente"))</f>
        <v/>
      </c>
      <c r="O504" s="24">
        <f>IF($J504="","",YEAR($J504+4-WEEKDAY($J504,2))&amp;"-S"&amp;TEXT(_xlfn.ISOWEEKNUM($J504),"00"))</f>
        <v/>
      </c>
      <c r="P504" s="24">
        <f>IF($J504="","",YEAR($J504))</f>
        <v/>
      </c>
      <c r="Q504" s="24">
        <f>IF($J504="","",MONTH($J504))</f>
        <v/>
      </c>
      <c r="R504" s="24">
        <f>IF($J504="","",$P504&amp;"-"&amp;TEXT($Q504,"00"))</f>
        <v/>
      </c>
      <c r="S504" s="24">
        <f>IF($J504="","",INDEX(lista_dias,WEEKDAY($J504,2)))</f>
        <v/>
      </c>
      <c r="T504" s="24">
        <f>IF($J504="","",IFERROR(INDEX('CALENDARIO'!$C$15:$C$214,MATCH(TEXT($J504,"yyyy-mm-dd")&amp;"|"&amp;$Y504&amp;"|"&amp;$Z504,'CALENDARIO'!$G$15:$G$214,0)),IFERROR(INDEX('CALENDARIO'!$C$15:$C$214,MATCH(TEXT($J504,"yyyy-mm-dd")&amp;"|"&amp;$Y504&amp;"|",'CALENDARIO'!$G$15:$G$214,0)),IFERROR(INDEX('CALENDARIO'!$C$15:$C$214,MATCH(TEXT($J504,"yyyy-mm-dd")&amp;"||",'CALENDARIO'!$G$15:$G$214,0)),INDEX(patronHabil,WEEKDAY($J504,2))))))</f>
        <v/>
      </c>
      <c r="U504" s="24">
        <f>IF($I504="","",IFERROR(INDEX('CAT_TIPOS_OT'!$C$4:$C$23,MATCH($I504,'CAT_TIPOS_OT'!$A$4:$A$23,0)),"sin_clasificar"))</f>
        <v/>
      </c>
      <c r="V504" s="24">
        <f>IF($I504="","",IF(IFERROR(INDEX('CAT_TIPOS_OT'!$D$4:$D$23,MATCH($I504,'CAT_TIPOS_OT'!$A$4:$A$23,0)),"SIN CLASIFICAR")="","SIN CLASIFICAR",IFERROR(INDEX('CAT_TIPOS_OT'!$D$4:$D$23,MATCH($I504,'CAT_TIPOS_OT'!$A$4:$A$23,0)),"SIN CLASIFICAR")))</f>
        <v/>
      </c>
      <c r="W504" s="24">
        <f>IF($H504="","",IF(IFERROR(INDEX('CAT_ACTIVIDADES'!$F$4:$F$26,MATCH($H504,'CAT_ACTIVIDADES'!$A$4:$A$26,0)),"")=0,"",IFERROR(INDEX('CAT_ACTIVIDADES'!$F$4:$F$26,MATCH($H504,'CAT_ACTIVIDADES'!$A$4:$A$26,0)),"")))</f>
        <v/>
      </c>
      <c r="X504" s="24">
        <f>IF($F504="","",IFERROR(INDEX('CAT_CENTROS_COSTO'!$F$4:$F$28,MATCH($F504,'CAT_CENTROS_COSTO'!$A$4:$A$28,0)),"(sin catálogo)"))</f>
        <v/>
      </c>
      <c r="Y504" s="24">
        <f>IF($F504="","",IFERROR(INDEX('CAT_CENTROS_COSTO'!$D$4:$D$28,MATCH($F504,'CAT_CENTROS_COSTO'!$A$4:$A$28,0)),"(sin catálogo)"))</f>
        <v/>
      </c>
      <c r="Z504" s="24">
        <f>IF($F504="","",IF((IFERROR(INDEX('CAT_CENTROS_COSTO'!$E$4:$E$28,MATCH($F504,'CAT_CENTROS_COSTO'!$A$4:$A$28,0)),""))&lt;&gt;"",IFERROR(INDEX('CAT_CENTROS_COSTO'!$E$4:$E$28,MATCH($F504,'CAT_CENTROS_COSTO'!$A$4:$A$28,0)),""),$Y504))</f>
        <v/>
      </c>
      <c r="AA504" s="24">
        <f>IF($F504="","",IFERROR(INDEX('CAT_CENTROS_COSTO'!$G$4:$G$28,MATCH($F504,'CAT_CENTROS_COSTO'!$A$4:$A$28,0)),"(sin catálogo)"))</f>
        <v/>
      </c>
      <c r="AB504" s="24">
        <f>IF($G504="","",IFERROR(INDEX('CAT_PUESTOS'!$B$4:$B$23,MATCH($G504,'CAT_PUESTOS'!$A$4:$A$23,0)),"(sin catálogo)"))</f>
        <v/>
      </c>
      <c r="AC504" s="24">
        <f>IF($H504="","",IFERROR(INDEX('CAT_ACTIVIDADES'!$B$4:$B$26,MATCH($H504,'CAT_ACTIVIDADES'!$A$4:$A$26,0)),"(sin catálogo)"))</f>
        <v/>
      </c>
      <c r="AD504" s="26">
        <f>IF($J504="","",TODAY()-$J504)</f>
        <v/>
      </c>
      <c r="AE504" s="26">
        <f>IF($J504="","",IF($J504&lt;=TODAY(),COUNTIFS(cal_fechas,"&gt;="&amp;$J504,cal_fechas,"&lt;"&amp;TODAY(),cal_habil,"sí"),-COUNTIFS(cal_fechas,"&gt;="&amp;TODAY(),cal_fechas,"&lt;"&amp;$J504,cal_habil,"sí")))</f>
        <v/>
      </c>
      <c r="AF504" s="24">
        <f>IF($AE504="","",IF($AE504&lt;0,"FUTURO",IF($AE504&gt;p_dias_backlog_max,"BACKLOG","MES CORRIENTE")))</f>
        <v/>
      </c>
      <c r="AG504" s="24">
        <f>IF($AE504="",FALSE,AND($AE504&gt;p_dias_backlog_min,$AE504&lt;=p_dias_backlog_max))</f>
        <v/>
      </c>
      <c r="AH504" s="4" t="n"/>
      <c r="AI504" s="24">
        <f>IF($AH504="","",IF((IFERROR(INDEX('ASIGNACIONES'!$J$4:$J$451,MATCH($O504&amp;"|"&amp;$S504&amp;"|"&amp;$AH504,'ASIGNACIONES'!$N$4:$N$451,0)),""))=0,"",IFERROR(INDEX('ASIGNACIONES'!$J$4:$J$451,MATCH($O504&amp;"|"&amp;$S504&amp;"|"&amp;$AH504,'ASIGNACIONES'!$N$4:$N$451,0)),"")))</f>
        <v/>
      </c>
      <c r="AJ504" s="42">
        <f>IF($AH504="","",SUMIFS('ORDENES'!$M$4:$M$1203,'ORDENES'!$AH$4:$AH$1203,$AH504,'ORDENES'!$O$4:$O$1203,$O504,'ORDENES'!$S$4:$S$1203,$S504))</f>
        <v/>
      </c>
      <c r="AK504" s="42">
        <f>IF($AJ504="","",p_factor_productividad*IFERROR(INDEX('ASIGNACIONES'!$M$4:$M$451,MATCH($O504&amp;"|"&amp;$S504&amp;"|"&amp;$AH504,'ASIGNACIONES'!$N$4:$N$451,0)),0)-$AJ504)</f>
        <v/>
      </c>
      <c r="AL504" s="32">
        <f>IF($A504="","",IFERROR(INDEX('2_IMPORTAR_EJECUCION'!$F$9:$F$1208,MATCH($AU504,'2_IMPORTAR_EJECUCION'!$J$9:$J$1208,0)),0))</f>
        <v/>
      </c>
      <c r="AM504" s="32">
        <f>IF($A504="","",MAX(0,IFERROR(INDEX('2_IMPORTAR_EJECUCION'!$H$9:$H$1208,MATCH($AU504,'2_IMPORTAR_EJECUCION'!$J$9:$J$1208,0)),0)-$AL504))</f>
        <v/>
      </c>
      <c r="AN504" s="32">
        <f>IF($A504="","",$AL504+$AM504)</f>
        <v/>
      </c>
      <c r="AO504" s="24">
        <f>IF($A504="","",IF(OR((IFERROR(INDEX('CAT_ACTIVIDADES'!$D$4:$D$26,MATCH($H504,'CAT_ACTIVIDADES'!$A$4:$A$26,0)),""))=0,(IFERROR(INDEX('CAT_ACTIVIDADES'!$D$4:$D$26,MATCH($H504,'CAT_ACTIVIDADES'!$A$4:$A$26,0)),""))=""),"SIN CLASIFICAR",IFERROR(INDEX('CAT_ACTIVIDADES'!$D$4:$D$26,MATCH($H504,'CAT_ACTIVIDADES'!$A$4:$A$26,0)),"")))</f>
        <v/>
      </c>
      <c r="AP504" s="4" t="n"/>
      <c r="AQ504" s="4" t="n"/>
      <c r="AR504" s="4" t="n"/>
      <c r="AS504" s="24">
        <f>IF($AR504="","",HYPERLINK(p_ruta_base_checklists&amp;$AR504,"abrir"))</f>
        <v/>
      </c>
      <c r="AT504" s="4" t="n"/>
      <c r="AU504" s="24">
        <f>IF($A504="","",$A504&amp;IF($B504="","0010",$B504))</f>
        <v/>
      </c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41" t="n"/>
      <c r="K505" s="5" t="n"/>
      <c r="L505" s="18" t="n"/>
      <c r="M505" s="24">
        <f>IF($A505="","",IFERROR(INDEX('AJUSTES'!$B$4:$B$303,MATCH($AU505,'AJUSTES'!$A$4:$A$303,0)),IF($K505="","",$K505)))</f>
        <v/>
      </c>
      <c r="N505" s="24">
        <f>IF($A505="","",IFERROR(INDEX('CAT_ESTADOS_ERP'!$B$4:$B$22,MATCH(IFERROR(INDEX('2_IMPORTAR_EJECUCION'!$C$9:$C$1208,MATCH($AU505,'2_IMPORTAR_EJECUCION'!$J$9:$J$1208,0)),""),'CAT_ESTADOS_ERP'!$A$4:$A$22,0)),"Pendiente"))</f>
        <v/>
      </c>
      <c r="O505" s="24">
        <f>IF($J505="","",YEAR($J505+4-WEEKDAY($J505,2))&amp;"-S"&amp;TEXT(_xlfn.ISOWEEKNUM($J505),"00"))</f>
        <v/>
      </c>
      <c r="P505" s="24">
        <f>IF($J505="","",YEAR($J505))</f>
        <v/>
      </c>
      <c r="Q505" s="24">
        <f>IF($J505="","",MONTH($J505))</f>
        <v/>
      </c>
      <c r="R505" s="24">
        <f>IF($J505="","",$P505&amp;"-"&amp;TEXT($Q505,"00"))</f>
        <v/>
      </c>
      <c r="S505" s="24">
        <f>IF($J505="","",INDEX(lista_dias,WEEKDAY($J505,2)))</f>
        <v/>
      </c>
      <c r="T505" s="24">
        <f>IF($J505="","",IFERROR(INDEX('CALENDARIO'!$C$15:$C$214,MATCH(TEXT($J505,"yyyy-mm-dd")&amp;"|"&amp;$Y505&amp;"|"&amp;$Z505,'CALENDARIO'!$G$15:$G$214,0)),IFERROR(INDEX('CALENDARIO'!$C$15:$C$214,MATCH(TEXT($J505,"yyyy-mm-dd")&amp;"|"&amp;$Y505&amp;"|",'CALENDARIO'!$G$15:$G$214,0)),IFERROR(INDEX('CALENDARIO'!$C$15:$C$214,MATCH(TEXT($J505,"yyyy-mm-dd")&amp;"||",'CALENDARIO'!$G$15:$G$214,0)),INDEX(patronHabil,WEEKDAY($J505,2))))))</f>
        <v/>
      </c>
      <c r="U505" s="24">
        <f>IF($I505="","",IFERROR(INDEX('CAT_TIPOS_OT'!$C$4:$C$23,MATCH($I505,'CAT_TIPOS_OT'!$A$4:$A$23,0)),"sin_clasificar"))</f>
        <v/>
      </c>
      <c r="V505" s="24">
        <f>IF($I505="","",IF(IFERROR(INDEX('CAT_TIPOS_OT'!$D$4:$D$23,MATCH($I505,'CAT_TIPOS_OT'!$A$4:$A$23,0)),"SIN CLASIFICAR")="","SIN CLASIFICAR",IFERROR(INDEX('CAT_TIPOS_OT'!$D$4:$D$23,MATCH($I505,'CAT_TIPOS_OT'!$A$4:$A$23,0)),"SIN CLASIFICAR")))</f>
        <v/>
      </c>
      <c r="W505" s="24">
        <f>IF($H505="","",IF(IFERROR(INDEX('CAT_ACTIVIDADES'!$F$4:$F$26,MATCH($H505,'CAT_ACTIVIDADES'!$A$4:$A$26,0)),"")=0,"",IFERROR(INDEX('CAT_ACTIVIDADES'!$F$4:$F$26,MATCH($H505,'CAT_ACTIVIDADES'!$A$4:$A$26,0)),"")))</f>
        <v/>
      </c>
      <c r="X505" s="24">
        <f>IF($F505="","",IFERROR(INDEX('CAT_CENTROS_COSTO'!$F$4:$F$28,MATCH($F505,'CAT_CENTROS_COSTO'!$A$4:$A$28,0)),"(sin catálogo)"))</f>
        <v/>
      </c>
      <c r="Y505" s="24">
        <f>IF($F505="","",IFERROR(INDEX('CAT_CENTROS_COSTO'!$D$4:$D$28,MATCH($F505,'CAT_CENTROS_COSTO'!$A$4:$A$28,0)),"(sin catálogo)"))</f>
        <v/>
      </c>
      <c r="Z505" s="24">
        <f>IF($F505="","",IF((IFERROR(INDEX('CAT_CENTROS_COSTO'!$E$4:$E$28,MATCH($F505,'CAT_CENTROS_COSTO'!$A$4:$A$28,0)),""))&lt;&gt;"",IFERROR(INDEX('CAT_CENTROS_COSTO'!$E$4:$E$28,MATCH($F505,'CAT_CENTROS_COSTO'!$A$4:$A$28,0)),""),$Y505))</f>
        <v/>
      </c>
      <c r="AA505" s="24">
        <f>IF($F505="","",IFERROR(INDEX('CAT_CENTROS_COSTO'!$G$4:$G$28,MATCH($F505,'CAT_CENTROS_COSTO'!$A$4:$A$28,0)),"(sin catálogo)"))</f>
        <v/>
      </c>
      <c r="AB505" s="24">
        <f>IF($G505="","",IFERROR(INDEX('CAT_PUESTOS'!$B$4:$B$23,MATCH($G505,'CAT_PUESTOS'!$A$4:$A$23,0)),"(sin catálogo)"))</f>
        <v/>
      </c>
      <c r="AC505" s="24">
        <f>IF($H505="","",IFERROR(INDEX('CAT_ACTIVIDADES'!$B$4:$B$26,MATCH($H505,'CAT_ACTIVIDADES'!$A$4:$A$26,0)),"(sin catálogo)"))</f>
        <v/>
      </c>
      <c r="AD505" s="26">
        <f>IF($J505="","",TODAY()-$J505)</f>
        <v/>
      </c>
      <c r="AE505" s="26">
        <f>IF($J505="","",IF($J505&lt;=TODAY(),COUNTIFS(cal_fechas,"&gt;="&amp;$J505,cal_fechas,"&lt;"&amp;TODAY(),cal_habil,"sí"),-COUNTIFS(cal_fechas,"&gt;="&amp;TODAY(),cal_fechas,"&lt;"&amp;$J505,cal_habil,"sí")))</f>
        <v/>
      </c>
      <c r="AF505" s="24">
        <f>IF($AE505="","",IF($AE505&lt;0,"FUTURO",IF($AE505&gt;p_dias_backlog_max,"BACKLOG","MES CORRIENTE")))</f>
        <v/>
      </c>
      <c r="AG505" s="24">
        <f>IF($AE505="",FALSE,AND($AE505&gt;p_dias_backlog_min,$AE505&lt;=p_dias_backlog_max))</f>
        <v/>
      </c>
      <c r="AH505" s="4" t="n"/>
      <c r="AI505" s="24">
        <f>IF($AH505="","",IF((IFERROR(INDEX('ASIGNACIONES'!$J$4:$J$451,MATCH($O505&amp;"|"&amp;$S505&amp;"|"&amp;$AH505,'ASIGNACIONES'!$N$4:$N$451,0)),""))=0,"",IFERROR(INDEX('ASIGNACIONES'!$J$4:$J$451,MATCH($O505&amp;"|"&amp;$S505&amp;"|"&amp;$AH505,'ASIGNACIONES'!$N$4:$N$451,0)),"")))</f>
        <v/>
      </c>
      <c r="AJ505" s="42">
        <f>IF($AH505="","",SUMIFS('ORDENES'!$M$4:$M$1203,'ORDENES'!$AH$4:$AH$1203,$AH505,'ORDENES'!$O$4:$O$1203,$O505,'ORDENES'!$S$4:$S$1203,$S505))</f>
        <v/>
      </c>
      <c r="AK505" s="42">
        <f>IF($AJ505="","",p_factor_productividad*IFERROR(INDEX('ASIGNACIONES'!$M$4:$M$451,MATCH($O505&amp;"|"&amp;$S505&amp;"|"&amp;$AH505,'ASIGNACIONES'!$N$4:$N$451,0)),0)-$AJ505)</f>
        <v/>
      </c>
      <c r="AL505" s="32">
        <f>IF($A505="","",IFERROR(INDEX('2_IMPORTAR_EJECUCION'!$F$9:$F$1208,MATCH($AU505,'2_IMPORTAR_EJECUCION'!$J$9:$J$1208,0)),0))</f>
        <v/>
      </c>
      <c r="AM505" s="32">
        <f>IF($A505="","",MAX(0,IFERROR(INDEX('2_IMPORTAR_EJECUCION'!$H$9:$H$1208,MATCH($AU505,'2_IMPORTAR_EJECUCION'!$J$9:$J$1208,0)),0)-$AL505))</f>
        <v/>
      </c>
      <c r="AN505" s="32">
        <f>IF($A505="","",$AL505+$AM505)</f>
        <v/>
      </c>
      <c r="AO505" s="24">
        <f>IF($A505="","",IF(OR((IFERROR(INDEX('CAT_ACTIVIDADES'!$D$4:$D$26,MATCH($H505,'CAT_ACTIVIDADES'!$A$4:$A$26,0)),""))=0,(IFERROR(INDEX('CAT_ACTIVIDADES'!$D$4:$D$26,MATCH($H505,'CAT_ACTIVIDADES'!$A$4:$A$26,0)),""))=""),"SIN CLASIFICAR",IFERROR(INDEX('CAT_ACTIVIDADES'!$D$4:$D$26,MATCH($H505,'CAT_ACTIVIDADES'!$A$4:$A$26,0)),"")))</f>
        <v/>
      </c>
      <c r="AP505" s="4" t="n"/>
      <c r="AQ505" s="4" t="n"/>
      <c r="AR505" s="4" t="n"/>
      <c r="AS505" s="24">
        <f>IF($AR505="","",HYPERLINK(p_ruta_base_checklists&amp;$AR505,"abrir"))</f>
        <v/>
      </c>
      <c r="AT505" s="4" t="n"/>
      <c r="AU505" s="24">
        <f>IF($A505="","",$A505&amp;IF($B505="","0010",$B505))</f>
        <v/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41" t="n"/>
      <c r="K506" s="5" t="n"/>
      <c r="L506" s="18" t="n"/>
      <c r="M506" s="24">
        <f>IF($A506="","",IFERROR(INDEX('AJUSTES'!$B$4:$B$303,MATCH($AU506,'AJUSTES'!$A$4:$A$303,0)),IF($K506="","",$K506)))</f>
        <v/>
      </c>
      <c r="N506" s="24">
        <f>IF($A506="","",IFERROR(INDEX('CAT_ESTADOS_ERP'!$B$4:$B$22,MATCH(IFERROR(INDEX('2_IMPORTAR_EJECUCION'!$C$9:$C$1208,MATCH($AU506,'2_IMPORTAR_EJECUCION'!$J$9:$J$1208,0)),""),'CAT_ESTADOS_ERP'!$A$4:$A$22,0)),"Pendiente"))</f>
        <v/>
      </c>
      <c r="O506" s="24">
        <f>IF($J506="","",YEAR($J506+4-WEEKDAY($J506,2))&amp;"-S"&amp;TEXT(_xlfn.ISOWEEKNUM($J506),"00"))</f>
        <v/>
      </c>
      <c r="P506" s="24">
        <f>IF($J506="","",YEAR($J506))</f>
        <v/>
      </c>
      <c r="Q506" s="24">
        <f>IF($J506="","",MONTH($J506))</f>
        <v/>
      </c>
      <c r="R506" s="24">
        <f>IF($J506="","",$P506&amp;"-"&amp;TEXT($Q506,"00"))</f>
        <v/>
      </c>
      <c r="S506" s="24">
        <f>IF($J506="","",INDEX(lista_dias,WEEKDAY($J506,2)))</f>
        <v/>
      </c>
      <c r="T506" s="24">
        <f>IF($J506="","",IFERROR(INDEX('CALENDARIO'!$C$15:$C$214,MATCH(TEXT($J506,"yyyy-mm-dd")&amp;"|"&amp;$Y506&amp;"|"&amp;$Z506,'CALENDARIO'!$G$15:$G$214,0)),IFERROR(INDEX('CALENDARIO'!$C$15:$C$214,MATCH(TEXT($J506,"yyyy-mm-dd")&amp;"|"&amp;$Y506&amp;"|",'CALENDARIO'!$G$15:$G$214,0)),IFERROR(INDEX('CALENDARIO'!$C$15:$C$214,MATCH(TEXT($J506,"yyyy-mm-dd")&amp;"||",'CALENDARIO'!$G$15:$G$214,0)),INDEX(patronHabil,WEEKDAY($J506,2))))))</f>
        <v/>
      </c>
      <c r="U506" s="24">
        <f>IF($I506="","",IFERROR(INDEX('CAT_TIPOS_OT'!$C$4:$C$23,MATCH($I506,'CAT_TIPOS_OT'!$A$4:$A$23,0)),"sin_clasificar"))</f>
        <v/>
      </c>
      <c r="V506" s="24">
        <f>IF($I506="","",IF(IFERROR(INDEX('CAT_TIPOS_OT'!$D$4:$D$23,MATCH($I506,'CAT_TIPOS_OT'!$A$4:$A$23,0)),"SIN CLASIFICAR")="","SIN CLASIFICAR",IFERROR(INDEX('CAT_TIPOS_OT'!$D$4:$D$23,MATCH($I506,'CAT_TIPOS_OT'!$A$4:$A$23,0)),"SIN CLASIFICAR")))</f>
        <v/>
      </c>
      <c r="W506" s="24">
        <f>IF($H506="","",IF(IFERROR(INDEX('CAT_ACTIVIDADES'!$F$4:$F$26,MATCH($H506,'CAT_ACTIVIDADES'!$A$4:$A$26,0)),"")=0,"",IFERROR(INDEX('CAT_ACTIVIDADES'!$F$4:$F$26,MATCH($H506,'CAT_ACTIVIDADES'!$A$4:$A$26,0)),"")))</f>
        <v/>
      </c>
      <c r="X506" s="24">
        <f>IF($F506="","",IFERROR(INDEX('CAT_CENTROS_COSTO'!$F$4:$F$28,MATCH($F506,'CAT_CENTROS_COSTO'!$A$4:$A$28,0)),"(sin catálogo)"))</f>
        <v/>
      </c>
      <c r="Y506" s="24">
        <f>IF($F506="","",IFERROR(INDEX('CAT_CENTROS_COSTO'!$D$4:$D$28,MATCH($F506,'CAT_CENTROS_COSTO'!$A$4:$A$28,0)),"(sin catálogo)"))</f>
        <v/>
      </c>
      <c r="Z506" s="24">
        <f>IF($F506="","",IF((IFERROR(INDEX('CAT_CENTROS_COSTO'!$E$4:$E$28,MATCH($F506,'CAT_CENTROS_COSTO'!$A$4:$A$28,0)),""))&lt;&gt;"",IFERROR(INDEX('CAT_CENTROS_COSTO'!$E$4:$E$28,MATCH($F506,'CAT_CENTROS_COSTO'!$A$4:$A$28,0)),""),$Y506))</f>
        <v/>
      </c>
      <c r="AA506" s="24">
        <f>IF($F506="","",IFERROR(INDEX('CAT_CENTROS_COSTO'!$G$4:$G$28,MATCH($F506,'CAT_CENTROS_COSTO'!$A$4:$A$28,0)),"(sin catálogo)"))</f>
        <v/>
      </c>
      <c r="AB506" s="24">
        <f>IF($G506="","",IFERROR(INDEX('CAT_PUESTOS'!$B$4:$B$23,MATCH($G506,'CAT_PUESTOS'!$A$4:$A$23,0)),"(sin catálogo)"))</f>
        <v/>
      </c>
      <c r="AC506" s="24">
        <f>IF($H506="","",IFERROR(INDEX('CAT_ACTIVIDADES'!$B$4:$B$26,MATCH($H506,'CAT_ACTIVIDADES'!$A$4:$A$26,0)),"(sin catálogo)"))</f>
        <v/>
      </c>
      <c r="AD506" s="26">
        <f>IF($J506="","",TODAY()-$J506)</f>
        <v/>
      </c>
      <c r="AE506" s="26">
        <f>IF($J506="","",IF($J506&lt;=TODAY(),COUNTIFS(cal_fechas,"&gt;="&amp;$J506,cal_fechas,"&lt;"&amp;TODAY(),cal_habil,"sí"),-COUNTIFS(cal_fechas,"&gt;="&amp;TODAY(),cal_fechas,"&lt;"&amp;$J506,cal_habil,"sí")))</f>
        <v/>
      </c>
      <c r="AF506" s="24">
        <f>IF($AE506="","",IF($AE506&lt;0,"FUTURO",IF($AE506&gt;p_dias_backlog_max,"BACKLOG","MES CORRIENTE")))</f>
        <v/>
      </c>
      <c r="AG506" s="24">
        <f>IF($AE506="",FALSE,AND($AE506&gt;p_dias_backlog_min,$AE506&lt;=p_dias_backlog_max))</f>
        <v/>
      </c>
      <c r="AH506" s="4" t="n"/>
      <c r="AI506" s="24">
        <f>IF($AH506="","",IF((IFERROR(INDEX('ASIGNACIONES'!$J$4:$J$451,MATCH($O506&amp;"|"&amp;$S506&amp;"|"&amp;$AH506,'ASIGNACIONES'!$N$4:$N$451,0)),""))=0,"",IFERROR(INDEX('ASIGNACIONES'!$J$4:$J$451,MATCH($O506&amp;"|"&amp;$S506&amp;"|"&amp;$AH506,'ASIGNACIONES'!$N$4:$N$451,0)),"")))</f>
        <v/>
      </c>
      <c r="AJ506" s="42">
        <f>IF($AH506="","",SUMIFS('ORDENES'!$M$4:$M$1203,'ORDENES'!$AH$4:$AH$1203,$AH506,'ORDENES'!$O$4:$O$1203,$O506,'ORDENES'!$S$4:$S$1203,$S506))</f>
        <v/>
      </c>
      <c r="AK506" s="42">
        <f>IF($AJ506="","",p_factor_productividad*IFERROR(INDEX('ASIGNACIONES'!$M$4:$M$451,MATCH($O506&amp;"|"&amp;$S506&amp;"|"&amp;$AH506,'ASIGNACIONES'!$N$4:$N$451,0)),0)-$AJ506)</f>
        <v/>
      </c>
      <c r="AL506" s="32">
        <f>IF($A506="","",IFERROR(INDEX('2_IMPORTAR_EJECUCION'!$F$9:$F$1208,MATCH($AU506,'2_IMPORTAR_EJECUCION'!$J$9:$J$1208,0)),0))</f>
        <v/>
      </c>
      <c r="AM506" s="32">
        <f>IF($A506="","",MAX(0,IFERROR(INDEX('2_IMPORTAR_EJECUCION'!$H$9:$H$1208,MATCH($AU506,'2_IMPORTAR_EJECUCION'!$J$9:$J$1208,0)),0)-$AL506))</f>
        <v/>
      </c>
      <c r="AN506" s="32">
        <f>IF($A506="","",$AL506+$AM506)</f>
        <v/>
      </c>
      <c r="AO506" s="24">
        <f>IF($A506="","",IF(OR((IFERROR(INDEX('CAT_ACTIVIDADES'!$D$4:$D$26,MATCH($H506,'CAT_ACTIVIDADES'!$A$4:$A$26,0)),""))=0,(IFERROR(INDEX('CAT_ACTIVIDADES'!$D$4:$D$26,MATCH($H506,'CAT_ACTIVIDADES'!$A$4:$A$26,0)),""))=""),"SIN CLASIFICAR",IFERROR(INDEX('CAT_ACTIVIDADES'!$D$4:$D$26,MATCH($H506,'CAT_ACTIVIDADES'!$A$4:$A$26,0)),"")))</f>
        <v/>
      </c>
      <c r="AP506" s="4" t="n"/>
      <c r="AQ506" s="4" t="n"/>
      <c r="AR506" s="4" t="n"/>
      <c r="AS506" s="24">
        <f>IF($AR506="","",HYPERLINK(p_ruta_base_checklists&amp;$AR506,"abrir"))</f>
        <v/>
      </c>
      <c r="AT506" s="4" t="n"/>
      <c r="AU506" s="24">
        <f>IF($A506="","",$A506&amp;IF($B506="","0010",$B506))</f>
        <v/>
      </c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41" t="n"/>
      <c r="K507" s="5" t="n"/>
      <c r="L507" s="18" t="n"/>
      <c r="M507" s="24">
        <f>IF($A507="","",IFERROR(INDEX('AJUSTES'!$B$4:$B$303,MATCH($AU507,'AJUSTES'!$A$4:$A$303,0)),IF($K507="","",$K507)))</f>
        <v/>
      </c>
      <c r="N507" s="24">
        <f>IF($A507="","",IFERROR(INDEX('CAT_ESTADOS_ERP'!$B$4:$B$22,MATCH(IFERROR(INDEX('2_IMPORTAR_EJECUCION'!$C$9:$C$1208,MATCH($AU507,'2_IMPORTAR_EJECUCION'!$J$9:$J$1208,0)),""),'CAT_ESTADOS_ERP'!$A$4:$A$22,0)),"Pendiente"))</f>
        <v/>
      </c>
      <c r="O507" s="24">
        <f>IF($J507="","",YEAR($J507+4-WEEKDAY($J507,2))&amp;"-S"&amp;TEXT(_xlfn.ISOWEEKNUM($J507),"00"))</f>
        <v/>
      </c>
      <c r="P507" s="24">
        <f>IF($J507="","",YEAR($J507))</f>
        <v/>
      </c>
      <c r="Q507" s="24">
        <f>IF($J507="","",MONTH($J507))</f>
        <v/>
      </c>
      <c r="R507" s="24">
        <f>IF($J507="","",$P507&amp;"-"&amp;TEXT($Q507,"00"))</f>
        <v/>
      </c>
      <c r="S507" s="24">
        <f>IF($J507="","",INDEX(lista_dias,WEEKDAY($J507,2)))</f>
        <v/>
      </c>
      <c r="T507" s="24">
        <f>IF($J507="","",IFERROR(INDEX('CALENDARIO'!$C$15:$C$214,MATCH(TEXT($J507,"yyyy-mm-dd")&amp;"|"&amp;$Y507&amp;"|"&amp;$Z507,'CALENDARIO'!$G$15:$G$214,0)),IFERROR(INDEX('CALENDARIO'!$C$15:$C$214,MATCH(TEXT($J507,"yyyy-mm-dd")&amp;"|"&amp;$Y507&amp;"|",'CALENDARIO'!$G$15:$G$214,0)),IFERROR(INDEX('CALENDARIO'!$C$15:$C$214,MATCH(TEXT($J507,"yyyy-mm-dd")&amp;"||",'CALENDARIO'!$G$15:$G$214,0)),INDEX(patronHabil,WEEKDAY($J507,2))))))</f>
        <v/>
      </c>
      <c r="U507" s="24">
        <f>IF($I507="","",IFERROR(INDEX('CAT_TIPOS_OT'!$C$4:$C$23,MATCH($I507,'CAT_TIPOS_OT'!$A$4:$A$23,0)),"sin_clasificar"))</f>
        <v/>
      </c>
      <c r="V507" s="24">
        <f>IF($I507="","",IF(IFERROR(INDEX('CAT_TIPOS_OT'!$D$4:$D$23,MATCH($I507,'CAT_TIPOS_OT'!$A$4:$A$23,0)),"SIN CLASIFICAR")="","SIN CLASIFICAR",IFERROR(INDEX('CAT_TIPOS_OT'!$D$4:$D$23,MATCH($I507,'CAT_TIPOS_OT'!$A$4:$A$23,0)),"SIN CLASIFICAR")))</f>
        <v/>
      </c>
      <c r="W507" s="24">
        <f>IF($H507="","",IF(IFERROR(INDEX('CAT_ACTIVIDADES'!$F$4:$F$26,MATCH($H507,'CAT_ACTIVIDADES'!$A$4:$A$26,0)),"")=0,"",IFERROR(INDEX('CAT_ACTIVIDADES'!$F$4:$F$26,MATCH($H507,'CAT_ACTIVIDADES'!$A$4:$A$26,0)),"")))</f>
        <v/>
      </c>
      <c r="X507" s="24">
        <f>IF($F507="","",IFERROR(INDEX('CAT_CENTROS_COSTO'!$F$4:$F$28,MATCH($F507,'CAT_CENTROS_COSTO'!$A$4:$A$28,0)),"(sin catálogo)"))</f>
        <v/>
      </c>
      <c r="Y507" s="24">
        <f>IF($F507="","",IFERROR(INDEX('CAT_CENTROS_COSTO'!$D$4:$D$28,MATCH($F507,'CAT_CENTROS_COSTO'!$A$4:$A$28,0)),"(sin catálogo)"))</f>
        <v/>
      </c>
      <c r="Z507" s="24">
        <f>IF($F507="","",IF((IFERROR(INDEX('CAT_CENTROS_COSTO'!$E$4:$E$28,MATCH($F507,'CAT_CENTROS_COSTO'!$A$4:$A$28,0)),""))&lt;&gt;"",IFERROR(INDEX('CAT_CENTROS_COSTO'!$E$4:$E$28,MATCH($F507,'CAT_CENTROS_COSTO'!$A$4:$A$28,0)),""),$Y507))</f>
        <v/>
      </c>
      <c r="AA507" s="24">
        <f>IF($F507="","",IFERROR(INDEX('CAT_CENTROS_COSTO'!$G$4:$G$28,MATCH($F507,'CAT_CENTROS_COSTO'!$A$4:$A$28,0)),"(sin catálogo)"))</f>
        <v/>
      </c>
      <c r="AB507" s="24">
        <f>IF($G507="","",IFERROR(INDEX('CAT_PUESTOS'!$B$4:$B$23,MATCH($G507,'CAT_PUESTOS'!$A$4:$A$23,0)),"(sin catálogo)"))</f>
        <v/>
      </c>
      <c r="AC507" s="24">
        <f>IF($H507="","",IFERROR(INDEX('CAT_ACTIVIDADES'!$B$4:$B$26,MATCH($H507,'CAT_ACTIVIDADES'!$A$4:$A$26,0)),"(sin catálogo)"))</f>
        <v/>
      </c>
      <c r="AD507" s="26">
        <f>IF($J507="","",TODAY()-$J507)</f>
        <v/>
      </c>
      <c r="AE507" s="26">
        <f>IF($J507="","",IF($J507&lt;=TODAY(),COUNTIFS(cal_fechas,"&gt;="&amp;$J507,cal_fechas,"&lt;"&amp;TODAY(),cal_habil,"sí"),-COUNTIFS(cal_fechas,"&gt;="&amp;TODAY(),cal_fechas,"&lt;"&amp;$J507,cal_habil,"sí")))</f>
        <v/>
      </c>
      <c r="AF507" s="24">
        <f>IF($AE507="","",IF($AE507&lt;0,"FUTURO",IF($AE507&gt;p_dias_backlog_max,"BACKLOG","MES CORRIENTE")))</f>
        <v/>
      </c>
      <c r="AG507" s="24">
        <f>IF($AE507="",FALSE,AND($AE507&gt;p_dias_backlog_min,$AE507&lt;=p_dias_backlog_max))</f>
        <v/>
      </c>
      <c r="AH507" s="4" t="n"/>
      <c r="AI507" s="24">
        <f>IF($AH507="","",IF((IFERROR(INDEX('ASIGNACIONES'!$J$4:$J$451,MATCH($O507&amp;"|"&amp;$S507&amp;"|"&amp;$AH507,'ASIGNACIONES'!$N$4:$N$451,0)),""))=0,"",IFERROR(INDEX('ASIGNACIONES'!$J$4:$J$451,MATCH($O507&amp;"|"&amp;$S507&amp;"|"&amp;$AH507,'ASIGNACIONES'!$N$4:$N$451,0)),"")))</f>
        <v/>
      </c>
      <c r="AJ507" s="42">
        <f>IF($AH507="","",SUMIFS('ORDENES'!$M$4:$M$1203,'ORDENES'!$AH$4:$AH$1203,$AH507,'ORDENES'!$O$4:$O$1203,$O507,'ORDENES'!$S$4:$S$1203,$S507))</f>
        <v/>
      </c>
      <c r="AK507" s="42">
        <f>IF($AJ507="","",p_factor_productividad*IFERROR(INDEX('ASIGNACIONES'!$M$4:$M$451,MATCH($O507&amp;"|"&amp;$S507&amp;"|"&amp;$AH507,'ASIGNACIONES'!$N$4:$N$451,0)),0)-$AJ507)</f>
        <v/>
      </c>
      <c r="AL507" s="32">
        <f>IF($A507="","",IFERROR(INDEX('2_IMPORTAR_EJECUCION'!$F$9:$F$1208,MATCH($AU507,'2_IMPORTAR_EJECUCION'!$J$9:$J$1208,0)),0))</f>
        <v/>
      </c>
      <c r="AM507" s="32">
        <f>IF($A507="","",MAX(0,IFERROR(INDEX('2_IMPORTAR_EJECUCION'!$H$9:$H$1208,MATCH($AU507,'2_IMPORTAR_EJECUCION'!$J$9:$J$1208,0)),0)-$AL507))</f>
        <v/>
      </c>
      <c r="AN507" s="32">
        <f>IF($A507="","",$AL507+$AM507)</f>
        <v/>
      </c>
      <c r="AO507" s="24">
        <f>IF($A507="","",IF(OR((IFERROR(INDEX('CAT_ACTIVIDADES'!$D$4:$D$26,MATCH($H507,'CAT_ACTIVIDADES'!$A$4:$A$26,0)),""))=0,(IFERROR(INDEX('CAT_ACTIVIDADES'!$D$4:$D$26,MATCH($H507,'CAT_ACTIVIDADES'!$A$4:$A$26,0)),""))=""),"SIN CLASIFICAR",IFERROR(INDEX('CAT_ACTIVIDADES'!$D$4:$D$26,MATCH($H507,'CAT_ACTIVIDADES'!$A$4:$A$26,0)),"")))</f>
        <v/>
      </c>
      <c r="AP507" s="4" t="n"/>
      <c r="AQ507" s="4" t="n"/>
      <c r="AR507" s="4" t="n"/>
      <c r="AS507" s="24">
        <f>IF($AR507="","",HYPERLINK(p_ruta_base_checklists&amp;$AR507,"abrir"))</f>
        <v/>
      </c>
      <c r="AT507" s="4" t="n"/>
      <c r="AU507" s="24">
        <f>IF($A507="","",$A507&amp;IF($B507="","0010",$B507))</f>
        <v/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41" t="n"/>
      <c r="K508" s="5" t="n"/>
      <c r="L508" s="18" t="n"/>
      <c r="M508" s="24">
        <f>IF($A508="","",IFERROR(INDEX('AJUSTES'!$B$4:$B$303,MATCH($AU508,'AJUSTES'!$A$4:$A$303,0)),IF($K508="","",$K508)))</f>
        <v/>
      </c>
      <c r="N508" s="24">
        <f>IF($A508="","",IFERROR(INDEX('CAT_ESTADOS_ERP'!$B$4:$B$22,MATCH(IFERROR(INDEX('2_IMPORTAR_EJECUCION'!$C$9:$C$1208,MATCH($AU508,'2_IMPORTAR_EJECUCION'!$J$9:$J$1208,0)),""),'CAT_ESTADOS_ERP'!$A$4:$A$22,0)),"Pendiente"))</f>
        <v/>
      </c>
      <c r="O508" s="24">
        <f>IF($J508="","",YEAR($J508+4-WEEKDAY($J508,2))&amp;"-S"&amp;TEXT(_xlfn.ISOWEEKNUM($J508),"00"))</f>
        <v/>
      </c>
      <c r="P508" s="24">
        <f>IF($J508="","",YEAR($J508))</f>
        <v/>
      </c>
      <c r="Q508" s="24">
        <f>IF($J508="","",MONTH($J508))</f>
        <v/>
      </c>
      <c r="R508" s="24">
        <f>IF($J508="","",$P508&amp;"-"&amp;TEXT($Q508,"00"))</f>
        <v/>
      </c>
      <c r="S508" s="24">
        <f>IF($J508="","",INDEX(lista_dias,WEEKDAY($J508,2)))</f>
        <v/>
      </c>
      <c r="T508" s="24">
        <f>IF($J508="","",IFERROR(INDEX('CALENDARIO'!$C$15:$C$214,MATCH(TEXT($J508,"yyyy-mm-dd")&amp;"|"&amp;$Y508&amp;"|"&amp;$Z508,'CALENDARIO'!$G$15:$G$214,0)),IFERROR(INDEX('CALENDARIO'!$C$15:$C$214,MATCH(TEXT($J508,"yyyy-mm-dd")&amp;"|"&amp;$Y508&amp;"|",'CALENDARIO'!$G$15:$G$214,0)),IFERROR(INDEX('CALENDARIO'!$C$15:$C$214,MATCH(TEXT($J508,"yyyy-mm-dd")&amp;"||",'CALENDARIO'!$G$15:$G$214,0)),INDEX(patronHabil,WEEKDAY($J508,2))))))</f>
        <v/>
      </c>
      <c r="U508" s="24">
        <f>IF($I508="","",IFERROR(INDEX('CAT_TIPOS_OT'!$C$4:$C$23,MATCH($I508,'CAT_TIPOS_OT'!$A$4:$A$23,0)),"sin_clasificar"))</f>
        <v/>
      </c>
      <c r="V508" s="24">
        <f>IF($I508="","",IF(IFERROR(INDEX('CAT_TIPOS_OT'!$D$4:$D$23,MATCH($I508,'CAT_TIPOS_OT'!$A$4:$A$23,0)),"SIN CLASIFICAR")="","SIN CLASIFICAR",IFERROR(INDEX('CAT_TIPOS_OT'!$D$4:$D$23,MATCH($I508,'CAT_TIPOS_OT'!$A$4:$A$23,0)),"SIN CLASIFICAR")))</f>
        <v/>
      </c>
      <c r="W508" s="24">
        <f>IF($H508="","",IF(IFERROR(INDEX('CAT_ACTIVIDADES'!$F$4:$F$26,MATCH($H508,'CAT_ACTIVIDADES'!$A$4:$A$26,0)),"")=0,"",IFERROR(INDEX('CAT_ACTIVIDADES'!$F$4:$F$26,MATCH($H508,'CAT_ACTIVIDADES'!$A$4:$A$26,0)),"")))</f>
        <v/>
      </c>
      <c r="X508" s="24">
        <f>IF($F508="","",IFERROR(INDEX('CAT_CENTROS_COSTO'!$F$4:$F$28,MATCH($F508,'CAT_CENTROS_COSTO'!$A$4:$A$28,0)),"(sin catálogo)"))</f>
        <v/>
      </c>
      <c r="Y508" s="24">
        <f>IF($F508="","",IFERROR(INDEX('CAT_CENTROS_COSTO'!$D$4:$D$28,MATCH($F508,'CAT_CENTROS_COSTO'!$A$4:$A$28,0)),"(sin catálogo)"))</f>
        <v/>
      </c>
      <c r="Z508" s="24">
        <f>IF($F508="","",IF((IFERROR(INDEX('CAT_CENTROS_COSTO'!$E$4:$E$28,MATCH($F508,'CAT_CENTROS_COSTO'!$A$4:$A$28,0)),""))&lt;&gt;"",IFERROR(INDEX('CAT_CENTROS_COSTO'!$E$4:$E$28,MATCH($F508,'CAT_CENTROS_COSTO'!$A$4:$A$28,0)),""),$Y508))</f>
        <v/>
      </c>
      <c r="AA508" s="24">
        <f>IF($F508="","",IFERROR(INDEX('CAT_CENTROS_COSTO'!$G$4:$G$28,MATCH($F508,'CAT_CENTROS_COSTO'!$A$4:$A$28,0)),"(sin catálogo)"))</f>
        <v/>
      </c>
      <c r="AB508" s="24">
        <f>IF($G508="","",IFERROR(INDEX('CAT_PUESTOS'!$B$4:$B$23,MATCH($G508,'CAT_PUESTOS'!$A$4:$A$23,0)),"(sin catálogo)"))</f>
        <v/>
      </c>
      <c r="AC508" s="24">
        <f>IF($H508="","",IFERROR(INDEX('CAT_ACTIVIDADES'!$B$4:$B$26,MATCH($H508,'CAT_ACTIVIDADES'!$A$4:$A$26,0)),"(sin catálogo)"))</f>
        <v/>
      </c>
      <c r="AD508" s="26">
        <f>IF($J508="","",TODAY()-$J508)</f>
        <v/>
      </c>
      <c r="AE508" s="26">
        <f>IF($J508="","",IF($J508&lt;=TODAY(),COUNTIFS(cal_fechas,"&gt;="&amp;$J508,cal_fechas,"&lt;"&amp;TODAY(),cal_habil,"sí"),-COUNTIFS(cal_fechas,"&gt;="&amp;TODAY(),cal_fechas,"&lt;"&amp;$J508,cal_habil,"sí")))</f>
        <v/>
      </c>
      <c r="AF508" s="24">
        <f>IF($AE508="","",IF($AE508&lt;0,"FUTURO",IF($AE508&gt;p_dias_backlog_max,"BACKLOG","MES CORRIENTE")))</f>
        <v/>
      </c>
      <c r="AG508" s="24">
        <f>IF($AE508="",FALSE,AND($AE508&gt;p_dias_backlog_min,$AE508&lt;=p_dias_backlog_max))</f>
        <v/>
      </c>
      <c r="AH508" s="4" t="n"/>
      <c r="AI508" s="24">
        <f>IF($AH508="","",IF((IFERROR(INDEX('ASIGNACIONES'!$J$4:$J$451,MATCH($O508&amp;"|"&amp;$S508&amp;"|"&amp;$AH508,'ASIGNACIONES'!$N$4:$N$451,0)),""))=0,"",IFERROR(INDEX('ASIGNACIONES'!$J$4:$J$451,MATCH($O508&amp;"|"&amp;$S508&amp;"|"&amp;$AH508,'ASIGNACIONES'!$N$4:$N$451,0)),"")))</f>
        <v/>
      </c>
      <c r="AJ508" s="42">
        <f>IF($AH508="","",SUMIFS('ORDENES'!$M$4:$M$1203,'ORDENES'!$AH$4:$AH$1203,$AH508,'ORDENES'!$O$4:$O$1203,$O508,'ORDENES'!$S$4:$S$1203,$S508))</f>
        <v/>
      </c>
      <c r="AK508" s="42">
        <f>IF($AJ508="","",p_factor_productividad*IFERROR(INDEX('ASIGNACIONES'!$M$4:$M$451,MATCH($O508&amp;"|"&amp;$S508&amp;"|"&amp;$AH508,'ASIGNACIONES'!$N$4:$N$451,0)),0)-$AJ508)</f>
        <v/>
      </c>
      <c r="AL508" s="32">
        <f>IF($A508="","",IFERROR(INDEX('2_IMPORTAR_EJECUCION'!$F$9:$F$1208,MATCH($AU508,'2_IMPORTAR_EJECUCION'!$J$9:$J$1208,0)),0))</f>
        <v/>
      </c>
      <c r="AM508" s="32">
        <f>IF($A508="","",MAX(0,IFERROR(INDEX('2_IMPORTAR_EJECUCION'!$H$9:$H$1208,MATCH($AU508,'2_IMPORTAR_EJECUCION'!$J$9:$J$1208,0)),0)-$AL508))</f>
        <v/>
      </c>
      <c r="AN508" s="32">
        <f>IF($A508="","",$AL508+$AM508)</f>
        <v/>
      </c>
      <c r="AO508" s="24">
        <f>IF($A508="","",IF(OR((IFERROR(INDEX('CAT_ACTIVIDADES'!$D$4:$D$26,MATCH($H508,'CAT_ACTIVIDADES'!$A$4:$A$26,0)),""))=0,(IFERROR(INDEX('CAT_ACTIVIDADES'!$D$4:$D$26,MATCH($H508,'CAT_ACTIVIDADES'!$A$4:$A$26,0)),""))=""),"SIN CLASIFICAR",IFERROR(INDEX('CAT_ACTIVIDADES'!$D$4:$D$26,MATCH($H508,'CAT_ACTIVIDADES'!$A$4:$A$26,0)),"")))</f>
        <v/>
      </c>
      <c r="AP508" s="4" t="n"/>
      <c r="AQ508" s="4" t="n"/>
      <c r="AR508" s="4" t="n"/>
      <c r="AS508" s="24">
        <f>IF($AR508="","",HYPERLINK(p_ruta_base_checklists&amp;$AR508,"abrir"))</f>
        <v/>
      </c>
      <c r="AT508" s="4" t="n"/>
      <c r="AU508" s="24">
        <f>IF($A508="","",$A508&amp;IF($B508="","0010",$B508))</f>
        <v/>
      </c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41" t="n"/>
      <c r="K509" s="5" t="n"/>
      <c r="L509" s="18" t="n"/>
      <c r="M509" s="24">
        <f>IF($A509="","",IFERROR(INDEX('AJUSTES'!$B$4:$B$303,MATCH($AU509,'AJUSTES'!$A$4:$A$303,0)),IF($K509="","",$K509)))</f>
        <v/>
      </c>
      <c r="N509" s="24">
        <f>IF($A509="","",IFERROR(INDEX('CAT_ESTADOS_ERP'!$B$4:$B$22,MATCH(IFERROR(INDEX('2_IMPORTAR_EJECUCION'!$C$9:$C$1208,MATCH($AU509,'2_IMPORTAR_EJECUCION'!$J$9:$J$1208,0)),""),'CAT_ESTADOS_ERP'!$A$4:$A$22,0)),"Pendiente"))</f>
        <v/>
      </c>
      <c r="O509" s="24">
        <f>IF($J509="","",YEAR($J509+4-WEEKDAY($J509,2))&amp;"-S"&amp;TEXT(_xlfn.ISOWEEKNUM($J509),"00"))</f>
        <v/>
      </c>
      <c r="P509" s="24">
        <f>IF($J509="","",YEAR($J509))</f>
        <v/>
      </c>
      <c r="Q509" s="24">
        <f>IF($J509="","",MONTH($J509))</f>
        <v/>
      </c>
      <c r="R509" s="24">
        <f>IF($J509="","",$P509&amp;"-"&amp;TEXT($Q509,"00"))</f>
        <v/>
      </c>
      <c r="S509" s="24">
        <f>IF($J509="","",INDEX(lista_dias,WEEKDAY($J509,2)))</f>
        <v/>
      </c>
      <c r="T509" s="24">
        <f>IF($J509="","",IFERROR(INDEX('CALENDARIO'!$C$15:$C$214,MATCH(TEXT($J509,"yyyy-mm-dd")&amp;"|"&amp;$Y509&amp;"|"&amp;$Z509,'CALENDARIO'!$G$15:$G$214,0)),IFERROR(INDEX('CALENDARIO'!$C$15:$C$214,MATCH(TEXT($J509,"yyyy-mm-dd")&amp;"|"&amp;$Y509&amp;"|",'CALENDARIO'!$G$15:$G$214,0)),IFERROR(INDEX('CALENDARIO'!$C$15:$C$214,MATCH(TEXT($J509,"yyyy-mm-dd")&amp;"||",'CALENDARIO'!$G$15:$G$214,0)),INDEX(patronHabil,WEEKDAY($J509,2))))))</f>
        <v/>
      </c>
      <c r="U509" s="24">
        <f>IF($I509="","",IFERROR(INDEX('CAT_TIPOS_OT'!$C$4:$C$23,MATCH($I509,'CAT_TIPOS_OT'!$A$4:$A$23,0)),"sin_clasificar"))</f>
        <v/>
      </c>
      <c r="V509" s="24">
        <f>IF($I509="","",IF(IFERROR(INDEX('CAT_TIPOS_OT'!$D$4:$D$23,MATCH($I509,'CAT_TIPOS_OT'!$A$4:$A$23,0)),"SIN CLASIFICAR")="","SIN CLASIFICAR",IFERROR(INDEX('CAT_TIPOS_OT'!$D$4:$D$23,MATCH($I509,'CAT_TIPOS_OT'!$A$4:$A$23,0)),"SIN CLASIFICAR")))</f>
        <v/>
      </c>
      <c r="W509" s="24">
        <f>IF($H509="","",IF(IFERROR(INDEX('CAT_ACTIVIDADES'!$F$4:$F$26,MATCH($H509,'CAT_ACTIVIDADES'!$A$4:$A$26,0)),"")=0,"",IFERROR(INDEX('CAT_ACTIVIDADES'!$F$4:$F$26,MATCH($H509,'CAT_ACTIVIDADES'!$A$4:$A$26,0)),"")))</f>
        <v/>
      </c>
      <c r="X509" s="24">
        <f>IF($F509="","",IFERROR(INDEX('CAT_CENTROS_COSTO'!$F$4:$F$28,MATCH($F509,'CAT_CENTROS_COSTO'!$A$4:$A$28,0)),"(sin catálogo)"))</f>
        <v/>
      </c>
      <c r="Y509" s="24">
        <f>IF($F509="","",IFERROR(INDEX('CAT_CENTROS_COSTO'!$D$4:$D$28,MATCH($F509,'CAT_CENTROS_COSTO'!$A$4:$A$28,0)),"(sin catálogo)"))</f>
        <v/>
      </c>
      <c r="Z509" s="24">
        <f>IF($F509="","",IF((IFERROR(INDEX('CAT_CENTROS_COSTO'!$E$4:$E$28,MATCH($F509,'CAT_CENTROS_COSTO'!$A$4:$A$28,0)),""))&lt;&gt;"",IFERROR(INDEX('CAT_CENTROS_COSTO'!$E$4:$E$28,MATCH($F509,'CAT_CENTROS_COSTO'!$A$4:$A$28,0)),""),$Y509))</f>
        <v/>
      </c>
      <c r="AA509" s="24">
        <f>IF($F509="","",IFERROR(INDEX('CAT_CENTROS_COSTO'!$G$4:$G$28,MATCH($F509,'CAT_CENTROS_COSTO'!$A$4:$A$28,0)),"(sin catálogo)"))</f>
        <v/>
      </c>
      <c r="AB509" s="24">
        <f>IF($G509="","",IFERROR(INDEX('CAT_PUESTOS'!$B$4:$B$23,MATCH($G509,'CAT_PUESTOS'!$A$4:$A$23,0)),"(sin catálogo)"))</f>
        <v/>
      </c>
      <c r="AC509" s="24">
        <f>IF($H509="","",IFERROR(INDEX('CAT_ACTIVIDADES'!$B$4:$B$26,MATCH($H509,'CAT_ACTIVIDADES'!$A$4:$A$26,0)),"(sin catálogo)"))</f>
        <v/>
      </c>
      <c r="AD509" s="26">
        <f>IF($J509="","",TODAY()-$J509)</f>
        <v/>
      </c>
      <c r="AE509" s="26">
        <f>IF($J509="","",IF($J509&lt;=TODAY(),COUNTIFS(cal_fechas,"&gt;="&amp;$J509,cal_fechas,"&lt;"&amp;TODAY(),cal_habil,"sí"),-COUNTIFS(cal_fechas,"&gt;="&amp;TODAY(),cal_fechas,"&lt;"&amp;$J509,cal_habil,"sí")))</f>
        <v/>
      </c>
      <c r="AF509" s="24">
        <f>IF($AE509="","",IF($AE509&lt;0,"FUTURO",IF($AE509&gt;p_dias_backlog_max,"BACKLOG","MES CORRIENTE")))</f>
        <v/>
      </c>
      <c r="AG509" s="24">
        <f>IF($AE509="",FALSE,AND($AE509&gt;p_dias_backlog_min,$AE509&lt;=p_dias_backlog_max))</f>
        <v/>
      </c>
      <c r="AH509" s="4" t="n"/>
      <c r="AI509" s="24">
        <f>IF($AH509="","",IF((IFERROR(INDEX('ASIGNACIONES'!$J$4:$J$451,MATCH($O509&amp;"|"&amp;$S509&amp;"|"&amp;$AH509,'ASIGNACIONES'!$N$4:$N$451,0)),""))=0,"",IFERROR(INDEX('ASIGNACIONES'!$J$4:$J$451,MATCH($O509&amp;"|"&amp;$S509&amp;"|"&amp;$AH509,'ASIGNACIONES'!$N$4:$N$451,0)),"")))</f>
        <v/>
      </c>
      <c r="AJ509" s="42">
        <f>IF($AH509="","",SUMIFS('ORDENES'!$M$4:$M$1203,'ORDENES'!$AH$4:$AH$1203,$AH509,'ORDENES'!$O$4:$O$1203,$O509,'ORDENES'!$S$4:$S$1203,$S509))</f>
        <v/>
      </c>
      <c r="AK509" s="42">
        <f>IF($AJ509="","",p_factor_productividad*IFERROR(INDEX('ASIGNACIONES'!$M$4:$M$451,MATCH($O509&amp;"|"&amp;$S509&amp;"|"&amp;$AH509,'ASIGNACIONES'!$N$4:$N$451,0)),0)-$AJ509)</f>
        <v/>
      </c>
      <c r="AL509" s="32">
        <f>IF($A509="","",IFERROR(INDEX('2_IMPORTAR_EJECUCION'!$F$9:$F$1208,MATCH($AU509,'2_IMPORTAR_EJECUCION'!$J$9:$J$1208,0)),0))</f>
        <v/>
      </c>
      <c r="AM509" s="32">
        <f>IF($A509="","",MAX(0,IFERROR(INDEX('2_IMPORTAR_EJECUCION'!$H$9:$H$1208,MATCH($AU509,'2_IMPORTAR_EJECUCION'!$J$9:$J$1208,0)),0)-$AL509))</f>
        <v/>
      </c>
      <c r="AN509" s="32">
        <f>IF($A509="","",$AL509+$AM509)</f>
        <v/>
      </c>
      <c r="AO509" s="24">
        <f>IF($A509="","",IF(OR((IFERROR(INDEX('CAT_ACTIVIDADES'!$D$4:$D$26,MATCH($H509,'CAT_ACTIVIDADES'!$A$4:$A$26,0)),""))=0,(IFERROR(INDEX('CAT_ACTIVIDADES'!$D$4:$D$26,MATCH($H509,'CAT_ACTIVIDADES'!$A$4:$A$26,0)),""))=""),"SIN CLASIFICAR",IFERROR(INDEX('CAT_ACTIVIDADES'!$D$4:$D$26,MATCH($H509,'CAT_ACTIVIDADES'!$A$4:$A$26,0)),"")))</f>
        <v/>
      </c>
      <c r="AP509" s="4" t="n"/>
      <c r="AQ509" s="4" t="n"/>
      <c r="AR509" s="4" t="n"/>
      <c r="AS509" s="24">
        <f>IF($AR509="","",HYPERLINK(p_ruta_base_checklists&amp;$AR509,"abrir"))</f>
        <v/>
      </c>
      <c r="AT509" s="4" t="n"/>
      <c r="AU509" s="24">
        <f>IF($A509="","",$A509&amp;IF($B509="","0010",$B509))</f>
        <v/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41" t="n"/>
      <c r="K510" s="5" t="n"/>
      <c r="L510" s="18" t="n"/>
      <c r="M510" s="24">
        <f>IF($A510="","",IFERROR(INDEX('AJUSTES'!$B$4:$B$303,MATCH($AU510,'AJUSTES'!$A$4:$A$303,0)),IF($K510="","",$K510)))</f>
        <v/>
      </c>
      <c r="N510" s="24">
        <f>IF($A510="","",IFERROR(INDEX('CAT_ESTADOS_ERP'!$B$4:$B$22,MATCH(IFERROR(INDEX('2_IMPORTAR_EJECUCION'!$C$9:$C$1208,MATCH($AU510,'2_IMPORTAR_EJECUCION'!$J$9:$J$1208,0)),""),'CAT_ESTADOS_ERP'!$A$4:$A$22,0)),"Pendiente"))</f>
        <v/>
      </c>
      <c r="O510" s="24">
        <f>IF($J510="","",YEAR($J510+4-WEEKDAY($J510,2))&amp;"-S"&amp;TEXT(_xlfn.ISOWEEKNUM($J510),"00"))</f>
        <v/>
      </c>
      <c r="P510" s="24">
        <f>IF($J510="","",YEAR($J510))</f>
        <v/>
      </c>
      <c r="Q510" s="24">
        <f>IF($J510="","",MONTH($J510))</f>
        <v/>
      </c>
      <c r="R510" s="24">
        <f>IF($J510="","",$P510&amp;"-"&amp;TEXT($Q510,"00"))</f>
        <v/>
      </c>
      <c r="S510" s="24">
        <f>IF($J510="","",INDEX(lista_dias,WEEKDAY($J510,2)))</f>
        <v/>
      </c>
      <c r="T510" s="24">
        <f>IF($J510="","",IFERROR(INDEX('CALENDARIO'!$C$15:$C$214,MATCH(TEXT($J510,"yyyy-mm-dd")&amp;"|"&amp;$Y510&amp;"|"&amp;$Z510,'CALENDARIO'!$G$15:$G$214,0)),IFERROR(INDEX('CALENDARIO'!$C$15:$C$214,MATCH(TEXT($J510,"yyyy-mm-dd")&amp;"|"&amp;$Y510&amp;"|",'CALENDARIO'!$G$15:$G$214,0)),IFERROR(INDEX('CALENDARIO'!$C$15:$C$214,MATCH(TEXT($J510,"yyyy-mm-dd")&amp;"||",'CALENDARIO'!$G$15:$G$214,0)),INDEX(patronHabil,WEEKDAY($J510,2))))))</f>
        <v/>
      </c>
      <c r="U510" s="24">
        <f>IF($I510="","",IFERROR(INDEX('CAT_TIPOS_OT'!$C$4:$C$23,MATCH($I510,'CAT_TIPOS_OT'!$A$4:$A$23,0)),"sin_clasificar"))</f>
        <v/>
      </c>
      <c r="V510" s="24">
        <f>IF($I510="","",IF(IFERROR(INDEX('CAT_TIPOS_OT'!$D$4:$D$23,MATCH($I510,'CAT_TIPOS_OT'!$A$4:$A$23,0)),"SIN CLASIFICAR")="","SIN CLASIFICAR",IFERROR(INDEX('CAT_TIPOS_OT'!$D$4:$D$23,MATCH($I510,'CAT_TIPOS_OT'!$A$4:$A$23,0)),"SIN CLASIFICAR")))</f>
        <v/>
      </c>
      <c r="W510" s="24">
        <f>IF($H510="","",IF(IFERROR(INDEX('CAT_ACTIVIDADES'!$F$4:$F$26,MATCH($H510,'CAT_ACTIVIDADES'!$A$4:$A$26,0)),"")=0,"",IFERROR(INDEX('CAT_ACTIVIDADES'!$F$4:$F$26,MATCH($H510,'CAT_ACTIVIDADES'!$A$4:$A$26,0)),"")))</f>
        <v/>
      </c>
      <c r="X510" s="24">
        <f>IF($F510="","",IFERROR(INDEX('CAT_CENTROS_COSTO'!$F$4:$F$28,MATCH($F510,'CAT_CENTROS_COSTO'!$A$4:$A$28,0)),"(sin catálogo)"))</f>
        <v/>
      </c>
      <c r="Y510" s="24">
        <f>IF($F510="","",IFERROR(INDEX('CAT_CENTROS_COSTO'!$D$4:$D$28,MATCH($F510,'CAT_CENTROS_COSTO'!$A$4:$A$28,0)),"(sin catálogo)"))</f>
        <v/>
      </c>
      <c r="Z510" s="24">
        <f>IF($F510="","",IF((IFERROR(INDEX('CAT_CENTROS_COSTO'!$E$4:$E$28,MATCH($F510,'CAT_CENTROS_COSTO'!$A$4:$A$28,0)),""))&lt;&gt;"",IFERROR(INDEX('CAT_CENTROS_COSTO'!$E$4:$E$28,MATCH($F510,'CAT_CENTROS_COSTO'!$A$4:$A$28,0)),""),$Y510))</f>
        <v/>
      </c>
      <c r="AA510" s="24">
        <f>IF($F510="","",IFERROR(INDEX('CAT_CENTROS_COSTO'!$G$4:$G$28,MATCH($F510,'CAT_CENTROS_COSTO'!$A$4:$A$28,0)),"(sin catálogo)"))</f>
        <v/>
      </c>
      <c r="AB510" s="24">
        <f>IF($G510="","",IFERROR(INDEX('CAT_PUESTOS'!$B$4:$B$23,MATCH($G510,'CAT_PUESTOS'!$A$4:$A$23,0)),"(sin catálogo)"))</f>
        <v/>
      </c>
      <c r="AC510" s="24">
        <f>IF($H510="","",IFERROR(INDEX('CAT_ACTIVIDADES'!$B$4:$B$26,MATCH($H510,'CAT_ACTIVIDADES'!$A$4:$A$26,0)),"(sin catálogo)"))</f>
        <v/>
      </c>
      <c r="AD510" s="26">
        <f>IF($J510="","",TODAY()-$J510)</f>
        <v/>
      </c>
      <c r="AE510" s="26">
        <f>IF($J510="","",IF($J510&lt;=TODAY(),COUNTIFS(cal_fechas,"&gt;="&amp;$J510,cal_fechas,"&lt;"&amp;TODAY(),cal_habil,"sí"),-COUNTIFS(cal_fechas,"&gt;="&amp;TODAY(),cal_fechas,"&lt;"&amp;$J510,cal_habil,"sí")))</f>
        <v/>
      </c>
      <c r="AF510" s="24">
        <f>IF($AE510="","",IF($AE510&lt;0,"FUTURO",IF($AE510&gt;p_dias_backlog_max,"BACKLOG","MES CORRIENTE")))</f>
        <v/>
      </c>
      <c r="AG510" s="24">
        <f>IF($AE510="",FALSE,AND($AE510&gt;p_dias_backlog_min,$AE510&lt;=p_dias_backlog_max))</f>
        <v/>
      </c>
      <c r="AH510" s="4" t="n"/>
      <c r="AI510" s="24">
        <f>IF($AH510="","",IF((IFERROR(INDEX('ASIGNACIONES'!$J$4:$J$451,MATCH($O510&amp;"|"&amp;$S510&amp;"|"&amp;$AH510,'ASIGNACIONES'!$N$4:$N$451,0)),""))=0,"",IFERROR(INDEX('ASIGNACIONES'!$J$4:$J$451,MATCH($O510&amp;"|"&amp;$S510&amp;"|"&amp;$AH510,'ASIGNACIONES'!$N$4:$N$451,0)),"")))</f>
        <v/>
      </c>
      <c r="AJ510" s="42">
        <f>IF($AH510="","",SUMIFS('ORDENES'!$M$4:$M$1203,'ORDENES'!$AH$4:$AH$1203,$AH510,'ORDENES'!$O$4:$O$1203,$O510,'ORDENES'!$S$4:$S$1203,$S510))</f>
        <v/>
      </c>
      <c r="AK510" s="42">
        <f>IF($AJ510="","",p_factor_productividad*IFERROR(INDEX('ASIGNACIONES'!$M$4:$M$451,MATCH($O510&amp;"|"&amp;$S510&amp;"|"&amp;$AH510,'ASIGNACIONES'!$N$4:$N$451,0)),0)-$AJ510)</f>
        <v/>
      </c>
      <c r="AL510" s="32">
        <f>IF($A510="","",IFERROR(INDEX('2_IMPORTAR_EJECUCION'!$F$9:$F$1208,MATCH($AU510,'2_IMPORTAR_EJECUCION'!$J$9:$J$1208,0)),0))</f>
        <v/>
      </c>
      <c r="AM510" s="32">
        <f>IF($A510="","",MAX(0,IFERROR(INDEX('2_IMPORTAR_EJECUCION'!$H$9:$H$1208,MATCH($AU510,'2_IMPORTAR_EJECUCION'!$J$9:$J$1208,0)),0)-$AL510))</f>
        <v/>
      </c>
      <c r="AN510" s="32">
        <f>IF($A510="","",$AL510+$AM510)</f>
        <v/>
      </c>
      <c r="AO510" s="24">
        <f>IF($A510="","",IF(OR((IFERROR(INDEX('CAT_ACTIVIDADES'!$D$4:$D$26,MATCH($H510,'CAT_ACTIVIDADES'!$A$4:$A$26,0)),""))=0,(IFERROR(INDEX('CAT_ACTIVIDADES'!$D$4:$D$26,MATCH($H510,'CAT_ACTIVIDADES'!$A$4:$A$26,0)),""))=""),"SIN CLASIFICAR",IFERROR(INDEX('CAT_ACTIVIDADES'!$D$4:$D$26,MATCH($H510,'CAT_ACTIVIDADES'!$A$4:$A$26,0)),"")))</f>
        <v/>
      </c>
      <c r="AP510" s="4" t="n"/>
      <c r="AQ510" s="4" t="n"/>
      <c r="AR510" s="4" t="n"/>
      <c r="AS510" s="24">
        <f>IF($AR510="","",HYPERLINK(p_ruta_base_checklists&amp;$AR510,"abrir"))</f>
        <v/>
      </c>
      <c r="AT510" s="4" t="n"/>
      <c r="AU510" s="24">
        <f>IF($A510="","",$A510&amp;IF($B510="","0010",$B510))</f>
        <v/>
      </c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41" t="n"/>
      <c r="K511" s="5" t="n"/>
      <c r="L511" s="18" t="n"/>
      <c r="M511" s="24">
        <f>IF($A511="","",IFERROR(INDEX('AJUSTES'!$B$4:$B$303,MATCH($AU511,'AJUSTES'!$A$4:$A$303,0)),IF($K511="","",$K511)))</f>
        <v/>
      </c>
      <c r="N511" s="24">
        <f>IF($A511="","",IFERROR(INDEX('CAT_ESTADOS_ERP'!$B$4:$B$22,MATCH(IFERROR(INDEX('2_IMPORTAR_EJECUCION'!$C$9:$C$1208,MATCH($AU511,'2_IMPORTAR_EJECUCION'!$J$9:$J$1208,0)),""),'CAT_ESTADOS_ERP'!$A$4:$A$22,0)),"Pendiente"))</f>
        <v/>
      </c>
      <c r="O511" s="24">
        <f>IF($J511="","",YEAR($J511+4-WEEKDAY($J511,2))&amp;"-S"&amp;TEXT(_xlfn.ISOWEEKNUM($J511),"00"))</f>
        <v/>
      </c>
      <c r="P511" s="24">
        <f>IF($J511="","",YEAR($J511))</f>
        <v/>
      </c>
      <c r="Q511" s="24">
        <f>IF($J511="","",MONTH($J511))</f>
        <v/>
      </c>
      <c r="R511" s="24">
        <f>IF($J511="","",$P511&amp;"-"&amp;TEXT($Q511,"00"))</f>
        <v/>
      </c>
      <c r="S511" s="24">
        <f>IF($J511="","",INDEX(lista_dias,WEEKDAY($J511,2)))</f>
        <v/>
      </c>
      <c r="T511" s="24">
        <f>IF($J511="","",IFERROR(INDEX('CALENDARIO'!$C$15:$C$214,MATCH(TEXT($J511,"yyyy-mm-dd")&amp;"|"&amp;$Y511&amp;"|"&amp;$Z511,'CALENDARIO'!$G$15:$G$214,0)),IFERROR(INDEX('CALENDARIO'!$C$15:$C$214,MATCH(TEXT($J511,"yyyy-mm-dd")&amp;"|"&amp;$Y511&amp;"|",'CALENDARIO'!$G$15:$G$214,0)),IFERROR(INDEX('CALENDARIO'!$C$15:$C$214,MATCH(TEXT($J511,"yyyy-mm-dd")&amp;"||",'CALENDARIO'!$G$15:$G$214,0)),INDEX(patronHabil,WEEKDAY($J511,2))))))</f>
        <v/>
      </c>
      <c r="U511" s="24">
        <f>IF($I511="","",IFERROR(INDEX('CAT_TIPOS_OT'!$C$4:$C$23,MATCH($I511,'CAT_TIPOS_OT'!$A$4:$A$23,0)),"sin_clasificar"))</f>
        <v/>
      </c>
      <c r="V511" s="24">
        <f>IF($I511="","",IF(IFERROR(INDEX('CAT_TIPOS_OT'!$D$4:$D$23,MATCH($I511,'CAT_TIPOS_OT'!$A$4:$A$23,0)),"SIN CLASIFICAR")="","SIN CLASIFICAR",IFERROR(INDEX('CAT_TIPOS_OT'!$D$4:$D$23,MATCH($I511,'CAT_TIPOS_OT'!$A$4:$A$23,0)),"SIN CLASIFICAR")))</f>
        <v/>
      </c>
      <c r="W511" s="24">
        <f>IF($H511="","",IF(IFERROR(INDEX('CAT_ACTIVIDADES'!$F$4:$F$26,MATCH($H511,'CAT_ACTIVIDADES'!$A$4:$A$26,0)),"")=0,"",IFERROR(INDEX('CAT_ACTIVIDADES'!$F$4:$F$26,MATCH($H511,'CAT_ACTIVIDADES'!$A$4:$A$26,0)),"")))</f>
        <v/>
      </c>
      <c r="X511" s="24">
        <f>IF($F511="","",IFERROR(INDEX('CAT_CENTROS_COSTO'!$F$4:$F$28,MATCH($F511,'CAT_CENTROS_COSTO'!$A$4:$A$28,0)),"(sin catálogo)"))</f>
        <v/>
      </c>
      <c r="Y511" s="24">
        <f>IF($F511="","",IFERROR(INDEX('CAT_CENTROS_COSTO'!$D$4:$D$28,MATCH($F511,'CAT_CENTROS_COSTO'!$A$4:$A$28,0)),"(sin catálogo)"))</f>
        <v/>
      </c>
      <c r="Z511" s="24">
        <f>IF($F511="","",IF((IFERROR(INDEX('CAT_CENTROS_COSTO'!$E$4:$E$28,MATCH($F511,'CAT_CENTROS_COSTO'!$A$4:$A$28,0)),""))&lt;&gt;"",IFERROR(INDEX('CAT_CENTROS_COSTO'!$E$4:$E$28,MATCH($F511,'CAT_CENTROS_COSTO'!$A$4:$A$28,0)),""),$Y511))</f>
        <v/>
      </c>
      <c r="AA511" s="24">
        <f>IF($F511="","",IFERROR(INDEX('CAT_CENTROS_COSTO'!$G$4:$G$28,MATCH($F511,'CAT_CENTROS_COSTO'!$A$4:$A$28,0)),"(sin catálogo)"))</f>
        <v/>
      </c>
      <c r="AB511" s="24">
        <f>IF($G511="","",IFERROR(INDEX('CAT_PUESTOS'!$B$4:$B$23,MATCH($G511,'CAT_PUESTOS'!$A$4:$A$23,0)),"(sin catálogo)"))</f>
        <v/>
      </c>
      <c r="AC511" s="24">
        <f>IF($H511="","",IFERROR(INDEX('CAT_ACTIVIDADES'!$B$4:$B$26,MATCH($H511,'CAT_ACTIVIDADES'!$A$4:$A$26,0)),"(sin catálogo)"))</f>
        <v/>
      </c>
      <c r="AD511" s="26">
        <f>IF($J511="","",TODAY()-$J511)</f>
        <v/>
      </c>
      <c r="AE511" s="26">
        <f>IF($J511="","",IF($J511&lt;=TODAY(),COUNTIFS(cal_fechas,"&gt;="&amp;$J511,cal_fechas,"&lt;"&amp;TODAY(),cal_habil,"sí"),-COUNTIFS(cal_fechas,"&gt;="&amp;TODAY(),cal_fechas,"&lt;"&amp;$J511,cal_habil,"sí")))</f>
        <v/>
      </c>
      <c r="AF511" s="24">
        <f>IF($AE511="","",IF($AE511&lt;0,"FUTURO",IF($AE511&gt;p_dias_backlog_max,"BACKLOG","MES CORRIENTE")))</f>
        <v/>
      </c>
      <c r="AG511" s="24">
        <f>IF($AE511="",FALSE,AND($AE511&gt;p_dias_backlog_min,$AE511&lt;=p_dias_backlog_max))</f>
        <v/>
      </c>
      <c r="AH511" s="4" t="n"/>
      <c r="AI511" s="24">
        <f>IF($AH511="","",IF((IFERROR(INDEX('ASIGNACIONES'!$J$4:$J$451,MATCH($O511&amp;"|"&amp;$S511&amp;"|"&amp;$AH511,'ASIGNACIONES'!$N$4:$N$451,0)),""))=0,"",IFERROR(INDEX('ASIGNACIONES'!$J$4:$J$451,MATCH($O511&amp;"|"&amp;$S511&amp;"|"&amp;$AH511,'ASIGNACIONES'!$N$4:$N$451,0)),"")))</f>
        <v/>
      </c>
      <c r="AJ511" s="42">
        <f>IF($AH511="","",SUMIFS('ORDENES'!$M$4:$M$1203,'ORDENES'!$AH$4:$AH$1203,$AH511,'ORDENES'!$O$4:$O$1203,$O511,'ORDENES'!$S$4:$S$1203,$S511))</f>
        <v/>
      </c>
      <c r="AK511" s="42">
        <f>IF($AJ511="","",p_factor_productividad*IFERROR(INDEX('ASIGNACIONES'!$M$4:$M$451,MATCH($O511&amp;"|"&amp;$S511&amp;"|"&amp;$AH511,'ASIGNACIONES'!$N$4:$N$451,0)),0)-$AJ511)</f>
        <v/>
      </c>
      <c r="AL511" s="32">
        <f>IF($A511="","",IFERROR(INDEX('2_IMPORTAR_EJECUCION'!$F$9:$F$1208,MATCH($AU511,'2_IMPORTAR_EJECUCION'!$J$9:$J$1208,0)),0))</f>
        <v/>
      </c>
      <c r="AM511" s="32">
        <f>IF($A511="","",MAX(0,IFERROR(INDEX('2_IMPORTAR_EJECUCION'!$H$9:$H$1208,MATCH($AU511,'2_IMPORTAR_EJECUCION'!$J$9:$J$1208,0)),0)-$AL511))</f>
        <v/>
      </c>
      <c r="AN511" s="32">
        <f>IF($A511="","",$AL511+$AM511)</f>
        <v/>
      </c>
      <c r="AO511" s="24">
        <f>IF($A511="","",IF(OR((IFERROR(INDEX('CAT_ACTIVIDADES'!$D$4:$D$26,MATCH($H511,'CAT_ACTIVIDADES'!$A$4:$A$26,0)),""))=0,(IFERROR(INDEX('CAT_ACTIVIDADES'!$D$4:$D$26,MATCH($H511,'CAT_ACTIVIDADES'!$A$4:$A$26,0)),""))=""),"SIN CLASIFICAR",IFERROR(INDEX('CAT_ACTIVIDADES'!$D$4:$D$26,MATCH($H511,'CAT_ACTIVIDADES'!$A$4:$A$26,0)),"")))</f>
        <v/>
      </c>
      <c r="AP511" s="4" t="n"/>
      <c r="AQ511" s="4" t="n"/>
      <c r="AR511" s="4" t="n"/>
      <c r="AS511" s="24">
        <f>IF($AR511="","",HYPERLINK(p_ruta_base_checklists&amp;$AR511,"abrir"))</f>
        <v/>
      </c>
      <c r="AT511" s="4" t="n"/>
      <c r="AU511" s="24">
        <f>IF($A511="","",$A511&amp;IF($B511="","0010",$B511))</f>
        <v/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41" t="n"/>
      <c r="K512" s="5" t="n"/>
      <c r="L512" s="18" t="n"/>
      <c r="M512" s="24">
        <f>IF($A512="","",IFERROR(INDEX('AJUSTES'!$B$4:$B$303,MATCH($AU512,'AJUSTES'!$A$4:$A$303,0)),IF($K512="","",$K512)))</f>
        <v/>
      </c>
      <c r="N512" s="24">
        <f>IF($A512="","",IFERROR(INDEX('CAT_ESTADOS_ERP'!$B$4:$B$22,MATCH(IFERROR(INDEX('2_IMPORTAR_EJECUCION'!$C$9:$C$1208,MATCH($AU512,'2_IMPORTAR_EJECUCION'!$J$9:$J$1208,0)),""),'CAT_ESTADOS_ERP'!$A$4:$A$22,0)),"Pendiente"))</f>
        <v/>
      </c>
      <c r="O512" s="24">
        <f>IF($J512="","",YEAR($J512+4-WEEKDAY($J512,2))&amp;"-S"&amp;TEXT(_xlfn.ISOWEEKNUM($J512),"00"))</f>
        <v/>
      </c>
      <c r="P512" s="24">
        <f>IF($J512="","",YEAR($J512))</f>
        <v/>
      </c>
      <c r="Q512" s="24">
        <f>IF($J512="","",MONTH($J512))</f>
        <v/>
      </c>
      <c r="R512" s="24">
        <f>IF($J512="","",$P512&amp;"-"&amp;TEXT($Q512,"00"))</f>
        <v/>
      </c>
      <c r="S512" s="24">
        <f>IF($J512="","",INDEX(lista_dias,WEEKDAY($J512,2)))</f>
        <v/>
      </c>
      <c r="T512" s="24">
        <f>IF($J512="","",IFERROR(INDEX('CALENDARIO'!$C$15:$C$214,MATCH(TEXT($J512,"yyyy-mm-dd")&amp;"|"&amp;$Y512&amp;"|"&amp;$Z512,'CALENDARIO'!$G$15:$G$214,0)),IFERROR(INDEX('CALENDARIO'!$C$15:$C$214,MATCH(TEXT($J512,"yyyy-mm-dd")&amp;"|"&amp;$Y512&amp;"|",'CALENDARIO'!$G$15:$G$214,0)),IFERROR(INDEX('CALENDARIO'!$C$15:$C$214,MATCH(TEXT($J512,"yyyy-mm-dd")&amp;"||",'CALENDARIO'!$G$15:$G$214,0)),INDEX(patronHabil,WEEKDAY($J512,2))))))</f>
        <v/>
      </c>
      <c r="U512" s="24">
        <f>IF($I512="","",IFERROR(INDEX('CAT_TIPOS_OT'!$C$4:$C$23,MATCH($I512,'CAT_TIPOS_OT'!$A$4:$A$23,0)),"sin_clasificar"))</f>
        <v/>
      </c>
      <c r="V512" s="24">
        <f>IF($I512="","",IF(IFERROR(INDEX('CAT_TIPOS_OT'!$D$4:$D$23,MATCH($I512,'CAT_TIPOS_OT'!$A$4:$A$23,0)),"SIN CLASIFICAR")="","SIN CLASIFICAR",IFERROR(INDEX('CAT_TIPOS_OT'!$D$4:$D$23,MATCH($I512,'CAT_TIPOS_OT'!$A$4:$A$23,0)),"SIN CLASIFICAR")))</f>
        <v/>
      </c>
      <c r="W512" s="24">
        <f>IF($H512="","",IF(IFERROR(INDEX('CAT_ACTIVIDADES'!$F$4:$F$26,MATCH($H512,'CAT_ACTIVIDADES'!$A$4:$A$26,0)),"")=0,"",IFERROR(INDEX('CAT_ACTIVIDADES'!$F$4:$F$26,MATCH($H512,'CAT_ACTIVIDADES'!$A$4:$A$26,0)),"")))</f>
        <v/>
      </c>
      <c r="X512" s="24">
        <f>IF($F512="","",IFERROR(INDEX('CAT_CENTROS_COSTO'!$F$4:$F$28,MATCH($F512,'CAT_CENTROS_COSTO'!$A$4:$A$28,0)),"(sin catálogo)"))</f>
        <v/>
      </c>
      <c r="Y512" s="24">
        <f>IF($F512="","",IFERROR(INDEX('CAT_CENTROS_COSTO'!$D$4:$D$28,MATCH($F512,'CAT_CENTROS_COSTO'!$A$4:$A$28,0)),"(sin catálogo)"))</f>
        <v/>
      </c>
      <c r="Z512" s="24">
        <f>IF($F512="","",IF((IFERROR(INDEX('CAT_CENTROS_COSTO'!$E$4:$E$28,MATCH($F512,'CAT_CENTROS_COSTO'!$A$4:$A$28,0)),""))&lt;&gt;"",IFERROR(INDEX('CAT_CENTROS_COSTO'!$E$4:$E$28,MATCH($F512,'CAT_CENTROS_COSTO'!$A$4:$A$28,0)),""),$Y512))</f>
        <v/>
      </c>
      <c r="AA512" s="24">
        <f>IF($F512="","",IFERROR(INDEX('CAT_CENTROS_COSTO'!$G$4:$G$28,MATCH($F512,'CAT_CENTROS_COSTO'!$A$4:$A$28,0)),"(sin catálogo)"))</f>
        <v/>
      </c>
      <c r="AB512" s="24">
        <f>IF($G512="","",IFERROR(INDEX('CAT_PUESTOS'!$B$4:$B$23,MATCH($G512,'CAT_PUESTOS'!$A$4:$A$23,0)),"(sin catálogo)"))</f>
        <v/>
      </c>
      <c r="AC512" s="24">
        <f>IF($H512="","",IFERROR(INDEX('CAT_ACTIVIDADES'!$B$4:$B$26,MATCH($H512,'CAT_ACTIVIDADES'!$A$4:$A$26,0)),"(sin catálogo)"))</f>
        <v/>
      </c>
      <c r="AD512" s="26">
        <f>IF($J512="","",TODAY()-$J512)</f>
        <v/>
      </c>
      <c r="AE512" s="26">
        <f>IF($J512="","",IF($J512&lt;=TODAY(),COUNTIFS(cal_fechas,"&gt;="&amp;$J512,cal_fechas,"&lt;"&amp;TODAY(),cal_habil,"sí"),-COUNTIFS(cal_fechas,"&gt;="&amp;TODAY(),cal_fechas,"&lt;"&amp;$J512,cal_habil,"sí")))</f>
        <v/>
      </c>
      <c r="AF512" s="24">
        <f>IF($AE512="","",IF($AE512&lt;0,"FUTURO",IF($AE512&gt;p_dias_backlog_max,"BACKLOG","MES CORRIENTE")))</f>
        <v/>
      </c>
      <c r="AG512" s="24">
        <f>IF($AE512="",FALSE,AND($AE512&gt;p_dias_backlog_min,$AE512&lt;=p_dias_backlog_max))</f>
        <v/>
      </c>
      <c r="AH512" s="4" t="n"/>
      <c r="AI512" s="24">
        <f>IF($AH512="","",IF((IFERROR(INDEX('ASIGNACIONES'!$J$4:$J$451,MATCH($O512&amp;"|"&amp;$S512&amp;"|"&amp;$AH512,'ASIGNACIONES'!$N$4:$N$451,0)),""))=0,"",IFERROR(INDEX('ASIGNACIONES'!$J$4:$J$451,MATCH($O512&amp;"|"&amp;$S512&amp;"|"&amp;$AH512,'ASIGNACIONES'!$N$4:$N$451,0)),"")))</f>
        <v/>
      </c>
      <c r="AJ512" s="42">
        <f>IF($AH512="","",SUMIFS('ORDENES'!$M$4:$M$1203,'ORDENES'!$AH$4:$AH$1203,$AH512,'ORDENES'!$O$4:$O$1203,$O512,'ORDENES'!$S$4:$S$1203,$S512))</f>
        <v/>
      </c>
      <c r="AK512" s="42">
        <f>IF($AJ512="","",p_factor_productividad*IFERROR(INDEX('ASIGNACIONES'!$M$4:$M$451,MATCH($O512&amp;"|"&amp;$S512&amp;"|"&amp;$AH512,'ASIGNACIONES'!$N$4:$N$451,0)),0)-$AJ512)</f>
        <v/>
      </c>
      <c r="AL512" s="32">
        <f>IF($A512="","",IFERROR(INDEX('2_IMPORTAR_EJECUCION'!$F$9:$F$1208,MATCH($AU512,'2_IMPORTAR_EJECUCION'!$J$9:$J$1208,0)),0))</f>
        <v/>
      </c>
      <c r="AM512" s="32">
        <f>IF($A512="","",MAX(0,IFERROR(INDEX('2_IMPORTAR_EJECUCION'!$H$9:$H$1208,MATCH($AU512,'2_IMPORTAR_EJECUCION'!$J$9:$J$1208,0)),0)-$AL512))</f>
        <v/>
      </c>
      <c r="AN512" s="32">
        <f>IF($A512="","",$AL512+$AM512)</f>
        <v/>
      </c>
      <c r="AO512" s="24">
        <f>IF($A512="","",IF(OR((IFERROR(INDEX('CAT_ACTIVIDADES'!$D$4:$D$26,MATCH($H512,'CAT_ACTIVIDADES'!$A$4:$A$26,0)),""))=0,(IFERROR(INDEX('CAT_ACTIVIDADES'!$D$4:$D$26,MATCH($H512,'CAT_ACTIVIDADES'!$A$4:$A$26,0)),""))=""),"SIN CLASIFICAR",IFERROR(INDEX('CAT_ACTIVIDADES'!$D$4:$D$26,MATCH($H512,'CAT_ACTIVIDADES'!$A$4:$A$26,0)),"")))</f>
        <v/>
      </c>
      <c r="AP512" s="4" t="n"/>
      <c r="AQ512" s="4" t="n"/>
      <c r="AR512" s="4" t="n"/>
      <c r="AS512" s="24">
        <f>IF($AR512="","",HYPERLINK(p_ruta_base_checklists&amp;$AR512,"abrir"))</f>
        <v/>
      </c>
      <c r="AT512" s="4" t="n"/>
      <c r="AU512" s="24">
        <f>IF($A512="","",$A512&amp;IF($B512="","0010",$B512))</f>
        <v/>
      </c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41" t="n"/>
      <c r="K513" s="5" t="n"/>
      <c r="L513" s="18" t="n"/>
      <c r="M513" s="24">
        <f>IF($A513="","",IFERROR(INDEX('AJUSTES'!$B$4:$B$303,MATCH($AU513,'AJUSTES'!$A$4:$A$303,0)),IF($K513="","",$K513)))</f>
        <v/>
      </c>
      <c r="N513" s="24">
        <f>IF($A513="","",IFERROR(INDEX('CAT_ESTADOS_ERP'!$B$4:$B$22,MATCH(IFERROR(INDEX('2_IMPORTAR_EJECUCION'!$C$9:$C$1208,MATCH($AU513,'2_IMPORTAR_EJECUCION'!$J$9:$J$1208,0)),""),'CAT_ESTADOS_ERP'!$A$4:$A$22,0)),"Pendiente"))</f>
        <v/>
      </c>
      <c r="O513" s="24">
        <f>IF($J513="","",YEAR($J513+4-WEEKDAY($J513,2))&amp;"-S"&amp;TEXT(_xlfn.ISOWEEKNUM($J513),"00"))</f>
        <v/>
      </c>
      <c r="P513" s="24">
        <f>IF($J513="","",YEAR($J513))</f>
        <v/>
      </c>
      <c r="Q513" s="24">
        <f>IF($J513="","",MONTH($J513))</f>
        <v/>
      </c>
      <c r="R513" s="24">
        <f>IF($J513="","",$P513&amp;"-"&amp;TEXT($Q513,"00"))</f>
        <v/>
      </c>
      <c r="S513" s="24">
        <f>IF($J513="","",INDEX(lista_dias,WEEKDAY($J513,2)))</f>
        <v/>
      </c>
      <c r="T513" s="24">
        <f>IF($J513="","",IFERROR(INDEX('CALENDARIO'!$C$15:$C$214,MATCH(TEXT($J513,"yyyy-mm-dd")&amp;"|"&amp;$Y513&amp;"|"&amp;$Z513,'CALENDARIO'!$G$15:$G$214,0)),IFERROR(INDEX('CALENDARIO'!$C$15:$C$214,MATCH(TEXT($J513,"yyyy-mm-dd")&amp;"|"&amp;$Y513&amp;"|",'CALENDARIO'!$G$15:$G$214,0)),IFERROR(INDEX('CALENDARIO'!$C$15:$C$214,MATCH(TEXT($J513,"yyyy-mm-dd")&amp;"||",'CALENDARIO'!$G$15:$G$214,0)),INDEX(patronHabil,WEEKDAY($J513,2))))))</f>
        <v/>
      </c>
      <c r="U513" s="24">
        <f>IF($I513="","",IFERROR(INDEX('CAT_TIPOS_OT'!$C$4:$C$23,MATCH($I513,'CAT_TIPOS_OT'!$A$4:$A$23,0)),"sin_clasificar"))</f>
        <v/>
      </c>
      <c r="V513" s="24">
        <f>IF($I513="","",IF(IFERROR(INDEX('CAT_TIPOS_OT'!$D$4:$D$23,MATCH($I513,'CAT_TIPOS_OT'!$A$4:$A$23,0)),"SIN CLASIFICAR")="","SIN CLASIFICAR",IFERROR(INDEX('CAT_TIPOS_OT'!$D$4:$D$23,MATCH($I513,'CAT_TIPOS_OT'!$A$4:$A$23,0)),"SIN CLASIFICAR")))</f>
        <v/>
      </c>
      <c r="W513" s="24">
        <f>IF($H513="","",IF(IFERROR(INDEX('CAT_ACTIVIDADES'!$F$4:$F$26,MATCH($H513,'CAT_ACTIVIDADES'!$A$4:$A$26,0)),"")=0,"",IFERROR(INDEX('CAT_ACTIVIDADES'!$F$4:$F$26,MATCH($H513,'CAT_ACTIVIDADES'!$A$4:$A$26,0)),"")))</f>
        <v/>
      </c>
      <c r="X513" s="24">
        <f>IF($F513="","",IFERROR(INDEX('CAT_CENTROS_COSTO'!$F$4:$F$28,MATCH($F513,'CAT_CENTROS_COSTO'!$A$4:$A$28,0)),"(sin catálogo)"))</f>
        <v/>
      </c>
      <c r="Y513" s="24">
        <f>IF($F513="","",IFERROR(INDEX('CAT_CENTROS_COSTO'!$D$4:$D$28,MATCH($F513,'CAT_CENTROS_COSTO'!$A$4:$A$28,0)),"(sin catálogo)"))</f>
        <v/>
      </c>
      <c r="Z513" s="24">
        <f>IF($F513="","",IF((IFERROR(INDEX('CAT_CENTROS_COSTO'!$E$4:$E$28,MATCH($F513,'CAT_CENTROS_COSTO'!$A$4:$A$28,0)),""))&lt;&gt;"",IFERROR(INDEX('CAT_CENTROS_COSTO'!$E$4:$E$28,MATCH($F513,'CAT_CENTROS_COSTO'!$A$4:$A$28,0)),""),$Y513))</f>
        <v/>
      </c>
      <c r="AA513" s="24">
        <f>IF($F513="","",IFERROR(INDEX('CAT_CENTROS_COSTO'!$G$4:$G$28,MATCH($F513,'CAT_CENTROS_COSTO'!$A$4:$A$28,0)),"(sin catálogo)"))</f>
        <v/>
      </c>
      <c r="AB513" s="24">
        <f>IF($G513="","",IFERROR(INDEX('CAT_PUESTOS'!$B$4:$B$23,MATCH($G513,'CAT_PUESTOS'!$A$4:$A$23,0)),"(sin catálogo)"))</f>
        <v/>
      </c>
      <c r="AC513" s="24">
        <f>IF($H513="","",IFERROR(INDEX('CAT_ACTIVIDADES'!$B$4:$B$26,MATCH($H513,'CAT_ACTIVIDADES'!$A$4:$A$26,0)),"(sin catálogo)"))</f>
        <v/>
      </c>
      <c r="AD513" s="26">
        <f>IF($J513="","",TODAY()-$J513)</f>
        <v/>
      </c>
      <c r="AE513" s="26">
        <f>IF($J513="","",IF($J513&lt;=TODAY(),COUNTIFS(cal_fechas,"&gt;="&amp;$J513,cal_fechas,"&lt;"&amp;TODAY(),cal_habil,"sí"),-COUNTIFS(cal_fechas,"&gt;="&amp;TODAY(),cal_fechas,"&lt;"&amp;$J513,cal_habil,"sí")))</f>
        <v/>
      </c>
      <c r="AF513" s="24">
        <f>IF($AE513="","",IF($AE513&lt;0,"FUTURO",IF($AE513&gt;p_dias_backlog_max,"BACKLOG","MES CORRIENTE")))</f>
        <v/>
      </c>
      <c r="AG513" s="24">
        <f>IF($AE513="",FALSE,AND($AE513&gt;p_dias_backlog_min,$AE513&lt;=p_dias_backlog_max))</f>
        <v/>
      </c>
      <c r="AH513" s="4" t="n"/>
      <c r="AI513" s="24">
        <f>IF($AH513="","",IF((IFERROR(INDEX('ASIGNACIONES'!$J$4:$J$451,MATCH($O513&amp;"|"&amp;$S513&amp;"|"&amp;$AH513,'ASIGNACIONES'!$N$4:$N$451,0)),""))=0,"",IFERROR(INDEX('ASIGNACIONES'!$J$4:$J$451,MATCH($O513&amp;"|"&amp;$S513&amp;"|"&amp;$AH513,'ASIGNACIONES'!$N$4:$N$451,0)),"")))</f>
        <v/>
      </c>
      <c r="AJ513" s="42">
        <f>IF($AH513="","",SUMIFS('ORDENES'!$M$4:$M$1203,'ORDENES'!$AH$4:$AH$1203,$AH513,'ORDENES'!$O$4:$O$1203,$O513,'ORDENES'!$S$4:$S$1203,$S513))</f>
        <v/>
      </c>
      <c r="AK513" s="42">
        <f>IF($AJ513="","",p_factor_productividad*IFERROR(INDEX('ASIGNACIONES'!$M$4:$M$451,MATCH($O513&amp;"|"&amp;$S513&amp;"|"&amp;$AH513,'ASIGNACIONES'!$N$4:$N$451,0)),0)-$AJ513)</f>
        <v/>
      </c>
      <c r="AL513" s="32">
        <f>IF($A513="","",IFERROR(INDEX('2_IMPORTAR_EJECUCION'!$F$9:$F$1208,MATCH($AU513,'2_IMPORTAR_EJECUCION'!$J$9:$J$1208,0)),0))</f>
        <v/>
      </c>
      <c r="AM513" s="32">
        <f>IF($A513="","",MAX(0,IFERROR(INDEX('2_IMPORTAR_EJECUCION'!$H$9:$H$1208,MATCH($AU513,'2_IMPORTAR_EJECUCION'!$J$9:$J$1208,0)),0)-$AL513))</f>
        <v/>
      </c>
      <c r="AN513" s="32">
        <f>IF($A513="","",$AL513+$AM513)</f>
        <v/>
      </c>
      <c r="AO513" s="24">
        <f>IF($A513="","",IF(OR((IFERROR(INDEX('CAT_ACTIVIDADES'!$D$4:$D$26,MATCH($H513,'CAT_ACTIVIDADES'!$A$4:$A$26,0)),""))=0,(IFERROR(INDEX('CAT_ACTIVIDADES'!$D$4:$D$26,MATCH($H513,'CAT_ACTIVIDADES'!$A$4:$A$26,0)),""))=""),"SIN CLASIFICAR",IFERROR(INDEX('CAT_ACTIVIDADES'!$D$4:$D$26,MATCH($H513,'CAT_ACTIVIDADES'!$A$4:$A$26,0)),"")))</f>
        <v/>
      </c>
      <c r="AP513" s="4" t="n"/>
      <c r="AQ513" s="4" t="n"/>
      <c r="AR513" s="4" t="n"/>
      <c r="AS513" s="24">
        <f>IF($AR513="","",HYPERLINK(p_ruta_base_checklists&amp;$AR513,"abrir"))</f>
        <v/>
      </c>
      <c r="AT513" s="4" t="n"/>
      <c r="AU513" s="24">
        <f>IF($A513="","",$A513&amp;IF($B513="","0010",$B513))</f>
        <v/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41" t="n"/>
      <c r="K514" s="5" t="n"/>
      <c r="L514" s="18" t="n"/>
      <c r="M514" s="24">
        <f>IF($A514="","",IFERROR(INDEX('AJUSTES'!$B$4:$B$303,MATCH($AU514,'AJUSTES'!$A$4:$A$303,0)),IF($K514="","",$K514)))</f>
        <v/>
      </c>
      <c r="N514" s="24">
        <f>IF($A514="","",IFERROR(INDEX('CAT_ESTADOS_ERP'!$B$4:$B$22,MATCH(IFERROR(INDEX('2_IMPORTAR_EJECUCION'!$C$9:$C$1208,MATCH($AU514,'2_IMPORTAR_EJECUCION'!$J$9:$J$1208,0)),""),'CAT_ESTADOS_ERP'!$A$4:$A$22,0)),"Pendiente"))</f>
        <v/>
      </c>
      <c r="O514" s="24">
        <f>IF($J514="","",YEAR($J514+4-WEEKDAY($J514,2))&amp;"-S"&amp;TEXT(_xlfn.ISOWEEKNUM($J514),"00"))</f>
        <v/>
      </c>
      <c r="P514" s="24">
        <f>IF($J514="","",YEAR($J514))</f>
        <v/>
      </c>
      <c r="Q514" s="24">
        <f>IF($J514="","",MONTH($J514))</f>
        <v/>
      </c>
      <c r="R514" s="24">
        <f>IF($J514="","",$P514&amp;"-"&amp;TEXT($Q514,"00"))</f>
        <v/>
      </c>
      <c r="S514" s="24">
        <f>IF($J514="","",INDEX(lista_dias,WEEKDAY($J514,2)))</f>
        <v/>
      </c>
      <c r="T514" s="24">
        <f>IF($J514="","",IFERROR(INDEX('CALENDARIO'!$C$15:$C$214,MATCH(TEXT($J514,"yyyy-mm-dd")&amp;"|"&amp;$Y514&amp;"|"&amp;$Z514,'CALENDARIO'!$G$15:$G$214,0)),IFERROR(INDEX('CALENDARIO'!$C$15:$C$214,MATCH(TEXT($J514,"yyyy-mm-dd")&amp;"|"&amp;$Y514&amp;"|",'CALENDARIO'!$G$15:$G$214,0)),IFERROR(INDEX('CALENDARIO'!$C$15:$C$214,MATCH(TEXT($J514,"yyyy-mm-dd")&amp;"||",'CALENDARIO'!$G$15:$G$214,0)),INDEX(patronHabil,WEEKDAY($J514,2))))))</f>
        <v/>
      </c>
      <c r="U514" s="24">
        <f>IF($I514="","",IFERROR(INDEX('CAT_TIPOS_OT'!$C$4:$C$23,MATCH($I514,'CAT_TIPOS_OT'!$A$4:$A$23,0)),"sin_clasificar"))</f>
        <v/>
      </c>
      <c r="V514" s="24">
        <f>IF($I514="","",IF(IFERROR(INDEX('CAT_TIPOS_OT'!$D$4:$D$23,MATCH($I514,'CAT_TIPOS_OT'!$A$4:$A$23,0)),"SIN CLASIFICAR")="","SIN CLASIFICAR",IFERROR(INDEX('CAT_TIPOS_OT'!$D$4:$D$23,MATCH($I514,'CAT_TIPOS_OT'!$A$4:$A$23,0)),"SIN CLASIFICAR")))</f>
        <v/>
      </c>
      <c r="W514" s="24">
        <f>IF($H514="","",IF(IFERROR(INDEX('CAT_ACTIVIDADES'!$F$4:$F$26,MATCH($H514,'CAT_ACTIVIDADES'!$A$4:$A$26,0)),"")=0,"",IFERROR(INDEX('CAT_ACTIVIDADES'!$F$4:$F$26,MATCH($H514,'CAT_ACTIVIDADES'!$A$4:$A$26,0)),"")))</f>
        <v/>
      </c>
      <c r="X514" s="24">
        <f>IF($F514="","",IFERROR(INDEX('CAT_CENTROS_COSTO'!$F$4:$F$28,MATCH($F514,'CAT_CENTROS_COSTO'!$A$4:$A$28,0)),"(sin catálogo)"))</f>
        <v/>
      </c>
      <c r="Y514" s="24">
        <f>IF($F514="","",IFERROR(INDEX('CAT_CENTROS_COSTO'!$D$4:$D$28,MATCH($F514,'CAT_CENTROS_COSTO'!$A$4:$A$28,0)),"(sin catálogo)"))</f>
        <v/>
      </c>
      <c r="Z514" s="24">
        <f>IF($F514="","",IF((IFERROR(INDEX('CAT_CENTROS_COSTO'!$E$4:$E$28,MATCH($F514,'CAT_CENTROS_COSTO'!$A$4:$A$28,0)),""))&lt;&gt;"",IFERROR(INDEX('CAT_CENTROS_COSTO'!$E$4:$E$28,MATCH($F514,'CAT_CENTROS_COSTO'!$A$4:$A$28,0)),""),$Y514))</f>
        <v/>
      </c>
      <c r="AA514" s="24">
        <f>IF($F514="","",IFERROR(INDEX('CAT_CENTROS_COSTO'!$G$4:$G$28,MATCH($F514,'CAT_CENTROS_COSTO'!$A$4:$A$28,0)),"(sin catálogo)"))</f>
        <v/>
      </c>
      <c r="AB514" s="24">
        <f>IF($G514="","",IFERROR(INDEX('CAT_PUESTOS'!$B$4:$B$23,MATCH($G514,'CAT_PUESTOS'!$A$4:$A$23,0)),"(sin catálogo)"))</f>
        <v/>
      </c>
      <c r="AC514" s="24">
        <f>IF($H514="","",IFERROR(INDEX('CAT_ACTIVIDADES'!$B$4:$B$26,MATCH($H514,'CAT_ACTIVIDADES'!$A$4:$A$26,0)),"(sin catálogo)"))</f>
        <v/>
      </c>
      <c r="AD514" s="26">
        <f>IF($J514="","",TODAY()-$J514)</f>
        <v/>
      </c>
      <c r="AE514" s="26">
        <f>IF($J514="","",IF($J514&lt;=TODAY(),COUNTIFS(cal_fechas,"&gt;="&amp;$J514,cal_fechas,"&lt;"&amp;TODAY(),cal_habil,"sí"),-COUNTIFS(cal_fechas,"&gt;="&amp;TODAY(),cal_fechas,"&lt;"&amp;$J514,cal_habil,"sí")))</f>
        <v/>
      </c>
      <c r="AF514" s="24">
        <f>IF($AE514="","",IF($AE514&lt;0,"FUTURO",IF($AE514&gt;p_dias_backlog_max,"BACKLOG","MES CORRIENTE")))</f>
        <v/>
      </c>
      <c r="AG514" s="24">
        <f>IF($AE514="",FALSE,AND($AE514&gt;p_dias_backlog_min,$AE514&lt;=p_dias_backlog_max))</f>
        <v/>
      </c>
      <c r="AH514" s="4" t="n"/>
      <c r="AI514" s="24">
        <f>IF($AH514="","",IF((IFERROR(INDEX('ASIGNACIONES'!$J$4:$J$451,MATCH($O514&amp;"|"&amp;$S514&amp;"|"&amp;$AH514,'ASIGNACIONES'!$N$4:$N$451,0)),""))=0,"",IFERROR(INDEX('ASIGNACIONES'!$J$4:$J$451,MATCH($O514&amp;"|"&amp;$S514&amp;"|"&amp;$AH514,'ASIGNACIONES'!$N$4:$N$451,0)),"")))</f>
        <v/>
      </c>
      <c r="AJ514" s="42">
        <f>IF($AH514="","",SUMIFS('ORDENES'!$M$4:$M$1203,'ORDENES'!$AH$4:$AH$1203,$AH514,'ORDENES'!$O$4:$O$1203,$O514,'ORDENES'!$S$4:$S$1203,$S514))</f>
        <v/>
      </c>
      <c r="AK514" s="42">
        <f>IF($AJ514="","",p_factor_productividad*IFERROR(INDEX('ASIGNACIONES'!$M$4:$M$451,MATCH($O514&amp;"|"&amp;$S514&amp;"|"&amp;$AH514,'ASIGNACIONES'!$N$4:$N$451,0)),0)-$AJ514)</f>
        <v/>
      </c>
      <c r="AL514" s="32">
        <f>IF($A514="","",IFERROR(INDEX('2_IMPORTAR_EJECUCION'!$F$9:$F$1208,MATCH($AU514,'2_IMPORTAR_EJECUCION'!$J$9:$J$1208,0)),0))</f>
        <v/>
      </c>
      <c r="AM514" s="32">
        <f>IF($A514="","",MAX(0,IFERROR(INDEX('2_IMPORTAR_EJECUCION'!$H$9:$H$1208,MATCH($AU514,'2_IMPORTAR_EJECUCION'!$J$9:$J$1208,0)),0)-$AL514))</f>
        <v/>
      </c>
      <c r="AN514" s="32">
        <f>IF($A514="","",$AL514+$AM514)</f>
        <v/>
      </c>
      <c r="AO514" s="24">
        <f>IF($A514="","",IF(OR((IFERROR(INDEX('CAT_ACTIVIDADES'!$D$4:$D$26,MATCH($H514,'CAT_ACTIVIDADES'!$A$4:$A$26,0)),""))=0,(IFERROR(INDEX('CAT_ACTIVIDADES'!$D$4:$D$26,MATCH($H514,'CAT_ACTIVIDADES'!$A$4:$A$26,0)),""))=""),"SIN CLASIFICAR",IFERROR(INDEX('CAT_ACTIVIDADES'!$D$4:$D$26,MATCH($H514,'CAT_ACTIVIDADES'!$A$4:$A$26,0)),"")))</f>
        <v/>
      </c>
      <c r="AP514" s="4" t="n"/>
      <c r="AQ514" s="4" t="n"/>
      <c r="AR514" s="4" t="n"/>
      <c r="AS514" s="24">
        <f>IF($AR514="","",HYPERLINK(p_ruta_base_checklists&amp;$AR514,"abrir"))</f>
        <v/>
      </c>
      <c r="AT514" s="4" t="n"/>
      <c r="AU514" s="24">
        <f>IF($A514="","",$A514&amp;IF($B514="","0010",$B514))</f>
        <v/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41" t="n"/>
      <c r="K515" s="5" t="n"/>
      <c r="L515" s="18" t="n"/>
      <c r="M515" s="24">
        <f>IF($A515="","",IFERROR(INDEX('AJUSTES'!$B$4:$B$303,MATCH($AU515,'AJUSTES'!$A$4:$A$303,0)),IF($K515="","",$K515)))</f>
        <v/>
      </c>
      <c r="N515" s="24">
        <f>IF($A515="","",IFERROR(INDEX('CAT_ESTADOS_ERP'!$B$4:$B$22,MATCH(IFERROR(INDEX('2_IMPORTAR_EJECUCION'!$C$9:$C$1208,MATCH($AU515,'2_IMPORTAR_EJECUCION'!$J$9:$J$1208,0)),""),'CAT_ESTADOS_ERP'!$A$4:$A$22,0)),"Pendiente"))</f>
        <v/>
      </c>
      <c r="O515" s="24">
        <f>IF($J515="","",YEAR($J515+4-WEEKDAY($J515,2))&amp;"-S"&amp;TEXT(_xlfn.ISOWEEKNUM($J515),"00"))</f>
        <v/>
      </c>
      <c r="P515" s="24">
        <f>IF($J515="","",YEAR($J515))</f>
        <v/>
      </c>
      <c r="Q515" s="24">
        <f>IF($J515="","",MONTH($J515))</f>
        <v/>
      </c>
      <c r="R515" s="24">
        <f>IF($J515="","",$P515&amp;"-"&amp;TEXT($Q515,"00"))</f>
        <v/>
      </c>
      <c r="S515" s="24">
        <f>IF($J515="","",INDEX(lista_dias,WEEKDAY($J515,2)))</f>
        <v/>
      </c>
      <c r="T515" s="24">
        <f>IF($J515="","",IFERROR(INDEX('CALENDARIO'!$C$15:$C$214,MATCH(TEXT($J515,"yyyy-mm-dd")&amp;"|"&amp;$Y515&amp;"|"&amp;$Z515,'CALENDARIO'!$G$15:$G$214,0)),IFERROR(INDEX('CALENDARIO'!$C$15:$C$214,MATCH(TEXT($J515,"yyyy-mm-dd")&amp;"|"&amp;$Y515&amp;"|",'CALENDARIO'!$G$15:$G$214,0)),IFERROR(INDEX('CALENDARIO'!$C$15:$C$214,MATCH(TEXT($J515,"yyyy-mm-dd")&amp;"||",'CALENDARIO'!$G$15:$G$214,0)),INDEX(patronHabil,WEEKDAY($J515,2))))))</f>
        <v/>
      </c>
      <c r="U515" s="24">
        <f>IF($I515="","",IFERROR(INDEX('CAT_TIPOS_OT'!$C$4:$C$23,MATCH($I515,'CAT_TIPOS_OT'!$A$4:$A$23,0)),"sin_clasificar"))</f>
        <v/>
      </c>
      <c r="V515" s="24">
        <f>IF($I515="","",IF(IFERROR(INDEX('CAT_TIPOS_OT'!$D$4:$D$23,MATCH($I515,'CAT_TIPOS_OT'!$A$4:$A$23,0)),"SIN CLASIFICAR")="","SIN CLASIFICAR",IFERROR(INDEX('CAT_TIPOS_OT'!$D$4:$D$23,MATCH($I515,'CAT_TIPOS_OT'!$A$4:$A$23,0)),"SIN CLASIFICAR")))</f>
        <v/>
      </c>
      <c r="W515" s="24">
        <f>IF($H515="","",IF(IFERROR(INDEX('CAT_ACTIVIDADES'!$F$4:$F$26,MATCH($H515,'CAT_ACTIVIDADES'!$A$4:$A$26,0)),"")=0,"",IFERROR(INDEX('CAT_ACTIVIDADES'!$F$4:$F$26,MATCH($H515,'CAT_ACTIVIDADES'!$A$4:$A$26,0)),"")))</f>
        <v/>
      </c>
      <c r="X515" s="24">
        <f>IF($F515="","",IFERROR(INDEX('CAT_CENTROS_COSTO'!$F$4:$F$28,MATCH($F515,'CAT_CENTROS_COSTO'!$A$4:$A$28,0)),"(sin catálogo)"))</f>
        <v/>
      </c>
      <c r="Y515" s="24">
        <f>IF($F515="","",IFERROR(INDEX('CAT_CENTROS_COSTO'!$D$4:$D$28,MATCH($F515,'CAT_CENTROS_COSTO'!$A$4:$A$28,0)),"(sin catálogo)"))</f>
        <v/>
      </c>
      <c r="Z515" s="24">
        <f>IF($F515="","",IF((IFERROR(INDEX('CAT_CENTROS_COSTO'!$E$4:$E$28,MATCH($F515,'CAT_CENTROS_COSTO'!$A$4:$A$28,0)),""))&lt;&gt;"",IFERROR(INDEX('CAT_CENTROS_COSTO'!$E$4:$E$28,MATCH($F515,'CAT_CENTROS_COSTO'!$A$4:$A$28,0)),""),$Y515))</f>
        <v/>
      </c>
      <c r="AA515" s="24">
        <f>IF($F515="","",IFERROR(INDEX('CAT_CENTROS_COSTO'!$G$4:$G$28,MATCH($F515,'CAT_CENTROS_COSTO'!$A$4:$A$28,0)),"(sin catálogo)"))</f>
        <v/>
      </c>
      <c r="AB515" s="24">
        <f>IF($G515="","",IFERROR(INDEX('CAT_PUESTOS'!$B$4:$B$23,MATCH($G515,'CAT_PUESTOS'!$A$4:$A$23,0)),"(sin catálogo)"))</f>
        <v/>
      </c>
      <c r="AC515" s="24">
        <f>IF($H515="","",IFERROR(INDEX('CAT_ACTIVIDADES'!$B$4:$B$26,MATCH($H515,'CAT_ACTIVIDADES'!$A$4:$A$26,0)),"(sin catálogo)"))</f>
        <v/>
      </c>
      <c r="AD515" s="26">
        <f>IF($J515="","",TODAY()-$J515)</f>
        <v/>
      </c>
      <c r="AE515" s="26">
        <f>IF($J515="","",IF($J515&lt;=TODAY(),COUNTIFS(cal_fechas,"&gt;="&amp;$J515,cal_fechas,"&lt;"&amp;TODAY(),cal_habil,"sí"),-COUNTIFS(cal_fechas,"&gt;="&amp;TODAY(),cal_fechas,"&lt;"&amp;$J515,cal_habil,"sí")))</f>
        <v/>
      </c>
      <c r="AF515" s="24">
        <f>IF($AE515="","",IF($AE515&lt;0,"FUTURO",IF($AE515&gt;p_dias_backlog_max,"BACKLOG","MES CORRIENTE")))</f>
        <v/>
      </c>
      <c r="AG515" s="24">
        <f>IF($AE515="",FALSE,AND($AE515&gt;p_dias_backlog_min,$AE515&lt;=p_dias_backlog_max))</f>
        <v/>
      </c>
      <c r="AH515" s="4" t="n"/>
      <c r="AI515" s="24">
        <f>IF($AH515="","",IF((IFERROR(INDEX('ASIGNACIONES'!$J$4:$J$451,MATCH($O515&amp;"|"&amp;$S515&amp;"|"&amp;$AH515,'ASIGNACIONES'!$N$4:$N$451,0)),""))=0,"",IFERROR(INDEX('ASIGNACIONES'!$J$4:$J$451,MATCH($O515&amp;"|"&amp;$S515&amp;"|"&amp;$AH515,'ASIGNACIONES'!$N$4:$N$451,0)),"")))</f>
        <v/>
      </c>
      <c r="AJ515" s="42">
        <f>IF($AH515="","",SUMIFS('ORDENES'!$M$4:$M$1203,'ORDENES'!$AH$4:$AH$1203,$AH515,'ORDENES'!$O$4:$O$1203,$O515,'ORDENES'!$S$4:$S$1203,$S515))</f>
        <v/>
      </c>
      <c r="AK515" s="42">
        <f>IF($AJ515="","",p_factor_productividad*IFERROR(INDEX('ASIGNACIONES'!$M$4:$M$451,MATCH($O515&amp;"|"&amp;$S515&amp;"|"&amp;$AH515,'ASIGNACIONES'!$N$4:$N$451,0)),0)-$AJ515)</f>
        <v/>
      </c>
      <c r="AL515" s="32">
        <f>IF($A515="","",IFERROR(INDEX('2_IMPORTAR_EJECUCION'!$F$9:$F$1208,MATCH($AU515,'2_IMPORTAR_EJECUCION'!$J$9:$J$1208,0)),0))</f>
        <v/>
      </c>
      <c r="AM515" s="32">
        <f>IF($A515="","",MAX(0,IFERROR(INDEX('2_IMPORTAR_EJECUCION'!$H$9:$H$1208,MATCH($AU515,'2_IMPORTAR_EJECUCION'!$J$9:$J$1208,0)),0)-$AL515))</f>
        <v/>
      </c>
      <c r="AN515" s="32">
        <f>IF($A515="","",$AL515+$AM515)</f>
        <v/>
      </c>
      <c r="AO515" s="24">
        <f>IF($A515="","",IF(OR((IFERROR(INDEX('CAT_ACTIVIDADES'!$D$4:$D$26,MATCH($H515,'CAT_ACTIVIDADES'!$A$4:$A$26,0)),""))=0,(IFERROR(INDEX('CAT_ACTIVIDADES'!$D$4:$D$26,MATCH($H515,'CAT_ACTIVIDADES'!$A$4:$A$26,0)),""))=""),"SIN CLASIFICAR",IFERROR(INDEX('CAT_ACTIVIDADES'!$D$4:$D$26,MATCH($H515,'CAT_ACTIVIDADES'!$A$4:$A$26,0)),"")))</f>
        <v/>
      </c>
      <c r="AP515" s="4" t="n"/>
      <c r="AQ515" s="4" t="n"/>
      <c r="AR515" s="4" t="n"/>
      <c r="AS515" s="24">
        <f>IF($AR515="","",HYPERLINK(p_ruta_base_checklists&amp;$AR515,"abrir"))</f>
        <v/>
      </c>
      <c r="AT515" s="4" t="n"/>
      <c r="AU515" s="24">
        <f>IF($A515="","",$A515&amp;IF($B515="","0010",$B515))</f>
        <v/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41" t="n"/>
      <c r="K516" s="5" t="n"/>
      <c r="L516" s="18" t="n"/>
      <c r="M516" s="24">
        <f>IF($A516="","",IFERROR(INDEX('AJUSTES'!$B$4:$B$303,MATCH($AU516,'AJUSTES'!$A$4:$A$303,0)),IF($K516="","",$K516)))</f>
        <v/>
      </c>
      <c r="N516" s="24">
        <f>IF($A516="","",IFERROR(INDEX('CAT_ESTADOS_ERP'!$B$4:$B$22,MATCH(IFERROR(INDEX('2_IMPORTAR_EJECUCION'!$C$9:$C$1208,MATCH($AU516,'2_IMPORTAR_EJECUCION'!$J$9:$J$1208,0)),""),'CAT_ESTADOS_ERP'!$A$4:$A$22,0)),"Pendiente"))</f>
        <v/>
      </c>
      <c r="O516" s="24">
        <f>IF($J516="","",YEAR($J516+4-WEEKDAY($J516,2))&amp;"-S"&amp;TEXT(_xlfn.ISOWEEKNUM($J516),"00"))</f>
        <v/>
      </c>
      <c r="P516" s="24">
        <f>IF($J516="","",YEAR($J516))</f>
        <v/>
      </c>
      <c r="Q516" s="24">
        <f>IF($J516="","",MONTH($J516))</f>
        <v/>
      </c>
      <c r="R516" s="24">
        <f>IF($J516="","",$P516&amp;"-"&amp;TEXT($Q516,"00"))</f>
        <v/>
      </c>
      <c r="S516" s="24">
        <f>IF($J516="","",INDEX(lista_dias,WEEKDAY($J516,2)))</f>
        <v/>
      </c>
      <c r="T516" s="24">
        <f>IF($J516="","",IFERROR(INDEX('CALENDARIO'!$C$15:$C$214,MATCH(TEXT($J516,"yyyy-mm-dd")&amp;"|"&amp;$Y516&amp;"|"&amp;$Z516,'CALENDARIO'!$G$15:$G$214,0)),IFERROR(INDEX('CALENDARIO'!$C$15:$C$214,MATCH(TEXT($J516,"yyyy-mm-dd")&amp;"|"&amp;$Y516&amp;"|",'CALENDARIO'!$G$15:$G$214,0)),IFERROR(INDEX('CALENDARIO'!$C$15:$C$214,MATCH(TEXT($J516,"yyyy-mm-dd")&amp;"||",'CALENDARIO'!$G$15:$G$214,0)),INDEX(patronHabil,WEEKDAY($J516,2))))))</f>
        <v/>
      </c>
      <c r="U516" s="24">
        <f>IF($I516="","",IFERROR(INDEX('CAT_TIPOS_OT'!$C$4:$C$23,MATCH($I516,'CAT_TIPOS_OT'!$A$4:$A$23,0)),"sin_clasificar"))</f>
        <v/>
      </c>
      <c r="V516" s="24">
        <f>IF($I516="","",IF(IFERROR(INDEX('CAT_TIPOS_OT'!$D$4:$D$23,MATCH($I516,'CAT_TIPOS_OT'!$A$4:$A$23,0)),"SIN CLASIFICAR")="","SIN CLASIFICAR",IFERROR(INDEX('CAT_TIPOS_OT'!$D$4:$D$23,MATCH($I516,'CAT_TIPOS_OT'!$A$4:$A$23,0)),"SIN CLASIFICAR")))</f>
        <v/>
      </c>
      <c r="W516" s="24">
        <f>IF($H516="","",IF(IFERROR(INDEX('CAT_ACTIVIDADES'!$F$4:$F$26,MATCH($H516,'CAT_ACTIVIDADES'!$A$4:$A$26,0)),"")=0,"",IFERROR(INDEX('CAT_ACTIVIDADES'!$F$4:$F$26,MATCH($H516,'CAT_ACTIVIDADES'!$A$4:$A$26,0)),"")))</f>
        <v/>
      </c>
      <c r="X516" s="24">
        <f>IF($F516="","",IFERROR(INDEX('CAT_CENTROS_COSTO'!$F$4:$F$28,MATCH($F516,'CAT_CENTROS_COSTO'!$A$4:$A$28,0)),"(sin catálogo)"))</f>
        <v/>
      </c>
      <c r="Y516" s="24">
        <f>IF($F516="","",IFERROR(INDEX('CAT_CENTROS_COSTO'!$D$4:$D$28,MATCH($F516,'CAT_CENTROS_COSTO'!$A$4:$A$28,0)),"(sin catálogo)"))</f>
        <v/>
      </c>
      <c r="Z516" s="24">
        <f>IF($F516="","",IF((IFERROR(INDEX('CAT_CENTROS_COSTO'!$E$4:$E$28,MATCH($F516,'CAT_CENTROS_COSTO'!$A$4:$A$28,0)),""))&lt;&gt;"",IFERROR(INDEX('CAT_CENTROS_COSTO'!$E$4:$E$28,MATCH($F516,'CAT_CENTROS_COSTO'!$A$4:$A$28,0)),""),$Y516))</f>
        <v/>
      </c>
      <c r="AA516" s="24">
        <f>IF($F516="","",IFERROR(INDEX('CAT_CENTROS_COSTO'!$G$4:$G$28,MATCH($F516,'CAT_CENTROS_COSTO'!$A$4:$A$28,0)),"(sin catálogo)"))</f>
        <v/>
      </c>
      <c r="AB516" s="24">
        <f>IF($G516="","",IFERROR(INDEX('CAT_PUESTOS'!$B$4:$B$23,MATCH($G516,'CAT_PUESTOS'!$A$4:$A$23,0)),"(sin catálogo)"))</f>
        <v/>
      </c>
      <c r="AC516" s="24">
        <f>IF($H516="","",IFERROR(INDEX('CAT_ACTIVIDADES'!$B$4:$B$26,MATCH($H516,'CAT_ACTIVIDADES'!$A$4:$A$26,0)),"(sin catálogo)"))</f>
        <v/>
      </c>
      <c r="AD516" s="26">
        <f>IF($J516="","",TODAY()-$J516)</f>
        <v/>
      </c>
      <c r="AE516" s="26">
        <f>IF($J516="","",IF($J516&lt;=TODAY(),COUNTIFS(cal_fechas,"&gt;="&amp;$J516,cal_fechas,"&lt;"&amp;TODAY(),cal_habil,"sí"),-COUNTIFS(cal_fechas,"&gt;="&amp;TODAY(),cal_fechas,"&lt;"&amp;$J516,cal_habil,"sí")))</f>
        <v/>
      </c>
      <c r="AF516" s="24">
        <f>IF($AE516="","",IF($AE516&lt;0,"FUTURO",IF($AE516&gt;p_dias_backlog_max,"BACKLOG","MES CORRIENTE")))</f>
        <v/>
      </c>
      <c r="AG516" s="24">
        <f>IF($AE516="",FALSE,AND($AE516&gt;p_dias_backlog_min,$AE516&lt;=p_dias_backlog_max))</f>
        <v/>
      </c>
      <c r="AH516" s="4" t="n"/>
      <c r="AI516" s="24">
        <f>IF($AH516="","",IF((IFERROR(INDEX('ASIGNACIONES'!$J$4:$J$451,MATCH($O516&amp;"|"&amp;$S516&amp;"|"&amp;$AH516,'ASIGNACIONES'!$N$4:$N$451,0)),""))=0,"",IFERROR(INDEX('ASIGNACIONES'!$J$4:$J$451,MATCH($O516&amp;"|"&amp;$S516&amp;"|"&amp;$AH516,'ASIGNACIONES'!$N$4:$N$451,0)),"")))</f>
        <v/>
      </c>
      <c r="AJ516" s="42">
        <f>IF($AH516="","",SUMIFS('ORDENES'!$M$4:$M$1203,'ORDENES'!$AH$4:$AH$1203,$AH516,'ORDENES'!$O$4:$O$1203,$O516,'ORDENES'!$S$4:$S$1203,$S516))</f>
        <v/>
      </c>
      <c r="AK516" s="42">
        <f>IF($AJ516="","",p_factor_productividad*IFERROR(INDEX('ASIGNACIONES'!$M$4:$M$451,MATCH($O516&amp;"|"&amp;$S516&amp;"|"&amp;$AH516,'ASIGNACIONES'!$N$4:$N$451,0)),0)-$AJ516)</f>
        <v/>
      </c>
      <c r="AL516" s="32">
        <f>IF($A516="","",IFERROR(INDEX('2_IMPORTAR_EJECUCION'!$F$9:$F$1208,MATCH($AU516,'2_IMPORTAR_EJECUCION'!$J$9:$J$1208,0)),0))</f>
        <v/>
      </c>
      <c r="AM516" s="32">
        <f>IF($A516="","",MAX(0,IFERROR(INDEX('2_IMPORTAR_EJECUCION'!$H$9:$H$1208,MATCH($AU516,'2_IMPORTAR_EJECUCION'!$J$9:$J$1208,0)),0)-$AL516))</f>
        <v/>
      </c>
      <c r="AN516" s="32">
        <f>IF($A516="","",$AL516+$AM516)</f>
        <v/>
      </c>
      <c r="AO516" s="24">
        <f>IF($A516="","",IF(OR((IFERROR(INDEX('CAT_ACTIVIDADES'!$D$4:$D$26,MATCH($H516,'CAT_ACTIVIDADES'!$A$4:$A$26,0)),""))=0,(IFERROR(INDEX('CAT_ACTIVIDADES'!$D$4:$D$26,MATCH($H516,'CAT_ACTIVIDADES'!$A$4:$A$26,0)),""))=""),"SIN CLASIFICAR",IFERROR(INDEX('CAT_ACTIVIDADES'!$D$4:$D$26,MATCH($H516,'CAT_ACTIVIDADES'!$A$4:$A$26,0)),"")))</f>
        <v/>
      </c>
      <c r="AP516" s="4" t="n"/>
      <c r="AQ516" s="4" t="n"/>
      <c r="AR516" s="4" t="n"/>
      <c r="AS516" s="24">
        <f>IF($AR516="","",HYPERLINK(p_ruta_base_checklists&amp;$AR516,"abrir"))</f>
        <v/>
      </c>
      <c r="AT516" s="4" t="n"/>
      <c r="AU516" s="24">
        <f>IF($A516="","",$A516&amp;IF($B516="","0010",$B516))</f>
        <v/>
      </c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41" t="n"/>
      <c r="K517" s="5" t="n"/>
      <c r="L517" s="18" t="n"/>
      <c r="M517" s="24">
        <f>IF($A517="","",IFERROR(INDEX('AJUSTES'!$B$4:$B$303,MATCH($AU517,'AJUSTES'!$A$4:$A$303,0)),IF($K517="","",$K517)))</f>
        <v/>
      </c>
      <c r="N517" s="24">
        <f>IF($A517="","",IFERROR(INDEX('CAT_ESTADOS_ERP'!$B$4:$B$22,MATCH(IFERROR(INDEX('2_IMPORTAR_EJECUCION'!$C$9:$C$1208,MATCH($AU517,'2_IMPORTAR_EJECUCION'!$J$9:$J$1208,0)),""),'CAT_ESTADOS_ERP'!$A$4:$A$22,0)),"Pendiente"))</f>
        <v/>
      </c>
      <c r="O517" s="24">
        <f>IF($J517="","",YEAR($J517+4-WEEKDAY($J517,2))&amp;"-S"&amp;TEXT(_xlfn.ISOWEEKNUM($J517),"00"))</f>
        <v/>
      </c>
      <c r="P517" s="24">
        <f>IF($J517="","",YEAR($J517))</f>
        <v/>
      </c>
      <c r="Q517" s="24">
        <f>IF($J517="","",MONTH($J517))</f>
        <v/>
      </c>
      <c r="R517" s="24">
        <f>IF($J517="","",$P517&amp;"-"&amp;TEXT($Q517,"00"))</f>
        <v/>
      </c>
      <c r="S517" s="24">
        <f>IF($J517="","",INDEX(lista_dias,WEEKDAY($J517,2)))</f>
        <v/>
      </c>
      <c r="T517" s="24">
        <f>IF($J517="","",IFERROR(INDEX('CALENDARIO'!$C$15:$C$214,MATCH(TEXT($J517,"yyyy-mm-dd")&amp;"|"&amp;$Y517&amp;"|"&amp;$Z517,'CALENDARIO'!$G$15:$G$214,0)),IFERROR(INDEX('CALENDARIO'!$C$15:$C$214,MATCH(TEXT($J517,"yyyy-mm-dd")&amp;"|"&amp;$Y517&amp;"|",'CALENDARIO'!$G$15:$G$214,0)),IFERROR(INDEX('CALENDARIO'!$C$15:$C$214,MATCH(TEXT($J517,"yyyy-mm-dd")&amp;"||",'CALENDARIO'!$G$15:$G$214,0)),INDEX(patronHabil,WEEKDAY($J517,2))))))</f>
        <v/>
      </c>
      <c r="U517" s="24">
        <f>IF($I517="","",IFERROR(INDEX('CAT_TIPOS_OT'!$C$4:$C$23,MATCH($I517,'CAT_TIPOS_OT'!$A$4:$A$23,0)),"sin_clasificar"))</f>
        <v/>
      </c>
      <c r="V517" s="24">
        <f>IF($I517="","",IF(IFERROR(INDEX('CAT_TIPOS_OT'!$D$4:$D$23,MATCH($I517,'CAT_TIPOS_OT'!$A$4:$A$23,0)),"SIN CLASIFICAR")="","SIN CLASIFICAR",IFERROR(INDEX('CAT_TIPOS_OT'!$D$4:$D$23,MATCH($I517,'CAT_TIPOS_OT'!$A$4:$A$23,0)),"SIN CLASIFICAR")))</f>
        <v/>
      </c>
      <c r="W517" s="24">
        <f>IF($H517="","",IF(IFERROR(INDEX('CAT_ACTIVIDADES'!$F$4:$F$26,MATCH($H517,'CAT_ACTIVIDADES'!$A$4:$A$26,0)),"")=0,"",IFERROR(INDEX('CAT_ACTIVIDADES'!$F$4:$F$26,MATCH($H517,'CAT_ACTIVIDADES'!$A$4:$A$26,0)),"")))</f>
        <v/>
      </c>
      <c r="X517" s="24">
        <f>IF($F517="","",IFERROR(INDEX('CAT_CENTROS_COSTO'!$F$4:$F$28,MATCH($F517,'CAT_CENTROS_COSTO'!$A$4:$A$28,0)),"(sin catálogo)"))</f>
        <v/>
      </c>
      <c r="Y517" s="24">
        <f>IF($F517="","",IFERROR(INDEX('CAT_CENTROS_COSTO'!$D$4:$D$28,MATCH($F517,'CAT_CENTROS_COSTO'!$A$4:$A$28,0)),"(sin catálogo)"))</f>
        <v/>
      </c>
      <c r="Z517" s="24">
        <f>IF($F517="","",IF((IFERROR(INDEX('CAT_CENTROS_COSTO'!$E$4:$E$28,MATCH($F517,'CAT_CENTROS_COSTO'!$A$4:$A$28,0)),""))&lt;&gt;"",IFERROR(INDEX('CAT_CENTROS_COSTO'!$E$4:$E$28,MATCH($F517,'CAT_CENTROS_COSTO'!$A$4:$A$28,0)),""),$Y517))</f>
        <v/>
      </c>
      <c r="AA517" s="24">
        <f>IF($F517="","",IFERROR(INDEX('CAT_CENTROS_COSTO'!$G$4:$G$28,MATCH($F517,'CAT_CENTROS_COSTO'!$A$4:$A$28,0)),"(sin catálogo)"))</f>
        <v/>
      </c>
      <c r="AB517" s="24">
        <f>IF($G517="","",IFERROR(INDEX('CAT_PUESTOS'!$B$4:$B$23,MATCH($G517,'CAT_PUESTOS'!$A$4:$A$23,0)),"(sin catálogo)"))</f>
        <v/>
      </c>
      <c r="AC517" s="24">
        <f>IF($H517="","",IFERROR(INDEX('CAT_ACTIVIDADES'!$B$4:$B$26,MATCH($H517,'CAT_ACTIVIDADES'!$A$4:$A$26,0)),"(sin catálogo)"))</f>
        <v/>
      </c>
      <c r="AD517" s="26">
        <f>IF($J517="","",TODAY()-$J517)</f>
        <v/>
      </c>
      <c r="AE517" s="26">
        <f>IF($J517="","",IF($J517&lt;=TODAY(),COUNTIFS(cal_fechas,"&gt;="&amp;$J517,cal_fechas,"&lt;"&amp;TODAY(),cal_habil,"sí"),-COUNTIFS(cal_fechas,"&gt;="&amp;TODAY(),cal_fechas,"&lt;"&amp;$J517,cal_habil,"sí")))</f>
        <v/>
      </c>
      <c r="AF517" s="24">
        <f>IF($AE517="","",IF($AE517&lt;0,"FUTURO",IF($AE517&gt;p_dias_backlog_max,"BACKLOG","MES CORRIENTE")))</f>
        <v/>
      </c>
      <c r="AG517" s="24">
        <f>IF($AE517="",FALSE,AND($AE517&gt;p_dias_backlog_min,$AE517&lt;=p_dias_backlog_max))</f>
        <v/>
      </c>
      <c r="AH517" s="4" t="n"/>
      <c r="AI517" s="24">
        <f>IF($AH517="","",IF((IFERROR(INDEX('ASIGNACIONES'!$J$4:$J$451,MATCH($O517&amp;"|"&amp;$S517&amp;"|"&amp;$AH517,'ASIGNACIONES'!$N$4:$N$451,0)),""))=0,"",IFERROR(INDEX('ASIGNACIONES'!$J$4:$J$451,MATCH($O517&amp;"|"&amp;$S517&amp;"|"&amp;$AH517,'ASIGNACIONES'!$N$4:$N$451,0)),"")))</f>
        <v/>
      </c>
      <c r="AJ517" s="42">
        <f>IF($AH517="","",SUMIFS('ORDENES'!$M$4:$M$1203,'ORDENES'!$AH$4:$AH$1203,$AH517,'ORDENES'!$O$4:$O$1203,$O517,'ORDENES'!$S$4:$S$1203,$S517))</f>
        <v/>
      </c>
      <c r="AK517" s="42">
        <f>IF($AJ517="","",p_factor_productividad*IFERROR(INDEX('ASIGNACIONES'!$M$4:$M$451,MATCH($O517&amp;"|"&amp;$S517&amp;"|"&amp;$AH517,'ASIGNACIONES'!$N$4:$N$451,0)),0)-$AJ517)</f>
        <v/>
      </c>
      <c r="AL517" s="32">
        <f>IF($A517="","",IFERROR(INDEX('2_IMPORTAR_EJECUCION'!$F$9:$F$1208,MATCH($AU517,'2_IMPORTAR_EJECUCION'!$J$9:$J$1208,0)),0))</f>
        <v/>
      </c>
      <c r="AM517" s="32">
        <f>IF($A517="","",MAX(0,IFERROR(INDEX('2_IMPORTAR_EJECUCION'!$H$9:$H$1208,MATCH($AU517,'2_IMPORTAR_EJECUCION'!$J$9:$J$1208,0)),0)-$AL517))</f>
        <v/>
      </c>
      <c r="AN517" s="32">
        <f>IF($A517="","",$AL517+$AM517)</f>
        <v/>
      </c>
      <c r="AO517" s="24">
        <f>IF($A517="","",IF(OR((IFERROR(INDEX('CAT_ACTIVIDADES'!$D$4:$D$26,MATCH($H517,'CAT_ACTIVIDADES'!$A$4:$A$26,0)),""))=0,(IFERROR(INDEX('CAT_ACTIVIDADES'!$D$4:$D$26,MATCH($H517,'CAT_ACTIVIDADES'!$A$4:$A$26,0)),""))=""),"SIN CLASIFICAR",IFERROR(INDEX('CAT_ACTIVIDADES'!$D$4:$D$26,MATCH($H517,'CAT_ACTIVIDADES'!$A$4:$A$26,0)),"")))</f>
        <v/>
      </c>
      <c r="AP517" s="4" t="n"/>
      <c r="AQ517" s="4" t="n"/>
      <c r="AR517" s="4" t="n"/>
      <c r="AS517" s="24">
        <f>IF($AR517="","",HYPERLINK(p_ruta_base_checklists&amp;$AR517,"abrir"))</f>
        <v/>
      </c>
      <c r="AT517" s="4" t="n"/>
      <c r="AU517" s="24">
        <f>IF($A517="","",$A517&amp;IF($B517="","0010",$B517))</f>
        <v/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41" t="n"/>
      <c r="K518" s="5" t="n"/>
      <c r="L518" s="18" t="n"/>
      <c r="M518" s="24">
        <f>IF($A518="","",IFERROR(INDEX('AJUSTES'!$B$4:$B$303,MATCH($AU518,'AJUSTES'!$A$4:$A$303,0)),IF($K518="","",$K518)))</f>
        <v/>
      </c>
      <c r="N518" s="24">
        <f>IF($A518="","",IFERROR(INDEX('CAT_ESTADOS_ERP'!$B$4:$B$22,MATCH(IFERROR(INDEX('2_IMPORTAR_EJECUCION'!$C$9:$C$1208,MATCH($AU518,'2_IMPORTAR_EJECUCION'!$J$9:$J$1208,0)),""),'CAT_ESTADOS_ERP'!$A$4:$A$22,0)),"Pendiente"))</f>
        <v/>
      </c>
      <c r="O518" s="24">
        <f>IF($J518="","",YEAR($J518+4-WEEKDAY($J518,2))&amp;"-S"&amp;TEXT(_xlfn.ISOWEEKNUM($J518),"00"))</f>
        <v/>
      </c>
      <c r="P518" s="24">
        <f>IF($J518="","",YEAR($J518))</f>
        <v/>
      </c>
      <c r="Q518" s="24">
        <f>IF($J518="","",MONTH($J518))</f>
        <v/>
      </c>
      <c r="R518" s="24">
        <f>IF($J518="","",$P518&amp;"-"&amp;TEXT($Q518,"00"))</f>
        <v/>
      </c>
      <c r="S518" s="24">
        <f>IF($J518="","",INDEX(lista_dias,WEEKDAY($J518,2)))</f>
        <v/>
      </c>
      <c r="T518" s="24">
        <f>IF($J518="","",IFERROR(INDEX('CALENDARIO'!$C$15:$C$214,MATCH(TEXT($J518,"yyyy-mm-dd")&amp;"|"&amp;$Y518&amp;"|"&amp;$Z518,'CALENDARIO'!$G$15:$G$214,0)),IFERROR(INDEX('CALENDARIO'!$C$15:$C$214,MATCH(TEXT($J518,"yyyy-mm-dd")&amp;"|"&amp;$Y518&amp;"|",'CALENDARIO'!$G$15:$G$214,0)),IFERROR(INDEX('CALENDARIO'!$C$15:$C$214,MATCH(TEXT($J518,"yyyy-mm-dd")&amp;"||",'CALENDARIO'!$G$15:$G$214,0)),INDEX(patronHabil,WEEKDAY($J518,2))))))</f>
        <v/>
      </c>
      <c r="U518" s="24">
        <f>IF($I518="","",IFERROR(INDEX('CAT_TIPOS_OT'!$C$4:$C$23,MATCH($I518,'CAT_TIPOS_OT'!$A$4:$A$23,0)),"sin_clasificar"))</f>
        <v/>
      </c>
      <c r="V518" s="24">
        <f>IF($I518="","",IF(IFERROR(INDEX('CAT_TIPOS_OT'!$D$4:$D$23,MATCH($I518,'CAT_TIPOS_OT'!$A$4:$A$23,0)),"SIN CLASIFICAR")="","SIN CLASIFICAR",IFERROR(INDEX('CAT_TIPOS_OT'!$D$4:$D$23,MATCH($I518,'CAT_TIPOS_OT'!$A$4:$A$23,0)),"SIN CLASIFICAR")))</f>
        <v/>
      </c>
      <c r="W518" s="24">
        <f>IF($H518="","",IF(IFERROR(INDEX('CAT_ACTIVIDADES'!$F$4:$F$26,MATCH($H518,'CAT_ACTIVIDADES'!$A$4:$A$26,0)),"")=0,"",IFERROR(INDEX('CAT_ACTIVIDADES'!$F$4:$F$26,MATCH($H518,'CAT_ACTIVIDADES'!$A$4:$A$26,0)),"")))</f>
        <v/>
      </c>
      <c r="X518" s="24">
        <f>IF($F518="","",IFERROR(INDEX('CAT_CENTROS_COSTO'!$F$4:$F$28,MATCH($F518,'CAT_CENTROS_COSTO'!$A$4:$A$28,0)),"(sin catálogo)"))</f>
        <v/>
      </c>
      <c r="Y518" s="24">
        <f>IF($F518="","",IFERROR(INDEX('CAT_CENTROS_COSTO'!$D$4:$D$28,MATCH($F518,'CAT_CENTROS_COSTO'!$A$4:$A$28,0)),"(sin catálogo)"))</f>
        <v/>
      </c>
      <c r="Z518" s="24">
        <f>IF($F518="","",IF((IFERROR(INDEX('CAT_CENTROS_COSTO'!$E$4:$E$28,MATCH($F518,'CAT_CENTROS_COSTO'!$A$4:$A$28,0)),""))&lt;&gt;"",IFERROR(INDEX('CAT_CENTROS_COSTO'!$E$4:$E$28,MATCH($F518,'CAT_CENTROS_COSTO'!$A$4:$A$28,0)),""),$Y518))</f>
        <v/>
      </c>
      <c r="AA518" s="24">
        <f>IF($F518="","",IFERROR(INDEX('CAT_CENTROS_COSTO'!$G$4:$G$28,MATCH($F518,'CAT_CENTROS_COSTO'!$A$4:$A$28,0)),"(sin catálogo)"))</f>
        <v/>
      </c>
      <c r="AB518" s="24">
        <f>IF($G518="","",IFERROR(INDEX('CAT_PUESTOS'!$B$4:$B$23,MATCH($G518,'CAT_PUESTOS'!$A$4:$A$23,0)),"(sin catálogo)"))</f>
        <v/>
      </c>
      <c r="AC518" s="24">
        <f>IF($H518="","",IFERROR(INDEX('CAT_ACTIVIDADES'!$B$4:$B$26,MATCH($H518,'CAT_ACTIVIDADES'!$A$4:$A$26,0)),"(sin catálogo)"))</f>
        <v/>
      </c>
      <c r="AD518" s="26">
        <f>IF($J518="","",TODAY()-$J518)</f>
        <v/>
      </c>
      <c r="AE518" s="26">
        <f>IF($J518="","",IF($J518&lt;=TODAY(),COUNTIFS(cal_fechas,"&gt;="&amp;$J518,cal_fechas,"&lt;"&amp;TODAY(),cal_habil,"sí"),-COUNTIFS(cal_fechas,"&gt;="&amp;TODAY(),cal_fechas,"&lt;"&amp;$J518,cal_habil,"sí")))</f>
        <v/>
      </c>
      <c r="AF518" s="24">
        <f>IF($AE518="","",IF($AE518&lt;0,"FUTURO",IF($AE518&gt;p_dias_backlog_max,"BACKLOG","MES CORRIENTE")))</f>
        <v/>
      </c>
      <c r="AG518" s="24">
        <f>IF($AE518="",FALSE,AND($AE518&gt;p_dias_backlog_min,$AE518&lt;=p_dias_backlog_max))</f>
        <v/>
      </c>
      <c r="AH518" s="4" t="n"/>
      <c r="AI518" s="24">
        <f>IF($AH518="","",IF((IFERROR(INDEX('ASIGNACIONES'!$J$4:$J$451,MATCH($O518&amp;"|"&amp;$S518&amp;"|"&amp;$AH518,'ASIGNACIONES'!$N$4:$N$451,0)),""))=0,"",IFERROR(INDEX('ASIGNACIONES'!$J$4:$J$451,MATCH($O518&amp;"|"&amp;$S518&amp;"|"&amp;$AH518,'ASIGNACIONES'!$N$4:$N$451,0)),"")))</f>
        <v/>
      </c>
      <c r="AJ518" s="42">
        <f>IF($AH518="","",SUMIFS('ORDENES'!$M$4:$M$1203,'ORDENES'!$AH$4:$AH$1203,$AH518,'ORDENES'!$O$4:$O$1203,$O518,'ORDENES'!$S$4:$S$1203,$S518))</f>
        <v/>
      </c>
      <c r="AK518" s="42">
        <f>IF($AJ518="","",p_factor_productividad*IFERROR(INDEX('ASIGNACIONES'!$M$4:$M$451,MATCH($O518&amp;"|"&amp;$S518&amp;"|"&amp;$AH518,'ASIGNACIONES'!$N$4:$N$451,0)),0)-$AJ518)</f>
        <v/>
      </c>
      <c r="AL518" s="32">
        <f>IF($A518="","",IFERROR(INDEX('2_IMPORTAR_EJECUCION'!$F$9:$F$1208,MATCH($AU518,'2_IMPORTAR_EJECUCION'!$J$9:$J$1208,0)),0))</f>
        <v/>
      </c>
      <c r="AM518" s="32">
        <f>IF($A518="","",MAX(0,IFERROR(INDEX('2_IMPORTAR_EJECUCION'!$H$9:$H$1208,MATCH($AU518,'2_IMPORTAR_EJECUCION'!$J$9:$J$1208,0)),0)-$AL518))</f>
        <v/>
      </c>
      <c r="AN518" s="32">
        <f>IF($A518="","",$AL518+$AM518)</f>
        <v/>
      </c>
      <c r="AO518" s="24">
        <f>IF($A518="","",IF(OR((IFERROR(INDEX('CAT_ACTIVIDADES'!$D$4:$D$26,MATCH($H518,'CAT_ACTIVIDADES'!$A$4:$A$26,0)),""))=0,(IFERROR(INDEX('CAT_ACTIVIDADES'!$D$4:$D$26,MATCH($H518,'CAT_ACTIVIDADES'!$A$4:$A$26,0)),""))=""),"SIN CLASIFICAR",IFERROR(INDEX('CAT_ACTIVIDADES'!$D$4:$D$26,MATCH($H518,'CAT_ACTIVIDADES'!$A$4:$A$26,0)),"")))</f>
        <v/>
      </c>
      <c r="AP518" s="4" t="n"/>
      <c r="AQ518" s="4" t="n"/>
      <c r="AR518" s="4" t="n"/>
      <c r="AS518" s="24">
        <f>IF($AR518="","",HYPERLINK(p_ruta_base_checklists&amp;$AR518,"abrir"))</f>
        <v/>
      </c>
      <c r="AT518" s="4" t="n"/>
      <c r="AU518" s="24">
        <f>IF($A518="","",$A518&amp;IF($B518="","0010",$B518))</f>
        <v/>
      </c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41" t="n"/>
      <c r="K519" s="5" t="n"/>
      <c r="L519" s="18" t="n"/>
      <c r="M519" s="24">
        <f>IF($A519="","",IFERROR(INDEX('AJUSTES'!$B$4:$B$303,MATCH($AU519,'AJUSTES'!$A$4:$A$303,0)),IF($K519="","",$K519)))</f>
        <v/>
      </c>
      <c r="N519" s="24">
        <f>IF($A519="","",IFERROR(INDEX('CAT_ESTADOS_ERP'!$B$4:$B$22,MATCH(IFERROR(INDEX('2_IMPORTAR_EJECUCION'!$C$9:$C$1208,MATCH($AU519,'2_IMPORTAR_EJECUCION'!$J$9:$J$1208,0)),""),'CAT_ESTADOS_ERP'!$A$4:$A$22,0)),"Pendiente"))</f>
        <v/>
      </c>
      <c r="O519" s="24">
        <f>IF($J519="","",YEAR($J519+4-WEEKDAY($J519,2))&amp;"-S"&amp;TEXT(_xlfn.ISOWEEKNUM($J519),"00"))</f>
        <v/>
      </c>
      <c r="P519" s="24">
        <f>IF($J519="","",YEAR($J519))</f>
        <v/>
      </c>
      <c r="Q519" s="24">
        <f>IF($J519="","",MONTH($J519))</f>
        <v/>
      </c>
      <c r="R519" s="24">
        <f>IF($J519="","",$P519&amp;"-"&amp;TEXT($Q519,"00"))</f>
        <v/>
      </c>
      <c r="S519" s="24">
        <f>IF($J519="","",INDEX(lista_dias,WEEKDAY($J519,2)))</f>
        <v/>
      </c>
      <c r="T519" s="24">
        <f>IF($J519="","",IFERROR(INDEX('CALENDARIO'!$C$15:$C$214,MATCH(TEXT($J519,"yyyy-mm-dd")&amp;"|"&amp;$Y519&amp;"|"&amp;$Z519,'CALENDARIO'!$G$15:$G$214,0)),IFERROR(INDEX('CALENDARIO'!$C$15:$C$214,MATCH(TEXT($J519,"yyyy-mm-dd")&amp;"|"&amp;$Y519&amp;"|",'CALENDARIO'!$G$15:$G$214,0)),IFERROR(INDEX('CALENDARIO'!$C$15:$C$214,MATCH(TEXT($J519,"yyyy-mm-dd")&amp;"||",'CALENDARIO'!$G$15:$G$214,0)),INDEX(patronHabil,WEEKDAY($J519,2))))))</f>
        <v/>
      </c>
      <c r="U519" s="24">
        <f>IF($I519="","",IFERROR(INDEX('CAT_TIPOS_OT'!$C$4:$C$23,MATCH($I519,'CAT_TIPOS_OT'!$A$4:$A$23,0)),"sin_clasificar"))</f>
        <v/>
      </c>
      <c r="V519" s="24">
        <f>IF($I519="","",IF(IFERROR(INDEX('CAT_TIPOS_OT'!$D$4:$D$23,MATCH($I519,'CAT_TIPOS_OT'!$A$4:$A$23,0)),"SIN CLASIFICAR")="","SIN CLASIFICAR",IFERROR(INDEX('CAT_TIPOS_OT'!$D$4:$D$23,MATCH($I519,'CAT_TIPOS_OT'!$A$4:$A$23,0)),"SIN CLASIFICAR")))</f>
        <v/>
      </c>
      <c r="W519" s="24">
        <f>IF($H519="","",IF(IFERROR(INDEX('CAT_ACTIVIDADES'!$F$4:$F$26,MATCH($H519,'CAT_ACTIVIDADES'!$A$4:$A$26,0)),"")=0,"",IFERROR(INDEX('CAT_ACTIVIDADES'!$F$4:$F$26,MATCH($H519,'CAT_ACTIVIDADES'!$A$4:$A$26,0)),"")))</f>
        <v/>
      </c>
      <c r="X519" s="24">
        <f>IF($F519="","",IFERROR(INDEX('CAT_CENTROS_COSTO'!$F$4:$F$28,MATCH($F519,'CAT_CENTROS_COSTO'!$A$4:$A$28,0)),"(sin catálogo)"))</f>
        <v/>
      </c>
      <c r="Y519" s="24">
        <f>IF($F519="","",IFERROR(INDEX('CAT_CENTROS_COSTO'!$D$4:$D$28,MATCH($F519,'CAT_CENTROS_COSTO'!$A$4:$A$28,0)),"(sin catálogo)"))</f>
        <v/>
      </c>
      <c r="Z519" s="24">
        <f>IF($F519="","",IF((IFERROR(INDEX('CAT_CENTROS_COSTO'!$E$4:$E$28,MATCH($F519,'CAT_CENTROS_COSTO'!$A$4:$A$28,0)),""))&lt;&gt;"",IFERROR(INDEX('CAT_CENTROS_COSTO'!$E$4:$E$28,MATCH($F519,'CAT_CENTROS_COSTO'!$A$4:$A$28,0)),""),$Y519))</f>
        <v/>
      </c>
      <c r="AA519" s="24">
        <f>IF($F519="","",IFERROR(INDEX('CAT_CENTROS_COSTO'!$G$4:$G$28,MATCH($F519,'CAT_CENTROS_COSTO'!$A$4:$A$28,0)),"(sin catálogo)"))</f>
        <v/>
      </c>
      <c r="AB519" s="24">
        <f>IF($G519="","",IFERROR(INDEX('CAT_PUESTOS'!$B$4:$B$23,MATCH($G519,'CAT_PUESTOS'!$A$4:$A$23,0)),"(sin catálogo)"))</f>
        <v/>
      </c>
      <c r="AC519" s="24">
        <f>IF($H519="","",IFERROR(INDEX('CAT_ACTIVIDADES'!$B$4:$B$26,MATCH($H519,'CAT_ACTIVIDADES'!$A$4:$A$26,0)),"(sin catálogo)"))</f>
        <v/>
      </c>
      <c r="AD519" s="26">
        <f>IF($J519="","",TODAY()-$J519)</f>
        <v/>
      </c>
      <c r="AE519" s="26">
        <f>IF($J519="","",IF($J519&lt;=TODAY(),COUNTIFS(cal_fechas,"&gt;="&amp;$J519,cal_fechas,"&lt;"&amp;TODAY(),cal_habil,"sí"),-COUNTIFS(cal_fechas,"&gt;="&amp;TODAY(),cal_fechas,"&lt;"&amp;$J519,cal_habil,"sí")))</f>
        <v/>
      </c>
      <c r="AF519" s="24">
        <f>IF($AE519="","",IF($AE519&lt;0,"FUTURO",IF($AE519&gt;p_dias_backlog_max,"BACKLOG","MES CORRIENTE")))</f>
        <v/>
      </c>
      <c r="AG519" s="24">
        <f>IF($AE519="",FALSE,AND($AE519&gt;p_dias_backlog_min,$AE519&lt;=p_dias_backlog_max))</f>
        <v/>
      </c>
      <c r="AH519" s="4" t="n"/>
      <c r="AI519" s="24">
        <f>IF($AH519="","",IF((IFERROR(INDEX('ASIGNACIONES'!$J$4:$J$451,MATCH($O519&amp;"|"&amp;$S519&amp;"|"&amp;$AH519,'ASIGNACIONES'!$N$4:$N$451,0)),""))=0,"",IFERROR(INDEX('ASIGNACIONES'!$J$4:$J$451,MATCH($O519&amp;"|"&amp;$S519&amp;"|"&amp;$AH519,'ASIGNACIONES'!$N$4:$N$451,0)),"")))</f>
        <v/>
      </c>
      <c r="AJ519" s="42">
        <f>IF($AH519="","",SUMIFS('ORDENES'!$M$4:$M$1203,'ORDENES'!$AH$4:$AH$1203,$AH519,'ORDENES'!$O$4:$O$1203,$O519,'ORDENES'!$S$4:$S$1203,$S519))</f>
        <v/>
      </c>
      <c r="AK519" s="42">
        <f>IF($AJ519="","",p_factor_productividad*IFERROR(INDEX('ASIGNACIONES'!$M$4:$M$451,MATCH($O519&amp;"|"&amp;$S519&amp;"|"&amp;$AH519,'ASIGNACIONES'!$N$4:$N$451,0)),0)-$AJ519)</f>
        <v/>
      </c>
      <c r="AL519" s="32">
        <f>IF($A519="","",IFERROR(INDEX('2_IMPORTAR_EJECUCION'!$F$9:$F$1208,MATCH($AU519,'2_IMPORTAR_EJECUCION'!$J$9:$J$1208,0)),0))</f>
        <v/>
      </c>
      <c r="AM519" s="32">
        <f>IF($A519="","",MAX(0,IFERROR(INDEX('2_IMPORTAR_EJECUCION'!$H$9:$H$1208,MATCH($AU519,'2_IMPORTAR_EJECUCION'!$J$9:$J$1208,0)),0)-$AL519))</f>
        <v/>
      </c>
      <c r="AN519" s="32">
        <f>IF($A519="","",$AL519+$AM519)</f>
        <v/>
      </c>
      <c r="AO519" s="24">
        <f>IF($A519="","",IF(OR((IFERROR(INDEX('CAT_ACTIVIDADES'!$D$4:$D$26,MATCH($H519,'CAT_ACTIVIDADES'!$A$4:$A$26,0)),""))=0,(IFERROR(INDEX('CAT_ACTIVIDADES'!$D$4:$D$26,MATCH($H519,'CAT_ACTIVIDADES'!$A$4:$A$26,0)),""))=""),"SIN CLASIFICAR",IFERROR(INDEX('CAT_ACTIVIDADES'!$D$4:$D$26,MATCH($H519,'CAT_ACTIVIDADES'!$A$4:$A$26,0)),"")))</f>
        <v/>
      </c>
      <c r="AP519" s="4" t="n"/>
      <c r="AQ519" s="4" t="n"/>
      <c r="AR519" s="4" t="n"/>
      <c r="AS519" s="24">
        <f>IF($AR519="","",HYPERLINK(p_ruta_base_checklists&amp;$AR519,"abrir"))</f>
        <v/>
      </c>
      <c r="AT519" s="4" t="n"/>
      <c r="AU519" s="24">
        <f>IF($A519="","",$A519&amp;IF($B519="","0010",$B519))</f>
        <v/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41" t="n"/>
      <c r="K520" s="5" t="n"/>
      <c r="L520" s="18" t="n"/>
      <c r="M520" s="24">
        <f>IF($A520="","",IFERROR(INDEX('AJUSTES'!$B$4:$B$303,MATCH($AU520,'AJUSTES'!$A$4:$A$303,0)),IF($K520="","",$K520)))</f>
        <v/>
      </c>
      <c r="N520" s="24">
        <f>IF($A520="","",IFERROR(INDEX('CAT_ESTADOS_ERP'!$B$4:$B$22,MATCH(IFERROR(INDEX('2_IMPORTAR_EJECUCION'!$C$9:$C$1208,MATCH($AU520,'2_IMPORTAR_EJECUCION'!$J$9:$J$1208,0)),""),'CAT_ESTADOS_ERP'!$A$4:$A$22,0)),"Pendiente"))</f>
        <v/>
      </c>
      <c r="O520" s="24">
        <f>IF($J520="","",YEAR($J520+4-WEEKDAY($J520,2))&amp;"-S"&amp;TEXT(_xlfn.ISOWEEKNUM($J520),"00"))</f>
        <v/>
      </c>
      <c r="P520" s="24">
        <f>IF($J520="","",YEAR($J520))</f>
        <v/>
      </c>
      <c r="Q520" s="24">
        <f>IF($J520="","",MONTH($J520))</f>
        <v/>
      </c>
      <c r="R520" s="24">
        <f>IF($J520="","",$P520&amp;"-"&amp;TEXT($Q520,"00"))</f>
        <v/>
      </c>
      <c r="S520" s="24">
        <f>IF($J520="","",INDEX(lista_dias,WEEKDAY($J520,2)))</f>
        <v/>
      </c>
      <c r="T520" s="24">
        <f>IF($J520="","",IFERROR(INDEX('CALENDARIO'!$C$15:$C$214,MATCH(TEXT($J520,"yyyy-mm-dd")&amp;"|"&amp;$Y520&amp;"|"&amp;$Z520,'CALENDARIO'!$G$15:$G$214,0)),IFERROR(INDEX('CALENDARIO'!$C$15:$C$214,MATCH(TEXT($J520,"yyyy-mm-dd")&amp;"|"&amp;$Y520&amp;"|",'CALENDARIO'!$G$15:$G$214,0)),IFERROR(INDEX('CALENDARIO'!$C$15:$C$214,MATCH(TEXT($J520,"yyyy-mm-dd")&amp;"||",'CALENDARIO'!$G$15:$G$214,0)),INDEX(patronHabil,WEEKDAY($J520,2))))))</f>
        <v/>
      </c>
      <c r="U520" s="24">
        <f>IF($I520="","",IFERROR(INDEX('CAT_TIPOS_OT'!$C$4:$C$23,MATCH($I520,'CAT_TIPOS_OT'!$A$4:$A$23,0)),"sin_clasificar"))</f>
        <v/>
      </c>
      <c r="V520" s="24">
        <f>IF($I520="","",IF(IFERROR(INDEX('CAT_TIPOS_OT'!$D$4:$D$23,MATCH($I520,'CAT_TIPOS_OT'!$A$4:$A$23,0)),"SIN CLASIFICAR")="","SIN CLASIFICAR",IFERROR(INDEX('CAT_TIPOS_OT'!$D$4:$D$23,MATCH($I520,'CAT_TIPOS_OT'!$A$4:$A$23,0)),"SIN CLASIFICAR")))</f>
        <v/>
      </c>
      <c r="W520" s="24">
        <f>IF($H520="","",IF(IFERROR(INDEX('CAT_ACTIVIDADES'!$F$4:$F$26,MATCH($H520,'CAT_ACTIVIDADES'!$A$4:$A$26,0)),"")=0,"",IFERROR(INDEX('CAT_ACTIVIDADES'!$F$4:$F$26,MATCH($H520,'CAT_ACTIVIDADES'!$A$4:$A$26,0)),"")))</f>
        <v/>
      </c>
      <c r="X520" s="24">
        <f>IF($F520="","",IFERROR(INDEX('CAT_CENTROS_COSTO'!$F$4:$F$28,MATCH($F520,'CAT_CENTROS_COSTO'!$A$4:$A$28,0)),"(sin catálogo)"))</f>
        <v/>
      </c>
      <c r="Y520" s="24">
        <f>IF($F520="","",IFERROR(INDEX('CAT_CENTROS_COSTO'!$D$4:$D$28,MATCH($F520,'CAT_CENTROS_COSTO'!$A$4:$A$28,0)),"(sin catálogo)"))</f>
        <v/>
      </c>
      <c r="Z520" s="24">
        <f>IF($F520="","",IF((IFERROR(INDEX('CAT_CENTROS_COSTO'!$E$4:$E$28,MATCH($F520,'CAT_CENTROS_COSTO'!$A$4:$A$28,0)),""))&lt;&gt;"",IFERROR(INDEX('CAT_CENTROS_COSTO'!$E$4:$E$28,MATCH($F520,'CAT_CENTROS_COSTO'!$A$4:$A$28,0)),""),$Y520))</f>
        <v/>
      </c>
      <c r="AA520" s="24">
        <f>IF($F520="","",IFERROR(INDEX('CAT_CENTROS_COSTO'!$G$4:$G$28,MATCH($F520,'CAT_CENTROS_COSTO'!$A$4:$A$28,0)),"(sin catálogo)"))</f>
        <v/>
      </c>
      <c r="AB520" s="24">
        <f>IF($G520="","",IFERROR(INDEX('CAT_PUESTOS'!$B$4:$B$23,MATCH($G520,'CAT_PUESTOS'!$A$4:$A$23,0)),"(sin catálogo)"))</f>
        <v/>
      </c>
      <c r="AC520" s="24">
        <f>IF($H520="","",IFERROR(INDEX('CAT_ACTIVIDADES'!$B$4:$B$26,MATCH($H520,'CAT_ACTIVIDADES'!$A$4:$A$26,0)),"(sin catálogo)"))</f>
        <v/>
      </c>
      <c r="AD520" s="26">
        <f>IF($J520="","",TODAY()-$J520)</f>
        <v/>
      </c>
      <c r="AE520" s="26">
        <f>IF($J520="","",IF($J520&lt;=TODAY(),COUNTIFS(cal_fechas,"&gt;="&amp;$J520,cal_fechas,"&lt;"&amp;TODAY(),cal_habil,"sí"),-COUNTIFS(cal_fechas,"&gt;="&amp;TODAY(),cal_fechas,"&lt;"&amp;$J520,cal_habil,"sí")))</f>
        <v/>
      </c>
      <c r="AF520" s="24">
        <f>IF($AE520="","",IF($AE520&lt;0,"FUTURO",IF($AE520&gt;p_dias_backlog_max,"BACKLOG","MES CORRIENTE")))</f>
        <v/>
      </c>
      <c r="AG520" s="24">
        <f>IF($AE520="",FALSE,AND($AE520&gt;p_dias_backlog_min,$AE520&lt;=p_dias_backlog_max))</f>
        <v/>
      </c>
      <c r="AH520" s="4" t="n"/>
      <c r="AI520" s="24">
        <f>IF($AH520="","",IF((IFERROR(INDEX('ASIGNACIONES'!$J$4:$J$451,MATCH($O520&amp;"|"&amp;$S520&amp;"|"&amp;$AH520,'ASIGNACIONES'!$N$4:$N$451,0)),""))=0,"",IFERROR(INDEX('ASIGNACIONES'!$J$4:$J$451,MATCH($O520&amp;"|"&amp;$S520&amp;"|"&amp;$AH520,'ASIGNACIONES'!$N$4:$N$451,0)),"")))</f>
        <v/>
      </c>
      <c r="AJ520" s="42">
        <f>IF($AH520="","",SUMIFS('ORDENES'!$M$4:$M$1203,'ORDENES'!$AH$4:$AH$1203,$AH520,'ORDENES'!$O$4:$O$1203,$O520,'ORDENES'!$S$4:$S$1203,$S520))</f>
        <v/>
      </c>
      <c r="AK520" s="42">
        <f>IF($AJ520="","",p_factor_productividad*IFERROR(INDEX('ASIGNACIONES'!$M$4:$M$451,MATCH($O520&amp;"|"&amp;$S520&amp;"|"&amp;$AH520,'ASIGNACIONES'!$N$4:$N$451,0)),0)-$AJ520)</f>
        <v/>
      </c>
      <c r="AL520" s="32">
        <f>IF($A520="","",IFERROR(INDEX('2_IMPORTAR_EJECUCION'!$F$9:$F$1208,MATCH($AU520,'2_IMPORTAR_EJECUCION'!$J$9:$J$1208,0)),0))</f>
        <v/>
      </c>
      <c r="AM520" s="32">
        <f>IF($A520="","",MAX(0,IFERROR(INDEX('2_IMPORTAR_EJECUCION'!$H$9:$H$1208,MATCH($AU520,'2_IMPORTAR_EJECUCION'!$J$9:$J$1208,0)),0)-$AL520))</f>
        <v/>
      </c>
      <c r="AN520" s="32">
        <f>IF($A520="","",$AL520+$AM520)</f>
        <v/>
      </c>
      <c r="AO520" s="24">
        <f>IF($A520="","",IF(OR((IFERROR(INDEX('CAT_ACTIVIDADES'!$D$4:$D$26,MATCH($H520,'CAT_ACTIVIDADES'!$A$4:$A$26,0)),""))=0,(IFERROR(INDEX('CAT_ACTIVIDADES'!$D$4:$D$26,MATCH($H520,'CAT_ACTIVIDADES'!$A$4:$A$26,0)),""))=""),"SIN CLASIFICAR",IFERROR(INDEX('CAT_ACTIVIDADES'!$D$4:$D$26,MATCH($H520,'CAT_ACTIVIDADES'!$A$4:$A$26,0)),"")))</f>
        <v/>
      </c>
      <c r="AP520" s="4" t="n"/>
      <c r="AQ520" s="4" t="n"/>
      <c r="AR520" s="4" t="n"/>
      <c r="AS520" s="24">
        <f>IF($AR520="","",HYPERLINK(p_ruta_base_checklists&amp;$AR520,"abrir"))</f>
        <v/>
      </c>
      <c r="AT520" s="4" t="n"/>
      <c r="AU520" s="24">
        <f>IF($A520="","",$A520&amp;IF($B520="","0010",$B520))</f>
        <v/>
      </c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41" t="n"/>
      <c r="K521" s="5" t="n"/>
      <c r="L521" s="18" t="n"/>
      <c r="M521" s="24">
        <f>IF($A521="","",IFERROR(INDEX('AJUSTES'!$B$4:$B$303,MATCH($AU521,'AJUSTES'!$A$4:$A$303,0)),IF($K521="","",$K521)))</f>
        <v/>
      </c>
      <c r="N521" s="24">
        <f>IF($A521="","",IFERROR(INDEX('CAT_ESTADOS_ERP'!$B$4:$B$22,MATCH(IFERROR(INDEX('2_IMPORTAR_EJECUCION'!$C$9:$C$1208,MATCH($AU521,'2_IMPORTAR_EJECUCION'!$J$9:$J$1208,0)),""),'CAT_ESTADOS_ERP'!$A$4:$A$22,0)),"Pendiente"))</f>
        <v/>
      </c>
      <c r="O521" s="24">
        <f>IF($J521="","",YEAR($J521+4-WEEKDAY($J521,2))&amp;"-S"&amp;TEXT(_xlfn.ISOWEEKNUM($J521),"00"))</f>
        <v/>
      </c>
      <c r="P521" s="24">
        <f>IF($J521="","",YEAR($J521))</f>
        <v/>
      </c>
      <c r="Q521" s="24">
        <f>IF($J521="","",MONTH($J521))</f>
        <v/>
      </c>
      <c r="R521" s="24">
        <f>IF($J521="","",$P521&amp;"-"&amp;TEXT($Q521,"00"))</f>
        <v/>
      </c>
      <c r="S521" s="24">
        <f>IF($J521="","",INDEX(lista_dias,WEEKDAY($J521,2)))</f>
        <v/>
      </c>
      <c r="T521" s="24">
        <f>IF($J521="","",IFERROR(INDEX('CALENDARIO'!$C$15:$C$214,MATCH(TEXT($J521,"yyyy-mm-dd")&amp;"|"&amp;$Y521&amp;"|"&amp;$Z521,'CALENDARIO'!$G$15:$G$214,0)),IFERROR(INDEX('CALENDARIO'!$C$15:$C$214,MATCH(TEXT($J521,"yyyy-mm-dd")&amp;"|"&amp;$Y521&amp;"|",'CALENDARIO'!$G$15:$G$214,0)),IFERROR(INDEX('CALENDARIO'!$C$15:$C$214,MATCH(TEXT($J521,"yyyy-mm-dd")&amp;"||",'CALENDARIO'!$G$15:$G$214,0)),INDEX(patronHabil,WEEKDAY($J521,2))))))</f>
        <v/>
      </c>
      <c r="U521" s="24">
        <f>IF($I521="","",IFERROR(INDEX('CAT_TIPOS_OT'!$C$4:$C$23,MATCH($I521,'CAT_TIPOS_OT'!$A$4:$A$23,0)),"sin_clasificar"))</f>
        <v/>
      </c>
      <c r="V521" s="24">
        <f>IF($I521="","",IF(IFERROR(INDEX('CAT_TIPOS_OT'!$D$4:$D$23,MATCH($I521,'CAT_TIPOS_OT'!$A$4:$A$23,0)),"SIN CLASIFICAR")="","SIN CLASIFICAR",IFERROR(INDEX('CAT_TIPOS_OT'!$D$4:$D$23,MATCH($I521,'CAT_TIPOS_OT'!$A$4:$A$23,0)),"SIN CLASIFICAR")))</f>
        <v/>
      </c>
      <c r="W521" s="24">
        <f>IF($H521="","",IF(IFERROR(INDEX('CAT_ACTIVIDADES'!$F$4:$F$26,MATCH($H521,'CAT_ACTIVIDADES'!$A$4:$A$26,0)),"")=0,"",IFERROR(INDEX('CAT_ACTIVIDADES'!$F$4:$F$26,MATCH($H521,'CAT_ACTIVIDADES'!$A$4:$A$26,0)),"")))</f>
        <v/>
      </c>
      <c r="X521" s="24">
        <f>IF($F521="","",IFERROR(INDEX('CAT_CENTROS_COSTO'!$F$4:$F$28,MATCH($F521,'CAT_CENTROS_COSTO'!$A$4:$A$28,0)),"(sin catálogo)"))</f>
        <v/>
      </c>
      <c r="Y521" s="24">
        <f>IF($F521="","",IFERROR(INDEX('CAT_CENTROS_COSTO'!$D$4:$D$28,MATCH($F521,'CAT_CENTROS_COSTO'!$A$4:$A$28,0)),"(sin catálogo)"))</f>
        <v/>
      </c>
      <c r="Z521" s="24">
        <f>IF($F521="","",IF((IFERROR(INDEX('CAT_CENTROS_COSTO'!$E$4:$E$28,MATCH($F521,'CAT_CENTROS_COSTO'!$A$4:$A$28,0)),""))&lt;&gt;"",IFERROR(INDEX('CAT_CENTROS_COSTO'!$E$4:$E$28,MATCH($F521,'CAT_CENTROS_COSTO'!$A$4:$A$28,0)),""),$Y521))</f>
        <v/>
      </c>
      <c r="AA521" s="24">
        <f>IF($F521="","",IFERROR(INDEX('CAT_CENTROS_COSTO'!$G$4:$G$28,MATCH($F521,'CAT_CENTROS_COSTO'!$A$4:$A$28,0)),"(sin catálogo)"))</f>
        <v/>
      </c>
      <c r="AB521" s="24">
        <f>IF($G521="","",IFERROR(INDEX('CAT_PUESTOS'!$B$4:$B$23,MATCH($G521,'CAT_PUESTOS'!$A$4:$A$23,0)),"(sin catálogo)"))</f>
        <v/>
      </c>
      <c r="AC521" s="24">
        <f>IF($H521="","",IFERROR(INDEX('CAT_ACTIVIDADES'!$B$4:$B$26,MATCH($H521,'CAT_ACTIVIDADES'!$A$4:$A$26,0)),"(sin catálogo)"))</f>
        <v/>
      </c>
      <c r="AD521" s="26">
        <f>IF($J521="","",TODAY()-$J521)</f>
        <v/>
      </c>
      <c r="AE521" s="26">
        <f>IF($J521="","",IF($J521&lt;=TODAY(),COUNTIFS(cal_fechas,"&gt;="&amp;$J521,cal_fechas,"&lt;"&amp;TODAY(),cal_habil,"sí"),-COUNTIFS(cal_fechas,"&gt;="&amp;TODAY(),cal_fechas,"&lt;"&amp;$J521,cal_habil,"sí")))</f>
        <v/>
      </c>
      <c r="AF521" s="24">
        <f>IF($AE521="","",IF($AE521&lt;0,"FUTURO",IF($AE521&gt;p_dias_backlog_max,"BACKLOG","MES CORRIENTE")))</f>
        <v/>
      </c>
      <c r="AG521" s="24">
        <f>IF($AE521="",FALSE,AND($AE521&gt;p_dias_backlog_min,$AE521&lt;=p_dias_backlog_max))</f>
        <v/>
      </c>
      <c r="AH521" s="4" t="n"/>
      <c r="AI521" s="24">
        <f>IF($AH521="","",IF((IFERROR(INDEX('ASIGNACIONES'!$J$4:$J$451,MATCH($O521&amp;"|"&amp;$S521&amp;"|"&amp;$AH521,'ASIGNACIONES'!$N$4:$N$451,0)),""))=0,"",IFERROR(INDEX('ASIGNACIONES'!$J$4:$J$451,MATCH($O521&amp;"|"&amp;$S521&amp;"|"&amp;$AH521,'ASIGNACIONES'!$N$4:$N$451,0)),"")))</f>
        <v/>
      </c>
      <c r="AJ521" s="42">
        <f>IF($AH521="","",SUMIFS('ORDENES'!$M$4:$M$1203,'ORDENES'!$AH$4:$AH$1203,$AH521,'ORDENES'!$O$4:$O$1203,$O521,'ORDENES'!$S$4:$S$1203,$S521))</f>
        <v/>
      </c>
      <c r="AK521" s="42">
        <f>IF($AJ521="","",p_factor_productividad*IFERROR(INDEX('ASIGNACIONES'!$M$4:$M$451,MATCH($O521&amp;"|"&amp;$S521&amp;"|"&amp;$AH521,'ASIGNACIONES'!$N$4:$N$451,0)),0)-$AJ521)</f>
        <v/>
      </c>
      <c r="AL521" s="32">
        <f>IF($A521="","",IFERROR(INDEX('2_IMPORTAR_EJECUCION'!$F$9:$F$1208,MATCH($AU521,'2_IMPORTAR_EJECUCION'!$J$9:$J$1208,0)),0))</f>
        <v/>
      </c>
      <c r="AM521" s="32">
        <f>IF($A521="","",MAX(0,IFERROR(INDEX('2_IMPORTAR_EJECUCION'!$H$9:$H$1208,MATCH($AU521,'2_IMPORTAR_EJECUCION'!$J$9:$J$1208,0)),0)-$AL521))</f>
        <v/>
      </c>
      <c r="AN521" s="32">
        <f>IF($A521="","",$AL521+$AM521)</f>
        <v/>
      </c>
      <c r="AO521" s="24">
        <f>IF($A521="","",IF(OR((IFERROR(INDEX('CAT_ACTIVIDADES'!$D$4:$D$26,MATCH($H521,'CAT_ACTIVIDADES'!$A$4:$A$26,0)),""))=0,(IFERROR(INDEX('CAT_ACTIVIDADES'!$D$4:$D$26,MATCH($H521,'CAT_ACTIVIDADES'!$A$4:$A$26,0)),""))=""),"SIN CLASIFICAR",IFERROR(INDEX('CAT_ACTIVIDADES'!$D$4:$D$26,MATCH($H521,'CAT_ACTIVIDADES'!$A$4:$A$26,0)),"")))</f>
        <v/>
      </c>
      <c r="AP521" s="4" t="n"/>
      <c r="AQ521" s="4" t="n"/>
      <c r="AR521" s="4" t="n"/>
      <c r="AS521" s="24">
        <f>IF($AR521="","",HYPERLINK(p_ruta_base_checklists&amp;$AR521,"abrir"))</f>
        <v/>
      </c>
      <c r="AT521" s="4" t="n"/>
      <c r="AU521" s="24">
        <f>IF($A521="","",$A521&amp;IF($B521="","0010",$B521))</f>
        <v/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41" t="n"/>
      <c r="K522" s="5" t="n"/>
      <c r="L522" s="18" t="n"/>
      <c r="M522" s="24">
        <f>IF($A522="","",IFERROR(INDEX('AJUSTES'!$B$4:$B$303,MATCH($AU522,'AJUSTES'!$A$4:$A$303,0)),IF($K522="","",$K522)))</f>
        <v/>
      </c>
      <c r="N522" s="24">
        <f>IF($A522="","",IFERROR(INDEX('CAT_ESTADOS_ERP'!$B$4:$B$22,MATCH(IFERROR(INDEX('2_IMPORTAR_EJECUCION'!$C$9:$C$1208,MATCH($AU522,'2_IMPORTAR_EJECUCION'!$J$9:$J$1208,0)),""),'CAT_ESTADOS_ERP'!$A$4:$A$22,0)),"Pendiente"))</f>
        <v/>
      </c>
      <c r="O522" s="24">
        <f>IF($J522="","",YEAR($J522+4-WEEKDAY($J522,2))&amp;"-S"&amp;TEXT(_xlfn.ISOWEEKNUM($J522),"00"))</f>
        <v/>
      </c>
      <c r="P522" s="24">
        <f>IF($J522="","",YEAR($J522))</f>
        <v/>
      </c>
      <c r="Q522" s="24">
        <f>IF($J522="","",MONTH($J522))</f>
        <v/>
      </c>
      <c r="R522" s="24">
        <f>IF($J522="","",$P522&amp;"-"&amp;TEXT($Q522,"00"))</f>
        <v/>
      </c>
      <c r="S522" s="24">
        <f>IF($J522="","",INDEX(lista_dias,WEEKDAY($J522,2)))</f>
        <v/>
      </c>
      <c r="T522" s="24">
        <f>IF($J522="","",IFERROR(INDEX('CALENDARIO'!$C$15:$C$214,MATCH(TEXT($J522,"yyyy-mm-dd")&amp;"|"&amp;$Y522&amp;"|"&amp;$Z522,'CALENDARIO'!$G$15:$G$214,0)),IFERROR(INDEX('CALENDARIO'!$C$15:$C$214,MATCH(TEXT($J522,"yyyy-mm-dd")&amp;"|"&amp;$Y522&amp;"|",'CALENDARIO'!$G$15:$G$214,0)),IFERROR(INDEX('CALENDARIO'!$C$15:$C$214,MATCH(TEXT($J522,"yyyy-mm-dd")&amp;"||",'CALENDARIO'!$G$15:$G$214,0)),INDEX(patronHabil,WEEKDAY($J522,2))))))</f>
        <v/>
      </c>
      <c r="U522" s="24">
        <f>IF($I522="","",IFERROR(INDEX('CAT_TIPOS_OT'!$C$4:$C$23,MATCH($I522,'CAT_TIPOS_OT'!$A$4:$A$23,0)),"sin_clasificar"))</f>
        <v/>
      </c>
      <c r="V522" s="24">
        <f>IF($I522="","",IF(IFERROR(INDEX('CAT_TIPOS_OT'!$D$4:$D$23,MATCH($I522,'CAT_TIPOS_OT'!$A$4:$A$23,0)),"SIN CLASIFICAR")="","SIN CLASIFICAR",IFERROR(INDEX('CAT_TIPOS_OT'!$D$4:$D$23,MATCH($I522,'CAT_TIPOS_OT'!$A$4:$A$23,0)),"SIN CLASIFICAR")))</f>
        <v/>
      </c>
      <c r="W522" s="24">
        <f>IF($H522="","",IF(IFERROR(INDEX('CAT_ACTIVIDADES'!$F$4:$F$26,MATCH($H522,'CAT_ACTIVIDADES'!$A$4:$A$26,0)),"")=0,"",IFERROR(INDEX('CAT_ACTIVIDADES'!$F$4:$F$26,MATCH($H522,'CAT_ACTIVIDADES'!$A$4:$A$26,0)),"")))</f>
        <v/>
      </c>
      <c r="X522" s="24">
        <f>IF($F522="","",IFERROR(INDEX('CAT_CENTROS_COSTO'!$F$4:$F$28,MATCH($F522,'CAT_CENTROS_COSTO'!$A$4:$A$28,0)),"(sin catálogo)"))</f>
        <v/>
      </c>
      <c r="Y522" s="24">
        <f>IF($F522="","",IFERROR(INDEX('CAT_CENTROS_COSTO'!$D$4:$D$28,MATCH($F522,'CAT_CENTROS_COSTO'!$A$4:$A$28,0)),"(sin catálogo)"))</f>
        <v/>
      </c>
      <c r="Z522" s="24">
        <f>IF($F522="","",IF((IFERROR(INDEX('CAT_CENTROS_COSTO'!$E$4:$E$28,MATCH($F522,'CAT_CENTROS_COSTO'!$A$4:$A$28,0)),""))&lt;&gt;"",IFERROR(INDEX('CAT_CENTROS_COSTO'!$E$4:$E$28,MATCH($F522,'CAT_CENTROS_COSTO'!$A$4:$A$28,0)),""),$Y522))</f>
        <v/>
      </c>
      <c r="AA522" s="24">
        <f>IF($F522="","",IFERROR(INDEX('CAT_CENTROS_COSTO'!$G$4:$G$28,MATCH($F522,'CAT_CENTROS_COSTO'!$A$4:$A$28,0)),"(sin catálogo)"))</f>
        <v/>
      </c>
      <c r="AB522" s="24">
        <f>IF($G522="","",IFERROR(INDEX('CAT_PUESTOS'!$B$4:$B$23,MATCH($G522,'CAT_PUESTOS'!$A$4:$A$23,0)),"(sin catálogo)"))</f>
        <v/>
      </c>
      <c r="AC522" s="24">
        <f>IF($H522="","",IFERROR(INDEX('CAT_ACTIVIDADES'!$B$4:$B$26,MATCH($H522,'CAT_ACTIVIDADES'!$A$4:$A$26,0)),"(sin catálogo)"))</f>
        <v/>
      </c>
      <c r="AD522" s="26">
        <f>IF($J522="","",TODAY()-$J522)</f>
        <v/>
      </c>
      <c r="AE522" s="26">
        <f>IF($J522="","",IF($J522&lt;=TODAY(),COUNTIFS(cal_fechas,"&gt;="&amp;$J522,cal_fechas,"&lt;"&amp;TODAY(),cal_habil,"sí"),-COUNTIFS(cal_fechas,"&gt;="&amp;TODAY(),cal_fechas,"&lt;"&amp;$J522,cal_habil,"sí")))</f>
        <v/>
      </c>
      <c r="AF522" s="24">
        <f>IF($AE522="","",IF($AE522&lt;0,"FUTURO",IF($AE522&gt;p_dias_backlog_max,"BACKLOG","MES CORRIENTE")))</f>
        <v/>
      </c>
      <c r="AG522" s="24">
        <f>IF($AE522="",FALSE,AND($AE522&gt;p_dias_backlog_min,$AE522&lt;=p_dias_backlog_max))</f>
        <v/>
      </c>
      <c r="AH522" s="4" t="n"/>
      <c r="AI522" s="24">
        <f>IF($AH522="","",IF((IFERROR(INDEX('ASIGNACIONES'!$J$4:$J$451,MATCH($O522&amp;"|"&amp;$S522&amp;"|"&amp;$AH522,'ASIGNACIONES'!$N$4:$N$451,0)),""))=0,"",IFERROR(INDEX('ASIGNACIONES'!$J$4:$J$451,MATCH($O522&amp;"|"&amp;$S522&amp;"|"&amp;$AH522,'ASIGNACIONES'!$N$4:$N$451,0)),"")))</f>
        <v/>
      </c>
      <c r="AJ522" s="42">
        <f>IF($AH522="","",SUMIFS('ORDENES'!$M$4:$M$1203,'ORDENES'!$AH$4:$AH$1203,$AH522,'ORDENES'!$O$4:$O$1203,$O522,'ORDENES'!$S$4:$S$1203,$S522))</f>
        <v/>
      </c>
      <c r="AK522" s="42">
        <f>IF($AJ522="","",p_factor_productividad*IFERROR(INDEX('ASIGNACIONES'!$M$4:$M$451,MATCH($O522&amp;"|"&amp;$S522&amp;"|"&amp;$AH522,'ASIGNACIONES'!$N$4:$N$451,0)),0)-$AJ522)</f>
        <v/>
      </c>
      <c r="AL522" s="32">
        <f>IF($A522="","",IFERROR(INDEX('2_IMPORTAR_EJECUCION'!$F$9:$F$1208,MATCH($AU522,'2_IMPORTAR_EJECUCION'!$J$9:$J$1208,0)),0))</f>
        <v/>
      </c>
      <c r="AM522" s="32">
        <f>IF($A522="","",MAX(0,IFERROR(INDEX('2_IMPORTAR_EJECUCION'!$H$9:$H$1208,MATCH($AU522,'2_IMPORTAR_EJECUCION'!$J$9:$J$1208,0)),0)-$AL522))</f>
        <v/>
      </c>
      <c r="AN522" s="32">
        <f>IF($A522="","",$AL522+$AM522)</f>
        <v/>
      </c>
      <c r="AO522" s="24">
        <f>IF($A522="","",IF(OR((IFERROR(INDEX('CAT_ACTIVIDADES'!$D$4:$D$26,MATCH($H522,'CAT_ACTIVIDADES'!$A$4:$A$26,0)),""))=0,(IFERROR(INDEX('CAT_ACTIVIDADES'!$D$4:$D$26,MATCH($H522,'CAT_ACTIVIDADES'!$A$4:$A$26,0)),""))=""),"SIN CLASIFICAR",IFERROR(INDEX('CAT_ACTIVIDADES'!$D$4:$D$26,MATCH($H522,'CAT_ACTIVIDADES'!$A$4:$A$26,0)),"")))</f>
        <v/>
      </c>
      <c r="AP522" s="4" t="n"/>
      <c r="AQ522" s="4" t="n"/>
      <c r="AR522" s="4" t="n"/>
      <c r="AS522" s="24">
        <f>IF($AR522="","",HYPERLINK(p_ruta_base_checklists&amp;$AR522,"abrir"))</f>
        <v/>
      </c>
      <c r="AT522" s="4" t="n"/>
      <c r="AU522" s="24">
        <f>IF($A522="","",$A522&amp;IF($B522="","0010",$B522))</f>
        <v/>
      </c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41" t="n"/>
      <c r="K523" s="5" t="n"/>
      <c r="L523" s="18" t="n"/>
      <c r="M523" s="24">
        <f>IF($A523="","",IFERROR(INDEX('AJUSTES'!$B$4:$B$303,MATCH($AU523,'AJUSTES'!$A$4:$A$303,0)),IF($K523="","",$K523)))</f>
        <v/>
      </c>
      <c r="N523" s="24">
        <f>IF($A523="","",IFERROR(INDEX('CAT_ESTADOS_ERP'!$B$4:$B$22,MATCH(IFERROR(INDEX('2_IMPORTAR_EJECUCION'!$C$9:$C$1208,MATCH($AU523,'2_IMPORTAR_EJECUCION'!$J$9:$J$1208,0)),""),'CAT_ESTADOS_ERP'!$A$4:$A$22,0)),"Pendiente"))</f>
        <v/>
      </c>
      <c r="O523" s="24">
        <f>IF($J523="","",YEAR($J523+4-WEEKDAY($J523,2))&amp;"-S"&amp;TEXT(_xlfn.ISOWEEKNUM($J523),"00"))</f>
        <v/>
      </c>
      <c r="P523" s="24">
        <f>IF($J523="","",YEAR($J523))</f>
        <v/>
      </c>
      <c r="Q523" s="24">
        <f>IF($J523="","",MONTH($J523))</f>
        <v/>
      </c>
      <c r="R523" s="24">
        <f>IF($J523="","",$P523&amp;"-"&amp;TEXT($Q523,"00"))</f>
        <v/>
      </c>
      <c r="S523" s="24">
        <f>IF($J523="","",INDEX(lista_dias,WEEKDAY($J523,2)))</f>
        <v/>
      </c>
      <c r="T523" s="24">
        <f>IF($J523="","",IFERROR(INDEX('CALENDARIO'!$C$15:$C$214,MATCH(TEXT($J523,"yyyy-mm-dd")&amp;"|"&amp;$Y523&amp;"|"&amp;$Z523,'CALENDARIO'!$G$15:$G$214,0)),IFERROR(INDEX('CALENDARIO'!$C$15:$C$214,MATCH(TEXT($J523,"yyyy-mm-dd")&amp;"|"&amp;$Y523&amp;"|",'CALENDARIO'!$G$15:$G$214,0)),IFERROR(INDEX('CALENDARIO'!$C$15:$C$214,MATCH(TEXT($J523,"yyyy-mm-dd")&amp;"||",'CALENDARIO'!$G$15:$G$214,0)),INDEX(patronHabil,WEEKDAY($J523,2))))))</f>
        <v/>
      </c>
      <c r="U523" s="24">
        <f>IF($I523="","",IFERROR(INDEX('CAT_TIPOS_OT'!$C$4:$C$23,MATCH($I523,'CAT_TIPOS_OT'!$A$4:$A$23,0)),"sin_clasificar"))</f>
        <v/>
      </c>
      <c r="V523" s="24">
        <f>IF($I523="","",IF(IFERROR(INDEX('CAT_TIPOS_OT'!$D$4:$D$23,MATCH($I523,'CAT_TIPOS_OT'!$A$4:$A$23,0)),"SIN CLASIFICAR")="","SIN CLASIFICAR",IFERROR(INDEX('CAT_TIPOS_OT'!$D$4:$D$23,MATCH($I523,'CAT_TIPOS_OT'!$A$4:$A$23,0)),"SIN CLASIFICAR")))</f>
        <v/>
      </c>
      <c r="W523" s="24">
        <f>IF($H523="","",IF(IFERROR(INDEX('CAT_ACTIVIDADES'!$F$4:$F$26,MATCH($H523,'CAT_ACTIVIDADES'!$A$4:$A$26,0)),"")=0,"",IFERROR(INDEX('CAT_ACTIVIDADES'!$F$4:$F$26,MATCH($H523,'CAT_ACTIVIDADES'!$A$4:$A$26,0)),"")))</f>
        <v/>
      </c>
      <c r="X523" s="24">
        <f>IF($F523="","",IFERROR(INDEX('CAT_CENTROS_COSTO'!$F$4:$F$28,MATCH($F523,'CAT_CENTROS_COSTO'!$A$4:$A$28,0)),"(sin catálogo)"))</f>
        <v/>
      </c>
      <c r="Y523" s="24">
        <f>IF($F523="","",IFERROR(INDEX('CAT_CENTROS_COSTO'!$D$4:$D$28,MATCH($F523,'CAT_CENTROS_COSTO'!$A$4:$A$28,0)),"(sin catálogo)"))</f>
        <v/>
      </c>
      <c r="Z523" s="24">
        <f>IF($F523="","",IF((IFERROR(INDEX('CAT_CENTROS_COSTO'!$E$4:$E$28,MATCH($F523,'CAT_CENTROS_COSTO'!$A$4:$A$28,0)),""))&lt;&gt;"",IFERROR(INDEX('CAT_CENTROS_COSTO'!$E$4:$E$28,MATCH($F523,'CAT_CENTROS_COSTO'!$A$4:$A$28,0)),""),$Y523))</f>
        <v/>
      </c>
      <c r="AA523" s="24">
        <f>IF($F523="","",IFERROR(INDEX('CAT_CENTROS_COSTO'!$G$4:$G$28,MATCH($F523,'CAT_CENTROS_COSTO'!$A$4:$A$28,0)),"(sin catálogo)"))</f>
        <v/>
      </c>
      <c r="AB523" s="24">
        <f>IF($G523="","",IFERROR(INDEX('CAT_PUESTOS'!$B$4:$B$23,MATCH($G523,'CAT_PUESTOS'!$A$4:$A$23,0)),"(sin catálogo)"))</f>
        <v/>
      </c>
      <c r="AC523" s="24">
        <f>IF($H523="","",IFERROR(INDEX('CAT_ACTIVIDADES'!$B$4:$B$26,MATCH($H523,'CAT_ACTIVIDADES'!$A$4:$A$26,0)),"(sin catálogo)"))</f>
        <v/>
      </c>
      <c r="AD523" s="26">
        <f>IF($J523="","",TODAY()-$J523)</f>
        <v/>
      </c>
      <c r="AE523" s="26">
        <f>IF($J523="","",IF($J523&lt;=TODAY(),COUNTIFS(cal_fechas,"&gt;="&amp;$J523,cal_fechas,"&lt;"&amp;TODAY(),cal_habil,"sí"),-COUNTIFS(cal_fechas,"&gt;="&amp;TODAY(),cal_fechas,"&lt;"&amp;$J523,cal_habil,"sí")))</f>
        <v/>
      </c>
      <c r="AF523" s="24">
        <f>IF($AE523="","",IF($AE523&lt;0,"FUTURO",IF($AE523&gt;p_dias_backlog_max,"BACKLOG","MES CORRIENTE")))</f>
        <v/>
      </c>
      <c r="AG523" s="24">
        <f>IF($AE523="",FALSE,AND($AE523&gt;p_dias_backlog_min,$AE523&lt;=p_dias_backlog_max))</f>
        <v/>
      </c>
      <c r="AH523" s="4" t="n"/>
      <c r="AI523" s="24">
        <f>IF($AH523="","",IF((IFERROR(INDEX('ASIGNACIONES'!$J$4:$J$451,MATCH($O523&amp;"|"&amp;$S523&amp;"|"&amp;$AH523,'ASIGNACIONES'!$N$4:$N$451,0)),""))=0,"",IFERROR(INDEX('ASIGNACIONES'!$J$4:$J$451,MATCH($O523&amp;"|"&amp;$S523&amp;"|"&amp;$AH523,'ASIGNACIONES'!$N$4:$N$451,0)),"")))</f>
        <v/>
      </c>
      <c r="AJ523" s="42">
        <f>IF($AH523="","",SUMIFS('ORDENES'!$M$4:$M$1203,'ORDENES'!$AH$4:$AH$1203,$AH523,'ORDENES'!$O$4:$O$1203,$O523,'ORDENES'!$S$4:$S$1203,$S523))</f>
        <v/>
      </c>
      <c r="AK523" s="42">
        <f>IF($AJ523="","",p_factor_productividad*IFERROR(INDEX('ASIGNACIONES'!$M$4:$M$451,MATCH($O523&amp;"|"&amp;$S523&amp;"|"&amp;$AH523,'ASIGNACIONES'!$N$4:$N$451,0)),0)-$AJ523)</f>
        <v/>
      </c>
      <c r="AL523" s="32">
        <f>IF($A523="","",IFERROR(INDEX('2_IMPORTAR_EJECUCION'!$F$9:$F$1208,MATCH($AU523,'2_IMPORTAR_EJECUCION'!$J$9:$J$1208,0)),0))</f>
        <v/>
      </c>
      <c r="AM523" s="32">
        <f>IF($A523="","",MAX(0,IFERROR(INDEX('2_IMPORTAR_EJECUCION'!$H$9:$H$1208,MATCH($AU523,'2_IMPORTAR_EJECUCION'!$J$9:$J$1208,0)),0)-$AL523))</f>
        <v/>
      </c>
      <c r="AN523" s="32">
        <f>IF($A523="","",$AL523+$AM523)</f>
        <v/>
      </c>
      <c r="AO523" s="24">
        <f>IF($A523="","",IF(OR((IFERROR(INDEX('CAT_ACTIVIDADES'!$D$4:$D$26,MATCH($H523,'CAT_ACTIVIDADES'!$A$4:$A$26,0)),""))=0,(IFERROR(INDEX('CAT_ACTIVIDADES'!$D$4:$D$26,MATCH($H523,'CAT_ACTIVIDADES'!$A$4:$A$26,0)),""))=""),"SIN CLASIFICAR",IFERROR(INDEX('CAT_ACTIVIDADES'!$D$4:$D$26,MATCH($H523,'CAT_ACTIVIDADES'!$A$4:$A$26,0)),"")))</f>
        <v/>
      </c>
      <c r="AP523" s="4" t="n"/>
      <c r="AQ523" s="4" t="n"/>
      <c r="AR523" s="4" t="n"/>
      <c r="AS523" s="24">
        <f>IF($AR523="","",HYPERLINK(p_ruta_base_checklists&amp;$AR523,"abrir"))</f>
        <v/>
      </c>
      <c r="AT523" s="4" t="n"/>
      <c r="AU523" s="24">
        <f>IF($A523="","",$A523&amp;IF($B523="","0010",$B523))</f>
        <v/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41" t="n"/>
      <c r="K524" s="5" t="n"/>
      <c r="L524" s="18" t="n"/>
      <c r="M524" s="24">
        <f>IF($A524="","",IFERROR(INDEX('AJUSTES'!$B$4:$B$303,MATCH($AU524,'AJUSTES'!$A$4:$A$303,0)),IF($K524="","",$K524)))</f>
        <v/>
      </c>
      <c r="N524" s="24">
        <f>IF($A524="","",IFERROR(INDEX('CAT_ESTADOS_ERP'!$B$4:$B$22,MATCH(IFERROR(INDEX('2_IMPORTAR_EJECUCION'!$C$9:$C$1208,MATCH($AU524,'2_IMPORTAR_EJECUCION'!$J$9:$J$1208,0)),""),'CAT_ESTADOS_ERP'!$A$4:$A$22,0)),"Pendiente"))</f>
        <v/>
      </c>
      <c r="O524" s="24">
        <f>IF($J524="","",YEAR($J524+4-WEEKDAY($J524,2))&amp;"-S"&amp;TEXT(_xlfn.ISOWEEKNUM($J524),"00"))</f>
        <v/>
      </c>
      <c r="P524" s="24">
        <f>IF($J524="","",YEAR($J524))</f>
        <v/>
      </c>
      <c r="Q524" s="24">
        <f>IF($J524="","",MONTH($J524))</f>
        <v/>
      </c>
      <c r="R524" s="24">
        <f>IF($J524="","",$P524&amp;"-"&amp;TEXT($Q524,"00"))</f>
        <v/>
      </c>
      <c r="S524" s="24">
        <f>IF($J524="","",INDEX(lista_dias,WEEKDAY($J524,2)))</f>
        <v/>
      </c>
      <c r="T524" s="24">
        <f>IF($J524="","",IFERROR(INDEX('CALENDARIO'!$C$15:$C$214,MATCH(TEXT($J524,"yyyy-mm-dd")&amp;"|"&amp;$Y524&amp;"|"&amp;$Z524,'CALENDARIO'!$G$15:$G$214,0)),IFERROR(INDEX('CALENDARIO'!$C$15:$C$214,MATCH(TEXT($J524,"yyyy-mm-dd")&amp;"|"&amp;$Y524&amp;"|",'CALENDARIO'!$G$15:$G$214,0)),IFERROR(INDEX('CALENDARIO'!$C$15:$C$214,MATCH(TEXT($J524,"yyyy-mm-dd")&amp;"||",'CALENDARIO'!$G$15:$G$214,0)),INDEX(patronHabil,WEEKDAY($J524,2))))))</f>
        <v/>
      </c>
      <c r="U524" s="24">
        <f>IF($I524="","",IFERROR(INDEX('CAT_TIPOS_OT'!$C$4:$C$23,MATCH($I524,'CAT_TIPOS_OT'!$A$4:$A$23,0)),"sin_clasificar"))</f>
        <v/>
      </c>
      <c r="V524" s="24">
        <f>IF($I524="","",IF(IFERROR(INDEX('CAT_TIPOS_OT'!$D$4:$D$23,MATCH($I524,'CAT_TIPOS_OT'!$A$4:$A$23,0)),"SIN CLASIFICAR")="","SIN CLASIFICAR",IFERROR(INDEX('CAT_TIPOS_OT'!$D$4:$D$23,MATCH($I524,'CAT_TIPOS_OT'!$A$4:$A$23,0)),"SIN CLASIFICAR")))</f>
        <v/>
      </c>
      <c r="W524" s="24">
        <f>IF($H524="","",IF(IFERROR(INDEX('CAT_ACTIVIDADES'!$F$4:$F$26,MATCH($H524,'CAT_ACTIVIDADES'!$A$4:$A$26,0)),"")=0,"",IFERROR(INDEX('CAT_ACTIVIDADES'!$F$4:$F$26,MATCH($H524,'CAT_ACTIVIDADES'!$A$4:$A$26,0)),"")))</f>
        <v/>
      </c>
      <c r="X524" s="24">
        <f>IF($F524="","",IFERROR(INDEX('CAT_CENTROS_COSTO'!$F$4:$F$28,MATCH($F524,'CAT_CENTROS_COSTO'!$A$4:$A$28,0)),"(sin catálogo)"))</f>
        <v/>
      </c>
      <c r="Y524" s="24">
        <f>IF($F524="","",IFERROR(INDEX('CAT_CENTROS_COSTO'!$D$4:$D$28,MATCH($F524,'CAT_CENTROS_COSTO'!$A$4:$A$28,0)),"(sin catálogo)"))</f>
        <v/>
      </c>
      <c r="Z524" s="24">
        <f>IF($F524="","",IF((IFERROR(INDEX('CAT_CENTROS_COSTO'!$E$4:$E$28,MATCH($F524,'CAT_CENTROS_COSTO'!$A$4:$A$28,0)),""))&lt;&gt;"",IFERROR(INDEX('CAT_CENTROS_COSTO'!$E$4:$E$28,MATCH($F524,'CAT_CENTROS_COSTO'!$A$4:$A$28,0)),""),$Y524))</f>
        <v/>
      </c>
      <c r="AA524" s="24">
        <f>IF($F524="","",IFERROR(INDEX('CAT_CENTROS_COSTO'!$G$4:$G$28,MATCH($F524,'CAT_CENTROS_COSTO'!$A$4:$A$28,0)),"(sin catálogo)"))</f>
        <v/>
      </c>
      <c r="AB524" s="24">
        <f>IF($G524="","",IFERROR(INDEX('CAT_PUESTOS'!$B$4:$B$23,MATCH($G524,'CAT_PUESTOS'!$A$4:$A$23,0)),"(sin catálogo)"))</f>
        <v/>
      </c>
      <c r="AC524" s="24">
        <f>IF($H524="","",IFERROR(INDEX('CAT_ACTIVIDADES'!$B$4:$B$26,MATCH($H524,'CAT_ACTIVIDADES'!$A$4:$A$26,0)),"(sin catálogo)"))</f>
        <v/>
      </c>
      <c r="AD524" s="26">
        <f>IF($J524="","",TODAY()-$J524)</f>
        <v/>
      </c>
      <c r="AE524" s="26">
        <f>IF($J524="","",IF($J524&lt;=TODAY(),COUNTIFS(cal_fechas,"&gt;="&amp;$J524,cal_fechas,"&lt;"&amp;TODAY(),cal_habil,"sí"),-COUNTIFS(cal_fechas,"&gt;="&amp;TODAY(),cal_fechas,"&lt;"&amp;$J524,cal_habil,"sí")))</f>
        <v/>
      </c>
      <c r="AF524" s="24">
        <f>IF($AE524="","",IF($AE524&lt;0,"FUTURO",IF($AE524&gt;p_dias_backlog_max,"BACKLOG","MES CORRIENTE")))</f>
        <v/>
      </c>
      <c r="AG524" s="24">
        <f>IF($AE524="",FALSE,AND($AE524&gt;p_dias_backlog_min,$AE524&lt;=p_dias_backlog_max))</f>
        <v/>
      </c>
      <c r="AH524" s="4" t="n"/>
      <c r="AI524" s="24">
        <f>IF($AH524="","",IF((IFERROR(INDEX('ASIGNACIONES'!$J$4:$J$451,MATCH($O524&amp;"|"&amp;$S524&amp;"|"&amp;$AH524,'ASIGNACIONES'!$N$4:$N$451,0)),""))=0,"",IFERROR(INDEX('ASIGNACIONES'!$J$4:$J$451,MATCH($O524&amp;"|"&amp;$S524&amp;"|"&amp;$AH524,'ASIGNACIONES'!$N$4:$N$451,0)),"")))</f>
        <v/>
      </c>
      <c r="AJ524" s="42">
        <f>IF($AH524="","",SUMIFS('ORDENES'!$M$4:$M$1203,'ORDENES'!$AH$4:$AH$1203,$AH524,'ORDENES'!$O$4:$O$1203,$O524,'ORDENES'!$S$4:$S$1203,$S524))</f>
        <v/>
      </c>
      <c r="AK524" s="42">
        <f>IF($AJ524="","",p_factor_productividad*IFERROR(INDEX('ASIGNACIONES'!$M$4:$M$451,MATCH($O524&amp;"|"&amp;$S524&amp;"|"&amp;$AH524,'ASIGNACIONES'!$N$4:$N$451,0)),0)-$AJ524)</f>
        <v/>
      </c>
      <c r="AL524" s="32">
        <f>IF($A524="","",IFERROR(INDEX('2_IMPORTAR_EJECUCION'!$F$9:$F$1208,MATCH($AU524,'2_IMPORTAR_EJECUCION'!$J$9:$J$1208,0)),0))</f>
        <v/>
      </c>
      <c r="AM524" s="32">
        <f>IF($A524="","",MAX(0,IFERROR(INDEX('2_IMPORTAR_EJECUCION'!$H$9:$H$1208,MATCH($AU524,'2_IMPORTAR_EJECUCION'!$J$9:$J$1208,0)),0)-$AL524))</f>
        <v/>
      </c>
      <c r="AN524" s="32">
        <f>IF($A524="","",$AL524+$AM524)</f>
        <v/>
      </c>
      <c r="AO524" s="24">
        <f>IF($A524="","",IF(OR((IFERROR(INDEX('CAT_ACTIVIDADES'!$D$4:$D$26,MATCH($H524,'CAT_ACTIVIDADES'!$A$4:$A$26,0)),""))=0,(IFERROR(INDEX('CAT_ACTIVIDADES'!$D$4:$D$26,MATCH($H524,'CAT_ACTIVIDADES'!$A$4:$A$26,0)),""))=""),"SIN CLASIFICAR",IFERROR(INDEX('CAT_ACTIVIDADES'!$D$4:$D$26,MATCH($H524,'CAT_ACTIVIDADES'!$A$4:$A$26,0)),"")))</f>
        <v/>
      </c>
      <c r="AP524" s="4" t="n"/>
      <c r="AQ524" s="4" t="n"/>
      <c r="AR524" s="4" t="n"/>
      <c r="AS524" s="24">
        <f>IF($AR524="","",HYPERLINK(p_ruta_base_checklists&amp;$AR524,"abrir"))</f>
        <v/>
      </c>
      <c r="AT524" s="4" t="n"/>
      <c r="AU524" s="24">
        <f>IF($A524="","",$A524&amp;IF($B524="","0010",$B524))</f>
        <v/>
      </c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41" t="n"/>
      <c r="K525" s="5" t="n"/>
      <c r="L525" s="18" t="n"/>
      <c r="M525" s="24">
        <f>IF($A525="","",IFERROR(INDEX('AJUSTES'!$B$4:$B$303,MATCH($AU525,'AJUSTES'!$A$4:$A$303,0)),IF($K525="","",$K525)))</f>
        <v/>
      </c>
      <c r="N525" s="24">
        <f>IF($A525="","",IFERROR(INDEX('CAT_ESTADOS_ERP'!$B$4:$B$22,MATCH(IFERROR(INDEX('2_IMPORTAR_EJECUCION'!$C$9:$C$1208,MATCH($AU525,'2_IMPORTAR_EJECUCION'!$J$9:$J$1208,0)),""),'CAT_ESTADOS_ERP'!$A$4:$A$22,0)),"Pendiente"))</f>
        <v/>
      </c>
      <c r="O525" s="24">
        <f>IF($J525="","",YEAR($J525+4-WEEKDAY($J525,2))&amp;"-S"&amp;TEXT(_xlfn.ISOWEEKNUM($J525),"00"))</f>
        <v/>
      </c>
      <c r="P525" s="24">
        <f>IF($J525="","",YEAR($J525))</f>
        <v/>
      </c>
      <c r="Q525" s="24">
        <f>IF($J525="","",MONTH($J525))</f>
        <v/>
      </c>
      <c r="R525" s="24">
        <f>IF($J525="","",$P525&amp;"-"&amp;TEXT($Q525,"00"))</f>
        <v/>
      </c>
      <c r="S525" s="24">
        <f>IF($J525="","",INDEX(lista_dias,WEEKDAY($J525,2)))</f>
        <v/>
      </c>
      <c r="T525" s="24">
        <f>IF($J525="","",IFERROR(INDEX('CALENDARIO'!$C$15:$C$214,MATCH(TEXT($J525,"yyyy-mm-dd")&amp;"|"&amp;$Y525&amp;"|"&amp;$Z525,'CALENDARIO'!$G$15:$G$214,0)),IFERROR(INDEX('CALENDARIO'!$C$15:$C$214,MATCH(TEXT($J525,"yyyy-mm-dd")&amp;"|"&amp;$Y525&amp;"|",'CALENDARIO'!$G$15:$G$214,0)),IFERROR(INDEX('CALENDARIO'!$C$15:$C$214,MATCH(TEXT($J525,"yyyy-mm-dd")&amp;"||",'CALENDARIO'!$G$15:$G$214,0)),INDEX(patronHabil,WEEKDAY($J525,2))))))</f>
        <v/>
      </c>
      <c r="U525" s="24">
        <f>IF($I525="","",IFERROR(INDEX('CAT_TIPOS_OT'!$C$4:$C$23,MATCH($I525,'CAT_TIPOS_OT'!$A$4:$A$23,0)),"sin_clasificar"))</f>
        <v/>
      </c>
      <c r="V525" s="24">
        <f>IF($I525="","",IF(IFERROR(INDEX('CAT_TIPOS_OT'!$D$4:$D$23,MATCH($I525,'CAT_TIPOS_OT'!$A$4:$A$23,0)),"SIN CLASIFICAR")="","SIN CLASIFICAR",IFERROR(INDEX('CAT_TIPOS_OT'!$D$4:$D$23,MATCH($I525,'CAT_TIPOS_OT'!$A$4:$A$23,0)),"SIN CLASIFICAR")))</f>
        <v/>
      </c>
      <c r="W525" s="24">
        <f>IF($H525="","",IF(IFERROR(INDEX('CAT_ACTIVIDADES'!$F$4:$F$26,MATCH($H525,'CAT_ACTIVIDADES'!$A$4:$A$26,0)),"")=0,"",IFERROR(INDEX('CAT_ACTIVIDADES'!$F$4:$F$26,MATCH($H525,'CAT_ACTIVIDADES'!$A$4:$A$26,0)),"")))</f>
        <v/>
      </c>
      <c r="X525" s="24">
        <f>IF($F525="","",IFERROR(INDEX('CAT_CENTROS_COSTO'!$F$4:$F$28,MATCH($F525,'CAT_CENTROS_COSTO'!$A$4:$A$28,0)),"(sin catálogo)"))</f>
        <v/>
      </c>
      <c r="Y525" s="24">
        <f>IF($F525="","",IFERROR(INDEX('CAT_CENTROS_COSTO'!$D$4:$D$28,MATCH($F525,'CAT_CENTROS_COSTO'!$A$4:$A$28,0)),"(sin catálogo)"))</f>
        <v/>
      </c>
      <c r="Z525" s="24">
        <f>IF($F525="","",IF((IFERROR(INDEX('CAT_CENTROS_COSTO'!$E$4:$E$28,MATCH($F525,'CAT_CENTROS_COSTO'!$A$4:$A$28,0)),""))&lt;&gt;"",IFERROR(INDEX('CAT_CENTROS_COSTO'!$E$4:$E$28,MATCH($F525,'CAT_CENTROS_COSTO'!$A$4:$A$28,0)),""),$Y525))</f>
        <v/>
      </c>
      <c r="AA525" s="24">
        <f>IF($F525="","",IFERROR(INDEX('CAT_CENTROS_COSTO'!$G$4:$G$28,MATCH($F525,'CAT_CENTROS_COSTO'!$A$4:$A$28,0)),"(sin catálogo)"))</f>
        <v/>
      </c>
      <c r="AB525" s="24">
        <f>IF($G525="","",IFERROR(INDEX('CAT_PUESTOS'!$B$4:$B$23,MATCH($G525,'CAT_PUESTOS'!$A$4:$A$23,0)),"(sin catálogo)"))</f>
        <v/>
      </c>
      <c r="AC525" s="24">
        <f>IF($H525="","",IFERROR(INDEX('CAT_ACTIVIDADES'!$B$4:$B$26,MATCH($H525,'CAT_ACTIVIDADES'!$A$4:$A$26,0)),"(sin catálogo)"))</f>
        <v/>
      </c>
      <c r="AD525" s="26">
        <f>IF($J525="","",TODAY()-$J525)</f>
        <v/>
      </c>
      <c r="AE525" s="26">
        <f>IF($J525="","",IF($J525&lt;=TODAY(),COUNTIFS(cal_fechas,"&gt;="&amp;$J525,cal_fechas,"&lt;"&amp;TODAY(),cal_habil,"sí"),-COUNTIFS(cal_fechas,"&gt;="&amp;TODAY(),cal_fechas,"&lt;"&amp;$J525,cal_habil,"sí")))</f>
        <v/>
      </c>
      <c r="AF525" s="24">
        <f>IF($AE525="","",IF($AE525&lt;0,"FUTURO",IF($AE525&gt;p_dias_backlog_max,"BACKLOG","MES CORRIENTE")))</f>
        <v/>
      </c>
      <c r="AG525" s="24">
        <f>IF($AE525="",FALSE,AND($AE525&gt;p_dias_backlog_min,$AE525&lt;=p_dias_backlog_max))</f>
        <v/>
      </c>
      <c r="AH525" s="4" t="n"/>
      <c r="AI525" s="24">
        <f>IF($AH525="","",IF((IFERROR(INDEX('ASIGNACIONES'!$J$4:$J$451,MATCH($O525&amp;"|"&amp;$S525&amp;"|"&amp;$AH525,'ASIGNACIONES'!$N$4:$N$451,0)),""))=0,"",IFERROR(INDEX('ASIGNACIONES'!$J$4:$J$451,MATCH($O525&amp;"|"&amp;$S525&amp;"|"&amp;$AH525,'ASIGNACIONES'!$N$4:$N$451,0)),"")))</f>
        <v/>
      </c>
      <c r="AJ525" s="42">
        <f>IF($AH525="","",SUMIFS('ORDENES'!$M$4:$M$1203,'ORDENES'!$AH$4:$AH$1203,$AH525,'ORDENES'!$O$4:$O$1203,$O525,'ORDENES'!$S$4:$S$1203,$S525))</f>
        <v/>
      </c>
      <c r="AK525" s="42">
        <f>IF($AJ525="","",p_factor_productividad*IFERROR(INDEX('ASIGNACIONES'!$M$4:$M$451,MATCH($O525&amp;"|"&amp;$S525&amp;"|"&amp;$AH525,'ASIGNACIONES'!$N$4:$N$451,0)),0)-$AJ525)</f>
        <v/>
      </c>
      <c r="AL525" s="32">
        <f>IF($A525="","",IFERROR(INDEX('2_IMPORTAR_EJECUCION'!$F$9:$F$1208,MATCH($AU525,'2_IMPORTAR_EJECUCION'!$J$9:$J$1208,0)),0))</f>
        <v/>
      </c>
      <c r="AM525" s="32">
        <f>IF($A525="","",MAX(0,IFERROR(INDEX('2_IMPORTAR_EJECUCION'!$H$9:$H$1208,MATCH($AU525,'2_IMPORTAR_EJECUCION'!$J$9:$J$1208,0)),0)-$AL525))</f>
        <v/>
      </c>
      <c r="AN525" s="32">
        <f>IF($A525="","",$AL525+$AM525)</f>
        <v/>
      </c>
      <c r="AO525" s="24">
        <f>IF($A525="","",IF(OR((IFERROR(INDEX('CAT_ACTIVIDADES'!$D$4:$D$26,MATCH($H525,'CAT_ACTIVIDADES'!$A$4:$A$26,0)),""))=0,(IFERROR(INDEX('CAT_ACTIVIDADES'!$D$4:$D$26,MATCH($H525,'CAT_ACTIVIDADES'!$A$4:$A$26,0)),""))=""),"SIN CLASIFICAR",IFERROR(INDEX('CAT_ACTIVIDADES'!$D$4:$D$26,MATCH($H525,'CAT_ACTIVIDADES'!$A$4:$A$26,0)),"")))</f>
        <v/>
      </c>
      <c r="AP525" s="4" t="n"/>
      <c r="AQ525" s="4" t="n"/>
      <c r="AR525" s="4" t="n"/>
      <c r="AS525" s="24">
        <f>IF($AR525="","",HYPERLINK(p_ruta_base_checklists&amp;$AR525,"abrir"))</f>
        <v/>
      </c>
      <c r="AT525" s="4" t="n"/>
      <c r="AU525" s="24">
        <f>IF($A525="","",$A525&amp;IF($B525="","0010",$B525))</f>
        <v/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41" t="n"/>
      <c r="K526" s="5" t="n"/>
      <c r="L526" s="18" t="n"/>
      <c r="M526" s="24">
        <f>IF($A526="","",IFERROR(INDEX('AJUSTES'!$B$4:$B$303,MATCH($AU526,'AJUSTES'!$A$4:$A$303,0)),IF($K526="","",$K526)))</f>
        <v/>
      </c>
      <c r="N526" s="24">
        <f>IF($A526="","",IFERROR(INDEX('CAT_ESTADOS_ERP'!$B$4:$B$22,MATCH(IFERROR(INDEX('2_IMPORTAR_EJECUCION'!$C$9:$C$1208,MATCH($AU526,'2_IMPORTAR_EJECUCION'!$J$9:$J$1208,0)),""),'CAT_ESTADOS_ERP'!$A$4:$A$22,0)),"Pendiente"))</f>
        <v/>
      </c>
      <c r="O526" s="24">
        <f>IF($J526="","",YEAR($J526+4-WEEKDAY($J526,2))&amp;"-S"&amp;TEXT(_xlfn.ISOWEEKNUM($J526),"00"))</f>
        <v/>
      </c>
      <c r="P526" s="24">
        <f>IF($J526="","",YEAR($J526))</f>
        <v/>
      </c>
      <c r="Q526" s="24">
        <f>IF($J526="","",MONTH($J526))</f>
        <v/>
      </c>
      <c r="R526" s="24">
        <f>IF($J526="","",$P526&amp;"-"&amp;TEXT($Q526,"00"))</f>
        <v/>
      </c>
      <c r="S526" s="24">
        <f>IF($J526="","",INDEX(lista_dias,WEEKDAY($J526,2)))</f>
        <v/>
      </c>
      <c r="T526" s="24">
        <f>IF($J526="","",IFERROR(INDEX('CALENDARIO'!$C$15:$C$214,MATCH(TEXT($J526,"yyyy-mm-dd")&amp;"|"&amp;$Y526&amp;"|"&amp;$Z526,'CALENDARIO'!$G$15:$G$214,0)),IFERROR(INDEX('CALENDARIO'!$C$15:$C$214,MATCH(TEXT($J526,"yyyy-mm-dd")&amp;"|"&amp;$Y526&amp;"|",'CALENDARIO'!$G$15:$G$214,0)),IFERROR(INDEX('CALENDARIO'!$C$15:$C$214,MATCH(TEXT($J526,"yyyy-mm-dd")&amp;"||",'CALENDARIO'!$G$15:$G$214,0)),INDEX(patronHabil,WEEKDAY($J526,2))))))</f>
        <v/>
      </c>
      <c r="U526" s="24">
        <f>IF($I526="","",IFERROR(INDEX('CAT_TIPOS_OT'!$C$4:$C$23,MATCH($I526,'CAT_TIPOS_OT'!$A$4:$A$23,0)),"sin_clasificar"))</f>
        <v/>
      </c>
      <c r="V526" s="24">
        <f>IF($I526="","",IF(IFERROR(INDEX('CAT_TIPOS_OT'!$D$4:$D$23,MATCH($I526,'CAT_TIPOS_OT'!$A$4:$A$23,0)),"SIN CLASIFICAR")="","SIN CLASIFICAR",IFERROR(INDEX('CAT_TIPOS_OT'!$D$4:$D$23,MATCH($I526,'CAT_TIPOS_OT'!$A$4:$A$23,0)),"SIN CLASIFICAR")))</f>
        <v/>
      </c>
      <c r="W526" s="24">
        <f>IF($H526="","",IF(IFERROR(INDEX('CAT_ACTIVIDADES'!$F$4:$F$26,MATCH($H526,'CAT_ACTIVIDADES'!$A$4:$A$26,0)),"")=0,"",IFERROR(INDEX('CAT_ACTIVIDADES'!$F$4:$F$26,MATCH($H526,'CAT_ACTIVIDADES'!$A$4:$A$26,0)),"")))</f>
        <v/>
      </c>
      <c r="X526" s="24">
        <f>IF($F526="","",IFERROR(INDEX('CAT_CENTROS_COSTO'!$F$4:$F$28,MATCH($F526,'CAT_CENTROS_COSTO'!$A$4:$A$28,0)),"(sin catálogo)"))</f>
        <v/>
      </c>
      <c r="Y526" s="24">
        <f>IF($F526="","",IFERROR(INDEX('CAT_CENTROS_COSTO'!$D$4:$D$28,MATCH($F526,'CAT_CENTROS_COSTO'!$A$4:$A$28,0)),"(sin catálogo)"))</f>
        <v/>
      </c>
      <c r="Z526" s="24">
        <f>IF($F526="","",IF((IFERROR(INDEX('CAT_CENTROS_COSTO'!$E$4:$E$28,MATCH($F526,'CAT_CENTROS_COSTO'!$A$4:$A$28,0)),""))&lt;&gt;"",IFERROR(INDEX('CAT_CENTROS_COSTO'!$E$4:$E$28,MATCH($F526,'CAT_CENTROS_COSTO'!$A$4:$A$28,0)),""),$Y526))</f>
        <v/>
      </c>
      <c r="AA526" s="24">
        <f>IF($F526="","",IFERROR(INDEX('CAT_CENTROS_COSTO'!$G$4:$G$28,MATCH($F526,'CAT_CENTROS_COSTO'!$A$4:$A$28,0)),"(sin catálogo)"))</f>
        <v/>
      </c>
      <c r="AB526" s="24">
        <f>IF($G526="","",IFERROR(INDEX('CAT_PUESTOS'!$B$4:$B$23,MATCH($G526,'CAT_PUESTOS'!$A$4:$A$23,0)),"(sin catálogo)"))</f>
        <v/>
      </c>
      <c r="AC526" s="24">
        <f>IF($H526="","",IFERROR(INDEX('CAT_ACTIVIDADES'!$B$4:$B$26,MATCH($H526,'CAT_ACTIVIDADES'!$A$4:$A$26,0)),"(sin catálogo)"))</f>
        <v/>
      </c>
      <c r="AD526" s="26">
        <f>IF($J526="","",TODAY()-$J526)</f>
        <v/>
      </c>
      <c r="AE526" s="26">
        <f>IF($J526="","",IF($J526&lt;=TODAY(),COUNTIFS(cal_fechas,"&gt;="&amp;$J526,cal_fechas,"&lt;"&amp;TODAY(),cal_habil,"sí"),-COUNTIFS(cal_fechas,"&gt;="&amp;TODAY(),cal_fechas,"&lt;"&amp;$J526,cal_habil,"sí")))</f>
        <v/>
      </c>
      <c r="AF526" s="24">
        <f>IF($AE526="","",IF($AE526&lt;0,"FUTURO",IF($AE526&gt;p_dias_backlog_max,"BACKLOG","MES CORRIENTE")))</f>
        <v/>
      </c>
      <c r="AG526" s="24">
        <f>IF($AE526="",FALSE,AND($AE526&gt;p_dias_backlog_min,$AE526&lt;=p_dias_backlog_max))</f>
        <v/>
      </c>
      <c r="AH526" s="4" t="n"/>
      <c r="AI526" s="24">
        <f>IF($AH526="","",IF((IFERROR(INDEX('ASIGNACIONES'!$J$4:$J$451,MATCH($O526&amp;"|"&amp;$S526&amp;"|"&amp;$AH526,'ASIGNACIONES'!$N$4:$N$451,0)),""))=0,"",IFERROR(INDEX('ASIGNACIONES'!$J$4:$J$451,MATCH($O526&amp;"|"&amp;$S526&amp;"|"&amp;$AH526,'ASIGNACIONES'!$N$4:$N$451,0)),"")))</f>
        <v/>
      </c>
      <c r="AJ526" s="42">
        <f>IF($AH526="","",SUMIFS('ORDENES'!$M$4:$M$1203,'ORDENES'!$AH$4:$AH$1203,$AH526,'ORDENES'!$O$4:$O$1203,$O526,'ORDENES'!$S$4:$S$1203,$S526))</f>
        <v/>
      </c>
      <c r="AK526" s="42">
        <f>IF($AJ526="","",p_factor_productividad*IFERROR(INDEX('ASIGNACIONES'!$M$4:$M$451,MATCH($O526&amp;"|"&amp;$S526&amp;"|"&amp;$AH526,'ASIGNACIONES'!$N$4:$N$451,0)),0)-$AJ526)</f>
        <v/>
      </c>
      <c r="AL526" s="32">
        <f>IF($A526="","",IFERROR(INDEX('2_IMPORTAR_EJECUCION'!$F$9:$F$1208,MATCH($AU526,'2_IMPORTAR_EJECUCION'!$J$9:$J$1208,0)),0))</f>
        <v/>
      </c>
      <c r="AM526" s="32">
        <f>IF($A526="","",MAX(0,IFERROR(INDEX('2_IMPORTAR_EJECUCION'!$H$9:$H$1208,MATCH($AU526,'2_IMPORTAR_EJECUCION'!$J$9:$J$1208,0)),0)-$AL526))</f>
        <v/>
      </c>
      <c r="AN526" s="32">
        <f>IF($A526="","",$AL526+$AM526)</f>
        <v/>
      </c>
      <c r="AO526" s="24">
        <f>IF($A526="","",IF(OR((IFERROR(INDEX('CAT_ACTIVIDADES'!$D$4:$D$26,MATCH($H526,'CAT_ACTIVIDADES'!$A$4:$A$26,0)),""))=0,(IFERROR(INDEX('CAT_ACTIVIDADES'!$D$4:$D$26,MATCH($H526,'CAT_ACTIVIDADES'!$A$4:$A$26,0)),""))=""),"SIN CLASIFICAR",IFERROR(INDEX('CAT_ACTIVIDADES'!$D$4:$D$26,MATCH($H526,'CAT_ACTIVIDADES'!$A$4:$A$26,0)),"")))</f>
        <v/>
      </c>
      <c r="AP526" s="4" t="n"/>
      <c r="AQ526" s="4" t="n"/>
      <c r="AR526" s="4" t="n"/>
      <c r="AS526" s="24">
        <f>IF($AR526="","",HYPERLINK(p_ruta_base_checklists&amp;$AR526,"abrir"))</f>
        <v/>
      </c>
      <c r="AT526" s="4" t="n"/>
      <c r="AU526" s="24">
        <f>IF($A526="","",$A526&amp;IF($B526="","0010",$B526))</f>
        <v/>
      </c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41" t="n"/>
      <c r="K527" s="5" t="n"/>
      <c r="L527" s="18" t="n"/>
      <c r="M527" s="24">
        <f>IF($A527="","",IFERROR(INDEX('AJUSTES'!$B$4:$B$303,MATCH($AU527,'AJUSTES'!$A$4:$A$303,0)),IF($K527="","",$K527)))</f>
        <v/>
      </c>
      <c r="N527" s="24">
        <f>IF($A527="","",IFERROR(INDEX('CAT_ESTADOS_ERP'!$B$4:$B$22,MATCH(IFERROR(INDEX('2_IMPORTAR_EJECUCION'!$C$9:$C$1208,MATCH($AU527,'2_IMPORTAR_EJECUCION'!$J$9:$J$1208,0)),""),'CAT_ESTADOS_ERP'!$A$4:$A$22,0)),"Pendiente"))</f>
        <v/>
      </c>
      <c r="O527" s="24">
        <f>IF($J527="","",YEAR($J527+4-WEEKDAY($J527,2))&amp;"-S"&amp;TEXT(_xlfn.ISOWEEKNUM($J527),"00"))</f>
        <v/>
      </c>
      <c r="P527" s="24">
        <f>IF($J527="","",YEAR($J527))</f>
        <v/>
      </c>
      <c r="Q527" s="24">
        <f>IF($J527="","",MONTH($J527))</f>
        <v/>
      </c>
      <c r="R527" s="24">
        <f>IF($J527="","",$P527&amp;"-"&amp;TEXT($Q527,"00"))</f>
        <v/>
      </c>
      <c r="S527" s="24">
        <f>IF($J527="","",INDEX(lista_dias,WEEKDAY($J527,2)))</f>
        <v/>
      </c>
      <c r="T527" s="24">
        <f>IF($J527="","",IFERROR(INDEX('CALENDARIO'!$C$15:$C$214,MATCH(TEXT($J527,"yyyy-mm-dd")&amp;"|"&amp;$Y527&amp;"|"&amp;$Z527,'CALENDARIO'!$G$15:$G$214,0)),IFERROR(INDEX('CALENDARIO'!$C$15:$C$214,MATCH(TEXT($J527,"yyyy-mm-dd")&amp;"|"&amp;$Y527&amp;"|",'CALENDARIO'!$G$15:$G$214,0)),IFERROR(INDEX('CALENDARIO'!$C$15:$C$214,MATCH(TEXT($J527,"yyyy-mm-dd")&amp;"||",'CALENDARIO'!$G$15:$G$214,0)),INDEX(patronHabil,WEEKDAY($J527,2))))))</f>
        <v/>
      </c>
      <c r="U527" s="24">
        <f>IF($I527="","",IFERROR(INDEX('CAT_TIPOS_OT'!$C$4:$C$23,MATCH($I527,'CAT_TIPOS_OT'!$A$4:$A$23,0)),"sin_clasificar"))</f>
        <v/>
      </c>
      <c r="V527" s="24">
        <f>IF($I527="","",IF(IFERROR(INDEX('CAT_TIPOS_OT'!$D$4:$D$23,MATCH($I527,'CAT_TIPOS_OT'!$A$4:$A$23,0)),"SIN CLASIFICAR")="","SIN CLASIFICAR",IFERROR(INDEX('CAT_TIPOS_OT'!$D$4:$D$23,MATCH($I527,'CAT_TIPOS_OT'!$A$4:$A$23,0)),"SIN CLASIFICAR")))</f>
        <v/>
      </c>
      <c r="W527" s="24">
        <f>IF($H527="","",IF(IFERROR(INDEX('CAT_ACTIVIDADES'!$F$4:$F$26,MATCH($H527,'CAT_ACTIVIDADES'!$A$4:$A$26,0)),"")=0,"",IFERROR(INDEX('CAT_ACTIVIDADES'!$F$4:$F$26,MATCH($H527,'CAT_ACTIVIDADES'!$A$4:$A$26,0)),"")))</f>
        <v/>
      </c>
      <c r="X527" s="24">
        <f>IF($F527="","",IFERROR(INDEX('CAT_CENTROS_COSTO'!$F$4:$F$28,MATCH($F527,'CAT_CENTROS_COSTO'!$A$4:$A$28,0)),"(sin catálogo)"))</f>
        <v/>
      </c>
      <c r="Y527" s="24">
        <f>IF($F527="","",IFERROR(INDEX('CAT_CENTROS_COSTO'!$D$4:$D$28,MATCH($F527,'CAT_CENTROS_COSTO'!$A$4:$A$28,0)),"(sin catálogo)"))</f>
        <v/>
      </c>
      <c r="Z527" s="24">
        <f>IF($F527="","",IF((IFERROR(INDEX('CAT_CENTROS_COSTO'!$E$4:$E$28,MATCH($F527,'CAT_CENTROS_COSTO'!$A$4:$A$28,0)),""))&lt;&gt;"",IFERROR(INDEX('CAT_CENTROS_COSTO'!$E$4:$E$28,MATCH($F527,'CAT_CENTROS_COSTO'!$A$4:$A$28,0)),""),$Y527))</f>
        <v/>
      </c>
      <c r="AA527" s="24">
        <f>IF($F527="","",IFERROR(INDEX('CAT_CENTROS_COSTO'!$G$4:$G$28,MATCH($F527,'CAT_CENTROS_COSTO'!$A$4:$A$28,0)),"(sin catálogo)"))</f>
        <v/>
      </c>
      <c r="AB527" s="24">
        <f>IF($G527="","",IFERROR(INDEX('CAT_PUESTOS'!$B$4:$B$23,MATCH($G527,'CAT_PUESTOS'!$A$4:$A$23,0)),"(sin catálogo)"))</f>
        <v/>
      </c>
      <c r="AC527" s="24">
        <f>IF($H527="","",IFERROR(INDEX('CAT_ACTIVIDADES'!$B$4:$B$26,MATCH($H527,'CAT_ACTIVIDADES'!$A$4:$A$26,0)),"(sin catálogo)"))</f>
        <v/>
      </c>
      <c r="AD527" s="26">
        <f>IF($J527="","",TODAY()-$J527)</f>
        <v/>
      </c>
      <c r="AE527" s="26">
        <f>IF($J527="","",IF($J527&lt;=TODAY(),COUNTIFS(cal_fechas,"&gt;="&amp;$J527,cal_fechas,"&lt;"&amp;TODAY(),cal_habil,"sí"),-COUNTIFS(cal_fechas,"&gt;="&amp;TODAY(),cal_fechas,"&lt;"&amp;$J527,cal_habil,"sí")))</f>
        <v/>
      </c>
      <c r="AF527" s="24">
        <f>IF($AE527="","",IF($AE527&lt;0,"FUTURO",IF($AE527&gt;p_dias_backlog_max,"BACKLOG","MES CORRIENTE")))</f>
        <v/>
      </c>
      <c r="AG527" s="24">
        <f>IF($AE527="",FALSE,AND($AE527&gt;p_dias_backlog_min,$AE527&lt;=p_dias_backlog_max))</f>
        <v/>
      </c>
      <c r="AH527" s="4" t="n"/>
      <c r="AI527" s="24">
        <f>IF($AH527="","",IF((IFERROR(INDEX('ASIGNACIONES'!$J$4:$J$451,MATCH($O527&amp;"|"&amp;$S527&amp;"|"&amp;$AH527,'ASIGNACIONES'!$N$4:$N$451,0)),""))=0,"",IFERROR(INDEX('ASIGNACIONES'!$J$4:$J$451,MATCH($O527&amp;"|"&amp;$S527&amp;"|"&amp;$AH527,'ASIGNACIONES'!$N$4:$N$451,0)),"")))</f>
        <v/>
      </c>
      <c r="AJ527" s="42">
        <f>IF($AH527="","",SUMIFS('ORDENES'!$M$4:$M$1203,'ORDENES'!$AH$4:$AH$1203,$AH527,'ORDENES'!$O$4:$O$1203,$O527,'ORDENES'!$S$4:$S$1203,$S527))</f>
        <v/>
      </c>
      <c r="AK527" s="42">
        <f>IF($AJ527="","",p_factor_productividad*IFERROR(INDEX('ASIGNACIONES'!$M$4:$M$451,MATCH($O527&amp;"|"&amp;$S527&amp;"|"&amp;$AH527,'ASIGNACIONES'!$N$4:$N$451,0)),0)-$AJ527)</f>
        <v/>
      </c>
      <c r="AL527" s="32">
        <f>IF($A527="","",IFERROR(INDEX('2_IMPORTAR_EJECUCION'!$F$9:$F$1208,MATCH($AU527,'2_IMPORTAR_EJECUCION'!$J$9:$J$1208,0)),0))</f>
        <v/>
      </c>
      <c r="AM527" s="32">
        <f>IF($A527="","",MAX(0,IFERROR(INDEX('2_IMPORTAR_EJECUCION'!$H$9:$H$1208,MATCH($AU527,'2_IMPORTAR_EJECUCION'!$J$9:$J$1208,0)),0)-$AL527))</f>
        <v/>
      </c>
      <c r="AN527" s="32">
        <f>IF($A527="","",$AL527+$AM527)</f>
        <v/>
      </c>
      <c r="AO527" s="24">
        <f>IF($A527="","",IF(OR((IFERROR(INDEX('CAT_ACTIVIDADES'!$D$4:$D$26,MATCH($H527,'CAT_ACTIVIDADES'!$A$4:$A$26,0)),""))=0,(IFERROR(INDEX('CAT_ACTIVIDADES'!$D$4:$D$26,MATCH($H527,'CAT_ACTIVIDADES'!$A$4:$A$26,0)),""))=""),"SIN CLASIFICAR",IFERROR(INDEX('CAT_ACTIVIDADES'!$D$4:$D$26,MATCH($H527,'CAT_ACTIVIDADES'!$A$4:$A$26,0)),"")))</f>
        <v/>
      </c>
      <c r="AP527" s="4" t="n"/>
      <c r="AQ527" s="4" t="n"/>
      <c r="AR527" s="4" t="n"/>
      <c r="AS527" s="24">
        <f>IF($AR527="","",HYPERLINK(p_ruta_base_checklists&amp;$AR527,"abrir"))</f>
        <v/>
      </c>
      <c r="AT527" s="4" t="n"/>
      <c r="AU527" s="24">
        <f>IF($A527="","",$A527&amp;IF($B527="","0010",$B527))</f>
        <v/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41" t="n"/>
      <c r="K528" s="5" t="n"/>
      <c r="L528" s="18" t="n"/>
      <c r="M528" s="24">
        <f>IF($A528="","",IFERROR(INDEX('AJUSTES'!$B$4:$B$303,MATCH($AU528,'AJUSTES'!$A$4:$A$303,0)),IF($K528="","",$K528)))</f>
        <v/>
      </c>
      <c r="N528" s="24">
        <f>IF($A528="","",IFERROR(INDEX('CAT_ESTADOS_ERP'!$B$4:$B$22,MATCH(IFERROR(INDEX('2_IMPORTAR_EJECUCION'!$C$9:$C$1208,MATCH($AU528,'2_IMPORTAR_EJECUCION'!$J$9:$J$1208,0)),""),'CAT_ESTADOS_ERP'!$A$4:$A$22,0)),"Pendiente"))</f>
        <v/>
      </c>
      <c r="O528" s="24">
        <f>IF($J528="","",YEAR($J528+4-WEEKDAY($J528,2))&amp;"-S"&amp;TEXT(_xlfn.ISOWEEKNUM($J528),"00"))</f>
        <v/>
      </c>
      <c r="P528" s="24">
        <f>IF($J528="","",YEAR($J528))</f>
        <v/>
      </c>
      <c r="Q528" s="24">
        <f>IF($J528="","",MONTH($J528))</f>
        <v/>
      </c>
      <c r="R528" s="24">
        <f>IF($J528="","",$P528&amp;"-"&amp;TEXT($Q528,"00"))</f>
        <v/>
      </c>
      <c r="S528" s="24">
        <f>IF($J528="","",INDEX(lista_dias,WEEKDAY($J528,2)))</f>
        <v/>
      </c>
      <c r="T528" s="24">
        <f>IF($J528="","",IFERROR(INDEX('CALENDARIO'!$C$15:$C$214,MATCH(TEXT($J528,"yyyy-mm-dd")&amp;"|"&amp;$Y528&amp;"|"&amp;$Z528,'CALENDARIO'!$G$15:$G$214,0)),IFERROR(INDEX('CALENDARIO'!$C$15:$C$214,MATCH(TEXT($J528,"yyyy-mm-dd")&amp;"|"&amp;$Y528&amp;"|",'CALENDARIO'!$G$15:$G$214,0)),IFERROR(INDEX('CALENDARIO'!$C$15:$C$214,MATCH(TEXT($J528,"yyyy-mm-dd")&amp;"||",'CALENDARIO'!$G$15:$G$214,0)),INDEX(patronHabil,WEEKDAY($J528,2))))))</f>
        <v/>
      </c>
      <c r="U528" s="24">
        <f>IF($I528="","",IFERROR(INDEX('CAT_TIPOS_OT'!$C$4:$C$23,MATCH($I528,'CAT_TIPOS_OT'!$A$4:$A$23,0)),"sin_clasificar"))</f>
        <v/>
      </c>
      <c r="V528" s="24">
        <f>IF($I528="","",IF(IFERROR(INDEX('CAT_TIPOS_OT'!$D$4:$D$23,MATCH($I528,'CAT_TIPOS_OT'!$A$4:$A$23,0)),"SIN CLASIFICAR")="","SIN CLASIFICAR",IFERROR(INDEX('CAT_TIPOS_OT'!$D$4:$D$23,MATCH($I528,'CAT_TIPOS_OT'!$A$4:$A$23,0)),"SIN CLASIFICAR")))</f>
        <v/>
      </c>
      <c r="W528" s="24">
        <f>IF($H528="","",IF(IFERROR(INDEX('CAT_ACTIVIDADES'!$F$4:$F$26,MATCH($H528,'CAT_ACTIVIDADES'!$A$4:$A$26,0)),"")=0,"",IFERROR(INDEX('CAT_ACTIVIDADES'!$F$4:$F$26,MATCH($H528,'CAT_ACTIVIDADES'!$A$4:$A$26,0)),"")))</f>
        <v/>
      </c>
      <c r="X528" s="24">
        <f>IF($F528="","",IFERROR(INDEX('CAT_CENTROS_COSTO'!$F$4:$F$28,MATCH($F528,'CAT_CENTROS_COSTO'!$A$4:$A$28,0)),"(sin catálogo)"))</f>
        <v/>
      </c>
      <c r="Y528" s="24">
        <f>IF($F528="","",IFERROR(INDEX('CAT_CENTROS_COSTO'!$D$4:$D$28,MATCH($F528,'CAT_CENTROS_COSTO'!$A$4:$A$28,0)),"(sin catálogo)"))</f>
        <v/>
      </c>
      <c r="Z528" s="24">
        <f>IF($F528="","",IF((IFERROR(INDEX('CAT_CENTROS_COSTO'!$E$4:$E$28,MATCH($F528,'CAT_CENTROS_COSTO'!$A$4:$A$28,0)),""))&lt;&gt;"",IFERROR(INDEX('CAT_CENTROS_COSTO'!$E$4:$E$28,MATCH($F528,'CAT_CENTROS_COSTO'!$A$4:$A$28,0)),""),$Y528))</f>
        <v/>
      </c>
      <c r="AA528" s="24">
        <f>IF($F528="","",IFERROR(INDEX('CAT_CENTROS_COSTO'!$G$4:$G$28,MATCH($F528,'CAT_CENTROS_COSTO'!$A$4:$A$28,0)),"(sin catálogo)"))</f>
        <v/>
      </c>
      <c r="AB528" s="24">
        <f>IF($G528="","",IFERROR(INDEX('CAT_PUESTOS'!$B$4:$B$23,MATCH($G528,'CAT_PUESTOS'!$A$4:$A$23,0)),"(sin catálogo)"))</f>
        <v/>
      </c>
      <c r="AC528" s="24">
        <f>IF($H528="","",IFERROR(INDEX('CAT_ACTIVIDADES'!$B$4:$B$26,MATCH($H528,'CAT_ACTIVIDADES'!$A$4:$A$26,0)),"(sin catálogo)"))</f>
        <v/>
      </c>
      <c r="AD528" s="26">
        <f>IF($J528="","",TODAY()-$J528)</f>
        <v/>
      </c>
      <c r="AE528" s="26">
        <f>IF($J528="","",IF($J528&lt;=TODAY(),COUNTIFS(cal_fechas,"&gt;="&amp;$J528,cal_fechas,"&lt;"&amp;TODAY(),cal_habil,"sí"),-COUNTIFS(cal_fechas,"&gt;="&amp;TODAY(),cal_fechas,"&lt;"&amp;$J528,cal_habil,"sí")))</f>
        <v/>
      </c>
      <c r="AF528" s="24">
        <f>IF($AE528="","",IF($AE528&lt;0,"FUTURO",IF($AE528&gt;p_dias_backlog_max,"BACKLOG","MES CORRIENTE")))</f>
        <v/>
      </c>
      <c r="AG528" s="24">
        <f>IF($AE528="",FALSE,AND($AE528&gt;p_dias_backlog_min,$AE528&lt;=p_dias_backlog_max))</f>
        <v/>
      </c>
      <c r="AH528" s="4" t="n"/>
      <c r="AI528" s="24">
        <f>IF($AH528="","",IF((IFERROR(INDEX('ASIGNACIONES'!$J$4:$J$451,MATCH($O528&amp;"|"&amp;$S528&amp;"|"&amp;$AH528,'ASIGNACIONES'!$N$4:$N$451,0)),""))=0,"",IFERROR(INDEX('ASIGNACIONES'!$J$4:$J$451,MATCH($O528&amp;"|"&amp;$S528&amp;"|"&amp;$AH528,'ASIGNACIONES'!$N$4:$N$451,0)),"")))</f>
        <v/>
      </c>
      <c r="AJ528" s="42">
        <f>IF($AH528="","",SUMIFS('ORDENES'!$M$4:$M$1203,'ORDENES'!$AH$4:$AH$1203,$AH528,'ORDENES'!$O$4:$O$1203,$O528,'ORDENES'!$S$4:$S$1203,$S528))</f>
        <v/>
      </c>
      <c r="AK528" s="42">
        <f>IF($AJ528="","",p_factor_productividad*IFERROR(INDEX('ASIGNACIONES'!$M$4:$M$451,MATCH($O528&amp;"|"&amp;$S528&amp;"|"&amp;$AH528,'ASIGNACIONES'!$N$4:$N$451,0)),0)-$AJ528)</f>
        <v/>
      </c>
      <c r="AL528" s="32">
        <f>IF($A528="","",IFERROR(INDEX('2_IMPORTAR_EJECUCION'!$F$9:$F$1208,MATCH($AU528,'2_IMPORTAR_EJECUCION'!$J$9:$J$1208,0)),0))</f>
        <v/>
      </c>
      <c r="AM528" s="32">
        <f>IF($A528="","",MAX(0,IFERROR(INDEX('2_IMPORTAR_EJECUCION'!$H$9:$H$1208,MATCH($AU528,'2_IMPORTAR_EJECUCION'!$J$9:$J$1208,0)),0)-$AL528))</f>
        <v/>
      </c>
      <c r="AN528" s="32">
        <f>IF($A528="","",$AL528+$AM528)</f>
        <v/>
      </c>
      <c r="AO528" s="24">
        <f>IF($A528="","",IF(OR((IFERROR(INDEX('CAT_ACTIVIDADES'!$D$4:$D$26,MATCH($H528,'CAT_ACTIVIDADES'!$A$4:$A$26,0)),""))=0,(IFERROR(INDEX('CAT_ACTIVIDADES'!$D$4:$D$26,MATCH($H528,'CAT_ACTIVIDADES'!$A$4:$A$26,0)),""))=""),"SIN CLASIFICAR",IFERROR(INDEX('CAT_ACTIVIDADES'!$D$4:$D$26,MATCH($H528,'CAT_ACTIVIDADES'!$A$4:$A$26,0)),"")))</f>
        <v/>
      </c>
      <c r="AP528" s="4" t="n"/>
      <c r="AQ528" s="4" t="n"/>
      <c r="AR528" s="4" t="n"/>
      <c r="AS528" s="24">
        <f>IF($AR528="","",HYPERLINK(p_ruta_base_checklists&amp;$AR528,"abrir"))</f>
        <v/>
      </c>
      <c r="AT528" s="4" t="n"/>
      <c r="AU528" s="24">
        <f>IF($A528="","",$A528&amp;IF($B528="","0010",$B528))</f>
        <v/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41" t="n"/>
      <c r="K529" s="5" t="n"/>
      <c r="L529" s="18" t="n"/>
      <c r="M529" s="24">
        <f>IF($A529="","",IFERROR(INDEX('AJUSTES'!$B$4:$B$303,MATCH($AU529,'AJUSTES'!$A$4:$A$303,0)),IF($K529="","",$K529)))</f>
        <v/>
      </c>
      <c r="N529" s="24">
        <f>IF($A529="","",IFERROR(INDEX('CAT_ESTADOS_ERP'!$B$4:$B$22,MATCH(IFERROR(INDEX('2_IMPORTAR_EJECUCION'!$C$9:$C$1208,MATCH($AU529,'2_IMPORTAR_EJECUCION'!$J$9:$J$1208,0)),""),'CAT_ESTADOS_ERP'!$A$4:$A$22,0)),"Pendiente"))</f>
        <v/>
      </c>
      <c r="O529" s="24">
        <f>IF($J529="","",YEAR($J529+4-WEEKDAY($J529,2))&amp;"-S"&amp;TEXT(_xlfn.ISOWEEKNUM($J529),"00"))</f>
        <v/>
      </c>
      <c r="P529" s="24">
        <f>IF($J529="","",YEAR($J529))</f>
        <v/>
      </c>
      <c r="Q529" s="24">
        <f>IF($J529="","",MONTH($J529))</f>
        <v/>
      </c>
      <c r="R529" s="24">
        <f>IF($J529="","",$P529&amp;"-"&amp;TEXT($Q529,"00"))</f>
        <v/>
      </c>
      <c r="S529" s="24">
        <f>IF($J529="","",INDEX(lista_dias,WEEKDAY($J529,2)))</f>
        <v/>
      </c>
      <c r="T529" s="24">
        <f>IF($J529="","",IFERROR(INDEX('CALENDARIO'!$C$15:$C$214,MATCH(TEXT($J529,"yyyy-mm-dd")&amp;"|"&amp;$Y529&amp;"|"&amp;$Z529,'CALENDARIO'!$G$15:$G$214,0)),IFERROR(INDEX('CALENDARIO'!$C$15:$C$214,MATCH(TEXT($J529,"yyyy-mm-dd")&amp;"|"&amp;$Y529&amp;"|",'CALENDARIO'!$G$15:$G$214,0)),IFERROR(INDEX('CALENDARIO'!$C$15:$C$214,MATCH(TEXT($J529,"yyyy-mm-dd")&amp;"||",'CALENDARIO'!$G$15:$G$214,0)),INDEX(patronHabil,WEEKDAY($J529,2))))))</f>
        <v/>
      </c>
      <c r="U529" s="24">
        <f>IF($I529="","",IFERROR(INDEX('CAT_TIPOS_OT'!$C$4:$C$23,MATCH($I529,'CAT_TIPOS_OT'!$A$4:$A$23,0)),"sin_clasificar"))</f>
        <v/>
      </c>
      <c r="V529" s="24">
        <f>IF($I529="","",IF(IFERROR(INDEX('CAT_TIPOS_OT'!$D$4:$D$23,MATCH($I529,'CAT_TIPOS_OT'!$A$4:$A$23,0)),"SIN CLASIFICAR")="","SIN CLASIFICAR",IFERROR(INDEX('CAT_TIPOS_OT'!$D$4:$D$23,MATCH($I529,'CAT_TIPOS_OT'!$A$4:$A$23,0)),"SIN CLASIFICAR")))</f>
        <v/>
      </c>
      <c r="W529" s="24">
        <f>IF($H529="","",IF(IFERROR(INDEX('CAT_ACTIVIDADES'!$F$4:$F$26,MATCH($H529,'CAT_ACTIVIDADES'!$A$4:$A$26,0)),"")=0,"",IFERROR(INDEX('CAT_ACTIVIDADES'!$F$4:$F$26,MATCH($H529,'CAT_ACTIVIDADES'!$A$4:$A$26,0)),"")))</f>
        <v/>
      </c>
      <c r="X529" s="24">
        <f>IF($F529="","",IFERROR(INDEX('CAT_CENTROS_COSTO'!$F$4:$F$28,MATCH($F529,'CAT_CENTROS_COSTO'!$A$4:$A$28,0)),"(sin catálogo)"))</f>
        <v/>
      </c>
      <c r="Y529" s="24">
        <f>IF($F529="","",IFERROR(INDEX('CAT_CENTROS_COSTO'!$D$4:$D$28,MATCH($F529,'CAT_CENTROS_COSTO'!$A$4:$A$28,0)),"(sin catálogo)"))</f>
        <v/>
      </c>
      <c r="Z529" s="24">
        <f>IF($F529="","",IF((IFERROR(INDEX('CAT_CENTROS_COSTO'!$E$4:$E$28,MATCH($F529,'CAT_CENTROS_COSTO'!$A$4:$A$28,0)),""))&lt;&gt;"",IFERROR(INDEX('CAT_CENTROS_COSTO'!$E$4:$E$28,MATCH($F529,'CAT_CENTROS_COSTO'!$A$4:$A$28,0)),""),$Y529))</f>
        <v/>
      </c>
      <c r="AA529" s="24">
        <f>IF($F529="","",IFERROR(INDEX('CAT_CENTROS_COSTO'!$G$4:$G$28,MATCH($F529,'CAT_CENTROS_COSTO'!$A$4:$A$28,0)),"(sin catálogo)"))</f>
        <v/>
      </c>
      <c r="AB529" s="24">
        <f>IF($G529="","",IFERROR(INDEX('CAT_PUESTOS'!$B$4:$B$23,MATCH($G529,'CAT_PUESTOS'!$A$4:$A$23,0)),"(sin catálogo)"))</f>
        <v/>
      </c>
      <c r="AC529" s="24">
        <f>IF($H529="","",IFERROR(INDEX('CAT_ACTIVIDADES'!$B$4:$B$26,MATCH($H529,'CAT_ACTIVIDADES'!$A$4:$A$26,0)),"(sin catálogo)"))</f>
        <v/>
      </c>
      <c r="AD529" s="26">
        <f>IF($J529="","",TODAY()-$J529)</f>
        <v/>
      </c>
      <c r="AE529" s="26">
        <f>IF($J529="","",IF($J529&lt;=TODAY(),COUNTIFS(cal_fechas,"&gt;="&amp;$J529,cal_fechas,"&lt;"&amp;TODAY(),cal_habil,"sí"),-COUNTIFS(cal_fechas,"&gt;="&amp;TODAY(),cal_fechas,"&lt;"&amp;$J529,cal_habil,"sí")))</f>
        <v/>
      </c>
      <c r="AF529" s="24">
        <f>IF($AE529="","",IF($AE529&lt;0,"FUTURO",IF($AE529&gt;p_dias_backlog_max,"BACKLOG","MES CORRIENTE")))</f>
        <v/>
      </c>
      <c r="AG529" s="24">
        <f>IF($AE529="",FALSE,AND($AE529&gt;p_dias_backlog_min,$AE529&lt;=p_dias_backlog_max))</f>
        <v/>
      </c>
      <c r="AH529" s="4" t="n"/>
      <c r="AI529" s="24">
        <f>IF($AH529="","",IF((IFERROR(INDEX('ASIGNACIONES'!$J$4:$J$451,MATCH($O529&amp;"|"&amp;$S529&amp;"|"&amp;$AH529,'ASIGNACIONES'!$N$4:$N$451,0)),""))=0,"",IFERROR(INDEX('ASIGNACIONES'!$J$4:$J$451,MATCH($O529&amp;"|"&amp;$S529&amp;"|"&amp;$AH529,'ASIGNACIONES'!$N$4:$N$451,0)),"")))</f>
        <v/>
      </c>
      <c r="AJ529" s="42">
        <f>IF($AH529="","",SUMIFS('ORDENES'!$M$4:$M$1203,'ORDENES'!$AH$4:$AH$1203,$AH529,'ORDENES'!$O$4:$O$1203,$O529,'ORDENES'!$S$4:$S$1203,$S529))</f>
        <v/>
      </c>
      <c r="AK529" s="42">
        <f>IF($AJ529="","",p_factor_productividad*IFERROR(INDEX('ASIGNACIONES'!$M$4:$M$451,MATCH($O529&amp;"|"&amp;$S529&amp;"|"&amp;$AH529,'ASIGNACIONES'!$N$4:$N$451,0)),0)-$AJ529)</f>
        <v/>
      </c>
      <c r="AL529" s="32">
        <f>IF($A529="","",IFERROR(INDEX('2_IMPORTAR_EJECUCION'!$F$9:$F$1208,MATCH($AU529,'2_IMPORTAR_EJECUCION'!$J$9:$J$1208,0)),0))</f>
        <v/>
      </c>
      <c r="AM529" s="32">
        <f>IF($A529="","",MAX(0,IFERROR(INDEX('2_IMPORTAR_EJECUCION'!$H$9:$H$1208,MATCH($AU529,'2_IMPORTAR_EJECUCION'!$J$9:$J$1208,0)),0)-$AL529))</f>
        <v/>
      </c>
      <c r="AN529" s="32">
        <f>IF($A529="","",$AL529+$AM529)</f>
        <v/>
      </c>
      <c r="AO529" s="24">
        <f>IF($A529="","",IF(OR((IFERROR(INDEX('CAT_ACTIVIDADES'!$D$4:$D$26,MATCH($H529,'CAT_ACTIVIDADES'!$A$4:$A$26,0)),""))=0,(IFERROR(INDEX('CAT_ACTIVIDADES'!$D$4:$D$26,MATCH($H529,'CAT_ACTIVIDADES'!$A$4:$A$26,0)),""))=""),"SIN CLASIFICAR",IFERROR(INDEX('CAT_ACTIVIDADES'!$D$4:$D$26,MATCH($H529,'CAT_ACTIVIDADES'!$A$4:$A$26,0)),"")))</f>
        <v/>
      </c>
      <c r="AP529" s="4" t="n"/>
      <c r="AQ529" s="4" t="n"/>
      <c r="AR529" s="4" t="n"/>
      <c r="AS529" s="24">
        <f>IF($AR529="","",HYPERLINK(p_ruta_base_checklists&amp;$AR529,"abrir"))</f>
        <v/>
      </c>
      <c r="AT529" s="4" t="n"/>
      <c r="AU529" s="24">
        <f>IF($A529="","",$A529&amp;IF($B529="","0010",$B529))</f>
        <v/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41" t="n"/>
      <c r="K530" s="5" t="n"/>
      <c r="L530" s="18" t="n"/>
      <c r="M530" s="24">
        <f>IF($A530="","",IFERROR(INDEX('AJUSTES'!$B$4:$B$303,MATCH($AU530,'AJUSTES'!$A$4:$A$303,0)),IF($K530="","",$K530)))</f>
        <v/>
      </c>
      <c r="N530" s="24">
        <f>IF($A530="","",IFERROR(INDEX('CAT_ESTADOS_ERP'!$B$4:$B$22,MATCH(IFERROR(INDEX('2_IMPORTAR_EJECUCION'!$C$9:$C$1208,MATCH($AU530,'2_IMPORTAR_EJECUCION'!$J$9:$J$1208,0)),""),'CAT_ESTADOS_ERP'!$A$4:$A$22,0)),"Pendiente"))</f>
        <v/>
      </c>
      <c r="O530" s="24">
        <f>IF($J530="","",YEAR($J530+4-WEEKDAY($J530,2))&amp;"-S"&amp;TEXT(_xlfn.ISOWEEKNUM($J530),"00"))</f>
        <v/>
      </c>
      <c r="P530" s="24">
        <f>IF($J530="","",YEAR($J530))</f>
        <v/>
      </c>
      <c r="Q530" s="24">
        <f>IF($J530="","",MONTH($J530))</f>
        <v/>
      </c>
      <c r="R530" s="24">
        <f>IF($J530="","",$P530&amp;"-"&amp;TEXT($Q530,"00"))</f>
        <v/>
      </c>
      <c r="S530" s="24">
        <f>IF($J530="","",INDEX(lista_dias,WEEKDAY($J530,2)))</f>
        <v/>
      </c>
      <c r="T530" s="24">
        <f>IF($J530="","",IFERROR(INDEX('CALENDARIO'!$C$15:$C$214,MATCH(TEXT($J530,"yyyy-mm-dd")&amp;"|"&amp;$Y530&amp;"|"&amp;$Z530,'CALENDARIO'!$G$15:$G$214,0)),IFERROR(INDEX('CALENDARIO'!$C$15:$C$214,MATCH(TEXT($J530,"yyyy-mm-dd")&amp;"|"&amp;$Y530&amp;"|",'CALENDARIO'!$G$15:$G$214,0)),IFERROR(INDEX('CALENDARIO'!$C$15:$C$214,MATCH(TEXT($J530,"yyyy-mm-dd")&amp;"||",'CALENDARIO'!$G$15:$G$214,0)),INDEX(patronHabil,WEEKDAY($J530,2))))))</f>
        <v/>
      </c>
      <c r="U530" s="24">
        <f>IF($I530="","",IFERROR(INDEX('CAT_TIPOS_OT'!$C$4:$C$23,MATCH($I530,'CAT_TIPOS_OT'!$A$4:$A$23,0)),"sin_clasificar"))</f>
        <v/>
      </c>
      <c r="V530" s="24">
        <f>IF($I530="","",IF(IFERROR(INDEX('CAT_TIPOS_OT'!$D$4:$D$23,MATCH($I530,'CAT_TIPOS_OT'!$A$4:$A$23,0)),"SIN CLASIFICAR")="","SIN CLASIFICAR",IFERROR(INDEX('CAT_TIPOS_OT'!$D$4:$D$23,MATCH($I530,'CAT_TIPOS_OT'!$A$4:$A$23,0)),"SIN CLASIFICAR")))</f>
        <v/>
      </c>
      <c r="W530" s="24">
        <f>IF($H530="","",IF(IFERROR(INDEX('CAT_ACTIVIDADES'!$F$4:$F$26,MATCH($H530,'CAT_ACTIVIDADES'!$A$4:$A$26,0)),"")=0,"",IFERROR(INDEX('CAT_ACTIVIDADES'!$F$4:$F$26,MATCH($H530,'CAT_ACTIVIDADES'!$A$4:$A$26,0)),"")))</f>
        <v/>
      </c>
      <c r="X530" s="24">
        <f>IF($F530="","",IFERROR(INDEX('CAT_CENTROS_COSTO'!$F$4:$F$28,MATCH($F530,'CAT_CENTROS_COSTO'!$A$4:$A$28,0)),"(sin catálogo)"))</f>
        <v/>
      </c>
      <c r="Y530" s="24">
        <f>IF($F530="","",IFERROR(INDEX('CAT_CENTROS_COSTO'!$D$4:$D$28,MATCH($F530,'CAT_CENTROS_COSTO'!$A$4:$A$28,0)),"(sin catálogo)"))</f>
        <v/>
      </c>
      <c r="Z530" s="24">
        <f>IF($F530="","",IF((IFERROR(INDEX('CAT_CENTROS_COSTO'!$E$4:$E$28,MATCH($F530,'CAT_CENTROS_COSTO'!$A$4:$A$28,0)),""))&lt;&gt;"",IFERROR(INDEX('CAT_CENTROS_COSTO'!$E$4:$E$28,MATCH($F530,'CAT_CENTROS_COSTO'!$A$4:$A$28,0)),""),$Y530))</f>
        <v/>
      </c>
      <c r="AA530" s="24">
        <f>IF($F530="","",IFERROR(INDEX('CAT_CENTROS_COSTO'!$G$4:$G$28,MATCH($F530,'CAT_CENTROS_COSTO'!$A$4:$A$28,0)),"(sin catálogo)"))</f>
        <v/>
      </c>
      <c r="AB530" s="24">
        <f>IF($G530="","",IFERROR(INDEX('CAT_PUESTOS'!$B$4:$B$23,MATCH($G530,'CAT_PUESTOS'!$A$4:$A$23,0)),"(sin catálogo)"))</f>
        <v/>
      </c>
      <c r="AC530" s="24">
        <f>IF($H530="","",IFERROR(INDEX('CAT_ACTIVIDADES'!$B$4:$B$26,MATCH($H530,'CAT_ACTIVIDADES'!$A$4:$A$26,0)),"(sin catálogo)"))</f>
        <v/>
      </c>
      <c r="AD530" s="26">
        <f>IF($J530="","",TODAY()-$J530)</f>
        <v/>
      </c>
      <c r="AE530" s="26">
        <f>IF($J530="","",IF($J530&lt;=TODAY(),COUNTIFS(cal_fechas,"&gt;="&amp;$J530,cal_fechas,"&lt;"&amp;TODAY(),cal_habil,"sí"),-COUNTIFS(cal_fechas,"&gt;="&amp;TODAY(),cal_fechas,"&lt;"&amp;$J530,cal_habil,"sí")))</f>
        <v/>
      </c>
      <c r="AF530" s="24">
        <f>IF($AE530="","",IF($AE530&lt;0,"FUTURO",IF($AE530&gt;p_dias_backlog_max,"BACKLOG","MES CORRIENTE")))</f>
        <v/>
      </c>
      <c r="AG530" s="24">
        <f>IF($AE530="",FALSE,AND($AE530&gt;p_dias_backlog_min,$AE530&lt;=p_dias_backlog_max))</f>
        <v/>
      </c>
      <c r="AH530" s="4" t="n"/>
      <c r="AI530" s="24">
        <f>IF($AH530="","",IF((IFERROR(INDEX('ASIGNACIONES'!$J$4:$J$451,MATCH($O530&amp;"|"&amp;$S530&amp;"|"&amp;$AH530,'ASIGNACIONES'!$N$4:$N$451,0)),""))=0,"",IFERROR(INDEX('ASIGNACIONES'!$J$4:$J$451,MATCH($O530&amp;"|"&amp;$S530&amp;"|"&amp;$AH530,'ASIGNACIONES'!$N$4:$N$451,0)),"")))</f>
        <v/>
      </c>
      <c r="AJ530" s="42">
        <f>IF($AH530="","",SUMIFS('ORDENES'!$M$4:$M$1203,'ORDENES'!$AH$4:$AH$1203,$AH530,'ORDENES'!$O$4:$O$1203,$O530,'ORDENES'!$S$4:$S$1203,$S530))</f>
        <v/>
      </c>
      <c r="AK530" s="42">
        <f>IF($AJ530="","",p_factor_productividad*IFERROR(INDEX('ASIGNACIONES'!$M$4:$M$451,MATCH($O530&amp;"|"&amp;$S530&amp;"|"&amp;$AH530,'ASIGNACIONES'!$N$4:$N$451,0)),0)-$AJ530)</f>
        <v/>
      </c>
      <c r="AL530" s="32">
        <f>IF($A530="","",IFERROR(INDEX('2_IMPORTAR_EJECUCION'!$F$9:$F$1208,MATCH($AU530,'2_IMPORTAR_EJECUCION'!$J$9:$J$1208,0)),0))</f>
        <v/>
      </c>
      <c r="AM530" s="32">
        <f>IF($A530="","",MAX(0,IFERROR(INDEX('2_IMPORTAR_EJECUCION'!$H$9:$H$1208,MATCH($AU530,'2_IMPORTAR_EJECUCION'!$J$9:$J$1208,0)),0)-$AL530))</f>
        <v/>
      </c>
      <c r="AN530" s="32">
        <f>IF($A530="","",$AL530+$AM530)</f>
        <v/>
      </c>
      <c r="AO530" s="24">
        <f>IF($A530="","",IF(OR((IFERROR(INDEX('CAT_ACTIVIDADES'!$D$4:$D$26,MATCH($H530,'CAT_ACTIVIDADES'!$A$4:$A$26,0)),""))=0,(IFERROR(INDEX('CAT_ACTIVIDADES'!$D$4:$D$26,MATCH($H530,'CAT_ACTIVIDADES'!$A$4:$A$26,0)),""))=""),"SIN CLASIFICAR",IFERROR(INDEX('CAT_ACTIVIDADES'!$D$4:$D$26,MATCH($H530,'CAT_ACTIVIDADES'!$A$4:$A$26,0)),"")))</f>
        <v/>
      </c>
      <c r="AP530" s="4" t="n"/>
      <c r="AQ530" s="4" t="n"/>
      <c r="AR530" s="4" t="n"/>
      <c r="AS530" s="24">
        <f>IF($AR530="","",HYPERLINK(p_ruta_base_checklists&amp;$AR530,"abrir"))</f>
        <v/>
      </c>
      <c r="AT530" s="4" t="n"/>
      <c r="AU530" s="24">
        <f>IF($A530="","",$A530&amp;IF($B530="","0010",$B530))</f>
        <v/>
      </c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41" t="n"/>
      <c r="K531" s="5" t="n"/>
      <c r="L531" s="18" t="n"/>
      <c r="M531" s="24">
        <f>IF($A531="","",IFERROR(INDEX('AJUSTES'!$B$4:$B$303,MATCH($AU531,'AJUSTES'!$A$4:$A$303,0)),IF($K531="","",$K531)))</f>
        <v/>
      </c>
      <c r="N531" s="24">
        <f>IF($A531="","",IFERROR(INDEX('CAT_ESTADOS_ERP'!$B$4:$B$22,MATCH(IFERROR(INDEX('2_IMPORTAR_EJECUCION'!$C$9:$C$1208,MATCH($AU531,'2_IMPORTAR_EJECUCION'!$J$9:$J$1208,0)),""),'CAT_ESTADOS_ERP'!$A$4:$A$22,0)),"Pendiente"))</f>
        <v/>
      </c>
      <c r="O531" s="24">
        <f>IF($J531="","",YEAR($J531+4-WEEKDAY($J531,2))&amp;"-S"&amp;TEXT(_xlfn.ISOWEEKNUM($J531),"00"))</f>
        <v/>
      </c>
      <c r="P531" s="24">
        <f>IF($J531="","",YEAR($J531))</f>
        <v/>
      </c>
      <c r="Q531" s="24">
        <f>IF($J531="","",MONTH($J531))</f>
        <v/>
      </c>
      <c r="R531" s="24">
        <f>IF($J531="","",$P531&amp;"-"&amp;TEXT($Q531,"00"))</f>
        <v/>
      </c>
      <c r="S531" s="24">
        <f>IF($J531="","",INDEX(lista_dias,WEEKDAY($J531,2)))</f>
        <v/>
      </c>
      <c r="T531" s="24">
        <f>IF($J531="","",IFERROR(INDEX('CALENDARIO'!$C$15:$C$214,MATCH(TEXT($J531,"yyyy-mm-dd")&amp;"|"&amp;$Y531&amp;"|"&amp;$Z531,'CALENDARIO'!$G$15:$G$214,0)),IFERROR(INDEX('CALENDARIO'!$C$15:$C$214,MATCH(TEXT($J531,"yyyy-mm-dd")&amp;"|"&amp;$Y531&amp;"|",'CALENDARIO'!$G$15:$G$214,0)),IFERROR(INDEX('CALENDARIO'!$C$15:$C$214,MATCH(TEXT($J531,"yyyy-mm-dd")&amp;"||",'CALENDARIO'!$G$15:$G$214,0)),INDEX(patronHabil,WEEKDAY($J531,2))))))</f>
        <v/>
      </c>
      <c r="U531" s="24">
        <f>IF($I531="","",IFERROR(INDEX('CAT_TIPOS_OT'!$C$4:$C$23,MATCH($I531,'CAT_TIPOS_OT'!$A$4:$A$23,0)),"sin_clasificar"))</f>
        <v/>
      </c>
      <c r="V531" s="24">
        <f>IF($I531="","",IF(IFERROR(INDEX('CAT_TIPOS_OT'!$D$4:$D$23,MATCH($I531,'CAT_TIPOS_OT'!$A$4:$A$23,0)),"SIN CLASIFICAR")="","SIN CLASIFICAR",IFERROR(INDEX('CAT_TIPOS_OT'!$D$4:$D$23,MATCH($I531,'CAT_TIPOS_OT'!$A$4:$A$23,0)),"SIN CLASIFICAR")))</f>
        <v/>
      </c>
      <c r="W531" s="24">
        <f>IF($H531="","",IF(IFERROR(INDEX('CAT_ACTIVIDADES'!$F$4:$F$26,MATCH($H531,'CAT_ACTIVIDADES'!$A$4:$A$26,0)),"")=0,"",IFERROR(INDEX('CAT_ACTIVIDADES'!$F$4:$F$26,MATCH($H531,'CAT_ACTIVIDADES'!$A$4:$A$26,0)),"")))</f>
        <v/>
      </c>
      <c r="X531" s="24">
        <f>IF($F531="","",IFERROR(INDEX('CAT_CENTROS_COSTO'!$F$4:$F$28,MATCH($F531,'CAT_CENTROS_COSTO'!$A$4:$A$28,0)),"(sin catálogo)"))</f>
        <v/>
      </c>
      <c r="Y531" s="24">
        <f>IF($F531="","",IFERROR(INDEX('CAT_CENTROS_COSTO'!$D$4:$D$28,MATCH($F531,'CAT_CENTROS_COSTO'!$A$4:$A$28,0)),"(sin catálogo)"))</f>
        <v/>
      </c>
      <c r="Z531" s="24">
        <f>IF($F531="","",IF((IFERROR(INDEX('CAT_CENTROS_COSTO'!$E$4:$E$28,MATCH($F531,'CAT_CENTROS_COSTO'!$A$4:$A$28,0)),""))&lt;&gt;"",IFERROR(INDEX('CAT_CENTROS_COSTO'!$E$4:$E$28,MATCH($F531,'CAT_CENTROS_COSTO'!$A$4:$A$28,0)),""),$Y531))</f>
        <v/>
      </c>
      <c r="AA531" s="24">
        <f>IF($F531="","",IFERROR(INDEX('CAT_CENTROS_COSTO'!$G$4:$G$28,MATCH($F531,'CAT_CENTROS_COSTO'!$A$4:$A$28,0)),"(sin catálogo)"))</f>
        <v/>
      </c>
      <c r="AB531" s="24">
        <f>IF($G531="","",IFERROR(INDEX('CAT_PUESTOS'!$B$4:$B$23,MATCH($G531,'CAT_PUESTOS'!$A$4:$A$23,0)),"(sin catálogo)"))</f>
        <v/>
      </c>
      <c r="AC531" s="24">
        <f>IF($H531="","",IFERROR(INDEX('CAT_ACTIVIDADES'!$B$4:$B$26,MATCH($H531,'CAT_ACTIVIDADES'!$A$4:$A$26,0)),"(sin catálogo)"))</f>
        <v/>
      </c>
      <c r="AD531" s="26">
        <f>IF($J531="","",TODAY()-$J531)</f>
        <v/>
      </c>
      <c r="AE531" s="26">
        <f>IF($J531="","",IF($J531&lt;=TODAY(),COUNTIFS(cal_fechas,"&gt;="&amp;$J531,cal_fechas,"&lt;"&amp;TODAY(),cal_habil,"sí"),-COUNTIFS(cal_fechas,"&gt;="&amp;TODAY(),cal_fechas,"&lt;"&amp;$J531,cal_habil,"sí")))</f>
        <v/>
      </c>
      <c r="AF531" s="24">
        <f>IF($AE531="","",IF($AE531&lt;0,"FUTURO",IF($AE531&gt;p_dias_backlog_max,"BACKLOG","MES CORRIENTE")))</f>
        <v/>
      </c>
      <c r="AG531" s="24">
        <f>IF($AE531="",FALSE,AND($AE531&gt;p_dias_backlog_min,$AE531&lt;=p_dias_backlog_max))</f>
        <v/>
      </c>
      <c r="AH531" s="4" t="n"/>
      <c r="AI531" s="24">
        <f>IF($AH531="","",IF((IFERROR(INDEX('ASIGNACIONES'!$J$4:$J$451,MATCH($O531&amp;"|"&amp;$S531&amp;"|"&amp;$AH531,'ASIGNACIONES'!$N$4:$N$451,0)),""))=0,"",IFERROR(INDEX('ASIGNACIONES'!$J$4:$J$451,MATCH($O531&amp;"|"&amp;$S531&amp;"|"&amp;$AH531,'ASIGNACIONES'!$N$4:$N$451,0)),"")))</f>
        <v/>
      </c>
      <c r="AJ531" s="42">
        <f>IF($AH531="","",SUMIFS('ORDENES'!$M$4:$M$1203,'ORDENES'!$AH$4:$AH$1203,$AH531,'ORDENES'!$O$4:$O$1203,$O531,'ORDENES'!$S$4:$S$1203,$S531))</f>
        <v/>
      </c>
      <c r="AK531" s="42">
        <f>IF($AJ531="","",p_factor_productividad*IFERROR(INDEX('ASIGNACIONES'!$M$4:$M$451,MATCH($O531&amp;"|"&amp;$S531&amp;"|"&amp;$AH531,'ASIGNACIONES'!$N$4:$N$451,0)),0)-$AJ531)</f>
        <v/>
      </c>
      <c r="AL531" s="32">
        <f>IF($A531="","",IFERROR(INDEX('2_IMPORTAR_EJECUCION'!$F$9:$F$1208,MATCH($AU531,'2_IMPORTAR_EJECUCION'!$J$9:$J$1208,0)),0))</f>
        <v/>
      </c>
      <c r="AM531" s="32">
        <f>IF($A531="","",MAX(0,IFERROR(INDEX('2_IMPORTAR_EJECUCION'!$H$9:$H$1208,MATCH($AU531,'2_IMPORTAR_EJECUCION'!$J$9:$J$1208,0)),0)-$AL531))</f>
        <v/>
      </c>
      <c r="AN531" s="32">
        <f>IF($A531="","",$AL531+$AM531)</f>
        <v/>
      </c>
      <c r="AO531" s="24">
        <f>IF($A531="","",IF(OR((IFERROR(INDEX('CAT_ACTIVIDADES'!$D$4:$D$26,MATCH($H531,'CAT_ACTIVIDADES'!$A$4:$A$26,0)),""))=0,(IFERROR(INDEX('CAT_ACTIVIDADES'!$D$4:$D$26,MATCH($H531,'CAT_ACTIVIDADES'!$A$4:$A$26,0)),""))=""),"SIN CLASIFICAR",IFERROR(INDEX('CAT_ACTIVIDADES'!$D$4:$D$26,MATCH($H531,'CAT_ACTIVIDADES'!$A$4:$A$26,0)),"")))</f>
        <v/>
      </c>
      <c r="AP531" s="4" t="n"/>
      <c r="AQ531" s="4" t="n"/>
      <c r="AR531" s="4" t="n"/>
      <c r="AS531" s="24">
        <f>IF($AR531="","",HYPERLINK(p_ruta_base_checklists&amp;$AR531,"abrir"))</f>
        <v/>
      </c>
      <c r="AT531" s="4" t="n"/>
      <c r="AU531" s="24">
        <f>IF($A531="","",$A531&amp;IF($B531="","0010",$B531))</f>
        <v/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41" t="n"/>
      <c r="K532" s="5" t="n"/>
      <c r="L532" s="18" t="n"/>
      <c r="M532" s="24">
        <f>IF($A532="","",IFERROR(INDEX('AJUSTES'!$B$4:$B$303,MATCH($AU532,'AJUSTES'!$A$4:$A$303,0)),IF($K532="","",$K532)))</f>
        <v/>
      </c>
      <c r="N532" s="24">
        <f>IF($A532="","",IFERROR(INDEX('CAT_ESTADOS_ERP'!$B$4:$B$22,MATCH(IFERROR(INDEX('2_IMPORTAR_EJECUCION'!$C$9:$C$1208,MATCH($AU532,'2_IMPORTAR_EJECUCION'!$J$9:$J$1208,0)),""),'CAT_ESTADOS_ERP'!$A$4:$A$22,0)),"Pendiente"))</f>
        <v/>
      </c>
      <c r="O532" s="24">
        <f>IF($J532="","",YEAR($J532+4-WEEKDAY($J532,2))&amp;"-S"&amp;TEXT(_xlfn.ISOWEEKNUM($J532),"00"))</f>
        <v/>
      </c>
      <c r="P532" s="24">
        <f>IF($J532="","",YEAR($J532))</f>
        <v/>
      </c>
      <c r="Q532" s="24">
        <f>IF($J532="","",MONTH($J532))</f>
        <v/>
      </c>
      <c r="R532" s="24">
        <f>IF($J532="","",$P532&amp;"-"&amp;TEXT($Q532,"00"))</f>
        <v/>
      </c>
      <c r="S532" s="24">
        <f>IF($J532="","",INDEX(lista_dias,WEEKDAY($J532,2)))</f>
        <v/>
      </c>
      <c r="T532" s="24">
        <f>IF($J532="","",IFERROR(INDEX('CALENDARIO'!$C$15:$C$214,MATCH(TEXT($J532,"yyyy-mm-dd")&amp;"|"&amp;$Y532&amp;"|"&amp;$Z532,'CALENDARIO'!$G$15:$G$214,0)),IFERROR(INDEX('CALENDARIO'!$C$15:$C$214,MATCH(TEXT($J532,"yyyy-mm-dd")&amp;"|"&amp;$Y532&amp;"|",'CALENDARIO'!$G$15:$G$214,0)),IFERROR(INDEX('CALENDARIO'!$C$15:$C$214,MATCH(TEXT($J532,"yyyy-mm-dd")&amp;"||",'CALENDARIO'!$G$15:$G$214,0)),INDEX(patronHabil,WEEKDAY($J532,2))))))</f>
        <v/>
      </c>
      <c r="U532" s="24">
        <f>IF($I532="","",IFERROR(INDEX('CAT_TIPOS_OT'!$C$4:$C$23,MATCH($I532,'CAT_TIPOS_OT'!$A$4:$A$23,0)),"sin_clasificar"))</f>
        <v/>
      </c>
      <c r="V532" s="24">
        <f>IF($I532="","",IF(IFERROR(INDEX('CAT_TIPOS_OT'!$D$4:$D$23,MATCH($I532,'CAT_TIPOS_OT'!$A$4:$A$23,0)),"SIN CLASIFICAR")="","SIN CLASIFICAR",IFERROR(INDEX('CAT_TIPOS_OT'!$D$4:$D$23,MATCH($I532,'CAT_TIPOS_OT'!$A$4:$A$23,0)),"SIN CLASIFICAR")))</f>
        <v/>
      </c>
      <c r="W532" s="24">
        <f>IF($H532="","",IF(IFERROR(INDEX('CAT_ACTIVIDADES'!$F$4:$F$26,MATCH($H532,'CAT_ACTIVIDADES'!$A$4:$A$26,0)),"")=0,"",IFERROR(INDEX('CAT_ACTIVIDADES'!$F$4:$F$26,MATCH($H532,'CAT_ACTIVIDADES'!$A$4:$A$26,0)),"")))</f>
        <v/>
      </c>
      <c r="X532" s="24">
        <f>IF($F532="","",IFERROR(INDEX('CAT_CENTROS_COSTO'!$F$4:$F$28,MATCH($F532,'CAT_CENTROS_COSTO'!$A$4:$A$28,0)),"(sin catálogo)"))</f>
        <v/>
      </c>
      <c r="Y532" s="24">
        <f>IF($F532="","",IFERROR(INDEX('CAT_CENTROS_COSTO'!$D$4:$D$28,MATCH($F532,'CAT_CENTROS_COSTO'!$A$4:$A$28,0)),"(sin catálogo)"))</f>
        <v/>
      </c>
      <c r="Z532" s="24">
        <f>IF($F532="","",IF((IFERROR(INDEX('CAT_CENTROS_COSTO'!$E$4:$E$28,MATCH($F532,'CAT_CENTROS_COSTO'!$A$4:$A$28,0)),""))&lt;&gt;"",IFERROR(INDEX('CAT_CENTROS_COSTO'!$E$4:$E$28,MATCH($F532,'CAT_CENTROS_COSTO'!$A$4:$A$28,0)),""),$Y532))</f>
        <v/>
      </c>
      <c r="AA532" s="24">
        <f>IF($F532="","",IFERROR(INDEX('CAT_CENTROS_COSTO'!$G$4:$G$28,MATCH($F532,'CAT_CENTROS_COSTO'!$A$4:$A$28,0)),"(sin catálogo)"))</f>
        <v/>
      </c>
      <c r="AB532" s="24">
        <f>IF($G532="","",IFERROR(INDEX('CAT_PUESTOS'!$B$4:$B$23,MATCH($G532,'CAT_PUESTOS'!$A$4:$A$23,0)),"(sin catálogo)"))</f>
        <v/>
      </c>
      <c r="AC532" s="24">
        <f>IF($H532="","",IFERROR(INDEX('CAT_ACTIVIDADES'!$B$4:$B$26,MATCH($H532,'CAT_ACTIVIDADES'!$A$4:$A$26,0)),"(sin catálogo)"))</f>
        <v/>
      </c>
      <c r="AD532" s="26">
        <f>IF($J532="","",TODAY()-$J532)</f>
        <v/>
      </c>
      <c r="AE532" s="26">
        <f>IF($J532="","",IF($J532&lt;=TODAY(),COUNTIFS(cal_fechas,"&gt;="&amp;$J532,cal_fechas,"&lt;"&amp;TODAY(),cal_habil,"sí"),-COUNTIFS(cal_fechas,"&gt;="&amp;TODAY(),cal_fechas,"&lt;"&amp;$J532,cal_habil,"sí")))</f>
        <v/>
      </c>
      <c r="AF532" s="24">
        <f>IF($AE532="","",IF($AE532&lt;0,"FUTURO",IF($AE532&gt;p_dias_backlog_max,"BACKLOG","MES CORRIENTE")))</f>
        <v/>
      </c>
      <c r="AG532" s="24">
        <f>IF($AE532="",FALSE,AND($AE532&gt;p_dias_backlog_min,$AE532&lt;=p_dias_backlog_max))</f>
        <v/>
      </c>
      <c r="AH532" s="4" t="n"/>
      <c r="AI532" s="24">
        <f>IF($AH532="","",IF((IFERROR(INDEX('ASIGNACIONES'!$J$4:$J$451,MATCH($O532&amp;"|"&amp;$S532&amp;"|"&amp;$AH532,'ASIGNACIONES'!$N$4:$N$451,0)),""))=0,"",IFERROR(INDEX('ASIGNACIONES'!$J$4:$J$451,MATCH($O532&amp;"|"&amp;$S532&amp;"|"&amp;$AH532,'ASIGNACIONES'!$N$4:$N$451,0)),"")))</f>
        <v/>
      </c>
      <c r="AJ532" s="42">
        <f>IF($AH532="","",SUMIFS('ORDENES'!$M$4:$M$1203,'ORDENES'!$AH$4:$AH$1203,$AH532,'ORDENES'!$O$4:$O$1203,$O532,'ORDENES'!$S$4:$S$1203,$S532))</f>
        <v/>
      </c>
      <c r="AK532" s="42">
        <f>IF($AJ532="","",p_factor_productividad*IFERROR(INDEX('ASIGNACIONES'!$M$4:$M$451,MATCH($O532&amp;"|"&amp;$S532&amp;"|"&amp;$AH532,'ASIGNACIONES'!$N$4:$N$451,0)),0)-$AJ532)</f>
        <v/>
      </c>
      <c r="AL532" s="32">
        <f>IF($A532="","",IFERROR(INDEX('2_IMPORTAR_EJECUCION'!$F$9:$F$1208,MATCH($AU532,'2_IMPORTAR_EJECUCION'!$J$9:$J$1208,0)),0))</f>
        <v/>
      </c>
      <c r="AM532" s="32">
        <f>IF($A532="","",MAX(0,IFERROR(INDEX('2_IMPORTAR_EJECUCION'!$H$9:$H$1208,MATCH($AU532,'2_IMPORTAR_EJECUCION'!$J$9:$J$1208,0)),0)-$AL532))</f>
        <v/>
      </c>
      <c r="AN532" s="32">
        <f>IF($A532="","",$AL532+$AM532)</f>
        <v/>
      </c>
      <c r="AO532" s="24">
        <f>IF($A532="","",IF(OR((IFERROR(INDEX('CAT_ACTIVIDADES'!$D$4:$D$26,MATCH($H532,'CAT_ACTIVIDADES'!$A$4:$A$26,0)),""))=0,(IFERROR(INDEX('CAT_ACTIVIDADES'!$D$4:$D$26,MATCH($H532,'CAT_ACTIVIDADES'!$A$4:$A$26,0)),""))=""),"SIN CLASIFICAR",IFERROR(INDEX('CAT_ACTIVIDADES'!$D$4:$D$26,MATCH($H532,'CAT_ACTIVIDADES'!$A$4:$A$26,0)),"")))</f>
        <v/>
      </c>
      <c r="AP532" s="4" t="n"/>
      <c r="AQ532" s="4" t="n"/>
      <c r="AR532" s="4" t="n"/>
      <c r="AS532" s="24">
        <f>IF($AR532="","",HYPERLINK(p_ruta_base_checklists&amp;$AR532,"abrir"))</f>
        <v/>
      </c>
      <c r="AT532" s="4" t="n"/>
      <c r="AU532" s="24">
        <f>IF($A532="","",$A532&amp;IF($B532="","0010",$B532))</f>
        <v/>
      </c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41" t="n"/>
      <c r="K533" s="5" t="n"/>
      <c r="L533" s="18" t="n"/>
      <c r="M533" s="24">
        <f>IF($A533="","",IFERROR(INDEX('AJUSTES'!$B$4:$B$303,MATCH($AU533,'AJUSTES'!$A$4:$A$303,0)),IF($K533="","",$K533)))</f>
        <v/>
      </c>
      <c r="N533" s="24">
        <f>IF($A533="","",IFERROR(INDEX('CAT_ESTADOS_ERP'!$B$4:$B$22,MATCH(IFERROR(INDEX('2_IMPORTAR_EJECUCION'!$C$9:$C$1208,MATCH($AU533,'2_IMPORTAR_EJECUCION'!$J$9:$J$1208,0)),""),'CAT_ESTADOS_ERP'!$A$4:$A$22,0)),"Pendiente"))</f>
        <v/>
      </c>
      <c r="O533" s="24">
        <f>IF($J533="","",YEAR($J533+4-WEEKDAY($J533,2))&amp;"-S"&amp;TEXT(_xlfn.ISOWEEKNUM($J533),"00"))</f>
        <v/>
      </c>
      <c r="P533" s="24">
        <f>IF($J533="","",YEAR($J533))</f>
        <v/>
      </c>
      <c r="Q533" s="24">
        <f>IF($J533="","",MONTH($J533))</f>
        <v/>
      </c>
      <c r="R533" s="24">
        <f>IF($J533="","",$P533&amp;"-"&amp;TEXT($Q533,"00"))</f>
        <v/>
      </c>
      <c r="S533" s="24">
        <f>IF($J533="","",INDEX(lista_dias,WEEKDAY($J533,2)))</f>
        <v/>
      </c>
      <c r="T533" s="24">
        <f>IF($J533="","",IFERROR(INDEX('CALENDARIO'!$C$15:$C$214,MATCH(TEXT($J533,"yyyy-mm-dd")&amp;"|"&amp;$Y533&amp;"|"&amp;$Z533,'CALENDARIO'!$G$15:$G$214,0)),IFERROR(INDEX('CALENDARIO'!$C$15:$C$214,MATCH(TEXT($J533,"yyyy-mm-dd")&amp;"|"&amp;$Y533&amp;"|",'CALENDARIO'!$G$15:$G$214,0)),IFERROR(INDEX('CALENDARIO'!$C$15:$C$214,MATCH(TEXT($J533,"yyyy-mm-dd")&amp;"||",'CALENDARIO'!$G$15:$G$214,0)),INDEX(patronHabil,WEEKDAY($J533,2))))))</f>
        <v/>
      </c>
      <c r="U533" s="24">
        <f>IF($I533="","",IFERROR(INDEX('CAT_TIPOS_OT'!$C$4:$C$23,MATCH($I533,'CAT_TIPOS_OT'!$A$4:$A$23,0)),"sin_clasificar"))</f>
        <v/>
      </c>
      <c r="V533" s="24">
        <f>IF($I533="","",IF(IFERROR(INDEX('CAT_TIPOS_OT'!$D$4:$D$23,MATCH($I533,'CAT_TIPOS_OT'!$A$4:$A$23,0)),"SIN CLASIFICAR")="","SIN CLASIFICAR",IFERROR(INDEX('CAT_TIPOS_OT'!$D$4:$D$23,MATCH($I533,'CAT_TIPOS_OT'!$A$4:$A$23,0)),"SIN CLASIFICAR")))</f>
        <v/>
      </c>
      <c r="W533" s="24">
        <f>IF($H533="","",IF(IFERROR(INDEX('CAT_ACTIVIDADES'!$F$4:$F$26,MATCH($H533,'CAT_ACTIVIDADES'!$A$4:$A$26,0)),"")=0,"",IFERROR(INDEX('CAT_ACTIVIDADES'!$F$4:$F$26,MATCH($H533,'CAT_ACTIVIDADES'!$A$4:$A$26,0)),"")))</f>
        <v/>
      </c>
      <c r="X533" s="24">
        <f>IF($F533="","",IFERROR(INDEX('CAT_CENTROS_COSTO'!$F$4:$F$28,MATCH($F533,'CAT_CENTROS_COSTO'!$A$4:$A$28,0)),"(sin catálogo)"))</f>
        <v/>
      </c>
      <c r="Y533" s="24">
        <f>IF($F533="","",IFERROR(INDEX('CAT_CENTROS_COSTO'!$D$4:$D$28,MATCH($F533,'CAT_CENTROS_COSTO'!$A$4:$A$28,0)),"(sin catálogo)"))</f>
        <v/>
      </c>
      <c r="Z533" s="24">
        <f>IF($F533="","",IF((IFERROR(INDEX('CAT_CENTROS_COSTO'!$E$4:$E$28,MATCH($F533,'CAT_CENTROS_COSTO'!$A$4:$A$28,0)),""))&lt;&gt;"",IFERROR(INDEX('CAT_CENTROS_COSTO'!$E$4:$E$28,MATCH($F533,'CAT_CENTROS_COSTO'!$A$4:$A$28,0)),""),$Y533))</f>
        <v/>
      </c>
      <c r="AA533" s="24">
        <f>IF($F533="","",IFERROR(INDEX('CAT_CENTROS_COSTO'!$G$4:$G$28,MATCH($F533,'CAT_CENTROS_COSTO'!$A$4:$A$28,0)),"(sin catálogo)"))</f>
        <v/>
      </c>
      <c r="AB533" s="24">
        <f>IF($G533="","",IFERROR(INDEX('CAT_PUESTOS'!$B$4:$B$23,MATCH($G533,'CAT_PUESTOS'!$A$4:$A$23,0)),"(sin catálogo)"))</f>
        <v/>
      </c>
      <c r="AC533" s="24">
        <f>IF($H533="","",IFERROR(INDEX('CAT_ACTIVIDADES'!$B$4:$B$26,MATCH($H533,'CAT_ACTIVIDADES'!$A$4:$A$26,0)),"(sin catálogo)"))</f>
        <v/>
      </c>
      <c r="AD533" s="26">
        <f>IF($J533="","",TODAY()-$J533)</f>
        <v/>
      </c>
      <c r="AE533" s="26">
        <f>IF($J533="","",IF($J533&lt;=TODAY(),COUNTIFS(cal_fechas,"&gt;="&amp;$J533,cal_fechas,"&lt;"&amp;TODAY(),cal_habil,"sí"),-COUNTIFS(cal_fechas,"&gt;="&amp;TODAY(),cal_fechas,"&lt;"&amp;$J533,cal_habil,"sí")))</f>
        <v/>
      </c>
      <c r="AF533" s="24">
        <f>IF($AE533="","",IF($AE533&lt;0,"FUTURO",IF($AE533&gt;p_dias_backlog_max,"BACKLOG","MES CORRIENTE")))</f>
        <v/>
      </c>
      <c r="AG533" s="24">
        <f>IF($AE533="",FALSE,AND($AE533&gt;p_dias_backlog_min,$AE533&lt;=p_dias_backlog_max))</f>
        <v/>
      </c>
      <c r="AH533" s="4" t="n"/>
      <c r="AI533" s="24">
        <f>IF($AH533="","",IF((IFERROR(INDEX('ASIGNACIONES'!$J$4:$J$451,MATCH($O533&amp;"|"&amp;$S533&amp;"|"&amp;$AH533,'ASIGNACIONES'!$N$4:$N$451,0)),""))=0,"",IFERROR(INDEX('ASIGNACIONES'!$J$4:$J$451,MATCH($O533&amp;"|"&amp;$S533&amp;"|"&amp;$AH533,'ASIGNACIONES'!$N$4:$N$451,0)),"")))</f>
        <v/>
      </c>
      <c r="AJ533" s="42">
        <f>IF($AH533="","",SUMIFS('ORDENES'!$M$4:$M$1203,'ORDENES'!$AH$4:$AH$1203,$AH533,'ORDENES'!$O$4:$O$1203,$O533,'ORDENES'!$S$4:$S$1203,$S533))</f>
        <v/>
      </c>
      <c r="AK533" s="42">
        <f>IF($AJ533="","",p_factor_productividad*IFERROR(INDEX('ASIGNACIONES'!$M$4:$M$451,MATCH($O533&amp;"|"&amp;$S533&amp;"|"&amp;$AH533,'ASIGNACIONES'!$N$4:$N$451,0)),0)-$AJ533)</f>
        <v/>
      </c>
      <c r="AL533" s="32">
        <f>IF($A533="","",IFERROR(INDEX('2_IMPORTAR_EJECUCION'!$F$9:$F$1208,MATCH($AU533,'2_IMPORTAR_EJECUCION'!$J$9:$J$1208,0)),0))</f>
        <v/>
      </c>
      <c r="AM533" s="32">
        <f>IF($A533="","",MAX(0,IFERROR(INDEX('2_IMPORTAR_EJECUCION'!$H$9:$H$1208,MATCH($AU533,'2_IMPORTAR_EJECUCION'!$J$9:$J$1208,0)),0)-$AL533))</f>
        <v/>
      </c>
      <c r="AN533" s="32">
        <f>IF($A533="","",$AL533+$AM533)</f>
        <v/>
      </c>
      <c r="AO533" s="24">
        <f>IF($A533="","",IF(OR((IFERROR(INDEX('CAT_ACTIVIDADES'!$D$4:$D$26,MATCH($H533,'CAT_ACTIVIDADES'!$A$4:$A$26,0)),""))=0,(IFERROR(INDEX('CAT_ACTIVIDADES'!$D$4:$D$26,MATCH($H533,'CAT_ACTIVIDADES'!$A$4:$A$26,0)),""))=""),"SIN CLASIFICAR",IFERROR(INDEX('CAT_ACTIVIDADES'!$D$4:$D$26,MATCH($H533,'CAT_ACTIVIDADES'!$A$4:$A$26,0)),"")))</f>
        <v/>
      </c>
      <c r="AP533" s="4" t="n"/>
      <c r="AQ533" s="4" t="n"/>
      <c r="AR533" s="4" t="n"/>
      <c r="AS533" s="24">
        <f>IF($AR533="","",HYPERLINK(p_ruta_base_checklists&amp;$AR533,"abrir"))</f>
        <v/>
      </c>
      <c r="AT533" s="4" t="n"/>
      <c r="AU533" s="24">
        <f>IF($A533="","",$A533&amp;IF($B533="","0010",$B533))</f>
        <v/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41" t="n"/>
      <c r="K534" s="5" t="n"/>
      <c r="L534" s="18" t="n"/>
      <c r="M534" s="24">
        <f>IF($A534="","",IFERROR(INDEX('AJUSTES'!$B$4:$B$303,MATCH($AU534,'AJUSTES'!$A$4:$A$303,0)),IF($K534="","",$K534)))</f>
        <v/>
      </c>
      <c r="N534" s="24">
        <f>IF($A534="","",IFERROR(INDEX('CAT_ESTADOS_ERP'!$B$4:$B$22,MATCH(IFERROR(INDEX('2_IMPORTAR_EJECUCION'!$C$9:$C$1208,MATCH($AU534,'2_IMPORTAR_EJECUCION'!$J$9:$J$1208,0)),""),'CAT_ESTADOS_ERP'!$A$4:$A$22,0)),"Pendiente"))</f>
        <v/>
      </c>
      <c r="O534" s="24">
        <f>IF($J534="","",YEAR($J534+4-WEEKDAY($J534,2))&amp;"-S"&amp;TEXT(_xlfn.ISOWEEKNUM($J534),"00"))</f>
        <v/>
      </c>
      <c r="P534" s="24">
        <f>IF($J534="","",YEAR($J534))</f>
        <v/>
      </c>
      <c r="Q534" s="24">
        <f>IF($J534="","",MONTH($J534))</f>
        <v/>
      </c>
      <c r="R534" s="24">
        <f>IF($J534="","",$P534&amp;"-"&amp;TEXT($Q534,"00"))</f>
        <v/>
      </c>
      <c r="S534" s="24">
        <f>IF($J534="","",INDEX(lista_dias,WEEKDAY($J534,2)))</f>
        <v/>
      </c>
      <c r="T534" s="24">
        <f>IF($J534="","",IFERROR(INDEX('CALENDARIO'!$C$15:$C$214,MATCH(TEXT($J534,"yyyy-mm-dd")&amp;"|"&amp;$Y534&amp;"|"&amp;$Z534,'CALENDARIO'!$G$15:$G$214,0)),IFERROR(INDEX('CALENDARIO'!$C$15:$C$214,MATCH(TEXT($J534,"yyyy-mm-dd")&amp;"|"&amp;$Y534&amp;"|",'CALENDARIO'!$G$15:$G$214,0)),IFERROR(INDEX('CALENDARIO'!$C$15:$C$214,MATCH(TEXT($J534,"yyyy-mm-dd")&amp;"||",'CALENDARIO'!$G$15:$G$214,0)),INDEX(patronHabil,WEEKDAY($J534,2))))))</f>
        <v/>
      </c>
      <c r="U534" s="24">
        <f>IF($I534="","",IFERROR(INDEX('CAT_TIPOS_OT'!$C$4:$C$23,MATCH($I534,'CAT_TIPOS_OT'!$A$4:$A$23,0)),"sin_clasificar"))</f>
        <v/>
      </c>
      <c r="V534" s="24">
        <f>IF($I534="","",IF(IFERROR(INDEX('CAT_TIPOS_OT'!$D$4:$D$23,MATCH($I534,'CAT_TIPOS_OT'!$A$4:$A$23,0)),"SIN CLASIFICAR")="","SIN CLASIFICAR",IFERROR(INDEX('CAT_TIPOS_OT'!$D$4:$D$23,MATCH($I534,'CAT_TIPOS_OT'!$A$4:$A$23,0)),"SIN CLASIFICAR")))</f>
        <v/>
      </c>
      <c r="W534" s="24">
        <f>IF($H534="","",IF(IFERROR(INDEX('CAT_ACTIVIDADES'!$F$4:$F$26,MATCH($H534,'CAT_ACTIVIDADES'!$A$4:$A$26,0)),"")=0,"",IFERROR(INDEX('CAT_ACTIVIDADES'!$F$4:$F$26,MATCH($H534,'CAT_ACTIVIDADES'!$A$4:$A$26,0)),"")))</f>
        <v/>
      </c>
      <c r="X534" s="24">
        <f>IF($F534="","",IFERROR(INDEX('CAT_CENTROS_COSTO'!$F$4:$F$28,MATCH($F534,'CAT_CENTROS_COSTO'!$A$4:$A$28,0)),"(sin catálogo)"))</f>
        <v/>
      </c>
      <c r="Y534" s="24">
        <f>IF($F534="","",IFERROR(INDEX('CAT_CENTROS_COSTO'!$D$4:$D$28,MATCH($F534,'CAT_CENTROS_COSTO'!$A$4:$A$28,0)),"(sin catálogo)"))</f>
        <v/>
      </c>
      <c r="Z534" s="24">
        <f>IF($F534="","",IF((IFERROR(INDEX('CAT_CENTROS_COSTO'!$E$4:$E$28,MATCH($F534,'CAT_CENTROS_COSTO'!$A$4:$A$28,0)),""))&lt;&gt;"",IFERROR(INDEX('CAT_CENTROS_COSTO'!$E$4:$E$28,MATCH($F534,'CAT_CENTROS_COSTO'!$A$4:$A$28,0)),""),$Y534))</f>
        <v/>
      </c>
      <c r="AA534" s="24">
        <f>IF($F534="","",IFERROR(INDEX('CAT_CENTROS_COSTO'!$G$4:$G$28,MATCH($F534,'CAT_CENTROS_COSTO'!$A$4:$A$28,0)),"(sin catálogo)"))</f>
        <v/>
      </c>
      <c r="AB534" s="24">
        <f>IF($G534="","",IFERROR(INDEX('CAT_PUESTOS'!$B$4:$B$23,MATCH($G534,'CAT_PUESTOS'!$A$4:$A$23,0)),"(sin catálogo)"))</f>
        <v/>
      </c>
      <c r="AC534" s="24">
        <f>IF($H534="","",IFERROR(INDEX('CAT_ACTIVIDADES'!$B$4:$B$26,MATCH($H534,'CAT_ACTIVIDADES'!$A$4:$A$26,0)),"(sin catálogo)"))</f>
        <v/>
      </c>
      <c r="AD534" s="26">
        <f>IF($J534="","",TODAY()-$J534)</f>
        <v/>
      </c>
      <c r="AE534" s="26">
        <f>IF($J534="","",IF($J534&lt;=TODAY(),COUNTIFS(cal_fechas,"&gt;="&amp;$J534,cal_fechas,"&lt;"&amp;TODAY(),cal_habil,"sí"),-COUNTIFS(cal_fechas,"&gt;="&amp;TODAY(),cal_fechas,"&lt;"&amp;$J534,cal_habil,"sí")))</f>
        <v/>
      </c>
      <c r="AF534" s="24">
        <f>IF($AE534="","",IF($AE534&lt;0,"FUTURO",IF($AE534&gt;p_dias_backlog_max,"BACKLOG","MES CORRIENTE")))</f>
        <v/>
      </c>
      <c r="AG534" s="24">
        <f>IF($AE534="",FALSE,AND($AE534&gt;p_dias_backlog_min,$AE534&lt;=p_dias_backlog_max))</f>
        <v/>
      </c>
      <c r="AH534" s="4" t="n"/>
      <c r="AI534" s="24">
        <f>IF($AH534="","",IF((IFERROR(INDEX('ASIGNACIONES'!$J$4:$J$451,MATCH($O534&amp;"|"&amp;$S534&amp;"|"&amp;$AH534,'ASIGNACIONES'!$N$4:$N$451,0)),""))=0,"",IFERROR(INDEX('ASIGNACIONES'!$J$4:$J$451,MATCH($O534&amp;"|"&amp;$S534&amp;"|"&amp;$AH534,'ASIGNACIONES'!$N$4:$N$451,0)),"")))</f>
        <v/>
      </c>
      <c r="AJ534" s="42">
        <f>IF($AH534="","",SUMIFS('ORDENES'!$M$4:$M$1203,'ORDENES'!$AH$4:$AH$1203,$AH534,'ORDENES'!$O$4:$O$1203,$O534,'ORDENES'!$S$4:$S$1203,$S534))</f>
        <v/>
      </c>
      <c r="AK534" s="42">
        <f>IF($AJ534="","",p_factor_productividad*IFERROR(INDEX('ASIGNACIONES'!$M$4:$M$451,MATCH($O534&amp;"|"&amp;$S534&amp;"|"&amp;$AH534,'ASIGNACIONES'!$N$4:$N$451,0)),0)-$AJ534)</f>
        <v/>
      </c>
      <c r="AL534" s="32">
        <f>IF($A534="","",IFERROR(INDEX('2_IMPORTAR_EJECUCION'!$F$9:$F$1208,MATCH($AU534,'2_IMPORTAR_EJECUCION'!$J$9:$J$1208,0)),0))</f>
        <v/>
      </c>
      <c r="AM534" s="32">
        <f>IF($A534="","",MAX(0,IFERROR(INDEX('2_IMPORTAR_EJECUCION'!$H$9:$H$1208,MATCH($AU534,'2_IMPORTAR_EJECUCION'!$J$9:$J$1208,0)),0)-$AL534))</f>
        <v/>
      </c>
      <c r="AN534" s="32">
        <f>IF($A534="","",$AL534+$AM534)</f>
        <v/>
      </c>
      <c r="AO534" s="24">
        <f>IF($A534="","",IF(OR((IFERROR(INDEX('CAT_ACTIVIDADES'!$D$4:$D$26,MATCH($H534,'CAT_ACTIVIDADES'!$A$4:$A$26,0)),""))=0,(IFERROR(INDEX('CAT_ACTIVIDADES'!$D$4:$D$26,MATCH($H534,'CAT_ACTIVIDADES'!$A$4:$A$26,0)),""))=""),"SIN CLASIFICAR",IFERROR(INDEX('CAT_ACTIVIDADES'!$D$4:$D$26,MATCH($H534,'CAT_ACTIVIDADES'!$A$4:$A$26,0)),"")))</f>
        <v/>
      </c>
      <c r="AP534" s="4" t="n"/>
      <c r="AQ534" s="4" t="n"/>
      <c r="AR534" s="4" t="n"/>
      <c r="AS534" s="24">
        <f>IF($AR534="","",HYPERLINK(p_ruta_base_checklists&amp;$AR534,"abrir"))</f>
        <v/>
      </c>
      <c r="AT534" s="4" t="n"/>
      <c r="AU534" s="24">
        <f>IF($A534="","",$A534&amp;IF($B534="","0010",$B534))</f>
        <v/>
      </c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41" t="n"/>
      <c r="K535" s="5" t="n"/>
      <c r="L535" s="18" t="n"/>
      <c r="M535" s="24">
        <f>IF($A535="","",IFERROR(INDEX('AJUSTES'!$B$4:$B$303,MATCH($AU535,'AJUSTES'!$A$4:$A$303,0)),IF($K535="","",$K535)))</f>
        <v/>
      </c>
      <c r="N535" s="24">
        <f>IF($A535="","",IFERROR(INDEX('CAT_ESTADOS_ERP'!$B$4:$B$22,MATCH(IFERROR(INDEX('2_IMPORTAR_EJECUCION'!$C$9:$C$1208,MATCH($AU535,'2_IMPORTAR_EJECUCION'!$J$9:$J$1208,0)),""),'CAT_ESTADOS_ERP'!$A$4:$A$22,0)),"Pendiente"))</f>
        <v/>
      </c>
      <c r="O535" s="24">
        <f>IF($J535="","",YEAR($J535+4-WEEKDAY($J535,2))&amp;"-S"&amp;TEXT(_xlfn.ISOWEEKNUM($J535),"00"))</f>
        <v/>
      </c>
      <c r="P535" s="24">
        <f>IF($J535="","",YEAR($J535))</f>
        <v/>
      </c>
      <c r="Q535" s="24">
        <f>IF($J535="","",MONTH($J535))</f>
        <v/>
      </c>
      <c r="R535" s="24">
        <f>IF($J535="","",$P535&amp;"-"&amp;TEXT($Q535,"00"))</f>
        <v/>
      </c>
      <c r="S535" s="24">
        <f>IF($J535="","",INDEX(lista_dias,WEEKDAY($J535,2)))</f>
        <v/>
      </c>
      <c r="T535" s="24">
        <f>IF($J535="","",IFERROR(INDEX('CALENDARIO'!$C$15:$C$214,MATCH(TEXT($J535,"yyyy-mm-dd")&amp;"|"&amp;$Y535&amp;"|"&amp;$Z535,'CALENDARIO'!$G$15:$G$214,0)),IFERROR(INDEX('CALENDARIO'!$C$15:$C$214,MATCH(TEXT($J535,"yyyy-mm-dd")&amp;"|"&amp;$Y535&amp;"|",'CALENDARIO'!$G$15:$G$214,0)),IFERROR(INDEX('CALENDARIO'!$C$15:$C$214,MATCH(TEXT($J535,"yyyy-mm-dd")&amp;"||",'CALENDARIO'!$G$15:$G$214,0)),INDEX(patronHabil,WEEKDAY($J535,2))))))</f>
        <v/>
      </c>
      <c r="U535" s="24">
        <f>IF($I535="","",IFERROR(INDEX('CAT_TIPOS_OT'!$C$4:$C$23,MATCH($I535,'CAT_TIPOS_OT'!$A$4:$A$23,0)),"sin_clasificar"))</f>
        <v/>
      </c>
      <c r="V535" s="24">
        <f>IF($I535="","",IF(IFERROR(INDEX('CAT_TIPOS_OT'!$D$4:$D$23,MATCH($I535,'CAT_TIPOS_OT'!$A$4:$A$23,0)),"SIN CLASIFICAR")="","SIN CLASIFICAR",IFERROR(INDEX('CAT_TIPOS_OT'!$D$4:$D$23,MATCH($I535,'CAT_TIPOS_OT'!$A$4:$A$23,0)),"SIN CLASIFICAR")))</f>
        <v/>
      </c>
      <c r="W535" s="24">
        <f>IF($H535="","",IF(IFERROR(INDEX('CAT_ACTIVIDADES'!$F$4:$F$26,MATCH($H535,'CAT_ACTIVIDADES'!$A$4:$A$26,0)),"")=0,"",IFERROR(INDEX('CAT_ACTIVIDADES'!$F$4:$F$26,MATCH($H535,'CAT_ACTIVIDADES'!$A$4:$A$26,0)),"")))</f>
        <v/>
      </c>
      <c r="X535" s="24">
        <f>IF($F535="","",IFERROR(INDEX('CAT_CENTROS_COSTO'!$F$4:$F$28,MATCH($F535,'CAT_CENTROS_COSTO'!$A$4:$A$28,0)),"(sin catálogo)"))</f>
        <v/>
      </c>
      <c r="Y535" s="24">
        <f>IF($F535="","",IFERROR(INDEX('CAT_CENTROS_COSTO'!$D$4:$D$28,MATCH($F535,'CAT_CENTROS_COSTO'!$A$4:$A$28,0)),"(sin catálogo)"))</f>
        <v/>
      </c>
      <c r="Z535" s="24">
        <f>IF($F535="","",IF((IFERROR(INDEX('CAT_CENTROS_COSTO'!$E$4:$E$28,MATCH($F535,'CAT_CENTROS_COSTO'!$A$4:$A$28,0)),""))&lt;&gt;"",IFERROR(INDEX('CAT_CENTROS_COSTO'!$E$4:$E$28,MATCH($F535,'CAT_CENTROS_COSTO'!$A$4:$A$28,0)),""),$Y535))</f>
        <v/>
      </c>
      <c r="AA535" s="24">
        <f>IF($F535="","",IFERROR(INDEX('CAT_CENTROS_COSTO'!$G$4:$G$28,MATCH($F535,'CAT_CENTROS_COSTO'!$A$4:$A$28,0)),"(sin catálogo)"))</f>
        <v/>
      </c>
      <c r="AB535" s="24">
        <f>IF($G535="","",IFERROR(INDEX('CAT_PUESTOS'!$B$4:$B$23,MATCH($G535,'CAT_PUESTOS'!$A$4:$A$23,0)),"(sin catálogo)"))</f>
        <v/>
      </c>
      <c r="AC535" s="24">
        <f>IF($H535="","",IFERROR(INDEX('CAT_ACTIVIDADES'!$B$4:$B$26,MATCH($H535,'CAT_ACTIVIDADES'!$A$4:$A$26,0)),"(sin catálogo)"))</f>
        <v/>
      </c>
      <c r="AD535" s="26">
        <f>IF($J535="","",TODAY()-$J535)</f>
        <v/>
      </c>
      <c r="AE535" s="26">
        <f>IF($J535="","",IF($J535&lt;=TODAY(),COUNTIFS(cal_fechas,"&gt;="&amp;$J535,cal_fechas,"&lt;"&amp;TODAY(),cal_habil,"sí"),-COUNTIFS(cal_fechas,"&gt;="&amp;TODAY(),cal_fechas,"&lt;"&amp;$J535,cal_habil,"sí")))</f>
        <v/>
      </c>
      <c r="AF535" s="24">
        <f>IF($AE535="","",IF($AE535&lt;0,"FUTURO",IF($AE535&gt;p_dias_backlog_max,"BACKLOG","MES CORRIENTE")))</f>
        <v/>
      </c>
      <c r="AG535" s="24">
        <f>IF($AE535="",FALSE,AND($AE535&gt;p_dias_backlog_min,$AE535&lt;=p_dias_backlog_max))</f>
        <v/>
      </c>
      <c r="AH535" s="4" t="n"/>
      <c r="AI535" s="24">
        <f>IF($AH535="","",IF((IFERROR(INDEX('ASIGNACIONES'!$J$4:$J$451,MATCH($O535&amp;"|"&amp;$S535&amp;"|"&amp;$AH535,'ASIGNACIONES'!$N$4:$N$451,0)),""))=0,"",IFERROR(INDEX('ASIGNACIONES'!$J$4:$J$451,MATCH($O535&amp;"|"&amp;$S535&amp;"|"&amp;$AH535,'ASIGNACIONES'!$N$4:$N$451,0)),"")))</f>
        <v/>
      </c>
      <c r="AJ535" s="42">
        <f>IF($AH535="","",SUMIFS('ORDENES'!$M$4:$M$1203,'ORDENES'!$AH$4:$AH$1203,$AH535,'ORDENES'!$O$4:$O$1203,$O535,'ORDENES'!$S$4:$S$1203,$S535))</f>
        <v/>
      </c>
      <c r="AK535" s="42">
        <f>IF($AJ535="","",p_factor_productividad*IFERROR(INDEX('ASIGNACIONES'!$M$4:$M$451,MATCH($O535&amp;"|"&amp;$S535&amp;"|"&amp;$AH535,'ASIGNACIONES'!$N$4:$N$451,0)),0)-$AJ535)</f>
        <v/>
      </c>
      <c r="AL535" s="32">
        <f>IF($A535="","",IFERROR(INDEX('2_IMPORTAR_EJECUCION'!$F$9:$F$1208,MATCH($AU535,'2_IMPORTAR_EJECUCION'!$J$9:$J$1208,0)),0))</f>
        <v/>
      </c>
      <c r="AM535" s="32">
        <f>IF($A535="","",MAX(0,IFERROR(INDEX('2_IMPORTAR_EJECUCION'!$H$9:$H$1208,MATCH($AU535,'2_IMPORTAR_EJECUCION'!$J$9:$J$1208,0)),0)-$AL535))</f>
        <v/>
      </c>
      <c r="AN535" s="32">
        <f>IF($A535="","",$AL535+$AM535)</f>
        <v/>
      </c>
      <c r="AO535" s="24">
        <f>IF($A535="","",IF(OR((IFERROR(INDEX('CAT_ACTIVIDADES'!$D$4:$D$26,MATCH($H535,'CAT_ACTIVIDADES'!$A$4:$A$26,0)),""))=0,(IFERROR(INDEX('CAT_ACTIVIDADES'!$D$4:$D$26,MATCH($H535,'CAT_ACTIVIDADES'!$A$4:$A$26,0)),""))=""),"SIN CLASIFICAR",IFERROR(INDEX('CAT_ACTIVIDADES'!$D$4:$D$26,MATCH($H535,'CAT_ACTIVIDADES'!$A$4:$A$26,0)),"")))</f>
        <v/>
      </c>
      <c r="AP535" s="4" t="n"/>
      <c r="AQ535" s="4" t="n"/>
      <c r="AR535" s="4" t="n"/>
      <c r="AS535" s="24">
        <f>IF($AR535="","",HYPERLINK(p_ruta_base_checklists&amp;$AR535,"abrir"))</f>
        <v/>
      </c>
      <c r="AT535" s="4" t="n"/>
      <c r="AU535" s="24">
        <f>IF($A535="","",$A535&amp;IF($B535="","0010",$B535))</f>
        <v/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41" t="n"/>
      <c r="K536" s="5" t="n"/>
      <c r="L536" s="18" t="n"/>
      <c r="M536" s="24">
        <f>IF($A536="","",IFERROR(INDEX('AJUSTES'!$B$4:$B$303,MATCH($AU536,'AJUSTES'!$A$4:$A$303,0)),IF($K536="","",$K536)))</f>
        <v/>
      </c>
      <c r="N536" s="24">
        <f>IF($A536="","",IFERROR(INDEX('CAT_ESTADOS_ERP'!$B$4:$B$22,MATCH(IFERROR(INDEX('2_IMPORTAR_EJECUCION'!$C$9:$C$1208,MATCH($AU536,'2_IMPORTAR_EJECUCION'!$J$9:$J$1208,0)),""),'CAT_ESTADOS_ERP'!$A$4:$A$22,0)),"Pendiente"))</f>
        <v/>
      </c>
      <c r="O536" s="24">
        <f>IF($J536="","",YEAR($J536+4-WEEKDAY($J536,2))&amp;"-S"&amp;TEXT(_xlfn.ISOWEEKNUM($J536),"00"))</f>
        <v/>
      </c>
      <c r="P536" s="24">
        <f>IF($J536="","",YEAR($J536))</f>
        <v/>
      </c>
      <c r="Q536" s="24">
        <f>IF($J536="","",MONTH($J536))</f>
        <v/>
      </c>
      <c r="R536" s="24">
        <f>IF($J536="","",$P536&amp;"-"&amp;TEXT($Q536,"00"))</f>
        <v/>
      </c>
      <c r="S536" s="24">
        <f>IF($J536="","",INDEX(lista_dias,WEEKDAY($J536,2)))</f>
        <v/>
      </c>
      <c r="T536" s="24">
        <f>IF($J536="","",IFERROR(INDEX('CALENDARIO'!$C$15:$C$214,MATCH(TEXT($J536,"yyyy-mm-dd")&amp;"|"&amp;$Y536&amp;"|"&amp;$Z536,'CALENDARIO'!$G$15:$G$214,0)),IFERROR(INDEX('CALENDARIO'!$C$15:$C$214,MATCH(TEXT($J536,"yyyy-mm-dd")&amp;"|"&amp;$Y536&amp;"|",'CALENDARIO'!$G$15:$G$214,0)),IFERROR(INDEX('CALENDARIO'!$C$15:$C$214,MATCH(TEXT($J536,"yyyy-mm-dd")&amp;"||",'CALENDARIO'!$G$15:$G$214,0)),INDEX(patronHabil,WEEKDAY($J536,2))))))</f>
        <v/>
      </c>
      <c r="U536" s="24">
        <f>IF($I536="","",IFERROR(INDEX('CAT_TIPOS_OT'!$C$4:$C$23,MATCH($I536,'CAT_TIPOS_OT'!$A$4:$A$23,0)),"sin_clasificar"))</f>
        <v/>
      </c>
      <c r="V536" s="24">
        <f>IF($I536="","",IF(IFERROR(INDEX('CAT_TIPOS_OT'!$D$4:$D$23,MATCH($I536,'CAT_TIPOS_OT'!$A$4:$A$23,0)),"SIN CLASIFICAR")="","SIN CLASIFICAR",IFERROR(INDEX('CAT_TIPOS_OT'!$D$4:$D$23,MATCH($I536,'CAT_TIPOS_OT'!$A$4:$A$23,0)),"SIN CLASIFICAR")))</f>
        <v/>
      </c>
      <c r="W536" s="24">
        <f>IF($H536="","",IF(IFERROR(INDEX('CAT_ACTIVIDADES'!$F$4:$F$26,MATCH($H536,'CAT_ACTIVIDADES'!$A$4:$A$26,0)),"")=0,"",IFERROR(INDEX('CAT_ACTIVIDADES'!$F$4:$F$26,MATCH($H536,'CAT_ACTIVIDADES'!$A$4:$A$26,0)),"")))</f>
        <v/>
      </c>
      <c r="X536" s="24">
        <f>IF($F536="","",IFERROR(INDEX('CAT_CENTROS_COSTO'!$F$4:$F$28,MATCH($F536,'CAT_CENTROS_COSTO'!$A$4:$A$28,0)),"(sin catálogo)"))</f>
        <v/>
      </c>
      <c r="Y536" s="24">
        <f>IF($F536="","",IFERROR(INDEX('CAT_CENTROS_COSTO'!$D$4:$D$28,MATCH($F536,'CAT_CENTROS_COSTO'!$A$4:$A$28,0)),"(sin catálogo)"))</f>
        <v/>
      </c>
      <c r="Z536" s="24">
        <f>IF($F536="","",IF((IFERROR(INDEX('CAT_CENTROS_COSTO'!$E$4:$E$28,MATCH($F536,'CAT_CENTROS_COSTO'!$A$4:$A$28,0)),""))&lt;&gt;"",IFERROR(INDEX('CAT_CENTROS_COSTO'!$E$4:$E$28,MATCH($F536,'CAT_CENTROS_COSTO'!$A$4:$A$28,0)),""),$Y536))</f>
        <v/>
      </c>
      <c r="AA536" s="24">
        <f>IF($F536="","",IFERROR(INDEX('CAT_CENTROS_COSTO'!$G$4:$G$28,MATCH($F536,'CAT_CENTROS_COSTO'!$A$4:$A$28,0)),"(sin catálogo)"))</f>
        <v/>
      </c>
      <c r="AB536" s="24">
        <f>IF($G536="","",IFERROR(INDEX('CAT_PUESTOS'!$B$4:$B$23,MATCH($G536,'CAT_PUESTOS'!$A$4:$A$23,0)),"(sin catálogo)"))</f>
        <v/>
      </c>
      <c r="AC536" s="24">
        <f>IF($H536="","",IFERROR(INDEX('CAT_ACTIVIDADES'!$B$4:$B$26,MATCH($H536,'CAT_ACTIVIDADES'!$A$4:$A$26,0)),"(sin catálogo)"))</f>
        <v/>
      </c>
      <c r="AD536" s="26">
        <f>IF($J536="","",TODAY()-$J536)</f>
        <v/>
      </c>
      <c r="AE536" s="26">
        <f>IF($J536="","",IF($J536&lt;=TODAY(),COUNTIFS(cal_fechas,"&gt;="&amp;$J536,cal_fechas,"&lt;"&amp;TODAY(),cal_habil,"sí"),-COUNTIFS(cal_fechas,"&gt;="&amp;TODAY(),cal_fechas,"&lt;"&amp;$J536,cal_habil,"sí")))</f>
        <v/>
      </c>
      <c r="AF536" s="24">
        <f>IF($AE536="","",IF($AE536&lt;0,"FUTURO",IF($AE536&gt;p_dias_backlog_max,"BACKLOG","MES CORRIENTE")))</f>
        <v/>
      </c>
      <c r="AG536" s="24">
        <f>IF($AE536="",FALSE,AND($AE536&gt;p_dias_backlog_min,$AE536&lt;=p_dias_backlog_max))</f>
        <v/>
      </c>
      <c r="AH536" s="4" t="n"/>
      <c r="AI536" s="24">
        <f>IF($AH536="","",IF((IFERROR(INDEX('ASIGNACIONES'!$J$4:$J$451,MATCH($O536&amp;"|"&amp;$S536&amp;"|"&amp;$AH536,'ASIGNACIONES'!$N$4:$N$451,0)),""))=0,"",IFERROR(INDEX('ASIGNACIONES'!$J$4:$J$451,MATCH($O536&amp;"|"&amp;$S536&amp;"|"&amp;$AH536,'ASIGNACIONES'!$N$4:$N$451,0)),"")))</f>
        <v/>
      </c>
      <c r="AJ536" s="42">
        <f>IF($AH536="","",SUMIFS('ORDENES'!$M$4:$M$1203,'ORDENES'!$AH$4:$AH$1203,$AH536,'ORDENES'!$O$4:$O$1203,$O536,'ORDENES'!$S$4:$S$1203,$S536))</f>
        <v/>
      </c>
      <c r="AK536" s="42">
        <f>IF($AJ536="","",p_factor_productividad*IFERROR(INDEX('ASIGNACIONES'!$M$4:$M$451,MATCH($O536&amp;"|"&amp;$S536&amp;"|"&amp;$AH536,'ASIGNACIONES'!$N$4:$N$451,0)),0)-$AJ536)</f>
        <v/>
      </c>
      <c r="AL536" s="32">
        <f>IF($A536="","",IFERROR(INDEX('2_IMPORTAR_EJECUCION'!$F$9:$F$1208,MATCH($AU536,'2_IMPORTAR_EJECUCION'!$J$9:$J$1208,0)),0))</f>
        <v/>
      </c>
      <c r="AM536" s="32">
        <f>IF($A536="","",MAX(0,IFERROR(INDEX('2_IMPORTAR_EJECUCION'!$H$9:$H$1208,MATCH($AU536,'2_IMPORTAR_EJECUCION'!$J$9:$J$1208,0)),0)-$AL536))</f>
        <v/>
      </c>
      <c r="AN536" s="32">
        <f>IF($A536="","",$AL536+$AM536)</f>
        <v/>
      </c>
      <c r="AO536" s="24">
        <f>IF($A536="","",IF(OR((IFERROR(INDEX('CAT_ACTIVIDADES'!$D$4:$D$26,MATCH($H536,'CAT_ACTIVIDADES'!$A$4:$A$26,0)),""))=0,(IFERROR(INDEX('CAT_ACTIVIDADES'!$D$4:$D$26,MATCH($H536,'CAT_ACTIVIDADES'!$A$4:$A$26,0)),""))=""),"SIN CLASIFICAR",IFERROR(INDEX('CAT_ACTIVIDADES'!$D$4:$D$26,MATCH($H536,'CAT_ACTIVIDADES'!$A$4:$A$26,0)),"")))</f>
        <v/>
      </c>
      <c r="AP536" s="4" t="n"/>
      <c r="AQ536" s="4" t="n"/>
      <c r="AR536" s="4" t="n"/>
      <c r="AS536" s="24">
        <f>IF($AR536="","",HYPERLINK(p_ruta_base_checklists&amp;$AR536,"abrir"))</f>
        <v/>
      </c>
      <c r="AT536" s="4" t="n"/>
      <c r="AU536" s="24">
        <f>IF($A536="","",$A536&amp;IF($B536="","0010",$B536))</f>
        <v/>
      </c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41" t="n"/>
      <c r="K537" s="5" t="n"/>
      <c r="L537" s="18" t="n"/>
      <c r="M537" s="24">
        <f>IF($A537="","",IFERROR(INDEX('AJUSTES'!$B$4:$B$303,MATCH($AU537,'AJUSTES'!$A$4:$A$303,0)),IF($K537="","",$K537)))</f>
        <v/>
      </c>
      <c r="N537" s="24">
        <f>IF($A537="","",IFERROR(INDEX('CAT_ESTADOS_ERP'!$B$4:$B$22,MATCH(IFERROR(INDEX('2_IMPORTAR_EJECUCION'!$C$9:$C$1208,MATCH($AU537,'2_IMPORTAR_EJECUCION'!$J$9:$J$1208,0)),""),'CAT_ESTADOS_ERP'!$A$4:$A$22,0)),"Pendiente"))</f>
        <v/>
      </c>
      <c r="O537" s="24">
        <f>IF($J537="","",YEAR($J537+4-WEEKDAY($J537,2))&amp;"-S"&amp;TEXT(_xlfn.ISOWEEKNUM($J537),"00"))</f>
        <v/>
      </c>
      <c r="P537" s="24">
        <f>IF($J537="","",YEAR($J537))</f>
        <v/>
      </c>
      <c r="Q537" s="24">
        <f>IF($J537="","",MONTH($J537))</f>
        <v/>
      </c>
      <c r="R537" s="24">
        <f>IF($J537="","",$P537&amp;"-"&amp;TEXT($Q537,"00"))</f>
        <v/>
      </c>
      <c r="S537" s="24">
        <f>IF($J537="","",INDEX(lista_dias,WEEKDAY($J537,2)))</f>
        <v/>
      </c>
      <c r="T537" s="24">
        <f>IF($J537="","",IFERROR(INDEX('CALENDARIO'!$C$15:$C$214,MATCH(TEXT($J537,"yyyy-mm-dd")&amp;"|"&amp;$Y537&amp;"|"&amp;$Z537,'CALENDARIO'!$G$15:$G$214,0)),IFERROR(INDEX('CALENDARIO'!$C$15:$C$214,MATCH(TEXT($J537,"yyyy-mm-dd")&amp;"|"&amp;$Y537&amp;"|",'CALENDARIO'!$G$15:$G$214,0)),IFERROR(INDEX('CALENDARIO'!$C$15:$C$214,MATCH(TEXT($J537,"yyyy-mm-dd")&amp;"||",'CALENDARIO'!$G$15:$G$214,0)),INDEX(patronHabil,WEEKDAY($J537,2))))))</f>
        <v/>
      </c>
      <c r="U537" s="24">
        <f>IF($I537="","",IFERROR(INDEX('CAT_TIPOS_OT'!$C$4:$C$23,MATCH($I537,'CAT_TIPOS_OT'!$A$4:$A$23,0)),"sin_clasificar"))</f>
        <v/>
      </c>
      <c r="V537" s="24">
        <f>IF($I537="","",IF(IFERROR(INDEX('CAT_TIPOS_OT'!$D$4:$D$23,MATCH($I537,'CAT_TIPOS_OT'!$A$4:$A$23,0)),"SIN CLASIFICAR")="","SIN CLASIFICAR",IFERROR(INDEX('CAT_TIPOS_OT'!$D$4:$D$23,MATCH($I537,'CAT_TIPOS_OT'!$A$4:$A$23,0)),"SIN CLASIFICAR")))</f>
        <v/>
      </c>
      <c r="W537" s="24">
        <f>IF($H537="","",IF(IFERROR(INDEX('CAT_ACTIVIDADES'!$F$4:$F$26,MATCH($H537,'CAT_ACTIVIDADES'!$A$4:$A$26,0)),"")=0,"",IFERROR(INDEX('CAT_ACTIVIDADES'!$F$4:$F$26,MATCH($H537,'CAT_ACTIVIDADES'!$A$4:$A$26,0)),"")))</f>
        <v/>
      </c>
      <c r="X537" s="24">
        <f>IF($F537="","",IFERROR(INDEX('CAT_CENTROS_COSTO'!$F$4:$F$28,MATCH($F537,'CAT_CENTROS_COSTO'!$A$4:$A$28,0)),"(sin catálogo)"))</f>
        <v/>
      </c>
      <c r="Y537" s="24">
        <f>IF($F537="","",IFERROR(INDEX('CAT_CENTROS_COSTO'!$D$4:$D$28,MATCH($F537,'CAT_CENTROS_COSTO'!$A$4:$A$28,0)),"(sin catálogo)"))</f>
        <v/>
      </c>
      <c r="Z537" s="24">
        <f>IF($F537="","",IF((IFERROR(INDEX('CAT_CENTROS_COSTO'!$E$4:$E$28,MATCH($F537,'CAT_CENTROS_COSTO'!$A$4:$A$28,0)),""))&lt;&gt;"",IFERROR(INDEX('CAT_CENTROS_COSTO'!$E$4:$E$28,MATCH($F537,'CAT_CENTROS_COSTO'!$A$4:$A$28,0)),""),$Y537))</f>
        <v/>
      </c>
      <c r="AA537" s="24">
        <f>IF($F537="","",IFERROR(INDEX('CAT_CENTROS_COSTO'!$G$4:$G$28,MATCH($F537,'CAT_CENTROS_COSTO'!$A$4:$A$28,0)),"(sin catálogo)"))</f>
        <v/>
      </c>
      <c r="AB537" s="24">
        <f>IF($G537="","",IFERROR(INDEX('CAT_PUESTOS'!$B$4:$B$23,MATCH($G537,'CAT_PUESTOS'!$A$4:$A$23,0)),"(sin catálogo)"))</f>
        <v/>
      </c>
      <c r="AC537" s="24">
        <f>IF($H537="","",IFERROR(INDEX('CAT_ACTIVIDADES'!$B$4:$B$26,MATCH($H537,'CAT_ACTIVIDADES'!$A$4:$A$26,0)),"(sin catálogo)"))</f>
        <v/>
      </c>
      <c r="AD537" s="26">
        <f>IF($J537="","",TODAY()-$J537)</f>
        <v/>
      </c>
      <c r="AE537" s="26">
        <f>IF($J537="","",IF($J537&lt;=TODAY(),COUNTIFS(cal_fechas,"&gt;="&amp;$J537,cal_fechas,"&lt;"&amp;TODAY(),cal_habil,"sí"),-COUNTIFS(cal_fechas,"&gt;="&amp;TODAY(),cal_fechas,"&lt;"&amp;$J537,cal_habil,"sí")))</f>
        <v/>
      </c>
      <c r="AF537" s="24">
        <f>IF($AE537="","",IF($AE537&lt;0,"FUTURO",IF($AE537&gt;p_dias_backlog_max,"BACKLOG","MES CORRIENTE")))</f>
        <v/>
      </c>
      <c r="AG537" s="24">
        <f>IF($AE537="",FALSE,AND($AE537&gt;p_dias_backlog_min,$AE537&lt;=p_dias_backlog_max))</f>
        <v/>
      </c>
      <c r="AH537" s="4" t="n"/>
      <c r="AI537" s="24">
        <f>IF($AH537="","",IF((IFERROR(INDEX('ASIGNACIONES'!$J$4:$J$451,MATCH($O537&amp;"|"&amp;$S537&amp;"|"&amp;$AH537,'ASIGNACIONES'!$N$4:$N$451,0)),""))=0,"",IFERROR(INDEX('ASIGNACIONES'!$J$4:$J$451,MATCH($O537&amp;"|"&amp;$S537&amp;"|"&amp;$AH537,'ASIGNACIONES'!$N$4:$N$451,0)),"")))</f>
        <v/>
      </c>
      <c r="AJ537" s="42">
        <f>IF($AH537="","",SUMIFS('ORDENES'!$M$4:$M$1203,'ORDENES'!$AH$4:$AH$1203,$AH537,'ORDENES'!$O$4:$O$1203,$O537,'ORDENES'!$S$4:$S$1203,$S537))</f>
        <v/>
      </c>
      <c r="AK537" s="42">
        <f>IF($AJ537="","",p_factor_productividad*IFERROR(INDEX('ASIGNACIONES'!$M$4:$M$451,MATCH($O537&amp;"|"&amp;$S537&amp;"|"&amp;$AH537,'ASIGNACIONES'!$N$4:$N$451,0)),0)-$AJ537)</f>
        <v/>
      </c>
      <c r="AL537" s="32">
        <f>IF($A537="","",IFERROR(INDEX('2_IMPORTAR_EJECUCION'!$F$9:$F$1208,MATCH($AU537,'2_IMPORTAR_EJECUCION'!$J$9:$J$1208,0)),0))</f>
        <v/>
      </c>
      <c r="AM537" s="32">
        <f>IF($A537="","",MAX(0,IFERROR(INDEX('2_IMPORTAR_EJECUCION'!$H$9:$H$1208,MATCH($AU537,'2_IMPORTAR_EJECUCION'!$J$9:$J$1208,0)),0)-$AL537))</f>
        <v/>
      </c>
      <c r="AN537" s="32">
        <f>IF($A537="","",$AL537+$AM537)</f>
        <v/>
      </c>
      <c r="AO537" s="24">
        <f>IF($A537="","",IF(OR((IFERROR(INDEX('CAT_ACTIVIDADES'!$D$4:$D$26,MATCH($H537,'CAT_ACTIVIDADES'!$A$4:$A$26,0)),""))=0,(IFERROR(INDEX('CAT_ACTIVIDADES'!$D$4:$D$26,MATCH($H537,'CAT_ACTIVIDADES'!$A$4:$A$26,0)),""))=""),"SIN CLASIFICAR",IFERROR(INDEX('CAT_ACTIVIDADES'!$D$4:$D$26,MATCH($H537,'CAT_ACTIVIDADES'!$A$4:$A$26,0)),"")))</f>
        <v/>
      </c>
      <c r="AP537" s="4" t="n"/>
      <c r="AQ537" s="4" t="n"/>
      <c r="AR537" s="4" t="n"/>
      <c r="AS537" s="24">
        <f>IF($AR537="","",HYPERLINK(p_ruta_base_checklists&amp;$AR537,"abrir"))</f>
        <v/>
      </c>
      <c r="AT537" s="4" t="n"/>
      <c r="AU537" s="24">
        <f>IF($A537="","",$A537&amp;IF($B537="","0010",$B537))</f>
        <v/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41" t="n"/>
      <c r="K538" s="5" t="n"/>
      <c r="L538" s="18" t="n"/>
      <c r="M538" s="24">
        <f>IF($A538="","",IFERROR(INDEX('AJUSTES'!$B$4:$B$303,MATCH($AU538,'AJUSTES'!$A$4:$A$303,0)),IF($K538="","",$K538)))</f>
        <v/>
      </c>
      <c r="N538" s="24">
        <f>IF($A538="","",IFERROR(INDEX('CAT_ESTADOS_ERP'!$B$4:$B$22,MATCH(IFERROR(INDEX('2_IMPORTAR_EJECUCION'!$C$9:$C$1208,MATCH($AU538,'2_IMPORTAR_EJECUCION'!$J$9:$J$1208,0)),""),'CAT_ESTADOS_ERP'!$A$4:$A$22,0)),"Pendiente"))</f>
        <v/>
      </c>
      <c r="O538" s="24">
        <f>IF($J538="","",YEAR($J538+4-WEEKDAY($J538,2))&amp;"-S"&amp;TEXT(_xlfn.ISOWEEKNUM($J538),"00"))</f>
        <v/>
      </c>
      <c r="P538" s="24">
        <f>IF($J538="","",YEAR($J538))</f>
        <v/>
      </c>
      <c r="Q538" s="24">
        <f>IF($J538="","",MONTH($J538))</f>
        <v/>
      </c>
      <c r="R538" s="24">
        <f>IF($J538="","",$P538&amp;"-"&amp;TEXT($Q538,"00"))</f>
        <v/>
      </c>
      <c r="S538" s="24">
        <f>IF($J538="","",INDEX(lista_dias,WEEKDAY($J538,2)))</f>
        <v/>
      </c>
      <c r="T538" s="24">
        <f>IF($J538="","",IFERROR(INDEX('CALENDARIO'!$C$15:$C$214,MATCH(TEXT($J538,"yyyy-mm-dd")&amp;"|"&amp;$Y538&amp;"|"&amp;$Z538,'CALENDARIO'!$G$15:$G$214,0)),IFERROR(INDEX('CALENDARIO'!$C$15:$C$214,MATCH(TEXT($J538,"yyyy-mm-dd")&amp;"|"&amp;$Y538&amp;"|",'CALENDARIO'!$G$15:$G$214,0)),IFERROR(INDEX('CALENDARIO'!$C$15:$C$214,MATCH(TEXT($J538,"yyyy-mm-dd")&amp;"||",'CALENDARIO'!$G$15:$G$214,0)),INDEX(patronHabil,WEEKDAY($J538,2))))))</f>
        <v/>
      </c>
      <c r="U538" s="24">
        <f>IF($I538="","",IFERROR(INDEX('CAT_TIPOS_OT'!$C$4:$C$23,MATCH($I538,'CAT_TIPOS_OT'!$A$4:$A$23,0)),"sin_clasificar"))</f>
        <v/>
      </c>
      <c r="V538" s="24">
        <f>IF($I538="","",IF(IFERROR(INDEX('CAT_TIPOS_OT'!$D$4:$D$23,MATCH($I538,'CAT_TIPOS_OT'!$A$4:$A$23,0)),"SIN CLASIFICAR")="","SIN CLASIFICAR",IFERROR(INDEX('CAT_TIPOS_OT'!$D$4:$D$23,MATCH($I538,'CAT_TIPOS_OT'!$A$4:$A$23,0)),"SIN CLASIFICAR")))</f>
        <v/>
      </c>
      <c r="W538" s="24">
        <f>IF($H538="","",IF(IFERROR(INDEX('CAT_ACTIVIDADES'!$F$4:$F$26,MATCH($H538,'CAT_ACTIVIDADES'!$A$4:$A$26,0)),"")=0,"",IFERROR(INDEX('CAT_ACTIVIDADES'!$F$4:$F$26,MATCH($H538,'CAT_ACTIVIDADES'!$A$4:$A$26,0)),"")))</f>
        <v/>
      </c>
      <c r="X538" s="24">
        <f>IF($F538="","",IFERROR(INDEX('CAT_CENTROS_COSTO'!$F$4:$F$28,MATCH($F538,'CAT_CENTROS_COSTO'!$A$4:$A$28,0)),"(sin catálogo)"))</f>
        <v/>
      </c>
      <c r="Y538" s="24">
        <f>IF($F538="","",IFERROR(INDEX('CAT_CENTROS_COSTO'!$D$4:$D$28,MATCH($F538,'CAT_CENTROS_COSTO'!$A$4:$A$28,0)),"(sin catálogo)"))</f>
        <v/>
      </c>
      <c r="Z538" s="24">
        <f>IF($F538="","",IF((IFERROR(INDEX('CAT_CENTROS_COSTO'!$E$4:$E$28,MATCH($F538,'CAT_CENTROS_COSTO'!$A$4:$A$28,0)),""))&lt;&gt;"",IFERROR(INDEX('CAT_CENTROS_COSTO'!$E$4:$E$28,MATCH($F538,'CAT_CENTROS_COSTO'!$A$4:$A$28,0)),""),$Y538))</f>
        <v/>
      </c>
      <c r="AA538" s="24">
        <f>IF($F538="","",IFERROR(INDEX('CAT_CENTROS_COSTO'!$G$4:$G$28,MATCH($F538,'CAT_CENTROS_COSTO'!$A$4:$A$28,0)),"(sin catálogo)"))</f>
        <v/>
      </c>
      <c r="AB538" s="24">
        <f>IF($G538="","",IFERROR(INDEX('CAT_PUESTOS'!$B$4:$B$23,MATCH($G538,'CAT_PUESTOS'!$A$4:$A$23,0)),"(sin catálogo)"))</f>
        <v/>
      </c>
      <c r="AC538" s="24">
        <f>IF($H538="","",IFERROR(INDEX('CAT_ACTIVIDADES'!$B$4:$B$26,MATCH($H538,'CAT_ACTIVIDADES'!$A$4:$A$26,0)),"(sin catálogo)"))</f>
        <v/>
      </c>
      <c r="AD538" s="26">
        <f>IF($J538="","",TODAY()-$J538)</f>
        <v/>
      </c>
      <c r="AE538" s="26">
        <f>IF($J538="","",IF($J538&lt;=TODAY(),COUNTIFS(cal_fechas,"&gt;="&amp;$J538,cal_fechas,"&lt;"&amp;TODAY(),cal_habil,"sí"),-COUNTIFS(cal_fechas,"&gt;="&amp;TODAY(),cal_fechas,"&lt;"&amp;$J538,cal_habil,"sí")))</f>
        <v/>
      </c>
      <c r="AF538" s="24">
        <f>IF($AE538="","",IF($AE538&lt;0,"FUTURO",IF($AE538&gt;p_dias_backlog_max,"BACKLOG","MES CORRIENTE")))</f>
        <v/>
      </c>
      <c r="AG538" s="24">
        <f>IF($AE538="",FALSE,AND($AE538&gt;p_dias_backlog_min,$AE538&lt;=p_dias_backlog_max))</f>
        <v/>
      </c>
      <c r="AH538" s="4" t="n"/>
      <c r="AI538" s="24">
        <f>IF($AH538="","",IF((IFERROR(INDEX('ASIGNACIONES'!$J$4:$J$451,MATCH($O538&amp;"|"&amp;$S538&amp;"|"&amp;$AH538,'ASIGNACIONES'!$N$4:$N$451,0)),""))=0,"",IFERROR(INDEX('ASIGNACIONES'!$J$4:$J$451,MATCH($O538&amp;"|"&amp;$S538&amp;"|"&amp;$AH538,'ASIGNACIONES'!$N$4:$N$451,0)),"")))</f>
        <v/>
      </c>
      <c r="AJ538" s="42">
        <f>IF($AH538="","",SUMIFS('ORDENES'!$M$4:$M$1203,'ORDENES'!$AH$4:$AH$1203,$AH538,'ORDENES'!$O$4:$O$1203,$O538,'ORDENES'!$S$4:$S$1203,$S538))</f>
        <v/>
      </c>
      <c r="AK538" s="42">
        <f>IF($AJ538="","",p_factor_productividad*IFERROR(INDEX('ASIGNACIONES'!$M$4:$M$451,MATCH($O538&amp;"|"&amp;$S538&amp;"|"&amp;$AH538,'ASIGNACIONES'!$N$4:$N$451,0)),0)-$AJ538)</f>
        <v/>
      </c>
      <c r="AL538" s="32">
        <f>IF($A538="","",IFERROR(INDEX('2_IMPORTAR_EJECUCION'!$F$9:$F$1208,MATCH($AU538,'2_IMPORTAR_EJECUCION'!$J$9:$J$1208,0)),0))</f>
        <v/>
      </c>
      <c r="AM538" s="32">
        <f>IF($A538="","",MAX(0,IFERROR(INDEX('2_IMPORTAR_EJECUCION'!$H$9:$H$1208,MATCH($AU538,'2_IMPORTAR_EJECUCION'!$J$9:$J$1208,0)),0)-$AL538))</f>
        <v/>
      </c>
      <c r="AN538" s="32">
        <f>IF($A538="","",$AL538+$AM538)</f>
        <v/>
      </c>
      <c r="AO538" s="24">
        <f>IF($A538="","",IF(OR((IFERROR(INDEX('CAT_ACTIVIDADES'!$D$4:$D$26,MATCH($H538,'CAT_ACTIVIDADES'!$A$4:$A$26,0)),""))=0,(IFERROR(INDEX('CAT_ACTIVIDADES'!$D$4:$D$26,MATCH($H538,'CAT_ACTIVIDADES'!$A$4:$A$26,0)),""))=""),"SIN CLASIFICAR",IFERROR(INDEX('CAT_ACTIVIDADES'!$D$4:$D$26,MATCH($H538,'CAT_ACTIVIDADES'!$A$4:$A$26,0)),"")))</f>
        <v/>
      </c>
      <c r="AP538" s="4" t="n"/>
      <c r="AQ538" s="4" t="n"/>
      <c r="AR538" s="4" t="n"/>
      <c r="AS538" s="24">
        <f>IF($AR538="","",HYPERLINK(p_ruta_base_checklists&amp;$AR538,"abrir"))</f>
        <v/>
      </c>
      <c r="AT538" s="4" t="n"/>
      <c r="AU538" s="24">
        <f>IF($A538="","",$A538&amp;IF($B538="","0010",$B538))</f>
        <v/>
      </c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41" t="n"/>
      <c r="K539" s="5" t="n"/>
      <c r="L539" s="18" t="n"/>
      <c r="M539" s="24">
        <f>IF($A539="","",IFERROR(INDEX('AJUSTES'!$B$4:$B$303,MATCH($AU539,'AJUSTES'!$A$4:$A$303,0)),IF($K539="","",$K539)))</f>
        <v/>
      </c>
      <c r="N539" s="24">
        <f>IF($A539="","",IFERROR(INDEX('CAT_ESTADOS_ERP'!$B$4:$B$22,MATCH(IFERROR(INDEX('2_IMPORTAR_EJECUCION'!$C$9:$C$1208,MATCH($AU539,'2_IMPORTAR_EJECUCION'!$J$9:$J$1208,0)),""),'CAT_ESTADOS_ERP'!$A$4:$A$22,0)),"Pendiente"))</f>
        <v/>
      </c>
      <c r="O539" s="24">
        <f>IF($J539="","",YEAR($J539+4-WEEKDAY($J539,2))&amp;"-S"&amp;TEXT(_xlfn.ISOWEEKNUM($J539),"00"))</f>
        <v/>
      </c>
      <c r="P539" s="24">
        <f>IF($J539="","",YEAR($J539))</f>
        <v/>
      </c>
      <c r="Q539" s="24">
        <f>IF($J539="","",MONTH($J539))</f>
        <v/>
      </c>
      <c r="R539" s="24">
        <f>IF($J539="","",$P539&amp;"-"&amp;TEXT($Q539,"00"))</f>
        <v/>
      </c>
      <c r="S539" s="24">
        <f>IF($J539="","",INDEX(lista_dias,WEEKDAY($J539,2)))</f>
        <v/>
      </c>
      <c r="T539" s="24">
        <f>IF($J539="","",IFERROR(INDEX('CALENDARIO'!$C$15:$C$214,MATCH(TEXT($J539,"yyyy-mm-dd")&amp;"|"&amp;$Y539&amp;"|"&amp;$Z539,'CALENDARIO'!$G$15:$G$214,0)),IFERROR(INDEX('CALENDARIO'!$C$15:$C$214,MATCH(TEXT($J539,"yyyy-mm-dd")&amp;"|"&amp;$Y539&amp;"|",'CALENDARIO'!$G$15:$G$214,0)),IFERROR(INDEX('CALENDARIO'!$C$15:$C$214,MATCH(TEXT($J539,"yyyy-mm-dd")&amp;"||",'CALENDARIO'!$G$15:$G$214,0)),INDEX(patronHabil,WEEKDAY($J539,2))))))</f>
        <v/>
      </c>
      <c r="U539" s="24">
        <f>IF($I539="","",IFERROR(INDEX('CAT_TIPOS_OT'!$C$4:$C$23,MATCH($I539,'CAT_TIPOS_OT'!$A$4:$A$23,0)),"sin_clasificar"))</f>
        <v/>
      </c>
      <c r="V539" s="24">
        <f>IF($I539="","",IF(IFERROR(INDEX('CAT_TIPOS_OT'!$D$4:$D$23,MATCH($I539,'CAT_TIPOS_OT'!$A$4:$A$23,0)),"SIN CLASIFICAR")="","SIN CLASIFICAR",IFERROR(INDEX('CAT_TIPOS_OT'!$D$4:$D$23,MATCH($I539,'CAT_TIPOS_OT'!$A$4:$A$23,0)),"SIN CLASIFICAR")))</f>
        <v/>
      </c>
      <c r="W539" s="24">
        <f>IF($H539="","",IF(IFERROR(INDEX('CAT_ACTIVIDADES'!$F$4:$F$26,MATCH($H539,'CAT_ACTIVIDADES'!$A$4:$A$26,0)),"")=0,"",IFERROR(INDEX('CAT_ACTIVIDADES'!$F$4:$F$26,MATCH($H539,'CAT_ACTIVIDADES'!$A$4:$A$26,0)),"")))</f>
        <v/>
      </c>
      <c r="X539" s="24">
        <f>IF($F539="","",IFERROR(INDEX('CAT_CENTROS_COSTO'!$F$4:$F$28,MATCH($F539,'CAT_CENTROS_COSTO'!$A$4:$A$28,0)),"(sin catálogo)"))</f>
        <v/>
      </c>
      <c r="Y539" s="24">
        <f>IF($F539="","",IFERROR(INDEX('CAT_CENTROS_COSTO'!$D$4:$D$28,MATCH($F539,'CAT_CENTROS_COSTO'!$A$4:$A$28,0)),"(sin catálogo)"))</f>
        <v/>
      </c>
      <c r="Z539" s="24">
        <f>IF($F539="","",IF((IFERROR(INDEX('CAT_CENTROS_COSTO'!$E$4:$E$28,MATCH($F539,'CAT_CENTROS_COSTO'!$A$4:$A$28,0)),""))&lt;&gt;"",IFERROR(INDEX('CAT_CENTROS_COSTO'!$E$4:$E$28,MATCH($F539,'CAT_CENTROS_COSTO'!$A$4:$A$28,0)),""),$Y539))</f>
        <v/>
      </c>
      <c r="AA539" s="24">
        <f>IF($F539="","",IFERROR(INDEX('CAT_CENTROS_COSTO'!$G$4:$G$28,MATCH($F539,'CAT_CENTROS_COSTO'!$A$4:$A$28,0)),"(sin catálogo)"))</f>
        <v/>
      </c>
      <c r="AB539" s="24">
        <f>IF($G539="","",IFERROR(INDEX('CAT_PUESTOS'!$B$4:$B$23,MATCH($G539,'CAT_PUESTOS'!$A$4:$A$23,0)),"(sin catálogo)"))</f>
        <v/>
      </c>
      <c r="AC539" s="24">
        <f>IF($H539="","",IFERROR(INDEX('CAT_ACTIVIDADES'!$B$4:$B$26,MATCH($H539,'CAT_ACTIVIDADES'!$A$4:$A$26,0)),"(sin catálogo)"))</f>
        <v/>
      </c>
      <c r="AD539" s="26">
        <f>IF($J539="","",TODAY()-$J539)</f>
        <v/>
      </c>
      <c r="AE539" s="26">
        <f>IF($J539="","",IF($J539&lt;=TODAY(),COUNTIFS(cal_fechas,"&gt;="&amp;$J539,cal_fechas,"&lt;"&amp;TODAY(),cal_habil,"sí"),-COUNTIFS(cal_fechas,"&gt;="&amp;TODAY(),cal_fechas,"&lt;"&amp;$J539,cal_habil,"sí")))</f>
        <v/>
      </c>
      <c r="AF539" s="24">
        <f>IF($AE539="","",IF($AE539&lt;0,"FUTURO",IF($AE539&gt;p_dias_backlog_max,"BACKLOG","MES CORRIENTE")))</f>
        <v/>
      </c>
      <c r="AG539" s="24">
        <f>IF($AE539="",FALSE,AND($AE539&gt;p_dias_backlog_min,$AE539&lt;=p_dias_backlog_max))</f>
        <v/>
      </c>
      <c r="AH539" s="4" t="n"/>
      <c r="AI539" s="24">
        <f>IF($AH539="","",IF((IFERROR(INDEX('ASIGNACIONES'!$J$4:$J$451,MATCH($O539&amp;"|"&amp;$S539&amp;"|"&amp;$AH539,'ASIGNACIONES'!$N$4:$N$451,0)),""))=0,"",IFERROR(INDEX('ASIGNACIONES'!$J$4:$J$451,MATCH($O539&amp;"|"&amp;$S539&amp;"|"&amp;$AH539,'ASIGNACIONES'!$N$4:$N$451,0)),"")))</f>
        <v/>
      </c>
      <c r="AJ539" s="42">
        <f>IF($AH539="","",SUMIFS('ORDENES'!$M$4:$M$1203,'ORDENES'!$AH$4:$AH$1203,$AH539,'ORDENES'!$O$4:$O$1203,$O539,'ORDENES'!$S$4:$S$1203,$S539))</f>
        <v/>
      </c>
      <c r="AK539" s="42">
        <f>IF($AJ539="","",p_factor_productividad*IFERROR(INDEX('ASIGNACIONES'!$M$4:$M$451,MATCH($O539&amp;"|"&amp;$S539&amp;"|"&amp;$AH539,'ASIGNACIONES'!$N$4:$N$451,0)),0)-$AJ539)</f>
        <v/>
      </c>
      <c r="AL539" s="32">
        <f>IF($A539="","",IFERROR(INDEX('2_IMPORTAR_EJECUCION'!$F$9:$F$1208,MATCH($AU539,'2_IMPORTAR_EJECUCION'!$J$9:$J$1208,0)),0))</f>
        <v/>
      </c>
      <c r="AM539" s="32">
        <f>IF($A539="","",MAX(0,IFERROR(INDEX('2_IMPORTAR_EJECUCION'!$H$9:$H$1208,MATCH($AU539,'2_IMPORTAR_EJECUCION'!$J$9:$J$1208,0)),0)-$AL539))</f>
        <v/>
      </c>
      <c r="AN539" s="32">
        <f>IF($A539="","",$AL539+$AM539)</f>
        <v/>
      </c>
      <c r="AO539" s="24">
        <f>IF($A539="","",IF(OR((IFERROR(INDEX('CAT_ACTIVIDADES'!$D$4:$D$26,MATCH($H539,'CAT_ACTIVIDADES'!$A$4:$A$26,0)),""))=0,(IFERROR(INDEX('CAT_ACTIVIDADES'!$D$4:$D$26,MATCH($H539,'CAT_ACTIVIDADES'!$A$4:$A$26,0)),""))=""),"SIN CLASIFICAR",IFERROR(INDEX('CAT_ACTIVIDADES'!$D$4:$D$26,MATCH($H539,'CAT_ACTIVIDADES'!$A$4:$A$26,0)),"")))</f>
        <v/>
      </c>
      <c r="AP539" s="4" t="n"/>
      <c r="AQ539" s="4" t="n"/>
      <c r="AR539" s="4" t="n"/>
      <c r="AS539" s="24">
        <f>IF($AR539="","",HYPERLINK(p_ruta_base_checklists&amp;$AR539,"abrir"))</f>
        <v/>
      </c>
      <c r="AT539" s="4" t="n"/>
      <c r="AU539" s="24">
        <f>IF($A539="","",$A539&amp;IF($B539="","0010",$B539))</f>
        <v/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41" t="n"/>
      <c r="K540" s="5" t="n"/>
      <c r="L540" s="18" t="n"/>
      <c r="M540" s="24">
        <f>IF($A540="","",IFERROR(INDEX('AJUSTES'!$B$4:$B$303,MATCH($AU540,'AJUSTES'!$A$4:$A$303,0)),IF($K540="","",$K540)))</f>
        <v/>
      </c>
      <c r="N540" s="24">
        <f>IF($A540="","",IFERROR(INDEX('CAT_ESTADOS_ERP'!$B$4:$B$22,MATCH(IFERROR(INDEX('2_IMPORTAR_EJECUCION'!$C$9:$C$1208,MATCH($AU540,'2_IMPORTAR_EJECUCION'!$J$9:$J$1208,0)),""),'CAT_ESTADOS_ERP'!$A$4:$A$22,0)),"Pendiente"))</f>
        <v/>
      </c>
      <c r="O540" s="24">
        <f>IF($J540="","",YEAR($J540+4-WEEKDAY($J540,2))&amp;"-S"&amp;TEXT(_xlfn.ISOWEEKNUM($J540),"00"))</f>
        <v/>
      </c>
      <c r="P540" s="24">
        <f>IF($J540="","",YEAR($J540))</f>
        <v/>
      </c>
      <c r="Q540" s="24">
        <f>IF($J540="","",MONTH($J540))</f>
        <v/>
      </c>
      <c r="R540" s="24">
        <f>IF($J540="","",$P540&amp;"-"&amp;TEXT($Q540,"00"))</f>
        <v/>
      </c>
      <c r="S540" s="24">
        <f>IF($J540="","",INDEX(lista_dias,WEEKDAY($J540,2)))</f>
        <v/>
      </c>
      <c r="T540" s="24">
        <f>IF($J540="","",IFERROR(INDEX('CALENDARIO'!$C$15:$C$214,MATCH(TEXT($J540,"yyyy-mm-dd")&amp;"|"&amp;$Y540&amp;"|"&amp;$Z540,'CALENDARIO'!$G$15:$G$214,0)),IFERROR(INDEX('CALENDARIO'!$C$15:$C$214,MATCH(TEXT($J540,"yyyy-mm-dd")&amp;"|"&amp;$Y540&amp;"|",'CALENDARIO'!$G$15:$G$214,0)),IFERROR(INDEX('CALENDARIO'!$C$15:$C$214,MATCH(TEXT($J540,"yyyy-mm-dd")&amp;"||",'CALENDARIO'!$G$15:$G$214,0)),INDEX(patronHabil,WEEKDAY($J540,2))))))</f>
        <v/>
      </c>
      <c r="U540" s="24">
        <f>IF($I540="","",IFERROR(INDEX('CAT_TIPOS_OT'!$C$4:$C$23,MATCH($I540,'CAT_TIPOS_OT'!$A$4:$A$23,0)),"sin_clasificar"))</f>
        <v/>
      </c>
      <c r="V540" s="24">
        <f>IF($I540="","",IF(IFERROR(INDEX('CAT_TIPOS_OT'!$D$4:$D$23,MATCH($I540,'CAT_TIPOS_OT'!$A$4:$A$23,0)),"SIN CLASIFICAR")="","SIN CLASIFICAR",IFERROR(INDEX('CAT_TIPOS_OT'!$D$4:$D$23,MATCH($I540,'CAT_TIPOS_OT'!$A$4:$A$23,0)),"SIN CLASIFICAR")))</f>
        <v/>
      </c>
      <c r="W540" s="24">
        <f>IF($H540="","",IF(IFERROR(INDEX('CAT_ACTIVIDADES'!$F$4:$F$26,MATCH($H540,'CAT_ACTIVIDADES'!$A$4:$A$26,0)),"")=0,"",IFERROR(INDEX('CAT_ACTIVIDADES'!$F$4:$F$26,MATCH($H540,'CAT_ACTIVIDADES'!$A$4:$A$26,0)),"")))</f>
        <v/>
      </c>
      <c r="X540" s="24">
        <f>IF($F540="","",IFERROR(INDEX('CAT_CENTROS_COSTO'!$F$4:$F$28,MATCH($F540,'CAT_CENTROS_COSTO'!$A$4:$A$28,0)),"(sin catálogo)"))</f>
        <v/>
      </c>
      <c r="Y540" s="24">
        <f>IF($F540="","",IFERROR(INDEX('CAT_CENTROS_COSTO'!$D$4:$D$28,MATCH($F540,'CAT_CENTROS_COSTO'!$A$4:$A$28,0)),"(sin catálogo)"))</f>
        <v/>
      </c>
      <c r="Z540" s="24">
        <f>IF($F540="","",IF((IFERROR(INDEX('CAT_CENTROS_COSTO'!$E$4:$E$28,MATCH($F540,'CAT_CENTROS_COSTO'!$A$4:$A$28,0)),""))&lt;&gt;"",IFERROR(INDEX('CAT_CENTROS_COSTO'!$E$4:$E$28,MATCH($F540,'CAT_CENTROS_COSTO'!$A$4:$A$28,0)),""),$Y540))</f>
        <v/>
      </c>
      <c r="AA540" s="24">
        <f>IF($F540="","",IFERROR(INDEX('CAT_CENTROS_COSTO'!$G$4:$G$28,MATCH($F540,'CAT_CENTROS_COSTO'!$A$4:$A$28,0)),"(sin catálogo)"))</f>
        <v/>
      </c>
      <c r="AB540" s="24">
        <f>IF($G540="","",IFERROR(INDEX('CAT_PUESTOS'!$B$4:$B$23,MATCH($G540,'CAT_PUESTOS'!$A$4:$A$23,0)),"(sin catálogo)"))</f>
        <v/>
      </c>
      <c r="AC540" s="24">
        <f>IF($H540="","",IFERROR(INDEX('CAT_ACTIVIDADES'!$B$4:$B$26,MATCH($H540,'CAT_ACTIVIDADES'!$A$4:$A$26,0)),"(sin catálogo)"))</f>
        <v/>
      </c>
      <c r="AD540" s="26">
        <f>IF($J540="","",TODAY()-$J540)</f>
        <v/>
      </c>
      <c r="AE540" s="26">
        <f>IF($J540="","",IF($J540&lt;=TODAY(),COUNTIFS(cal_fechas,"&gt;="&amp;$J540,cal_fechas,"&lt;"&amp;TODAY(),cal_habil,"sí"),-COUNTIFS(cal_fechas,"&gt;="&amp;TODAY(),cal_fechas,"&lt;"&amp;$J540,cal_habil,"sí")))</f>
        <v/>
      </c>
      <c r="AF540" s="24">
        <f>IF($AE540="","",IF($AE540&lt;0,"FUTURO",IF($AE540&gt;p_dias_backlog_max,"BACKLOG","MES CORRIENTE")))</f>
        <v/>
      </c>
      <c r="AG540" s="24">
        <f>IF($AE540="",FALSE,AND($AE540&gt;p_dias_backlog_min,$AE540&lt;=p_dias_backlog_max))</f>
        <v/>
      </c>
      <c r="AH540" s="4" t="n"/>
      <c r="AI540" s="24">
        <f>IF($AH540="","",IF((IFERROR(INDEX('ASIGNACIONES'!$J$4:$J$451,MATCH($O540&amp;"|"&amp;$S540&amp;"|"&amp;$AH540,'ASIGNACIONES'!$N$4:$N$451,0)),""))=0,"",IFERROR(INDEX('ASIGNACIONES'!$J$4:$J$451,MATCH($O540&amp;"|"&amp;$S540&amp;"|"&amp;$AH540,'ASIGNACIONES'!$N$4:$N$451,0)),"")))</f>
        <v/>
      </c>
      <c r="AJ540" s="42">
        <f>IF($AH540="","",SUMIFS('ORDENES'!$M$4:$M$1203,'ORDENES'!$AH$4:$AH$1203,$AH540,'ORDENES'!$O$4:$O$1203,$O540,'ORDENES'!$S$4:$S$1203,$S540))</f>
        <v/>
      </c>
      <c r="AK540" s="42">
        <f>IF($AJ540="","",p_factor_productividad*IFERROR(INDEX('ASIGNACIONES'!$M$4:$M$451,MATCH($O540&amp;"|"&amp;$S540&amp;"|"&amp;$AH540,'ASIGNACIONES'!$N$4:$N$451,0)),0)-$AJ540)</f>
        <v/>
      </c>
      <c r="AL540" s="32">
        <f>IF($A540="","",IFERROR(INDEX('2_IMPORTAR_EJECUCION'!$F$9:$F$1208,MATCH($AU540,'2_IMPORTAR_EJECUCION'!$J$9:$J$1208,0)),0))</f>
        <v/>
      </c>
      <c r="AM540" s="32">
        <f>IF($A540="","",MAX(0,IFERROR(INDEX('2_IMPORTAR_EJECUCION'!$H$9:$H$1208,MATCH($AU540,'2_IMPORTAR_EJECUCION'!$J$9:$J$1208,0)),0)-$AL540))</f>
        <v/>
      </c>
      <c r="AN540" s="32">
        <f>IF($A540="","",$AL540+$AM540)</f>
        <v/>
      </c>
      <c r="AO540" s="24">
        <f>IF($A540="","",IF(OR((IFERROR(INDEX('CAT_ACTIVIDADES'!$D$4:$D$26,MATCH($H540,'CAT_ACTIVIDADES'!$A$4:$A$26,0)),""))=0,(IFERROR(INDEX('CAT_ACTIVIDADES'!$D$4:$D$26,MATCH($H540,'CAT_ACTIVIDADES'!$A$4:$A$26,0)),""))=""),"SIN CLASIFICAR",IFERROR(INDEX('CAT_ACTIVIDADES'!$D$4:$D$26,MATCH($H540,'CAT_ACTIVIDADES'!$A$4:$A$26,0)),"")))</f>
        <v/>
      </c>
      <c r="AP540" s="4" t="n"/>
      <c r="AQ540" s="4" t="n"/>
      <c r="AR540" s="4" t="n"/>
      <c r="AS540" s="24">
        <f>IF($AR540="","",HYPERLINK(p_ruta_base_checklists&amp;$AR540,"abrir"))</f>
        <v/>
      </c>
      <c r="AT540" s="4" t="n"/>
      <c r="AU540" s="24">
        <f>IF($A540="","",$A540&amp;IF($B540="","0010",$B540))</f>
        <v/>
      </c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41" t="n"/>
      <c r="K541" s="5" t="n"/>
      <c r="L541" s="18" t="n"/>
      <c r="M541" s="24">
        <f>IF($A541="","",IFERROR(INDEX('AJUSTES'!$B$4:$B$303,MATCH($AU541,'AJUSTES'!$A$4:$A$303,0)),IF($K541="","",$K541)))</f>
        <v/>
      </c>
      <c r="N541" s="24">
        <f>IF($A541="","",IFERROR(INDEX('CAT_ESTADOS_ERP'!$B$4:$B$22,MATCH(IFERROR(INDEX('2_IMPORTAR_EJECUCION'!$C$9:$C$1208,MATCH($AU541,'2_IMPORTAR_EJECUCION'!$J$9:$J$1208,0)),""),'CAT_ESTADOS_ERP'!$A$4:$A$22,0)),"Pendiente"))</f>
        <v/>
      </c>
      <c r="O541" s="24">
        <f>IF($J541="","",YEAR($J541+4-WEEKDAY($J541,2))&amp;"-S"&amp;TEXT(_xlfn.ISOWEEKNUM($J541),"00"))</f>
        <v/>
      </c>
      <c r="P541" s="24">
        <f>IF($J541="","",YEAR($J541))</f>
        <v/>
      </c>
      <c r="Q541" s="24">
        <f>IF($J541="","",MONTH($J541))</f>
        <v/>
      </c>
      <c r="R541" s="24">
        <f>IF($J541="","",$P541&amp;"-"&amp;TEXT($Q541,"00"))</f>
        <v/>
      </c>
      <c r="S541" s="24">
        <f>IF($J541="","",INDEX(lista_dias,WEEKDAY($J541,2)))</f>
        <v/>
      </c>
      <c r="T541" s="24">
        <f>IF($J541="","",IFERROR(INDEX('CALENDARIO'!$C$15:$C$214,MATCH(TEXT($J541,"yyyy-mm-dd")&amp;"|"&amp;$Y541&amp;"|"&amp;$Z541,'CALENDARIO'!$G$15:$G$214,0)),IFERROR(INDEX('CALENDARIO'!$C$15:$C$214,MATCH(TEXT($J541,"yyyy-mm-dd")&amp;"|"&amp;$Y541&amp;"|",'CALENDARIO'!$G$15:$G$214,0)),IFERROR(INDEX('CALENDARIO'!$C$15:$C$214,MATCH(TEXT($J541,"yyyy-mm-dd")&amp;"||",'CALENDARIO'!$G$15:$G$214,0)),INDEX(patronHabil,WEEKDAY($J541,2))))))</f>
        <v/>
      </c>
      <c r="U541" s="24">
        <f>IF($I541="","",IFERROR(INDEX('CAT_TIPOS_OT'!$C$4:$C$23,MATCH($I541,'CAT_TIPOS_OT'!$A$4:$A$23,0)),"sin_clasificar"))</f>
        <v/>
      </c>
      <c r="V541" s="24">
        <f>IF($I541="","",IF(IFERROR(INDEX('CAT_TIPOS_OT'!$D$4:$D$23,MATCH($I541,'CAT_TIPOS_OT'!$A$4:$A$23,0)),"SIN CLASIFICAR")="","SIN CLASIFICAR",IFERROR(INDEX('CAT_TIPOS_OT'!$D$4:$D$23,MATCH($I541,'CAT_TIPOS_OT'!$A$4:$A$23,0)),"SIN CLASIFICAR")))</f>
        <v/>
      </c>
      <c r="W541" s="24">
        <f>IF($H541="","",IF(IFERROR(INDEX('CAT_ACTIVIDADES'!$F$4:$F$26,MATCH($H541,'CAT_ACTIVIDADES'!$A$4:$A$26,0)),"")=0,"",IFERROR(INDEX('CAT_ACTIVIDADES'!$F$4:$F$26,MATCH($H541,'CAT_ACTIVIDADES'!$A$4:$A$26,0)),"")))</f>
        <v/>
      </c>
      <c r="X541" s="24">
        <f>IF($F541="","",IFERROR(INDEX('CAT_CENTROS_COSTO'!$F$4:$F$28,MATCH($F541,'CAT_CENTROS_COSTO'!$A$4:$A$28,0)),"(sin catálogo)"))</f>
        <v/>
      </c>
      <c r="Y541" s="24">
        <f>IF($F541="","",IFERROR(INDEX('CAT_CENTROS_COSTO'!$D$4:$D$28,MATCH($F541,'CAT_CENTROS_COSTO'!$A$4:$A$28,0)),"(sin catálogo)"))</f>
        <v/>
      </c>
      <c r="Z541" s="24">
        <f>IF($F541="","",IF((IFERROR(INDEX('CAT_CENTROS_COSTO'!$E$4:$E$28,MATCH($F541,'CAT_CENTROS_COSTO'!$A$4:$A$28,0)),""))&lt;&gt;"",IFERROR(INDEX('CAT_CENTROS_COSTO'!$E$4:$E$28,MATCH($F541,'CAT_CENTROS_COSTO'!$A$4:$A$28,0)),""),$Y541))</f>
        <v/>
      </c>
      <c r="AA541" s="24">
        <f>IF($F541="","",IFERROR(INDEX('CAT_CENTROS_COSTO'!$G$4:$G$28,MATCH($F541,'CAT_CENTROS_COSTO'!$A$4:$A$28,0)),"(sin catálogo)"))</f>
        <v/>
      </c>
      <c r="AB541" s="24">
        <f>IF($G541="","",IFERROR(INDEX('CAT_PUESTOS'!$B$4:$B$23,MATCH($G541,'CAT_PUESTOS'!$A$4:$A$23,0)),"(sin catálogo)"))</f>
        <v/>
      </c>
      <c r="AC541" s="24">
        <f>IF($H541="","",IFERROR(INDEX('CAT_ACTIVIDADES'!$B$4:$B$26,MATCH($H541,'CAT_ACTIVIDADES'!$A$4:$A$26,0)),"(sin catálogo)"))</f>
        <v/>
      </c>
      <c r="AD541" s="26">
        <f>IF($J541="","",TODAY()-$J541)</f>
        <v/>
      </c>
      <c r="AE541" s="26">
        <f>IF($J541="","",IF($J541&lt;=TODAY(),COUNTIFS(cal_fechas,"&gt;="&amp;$J541,cal_fechas,"&lt;"&amp;TODAY(),cal_habil,"sí"),-COUNTIFS(cal_fechas,"&gt;="&amp;TODAY(),cal_fechas,"&lt;"&amp;$J541,cal_habil,"sí")))</f>
        <v/>
      </c>
      <c r="AF541" s="24">
        <f>IF($AE541="","",IF($AE541&lt;0,"FUTURO",IF($AE541&gt;p_dias_backlog_max,"BACKLOG","MES CORRIENTE")))</f>
        <v/>
      </c>
      <c r="AG541" s="24">
        <f>IF($AE541="",FALSE,AND($AE541&gt;p_dias_backlog_min,$AE541&lt;=p_dias_backlog_max))</f>
        <v/>
      </c>
      <c r="AH541" s="4" t="n"/>
      <c r="AI541" s="24">
        <f>IF($AH541="","",IF((IFERROR(INDEX('ASIGNACIONES'!$J$4:$J$451,MATCH($O541&amp;"|"&amp;$S541&amp;"|"&amp;$AH541,'ASIGNACIONES'!$N$4:$N$451,0)),""))=0,"",IFERROR(INDEX('ASIGNACIONES'!$J$4:$J$451,MATCH($O541&amp;"|"&amp;$S541&amp;"|"&amp;$AH541,'ASIGNACIONES'!$N$4:$N$451,0)),"")))</f>
        <v/>
      </c>
      <c r="AJ541" s="42">
        <f>IF($AH541="","",SUMIFS('ORDENES'!$M$4:$M$1203,'ORDENES'!$AH$4:$AH$1203,$AH541,'ORDENES'!$O$4:$O$1203,$O541,'ORDENES'!$S$4:$S$1203,$S541))</f>
        <v/>
      </c>
      <c r="AK541" s="42">
        <f>IF($AJ541="","",p_factor_productividad*IFERROR(INDEX('ASIGNACIONES'!$M$4:$M$451,MATCH($O541&amp;"|"&amp;$S541&amp;"|"&amp;$AH541,'ASIGNACIONES'!$N$4:$N$451,0)),0)-$AJ541)</f>
        <v/>
      </c>
      <c r="AL541" s="32">
        <f>IF($A541="","",IFERROR(INDEX('2_IMPORTAR_EJECUCION'!$F$9:$F$1208,MATCH($AU541,'2_IMPORTAR_EJECUCION'!$J$9:$J$1208,0)),0))</f>
        <v/>
      </c>
      <c r="AM541" s="32">
        <f>IF($A541="","",MAX(0,IFERROR(INDEX('2_IMPORTAR_EJECUCION'!$H$9:$H$1208,MATCH($AU541,'2_IMPORTAR_EJECUCION'!$J$9:$J$1208,0)),0)-$AL541))</f>
        <v/>
      </c>
      <c r="AN541" s="32">
        <f>IF($A541="","",$AL541+$AM541)</f>
        <v/>
      </c>
      <c r="AO541" s="24">
        <f>IF($A541="","",IF(OR((IFERROR(INDEX('CAT_ACTIVIDADES'!$D$4:$D$26,MATCH($H541,'CAT_ACTIVIDADES'!$A$4:$A$26,0)),""))=0,(IFERROR(INDEX('CAT_ACTIVIDADES'!$D$4:$D$26,MATCH($H541,'CAT_ACTIVIDADES'!$A$4:$A$26,0)),""))=""),"SIN CLASIFICAR",IFERROR(INDEX('CAT_ACTIVIDADES'!$D$4:$D$26,MATCH($H541,'CAT_ACTIVIDADES'!$A$4:$A$26,0)),"")))</f>
        <v/>
      </c>
      <c r="AP541" s="4" t="n"/>
      <c r="AQ541" s="4" t="n"/>
      <c r="AR541" s="4" t="n"/>
      <c r="AS541" s="24">
        <f>IF($AR541="","",HYPERLINK(p_ruta_base_checklists&amp;$AR541,"abrir"))</f>
        <v/>
      </c>
      <c r="AT541" s="4" t="n"/>
      <c r="AU541" s="24">
        <f>IF($A541="","",$A541&amp;IF($B541="","0010",$B541))</f>
        <v/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41" t="n"/>
      <c r="K542" s="5" t="n"/>
      <c r="L542" s="18" t="n"/>
      <c r="M542" s="24">
        <f>IF($A542="","",IFERROR(INDEX('AJUSTES'!$B$4:$B$303,MATCH($AU542,'AJUSTES'!$A$4:$A$303,0)),IF($K542="","",$K542)))</f>
        <v/>
      </c>
      <c r="N542" s="24">
        <f>IF($A542="","",IFERROR(INDEX('CAT_ESTADOS_ERP'!$B$4:$B$22,MATCH(IFERROR(INDEX('2_IMPORTAR_EJECUCION'!$C$9:$C$1208,MATCH($AU542,'2_IMPORTAR_EJECUCION'!$J$9:$J$1208,0)),""),'CAT_ESTADOS_ERP'!$A$4:$A$22,0)),"Pendiente"))</f>
        <v/>
      </c>
      <c r="O542" s="24">
        <f>IF($J542="","",YEAR($J542+4-WEEKDAY($J542,2))&amp;"-S"&amp;TEXT(_xlfn.ISOWEEKNUM($J542),"00"))</f>
        <v/>
      </c>
      <c r="P542" s="24">
        <f>IF($J542="","",YEAR($J542))</f>
        <v/>
      </c>
      <c r="Q542" s="24">
        <f>IF($J542="","",MONTH($J542))</f>
        <v/>
      </c>
      <c r="R542" s="24">
        <f>IF($J542="","",$P542&amp;"-"&amp;TEXT($Q542,"00"))</f>
        <v/>
      </c>
      <c r="S542" s="24">
        <f>IF($J542="","",INDEX(lista_dias,WEEKDAY($J542,2)))</f>
        <v/>
      </c>
      <c r="T542" s="24">
        <f>IF($J542="","",IFERROR(INDEX('CALENDARIO'!$C$15:$C$214,MATCH(TEXT($J542,"yyyy-mm-dd")&amp;"|"&amp;$Y542&amp;"|"&amp;$Z542,'CALENDARIO'!$G$15:$G$214,0)),IFERROR(INDEX('CALENDARIO'!$C$15:$C$214,MATCH(TEXT($J542,"yyyy-mm-dd")&amp;"|"&amp;$Y542&amp;"|",'CALENDARIO'!$G$15:$G$214,0)),IFERROR(INDEX('CALENDARIO'!$C$15:$C$214,MATCH(TEXT($J542,"yyyy-mm-dd")&amp;"||",'CALENDARIO'!$G$15:$G$214,0)),INDEX(patronHabil,WEEKDAY($J542,2))))))</f>
        <v/>
      </c>
      <c r="U542" s="24">
        <f>IF($I542="","",IFERROR(INDEX('CAT_TIPOS_OT'!$C$4:$C$23,MATCH($I542,'CAT_TIPOS_OT'!$A$4:$A$23,0)),"sin_clasificar"))</f>
        <v/>
      </c>
      <c r="V542" s="24">
        <f>IF($I542="","",IF(IFERROR(INDEX('CAT_TIPOS_OT'!$D$4:$D$23,MATCH($I542,'CAT_TIPOS_OT'!$A$4:$A$23,0)),"SIN CLASIFICAR")="","SIN CLASIFICAR",IFERROR(INDEX('CAT_TIPOS_OT'!$D$4:$D$23,MATCH($I542,'CAT_TIPOS_OT'!$A$4:$A$23,0)),"SIN CLASIFICAR")))</f>
        <v/>
      </c>
      <c r="W542" s="24">
        <f>IF($H542="","",IF(IFERROR(INDEX('CAT_ACTIVIDADES'!$F$4:$F$26,MATCH($H542,'CAT_ACTIVIDADES'!$A$4:$A$26,0)),"")=0,"",IFERROR(INDEX('CAT_ACTIVIDADES'!$F$4:$F$26,MATCH($H542,'CAT_ACTIVIDADES'!$A$4:$A$26,0)),"")))</f>
        <v/>
      </c>
      <c r="X542" s="24">
        <f>IF($F542="","",IFERROR(INDEX('CAT_CENTROS_COSTO'!$F$4:$F$28,MATCH($F542,'CAT_CENTROS_COSTO'!$A$4:$A$28,0)),"(sin catálogo)"))</f>
        <v/>
      </c>
      <c r="Y542" s="24">
        <f>IF($F542="","",IFERROR(INDEX('CAT_CENTROS_COSTO'!$D$4:$D$28,MATCH($F542,'CAT_CENTROS_COSTO'!$A$4:$A$28,0)),"(sin catálogo)"))</f>
        <v/>
      </c>
      <c r="Z542" s="24">
        <f>IF($F542="","",IF((IFERROR(INDEX('CAT_CENTROS_COSTO'!$E$4:$E$28,MATCH($F542,'CAT_CENTROS_COSTO'!$A$4:$A$28,0)),""))&lt;&gt;"",IFERROR(INDEX('CAT_CENTROS_COSTO'!$E$4:$E$28,MATCH($F542,'CAT_CENTROS_COSTO'!$A$4:$A$28,0)),""),$Y542))</f>
        <v/>
      </c>
      <c r="AA542" s="24">
        <f>IF($F542="","",IFERROR(INDEX('CAT_CENTROS_COSTO'!$G$4:$G$28,MATCH($F542,'CAT_CENTROS_COSTO'!$A$4:$A$28,0)),"(sin catálogo)"))</f>
        <v/>
      </c>
      <c r="AB542" s="24">
        <f>IF($G542="","",IFERROR(INDEX('CAT_PUESTOS'!$B$4:$B$23,MATCH($G542,'CAT_PUESTOS'!$A$4:$A$23,0)),"(sin catálogo)"))</f>
        <v/>
      </c>
      <c r="AC542" s="24">
        <f>IF($H542="","",IFERROR(INDEX('CAT_ACTIVIDADES'!$B$4:$B$26,MATCH($H542,'CAT_ACTIVIDADES'!$A$4:$A$26,0)),"(sin catálogo)"))</f>
        <v/>
      </c>
      <c r="AD542" s="26">
        <f>IF($J542="","",TODAY()-$J542)</f>
        <v/>
      </c>
      <c r="AE542" s="26">
        <f>IF($J542="","",IF($J542&lt;=TODAY(),COUNTIFS(cal_fechas,"&gt;="&amp;$J542,cal_fechas,"&lt;"&amp;TODAY(),cal_habil,"sí"),-COUNTIFS(cal_fechas,"&gt;="&amp;TODAY(),cal_fechas,"&lt;"&amp;$J542,cal_habil,"sí")))</f>
        <v/>
      </c>
      <c r="AF542" s="24">
        <f>IF($AE542="","",IF($AE542&lt;0,"FUTURO",IF($AE542&gt;p_dias_backlog_max,"BACKLOG","MES CORRIENTE")))</f>
        <v/>
      </c>
      <c r="AG542" s="24">
        <f>IF($AE542="",FALSE,AND($AE542&gt;p_dias_backlog_min,$AE542&lt;=p_dias_backlog_max))</f>
        <v/>
      </c>
      <c r="AH542" s="4" t="n"/>
      <c r="AI542" s="24">
        <f>IF($AH542="","",IF((IFERROR(INDEX('ASIGNACIONES'!$J$4:$J$451,MATCH($O542&amp;"|"&amp;$S542&amp;"|"&amp;$AH542,'ASIGNACIONES'!$N$4:$N$451,0)),""))=0,"",IFERROR(INDEX('ASIGNACIONES'!$J$4:$J$451,MATCH($O542&amp;"|"&amp;$S542&amp;"|"&amp;$AH542,'ASIGNACIONES'!$N$4:$N$451,0)),"")))</f>
        <v/>
      </c>
      <c r="AJ542" s="42">
        <f>IF($AH542="","",SUMIFS('ORDENES'!$M$4:$M$1203,'ORDENES'!$AH$4:$AH$1203,$AH542,'ORDENES'!$O$4:$O$1203,$O542,'ORDENES'!$S$4:$S$1203,$S542))</f>
        <v/>
      </c>
      <c r="AK542" s="42">
        <f>IF($AJ542="","",p_factor_productividad*IFERROR(INDEX('ASIGNACIONES'!$M$4:$M$451,MATCH($O542&amp;"|"&amp;$S542&amp;"|"&amp;$AH542,'ASIGNACIONES'!$N$4:$N$451,0)),0)-$AJ542)</f>
        <v/>
      </c>
      <c r="AL542" s="32">
        <f>IF($A542="","",IFERROR(INDEX('2_IMPORTAR_EJECUCION'!$F$9:$F$1208,MATCH($AU542,'2_IMPORTAR_EJECUCION'!$J$9:$J$1208,0)),0))</f>
        <v/>
      </c>
      <c r="AM542" s="32">
        <f>IF($A542="","",MAX(0,IFERROR(INDEX('2_IMPORTAR_EJECUCION'!$H$9:$H$1208,MATCH($AU542,'2_IMPORTAR_EJECUCION'!$J$9:$J$1208,0)),0)-$AL542))</f>
        <v/>
      </c>
      <c r="AN542" s="32">
        <f>IF($A542="","",$AL542+$AM542)</f>
        <v/>
      </c>
      <c r="AO542" s="24">
        <f>IF($A542="","",IF(OR((IFERROR(INDEX('CAT_ACTIVIDADES'!$D$4:$D$26,MATCH($H542,'CAT_ACTIVIDADES'!$A$4:$A$26,0)),""))=0,(IFERROR(INDEX('CAT_ACTIVIDADES'!$D$4:$D$26,MATCH($H542,'CAT_ACTIVIDADES'!$A$4:$A$26,0)),""))=""),"SIN CLASIFICAR",IFERROR(INDEX('CAT_ACTIVIDADES'!$D$4:$D$26,MATCH($H542,'CAT_ACTIVIDADES'!$A$4:$A$26,0)),"")))</f>
        <v/>
      </c>
      <c r="AP542" s="4" t="n"/>
      <c r="AQ542" s="4" t="n"/>
      <c r="AR542" s="4" t="n"/>
      <c r="AS542" s="24">
        <f>IF($AR542="","",HYPERLINK(p_ruta_base_checklists&amp;$AR542,"abrir"))</f>
        <v/>
      </c>
      <c r="AT542" s="4" t="n"/>
      <c r="AU542" s="24">
        <f>IF($A542="","",$A542&amp;IF($B542="","0010",$B542))</f>
        <v/>
      </c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41" t="n"/>
      <c r="K543" s="5" t="n"/>
      <c r="L543" s="18" t="n"/>
      <c r="M543" s="24">
        <f>IF($A543="","",IFERROR(INDEX('AJUSTES'!$B$4:$B$303,MATCH($AU543,'AJUSTES'!$A$4:$A$303,0)),IF($K543="","",$K543)))</f>
        <v/>
      </c>
      <c r="N543" s="24">
        <f>IF($A543="","",IFERROR(INDEX('CAT_ESTADOS_ERP'!$B$4:$B$22,MATCH(IFERROR(INDEX('2_IMPORTAR_EJECUCION'!$C$9:$C$1208,MATCH($AU543,'2_IMPORTAR_EJECUCION'!$J$9:$J$1208,0)),""),'CAT_ESTADOS_ERP'!$A$4:$A$22,0)),"Pendiente"))</f>
        <v/>
      </c>
      <c r="O543" s="24">
        <f>IF($J543="","",YEAR($J543+4-WEEKDAY($J543,2))&amp;"-S"&amp;TEXT(_xlfn.ISOWEEKNUM($J543),"00"))</f>
        <v/>
      </c>
      <c r="P543" s="24">
        <f>IF($J543="","",YEAR($J543))</f>
        <v/>
      </c>
      <c r="Q543" s="24">
        <f>IF($J543="","",MONTH($J543))</f>
        <v/>
      </c>
      <c r="R543" s="24">
        <f>IF($J543="","",$P543&amp;"-"&amp;TEXT($Q543,"00"))</f>
        <v/>
      </c>
      <c r="S543" s="24">
        <f>IF($J543="","",INDEX(lista_dias,WEEKDAY($J543,2)))</f>
        <v/>
      </c>
      <c r="T543" s="24">
        <f>IF($J543="","",IFERROR(INDEX('CALENDARIO'!$C$15:$C$214,MATCH(TEXT($J543,"yyyy-mm-dd")&amp;"|"&amp;$Y543&amp;"|"&amp;$Z543,'CALENDARIO'!$G$15:$G$214,0)),IFERROR(INDEX('CALENDARIO'!$C$15:$C$214,MATCH(TEXT($J543,"yyyy-mm-dd")&amp;"|"&amp;$Y543&amp;"|",'CALENDARIO'!$G$15:$G$214,0)),IFERROR(INDEX('CALENDARIO'!$C$15:$C$214,MATCH(TEXT($J543,"yyyy-mm-dd")&amp;"||",'CALENDARIO'!$G$15:$G$214,0)),INDEX(patronHabil,WEEKDAY($J543,2))))))</f>
        <v/>
      </c>
      <c r="U543" s="24">
        <f>IF($I543="","",IFERROR(INDEX('CAT_TIPOS_OT'!$C$4:$C$23,MATCH($I543,'CAT_TIPOS_OT'!$A$4:$A$23,0)),"sin_clasificar"))</f>
        <v/>
      </c>
      <c r="V543" s="24">
        <f>IF($I543="","",IF(IFERROR(INDEX('CAT_TIPOS_OT'!$D$4:$D$23,MATCH($I543,'CAT_TIPOS_OT'!$A$4:$A$23,0)),"SIN CLASIFICAR")="","SIN CLASIFICAR",IFERROR(INDEX('CAT_TIPOS_OT'!$D$4:$D$23,MATCH($I543,'CAT_TIPOS_OT'!$A$4:$A$23,0)),"SIN CLASIFICAR")))</f>
        <v/>
      </c>
      <c r="W543" s="24">
        <f>IF($H543="","",IF(IFERROR(INDEX('CAT_ACTIVIDADES'!$F$4:$F$26,MATCH($H543,'CAT_ACTIVIDADES'!$A$4:$A$26,0)),"")=0,"",IFERROR(INDEX('CAT_ACTIVIDADES'!$F$4:$F$26,MATCH($H543,'CAT_ACTIVIDADES'!$A$4:$A$26,0)),"")))</f>
        <v/>
      </c>
      <c r="X543" s="24">
        <f>IF($F543="","",IFERROR(INDEX('CAT_CENTROS_COSTO'!$F$4:$F$28,MATCH($F543,'CAT_CENTROS_COSTO'!$A$4:$A$28,0)),"(sin catálogo)"))</f>
        <v/>
      </c>
      <c r="Y543" s="24">
        <f>IF($F543="","",IFERROR(INDEX('CAT_CENTROS_COSTO'!$D$4:$D$28,MATCH($F543,'CAT_CENTROS_COSTO'!$A$4:$A$28,0)),"(sin catálogo)"))</f>
        <v/>
      </c>
      <c r="Z543" s="24">
        <f>IF($F543="","",IF((IFERROR(INDEX('CAT_CENTROS_COSTO'!$E$4:$E$28,MATCH($F543,'CAT_CENTROS_COSTO'!$A$4:$A$28,0)),""))&lt;&gt;"",IFERROR(INDEX('CAT_CENTROS_COSTO'!$E$4:$E$28,MATCH($F543,'CAT_CENTROS_COSTO'!$A$4:$A$28,0)),""),$Y543))</f>
        <v/>
      </c>
      <c r="AA543" s="24">
        <f>IF($F543="","",IFERROR(INDEX('CAT_CENTROS_COSTO'!$G$4:$G$28,MATCH($F543,'CAT_CENTROS_COSTO'!$A$4:$A$28,0)),"(sin catálogo)"))</f>
        <v/>
      </c>
      <c r="AB543" s="24">
        <f>IF($G543="","",IFERROR(INDEX('CAT_PUESTOS'!$B$4:$B$23,MATCH($G543,'CAT_PUESTOS'!$A$4:$A$23,0)),"(sin catálogo)"))</f>
        <v/>
      </c>
      <c r="AC543" s="24">
        <f>IF($H543="","",IFERROR(INDEX('CAT_ACTIVIDADES'!$B$4:$B$26,MATCH($H543,'CAT_ACTIVIDADES'!$A$4:$A$26,0)),"(sin catálogo)"))</f>
        <v/>
      </c>
      <c r="AD543" s="26">
        <f>IF($J543="","",TODAY()-$J543)</f>
        <v/>
      </c>
      <c r="AE543" s="26">
        <f>IF($J543="","",IF($J543&lt;=TODAY(),COUNTIFS(cal_fechas,"&gt;="&amp;$J543,cal_fechas,"&lt;"&amp;TODAY(),cal_habil,"sí"),-COUNTIFS(cal_fechas,"&gt;="&amp;TODAY(),cal_fechas,"&lt;"&amp;$J543,cal_habil,"sí")))</f>
        <v/>
      </c>
      <c r="AF543" s="24">
        <f>IF($AE543="","",IF($AE543&lt;0,"FUTURO",IF($AE543&gt;p_dias_backlog_max,"BACKLOG","MES CORRIENTE")))</f>
        <v/>
      </c>
      <c r="AG543" s="24">
        <f>IF($AE543="",FALSE,AND($AE543&gt;p_dias_backlog_min,$AE543&lt;=p_dias_backlog_max))</f>
        <v/>
      </c>
      <c r="AH543" s="4" t="n"/>
      <c r="AI543" s="24">
        <f>IF($AH543="","",IF((IFERROR(INDEX('ASIGNACIONES'!$J$4:$J$451,MATCH($O543&amp;"|"&amp;$S543&amp;"|"&amp;$AH543,'ASIGNACIONES'!$N$4:$N$451,0)),""))=0,"",IFERROR(INDEX('ASIGNACIONES'!$J$4:$J$451,MATCH($O543&amp;"|"&amp;$S543&amp;"|"&amp;$AH543,'ASIGNACIONES'!$N$4:$N$451,0)),"")))</f>
        <v/>
      </c>
      <c r="AJ543" s="42">
        <f>IF($AH543="","",SUMIFS('ORDENES'!$M$4:$M$1203,'ORDENES'!$AH$4:$AH$1203,$AH543,'ORDENES'!$O$4:$O$1203,$O543,'ORDENES'!$S$4:$S$1203,$S543))</f>
        <v/>
      </c>
      <c r="AK543" s="42">
        <f>IF($AJ543="","",p_factor_productividad*IFERROR(INDEX('ASIGNACIONES'!$M$4:$M$451,MATCH($O543&amp;"|"&amp;$S543&amp;"|"&amp;$AH543,'ASIGNACIONES'!$N$4:$N$451,0)),0)-$AJ543)</f>
        <v/>
      </c>
      <c r="AL543" s="32">
        <f>IF($A543="","",IFERROR(INDEX('2_IMPORTAR_EJECUCION'!$F$9:$F$1208,MATCH($AU543,'2_IMPORTAR_EJECUCION'!$J$9:$J$1208,0)),0))</f>
        <v/>
      </c>
      <c r="AM543" s="32">
        <f>IF($A543="","",MAX(0,IFERROR(INDEX('2_IMPORTAR_EJECUCION'!$H$9:$H$1208,MATCH($AU543,'2_IMPORTAR_EJECUCION'!$J$9:$J$1208,0)),0)-$AL543))</f>
        <v/>
      </c>
      <c r="AN543" s="32">
        <f>IF($A543="","",$AL543+$AM543)</f>
        <v/>
      </c>
      <c r="AO543" s="24">
        <f>IF($A543="","",IF(OR((IFERROR(INDEX('CAT_ACTIVIDADES'!$D$4:$D$26,MATCH($H543,'CAT_ACTIVIDADES'!$A$4:$A$26,0)),""))=0,(IFERROR(INDEX('CAT_ACTIVIDADES'!$D$4:$D$26,MATCH($H543,'CAT_ACTIVIDADES'!$A$4:$A$26,0)),""))=""),"SIN CLASIFICAR",IFERROR(INDEX('CAT_ACTIVIDADES'!$D$4:$D$26,MATCH($H543,'CAT_ACTIVIDADES'!$A$4:$A$26,0)),"")))</f>
        <v/>
      </c>
      <c r="AP543" s="4" t="n"/>
      <c r="AQ543" s="4" t="n"/>
      <c r="AR543" s="4" t="n"/>
      <c r="AS543" s="24">
        <f>IF($AR543="","",HYPERLINK(p_ruta_base_checklists&amp;$AR543,"abrir"))</f>
        <v/>
      </c>
      <c r="AT543" s="4" t="n"/>
      <c r="AU543" s="24">
        <f>IF($A543="","",$A543&amp;IF($B543="","0010",$B543))</f>
        <v/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41" t="n"/>
      <c r="K544" s="5" t="n"/>
      <c r="L544" s="18" t="n"/>
      <c r="M544" s="24">
        <f>IF($A544="","",IFERROR(INDEX('AJUSTES'!$B$4:$B$303,MATCH($AU544,'AJUSTES'!$A$4:$A$303,0)),IF($K544="","",$K544)))</f>
        <v/>
      </c>
      <c r="N544" s="24">
        <f>IF($A544="","",IFERROR(INDEX('CAT_ESTADOS_ERP'!$B$4:$B$22,MATCH(IFERROR(INDEX('2_IMPORTAR_EJECUCION'!$C$9:$C$1208,MATCH($AU544,'2_IMPORTAR_EJECUCION'!$J$9:$J$1208,0)),""),'CAT_ESTADOS_ERP'!$A$4:$A$22,0)),"Pendiente"))</f>
        <v/>
      </c>
      <c r="O544" s="24">
        <f>IF($J544="","",YEAR($J544+4-WEEKDAY($J544,2))&amp;"-S"&amp;TEXT(_xlfn.ISOWEEKNUM($J544),"00"))</f>
        <v/>
      </c>
      <c r="P544" s="24">
        <f>IF($J544="","",YEAR($J544))</f>
        <v/>
      </c>
      <c r="Q544" s="24">
        <f>IF($J544="","",MONTH($J544))</f>
        <v/>
      </c>
      <c r="R544" s="24">
        <f>IF($J544="","",$P544&amp;"-"&amp;TEXT($Q544,"00"))</f>
        <v/>
      </c>
      <c r="S544" s="24">
        <f>IF($J544="","",INDEX(lista_dias,WEEKDAY($J544,2)))</f>
        <v/>
      </c>
      <c r="T544" s="24">
        <f>IF($J544="","",IFERROR(INDEX('CALENDARIO'!$C$15:$C$214,MATCH(TEXT($J544,"yyyy-mm-dd")&amp;"|"&amp;$Y544&amp;"|"&amp;$Z544,'CALENDARIO'!$G$15:$G$214,0)),IFERROR(INDEX('CALENDARIO'!$C$15:$C$214,MATCH(TEXT($J544,"yyyy-mm-dd")&amp;"|"&amp;$Y544&amp;"|",'CALENDARIO'!$G$15:$G$214,0)),IFERROR(INDEX('CALENDARIO'!$C$15:$C$214,MATCH(TEXT($J544,"yyyy-mm-dd")&amp;"||",'CALENDARIO'!$G$15:$G$214,0)),INDEX(patronHabil,WEEKDAY($J544,2))))))</f>
        <v/>
      </c>
      <c r="U544" s="24">
        <f>IF($I544="","",IFERROR(INDEX('CAT_TIPOS_OT'!$C$4:$C$23,MATCH($I544,'CAT_TIPOS_OT'!$A$4:$A$23,0)),"sin_clasificar"))</f>
        <v/>
      </c>
      <c r="V544" s="24">
        <f>IF($I544="","",IF(IFERROR(INDEX('CAT_TIPOS_OT'!$D$4:$D$23,MATCH($I544,'CAT_TIPOS_OT'!$A$4:$A$23,0)),"SIN CLASIFICAR")="","SIN CLASIFICAR",IFERROR(INDEX('CAT_TIPOS_OT'!$D$4:$D$23,MATCH($I544,'CAT_TIPOS_OT'!$A$4:$A$23,0)),"SIN CLASIFICAR")))</f>
        <v/>
      </c>
      <c r="W544" s="24">
        <f>IF($H544="","",IF(IFERROR(INDEX('CAT_ACTIVIDADES'!$F$4:$F$26,MATCH($H544,'CAT_ACTIVIDADES'!$A$4:$A$26,0)),"")=0,"",IFERROR(INDEX('CAT_ACTIVIDADES'!$F$4:$F$26,MATCH($H544,'CAT_ACTIVIDADES'!$A$4:$A$26,0)),"")))</f>
        <v/>
      </c>
      <c r="X544" s="24">
        <f>IF($F544="","",IFERROR(INDEX('CAT_CENTROS_COSTO'!$F$4:$F$28,MATCH($F544,'CAT_CENTROS_COSTO'!$A$4:$A$28,0)),"(sin catálogo)"))</f>
        <v/>
      </c>
      <c r="Y544" s="24">
        <f>IF($F544="","",IFERROR(INDEX('CAT_CENTROS_COSTO'!$D$4:$D$28,MATCH($F544,'CAT_CENTROS_COSTO'!$A$4:$A$28,0)),"(sin catálogo)"))</f>
        <v/>
      </c>
      <c r="Z544" s="24">
        <f>IF($F544="","",IF((IFERROR(INDEX('CAT_CENTROS_COSTO'!$E$4:$E$28,MATCH($F544,'CAT_CENTROS_COSTO'!$A$4:$A$28,0)),""))&lt;&gt;"",IFERROR(INDEX('CAT_CENTROS_COSTO'!$E$4:$E$28,MATCH($F544,'CAT_CENTROS_COSTO'!$A$4:$A$28,0)),""),$Y544))</f>
        <v/>
      </c>
      <c r="AA544" s="24">
        <f>IF($F544="","",IFERROR(INDEX('CAT_CENTROS_COSTO'!$G$4:$G$28,MATCH($F544,'CAT_CENTROS_COSTO'!$A$4:$A$28,0)),"(sin catálogo)"))</f>
        <v/>
      </c>
      <c r="AB544" s="24">
        <f>IF($G544="","",IFERROR(INDEX('CAT_PUESTOS'!$B$4:$B$23,MATCH($G544,'CAT_PUESTOS'!$A$4:$A$23,0)),"(sin catálogo)"))</f>
        <v/>
      </c>
      <c r="AC544" s="24">
        <f>IF($H544="","",IFERROR(INDEX('CAT_ACTIVIDADES'!$B$4:$B$26,MATCH($H544,'CAT_ACTIVIDADES'!$A$4:$A$26,0)),"(sin catálogo)"))</f>
        <v/>
      </c>
      <c r="AD544" s="26">
        <f>IF($J544="","",TODAY()-$J544)</f>
        <v/>
      </c>
      <c r="AE544" s="26">
        <f>IF($J544="","",IF($J544&lt;=TODAY(),COUNTIFS(cal_fechas,"&gt;="&amp;$J544,cal_fechas,"&lt;"&amp;TODAY(),cal_habil,"sí"),-COUNTIFS(cal_fechas,"&gt;="&amp;TODAY(),cal_fechas,"&lt;"&amp;$J544,cal_habil,"sí")))</f>
        <v/>
      </c>
      <c r="AF544" s="24">
        <f>IF($AE544="","",IF($AE544&lt;0,"FUTURO",IF($AE544&gt;p_dias_backlog_max,"BACKLOG","MES CORRIENTE")))</f>
        <v/>
      </c>
      <c r="AG544" s="24">
        <f>IF($AE544="",FALSE,AND($AE544&gt;p_dias_backlog_min,$AE544&lt;=p_dias_backlog_max))</f>
        <v/>
      </c>
      <c r="AH544" s="4" t="n"/>
      <c r="AI544" s="24">
        <f>IF($AH544="","",IF((IFERROR(INDEX('ASIGNACIONES'!$J$4:$J$451,MATCH($O544&amp;"|"&amp;$S544&amp;"|"&amp;$AH544,'ASIGNACIONES'!$N$4:$N$451,0)),""))=0,"",IFERROR(INDEX('ASIGNACIONES'!$J$4:$J$451,MATCH($O544&amp;"|"&amp;$S544&amp;"|"&amp;$AH544,'ASIGNACIONES'!$N$4:$N$451,0)),"")))</f>
        <v/>
      </c>
      <c r="AJ544" s="42">
        <f>IF($AH544="","",SUMIFS('ORDENES'!$M$4:$M$1203,'ORDENES'!$AH$4:$AH$1203,$AH544,'ORDENES'!$O$4:$O$1203,$O544,'ORDENES'!$S$4:$S$1203,$S544))</f>
        <v/>
      </c>
      <c r="AK544" s="42">
        <f>IF($AJ544="","",p_factor_productividad*IFERROR(INDEX('ASIGNACIONES'!$M$4:$M$451,MATCH($O544&amp;"|"&amp;$S544&amp;"|"&amp;$AH544,'ASIGNACIONES'!$N$4:$N$451,0)),0)-$AJ544)</f>
        <v/>
      </c>
      <c r="AL544" s="32">
        <f>IF($A544="","",IFERROR(INDEX('2_IMPORTAR_EJECUCION'!$F$9:$F$1208,MATCH($AU544,'2_IMPORTAR_EJECUCION'!$J$9:$J$1208,0)),0))</f>
        <v/>
      </c>
      <c r="AM544" s="32">
        <f>IF($A544="","",MAX(0,IFERROR(INDEX('2_IMPORTAR_EJECUCION'!$H$9:$H$1208,MATCH($AU544,'2_IMPORTAR_EJECUCION'!$J$9:$J$1208,0)),0)-$AL544))</f>
        <v/>
      </c>
      <c r="AN544" s="32">
        <f>IF($A544="","",$AL544+$AM544)</f>
        <v/>
      </c>
      <c r="AO544" s="24">
        <f>IF($A544="","",IF(OR((IFERROR(INDEX('CAT_ACTIVIDADES'!$D$4:$D$26,MATCH($H544,'CAT_ACTIVIDADES'!$A$4:$A$26,0)),""))=0,(IFERROR(INDEX('CAT_ACTIVIDADES'!$D$4:$D$26,MATCH($H544,'CAT_ACTIVIDADES'!$A$4:$A$26,0)),""))=""),"SIN CLASIFICAR",IFERROR(INDEX('CAT_ACTIVIDADES'!$D$4:$D$26,MATCH($H544,'CAT_ACTIVIDADES'!$A$4:$A$26,0)),"")))</f>
        <v/>
      </c>
      <c r="AP544" s="4" t="n"/>
      <c r="AQ544" s="4" t="n"/>
      <c r="AR544" s="4" t="n"/>
      <c r="AS544" s="24">
        <f>IF($AR544="","",HYPERLINK(p_ruta_base_checklists&amp;$AR544,"abrir"))</f>
        <v/>
      </c>
      <c r="AT544" s="4" t="n"/>
      <c r="AU544" s="24">
        <f>IF($A544="","",$A544&amp;IF($B544="","0010",$B544))</f>
        <v/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41" t="n"/>
      <c r="K545" s="5" t="n"/>
      <c r="L545" s="18" t="n"/>
      <c r="M545" s="24">
        <f>IF($A545="","",IFERROR(INDEX('AJUSTES'!$B$4:$B$303,MATCH($AU545,'AJUSTES'!$A$4:$A$303,0)),IF($K545="","",$K545)))</f>
        <v/>
      </c>
      <c r="N545" s="24">
        <f>IF($A545="","",IFERROR(INDEX('CAT_ESTADOS_ERP'!$B$4:$B$22,MATCH(IFERROR(INDEX('2_IMPORTAR_EJECUCION'!$C$9:$C$1208,MATCH($AU545,'2_IMPORTAR_EJECUCION'!$J$9:$J$1208,0)),""),'CAT_ESTADOS_ERP'!$A$4:$A$22,0)),"Pendiente"))</f>
        <v/>
      </c>
      <c r="O545" s="24">
        <f>IF($J545="","",YEAR($J545+4-WEEKDAY($J545,2))&amp;"-S"&amp;TEXT(_xlfn.ISOWEEKNUM($J545),"00"))</f>
        <v/>
      </c>
      <c r="P545" s="24">
        <f>IF($J545="","",YEAR($J545))</f>
        <v/>
      </c>
      <c r="Q545" s="24">
        <f>IF($J545="","",MONTH($J545))</f>
        <v/>
      </c>
      <c r="R545" s="24">
        <f>IF($J545="","",$P545&amp;"-"&amp;TEXT($Q545,"00"))</f>
        <v/>
      </c>
      <c r="S545" s="24">
        <f>IF($J545="","",INDEX(lista_dias,WEEKDAY($J545,2)))</f>
        <v/>
      </c>
      <c r="T545" s="24">
        <f>IF($J545="","",IFERROR(INDEX('CALENDARIO'!$C$15:$C$214,MATCH(TEXT($J545,"yyyy-mm-dd")&amp;"|"&amp;$Y545&amp;"|"&amp;$Z545,'CALENDARIO'!$G$15:$G$214,0)),IFERROR(INDEX('CALENDARIO'!$C$15:$C$214,MATCH(TEXT($J545,"yyyy-mm-dd")&amp;"|"&amp;$Y545&amp;"|",'CALENDARIO'!$G$15:$G$214,0)),IFERROR(INDEX('CALENDARIO'!$C$15:$C$214,MATCH(TEXT($J545,"yyyy-mm-dd")&amp;"||",'CALENDARIO'!$G$15:$G$214,0)),INDEX(patronHabil,WEEKDAY($J545,2))))))</f>
        <v/>
      </c>
      <c r="U545" s="24">
        <f>IF($I545="","",IFERROR(INDEX('CAT_TIPOS_OT'!$C$4:$C$23,MATCH($I545,'CAT_TIPOS_OT'!$A$4:$A$23,0)),"sin_clasificar"))</f>
        <v/>
      </c>
      <c r="V545" s="24">
        <f>IF($I545="","",IF(IFERROR(INDEX('CAT_TIPOS_OT'!$D$4:$D$23,MATCH($I545,'CAT_TIPOS_OT'!$A$4:$A$23,0)),"SIN CLASIFICAR")="","SIN CLASIFICAR",IFERROR(INDEX('CAT_TIPOS_OT'!$D$4:$D$23,MATCH($I545,'CAT_TIPOS_OT'!$A$4:$A$23,0)),"SIN CLASIFICAR")))</f>
        <v/>
      </c>
      <c r="W545" s="24">
        <f>IF($H545="","",IF(IFERROR(INDEX('CAT_ACTIVIDADES'!$F$4:$F$26,MATCH($H545,'CAT_ACTIVIDADES'!$A$4:$A$26,0)),"")=0,"",IFERROR(INDEX('CAT_ACTIVIDADES'!$F$4:$F$26,MATCH($H545,'CAT_ACTIVIDADES'!$A$4:$A$26,0)),"")))</f>
        <v/>
      </c>
      <c r="X545" s="24">
        <f>IF($F545="","",IFERROR(INDEX('CAT_CENTROS_COSTO'!$F$4:$F$28,MATCH($F545,'CAT_CENTROS_COSTO'!$A$4:$A$28,0)),"(sin catálogo)"))</f>
        <v/>
      </c>
      <c r="Y545" s="24">
        <f>IF($F545="","",IFERROR(INDEX('CAT_CENTROS_COSTO'!$D$4:$D$28,MATCH($F545,'CAT_CENTROS_COSTO'!$A$4:$A$28,0)),"(sin catálogo)"))</f>
        <v/>
      </c>
      <c r="Z545" s="24">
        <f>IF($F545="","",IF((IFERROR(INDEX('CAT_CENTROS_COSTO'!$E$4:$E$28,MATCH($F545,'CAT_CENTROS_COSTO'!$A$4:$A$28,0)),""))&lt;&gt;"",IFERROR(INDEX('CAT_CENTROS_COSTO'!$E$4:$E$28,MATCH($F545,'CAT_CENTROS_COSTO'!$A$4:$A$28,0)),""),$Y545))</f>
        <v/>
      </c>
      <c r="AA545" s="24">
        <f>IF($F545="","",IFERROR(INDEX('CAT_CENTROS_COSTO'!$G$4:$G$28,MATCH($F545,'CAT_CENTROS_COSTO'!$A$4:$A$28,0)),"(sin catálogo)"))</f>
        <v/>
      </c>
      <c r="AB545" s="24">
        <f>IF($G545="","",IFERROR(INDEX('CAT_PUESTOS'!$B$4:$B$23,MATCH($G545,'CAT_PUESTOS'!$A$4:$A$23,0)),"(sin catálogo)"))</f>
        <v/>
      </c>
      <c r="AC545" s="24">
        <f>IF($H545="","",IFERROR(INDEX('CAT_ACTIVIDADES'!$B$4:$B$26,MATCH($H545,'CAT_ACTIVIDADES'!$A$4:$A$26,0)),"(sin catálogo)"))</f>
        <v/>
      </c>
      <c r="AD545" s="26">
        <f>IF($J545="","",TODAY()-$J545)</f>
        <v/>
      </c>
      <c r="AE545" s="26">
        <f>IF($J545="","",IF($J545&lt;=TODAY(),COUNTIFS(cal_fechas,"&gt;="&amp;$J545,cal_fechas,"&lt;"&amp;TODAY(),cal_habil,"sí"),-COUNTIFS(cal_fechas,"&gt;="&amp;TODAY(),cal_fechas,"&lt;"&amp;$J545,cal_habil,"sí")))</f>
        <v/>
      </c>
      <c r="AF545" s="24">
        <f>IF($AE545="","",IF($AE545&lt;0,"FUTURO",IF($AE545&gt;p_dias_backlog_max,"BACKLOG","MES CORRIENTE")))</f>
        <v/>
      </c>
      <c r="AG545" s="24">
        <f>IF($AE545="",FALSE,AND($AE545&gt;p_dias_backlog_min,$AE545&lt;=p_dias_backlog_max))</f>
        <v/>
      </c>
      <c r="AH545" s="4" t="n"/>
      <c r="AI545" s="24">
        <f>IF($AH545="","",IF((IFERROR(INDEX('ASIGNACIONES'!$J$4:$J$451,MATCH($O545&amp;"|"&amp;$S545&amp;"|"&amp;$AH545,'ASIGNACIONES'!$N$4:$N$451,0)),""))=0,"",IFERROR(INDEX('ASIGNACIONES'!$J$4:$J$451,MATCH($O545&amp;"|"&amp;$S545&amp;"|"&amp;$AH545,'ASIGNACIONES'!$N$4:$N$451,0)),"")))</f>
        <v/>
      </c>
      <c r="AJ545" s="42">
        <f>IF($AH545="","",SUMIFS('ORDENES'!$M$4:$M$1203,'ORDENES'!$AH$4:$AH$1203,$AH545,'ORDENES'!$O$4:$O$1203,$O545,'ORDENES'!$S$4:$S$1203,$S545))</f>
        <v/>
      </c>
      <c r="AK545" s="42">
        <f>IF($AJ545="","",p_factor_productividad*IFERROR(INDEX('ASIGNACIONES'!$M$4:$M$451,MATCH($O545&amp;"|"&amp;$S545&amp;"|"&amp;$AH545,'ASIGNACIONES'!$N$4:$N$451,0)),0)-$AJ545)</f>
        <v/>
      </c>
      <c r="AL545" s="32">
        <f>IF($A545="","",IFERROR(INDEX('2_IMPORTAR_EJECUCION'!$F$9:$F$1208,MATCH($AU545,'2_IMPORTAR_EJECUCION'!$J$9:$J$1208,0)),0))</f>
        <v/>
      </c>
      <c r="AM545" s="32">
        <f>IF($A545="","",MAX(0,IFERROR(INDEX('2_IMPORTAR_EJECUCION'!$H$9:$H$1208,MATCH($AU545,'2_IMPORTAR_EJECUCION'!$J$9:$J$1208,0)),0)-$AL545))</f>
        <v/>
      </c>
      <c r="AN545" s="32">
        <f>IF($A545="","",$AL545+$AM545)</f>
        <v/>
      </c>
      <c r="AO545" s="24">
        <f>IF($A545="","",IF(OR((IFERROR(INDEX('CAT_ACTIVIDADES'!$D$4:$D$26,MATCH($H545,'CAT_ACTIVIDADES'!$A$4:$A$26,0)),""))=0,(IFERROR(INDEX('CAT_ACTIVIDADES'!$D$4:$D$26,MATCH($H545,'CAT_ACTIVIDADES'!$A$4:$A$26,0)),""))=""),"SIN CLASIFICAR",IFERROR(INDEX('CAT_ACTIVIDADES'!$D$4:$D$26,MATCH($H545,'CAT_ACTIVIDADES'!$A$4:$A$26,0)),"")))</f>
        <v/>
      </c>
      <c r="AP545" s="4" t="n"/>
      <c r="AQ545" s="4" t="n"/>
      <c r="AR545" s="4" t="n"/>
      <c r="AS545" s="24">
        <f>IF($AR545="","",HYPERLINK(p_ruta_base_checklists&amp;$AR545,"abrir"))</f>
        <v/>
      </c>
      <c r="AT545" s="4" t="n"/>
      <c r="AU545" s="24">
        <f>IF($A545="","",$A545&amp;IF($B545="","0010",$B545))</f>
        <v/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41" t="n"/>
      <c r="K546" s="5" t="n"/>
      <c r="L546" s="18" t="n"/>
      <c r="M546" s="24">
        <f>IF($A546="","",IFERROR(INDEX('AJUSTES'!$B$4:$B$303,MATCH($AU546,'AJUSTES'!$A$4:$A$303,0)),IF($K546="","",$K546)))</f>
        <v/>
      </c>
      <c r="N546" s="24">
        <f>IF($A546="","",IFERROR(INDEX('CAT_ESTADOS_ERP'!$B$4:$B$22,MATCH(IFERROR(INDEX('2_IMPORTAR_EJECUCION'!$C$9:$C$1208,MATCH($AU546,'2_IMPORTAR_EJECUCION'!$J$9:$J$1208,0)),""),'CAT_ESTADOS_ERP'!$A$4:$A$22,0)),"Pendiente"))</f>
        <v/>
      </c>
      <c r="O546" s="24">
        <f>IF($J546="","",YEAR($J546+4-WEEKDAY($J546,2))&amp;"-S"&amp;TEXT(_xlfn.ISOWEEKNUM($J546),"00"))</f>
        <v/>
      </c>
      <c r="P546" s="24">
        <f>IF($J546="","",YEAR($J546))</f>
        <v/>
      </c>
      <c r="Q546" s="24">
        <f>IF($J546="","",MONTH($J546))</f>
        <v/>
      </c>
      <c r="R546" s="24">
        <f>IF($J546="","",$P546&amp;"-"&amp;TEXT($Q546,"00"))</f>
        <v/>
      </c>
      <c r="S546" s="24">
        <f>IF($J546="","",INDEX(lista_dias,WEEKDAY($J546,2)))</f>
        <v/>
      </c>
      <c r="T546" s="24">
        <f>IF($J546="","",IFERROR(INDEX('CALENDARIO'!$C$15:$C$214,MATCH(TEXT($J546,"yyyy-mm-dd")&amp;"|"&amp;$Y546&amp;"|"&amp;$Z546,'CALENDARIO'!$G$15:$G$214,0)),IFERROR(INDEX('CALENDARIO'!$C$15:$C$214,MATCH(TEXT($J546,"yyyy-mm-dd")&amp;"|"&amp;$Y546&amp;"|",'CALENDARIO'!$G$15:$G$214,0)),IFERROR(INDEX('CALENDARIO'!$C$15:$C$214,MATCH(TEXT($J546,"yyyy-mm-dd")&amp;"||",'CALENDARIO'!$G$15:$G$214,0)),INDEX(patronHabil,WEEKDAY($J546,2))))))</f>
        <v/>
      </c>
      <c r="U546" s="24">
        <f>IF($I546="","",IFERROR(INDEX('CAT_TIPOS_OT'!$C$4:$C$23,MATCH($I546,'CAT_TIPOS_OT'!$A$4:$A$23,0)),"sin_clasificar"))</f>
        <v/>
      </c>
      <c r="V546" s="24">
        <f>IF($I546="","",IF(IFERROR(INDEX('CAT_TIPOS_OT'!$D$4:$D$23,MATCH($I546,'CAT_TIPOS_OT'!$A$4:$A$23,0)),"SIN CLASIFICAR")="","SIN CLASIFICAR",IFERROR(INDEX('CAT_TIPOS_OT'!$D$4:$D$23,MATCH($I546,'CAT_TIPOS_OT'!$A$4:$A$23,0)),"SIN CLASIFICAR")))</f>
        <v/>
      </c>
      <c r="W546" s="24">
        <f>IF($H546="","",IF(IFERROR(INDEX('CAT_ACTIVIDADES'!$F$4:$F$26,MATCH($H546,'CAT_ACTIVIDADES'!$A$4:$A$26,0)),"")=0,"",IFERROR(INDEX('CAT_ACTIVIDADES'!$F$4:$F$26,MATCH($H546,'CAT_ACTIVIDADES'!$A$4:$A$26,0)),"")))</f>
        <v/>
      </c>
      <c r="X546" s="24">
        <f>IF($F546="","",IFERROR(INDEX('CAT_CENTROS_COSTO'!$F$4:$F$28,MATCH($F546,'CAT_CENTROS_COSTO'!$A$4:$A$28,0)),"(sin catálogo)"))</f>
        <v/>
      </c>
      <c r="Y546" s="24">
        <f>IF($F546="","",IFERROR(INDEX('CAT_CENTROS_COSTO'!$D$4:$D$28,MATCH($F546,'CAT_CENTROS_COSTO'!$A$4:$A$28,0)),"(sin catálogo)"))</f>
        <v/>
      </c>
      <c r="Z546" s="24">
        <f>IF($F546="","",IF((IFERROR(INDEX('CAT_CENTROS_COSTO'!$E$4:$E$28,MATCH($F546,'CAT_CENTROS_COSTO'!$A$4:$A$28,0)),""))&lt;&gt;"",IFERROR(INDEX('CAT_CENTROS_COSTO'!$E$4:$E$28,MATCH($F546,'CAT_CENTROS_COSTO'!$A$4:$A$28,0)),""),$Y546))</f>
        <v/>
      </c>
      <c r="AA546" s="24">
        <f>IF($F546="","",IFERROR(INDEX('CAT_CENTROS_COSTO'!$G$4:$G$28,MATCH($F546,'CAT_CENTROS_COSTO'!$A$4:$A$28,0)),"(sin catálogo)"))</f>
        <v/>
      </c>
      <c r="AB546" s="24">
        <f>IF($G546="","",IFERROR(INDEX('CAT_PUESTOS'!$B$4:$B$23,MATCH($G546,'CAT_PUESTOS'!$A$4:$A$23,0)),"(sin catálogo)"))</f>
        <v/>
      </c>
      <c r="AC546" s="24">
        <f>IF($H546="","",IFERROR(INDEX('CAT_ACTIVIDADES'!$B$4:$B$26,MATCH($H546,'CAT_ACTIVIDADES'!$A$4:$A$26,0)),"(sin catálogo)"))</f>
        <v/>
      </c>
      <c r="AD546" s="26">
        <f>IF($J546="","",TODAY()-$J546)</f>
        <v/>
      </c>
      <c r="AE546" s="26">
        <f>IF($J546="","",IF($J546&lt;=TODAY(),COUNTIFS(cal_fechas,"&gt;="&amp;$J546,cal_fechas,"&lt;"&amp;TODAY(),cal_habil,"sí"),-COUNTIFS(cal_fechas,"&gt;="&amp;TODAY(),cal_fechas,"&lt;"&amp;$J546,cal_habil,"sí")))</f>
        <v/>
      </c>
      <c r="AF546" s="24">
        <f>IF($AE546="","",IF($AE546&lt;0,"FUTURO",IF($AE546&gt;p_dias_backlog_max,"BACKLOG","MES CORRIENTE")))</f>
        <v/>
      </c>
      <c r="AG546" s="24">
        <f>IF($AE546="",FALSE,AND($AE546&gt;p_dias_backlog_min,$AE546&lt;=p_dias_backlog_max))</f>
        <v/>
      </c>
      <c r="AH546" s="4" t="n"/>
      <c r="AI546" s="24">
        <f>IF($AH546="","",IF((IFERROR(INDEX('ASIGNACIONES'!$J$4:$J$451,MATCH($O546&amp;"|"&amp;$S546&amp;"|"&amp;$AH546,'ASIGNACIONES'!$N$4:$N$451,0)),""))=0,"",IFERROR(INDEX('ASIGNACIONES'!$J$4:$J$451,MATCH($O546&amp;"|"&amp;$S546&amp;"|"&amp;$AH546,'ASIGNACIONES'!$N$4:$N$451,0)),"")))</f>
        <v/>
      </c>
      <c r="AJ546" s="42">
        <f>IF($AH546="","",SUMIFS('ORDENES'!$M$4:$M$1203,'ORDENES'!$AH$4:$AH$1203,$AH546,'ORDENES'!$O$4:$O$1203,$O546,'ORDENES'!$S$4:$S$1203,$S546))</f>
        <v/>
      </c>
      <c r="AK546" s="42">
        <f>IF($AJ546="","",p_factor_productividad*IFERROR(INDEX('ASIGNACIONES'!$M$4:$M$451,MATCH($O546&amp;"|"&amp;$S546&amp;"|"&amp;$AH546,'ASIGNACIONES'!$N$4:$N$451,0)),0)-$AJ546)</f>
        <v/>
      </c>
      <c r="AL546" s="32">
        <f>IF($A546="","",IFERROR(INDEX('2_IMPORTAR_EJECUCION'!$F$9:$F$1208,MATCH($AU546,'2_IMPORTAR_EJECUCION'!$J$9:$J$1208,0)),0))</f>
        <v/>
      </c>
      <c r="AM546" s="32">
        <f>IF($A546="","",MAX(0,IFERROR(INDEX('2_IMPORTAR_EJECUCION'!$H$9:$H$1208,MATCH($AU546,'2_IMPORTAR_EJECUCION'!$J$9:$J$1208,0)),0)-$AL546))</f>
        <v/>
      </c>
      <c r="AN546" s="32">
        <f>IF($A546="","",$AL546+$AM546)</f>
        <v/>
      </c>
      <c r="AO546" s="24">
        <f>IF($A546="","",IF(OR((IFERROR(INDEX('CAT_ACTIVIDADES'!$D$4:$D$26,MATCH($H546,'CAT_ACTIVIDADES'!$A$4:$A$26,0)),""))=0,(IFERROR(INDEX('CAT_ACTIVIDADES'!$D$4:$D$26,MATCH($H546,'CAT_ACTIVIDADES'!$A$4:$A$26,0)),""))=""),"SIN CLASIFICAR",IFERROR(INDEX('CAT_ACTIVIDADES'!$D$4:$D$26,MATCH($H546,'CAT_ACTIVIDADES'!$A$4:$A$26,0)),"")))</f>
        <v/>
      </c>
      <c r="AP546" s="4" t="n"/>
      <c r="AQ546" s="4" t="n"/>
      <c r="AR546" s="4" t="n"/>
      <c r="AS546" s="24">
        <f>IF($AR546="","",HYPERLINK(p_ruta_base_checklists&amp;$AR546,"abrir"))</f>
        <v/>
      </c>
      <c r="AT546" s="4" t="n"/>
      <c r="AU546" s="24">
        <f>IF($A546="","",$A546&amp;IF($B546="","0010",$B546))</f>
        <v/>
      </c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41" t="n"/>
      <c r="K547" s="5" t="n"/>
      <c r="L547" s="18" t="n"/>
      <c r="M547" s="24">
        <f>IF($A547="","",IFERROR(INDEX('AJUSTES'!$B$4:$B$303,MATCH($AU547,'AJUSTES'!$A$4:$A$303,0)),IF($K547="","",$K547)))</f>
        <v/>
      </c>
      <c r="N547" s="24">
        <f>IF($A547="","",IFERROR(INDEX('CAT_ESTADOS_ERP'!$B$4:$B$22,MATCH(IFERROR(INDEX('2_IMPORTAR_EJECUCION'!$C$9:$C$1208,MATCH($AU547,'2_IMPORTAR_EJECUCION'!$J$9:$J$1208,0)),""),'CAT_ESTADOS_ERP'!$A$4:$A$22,0)),"Pendiente"))</f>
        <v/>
      </c>
      <c r="O547" s="24">
        <f>IF($J547="","",YEAR($J547+4-WEEKDAY($J547,2))&amp;"-S"&amp;TEXT(_xlfn.ISOWEEKNUM($J547),"00"))</f>
        <v/>
      </c>
      <c r="P547" s="24">
        <f>IF($J547="","",YEAR($J547))</f>
        <v/>
      </c>
      <c r="Q547" s="24">
        <f>IF($J547="","",MONTH($J547))</f>
        <v/>
      </c>
      <c r="R547" s="24">
        <f>IF($J547="","",$P547&amp;"-"&amp;TEXT($Q547,"00"))</f>
        <v/>
      </c>
      <c r="S547" s="24">
        <f>IF($J547="","",INDEX(lista_dias,WEEKDAY($J547,2)))</f>
        <v/>
      </c>
      <c r="T547" s="24">
        <f>IF($J547="","",IFERROR(INDEX('CALENDARIO'!$C$15:$C$214,MATCH(TEXT($J547,"yyyy-mm-dd")&amp;"|"&amp;$Y547&amp;"|"&amp;$Z547,'CALENDARIO'!$G$15:$G$214,0)),IFERROR(INDEX('CALENDARIO'!$C$15:$C$214,MATCH(TEXT($J547,"yyyy-mm-dd")&amp;"|"&amp;$Y547&amp;"|",'CALENDARIO'!$G$15:$G$214,0)),IFERROR(INDEX('CALENDARIO'!$C$15:$C$214,MATCH(TEXT($J547,"yyyy-mm-dd")&amp;"||",'CALENDARIO'!$G$15:$G$214,0)),INDEX(patronHabil,WEEKDAY($J547,2))))))</f>
        <v/>
      </c>
      <c r="U547" s="24">
        <f>IF($I547="","",IFERROR(INDEX('CAT_TIPOS_OT'!$C$4:$C$23,MATCH($I547,'CAT_TIPOS_OT'!$A$4:$A$23,0)),"sin_clasificar"))</f>
        <v/>
      </c>
      <c r="V547" s="24">
        <f>IF($I547="","",IF(IFERROR(INDEX('CAT_TIPOS_OT'!$D$4:$D$23,MATCH($I547,'CAT_TIPOS_OT'!$A$4:$A$23,0)),"SIN CLASIFICAR")="","SIN CLASIFICAR",IFERROR(INDEX('CAT_TIPOS_OT'!$D$4:$D$23,MATCH($I547,'CAT_TIPOS_OT'!$A$4:$A$23,0)),"SIN CLASIFICAR")))</f>
        <v/>
      </c>
      <c r="W547" s="24">
        <f>IF($H547="","",IF(IFERROR(INDEX('CAT_ACTIVIDADES'!$F$4:$F$26,MATCH($H547,'CAT_ACTIVIDADES'!$A$4:$A$26,0)),"")=0,"",IFERROR(INDEX('CAT_ACTIVIDADES'!$F$4:$F$26,MATCH($H547,'CAT_ACTIVIDADES'!$A$4:$A$26,0)),"")))</f>
        <v/>
      </c>
      <c r="X547" s="24">
        <f>IF($F547="","",IFERROR(INDEX('CAT_CENTROS_COSTO'!$F$4:$F$28,MATCH($F547,'CAT_CENTROS_COSTO'!$A$4:$A$28,0)),"(sin catálogo)"))</f>
        <v/>
      </c>
      <c r="Y547" s="24">
        <f>IF($F547="","",IFERROR(INDEX('CAT_CENTROS_COSTO'!$D$4:$D$28,MATCH($F547,'CAT_CENTROS_COSTO'!$A$4:$A$28,0)),"(sin catálogo)"))</f>
        <v/>
      </c>
      <c r="Z547" s="24">
        <f>IF($F547="","",IF((IFERROR(INDEX('CAT_CENTROS_COSTO'!$E$4:$E$28,MATCH($F547,'CAT_CENTROS_COSTO'!$A$4:$A$28,0)),""))&lt;&gt;"",IFERROR(INDEX('CAT_CENTROS_COSTO'!$E$4:$E$28,MATCH($F547,'CAT_CENTROS_COSTO'!$A$4:$A$28,0)),""),$Y547))</f>
        <v/>
      </c>
      <c r="AA547" s="24">
        <f>IF($F547="","",IFERROR(INDEX('CAT_CENTROS_COSTO'!$G$4:$G$28,MATCH($F547,'CAT_CENTROS_COSTO'!$A$4:$A$28,0)),"(sin catálogo)"))</f>
        <v/>
      </c>
      <c r="AB547" s="24">
        <f>IF($G547="","",IFERROR(INDEX('CAT_PUESTOS'!$B$4:$B$23,MATCH($G547,'CAT_PUESTOS'!$A$4:$A$23,0)),"(sin catálogo)"))</f>
        <v/>
      </c>
      <c r="AC547" s="24">
        <f>IF($H547="","",IFERROR(INDEX('CAT_ACTIVIDADES'!$B$4:$B$26,MATCH($H547,'CAT_ACTIVIDADES'!$A$4:$A$26,0)),"(sin catálogo)"))</f>
        <v/>
      </c>
      <c r="AD547" s="26">
        <f>IF($J547="","",TODAY()-$J547)</f>
        <v/>
      </c>
      <c r="AE547" s="26">
        <f>IF($J547="","",IF($J547&lt;=TODAY(),COUNTIFS(cal_fechas,"&gt;="&amp;$J547,cal_fechas,"&lt;"&amp;TODAY(),cal_habil,"sí"),-COUNTIFS(cal_fechas,"&gt;="&amp;TODAY(),cal_fechas,"&lt;"&amp;$J547,cal_habil,"sí")))</f>
        <v/>
      </c>
      <c r="AF547" s="24">
        <f>IF($AE547="","",IF($AE547&lt;0,"FUTURO",IF($AE547&gt;p_dias_backlog_max,"BACKLOG","MES CORRIENTE")))</f>
        <v/>
      </c>
      <c r="AG547" s="24">
        <f>IF($AE547="",FALSE,AND($AE547&gt;p_dias_backlog_min,$AE547&lt;=p_dias_backlog_max))</f>
        <v/>
      </c>
      <c r="AH547" s="4" t="n"/>
      <c r="AI547" s="24">
        <f>IF($AH547="","",IF((IFERROR(INDEX('ASIGNACIONES'!$J$4:$J$451,MATCH($O547&amp;"|"&amp;$S547&amp;"|"&amp;$AH547,'ASIGNACIONES'!$N$4:$N$451,0)),""))=0,"",IFERROR(INDEX('ASIGNACIONES'!$J$4:$J$451,MATCH($O547&amp;"|"&amp;$S547&amp;"|"&amp;$AH547,'ASIGNACIONES'!$N$4:$N$451,0)),"")))</f>
        <v/>
      </c>
      <c r="AJ547" s="42">
        <f>IF($AH547="","",SUMIFS('ORDENES'!$M$4:$M$1203,'ORDENES'!$AH$4:$AH$1203,$AH547,'ORDENES'!$O$4:$O$1203,$O547,'ORDENES'!$S$4:$S$1203,$S547))</f>
        <v/>
      </c>
      <c r="AK547" s="42">
        <f>IF($AJ547="","",p_factor_productividad*IFERROR(INDEX('ASIGNACIONES'!$M$4:$M$451,MATCH($O547&amp;"|"&amp;$S547&amp;"|"&amp;$AH547,'ASIGNACIONES'!$N$4:$N$451,0)),0)-$AJ547)</f>
        <v/>
      </c>
      <c r="AL547" s="32">
        <f>IF($A547="","",IFERROR(INDEX('2_IMPORTAR_EJECUCION'!$F$9:$F$1208,MATCH($AU547,'2_IMPORTAR_EJECUCION'!$J$9:$J$1208,0)),0))</f>
        <v/>
      </c>
      <c r="AM547" s="32">
        <f>IF($A547="","",MAX(0,IFERROR(INDEX('2_IMPORTAR_EJECUCION'!$H$9:$H$1208,MATCH($AU547,'2_IMPORTAR_EJECUCION'!$J$9:$J$1208,0)),0)-$AL547))</f>
        <v/>
      </c>
      <c r="AN547" s="32">
        <f>IF($A547="","",$AL547+$AM547)</f>
        <v/>
      </c>
      <c r="AO547" s="24">
        <f>IF($A547="","",IF(OR((IFERROR(INDEX('CAT_ACTIVIDADES'!$D$4:$D$26,MATCH($H547,'CAT_ACTIVIDADES'!$A$4:$A$26,0)),""))=0,(IFERROR(INDEX('CAT_ACTIVIDADES'!$D$4:$D$26,MATCH($H547,'CAT_ACTIVIDADES'!$A$4:$A$26,0)),""))=""),"SIN CLASIFICAR",IFERROR(INDEX('CAT_ACTIVIDADES'!$D$4:$D$26,MATCH($H547,'CAT_ACTIVIDADES'!$A$4:$A$26,0)),"")))</f>
        <v/>
      </c>
      <c r="AP547" s="4" t="n"/>
      <c r="AQ547" s="4" t="n"/>
      <c r="AR547" s="4" t="n"/>
      <c r="AS547" s="24">
        <f>IF($AR547="","",HYPERLINK(p_ruta_base_checklists&amp;$AR547,"abrir"))</f>
        <v/>
      </c>
      <c r="AT547" s="4" t="n"/>
      <c r="AU547" s="24">
        <f>IF($A547="","",$A547&amp;IF($B547="","0010",$B547))</f>
        <v/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41" t="n"/>
      <c r="K548" s="5" t="n"/>
      <c r="L548" s="18" t="n"/>
      <c r="M548" s="24">
        <f>IF($A548="","",IFERROR(INDEX('AJUSTES'!$B$4:$B$303,MATCH($AU548,'AJUSTES'!$A$4:$A$303,0)),IF($K548="","",$K548)))</f>
        <v/>
      </c>
      <c r="N548" s="24">
        <f>IF($A548="","",IFERROR(INDEX('CAT_ESTADOS_ERP'!$B$4:$B$22,MATCH(IFERROR(INDEX('2_IMPORTAR_EJECUCION'!$C$9:$C$1208,MATCH($AU548,'2_IMPORTAR_EJECUCION'!$J$9:$J$1208,0)),""),'CAT_ESTADOS_ERP'!$A$4:$A$22,0)),"Pendiente"))</f>
        <v/>
      </c>
      <c r="O548" s="24">
        <f>IF($J548="","",YEAR($J548+4-WEEKDAY($J548,2))&amp;"-S"&amp;TEXT(_xlfn.ISOWEEKNUM($J548),"00"))</f>
        <v/>
      </c>
      <c r="P548" s="24">
        <f>IF($J548="","",YEAR($J548))</f>
        <v/>
      </c>
      <c r="Q548" s="24">
        <f>IF($J548="","",MONTH($J548))</f>
        <v/>
      </c>
      <c r="R548" s="24">
        <f>IF($J548="","",$P548&amp;"-"&amp;TEXT($Q548,"00"))</f>
        <v/>
      </c>
      <c r="S548" s="24">
        <f>IF($J548="","",INDEX(lista_dias,WEEKDAY($J548,2)))</f>
        <v/>
      </c>
      <c r="T548" s="24">
        <f>IF($J548="","",IFERROR(INDEX('CALENDARIO'!$C$15:$C$214,MATCH(TEXT($J548,"yyyy-mm-dd")&amp;"|"&amp;$Y548&amp;"|"&amp;$Z548,'CALENDARIO'!$G$15:$G$214,0)),IFERROR(INDEX('CALENDARIO'!$C$15:$C$214,MATCH(TEXT($J548,"yyyy-mm-dd")&amp;"|"&amp;$Y548&amp;"|",'CALENDARIO'!$G$15:$G$214,0)),IFERROR(INDEX('CALENDARIO'!$C$15:$C$214,MATCH(TEXT($J548,"yyyy-mm-dd")&amp;"||",'CALENDARIO'!$G$15:$G$214,0)),INDEX(patronHabil,WEEKDAY($J548,2))))))</f>
        <v/>
      </c>
      <c r="U548" s="24">
        <f>IF($I548="","",IFERROR(INDEX('CAT_TIPOS_OT'!$C$4:$C$23,MATCH($I548,'CAT_TIPOS_OT'!$A$4:$A$23,0)),"sin_clasificar"))</f>
        <v/>
      </c>
      <c r="V548" s="24">
        <f>IF($I548="","",IF(IFERROR(INDEX('CAT_TIPOS_OT'!$D$4:$D$23,MATCH($I548,'CAT_TIPOS_OT'!$A$4:$A$23,0)),"SIN CLASIFICAR")="","SIN CLASIFICAR",IFERROR(INDEX('CAT_TIPOS_OT'!$D$4:$D$23,MATCH($I548,'CAT_TIPOS_OT'!$A$4:$A$23,0)),"SIN CLASIFICAR")))</f>
        <v/>
      </c>
      <c r="W548" s="24">
        <f>IF($H548="","",IF(IFERROR(INDEX('CAT_ACTIVIDADES'!$F$4:$F$26,MATCH($H548,'CAT_ACTIVIDADES'!$A$4:$A$26,0)),"")=0,"",IFERROR(INDEX('CAT_ACTIVIDADES'!$F$4:$F$26,MATCH($H548,'CAT_ACTIVIDADES'!$A$4:$A$26,0)),"")))</f>
        <v/>
      </c>
      <c r="X548" s="24">
        <f>IF($F548="","",IFERROR(INDEX('CAT_CENTROS_COSTO'!$F$4:$F$28,MATCH($F548,'CAT_CENTROS_COSTO'!$A$4:$A$28,0)),"(sin catálogo)"))</f>
        <v/>
      </c>
      <c r="Y548" s="24">
        <f>IF($F548="","",IFERROR(INDEX('CAT_CENTROS_COSTO'!$D$4:$D$28,MATCH($F548,'CAT_CENTROS_COSTO'!$A$4:$A$28,0)),"(sin catálogo)"))</f>
        <v/>
      </c>
      <c r="Z548" s="24">
        <f>IF($F548="","",IF((IFERROR(INDEX('CAT_CENTROS_COSTO'!$E$4:$E$28,MATCH($F548,'CAT_CENTROS_COSTO'!$A$4:$A$28,0)),""))&lt;&gt;"",IFERROR(INDEX('CAT_CENTROS_COSTO'!$E$4:$E$28,MATCH($F548,'CAT_CENTROS_COSTO'!$A$4:$A$28,0)),""),$Y548))</f>
        <v/>
      </c>
      <c r="AA548" s="24">
        <f>IF($F548="","",IFERROR(INDEX('CAT_CENTROS_COSTO'!$G$4:$G$28,MATCH($F548,'CAT_CENTROS_COSTO'!$A$4:$A$28,0)),"(sin catálogo)"))</f>
        <v/>
      </c>
      <c r="AB548" s="24">
        <f>IF($G548="","",IFERROR(INDEX('CAT_PUESTOS'!$B$4:$B$23,MATCH($G548,'CAT_PUESTOS'!$A$4:$A$23,0)),"(sin catálogo)"))</f>
        <v/>
      </c>
      <c r="AC548" s="24">
        <f>IF($H548="","",IFERROR(INDEX('CAT_ACTIVIDADES'!$B$4:$B$26,MATCH($H548,'CAT_ACTIVIDADES'!$A$4:$A$26,0)),"(sin catálogo)"))</f>
        <v/>
      </c>
      <c r="AD548" s="26">
        <f>IF($J548="","",TODAY()-$J548)</f>
        <v/>
      </c>
      <c r="AE548" s="26">
        <f>IF($J548="","",IF($J548&lt;=TODAY(),COUNTIFS(cal_fechas,"&gt;="&amp;$J548,cal_fechas,"&lt;"&amp;TODAY(),cal_habil,"sí"),-COUNTIFS(cal_fechas,"&gt;="&amp;TODAY(),cal_fechas,"&lt;"&amp;$J548,cal_habil,"sí")))</f>
        <v/>
      </c>
      <c r="AF548" s="24">
        <f>IF($AE548="","",IF($AE548&lt;0,"FUTURO",IF($AE548&gt;p_dias_backlog_max,"BACKLOG","MES CORRIENTE")))</f>
        <v/>
      </c>
      <c r="AG548" s="24">
        <f>IF($AE548="",FALSE,AND($AE548&gt;p_dias_backlog_min,$AE548&lt;=p_dias_backlog_max))</f>
        <v/>
      </c>
      <c r="AH548" s="4" t="n"/>
      <c r="AI548" s="24">
        <f>IF($AH548="","",IF((IFERROR(INDEX('ASIGNACIONES'!$J$4:$J$451,MATCH($O548&amp;"|"&amp;$S548&amp;"|"&amp;$AH548,'ASIGNACIONES'!$N$4:$N$451,0)),""))=0,"",IFERROR(INDEX('ASIGNACIONES'!$J$4:$J$451,MATCH($O548&amp;"|"&amp;$S548&amp;"|"&amp;$AH548,'ASIGNACIONES'!$N$4:$N$451,0)),"")))</f>
        <v/>
      </c>
      <c r="AJ548" s="42">
        <f>IF($AH548="","",SUMIFS('ORDENES'!$M$4:$M$1203,'ORDENES'!$AH$4:$AH$1203,$AH548,'ORDENES'!$O$4:$O$1203,$O548,'ORDENES'!$S$4:$S$1203,$S548))</f>
        <v/>
      </c>
      <c r="AK548" s="42">
        <f>IF($AJ548="","",p_factor_productividad*IFERROR(INDEX('ASIGNACIONES'!$M$4:$M$451,MATCH($O548&amp;"|"&amp;$S548&amp;"|"&amp;$AH548,'ASIGNACIONES'!$N$4:$N$451,0)),0)-$AJ548)</f>
        <v/>
      </c>
      <c r="AL548" s="32">
        <f>IF($A548="","",IFERROR(INDEX('2_IMPORTAR_EJECUCION'!$F$9:$F$1208,MATCH($AU548,'2_IMPORTAR_EJECUCION'!$J$9:$J$1208,0)),0))</f>
        <v/>
      </c>
      <c r="AM548" s="32">
        <f>IF($A548="","",MAX(0,IFERROR(INDEX('2_IMPORTAR_EJECUCION'!$H$9:$H$1208,MATCH($AU548,'2_IMPORTAR_EJECUCION'!$J$9:$J$1208,0)),0)-$AL548))</f>
        <v/>
      </c>
      <c r="AN548" s="32">
        <f>IF($A548="","",$AL548+$AM548)</f>
        <v/>
      </c>
      <c r="AO548" s="24">
        <f>IF($A548="","",IF(OR((IFERROR(INDEX('CAT_ACTIVIDADES'!$D$4:$D$26,MATCH($H548,'CAT_ACTIVIDADES'!$A$4:$A$26,0)),""))=0,(IFERROR(INDEX('CAT_ACTIVIDADES'!$D$4:$D$26,MATCH($H548,'CAT_ACTIVIDADES'!$A$4:$A$26,0)),""))=""),"SIN CLASIFICAR",IFERROR(INDEX('CAT_ACTIVIDADES'!$D$4:$D$26,MATCH($H548,'CAT_ACTIVIDADES'!$A$4:$A$26,0)),"")))</f>
        <v/>
      </c>
      <c r="AP548" s="4" t="n"/>
      <c r="AQ548" s="4" t="n"/>
      <c r="AR548" s="4" t="n"/>
      <c r="AS548" s="24">
        <f>IF($AR548="","",HYPERLINK(p_ruta_base_checklists&amp;$AR548,"abrir"))</f>
        <v/>
      </c>
      <c r="AT548" s="4" t="n"/>
      <c r="AU548" s="24">
        <f>IF($A548="","",$A548&amp;IF($B548="","0010",$B548))</f>
        <v/>
      </c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41" t="n"/>
      <c r="K549" s="5" t="n"/>
      <c r="L549" s="18" t="n"/>
      <c r="M549" s="24">
        <f>IF($A549="","",IFERROR(INDEX('AJUSTES'!$B$4:$B$303,MATCH($AU549,'AJUSTES'!$A$4:$A$303,0)),IF($K549="","",$K549)))</f>
        <v/>
      </c>
      <c r="N549" s="24">
        <f>IF($A549="","",IFERROR(INDEX('CAT_ESTADOS_ERP'!$B$4:$B$22,MATCH(IFERROR(INDEX('2_IMPORTAR_EJECUCION'!$C$9:$C$1208,MATCH($AU549,'2_IMPORTAR_EJECUCION'!$J$9:$J$1208,0)),""),'CAT_ESTADOS_ERP'!$A$4:$A$22,0)),"Pendiente"))</f>
        <v/>
      </c>
      <c r="O549" s="24">
        <f>IF($J549="","",YEAR($J549+4-WEEKDAY($J549,2))&amp;"-S"&amp;TEXT(_xlfn.ISOWEEKNUM($J549),"00"))</f>
        <v/>
      </c>
      <c r="P549" s="24">
        <f>IF($J549="","",YEAR($J549))</f>
        <v/>
      </c>
      <c r="Q549" s="24">
        <f>IF($J549="","",MONTH($J549))</f>
        <v/>
      </c>
      <c r="R549" s="24">
        <f>IF($J549="","",$P549&amp;"-"&amp;TEXT($Q549,"00"))</f>
        <v/>
      </c>
      <c r="S549" s="24">
        <f>IF($J549="","",INDEX(lista_dias,WEEKDAY($J549,2)))</f>
        <v/>
      </c>
      <c r="T549" s="24">
        <f>IF($J549="","",IFERROR(INDEX('CALENDARIO'!$C$15:$C$214,MATCH(TEXT($J549,"yyyy-mm-dd")&amp;"|"&amp;$Y549&amp;"|"&amp;$Z549,'CALENDARIO'!$G$15:$G$214,0)),IFERROR(INDEX('CALENDARIO'!$C$15:$C$214,MATCH(TEXT($J549,"yyyy-mm-dd")&amp;"|"&amp;$Y549&amp;"|",'CALENDARIO'!$G$15:$G$214,0)),IFERROR(INDEX('CALENDARIO'!$C$15:$C$214,MATCH(TEXT($J549,"yyyy-mm-dd")&amp;"||",'CALENDARIO'!$G$15:$G$214,0)),INDEX(patronHabil,WEEKDAY($J549,2))))))</f>
        <v/>
      </c>
      <c r="U549" s="24">
        <f>IF($I549="","",IFERROR(INDEX('CAT_TIPOS_OT'!$C$4:$C$23,MATCH($I549,'CAT_TIPOS_OT'!$A$4:$A$23,0)),"sin_clasificar"))</f>
        <v/>
      </c>
      <c r="V549" s="24">
        <f>IF($I549="","",IF(IFERROR(INDEX('CAT_TIPOS_OT'!$D$4:$D$23,MATCH($I549,'CAT_TIPOS_OT'!$A$4:$A$23,0)),"SIN CLASIFICAR")="","SIN CLASIFICAR",IFERROR(INDEX('CAT_TIPOS_OT'!$D$4:$D$23,MATCH($I549,'CAT_TIPOS_OT'!$A$4:$A$23,0)),"SIN CLASIFICAR")))</f>
        <v/>
      </c>
      <c r="W549" s="24">
        <f>IF($H549="","",IF(IFERROR(INDEX('CAT_ACTIVIDADES'!$F$4:$F$26,MATCH($H549,'CAT_ACTIVIDADES'!$A$4:$A$26,0)),"")=0,"",IFERROR(INDEX('CAT_ACTIVIDADES'!$F$4:$F$26,MATCH($H549,'CAT_ACTIVIDADES'!$A$4:$A$26,0)),"")))</f>
        <v/>
      </c>
      <c r="X549" s="24">
        <f>IF($F549="","",IFERROR(INDEX('CAT_CENTROS_COSTO'!$F$4:$F$28,MATCH($F549,'CAT_CENTROS_COSTO'!$A$4:$A$28,0)),"(sin catálogo)"))</f>
        <v/>
      </c>
      <c r="Y549" s="24">
        <f>IF($F549="","",IFERROR(INDEX('CAT_CENTROS_COSTO'!$D$4:$D$28,MATCH($F549,'CAT_CENTROS_COSTO'!$A$4:$A$28,0)),"(sin catálogo)"))</f>
        <v/>
      </c>
      <c r="Z549" s="24">
        <f>IF($F549="","",IF((IFERROR(INDEX('CAT_CENTROS_COSTO'!$E$4:$E$28,MATCH($F549,'CAT_CENTROS_COSTO'!$A$4:$A$28,0)),""))&lt;&gt;"",IFERROR(INDEX('CAT_CENTROS_COSTO'!$E$4:$E$28,MATCH($F549,'CAT_CENTROS_COSTO'!$A$4:$A$28,0)),""),$Y549))</f>
        <v/>
      </c>
      <c r="AA549" s="24">
        <f>IF($F549="","",IFERROR(INDEX('CAT_CENTROS_COSTO'!$G$4:$G$28,MATCH($F549,'CAT_CENTROS_COSTO'!$A$4:$A$28,0)),"(sin catálogo)"))</f>
        <v/>
      </c>
      <c r="AB549" s="24">
        <f>IF($G549="","",IFERROR(INDEX('CAT_PUESTOS'!$B$4:$B$23,MATCH($G549,'CAT_PUESTOS'!$A$4:$A$23,0)),"(sin catálogo)"))</f>
        <v/>
      </c>
      <c r="AC549" s="24">
        <f>IF($H549="","",IFERROR(INDEX('CAT_ACTIVIDADES'!$B$4:$B$26,MATCH($H549,'CAT_ACTIVIDADES'!$A$4:$A$26,0)),"(sin catálogo)"))</f>
        <v/>
      </c>
      <c r="AD549" s="26">
        <f>IF($J549="","",TODAY()-$J549)</f>
        <v/>
      </c>
      <c r="AE549" s="26">
        <f>IF($J549="","",IF($J549&lt;=TODAY(),COUNTIFS(cal_fechas,"&gt;="&amp;$J549,cal_fechas,"&lt;"&amp;TODAY(),cal_habil,"sí"),-COUNTIFS(cal_fechas,"&gt;="&amp;TODAY(),cal_fechas,"&lt;"&amp;$J549,cal_habil,"sí")))</f>
        <v/>
      </c>
      <c r="AF549" s="24">
        <f>IF($AE549="","",IF($AE549&lt;0,"FUTURO",IF($AE549&gt;p_dias_backlog_max,"BACKLOG","MES CORRIENTE")))</f>
        <v/>
      </c>
      <c r="AG549" s="24">
        <f>IF($AE549="",FALSE,AND($AE549&gt;p_dias_backlog_min,$AE549&lt;=p_dias_backlog_max))</f>
        <v/>
      </c>
      <c r="AH549" s="4" t="n"/>
      <c r="AI549" s="24">
        <f>IF($AH549="","",IF((IFERROR(INDEX('ASIGNACIONES'!$J$4:$J$451,MATCH($O549&amp;"|"&amp;$S549&amp;"|"&amp;$AH549,'ASIGNACIONES'!$N$4:$N$451,0)),""))=0,"",IFERROR(INDEX('ASIGNACIONES'!$J$4:$J$451,MATCH($O549&amp;"|"&amp;$S549&amp;"|"&amp;$AH549,'ASIGNACIONES'!$N$4:$N$451,0)),"")))</f>
        <v/>
      </c>
      <c r="AJ549" s="42">
        <f>IF($AH549="","",SUMIFS('ORDENES'!$M$4:$M$1203,'ORDENES'!$AH$4:$AH$1203,$AH549,'ORDENES'!$O$4:$O$1203,$O549,'ORDENES'!$S$4:$S$1203,$S549))</f>
        <v/>
      </c>
      <c r="AK549" s="42">
        <f>IF($AJ549="","",p_factor_productividad*IFERROR(INDEX('ASIGNACIONES'!$M$4:$M$451,MATCH($O549&amp;"|"&amp;$S549&amp;"|"&amp;$AH549,'ASIGNACIONES'!$N$4:$N$451,0)),0)-$AJ549)</f>
        <v/>
      </c>
      <c r="AL549" s="32">
        <f>IF($A549="","",IFERROR(INDEX('2_IMPORTAR_EJECUCION'!$F$9:$F$1208,MATCH($AU549,'2_IMPORTAR_EJECUCION'!$J$9:$J$1208,0)),0))</f>
        <v/>
      </c>
      <c r="AM549" s="32">
        <f>IF($A549="","",MAX(0,IFERROR(INDEX('2_IMPORTAR_EJECUCION'!$H$9:$H$1208,MATCH($AU549,'2_IMPORTAR_EJECUCION'!$J$9:$J$1208,0)),0)-$AL549))</f>
        <v/>
      </c>
      <c r="AN549" s="32">
        <f>IF($A549="","",$AL549+$AM549)</f>
        <v/>
      </c>
      <c r="AO549" s="24">
        <f>IF($A549="","",IF(OR((IFERROR(INDEX('CAT_ACTIVIDADES'!$D$4:$D$26,MATCH($H549,'CAT_ACTIVIDADES'!$A$4:$A$26,0)),""))=0,(IFERROR(INDEX('CAT_ACTIVIDADES'!$D$4:$D$26,MATCH($H549,'CAT_ACTIVIDADES'!$A$4:$A$26,0)),""))=""),"SIN CLASIFICAR",IFERROR(INDEX('CAT_ACTIVIDADES'!$D$4:$D$26,MATCH($H549,'CAT_ACTIVIDADES'!$A$4:$A$26,0)),"")))</f>
        <v/>
      </c>
      <c r="AP549" s="4" t="n"/>
      <c r="AQ549" s="4" t="n"/>
      <c r="AR549" s="4" t="n"/>
      <c r="AS549" s="24">
        <f>IF($AR549="","",HYPERLINK(p_ruta_base_checklists&amp;$AR549,"abrir"))</f>
        <v/>
      </c>
      <c r="AT549" s="4" t="n"/>
      <c r="AU549" s="24">
        <f>IF($A549="","",$A549&amp;IF($B549="","0010",$B549))</f>
        <v/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41" t="n"/>
      <c r="K550" s="5" t="n"/>
      <c r="L550" s="18" t="n"/>
      <c r="M550" s="24">
        <f>IF($A550="","",IFERROR(INDEX('AJUSTES'!$B$4:$B$303,MATCH($AU550,'AJUSTES'!$A$4:$A$303,0)),IF($K550="","",$K550)))</f>
        <v/>
      </c>
      <c r="N550" s="24">
        <f>IF($A550="","",IFERROR(INDEX('CAT_ESTADOS_ERP'!$B$4:$B$22,MATCH(IFERROR(INDEX('2_IMPORTAR_EJECUCION'!$C$9:$C$1208,MATCH($AU550,'2_IMPORTAR_EJECUCION'!$J$9:$J$1208,0)),""),'CAT_ESTADOS_ERP'!$A$4:$A$22,0)),"Pendiente"))</f>
        <v/>
      </c>
      <c r="O550" s="24">
        <f>IF($J550="","",YEAR($J550+4-WEEKDAY($J550,2))&amp;"-S"&amp;TEXT(_xlfn.ISOWEEKNUM($J550),"00"))</f>
        <v/>
      </c>
      <c r="P550" s="24">
        <f>IF($J550="","",YEAR($J550))</f>
        <v/>
      </c>
      <c r="Q550" s="24">
        <f>IF($J550="","",MONTH($J550))</f>
        <v/>
      </c>
      <c r="R550" s="24">
        <f>IF($J550="","",$P550&amp;"-"&amp;TEXT($Q550,"00"))</f>
        <v/>
      </c>
      <c r="S550" s="24">
        <f>IF($J550="","",INDEX(lista_dias,WEEKDAY($J550,2)))</f>
        <v/>
      </c>
      <c r="T550" s="24">
        <f>IF($J550="","",IFERROR(INDEX('CALENDARIO'!$C$15:$C$214,MATCH(TEXT($J550,"yyyy-mm-dd")&amp;"|"&amp;$Y550&amp;"|"&amp;$Z550,'CALENDARIO'!$G$15:$G$214,0)),IFERROR(INDEX('CALENDARIO'!$C$15:$C$214,MATCH(TEXT($J550,"yyyy-mm-dd")&amp;"|"&amp;$Y550&amp;"|",'CALENDARIO'!$G$15:$G$214,0)),IFERROR(INDEX('CALENDARIO'!$C$15:$C$214,MATCH(TEXT($J550,"yyyy-mm-dd")&amp;"||",'CALENDARIO'!$G$15:$G$214,0)),INDEX(patronHabil,WEEKDAY($J550,2))))))</f>
        <v/>
      </c>
      <c r="U550" s="24">
        <f>IF($I550="","",IFERROR(INDEX('CAT_TIPOS_OT'!$C$4:$C$23,MATCH($I550,'CAT_TIPOS_OT'!$A$4:$A$23,0)),"sin_clasificar"))</f>
        <v/>
      </c>
      <c r="V550" s="24">
        <f>IF($I550="","",IF(IFERROR(INDEX('CAT_TIPOS_OT'!$D$4:$D$23,MATCH($I550,'CAT_TIPOS_OT'!$A$4:$A$23,0)),"SIN CLASIFICAR")="","SIN CLASIFICAR",IFERROR(INDEX('CAT_TIPOS_OT'!$D$4:$D$23,MATCH($I550,'CAT_TIPOS_OT'!$A$4:$A$23,0)),"SIN CLASIFICAR")))</f>
        <v/>
      </c>
      <c r="W550" s="24">
        <f>IF($H550="","",IF(IFERROR(INDEX('CAT_ACTIVIDADES'!$F$4:$F$26,MATCH($H550,'CAT_ACTIVIDADES'!$A$4:$A$26,0)),"")=0,"",IFERROR(INDEX('CAT_ACTIVIDADES'!$F$4:$F$26,MATCH($H550,'CAT_ACTIVIDADES'!$A$4:$A$26,0)),"")))</f>
        <v/>
      </c>
      <c r="X550" s="24">
        <f>IF($F550="","",IFERROR(INDEX('CAT_CENTROS_COSTO'!$F$4:$F$28,MATCH($F550,'CAT_CENTROS_COSTO'!$A$4:$A$28,0)),"(sin catálogo)"))</f>
        <v/>
      </c>
      <c r="Y550" s="24">
        <f>IF($F550="","",IFERROR(INDEX('CAT_CENTROS_COSTO'!$D$4:$D$28,MATCH($F550,'CAT_CENTROS_COSTO'!$A$4:$A$28,0)),"(sin catálogo)"))</f>
        <v/>
      </c>
      <c r="Z550" s="24">
        <f>IF($F550="","",IF((IFERROR(INDEX('CAT_CENTROS_COSTO'!$E$4:$E$28,MATCH($F550,'CAT_CENTROS_COSTO'!$A$4:$A$28,0)),""))&lt;&gt;"",IFERROR(INDEX('CAT_CENTROS_COSTO'!$E$4:$E$28,MATCH($F550,'CAT_CENTROS_COSTO'!$A$4:$A$28,0)),""),$Y550))</f>
        <v/>
      </c>
      <c r="AA550" s="24">
        <f>IF($F550="","",IFERROR(INDEX('CAT_CENTROS_COSTO'!$G$4:$G$28,MATCH($F550,'CAT_CENTROS_COSTO'!$A$4:$A$28,0)),"(sin catálogo)"))</f>
        <v/>
      </c>
      <c r="AB550" s="24">
        <f>IF($G550="","",IFERROR(INDEX('CAT_PUESTOS'!$B$4:$B$23,MATCH($G550,'CAT_PUESTOS'!$A$4:$A$23,0)),"(sin catálogo)"))</f>
        <v/>
      </c>
      <c r="AC550" s="24">
        <f>IF($H550="","",IFERROR(INDEX('CAT_ACTIVIDADES'!$B$4:$B$26,MATCH($H550,'CAT_ACTIVIDADES'!$A$4:$A$26,0)),"(sin catálogo)"))</f>
        <v/>
      </c>
      <c r="AD550" s="26">
        <f>IF($J550="","",TODAY()-$J550)</f>
        <v/>
      </c>
      <c r="AE550" s="26">
        <f>IF($J550="","",IF($J550&lt;=TODAY(),COUNTIFS(cal_fechas,"&gt;="&amp;$J550,cal_fechas,"&lt;"&amp;TODAY(),cal_habil,"sí"),-COUNTIFS(cal_fechas,"&gt;="&amp;TODAY(),cal_fechas,"&lt;"&amp;$J550,cal_habil,"sí")))</f>
        <v/>
      </c>
      <c r="AF550" s="24">
        <f>IF($AE550="","",IF($AE550&lt;0,"FUTURO",IF($AE550&gt;p_dias_backlog_max,"BACKLOG","MES CORRIENTE")))</f>
        <v/>
      </c>
      <c r="AG550" s="24">
        <f>IF($AE550="",FALSE,AND($AE550&gt;p_dias_backlog_min,$AE550&lt;=p_dias_backlog_max))</f>
        <v/>
      </c>
      <c r="AH550" s="4" t="n"/>
      <c r="AI550" s="24">
        <f>IF($AH550="","",IF((IFERROR(INDEX('ASIGNACIONES'!$J$4:$J$451,MATCH($O550&amp;"|"&amp;$S550&amp;"|"&amp;$AH550,'ASIGNACIONES'!$N$4:$N$451,0)),""))=0,"",IFERROR(INDEX('ASIGNACIONES'!$J$4:$J$451,MATCH($O550&amp;"|"&amp;$S550&amp;"|"&amp;$AH550,'ASIGNACIONES'!$N$4:$N$451,0)),"")))</f>
        <v/>
      </c>
      <c r="AJ550" s="42">
        <f>IF($AH550="","",SUMIFS('ORDENES'!$M$4:$M$1203,'ORDENES'!$AH$4:$AH$1203,$AH550,'ORDENES'!$O$4:$O$1203,$O550,'ORDENES'!$S$4:$S$1203,$S550))</f>
        <v/>
      </c>
      <c r="AK550" s="42">
        <f>IF($AJ550="","",p_factor_productividad*IFERROR(INDEX('ASIGNACIONES'!$M$4:$M$451,MATCH($O550&amp;"|"&amp;$S550&amp;"|"&amp;$AH550,'ASIGNACIONES'!$N$4:$N$451,0)),0)-$AJ550)</f>
        <v/>
      </c>
      <c r="AL550" s="32">
        <f>IF($A550="","",IFERROR(INDEX('2_IMPORTAR_EJECUCION'!$F$9:$F$1208,MATCH($AU550,'2_IMPORTAR_EJECUCION'!$J$9:$J$1208,0)),0))</f>
        <v/>
      </c>
      <c r="AM550" s="32">
        <f>IF($A550="","",MAX(0,IFERROR(INDEX('2_IMPORTAR_EJECUCION'!$H$9:$H$1208,MATCH($AU550,'2_IMPORTAR_EJECUCION'!$J$9:$J$1208,0)),0)-$AL550))</f>
        <v/>
      </c>
      <c r="AN550" s="32">
        <f>IF($A550="","",$AL550+$AM550)</f>
        <v/>
      </c>
      <c r="AO550" s="24">
        <f>IF($A550="","",IF(OR((IFERROR(INDEX('CAT_ACTIVIDADES'!$D$4:$D$26,MATCH($H550,'CAT_ACTIVIDADES'!$A$4:$A$26,0)),""))=0,(IFERROR(INDEX('CAT_ACTIVIDADES'!$D$4:$D$26,MATCH($H550,'CAT_ACTIVIDADES'!$A$4:$A$26,0)),""))=""),"SIN CLASIFICAR",IFERROR(INDEX('CAT_ACTIVIDADES'!$D$4:$D$26,MATCH($H550,'CAT_ACTIVIDADES'!$A$4:$A$26,0)),"")))</f>
        <v/>
      </c>
      <c r="AP550" s="4" t="n"/>
      <c r="AQ550" s="4" t="n"/>
      <c r="AR550" s="4" t="n"/>
      <c r="AS550" s="24">
        <f>IF($AR550="","",HYPERLINK(p_ruta_base_checklists&amp;$AR550,"abrir"))</f>
        <v/>
      </c>
      <c r="AT550" s="4" t="n"/>
      <c r="AU550" s="24">
        <f>IF($A550="","",$A550&amp;IF($B550="","0010",$B550))</f>
        <v/>
      </c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41" t="n"/>
      <c r="K551" s="5" t="n"/>
      <c r="L551" s="18" t="n"/>
      <c r="M551" s="24">
        <f>IF($A551="","",IFERROR(INDEX('AJUSTES'!$B$4:$B$303,MATCH($AU551,'AJUSTES'!$A$4:$A$303,0)),IF($K551="","",$K551)))</f>
        <v/>
      </c>
      <c r="N551" s="24">
        <f>IF($A551="","",IFERROR(INDEX('CAT_ESTADOS_ERP'!$B$4:$B$22,MATCH(IFERROR(INDEX('2_IMPORTAR_EJECUCION'!$C$9:$C$1208,MATCH($AU551,'2_IMPORTAR_EJECUCION'!$J$9:$J$1208,0)),""),'CAT_ESTADOS_ERP'!$A$4:$A$22,0)),"Pendiente"))</f>
        <v/>
      </c>
      <c r="O551" s="24">
        <f>IF($J551="","",YEAR($J551+4-WEEKDAY($J551,2))&amp;"-S"&amp;TEXT(_xlfn.ISOWEEKNUM($J551),"00"))</f>
        <v/>
      </c>
      <c r="P551" s="24">
        <f>IF($J551="","",YEAR($J551))</f>
        <v/>
      </c>
      <c r="Q551" s="24">
        <f>IF($J551="","",MONTH($J551))</f>
        <v/>
      </c>
      <c r="R551" s="24">
        <f>IF($J551="","",$P551&amp;"-"&amp;TEXT($Q551,"00"))</f>
        <v/>
      </c>
      <c r="S551" s="24">
        <f>IF($J551="","",INDEX(lista_dias,WEEKDAY($J551,2)))</f>
        <v/>
      </c>
      <c r="T551" s="24">
        <f>IF($J551="","",IFERROR(INDEX('CALENDARIO'!$C$15:$C$214,MATCH(TEXT($J551,"yyyy-mm-dd")&amp;"|"&amp;$Y551&amp;"|"&amp;$Z551,'CALENDARIO'!$G$15:$G$214,0)),IFERROR(INDEX('CALENDARIO'!$C$15:$C$214,MATCH(TEXT($J551,"yyyy-mm-dd")&amp;"|"&amp;$Y551&amp;"|",'CALENDARIO'!$G$15:$G$214,0)),IFERROR(INDEX('CALENDARIO'!$C$15:$C$214,MATCH(TEXT($J551,"yyyy-mm-dd")&amp;"||",'CALENDARIO'!$G$15:$G$214,0)),INDEX(patronHabil,WEEKDAY($J551,2))))))</f>
        <v/>
      </c>
      <c r="U551" s="24">
        <f>IF($I551="","",IFERROR(INDEX('CAT_TIPOS_OT'!$C$4:$C$23,MATCH($I551,'CAT_TIPOS_OT'!$A$4:$A$23,0)),"sin_clasificar"))</f>
        <v/>
      </c>
      <c r="V551" s="24">
        <f>IF($I551="","",IF(IFERROR(INDEX('CAT_TIPOS_OT'!$D$4:$D$23,MATCH($I551,'CAT_TIPOS_OT'!$A$4:$A$23,0)),"SIN CLASIFICAR")="","SIN CLASIFICAR",IFERROR(INDEX('CAT_TIPOS_OT'!$D$4:$D$23,MATCH($I551,'CAT_TIPOS_OT'!$A$4:$A$23,0)),"SIN CLASIFICAR")))</f>
        <v/>
      </c>
      <c r="W551" s="24">
        <f>IF($H551="","",IF(IFERROR(INDEX('CAT_ACTIVIDADES'!$F$4:$F$26,MATCH($H551,'CAT_ACTIVIDADES'!$A$4:$A$26,0)),"")=0,"",IFERROR(INDEX('CAT_ACTIVIDADES'!$F$4:$F$26,MATCH($H551,'CAT_ACTIVIDADES'!$A$4:$A$26,0)),"")))</f>
        <v/>
      </c>
      <c r="X551" s="24">
        <f>IF($F551="","",IFERROR(INDEX('CAT_CENTROS_COSTO'!$F$4:$F$28,MATCH($F551,'CAT_CENTROS_COSTO'!$A$4:$A$28,0)),"(sin catálogo)"))</f>
        <v/>
      </c>
      <c r="Y551" s="24">
        <f>IF($F551="","",IFERROR(INDEX('CAT_CENTROS_COSTO'!$D$4:$D$28,MATCH($F551,'CAT_CENTROS_COSTO'!$A$4:$A$28,0)),"(sin catálogo)"))</f>
        <v/>
      </c>
      <c r="Z551" s="24">
        <f>IF($F551="","",IF((IFERROR(INDEX('CAT_CENTROS_COSTO'!$E$4:$E$28,MATCH($F551,'CAT_CENTROS_COSTO'!$A$4:$A$28,0)),""))&lt;&gt;"",IFERROR(INDEX('CAT_CENTROS_COSTO'!$E$4:$E$28,MATCH($F551,'CAT_CENTROS_COSTO'!$A$4:$A$28,0)),""),$Y551))</f>
        <v/>
      </c>
      <c r="AA551" s="24">
        <f>IF($F551="","",IFERROR(INDEX('CAT_CENTROS_COSTO'!$G$4:$G$28,MATCH($F551,'CAT_CENTROS_COSTO'!$A$4:$A$28,0)),"(sin catálogo)"))</f>
        <v/>
      </c>
      <c r="AB551" s="24">
        <f>IF($G551="","",IFERROR(INDEX('CAT_PUESTOS'!$B$4:$B$23,MATCH($G551,'CAT_PUESTOS'!$A$4:$A$23,0)),"(sin catálogo)"))</f>
        <v/>
      </c>
      <c r="AC551" s="24">
        <f>IF($H551="","",IFERROR(INDEX('CAT_ACTIVIDADES'!$B$4:$B$26,MATCH($H551,'CAT_ACTIVIDADES'!$A$4:$A$26,0)),"(sin catálogo)"))</f>
        <v/>
      </c>
      <c r="AD551" s="26">
        <f>IF($J551="","",TODAY()-$J551)</f>
        <v/>
      </c>
      <c r="AE551" s="26">
        <f>IF($J551="","",IF($J551&lt;=TODAY(),COUNTIFS(cal_fechas,"&gt;="&amp;$J551,cal_fechas,"&lt;"&amp;TODAY(),cal_habil,"sí"),-COUNTIFS(cal_fechas,"&gt;="&amp;TODAY(),cal_fechas,"&lt;"&amp;$J551,cal_habil,"sí")))</f>
        <v/>
      </c>
      <c r="AF551" s="24">
        <f>IF($AE551="","",IF($AE551&lt;0,"FUTURO",IF($AE551&gt;p_dias_backlog_max,"BACKLOG","MES CORRIENTE")))</f>
        <v/>
      </c>
      <c r="AG551" s="24">
        <f>IF($AE551="",FALSE,AND($AE551&gt;p_dias_backlog_min,$AE551&lt;=p_dias_backlog_max))</f>
        <v/>
      </c>
      <c r="AH551" s="4" t="n"/>
      <c r="AI551" s="24">
        <f>IF($AH551="","",IF((IFERROR(INDEX('ASIGNACIONES'!$J$4:$J$451,MATCH($O551&amp;"|"&amp;$S551&amp;"|"&amp;$AH551,'ASIGNACIONES'!$N$4:$N$451,0)),""))=0,"",IFERROR(INDEX('ASIGNACIONES'!$J$4:$J$451,MATCH($O551&amp;"|"&amp;$S551&amp;"|"&amp;$AH551,'ASIGNACIONES'!$N$4:$N$451,0)),"")))</f>
        <v/>
      </c>
      <c r="AJ551" s="42">
        <f>IF($AH551="","",SUMIFS('ORDENES'!$M$4:$M$1203,'ORDENES'!$AH$4:$AH$1203,$AH551,'ORDENES'!$O$4:$O$1203,$O551,'ORDENES'!$S$4:$S$1203,$S551))</f>
        <v/>
      </c>
      <c r="AK551" s="42">
        <f>IF($AJ551="","",p_factor_productividad*IFERROR(INDEX('ASIGNACIONES'!$M$4:$M$451,MATCH($O551&amp;"|"&amp;$S551&amp;"|"&amp;$AH551,'ASIGNACIONES'!$N$4:$N$451,0)),0)-$AJ551)</f>
        <v/>
      </c>
      <c r="AL551" s="32">
        <f>IF($A551="","",IFERROR(INDEX('2_IMPORTAR_EJECUCION'!$F$9:$F$1208,MATCH($AU551,'2_IMPORTAR_EJECUCION'!$J$9:$J$1208,0)),0))</f>
        <v/>
      </c>
      <c r="AM551" s="32">
        <f>IF($A551="","",MAX(0,IFERROR(INDEX('2_IMPORTAR_EJECUCION'!$H$9:$H$1208,MATCH($AU551,'2_IMPORTAR_EJECUCION'!$J$9:$J$1208,0)),0)-$AL551))</f>
        <v/>
      </c>
      <c r="AN551" s="32">
        <f>IF($A551="","",$AL551+$AM551)</f>
        <v/>
      </c>
      <c r="AO551" s="24">
        <f>IF($A551="","",IF(OR((IFERROR(INDEX('CAT_ACTIVIDADES'!$D$4:$D$26,MATCH($H551,'CAT_ACTIVIDADES'!$A$4:$A$26,0)),""))=0,(IFERROR(INDEX('CAT_ACTIVIDADES'!$D$4:$D$26,MATCH($H551,'CAT_ACTIVIDADES'!$A$4:$A$26,0)),""))=""),"SIN CLASIFICAR",IFERROR(INDEX('CAT_ACTIVIDADES'!$D$4:$D$26,MATCH($H551,'CAT_ACTIVIDADES'!$A$4:$A$26,0)),"")))</f>
        <v/>
      </c>
      <c r="AP551" s="4" t="n"/>
      <c r="AQ551" s="4" t="n"/>
      <c r="AR551" s="4" t="n"/>
      <c r="AS551" s="24">
        <f>IF($AR551="","",HYPERLINK(p_ruta_base_checklists&amp;$AR551,"abrir"))</f>
        <v/>
      </c>
      <c r="AT551" s="4" t="n"/>
      <c r="AU551" s="24">
        <f>IF($A551="","",$A551&amp;IF($B551="","0010",$B551))</f>
        <v/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41" t="n"/>
      <c r="K552" s="5" t="n"/>
      <c r="L552" s="18" t="n"/>
      <c r="M552" s="24">
        <f>IF($A552="","",IFERROR(INDEX('AJUSTES'!$B$4:$B$303,MATCH($AU552,'AJUSTES'!$A$4:$A$303,0)),IF($K552="","",$K552)))</f>
        <v/>
      </c>
      <c r="N552" s="24">
        <f>IF($A552="","",IFERROR(INDEX('CAT_ESTADOS_ERP'!$B$4:$B$22,MATCH(IFERROR(INDEX('2_IMPORTAR_EJECUCION'!$C$9:$C$1208,MATCH($AU552,'2_IMPORTAR_EJECUCION'!$J$9:$J$1208,0)),""),'CAT_ESTADOS_ERP'!$A$4:$A$22,0)),"Pendiente"))</f>
        <v/>
      </c>
      <c r="O552" s="24">
        <f>IF($J552="","",YEAR($J552+4-WEEKDAY($J552,2))&amp;"-S"&amp;TEXT(_xlfn.ISOWEEKNUM($J552),"00"))</f>
        <v/>
      </c>
      <c r="P552" s="24">
        <f>IF($J552="","",YEAR($J552))</f>
        <v/>
      </c>
      <c r="Q552" s="24">
        <f>IF($J552="","",MONTH($J552))</f>
        <v/>
      </c>
      <c r="R552" s="24">
        <f>IF($J552="","",$P552&amp;"-"&amp;TEXT($Q552,"00"))</f>
        <v/>
      </c>
      <c r="S552" s="24">
        <f>IF($J552="","",INDEX(lista_dias,WEEKDAY($J552,2)))</f>
        <v/>
      </c>
      <c r="T552" s="24">
        <f>IF($J552="","",IFERROR(INDEX('CALENDARIO'!$C$15:$C$214,MATCH(TEXT($J552,"yyyy-mm-dd")&amp;"|"&amp;$Y552&amp;"|"&amp;$Z552,'CALENDARIO'!$G$15:$G$214,0)),IFERROR(INDEX('CALENDARIO'!$C$15:$C$214,MATCH(TEXT($J552,"yyyy-mm-dd")&amp;"|"&amp;$Y552&amp;"|",'CALENDARIO'!$G$15:$G$214,0)),IFERROR(INDEX('CALENDARIO'!$C$15:$C$214,MATCH(TEXT($J552,"yyyy-mm-dd")&amp;"||",'CALENDARIO'!$G$15:$G$214,0)),INDEX(patronHabil,WEEKDAY($J552,2))))))</f>
        <v/>
      </c>
      <c r="U552" s="24">
        <f>IF($I552="","",IFERROR(INDEX('CAT_TIPOS_OT'!$C$4:$C$23,MATCH($I552,'CAT_TIPOS_OT'!$A$4:$A$23,0)),"sin_clasificar"))</f>
        <v/>
      </c>
      <c r="V552" s="24">
        <f>IF($I552="","",IF(IFERROR(INDEX('CAT_TIPOS_OT'!$D$4:$D$23,MATCH($I552,'CAT_TIPOS_OT'!$A$4:$A$23,0)),"SIN CLASIFICAR")="","SIN CLASIFICAR",IFERROR(INDEX('CAT_TIPOS_OT'!$D$4:$D$23,MATCH($I552,'CAT_TIPOS_OT'!$A$4:$A$23,0)),"SIN CLASIFICAR")))</f>
        <v/>
      </c>
      <c r="W552" s="24">
        <f>IF($H552="","",IF(IFERROR(INDEX('CAT_ACTIVIDADES'!$F$4:$F$26,MATCH($H552,'CAT_ACTIVIDADES'!$A$4:$A$26,0)),"")=0,"",IFERROR(INDEX('CAT_ACTIVIDADES'!$F$4:$F$26,MATCH($H552,'CAT_ACTIVIDADES'!$A$4:$A$26,0)),"")))</f>
        <v/>
      </c>
      <c r="X552" s="24">
        <f>IF($F552="","",IFERROR(INDEX('CAT_CENTROS_COSTO'!$F$4:$F$28,MATCH($F552,'CAT_CENTROS_COSTO'!$A$4:$A$28,0)),"(sin catálogo)"))</f>
        <v/>
      </c>
      <c r="Y552" s="24">
        <f>IF($F552="","",IFERROR(INDEX('CAT_CENTROS_COSTO'!$D$4:$D$28,MATCH($F552,'CAT_CENTROS_COSTO'!$A$4:$A$28,0)),"(sin catálogo)"))</f>
        <v/>
      </c>
      <c r="Z552" s="24">
        <f>IF($F552="","",IF((IFERROR(INDEX('CAT_CENTROS_COSTO'!$E$4:$E$28,MATCH($F552,'CAT_CENTROS_COSTO'!$A$4:$A$28,0)),""))&lt;&gt;"",IFERROR(INDEX('CAT_CENTROS_COSTO'!$E$4:$E$28,MATCH($F552,'CAT_CENTROS_COSTO'!$A$4:$A$28,0)),""),$Y552))</f>
        <v/>
      </c>
      <c r="AA552" s="24">
        <f>IF($F552="","",IFERROR(INDEX('CAT_CENTROS_COSTO'!$G$4:$G$28,MATCH($F552,'CAT_CENTROS_COSTO'!$A$4:$A$28,0)),"(sin catálogo)"))</f>
        <v/>
      </c>
      <c r="AB552" s="24">
        <f>IF($G552="","",IFERROR(INDEX('CAT_PUESTOS'!$B$4:$B$23,MATCH($G552,'CAT_PUESTOS'!$A$4:$A$23,0)),"(sin catálogo)"))</f>
        <v/>
      </c>
      <c r="AC552" s="24">
        <f>IF($H552="","",IFERROR(INDEX('CAT_ACTIVIDADES'!$B$4:$B$26,MATCH($H552,'CAT_ACTIVIDADES'!$A$4:$A$26,0)),"(sin catálogo)"))</f>
        <v/>
      </c>
      <c r="AD552" s="26">
        <f>IF($J552="","",TODAY()-$J552)</f>
        <v/>
      </c>
      <c r="AE552" s="26">
        <f>IF($J552="","",IF($J552&lt;=TODAY(),COUNTIFS(cal_fechas,"&gt;="&amp;$J552,cal_fechas,"&lt;"&amp;TODAY(),cal_habil,"sí"),-COUNTIFS(cal_fechas,"&gt;="&amp;TODAY(),cal_fechas,"&lt;"&amp;$J552,cal_habil,"sí")))</f>
        <v/>
      </c>
      <c r="AF552" s="24">
        <f>IF($AE552="","",IF($AE552&lt;0,"FUTURO",IF($AE552&gt;p_dias_backlog_max,"BACKLOG","MES CORRIENTE")))</f>
        <v/>
      </c>
      <c r="AG552" s="24">
        <f>IF($AE552="",FALSE,AND($AE552&gt;p_dias_backlog_min,$AE552&lt;=p_dias_backlog_max))</f>
        <v/>
      </c>
      <c r="AH552" s="4" t="n"/>
      <c r="AI552" s="24">
        <f>IF($AH552="","",IF((IFERROR(INDEX('ASIGNACIONES'!$J$4:$J$451,MATCH($O552&amp;"|"&amp;$S552&amp;"|"&amp;$AH552,'ASIGNACIONES'!$N$4:$N$451,0)),""))=0,"",IFERROR(INDEX('ASIGNACIONES'!$J$4:$J$451,MATCH($O552&amp;"|"&amp;$S552&amp;"|"&amp;$AH552,'ASIGNACIONES'!$N$4:$N$451,0)),"")))</f>
        <v/>
      </c>
      <c r="AJ552" s="42">
        <f>IF($AH552="","",SUMIFS('ORDENES'!$M$4:$M$1203,'ORDENES'!$AH$4:$AH$1203,$AH552,'ORDENES'!$O$4:$O$1203,$O552,'ORDENES'!$S$4:$S$1203,$S552))</f>
        <v/>
      </c>
      <c r="AK552" s="42">
        <f>IF($AJ552="","",p_factor_productividad*IFERROR(INDEX('ASIGNACIONES'!$M$4:$M$451,MATCH($O552&amp;"|"&amp;$S552&amp;"|"&amp;$AH552,'ASIGNACIONES'!$N$4:$N$451,0)),0)-$AJ552)</f>
        <v/>
      </c>
      <c r="AL552" s="32">
        <f>IF($A552="","",IFERROR(INDEX('2_IMPORTAR_EJECUCION'!$F$9:$F$1208,MATCH($AU552,'2_IMPORTAR_EJECUCION'!$J$9:$J$1208,0)),0))</f>
        <v/>
      </c>
      <c r="AM552" s="32">
        <f>IF($A552="","",MAX(0,IFERROR(INDEX('2_IMPORTAR_EJECUCION'!$H$9:$H$1208,MATCH($AU552,'2_IMPORTAR_EJECUCION'!$J$9:$J$1208,0)),0)-$AL552))</f>
        <v/>
      </c>
      <c r="AN552" s="32">
        <f>IF($A552="","",$AL552+$AM552)</f>
        <v/>
      </c>
      <c r="AO552" s="24">
        <f>IF($A552="","",IF(OR((IFERROR(INDEX('CAT_ACTIVIDADES'!$D$4:$D$26,MATCH($H552,'CAT_ACTIVIDADES'!$A$4:$A$26,0)),""))=0,(IFERROR(INDEX('CAT_ACTIVIDADES'!$D$4:$D$26,MATCH($H552,'CAT_ACTIVIDADES'!$A$4:$A$26,0)),""))=""),"SIN CLASIFICAR",IFERROR(INDEX('CAT_ACTIVIDADES'!$D$4:$D$26,MATCH($H552,'CAT_ACTIVIDADES'!$A$4:$A$26,0)),"")))</f>
        <v/>
      </c>
      <c r="AP552" s="4" t="n"/>
      <c r="AQ552" s="4" t="n"/>
      <c r="AR552" s="4" t="n"/>
      <c r="AS552" s="24">
        <f>IF($AR552="","",HYPERLINK(p_ruta_base_checklists&amp;$AR552,"abrir"))</f>
        <v/>
      </c>
      <c r="AT552" s="4" t="n"/>
      <c r="AU552" s="24">
        <f>IF($A552="","",$A552&amp;IF($B552="","0010",$B552))</f>
        <v/>
      </c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41" t="n"/>
      <c r="K553" s="5" t="n"/>
      <c r="L553" s="18" t="n"/>
      <c r="M553" s="24">
        <f>IF($A553="","",IFERROR(INDEX('AJUSTES'!$B$4:$B$303,MATCH($AU553,'AJUSTES'!$A$4:$A$303,0)),IF($K553="","",$K553)))</f>
        <v/>
      </c>
      <c r="N553" s="24">
        <f>IF($A553="","",IFERROR(INDEX('CAT_ESTADOS_ERP'!$B$4:$B$22,MATCH(IFERROR(INDEX('2_IMPORTAR_EJECUCION'!$C$9:$C$1208,MATCH($AU553,'2_IMPORTAR_EJECUCION'!$J$9:$J$1208,0)),""),'CAT_ESTADOS_ERP'!$A$4:$A$22,0)),"Pendiente"))</f>
        <v/>
      </c>
      <c r="O553" s="24">
        <f>IF($J553="","",YEAR($J553+4-WEEKDAY($J553,2))&amp;"-S"&amp;TEXT(_xlfn.ISOWEEKNUM($J553),"00"))</f>
        <v/>
      </c>
      <c r="P553" s="24">
        <f>IF($J553="","",YEAR($J553))</f>
        <v/>
      </c>
      <c r="Q553" s="24">
        <f>IF($J553="","",MONTH($J553))</f>
        <v/>
      </c>
      <c r="R553" s="24">
        <f>IF($J553="","",$P553&amp;"-"&amp;TEXT($Q553,"00"))</f>
        <v/>
      </c>
      <c r="S553" s="24">
        <f>IF($J553="","",INDEX(lista_dias,WEEKDAY($J553,2)))</f>
        <v/>
      </c>
      <c r="T553" s="24">
        <f>IF($J553="","",IFERROR(INDEX('CALENDARIO'!$C$15:$C$214,MATCH(TEXT($J553,"yyyy-mm-dd")&amp;"|"&amp;$Y553&amp;"|"&amp;$Z553,'CALENDARIO'!$G$15:$G$214,0)),IFERROR(INDEX('CALENDARIO'!$C$15:$C$214,MATCH(TEXT($J553,"yyyy-mm-dd")&amp;"|"&amp;$Y553&amp;"|",'CALENDARIO'!$G$15:$G$214,0)),IFERROR(INDEX('CALENDARIO'!$C$15:$C$214,MATCH(TEXT($J553,"yyyy-mm-dd")&amp;"||",'CALENDARIO'!$G$15:$G$214,0)),INDEX(patronHabil,WEEKDAY($J553,2))))))</f>
        <v/>
      </c>
      <c r="U553" s="24">
        <f>IF($I553="","",IFERROR(INDEX('CAT_TIPOS_OT'!$C$4:$C$23,MATCH($I553,'CAT_TIPOS_OT'!$A$4:$A$23,0)),"sin_clasificar"))</f>
        <v/>
      </c>
      <c r="V553" s="24">
        <f>IF($I553="","",IF(IFERROR(INDEX('CAT_TIPOS_OT'!$D$4:$D$23,MATCH($I553,'CAT_TIPOS_OT'!$A$4:$A$23,0)),"SIN CLASIFICAR")="","SIN CLASIFICAR",IFERROR(INDEX('CAT_TIPOS_OT'!$D$4:$D$23,MATCH($I553,'CAT_TIPOS_OT'!$A$4:$A$23,0)),"SIN CLASIFICAR")))</f>
        <v/>
      </c>
      <c r="W553" s="24">
        <f>IF($H553="","",IF(IFERROR(INDEX('CAT_ACTIVIDADES'!$F$4:$F$26,MATCH($H553,'CAT_ACTIVIDADES'!$A$4:$A$26,0)),"")=0,"",IFERROR(INDEX('CAT_ACTIVIDADES'!$F$4:$F$26,MATCH($H553,'CAT_ACTIVIDADES'!$A$4:$A$26,0)),"")))</f>
        <v/>
      </c>
      <c r="X553" s="24">
        <f>IF($F553="","",IFERROR(INDEX('CAT_CENTROS_COSTO'!$F$4:$F$28,MATCH($F553,'CAT_CENTROS_COSTO'!$A$4:$A$28,0)),"(sin catálogo)"))</f>
        <v/>
      </c>
      <c r="Y553" s="24">
        <f>IF($F553="","",IFERROR(INDEX('CAT_CENTROS_COSTO'!$D$4:$D$28,MATCH($F553,'CAT_CENTROS_COSTO'!$A$4:$A$28,0)),"(sin catálogo)"))</f>
        <v/>
      </c>
      <c r="Z553" s="24">
        <f>IF($F553="","",IF((IFERROR(INDEX('CAT_CENTROS_COSTO'!$E$4:$E$28,MATCH($F553,'CAT_CENTROS_COSTO'!$A$4:$A$28,0)),""))&lt;&gt;"",IFERROR(INDEX('CAT_CENTROS_COSTO'!$E$4:$E$28,MATCH($F553,'CAT_CENTROS_COSTO'!$A$4:$A$28,0)),""),$Y553))</f>
        <v/>
      </c>
      <c r="AA553" s="24">
        <f>IF($F553="","",IFERROR(INDEX('CAT_CENTROS_COSTO'!$G$4:$G$28,MATCH($F553,'CAT_CENTROS_COSTO'!$A$4:$A$28,0)),"(sin catálogo)"))</f>
        <v/>
      </c>
      <c r="AB553" s="24">
        <f>IF($G553="","",IFERROR(INDEX('CAT_PUESTOS'!$B$4:$B$23,MATCH($G553,'CAT_PUESTOS'!$A$4:$A$23,0)),"(sin catálogo)"))</f>
        <v/>
      </c>
      <c r="AC553" s="24">
        <f>IF($H553="","",IFERROR(INDEX('CAT_ACTIVIDADES'!$B$4:$B$26,MATCH($H553,'CAT_ACTIVIDADES'!$A$4:$A$26,0)),"(sin catálogo)"))</f>
        <v/>
      </c>
      <c r="AD553" s="26">
        <f>IF($J553="","",TODAY()-$J553)</f>
        <v/>
      </c>
      <c r="AE553" s="26">
        <f>IF($J553="","",IF($J553&lt;=TODAY(),COUNTIFS(cal_fechas,"&gt;="&amp;$J553,cal_fechas,"&lt;"&amp;TODAY(),cal_habil,"sí"),-COUNTIFS(cal_fechas,"&gt;="&amp;TODAY(),cal_fechas,"&lt;"&amp;$J553,cal_habil,"sí")))</f>
        <v/>
      </c>
      <c r="AF553" s="24">
        <f>IF($AE553="","",IF($AE553&lt;0,"FUTURO",IF($AE553&gt;p_dias_backlog_max,"BACKLOG","MES CORRIENTE")))</f>
        <v/>
      </c>
      <c r="AG553" s="24">
        <f>IF($AE553="",FALSE,AND($AE553&gt;p_dias_backlog_min,$AE553&lt;=p_dias_backlog_max))</f>
        <v/>
      </c>
      <c r="AH553" s="4" t="n"/>
      <c r="AI553" s="24">
        <f>IF($AH553="","",IF((IFERROR(INDEX('ASIGNACIONES'!$J$4:$J$451,MATCH($O553&amp;"|"&amp;$S553&amp;"|"&amp;$AH553,'ASIGNACIONES'!$N$4:$N$451,0)),""))=0,"",IFERROR(INDEX('ASIGNACIONES'!$J$4:$J$451,MATCH($O553&amp;"|"&amp;$S553&amp;"|"&amp;$AH553,'ASIGNACIONES'!$N$4:$N$451,0)),"")))</f>
        <v/>
      </c>
      <c r="AJ553" s="42">
        <f>IF($AH553="","",SUMIFS('ORDENES'!$M$4:$M$1203,'ORDENES'!$AH$4:$AH$1203,$AH553,'ORDENES'!$O$4:$O$1203,$O553,'ORDENES'!$S$4:$S$1203,$S553))</f>
        <v/>
      </c>
      <c r="AK553" s="42">
        <f>IF($AJ553="","",p_factor_productividad*IFERROR(INDEX('ASIGNACIONES'!$M$4:$M$451,MATCH($O553&amp;"|"&amp;$S553&amp;"|"&amp;$AH553,'ASIGNACIONES'!$N$4:$N$451,0)),0)-$AJ553)</f>
        <v/>
      </c>
      <c r="AL553" s="32">
        <f>IF($A553="","",IFERROR(INDEX('2_IMPORTAR_EJECUCION'!$F$9:$F$1208,MATCH($AU553,'2_IMPORTAR_EJECUCION'!$J$9:$J$1208,0)),0))</f>
        <v/>
      </c>
      <c r="AM553" s="32">
        <f>IF($A553="","",MAX(0,IFERROR(INDEX('2_IMPORTAR_EJECUCION'!$H$9:$H$1208,MATCH($AU553,'2_IMPORTAR_EJECUCION'!$J$9:$J$1208,0)),0)-$AL553))</f>
        <v/>
      </c>
      <c r="AN553" s="32">
        <f>IF($A553="","",$AL553+$AM553)</f>
        <v/>
      </c>
      <c r="AO553" s="24">
        <f>IF($A553="","",IF(OR((IFERROR(INDEX('CAT_ACTIVIDADES'!$D$4:$D$26,MATCH($H553,'CAT_ACTIVIDADES'!$A$4:$A$26,0)),""))=0,(IFERROR(INDEX('CAT_ACTIVIDADES'!$D$4:$D$26,MATCH($H553,'CAT_ACTIVIDADES'!$A$4:$A$26,0)),""))=""),"SIN CLASIFICAR",IFERROR(INDEX('CAT_ACTIVIDADES'!$D$4:$D$26,MATCH($H553,'CAT_ACTIVIDADES'!$A$4:$A$26,0)),"")))</f>
        <v/>
      </c>
      <c r="AP553" s="4" t="n"/>
      <c r="AQ553" s="4" t="n"/>
      <c r="AR553" s="4" t="n"/>
      <c r="AS553" s="24">
        <f>IF($AR553="","",HYPERLINK(p_ruta_base_checklists&amp;$AR553,"abrir"))</f>
        <v/>
      </c>
      <c r="AT553" s="4" t="n"/>
      <c r="AU553" s="24">
        <f>IF($A553="","",$A553&amp;IF($B553="","0010",$B553))</f>
        <v/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41" t="n"/>
      <c r="K554" s="5" t="n"/>
      <c r="L554" s="18" t="n"/>
      <c r="M554" s="24">
        <f>IF($A554="","",IFERROR(INDEX('AJUSTES'!$B$4:$B$303,MATCH($AU554,'AJUSTES'!$A$4:$A$303,0)),IF($K554="","",$K554)))</f>
        <v/>
      </c>
      <c r="N554" s="24">
        <f>IF($A554="","",IFERROR(INDEX('CAT_ESTADOS_ERP'!$B$4:$B$22,MATCH(IFERROR(INDEX('2_IMPORTAR_EJECUCION'!$C$9:$C$1208,MATCH($AU554,'2_IMPORTAR_EJECUCION'!$J$9:$J$1208,0)),""),'CAT_ESTADOS_ERP'!$A$4:$A$22,0)),"Pendiente"))</f>
        <v/>
      </c>
      <c r="O554" s="24">
        <f>IF($J554="","",YEAR($J554+4-WEEKDAY($J554,2))&amp;"-S"&amp;TEXT(_xlfn.ISOWEEKNUM($J554),"00"))</f>
        <v/>
      </c>
      <c r="P554" s="24">
        <f>IF($J554="","",YEAR($J554))</f>
        <v/>
      </c>
      <c r="Q554" s="24">
        <f>IF($J554="","",MONTH($J554))</f>
        <v/>
      </c>
      <c r="R554" s="24">
        <f>IF($J554="","",$P554&amp;"-"&amp;TEXT($Q554,"00"))</f>
        <v/>
      </c>
      <c r="S554" s="24">
        <f>IF($J554="","",INDEX(lista_dias,WEEKDAY($J554,2)))</f>
        <v/>
      </c>
      <c r="T554" s="24">
        <f>IF($J554="","",IFERROR(INDEX('CALENDARIO'!$C$15:$C$214,MATCH(TEXT($J554,"yyyy-mm-dd")&amp;"|"&amp;$Y554&amp;"|"&amp;$Z554,'CALENDARIO'!$G$15:$G$214,0)),IFERROR(INDEX('CALENDARIO'!$C$15:$C$214,MATCH(TEXT($J554,"yyyy-mm-dd")&amp;"|"&amp;$Y554&amp;"|",'CALENDARIO'!$G$15:$G$214,0)),IFERROR(INDEX('CALENDARIO'!$C$15:$C$214,MATCH(TEXT($J554,"yyyy-mm-dd")&amp;"||",'CALENDARIO'!$G$15:$G$214,0)),INDEX(patronHabil,WEEKDAY($J554,2))))))</f>
        <v/>
      </c>
      <c r="U554" s="24">
        <f>IF($I554="","",IFERROR(INDEX('CAT_TIPOS_OT'!$C$4:$C$23,MATCH($I554,'CAT_TIPOS_OT'!$A$4:$A$23,0)),"sin_clasificar"))</f>
        <v/>
      </c>
      <c r="V554" s="24">
        <f>IF($I554="","",IF(IFERROR(INDEX('CAT_TIPOS_OT'!$D$4:$D$23,MATCH($I554,'CAT_TIPOS_OT'!$A$4:$A$23,0)),"SIN CLASIFICAR")="","SIN CLASIFICAR",IFERROR(INDEX('CAT_TIPOS_OT'!$D$4:$D$23,MATCH($I554,'CAT_TIPOS_OT'!$A$4:$A$23,0)),"SIN CLASIFICAR")))</f>
        <v/>
      </c>
      <c r="W554" s="24">
        <f>IF($H554="","",IF(IFERROR(INDEX('CAT_ACTIVIDADES'!$F$4:$F$26,MATCH($H554,'CAT_ACTIVIDADES'!$A$4:$A$26,0)),"")=0,"",IFERROR(INDEX('CAT_ACTIVIDADES'!$F$4:$F$26,MATCH($H554,'CAT_ACTIVIDADES'!$A$4:$A$26,0)),"")))</f>
        <v/>
      </c>
      <c r="X554" s="24">
        <f>IF($F554="","",IFERROR(INDEX('CAT_CENTROS_COSTO'!$F$4:$F$28,MATCH($F554,'CAT_CENTROS_COSTO'!$A$4:$A$28,0)),"(sin catálogo)"))</f>
        <v/>
      </c>
      <c r="Y554" s="24">
        <f>IF($F554="","",IFERROR(INDEX('CAT_CENTROS_COSTO'!$D$4:$D$28,MATCH($F554,'CAT_CENTROS_COSTO'!$A$4:$A$28,0)),"(sin catálogo)"))</f>
        <v/>
      </c>
      <c r="Z554" s="24">
        <f>IF($F554="","",IF((IFERROR(INDEX('CAT_CENTROS_COSTO'!$E$4:$E$28,MATCH($F554,'CAT_CENTROS_COSTO'!$A$4:$A$28,0)),""))&lt;&gt;"",IFERROR(INDEX('CAT_CENTROS_COSTO'!$E$4:$E$28,MATCH($F554,'CAT_CENTROS_COSTO'!$A$4:$A$28,0)),""),$Y554))</f>
        <v/>
      </c>
      <c r="AA554" s="24">
        <f>IF($F554="","",IFERROR(INDEX('CAT_CENTROS_COSTO'!$G$4:$G$28,MATCH($F554,'CAT_CENTROS_COSTO'!$A$4:$A$28,0)),"(sin catálogo)"))</f>
        <v/>
      </c>
      <c r="AB554" s="24">
        <f>IF($G554="","",IFERROR(INDEX('CAT_PUESTOS'!$B$4:$B$23,MATCH($G554,'CAT_PUESTOS'!$A$4:$A$23,0)),"(sin catálogo)"))</f>
        <v/>
      </c>
      <c r="AC554" s="24">
        <f>IF($H554="","",IFERROR(INDEX('CAT_ACTIVIDADES'!$B$4:$B$26,MATCH($H554,'CAT_ACTIVIDADES'!$A$4:$A$26,0)),"(sin catálogo)"))</f>
        <v/>
      </c>
      <c r="AD554" s="26">
        <f>IF($J554="","",TODAY()-$J554)</f>
        <v/>
      </c>
      <c r="AE554" s="26">
        <f>IF($J554="","",IF($J554&lt;=TODAY(),COUNTIFS(cal_fechas,"&gt;="&amp;$J554,cal_fechas,"&lt;"&amp;TODAY(),cal_habil,"sí"),-COUNTIFS(cal_fechas,"&gt;="&amp;TODAY(),cal_fechas,"&lt;"&amp;$J554,cal_habil,"sí")))</f>
        <v/>
      </c>
      <c r="AF554" s="24">
        <f>IF($AE554="","",IF($AE554&lt;0,"FUTURO",IF($AE554&gt;p_dias_backlog_max,"BACKLOG","MES CORRIENTE")))</f>
        <v/>
      </c>
      <c r="AG554" s="24">
        <f>IF($AE554="",FALSE,AND($AE554&gt;p_dias_backlog_min,$AE554&lt;=p_dias_backlog_max))</f>
        <v/>
      </c>
      <c r="AH554" s="4" t="n"/>
      <c r="AI554" s="24">
        <f>IF($AH554="","",IF((IFERROR(INDEX('ASIGNACIONES'!$J$4:$J$451,MATCH($O554&amp;"|"&amp;$S554&amp;"|"&amp;$AH554,'ASIGNACIONES'!$N$4:$N$451,0)),""))=0,"",IFERROR(INDEX('ASIGNACIONES'!$J$4:$J$451,MATCH($O554&amp;"|"&amp;$S554&amp;"|"&amp;$AH554,'ASIGNACIONES'!$N$4:$N$451,0)),"")))</f>
        <v/>
      </c>
      <c r="AJ554" s="42">
        <f>IF($AH554="","",SUMIFS('ORDENES'!$M$4:$M$1203,'ORDENES'!$AH$4:$AH$1203,$AH554,'ORDENES'!$O$4:$O$1203,$O554,'ORDENES'!$S$4:$S$1203,$S554))</f>
        <v/>
      </c>
      <c r="AK554" s="42">
        <f>IF($AJ554="","",p_factor_productividad*IFERROR(INDEX('ASIGNACIONES'!$M$4:$M$451,MATCH($O554&amp;"|"&amp;$S554&amp;"|"&amp;$AH554,'ASIGNACIONES'!$N$4:$N$451,0)),0)-$AJ554)</f>
        <v/>
      </c>
      <c r="AL554" s="32">
        <f>IF($A554="","",IFERROR(INDEX('2_IMPORTAR_EJECUCION'!$F$9:$F$1208,MATCH($AU554,'2_IMPORTAR_EJECUCION'!$J$9:$J$1208,0)),0))</f>
        <v/>
      </c>
      <c r="AM554" s="32">
        <f>IF($A554="","",MAX(0,IFERROR(INDEX('2_IMPORTAR_EJECUCION'!$H$9:$H$1208,MATCH($AU554,'2_IMPORTAR_EJECUCION'!$J$9:$J$1208,0)),0)-$AL554))</f>
        <v/>
      </c>
      <c r="AN554" s="32">
        <f>IF($A554="","",$AL554+$AM554)</f>
        <v/>
      </c>
      <c r="AO554" s="24">
        <f>IF($A554="","",IF(OR((IFERROR(INDEX('CAT_ACTIVIDADES'!$D$4:$D$26,MATCH($H554,'CAT_ACTIVIDADES'!$A$4:$A$26,0)),""))=0,(IFERROR(INDEX('CAT_ACTIVIDADES'!$D$4:$D$26,MATCH($H554,'CAT_ACTIVIDADES'!$A$4:$A$26,0)),""))=""),"SIN CLASIFICAR",IFERROR(INDEX('CAT_ACTIVIDADES'!$D$4:$D$26,MATCH($H554,'CAT_ACTIVIDADES'!$A$4:$A$26,0)),"")))</f>
        <v/>
      </c>
      <c r="AP554" s="4" t="n"/>
      <c r="AQ554" s="4" t="n"/>
      <c r="AR554" s="4" t="n"/>
      <c r="AS554" s="24">
        <f>IF($AR554="","",HYPERLINK(p_ruta_base_checklists&amp;$AR554,"abrir"))</f>
        <v/>
      </c>
      <c r="AT554" s="4" t="n"/>
      <c r="AU554" s="24">
        <f>IF($A554="","",$A554&amp;IF($B554="","0010",$B554))</f>
        <v/>
      </c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41" t="n"/>
      <c r="K555" s="5" t="n"/>
      <c r="L555" s="18" t="n"/>
      <c r="M555" s="24">
        <f>IF($A555="","",IFERROR(INDEX('AJUSTES'!$B$4:$B$303,MATCH($AU555,'AJUSTES'!$A$4:$A$303,0)),IF($K555="","",$K555)))</f>
        <v/>
      </c>
      <c r="N555" s="24">
        <f>IF($A555="","",IFERROR(INDEX('CAT_ESTADOS_ERP'!$B$4:$B$22,MATCH(IFERROR(INDEX('2_IMPORTAR_EJECUCION'!$C$9:$C$1208,MATCH($AU555,'2_IMPORTAR_EJECUCION'!$J$9:$J$1208,0)),""),'CAT_ESTADOS_ERP'!$A$4:$A$22,0)),"Pendiente"))</f>
        <v/>
      </c>
      <c r="O555" s="24">
        <f>IF($J555="","",YEAR($J555+4-WEEKDAY($J555,2))&amp;"-S"&amp;TEXT(_xlfn.ISOWEEKNUM($J555),"00"))</f>
        <v/>
      </c>
      <c r="P555" s="24">
        <f>IF($J555="","",YEAR($J555))</f>
        <v/>
      </c>
      <c r="Q555" s="24">
        <f>IF($J555="","",MONTH($J555))</f>
        <v/>
      </c>
      <c r="R555" s="24">
        <f>IF($J555="","",$P555&amp;"-"&amp;TEXT($Q555,"00"))</f>
        <v/>
      </c>
      <c r="S555" s="24">
        <f>IF($J555="","",INDEX(lista_dias,WEEKDAY($J555,2)))</f>
        <v/>
      </c>
      <c r="T555" s="24">
        <f>IF($J555="","",IFERROR(INDEX('CALENDARIO'!$C$15:$C$214,MATCH(TEXT($J555,"yyyy-mm-dd")&amp;"|"&amp;$Y555&amp;"|"&amp;$Z555,'CALENDARIO'!$G$15:$G$214,0)),IFERROR(INDEX('CALENDARIO'!$C$15:$C$214,MATCH(TEXT($J555,"yyyy-mm-dd")&amp;"|"&amp;$Y555&amp;"|",'CALENDARIO'!$G$15:$G$214,0)),IFERROR(INDEX('CALENDARIO'!$C$15:$C$214,MATCH(TEXT($J555,"yyyy-mm-dd")&amp;"||",'CALENDARIO'!$G$15:$G$214,0)),INDEX(patronHabil,WEEKDAY($J555,2))))))</f>
        <v/>
      </c>
      <c r="U555" s="24">
        <f>IF($I555="","",IFERROR(INDEX('CAT_TIPOS_OT'!$C$4:$C$23,MATCH($I555,'CAT_TIPOS_OT'!$A$4:$A$23,0)),"sin_clasificar"))</f>
        <v/>
      </c>
      <c r="V555" s="24">
        <f>IF($I555="","",IF(IFERROR(INDEX('CAT_TIPOS_OT'!$D$4:$D$23,MATCH($I555,'CAT_TIPOS_OT'!$A$4:$A$23,0)),"SIN CLASIFICAR")="","SIN CLASIFICAR",IFERROR(INDEX('CAT_TIPOS_OT'!$D$4:$D$23,MATCH($I555,'CAT_TIPOS_OT'!$A$4:$A$23,0)),"SIN CLASIFICAR")))</f>
        <v/>
      </c>
      <c r="W555" s="24">
        <f>IF($H555="","",IF(IFERROR(INDEX('CAT_ACTIVIDADES'!$F$4:$F$26,MATCH($H555,'CAT_ACTIVIDADES'!$A$4:$A$26,0)),"")=0,"",IFERROR(INDEX('CAT_ACTIVIDADES'!$F$4:$F$26,MATCH($H555,'CAT_ACTIVIDADES'!$A$4:$A$26,0)),"")))</f>
        <v/>
      </c>
      <c r="X555" s="24">
        <f>IF($F555="","",IFERROR(INDEX('CAT_CENTROS_COSTO'!$F$4:$F$28,MATCH($F555,'CAT_CENTROS_COSTO'!$A$4:$A$28,0)),"(sin catálogo)"))</f>
        <v/>
      </c>
      <c r="Y555" s="24">
        <f>IF($F555="","",IFERROR(INDEX('CAT_CENTROS_COSTO'!$D$4:$D$28,MATCH($F555,'CAT_CENTROS_COSTO'!$A$4:$A$28,0)),"(sin catálogo)"))</f>
        <v/>
      </c>
      <c r="Z555" s="24">
        <f>IF($F555="","",IF((IFERROR(INDEX('CAT_CENTROS_COSTO'!$E$4:$E$28,MATCH($F555,'CAT_CENTROS_COSTO'!$A$4:$A$28,0)),""))&lt;&gt;"",IFERROR(INDEX('CAT_CENTROS_COSTO'!$E$4:$E$28,MATCH($F555,'CAT_CENTROS_COSTO'!$A$4:$A$28,0)),""),$Y555))</f>
        <v/>
      </c>
      <c r="AA555" s="24">
        <f>IF($F555="","",IFERROR(INDEX('CAT_CENTROS_COSTO'!$G$4:$G$28,MATCH($F555,'CAT_CENTROS_COSTO'!$A$4:$A$28,0)),"(sin catálogo)"))</f>
        <v/>
      </c>
      <c r="AB555" s="24">
        <f>IF($G555="","",IFERROR(INDEX('CAT_PUESTOS'!$B$4:$B$23,MATCH($G555,'CAT_PUESTOS'!$A$4:$A$23,0)),"(sin catálogo)"))</f>
        <v/>
      </c>
      <c r="AC555" s="24">
        <f>IF($H555="","",IFERROR(INDEX('CAT_ACTIVIDADES'!$B$4:$B$26,MATCH($H555,'CAT_ACTIVIDADES'!$A$4:$A$26,0)),"(sin catálogo)"))</f>
        <v/>
      </c>
      <c r="AD555" s="26">
        <f>IF($J555="","",TODAY()-$J555)</f>
        <v/>
      </c>
      <c r="AE555" s="26">
        <f>IF($J555="","",IF($J555&lt;=TODAY(),COUNTIFS(cal_fechas,"&gt;="&amp;$J555,cal_fechas,"&lt;"&amp;TODAY(),cal_habil,"sí"),-COUNTIFS(cal_fechas,"&gt;="&amp;TODAY(),cal_fechas,"&lt;"&amp;$J555,cal_habil,"sí")))</f>
        <v/>
      </c>
      <c r="AF555" s="24">
        <f>IF($AE555="","",IF($AE555&lt;0,"FUTURO",IF($AE555&gt;p_dias_backlog_max,"BACKLOG","MES CORRIENTE")))</f>
        <v/>
      </c>
      <c r="AG555" s="24">
        <f>IF($AE555="",FALSE,AND($AE555&gt;p_dias_backlog_min,$AE555&lt;=p_dias_backlog_max))</f>
        <v/>
      </c>
      <c r="AH555" s="4" t="n"/>
      <c r="AI555" s="24">
        <f>IF($AH555="","",IF((IFERROR(INDEX('ASIGNACIONES'!$J$4:$J$451,MATCH($O555&amp;"|"&amp;$S555&amp;"|"&amp;$AH555,'ASIGNACIONES'!$N$4:$N$451,0)),""))=0,"",IFERROR(INDEX('ASIGNACIONES'!$J$4:$J$451,MATCH($O555&amp;"|"&amp;$S555&amp;"|"&amp;$AH555,'ASIGNACIONES'!$N$4:$N$451,0)),"")))</f>
        <v/>
      </c>
      <c r="AJ555" s="42">
        <f>IF($AH555="","",SUMIFS('ORDENES'!$M$4:$M$1203,'ORDENES'!$AH$4:$AH$1203,$AH555,'ORDENES'!$O$4:$O$1203,$O555,'ORDENES'!$S$4:$S$1203,$S555))</f>
        <v/>
      </c>
      <c r="AK555" s="42">
        <f>IF($AJ555="","",p_factor_productividad*IFERROR(INDEX('ASIGNACIONES'!$M$4:$M$451,MATCH($O555&amp;"|"&amp;$S555&amp;"|"&amp;$AH555,'ASIGNACIONES'!$N$4:$N$451,0)),0)-$AJ555)</f>
        <v/>
      </c>
      <c r="AL555" s="32">
        <f>IF($A555="","",IFERROR(INDEX('2_IMPORTAR_EJECUCION'!$F$9:$F$1208,MATCH($AU555,'2_IMPORTAR_EJECUCION'!$J$9:$J$1208,0)),0))</f>
        <v/>
      </c>
      <c r="AM555" s="32">
        <f>IF($A555="","",MAX(0,IFERROR(INDEX('2_IMPORTAR_EJECUCION'!$H$9:$H$1208,MATCH($AU555,'2_IMPORTAR_EJECUCION'!$J$9:$J$1208,0)),0)-$AL555))</f>
        <v/>
      </c>
      <c r="AN555" s="32">
        <f>IF($A555="","",$AL555+$AM555)</f>
        <v/>
      </c>
      <c r="AO555" s="24">
        <f>IF($A555="","",IF(OR((IFERROR(INDEX('CAT_ACTIVIDADES'!$D$4:$D$26,MATCH($H555,'CAT_ACTIVIDADES'!$A$4:$A$26,0)),""))=0,(IFERROR(INDEX('CAT_ACTIVIDADES'!$D$4:$D$26,MATCH($H555,'CAT_ACTIVIDADES'!$A$4:$A$26,0)),""))=""),"SIN CLASIFICAR",IFERROR(INDEX('CAT_ACTIVIDADES'!$D$4:$D$26,MATCH($H555,'CAT_ACTIVIDADES'!$A$4:$A$26,0)),"")))</f>
        <v/>
      </c>
      <c r="AP555" s="4" t="n"/>
      <c r="AQ555" s="4" t="n"/>
      <c r="AR555" s="4" t="n"/>
      <c r="AS555" s="24">
        <f>IF($AR555="","",HYPERLINK(p_ruta_base_checklists&amp;$AR555,"abrir"))</f>
        <v/>
      </c>
      <c r="AT555" s="4" t="n"/>
      <c r="AU555" s="24">
        <f>IF($A555="","",$A555&amp;IF($B555="","0010",$B555))</f>
        <v/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41" t="n"/>
      <c r="K556" s="5" t="n"/>
      <c r="L556" s="18" t="n"/>
      <c r="M556" s="24">
        <f>IF($A556="","",IFERROR(INDEX('AJUSTES'!$B$4:$B$303,MATCH($AU556,'AJUSTES'!$A$4:$A$303,0)),IF($K556="","",$K556)))</f>
        <v/>
      </c>
      <c r="N556" s="24">
        <f>IF($A556="","",IFERROR(INDEX('CAT_ESTADOS_ERP'!$B$4:$B$22,MATCH(IFERROR(INDEX('2_IMPORTAR_EJECUCION'!$C$9:$C$1208,MATCH($AU556,'2_IMPORTAR_EJECUCION'!$J$9:$J$1208,0)),""),'CAT_ESTADOS_ERP'!$A$4:$A$22,0)),"Pendiente"))</f>
        <v/>
      </c>
      <c r="O556" s="24">
        <f>IF($J556="","",YEAR($J556+4-WEEKDAY($J556,2))&amp;"-S"&amp;TEXT(_xlfn.ISOWEEKNUM($J556),"00"))</f>
        <v/>
      </c>
      <c r="P556" s="24">
        <f>IF($J556="","",YEAR($J556))</f>
        <v/>
      </c>
      <c r="Q556" s="24">
        <f>IF($J556="","",MONTH($J556))</f>
        <v/>
      </c>
      <c r="R556" s="24">
        <f>IF($J556="","",$P556&amp;"-"&amp;TEXT($Q556,"00"))</f>
        <v/>
      </c>
      <c r="S556" s="24">
        <f>IF($J556="","",INDEX(lista_dias,WEEKDAY($J556,2)))</f>
        <v/>
      </c>
      <c r="T556" s="24">
        <f>IF($J556="","",IFERROR(INDEX('CALENDARIO'!$C$15:$C$214,MATCH(TEXT($J556,"yyyy-mm-dd")&amp;"|"&amp;$Y556&amp;"|"&amp;$Z556,'CALENDARIO'!$G$15:$G$214,0)),IFERROR(INDEX('CALENDARIO'!$C$15:$C$214,MATCH(TEXT($J556,"yyyy-mm-dd")&amp;"|"&amp;$Y556&amp;"|",'CALENDARIO'!$G$15:$G$214,0)),IFERROR(INDEX('CALENDARIO'!$C$15:$C$214,MATCH(TEXT($J556,"yyyy-mm-dd")&amp;"||",'CALENDARIO'!$G$15:$G$214,0)),INDEX(patronHabil,WEEKDAY($J556,2))))))</f>
        <v/>
      </c>
      <c r="U556" s="24">
        <f>IF($I556="","",IFERROR(INDEX('CAT_TIPOS_OT'!$C$4:$C$23,MATCH($I556,'CAT_TIPOS_OT'!$A$4:$A$23,0)),"sin_clasificar"))</f>
        <v/>
      </c>
      <c r="V556" s="24">
        <f>IF($I556="","",IF(IFERROR(INDEX('CAT_TIPOS_OT'!$D$4:$D$23,MATCH($I556,'CAT_TIPOS_OT'!$A$4:$A$23,0)),"SIN CLASIFICAR")="","SIN CLASIFICAR",IFERROR(INDEX('CAT_TIPOS_OT'!$D$4:$D$23,MATCH($I556,'CAT_TIPOS_OT'!$A$4:$A$23,0)),"SIN CLASIFICAR")))</f>
        <v/>
      </c>
      <c r="W556" s="24">
        <f>IF($H556="","",IF(IFERROR(INDEX('CAT_ACTIVIDADES'!$F$4:$F$26,MATCH($H556,'CAT_ACTIVIDADES'!$A$4:$A$26,0)),"")=0,"",IFERROR(INDEX('CAT_ACTIVIDADES'!$F$4:$F$26,MATCH($H556,'CAT_ACTIVIDADES'!$A$4:$A$26,0)),"")))</f>
        <v/>
      </c>
      <c r="X556" s="24">
        <f>IF($F556="","",IFERROR(INDEX('CAT_CENTROS_COSTO'!$F$4:$F$28,MATCH($F556,'CAT_CENTROS_COSTO'!$A$4:$A$28,0)),"(sin catálogo)"))</f>
        <v/>
      </c>
      <c r="Y556" s="24">
        <f>IF($F556="","",IFERROR(INDEX('CAT_CENTROS_COSTO'!$D$4:$D$28,MATCH($F556,'CAT_CENTROS_COSTO'!$A$4:$A$28,0)),"(sin catálogo)"))</f>
        <v/>
      </c>
      <c r="Z556" s="24">
        <f>IF($F556="","",IF((IFERROR(INDEX('CAT_CENTROS_COSTO'!$E$4:$E$28,MATCH($F556,'CAT_CENTROS_COSTO'!$A$4:$A$28,0)),""))&lt;&gt;"",IFERROR(INDEX('CAT_CENTROS_COSTO'!$E$4:$E$28,MATCH($F556,'CAT_CENTROS_COSTO'!$A$4:$A$28,0)),""),$Y556))</f>
        <v/>
      </c>
      <c r="AA556" s="24">
        <f>IF($F556="","",IFERROR(INDEX('CAT_CENTROS_COSTO'!$G$4:$G$28,MATCH($F556,'CAT_CENTROS_COSTO'!$A$4:$A$28,0)),"(sin catálogo)"))</f>
        <v/>
      </c>
      <c r="AB556" s="24">
        <f>IF($G556="","",IFERROR(INDEX('CAT_PUESTOS'!$B$4:$B$23,MATCH($G556,'CAT_PUESTOS'!$A$4:$A$23,0)),"(sin catálogo)"))</f>
        <v/>
      </c>
      <c r="AC556" s="24">
        <f>IF($H556="","",IFERROR(INDEX('CAT_ACTIVIDADES'!$B$4:$B$26,MATCH($H556,'CAT_ACTIVIDADES'!$A$4:$A$26,0)),"(sin catálogo)"))</f>
        <v/>
      </c>
      <c r="AD556" s="26">
        <f>IF($J556="","",TODAY()-$J556)</f>
        <v/>
      </c>
      <c r="AE556" s="26">
        <f>IF($J556="","",IF($J556&lt;=TODAY(),COUNTIFS(cal_fechas,"&gt;="&amp;$J556,cal_fechas,"&lt;"&amp;TODAY(),cal_habil,"sí"),-COUNTIFS(cal_fechas,"&gt;="&amp;TODAY(),cal_fechas,"&lt;"&amp;$J556,cal_habil,"sí")))</f>
        <v/>
      </c>
      <c r="AF556" s="24">
        <f>IF($AE556="","",IF($AE556&lt;0,"FUTURO",IF($AE556&gt;p_dias_backlog_max,"BACKLOG","MES CORRIENTE")))</f>
        <v/>
      </c>
      <c r="AG556" s="24">
        <f>IF($AE556="",FALSE,AND($AE556&gt;p_dias_backlog_min,$AE556&lt;=p_dias_backlog_max))</f>
        <v/>
      </c>
      <c r="AH556" s="4" t="n"/>
      <c r="AI556" s="24">
        <f>IF($AH556="","",IF((IFERROR(INDEX('ASIGNACIONES'!$J$4:$J$451,MATCH($O556&amp;"|"&amp;$S556&amp;"|"&amp;$AH556,'ASIGNACIONES'!$N$4:$N$451,0)),""))=0,"",IFERROR(INDEX('ASIGNACIONES'!$J$4:$J$451,MATCH($O556&amp;"|"&amp;$S556&amp;"|"&amp;$AH556,'ASIGNACIONES'!$N$4:$N$451,0)),"")))</f>
        <v/>
      </c>
      <c r="AJ556" s="42">
        <f>IF($AH556="","",SUMIFS('ORDENES'!$M$4:$M$1203,'ORDENES'!$AH$4:$AH$1203,$AH556,'ORDENES'!$O$4:$O$1203,$O556,'ORDENES'!$S$4:$S$1203,$S556))</f>
        <v/>
      </c>
      <c r="AK556" s="42">
        <f>IF($AJ556="","",p_factor_productividad*IFERROR(INDEX('ASIGNACIONES'!$M$4:$M$451,MATCH($O556&amp;"|"&amp;$S556&amp;"|"&amp;$AH556,'ASIGNACIONES'!$N$4:$N$451,0)),0)-$AJ556)</f>
        <v/>
      </c>
      <c r="AL556" s="32">
        <f>IF($A556="","",IFERROR(INDEX('2_IMPORTAR_EJECUCION'!$F$9:$F$1208,MATCH($AU556,'2_IMPORTAR_EJECUCION'!$J$9:$J$1208,0)),0))</f>
        <v/>
      </c>
      <c r="AM556" s="32">
        <f>IF($A556="","",MAX(0,IFERROR(INDEX('2_IMPORTAR_EJECUCION'!$H$9:$H$1208,MATCH($AU556,'2_IMPORTAR_EJECUCION'!$J$9:$J$1208,0)),0)-$AL556))</f>
        <v/>
      </c>
      <c r="AN556" s="32">
        <f>IF($A556="","",$AL556+$AM556)</f>
        <v/>
      </c>
      <c r="AO556" s="24">
        <f>IF($A556="","",IF(OR((IFERROR(INDEX('CAT_ACTIVIDADES'!$D$4:$D$26,MATCH($H556,'CAT_ACTIVIDADES'!$A$4:$A$26,0)),""))=0,(IFERROR(INDEX('CAT_ACTIVIDADES'!$D$4:$D$26,MATCH($H556,'CAT_ACTIVIDADES'!$A$4:$A$26,0)),""))=""),"SIN CLASIFICAR",IFERROR(INDEX('CAT_ACTIVIDADES'!$D$4:$D$26,MATCH($H556,'CAT_ACTIVIDADES'!$A$4:$A$26,0)),"")))</f>
        <v/>
      </c>
      <c r="AP556" s="4" t="n"/>
      <c r="AQ556" s="4" t="n"/>
      <c r="AR556" s="4" t="n"/>
      <c r="AS556" s="24">
        <f>IF($AR556="","",HYPERLINK(p_ruta_base_checklists&amp;$AR556,"abrir"))</f>
        <v/>
      </c>
      <c r="AT556" s="4" t="n"/>
      <c r="AU556" s="24">
        <f>IF($A556="","",$A556&amp;IF($B556="","0010",$B556))</f>
        <v/>
      </c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41" t="n"/>
      <c r="K557" s="5" t="n"/>
      <c r="L557" s="18" t="n"/>
      <c r="M557" s="24">
        <f>IF($A557="","",IFERROR(INDEX('AJUSTES'!$B$4:$B$303,MATCH($AU557,'AJUSTES'!$A$4:$A$303,0)),IF($K557="","",$K557)))</f>
        <v/>
      </c>
      <c r="N557" s="24">
        <f>IF($A557="","",IFERROR(INDEX('CAT_ESTADOS_ERP'!$B$4:$B$22,MATCH(IFERROR(INDEX('2_IMPORTAR_EJECUCION'!$C$9:$C$1208,MATCH($AU557,'2_IMPORTAR_EJECUCION'!$J$9:$J$1208,0)),""),'CAT_ESTADOS_ERP'!$A$4:$A$22,0)),"Pendiente"))</f>
        <v/>
      </c>
      <c r="O557" s="24">
        <f>IF($J557="","",YEAR($J557+4-WEEKDAY($J557,2))&amp;"-S"&amp;TEXT(_xlfn.ISOWEEKNUM($J557),"00"))</f>
        <v/>
      </c>
      <c r="P557" s="24">
        <f>IF($J557="","",YEAR($J557))</f>
        <v/>
      </c>
      <c r="Q557" s="24">
        <f>IF($J557="","",MONTH($J557))</f>
        <v/>
      </c>
      <c r="R557" s="24">
        <f>IF($J557="","",$P557&amp;"-"&amp;TEXT($Q557,"00"))</f>
        <v/>
      </c>
      <c r="S557" s="24">
        <f>IF($J557="","",INDEX(lista_dias,WEEKDAY($J557,2)))</f>
        <v/>
      </c>
      <c r="T557" s="24">
        <f>IF($J557="","",IFERROR(INDEX('CALENDARIO'!$C$15:$C$214,MATCH(TEXT($J557,"yyyy-mm-dd")&amp;"|"&amp;$Y557&amp;"|"&amp;$Z557,'CALENDARIO'!$G$15:$G$214,0)),IFERROR(INDEX('CALENDARIO'!$C$15:$C$214,MATCH(TEXT($J557,"yyyy-mm-dd")&amp;"|"&amp;$Y557&amp;"|",'CALENDARIO'!$G$15:$G$214,0)),IFERROR(INDEX('CALENDARIO'!$C$15:$C$214,MATCH(TEXT($J557,"yyyy-mm-dd")&amp;"||",'CALENDARIO'!$G$15:$G$214,0)),INDEX(patronHabil,WEEKDAY($J557,2))))))</f>
        <v/>
      </c>
      <c r="U557" s="24">
        <f>IF($I557="","",IFERROR(INDEX('CAT_TIPOS_OT'!$C$4:$C$23,MATCH($I557,'CAT_TIPOS_OT'!$A$4:$A$23,0)),"sin_clasificar"))</f>
        <v/>
      </c>
      <c r="V557" s="24">
        <f>IF($I557="","",IF(IFERROR(INDEX('CAT_TIPOS_OT'!$D$4:$D$23,MATCH($I557,'CAT_TIPOS_OT'!$A$4:$A$23,0)),"SIN CLASIFICAR")="","SIN CLASIFICAR",IFERROR(INDEX('CAT_TIPOS_OT'!$D$4:$D$23,MATCH($I557,'CAT_TIPOS_OT'!$A$4:$A$23,0)),"SIN CLASIFICAR")))</f>
        <v/>
      </c>
      <c r="W557" s="24">
        <f>IF($H557="","",IF(IFERROR(INDEX('CAT_ACTIVIDADES'!$F$4:$F$26,MATCH($H557,'CAT_ACTIVIDADES'!$A$4:$A$26,0)),"")=0,"",IFERROR(INDEX('CAT_ACTIVIDADES'!$F$4:$F$26,MATCH($H557,'CAT_ACTIVIDADES'!$A$4:$A$26,0)),"")))</f>
        <v/>
      </c>
      <c r="X557" s="24">
        <f>IF($F557="","",IFERROR(INDEX('CAT_CENTROS_COSTO'!$F$4:$F$28,MATCH($F557,'CAT_CENTROS_COSTO'!$A$4:$A$28,0)),"(sin catálogo)"))</f>
        <v/>
      </c>
      <c r="Y557" s="24">
        <f>IF($F557="","",IFERROR(INDEX('CAT_CENTROS_COSTO'!$D$4:$D$28,MATCH($F557,'CAT_CENTROS_COSTO'!$A$4:$A$28,0)),"(sin catálogo)"))</f>
        <v/>
      </c>
      <c r="Z557" s="24">
        <f>IF($F557="","",IF((IFERROR(INDEX('CAT_CENTROS_COSTO'!$E$4:$E$28,MATCH($F557,'CAT_CENTROS_COSTO'!$A$4:$A$28,0)),""))&lt;&gt;"",IFERROR(INDEX('CAT_CENTROS_COSTO'!$E$4:$E$28,MATCH($F557,'CAT_CENTROS_COSTO'!$A$4:$A$28,0)),""),$Y557))</f>
        <v/>
      </c>
      <c r="AA557" s="24">
        <f>IF($F557="","",IFERROR(INDEX('CAT_CENTROS_COSTO'!$G$4:$G$28,MATCH($F557,'CAT_CENTROS_COSTO'!$A$4:$A$28,0)),"(sin catálogo)"))</f>
        <v/>
      </c>
      <c r="AB557" s="24">
        <f>IF($G557="","",IFERROR(INDEX('CAT_PUESTOS'!$B$4:$B$23,MATCH($G557,'CAT_PUESTOS'!$A$4:$A$23,0)),"(sin catálogo)"))</f>
        <v/>
      </c>
      <c r="AC557" s="24">
        <f>IF($H557="","",IFERROR(INDEX('CAT_ACTIVIDADES'!$B$4:$B$26,MATCH($H557,'CAT_ACTIVIDADES'!$A$4:$A$26,0)),"(sin catálogo)"))</f>
        <v/>
      </c>
      <c r="AD557" s="26">
        <f>IF($J557="","",TODAY()-$J557)</f>
        <v/>
      </c>
      <c r="AE557" s="26">
        <f>IF($J557="","",IF($J557&lt;=TODAY(),COUNTIFS(cal_fechas,"&gt;="&amp;$J557,cal_fechas,"&lt;"&amp;TODAY(),cal_habil,"sí"),-COUNTIFS(cal_fechas,"&gt;="&amp;TODAY(),cal_fechas,"&lt;"&amp;$J557,cal_habil,"sí")))</f>
        <v/>
      </c>
      <c r="AF557" s="24">
        <f>IF($AE557="","",IF($AE557&lt;0,"FUTURO",IF($AE557&gt;p_dias_backlog_max,"BACKLOG","MES CORRIENTE")))</f>
        <v/>
      </c>
      <c r="AG557" s="24">
        <f>IF($AE557="",FALSE,AND($AE557&gt;p_dias_backlog_min,$AE557&lt;=p_dias_backlog_max))</f>
        <v/>
      </c>
      <c r="AH557" s="4" t="n"/>
      <c r="AI557" s="24">
        <f>IF($AH557="","",IF((IFERROR(INDEX('ASIGNACIONES'!$J$4:$J$451,MATCH($O557&amp;"|"&amp;$S557&amp;"|"&amp;$AH557,'ASIGNACIONES'!$N$4:$N$451,0)),""))=0,"",IFERROR(INDEX('ASIGNACIONES'!$J$4:$J$451,MATCH($O557&amp;"|"&amp;$S557&amp;"|"&amp;$AH557,'ASIGNACIONES'!$N$4:$N$451,0)),"")))</f>
        <v/>
      </c>
      <c r="AJ557" s="42">
        <f>IF($AH557="","",SUMIFS('ORDENES'!$M$4:$M$1203,'ORDENES'!$AH$4:$AH$1203,$AH557,'ORDENES'!$O$4:$O$1203,$O557,'ORDENES'!$S$4:$S$1203,$S557))</f>
        <v/>
      </c>
      <c r="AK557" s="42">
        <f>IF($AJ557="","",p_factor_productividad*IFERROR(INDEX('ASIGNACIONES'!$M$4:$M$451,MATCH($O557&amp;"|"&amp;$S557&amp;"|"&amp;$AH557,'ASIGNACIONES'!$N$4:$N$451,0)),0)-$AJ557)</f>
        <v/>
      </c>
      <c r="AL557" s="32">
        <f>IF($A557="","",IFERROR(INDEX('2_IMPORTAR_EJECUCION'!$F$9:$F$1208,MATCH($AU557,'2_IMPORTAR_EJECUCION'!$J$9:$J$1208,0)),0))</f>
        <v/>
      </c>
      <c r="AM557" s="32">
        <f>IF($A557="","",MAX(0,IFERROR(INDEX('2_IMPORTAR_EJECUCION'!$H$9:$H$1208,MATCH($AU557,'2_IMPORTAR_EJECUCION'!$J$9:$J$1208,0)),0)-$AL557))</f>
        <v/>
      </c>
      <c r="AN557" s="32">
        <f>IF($A557="","",$AL557+$AM557)</f>
        <v/>
      </c>
      <c r="AO557" s="24">
        <f>IF($A557="","",IF(OR((IFERROR(INDEX('CAT_ACTIVIDADES'!$D$4:$D$26,MATCH($H557,'CAT_ACTIVIDADES'!$A$4:$A$26,0)),""))=0,(IFERROR(INDEX('CAT_ACTIVIDADES'!$D$4:$D$26,MATCH($H557,'CAT_ACTIVIDADES'!$A$4:$A$26,0)),""))=""),"SIN CLASIFICAR",IFERROR(INDEX('CAT_ACTIVIDADES'!$D$4:$D$26,MATCH($H557,'CAT_ACTIVIDADES'!$A$4:$A$26,0)),"")))</f>
        <v/>
      </c>
      <c r="AP557" s="4" t="n"/>
      <c r="AQ557" s="4" t="n"/>
      <c r="AR557" s="4" t="n"/>
      <c r="AS557" s="24">
        <f>IF($AR557="","",HYPERLINK(p_ruta_base_checklists&amp;$AR557,"abrir"))</f>
        <v/>
      </c>
      <c r="AT557" s="4" t="n"/>
      <c r="AU557" s="24">
        <f>IF($A557="","",$A557&amp;IF($B557="","0010",$B557))</f>
        <v/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41" t="n"/>
      <c r="K558" s="5" t="n"/>
      <c r="L558" s="18" t="n"/>
      <c r="M558" s="24">
        <f>IF($A558="","",IFERROR(INDEX('AJUSTES'!$B$4:$B$303,MATCH($AU558,'AJUSTES'!$A$4:$A$303,0)),IF($K558="","",$K558)))</f>
        <v/>
      </c>
      <c r="N558" s="24">
        <f>IF($A558="","",IFERROR(INDEX('CAT_ESTADOS_ERP'!$B$4:$B$22,MATCH(IFERROR(INDEX('2_IMPORTAR_EJECUCION'!$C$9:$C$1208,MATCH($AU558,'2_IMPORTAR_EJECUCION'!$J$9:$J$1208,0)),""),'CAT_ESTADOS_ERP'!$A$4:$A$22,0)),"Pendiente"))</f>
        <v/>
      </c>
      <c r="O558" s="24">
        <f>IF($J558="","",YEAR($J558+4-WEEKDAY($J558,2))&amp;"-S"&amp;TEXT(_xlfn.ISOWEEKNUM($J558),"00"))</f>
        <v/>
      </c>
      <c r="P558" s="24">
        <f>IF($J558="","",YEAR($J558))</f>
        <v/>
      </c>
      <c r="Q558" s="24">
        <f>IF($J558="","",MONTH($J558))</f>
        <v/>
      </c>
      <c r="R558" s="24">
        <f>IF($J558="","",$P558&amp;"-"&amp;TEXT($Q558,"00"))</f>
        <v/>
      </c>
      <c r="S558" s="24">
        <f>IF($J558="","",INDEX(lista_dias,WEEKDAY($J558,2)))</f>
        <v/>
      </c>
      <c r="T558" s="24">
        <f>IF($J558="","",IFERROR(INDEX('CALENDARIO'!$C$15:$C$214,MATCH(TEXT($J558,"yyyy-mm-dd")&amp;"|"&amp;$Y558&amp;"|"&amp;$Z558,'CALENDARIO'!$G$15:$G$214,0)),IFERROR(INDEX('CALENDARIO'!$C$15:$C$214,MATCH(TEXT($J558,"yyyy-mm-dd")&amp;"|"&amp;$Y558&amp;"|",'CALENDARIO'!$G$15:$G$214,0)),IFERROR(INDEX('CALENDARIO'!$C$15:$C$214,MATCH(TEXT($J558,"yyyy-mm-dd")&amp;"||",'CALENDARIO'!$G$15:$G$214,0)),INDEX(patronHabil,WEEKDAY($J558,2))))))</f>
        <v/>
      </c>
      <c r="U558" s="24">
        <f>IF($I558="","",IFERROR(INDEX('CAT_TIPOS_OT'!$C$4:$C$23,MATCH($I558,'CAT_TIPOS_OT'!$A$4:$A$23,0)),"sin_clasificar"))</f>
        <v/>
      </c>
      <c r="V558" s="24">
        <f>IF($I558="","",IF(IFERROR(INDEX('CAT_TIPOS_OT'!$D$4:$D$23,MATCH($I558,'CAT_TIPOS_OT'!$A$4:$A$23,0)),"SIN CLASIFICAR")="","SIN CLASIFICAR",IFERROR(INDEX('CAT_TIPOS_OT'!$D$4:$D$23,MATCH($I558,'CAT_TIPOS_OT'!$A$4:$A$23,0)),"SIN CLASIFICAR")))</f>
        <v/>
      </c>
      <c r="W558" s="24">
        <f>IF($H558="","",IF(IFERROR(INDEX('CAT_ACTIVIDADES'!$F$4:$F$26,MATCH($H558,'CAT_ACTIVIDADES'!$A$4:$A$26,0)),"")=0,"",IFERROR(INDEX('CAT_ACTIVIDADES'!$F$4:$F$26,MATCH($H558,'CAT_ACTIVIDADES'!$A$4:$A$26,0)),"")))</f>
        <v/>
      </c>
      <c r="X558" s="24">
        <f>IF($F558="","",IFERROR(INDEX('CAT_CENTROS_COSTO'!$F$4:$F$28,MATCH($F558,'CAT_CENTROS_COSTO'!$A$4:$A$28,0)),"(sin catálogo)"))</f>
        <v/>
      </c>
      <c r="Y558" s="24">
        <f>IF($F558="","",IFERROR(INDEX('CAT_CENTROS_COSTO'!$D$4:$D$28,MATCH($F558,'CAT_CENTROS_COSTO'!$A$4:$A$28,0)),"(sin catálogo)"))</f>
        <v/>
      </c>
      <c r="Z558" s="24">
        <f>IF($F558="","",IF((IFERROR(INDEX('CAT_CENTROS_COSTO'!$E$4:$E$28,MATCH($F558,'CAT_CENTROS_COSTO'!$A$4:$A$28,0)),""))&lt;&gt;"",IFERROR(INDEX('CAT_CENTROS_COSTO'!$E$4:$E$28,MATCH($F558,'CAT_CENTROS_COSTO'!$A$4:$A$28,0)),""),$Y558))</f>
        <v/>
      </c>
      <c r="AA558" s="24">
        <f>IF($F558="","",IFERROR(INDEX('CAT_CENTROS_COSTO'!$G$4:$G$28,MATCH($F558,'CAT_CENTROS_COSTO'!$A$4:$A$28,0)),"(sin catálogo)"))</f>
        <v/>
      </c>
      <c r="AB558" s="24">
        <f>IF($G558="","",IFERROR(INDEX('CAT_PUESTOS'!$B$4:$B$23,MATCH($G558,'CAT_PUESTOS'!$A$4:$A$23,0)),"(sin catálogo)"))</f>
        <v/>
      </c>
      <c r="AC558" s="24">
        <f>IF($H558="","",IFERROR(INDEX('CAT_ACTIVIDADES'!$B$4:$B$26,MATCH($H558,'CAT_ACTIVIDADES'!$A$4:$A$26,0)),"(sin catálogo)"))</f>
        <v/>
      </c>
      <c r="AD558" s="26">
        <f>IF($J558="","",TODAY()-$J558)</f>
        <v/>
      </c>
      <c r="AE558" s="26">
        <f>IF($J558="","",IF($J558&lt;=TODAY(),COUNTIFS(cal_fechas,"&gt;="&amp;$J558,cal_fechas,"&lt;"&amp;TODAY(),cal_habil,"sí"),-COUNTIFS(cal_fechas,"&gt;="&amp;TODAY(),cal_fechas,"&lt;"&amp;$J558,cal_habil,"sí")))</f>
        <v/>
      </c>
      <c r="AF558" s="24">
        <f>IF($AE558="","",IF($AE558&lt;0,"FUTURO",IF($AE558&gt;p_dias_backlog_max,"BACKLOG","MES CORRIENTE")))</f>
        <v/>
      </c>
      <c r="AG558" s="24">
        <f>IF($AE558="",FALSE,AND($AE558&gt;p_dias_backlog_min,$AE558&lt;=p_dias_backlog_max))</f>
        <v/>
      </c>
      <c r="AH558" s="4" t="n"/>
      <c r="AI558" s="24">
        <f>IF($AH558="","",IF((IFERROR(INDEX('ASIGNACIONES'!$J$4:$J$451,MATCH($O558&amp;"|"&amp;$S558&amp;"|"&amp;$AH558,'ASIGNACIONES'!$N$4:$N$451,0)),""))=0,"",IFERROR(INDEX('ASIGNACIONES'!$J$4:$J$451,MATCH($O558&amp;"|"&amp;$S558&amp;"|"&amp;$AH558,'ASIGNACIONES'!$N$4:$N$451,0)),"")))</f>
        <v/>
      </c>
      <c r="AJ558" s="42">
        <f>IF($AH558="","",SUMIFS('ORDENES'!$M$4:$M$1203,'ORDENES'!$AH$4:$AH$1203,$AH558,'ORDENES'!$O$4:$O$1203,$O558,'ORDENES'!$S$4:$S$1203,$S558))</f>
        <v/>
      </c>
      <c r="AK558" s="42">
        <f>IF($AJ558="","",p_factor_productividad*IFERROR(INDEX('ASIGNACIONES'!$M$4:$M$451,MATCH($O558&amp;"|"&amp;$S558&amp;"|"&amp;$AH558,'ASIGNACIONES'!$N$4:$N$451,0)),0)-$AJ558)</f>
        <v/>
      </c>
      <c r="AL558" s="32">
        <f>IF($A558="","",IFERROR(INDEX('2_IMPORTAR_EJECUCION'!$F$9:$F$1208,MATCH($AU558,'2_IMPORTAR_EJECUCION'!$J$9:$J$1208,0)),0))</f>
        <v/>
      </c>
      <c r="AM558" s="32">
        <f>IF($A558="","",MAX(0,IFERROR(INDEX('2_IMPORTAR_EJECUCION'!$H$9:$H$1208,MATCH($AU558,'2_IMPORTAR_EJECUCION'!$J$9:$J$1208,0)),0)-$AL558))</f>
        <v/>
      </c>
      <c r="AN558" s="32">
        <f>IF($A558="","",$AL558+$AM558)</f>
        <v/>
      </c>
      <c r="AO558" s="24">
        <f>IF($A558="","",IF(OR((IFERROR(INDEX('CAT_ACTIVIDADES'!$D$4:$D$26,MATCH($H558,'CAT_ACTIVIDADES'!$A$4:$A$26,0)),""))=0,(IFERROR(INDEX('CAT_ACTIVIDADES'!$D$4:$D$26,MATCH($H558,'CAT_ACTIVIDADES'!$A$4:$A$26,0)),""))=""),"SIN CLASIFICAR",IFERROR(INDEX('CAT_ACTIVIDADES'!$D$4:$D$26,MATCH($H558,'CAT_ACTIVIDADES'!$A$4:$A$26,0)),"")))</f>
        <v/>
      </c>
      <c r="AP558" s="4" t="n"/>
      <c r="AQ558" s="4" t="n"/>
      <c r="AR558" s="4" t="n"/>
      <c r="AS558" s="24">
        <f>IF($AR558="","",HYPERLINK(p_ruta_base_checklists&amp;$AR558,"abrir"))</f>
        <v/>
      </c>
      <c r="AT558" s="4" t="n"/>
      <c r="AU558" s="24">
        <f>IF($A558="","",$A558&amp;IF($B558="","0010",$B558))</f>
        <v/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41" t="n"/>
      <c r="K559" s="5" t="n"/>
      <c r="L559" s="18" t="n"/>
      <c r="M559" s="24">
        <f>IF($A559="","",IFERROR(INDEX('AJUSTES'!$B$4:$B$303,MATCH($AU559,'AJUSTES'!$A$4:$A$303,0)),IF($K559="","",$K559)))</f>
        <v/>
      </c>
      <c r="N559" s="24">
        <f>IF($A559="","",IFERROR(INDEX('CAT_ESTADOS_ERP'!$B$4:$B$22,MATCH(IFERROR(INDEX('2_IMPORTAR_EJECUCION'!$C$9:$C$1208,MATCH($AU559,'2_IMPORTAR_EJECUCION'!$J$9:$J$1208,0)),""),'CAT_ESTADOS_ERP'!$A$4:$A$22,0)),"Pendiente"))</f>
        <v/>
      </c>
      <c r="O559" s="24">
        <f>IF($J559="","",YEAR($J559+4-WEEKDAY($J559,2))&amp;"-S"&amp;TEXT(_xlfn.ISOWEEKNUM($J559),"00"))</f>
        <v/>
      </c>
      <c r="P559" s="24">
        <f>IF($J559="","",YEAR($J559))</f>
        <v/>
      </c>
      <c r="Q559" s="24">
        <f>IF($J559="","",MONTH($J559))</f>
        <v/>
      </c>
      <c r="R559" s="24">
        <f>IF($J559="","",$P559&amp;"-"&amp;TEXT($Q559,"00"))</f>
        <v/>
      </c>
      <c r="S559" s="24">
        <f>IF($J559="","",INDEX(lista_dias,WEEKDAY($J559,2)))</f>
        <v/>
      </c>
      <c r="T559" s="24">
        <f>IF($J559="","",IFERROR(INDEX('CALENDARIO'!$C$15:$C$214,MATCH(TEXT($J559,"yyyy-mm-dd")&amp;"|"&amp;$Y559&amp;"|"&amp;$Z559,'CALENDARIO'!$G$15:$G$214,0)),IFERROR(INDEX('CALENDARIO'!$C$15:$C$214,MATCH(TEXT($J559,"yyyy-mm-dd")&amp;"|"&amp;$Y559&amp;"|",'CALENDARIO'!$G$15:$G$214,0)),IFERROR(INDEX('CALENDARIO'!$C$15:$C$214,MATCH(TEXT($J559,"yyyy-mm-dd")&amp;"||",'CALENDARIO'!$G$15:$G$214,0)),INDEX(patronHabil,WEEKDAY($J559,2))))))</f>
        <v/>
      </c>
      <c r="U559" s="24">
        <f>IF($I559="","",IFERROR(INDEX('CAT_TIPOS_OT'!$C$4:$C$23,MATCH($I559,'CAT_TIPOS_OT'!$A$4:$A$23,0)),"sin_clasificar"))</f>
        <v/>
      </c>
      <c r="V559" s="24">
        <f>IF($I559="","",IF(IFERROR(INDEX('CAT_TIPOS_OT'!$D$4:$D$23,MATCH($I559,'CAT_TIPOS_OT'!$A$4:$A$23,0)),"SIN CLASIFICAR")="","SIN CLASIFICAR",IFERROR(INDEX('CAT_TIPOS_OT'!$D$4:$D$23,MATCH($I559,'CAT_TIPOS_OT'!$A$4:$A$23,0)),"SIN CLASIFICAR")))</f>
        <v/>
      </c>
      <c r="W559" s="24">
        <f>IF($H559="","",IF(IFERROR(INDEX('CAT_ACTIVIDADES'!$F$4:$F$26,MATCH($H559,'CAT_ACTIVIDADES'!$A$4:$A$26,0)),"")=0,"",IFERROR(INDEX('CAT_ACTIVIDADES'!$F$4:$F$26,MATCH($H559,'CAT_ACTIVIDADES'!$A$4:$A$26,0)),"")))</f>
        <v/>
      </c>
      <c r="X559" s="24">
        <f>IF($F559="","",IFERROR(INDEX('CAT_CENTROS_COSTO'!$F$4:$F$28,MATCH($F559,'CAT_CENTROS_COSTO'!$A$4:$A$28,0)),"(sin catálogo)"))</f>
        <v/>
      </c>
      <c r="Y559" s="24">
        <f>IF($F559="","",IFERROR(INDEX('CAT_CENTROS_COSTO'!$D$4:$D$28,MATCH($F559,'CAT_CENTROS_COSTO'!$A$4:$A$28,0)),"(sin catálogo)"))</f>
        <v/>
      </c>
      <c r="Z559" s="24">
        <f>IF($F559="","",IF((IFERROR(INDEX('CAT_CENTROS_COSTO'!$E$4:$E$28,MATCH($F559,'CAT_CENTROS_COSTO'!$A$4:$A$28,0)),""))&lt;&gt;"",IFERROR(INDEX('CAT_CENTROS_COSTO'!$E$4:$E$28,MATCH($F559,'CAT_CENTROS_COSTO'!$A$4:$A$28,0)),""),$Y559))</f>
        <v/>
      </c>
      <c r="AA559" s="24">
        <f>IF($F559="","",IFERROR(INDEX('CAT_CENTROS_COSTO'!$G$4:$G$28,MATCH($F559,'CAT_CENTROS_COSTO'!$A$4:$A$28,0)),"(sin catálogo)"))</f>
        <v/>
      </c>
      <c r="AB559" s="24">
        <f>IF($G559="","",IFERROR(INDEX('CAT_PUESTOS'!$B$4:$B$23,MATCH($G559,'CAT_PUESTOS'!$A$4:$A$23,0)),"(sin catálogo)"))</f>
        <v/>
      </c>
      <c r="AC559" s="24">
        <f>IF($H559="","",IFERROR(INDEX('CAT_ACTIVIDADES'!$B$4:$B$26,MATCH($H559,'CAT_ACTIVIDADES'!$A$4:$A$26,0)),"(sin catálogo)"))</f>
        <v/>
      </c>
      <c r="AD559" s="26">
        <f>IF($J559="","",TODAY()-$J559)</f>
        <v/>
      </c>
      <c r="AE559" s="26">
        <f>IF($J559="","",IF($J559&lt;=TODAY(),COUNTIFS(cal_fechas,"&gt;="&amp;$J559,cal_fechas,"&lt;"&amp;TODAY(),cal_habil,"sí"),-COUNTIFS(cal_fechas,"&gt;="&amp;TODAY(),cal_fechas,"&lt;"&amp;$J559,cal_habil,"sí")))</f>
        <v/>
      </c>
      <c r="AF559" s="24">
        <f>IF($AE559="","",IF($AE559&lt;0,"FUTURO",IF($AE559&gt;p_dias_backlog_max,"BACKLOG","MES CORRIENTE")))</f>
        <v/>
      </c>
      <c r="AG559" s="24">
        <f>IF($AE559="",FALSE,AND($AE559&gt;p_dias_backlog_min,$AE559&lt;=p_dias_backlog_max))</f>
        <v/>
      </c>
      <c r="AH559" s="4" t="n"/>
      <c r="AI559" s="24">
        <f>IF($AH559="","",IF((IFERROR(INDEX('ASIGNACIONES'!$J$4:$J$451,MATCH($O559&amp;"|"&amp;$S559&amp;"|"&amp;$AH559,'ASIGNACIONES'!$N$4:$N$451,0)),""))=0,"",IFERROR(INDEX('ASIGNACIONES'!$J$4:$J$451,MATCH($O559&amp;"|"&amp;$S559&amp;"|"&amp;$AH559,'ASIGNACIONES'!$N$4:$N$451,0)),"")))</f>
        <v/>
      </c>
      <c r="AJ559" s="42">
        <f>IF($AH559="","",SUMIFS('ORDENES'!$M$4:$M$1203,'ORDENES'!$AH$4:$AH$1203,$AH559,'ORDENES'!$O$4:$O$1203,$O559,'ORDENES'!$S$4:$S$1203,$S559))</f>
        <v/>
      </c>
      <c r="AK559" s="42">
        <f>IF($AJ559="","",p_factor_productividad*IFERROR(INDEX('ASIGNACIONES'!$M$4:$M$451,MATCH($O559&amp;"|"&amp;$S559&amp;"|"&amp;$AH559,'ASIGNACIONES'!$N$4:$N$451,0)),0)-$AJ559)</f>
        <v/>
      </c>
      <c r="AL559" s="32">
        <f>IF($A559="","",IFERROR(INDEX('2_IMPORTAR_EJECUCION'!$F$9:$F$1208,MATCH($AU559,'2_IMPORTAR_EJECUCION'!$J$9:$J$1208,0)),0))</f>
        <v/>
      </c>
      <c r="AM559" s="32">
        <f>IF($A559="","",MAX(0,IFERROR(INDEX('2_IMPORTAR_EJECUCION'!$H$9:$H$1208,MATCH($AU559,'2_IMPORTAR_EJECUCION'!$J$9:$J$1208,0)),0)-$AL559))</f>
        <v/>
      </c>
      <c r="AN559" s="32">
        <f>IF($A559="","",$AL559+$AM559)</f>
        <v/>
      </c>
      <c r="AO559" s="24">
        <f>IF($A559="","",IF(OR((IFERROR(INDEX('CAT_ACTIVIDADES'!$D$4:$D$26,MATCH($H559,'CAT_ACTIVIDADES'!$A$4:$A$26,0)),""))=0,(IFERROR(INDEX('CAT_ACTIVIDADES'!$D$4:$D$26,MATCH($H559,'CAT_ACTIVIDADES'!$A$4:$A$26,0)),""))=""),"SIN CLASIFICAR",IFERROR(INDEX('CAT_ACTIVIDADES'!$D$4:$D$26,MATCH($H559,'CAT_ACTIVIDADES'!$A$4:$A$26,0)),"")))</f>
        <v/>
      </c>
      <c r="AP559" s="4" t="n"/>
      <c r="AQ559" s="4" t="n"/>
      <c r="AR559" s="4" t="n"/>
      <c r="AS559" s="24">
        <f>IF($AR559="","",HYPERLINK(p_ruta_base_checklists&amp;$AR559,"abrir"))</f>
        <v/>
      </c>
      <c r="AT559" s="4" t="n"/>
      <c r="AU559" s="24">
        <f>IF($A559="","",$A559&amp;IF($B559="","0010",$B559))</f>
        <v/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41" t="n"/>
      <c r="K560" s="5" t="n"/>
      <c r="L560" s="18" t="n"/>
      <c r="M560" s="24">
        <f>IF($A560="","",IFERROR(INDEX('AJUSTES'!$B$4:$B$303,MATCH($AU560,'AJUSTES'!$A$4:$A$303,0)),IF($K560="","",$K560)))</f>
        <v/>
      </c>
      <c r="N560" s="24">
        <f>IF($A560="","",IFERROR(INDEX('CAT_ESTADOS_ERP'!$B$4:$B$22,MATCH(IFERROR(INDEX('2_IMPORTAR_EJECUCION'!$C$9:$C$1208,MATCH($AU560,'2_IMPORTAR_EJECUCION'!$J$9:$J$1208,0)),""),'CAT_ESTADOS_ERP'!$A$4:$A$22,0)),"Pendiente"))</f>
        <v/>
      </c>
      <c r="O560" s="24">
        <f>IF($J560="","",YEAR($J560+4-WEEKDAY($J560,2))&amp;"-S"&amp;TEXT(_xlfn.ISOWEEKNUM($J560),"00"))</f>
        <v/>
      </c>
      <c r="P560" s="24">
        <f>IF($J560="","",YEAR($J560))</f>
        <v/>
      </c>
      <c r="Q560" s="24">
        <f>IF($J560="","",MONTH($J560))</f>
        <v/>
      </c>
      <c r="R560" s="24">
        <f>IF($J560="","",$P560&amp;"-"&amp;TEXT($Q560,"00"))</f>
        <v/>
      </c>
      <c r="S560" s="24">
        <f>IF($J560="","",INDEX(lista_dias,WEEKDAY($J560,2)))</f>
        <v/>
      </c>
      <c r="T560" s="24">
        <f>IF($J560="","",IFERROR(INDEX('CALENDARIO'!$C$15:$C$214,MATCH(TEXT($J560,"yyyy-mm-dd")&amp;"|"&amp;$Y560&amp;"|"&amp;$Z560,'CALENDARIO'!$G$15:$G$214,0)),IFERROR(INDEX('CALENDARIO'!$C$15:$C$214,MATCH(TEXT($J560,"yyyy-mm-dd")&amp;"|"&amp;$Y560&amp;"|",'CALENDARIO'!$G$15:$G$214,0)),IFERROR(INDEX('CALENDARIO'!$C$15:$C$214,MATCH(TEXT($J560,"yyyy-mm-dd")&amp;"||",'CALENDARIO'!$G$15:$G$214,0)),INDEX(patronHabil,WEEKDAY($J560,2))))))</f>
        <v/>
      </c>
      <c r="U560" s="24">
        <f>IF($I560="","",IFERROR(INDEX('CAT_TIPOS_OT'!$C$4:$C$23,MATCH($I560,'CAT_TIPOS_OT'!$A$4:$A$23,0)),"sin_clasificar"))</f>
        <v/>
      </c>
      <c r="V560" s="24">
        <f>IF($I560="","",IF(IFERROR(INDEX('CAT_TIPOS_OT'!$D$4:$D$23,MATCH($I560,'CAT_TIPOS_OT'!$A$4:$A$23,0)),"SIN CLASIFICAR")="","SIN CLASIFICAR",IFERROR(INDEX('CAT_TIPOS_OT'!$D$4:$D$23,MATCH($I560,'CAT_TIPOS_OT'!$A$4:$A$23,0)),"SIN CLASIFICAR")))</f>
        <v/>
      </c>
      <c r="W560" s="24">
        <f>IF($H560="","",IF(IFERROR(INDEX('CAT_ACTIVIDADES'!$F$4:$F$26,MATCH($H560,'CAT_ACTIVIDADES'!$A$4:$A$26,0)),"")=0,"",IFERROR(INDEX('CAT_ACTIVIDADES'!$F$4:$F$26,MATCH($H560,'CAT_ACTIVIDADES'!$A$4:$A$26,0)),"")))</f>
        <v/>
      </c>
      <c r="X560" s="24">
        <f>IF($F560="","",IFERROR(INDEX('CAT_CENTROS_COSTO'!$F$4:$F$28,MATCH($F560,'CAT_CENTROS_COSTO'!$A$4:$A$28,0)),"(sin catálogo)"))</f>
        <v/>
      </c>
      <c r="Y560" s="24">
        <f>IF($F560="","",IFERROR(INDEX('CAT_CENTROS_COSTO'!$D$4:$D$28,MATCH($F560,'CAT_CENTROS_COSTO'!$A$4:$A$28,0)),"(sin catálogo)"))</f>
        <v/>
      </c>
      <c r="Z560" s="24">
        <f>IF($F560="","",IF((IFERROR(INDEX('CAT_CENTROS_COSTO'!$E$4:$E$28,MATCH($F560,'CAT_CENTROS_COSTO'!$A$4:$A$28,0)),""))&lt;&gt;"",IFERROR(INDEX('CAT_CENTROS_COSTO'!$E$4:$E$28,MATCH($F560,'CAT_CENTROS_COSTO'!$A$4:$A$28,0)),""),$Y560))</f>
        <v/>
      </c>
      <c r="AA560" s="24">
        <f>IF($F560="","",IFERROR(INDEX('CAT_CENTROS_COSTO'!$G$4:$G$28,MATCH($F560,'CAT_CENTROS_COSTO'!$A$4:$A$28,0)),"(sin catálogo)"))</f>
        <v/>
      </c>
      <c r="AB560" s="24">
        <f>IF($G560="","",IFERROR(INDEX('CAT_PUESTOS'!$B$4:$B$23,MATCH($G560,'CAT_PUESTOS'!$A$4:$A$23,0)),"(sin catálogo)"))</f>
        <v/>
      </c>
      <c r="AC560" s="24">
        <f>IF($H560="","",IFERROR(INDEX('CAT_ACTIVIDADES'!$B$4:$B$26,MATCH($H560,'CAT_ACTIVIDADES'!$A$4:$A$26,0)),"(sin catálogo)"))</f>
        <v/>
      </c>
      <c r="AD560" s="26">
        <f>IF($J560="","",TODAY()-$J560)</f>
        <v/>
      </c>
      <c r="AE560" s="26">
        <f>IF($J560="","",IF($J560&lt;=TODAY(),COUNTIFS(cal_fechas,"&gt;="&amp;$J560,cal_fechas,"&lt;"&amp;TODAY(),cal_habil,"sí"),-COUNTIFS(cal_fechas,"&gt;="&amp;TODAY(),cal_fechas,"&lt;"&amp;$J560,cal_habil,"sí")))</f>
        <v/>
      </c>
      <c r="AF560" s="24">
        <f>IF($AE560="","",IF($AE560&lt;0,"FUTURO",IF($AE560&gt;p_dias_backlog_max,"BACKLOG","MES CORRIENTE")))</f>
        <v/>
      </c>
      <c r="AG560" s="24">
        <f>IF($AE560="",FALSE,AND($AE560&gt;p_dias_backlog_min,$AE560&lt;=p_dias_backlog_max))</f>
        <v/>
      </c>
      <c r="AH560" s="4" t="n"/>
      <c r="AI560" s="24">
        <f>IF($AH560="","",IF((IFERROR(INDEX('ASIGNACIONES'!$J$4:$J$451,MATCH($O560&amp;"|"&amp;$S560&amp;"|"&amp;$AH560,'ASIGNACIONES'!$N$4:$N$451,0)),""))=0,"",IFERROR(INDEX('ASIGNACIONES'!$J$4:$J$451,MATCH($O560&amp;"|"&amp;$S560&amp;"|"&amp;$AH560,'ASIGNACIONES'!$N$4:$N$451,0)),"")))</f>
        <v/>
      </c>
      <c r="AJ560" s="42">
        <f>IF($AH560="","",SUMIFS('ORDENES'!$M$4:$M$1203,'ORDENES'!$AH$4:$AH$1203,$AH560,'ORDENES'!$O$4:$O$1203,$O560,'ORDENES'!$S$4:$S$1203,$S560))</f>
        <v/>
      </c>
      <c r="AK560" s="42">
        <f>IF($AJ560="","",p_factor_productividad*IFERROR(INDEX('ASIGNACIONES'!$M$4:$M$451,MATCH($O560&amp;"|"&amp;$S560&amp;"|"&amp;$AH560,'ASIGNACIONES'!$N$4:$N$451,0)),0)-$AJ560)</f>
        <v/>
      </c>
      <c r="AL560" s="32">
        <f>IF($A560="","",IFERROR(INDEX('2_IMPORTAR_EJECUCION'!$F$9:$F$1208,MATCH($AU560,'2_IMPORTAR_EJECUCION'!$J$9:$J$1208,0)),0))</f>
        <v/>
      </c>
      <c r="AM560" s="32">
        <f>IF($A560="","",MAX(0,IFERROR(INDEX('2_IMPORTAR_EJECUCION'!$H$9:$H$1208,MATCH($AU560,'2_IMPORTAR_EJECUCION'!$J$9:$J$1208,0)),0)-$AL560))</f>
        <v/>
      </c>
      <c r="AN560" s="32">
        <f>IF($A560="","",$AL560+$AM560)</f>
        <v/>
      </c>
      <c r="AO560" s="24">
        <f>IF($A560="","",IF(OR((IFERROR(INDEX('CAT_ACTIVIDADES'!$D$4:$D$26,MATCH($H560,'CAT_ACTIVIDADES'!$A$4:$A$26,0)),""))=0,(IFERROR(INDEX('CAT_ACTIVIDADES'!$D$4:$D$26,MATCH($H560,'CAT_ACTIVIDADES'!$A$4:$A$26,0)),""))=""),"SIN CLASIFICAR",IFERROR(INDEX('CAT_ACTIVIDADES'!$D$4:$D$26,MATCH($H560,'CAT_ACTIVIDADES'!$A$4:$A$26,0)),"")))</f>
        <v/>
      </c>
      <c r="AP560" s="4" t="n"/>
      <c r="AQ560" s="4" t="n"/>
      <c r="AR560" s="4" t="n"/>
      <c r="AS560" s="24">
        <f>IF($AR560="","",HYPERLINK(p_ruta_base_checklists&amp;$AR560,"abrir"))</f>
        <v/>
      </c>
      <c r="AT560" s="4" t="n"/>
      <c r="AU560" s="24">
        <f>IF($A560="","",$A560&amp;IF($B560="","0010",$B560))</f>
        <v/>
      </c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41" t="n"/>
      <c r="K561" s="5" t="n"/>
      <c r="L561" s="18" t="n"/>
      <c r="M561" s="24">
        <f>IF($A561="","",IFERROR(INDEX('AJUSTES'!$B$4:$B$303,MATCH($AU561,'AJUSTES'!$A$4:$A$303,0)),IF($K561="","",$K561)))</f>
        <v/>
      </c>
      <c r="N561" s="24">
        <f>IF($A561="","",IFERROR(INDEX('CAT_ESTADOS_ERP'!$B$4:$B$22,MATCH(IFERROR(INDEX('2_IMPORTAR_EJECUCION'!$C$9:$C$1208,MATCH($AU561,'2_IMPORTAR_EJECUCION'!$J$9:$J$1208,0)),""),'CAT_ESTADOS_ERP'!$A$4:$A$22,0)),"Pendiente"))</f>
        <v/>
      </c>
      <c r="O561" s="24">
        <f>IF($J561="","",YEAR($J561+4-WEEKDAY($J561,2))&amp;"-S"&amp;TEXT(_xlfn.ISOWEEKNUM($J561),"00"))</f>
        <v/>
      </c>
      <c r="P561" s="24">
        <f>IF($J561="","",YEAR($J561))</f>
        <v/>
      </c>
      <c r="Q561" s="24">
        <f>IF($J561="","",MONTH($J561))</f>
        <v/>
      </c>
      <c r="R561" s="24">
        <f>IF($J561="","",$P561&amp;"-"&amp;TEXT($Q561,"00"))</f>
        <v/>
      </c>
      <c r="S561" s="24">
        <f>IF($J561="","",INDEX(lista_dias,WEEKDAY($J561,2)))</f>
        <v/>
      </c>
      <c r="T561" s="24">
        <f>IF($J561="","",IFERROR(INDEX('CALENDARIO'!$C$15:$C$214,MATCH(TEXT($J561,"yyyy-mm-dd")&amp;"|"&amp;$Y561&amp;"|"&amp;$Z561,'CALENDARIO'!$G$15:$G$214,0)),IFERROR(INDEX('CALENDARIO'!$C$15:$C$214,MATCH(TEXT($J561,"yyyy-mm-dd")&amp;"|"&amp;$Y561&amp;"|",'CALENDARIO'!$G$15:$G$214,0)),IFERROR(INDEX('CALENDARIO'!$C$15:$C$214,MATCH(TEXT($J561,"yyyy-mm-dd")&amp;"||",'CALENDARIO'!$G$15:$G$214,0)),INDEX(patronHabil,WEEKDAY($J561,2))))))</f>
        <v/>
      </c>
      <c r="U561" s="24">
        <f>IF($I561="","",IFERROR(INDEX('CAT_TIPOS_OT'!$C$4:$C$23,MATCH($I561,'CAT_TIPOS_OT'!$A$4:$A$23,0)),"sin_clasificar"))</f>
        <v/>
      </c>
      <c r="V561" s="24">
        <f>IF($I561="","",IF(IFERROR(INDEX('CAT_TIPOS_OT'!$D$4:$D$23,MATCH($I561,'CAT_TIPOS_OT'!$A$4:$A$23,0)),"SIN CLASIFICAR")="","SIN CLASIFICAR",IFERROR(INDEX('CAT_TIPOS_OT'!$D$4:$D$23,MATCH($I561,'CAT_TIPOS_OT'!$A$4:$A$23,0)),"SIN CLASIFICAR")))</f>
        <v/>
      </c>
      <c r="W561" s="24">
        <f>IF($H561="","",IF(IFERROR(INDEX('CAT_ACTIVIDADES'!$F$4:$F$26,MATCH($H561,'CAT_ACTIVIDADES'!$A$4:$A$26,0)),"")=0,"",IFERROR(INDEX('CAT_ACTIVIDADES'!$F$4:$F$26,MATCH($H561,'CAT_ACTIVIDADES'!$A$4:$A$26,0)),"")))</f>
        <v/>
      </c>
      <c r="X561" s="24">
        <f>IF($F561="","",IFERROR(INDEX('CAT_CENTROS_COSTO'!$F$4:$F$28,MATCH($F561,'CAT_CENTROS_COSTO'!$A$4:$A$28,0)),"(sin catálogo)"))</f>
        <v/>
      </c>
      <c r="Y561" s="24">
        <f>IF($F561="","",IFERROR(INDEX('CAT_CENTROS_COSTO'!$D$4:$D$28,MATCH($F561,'CAT_CENTROS_COSTO'!$A$4:$A$28,0)),"(sin catálogo)"))</f>
        <v/>
      </c>
      <c r="Z561" s="24">
        <f>IF($F561="","",IF((IFERROR(INDEX('CAT_CENTROS_COSTO'!$E$4:$E$28,MATCH($F561,'CAT_CENTROS_COSTO'!$A$4:$A$28,0)),""))&lt;&gt;"",IFERROR(INDEX('CAT_CENTROS_COSTO'!$E$4:$E$28,MATCH($F561,'CAT_CENTROS_COSTO'!$A$4:$A$28,0)),""),$Y561))</f>
        <v/>
      </c>
      <c r="AA561" s="24">
        <f>IF($F561="","",IFERROR(INDEX('CAT_CENTROS_COSTO'!$G$4:$G$28,MATCH($F561,'CAT_CENTROS_COSTO'!$A$4:$A$28,0)),"(sin catálogo)"))</f>
        <v/>
      </c>
      <c r="AB561" s="24">
        <f>IF($G561="","",IFERROR(INDEX('CAT_PUESTOS'!$B$4:$B$23,MATCH($G561,'CAT_PUESTOS'!$A$4:$A$23,0)),"(sin catálogo)"))</f>
        <v/>
      </c>
      <c r="AC561" s="24">
        <f>IF($H561="","",IFERROR(INDEX('CAT_ACTIVIDADES'!$B$4:$B$26,MATCH($H561,'CAT_ACTIVIDADES'!$A$4:$A$26,0)),"(sin catálogo)"))</f>
        <v/>
      </c>
      <c r="AD561" s="26">
        <f>IF($J561="","",TODAY()-$J561)</f>
        <v/>
      </c>
      <c r="AE561" s="26">
        <f>IF($J561="","",IF($J561&lt;=TODAY(),COUNTIFS(cal_fechas,"&gt;="&amp;$J561,cal_fechas,"&lt;"&amp;TODAY(),cal_habil,"sí"),-COUNTIFS(cal_fechas,"&gt;="&amp;TODAY(),cal_fechas,"&lt;"&amp;$J561,cal_habil,"sí")))</f>
        <v/>
      </c>
      <c r="AF561" s="24">
        <f>IF($AE561="","",IF($AE561&lt;0,"FUTURO",IF($AE561&gt;p_dias_backlog_max,"BACKLOG","MES CORRIENTE")))</f>
        <v/>
      </c>
      <c r="AG561" s="24">
        <f>IF($AE561="",FALSE,AND($AE561&gt;p_dias_backlog_min,$AE561&lt;=p_dias_backlog_max))</f>
        <v/>
      </c>
      <c r="AH561" s="4" t="n"/>
      <c r="AI561" s="24">
        <f>IF($AH561="","",IF((IFERROR(INDEX('ASIGNACIONES'!$J$4:$J$451,MATCH($O561&amp;"|"&amp;$S561&amp;"|"&amp;$AH561,'ASIGNACIONES'!$N$4:$N$451,0)),""))=0,"",IFERROR(INDEX('ASIGNACIONES'!$J$4:$J$451,MATCH($O561&amp;"|"&amp;$S561&amp;"|"&amp;$AH561,'ASIGNACIONES'!$N$4:$N$451,0)),"")))</f>
        <v/>
      </c>
      <c r="AJ561" s="42">
        <f>IF($AH561="","",SUMIFS('ORDENES'!$M$4:$M$1203,'ORDENES'!$AH$4:$AH$1203,$AH561,'ORDENES'!$O$4:$O$1203,$O561,'ORDENES'!$S$4:$S$1203,$S561))</f>
        <v/>
      </c>
      <c r="AK561" s="42">
        <f>IF($AJ561="","",p_factor_productividad*IFERROR(INDEX('ASIGNACIONES'!$M$4:$M$451,MATCH($O561&amp;"|"&amp;$S561&amp;"|"&amp;$AH561,'ASIGNACIONES'!$N$4:$N$451,0)),0)-$AJ561)</f>
        <v/>
      </c>
      <c r="AL561" s="32">
        <f>IF($A561="","",IFERROR(INDEX('2_IMPORTAR_EJECUCION'!$F$9:$F$1208,MATCH($AU561,'2_IMPORTAR_EJECUCION'!$J$9:$J$1208,0)),0))</f>
        <v/>
      </c>
      <c r="AM561" s="32">
        <f>IF($A561="","",MAX(0,IFERROR(INDEX('2_IMPORTAR_EJECUCION'!$H$9:$H$1208,MATCH($AU561,'2_IMPORTAR_EJECUCION'!$J$9:$J$1208,0)),0)-$AL561))</f>
        <v/>
      </c>
      <c r="AN561" s="32">
        <f>IF($A561="","",$AL561+$AM561)</f>
        <v/>
      </c>
      <c r="AO561" s="24">
        <f>IF($A561="","",IF(OR((IFERROR(INDEX('CAT_ACTIVIDADES'!$D$4:$D$26,MATCH($H561,'CAT_ACTIVIDADES'!$A$4:$A$26,0)),""))=0,(IFERROR(INDEX('CAT_ACTIVIDADES'!$D$4:$D$26,MATCH($H561,'CAT_ACTIVIDADES'!$A$4:$A$26,0)),""))=""),"SIN CLASIFICAR",IFERROR(INDEX('CAT_ACTIVIDADES'!$D$4:$D$26,MATCH($H561,'CAT_ACTIVIDADES'!$A$4:$A$26,0)),"")))</f>
        <v/>
      </c>
      <c r="AP561" s="4" t="n"/>
      <c r="AQ561" s="4" t="n"/>
      <c r="AR561" s="4" t="n"/>
      <c r="AS561" s="24">
        <f>IF($AR561="","",HYPERLINK(p_ruta_base_checklists&amp;$AR561,"abrir"))</f>
        <v/>
      </c>
      <c r="AT561" s="4" t="n"/>
      <c r="AU561" s="24">
        <f>IF($A561="","",$A561&amp;IF($B561="","0010",$B561))</f>
        <v/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41" t="n"/>
      <c r="K562" s="5" t="n"/>
      <c r="L562" s="18" t="n"/>
      <c r="M562" s="24">
        <f>IF($A562="","",IFERROR(INDEX('AJUSTES'!$B$4:$B$303,MATCH($AU562,'AJUSTES'!$A$4:$A$303,0)),IF($K562="","",$K562)))</f>
        <v/>
      </c>
      <c r="N562" s="24">
        <f>IF($A562="","",IFERROR(INDEX('CAT_ESTADOS_ERP'!$B$4:$B$22,MATCH(IFERROR(INDEX('2_IMPORTAR_EJECUCION'!$C$9:$C$1208,MATCH($AU562,'2_IMPORTAR_EJECUCION'!$J$9:$J$1208,0)),""),'CAT_ESTADOS_ERP'!$A$4:$A$22,0)),"Pendiente"))</f>
        <v/>
      </c>
      <c r="O562" s="24">
        <f>IF($J562="","",YEAR($J562+4-WEEKDAY($J562,2))&amp;"-S"&amp;TEXT(_xlfn.ISOWEEKNUM($J562),"00"))</f>
        <v/>
      </c>
      <c r="P562" s="24">
        <f>IF($J562="","",YEAR($J562))</f>
        <v/>
      </c>
      <c r="Q562" s="24">
        <f>IF($J562="","",MONTH($J562))</f>
        <v/>
      </c>
      <c r="R562" s="24">
        <f>IF($J562="","",$P562&amp;"-"&amp;TEXT($Q562,"00"))</f>
        <v/>
      </c>
      <c r="S562" s="24">
        <f>IF($J562="","",INDEX(lista_dias,WEEKDAY($J562,2)))</f>
        <v/>
      </c>
      <c r="T562" s="24">
        <f>IF($J562="","",IFERROR(INDEX('CALENDARIO'!$C$15:$C$214,MATCH(TEXT($J562,"yyyy-mm-dd")&amp;"|"&amp;$Y562&amp;"|"&amp;$Z562,'CALENDARIO'!$G$15:$G$214,0)),IFERROR(INDEX('CALENDARIO'!$C$15:$C$214,MATCH(TEXT($J562,"yyyy-mm-dd")&amp;"|"&amp;$Y562&amp;"|",'CALENDARIO'!$G$15:$G$214,0)),IFERROR(INDEX('CALENDARIO'!$C$15:$C$214,MATCH(TEXT($J562,"yyyy-mm-dd")&amp;"||",'CALENDARIO'!$G$15:$G$214,0)),INDEX(patronHabil,WEEKDAY($J562,2))))))</f>
        <v/>
      </c>
      <c r="U562" s="24">
        <f>IF($I562="","",IFERROR(INDEX('CAT_TIPOS_OT'!$C$4:$C$23,MATCH($I562,'CAT_TIPOS_OT'!$A$4:$A$23,0)),"sin_clasificar"))</f>
        <v/>
      </c>
      <c r="V562" s="24">
        <f>IF($I562="","",IF(IFERROR(INDEX('CAT_TIPOS_OT'!$D$4:$D$23,MATCH($I562,'CAT_TIPOS_OT'!$A$4:$A$23,0)),"SIN CLASIFICAR")="","SIN CLASIFICAR",IFERROR(INDEX('CAT_TIPOS_OT'!$D$4:$D$23,MATCH($I562,'CAT_TIPOS_OT'!$A$4:$A$23,0)),"SIN CLASIFICAR")))</f>
        <v/>
      </c>
      <c r="W562" s="24">
        <f>IF($H562="","",IF(IFERROR(INDEX('CAT_ACTIVIDADES'!$F$4:$F$26,MATCH($H562,'CAT_ACTIVIDADES'!$A$4:$A$26,0)),"")=0,"",IFERROR(INDEX('CAT_ACTIVIDADES'!$F$4:$F$26,MATCH($H562,'CAT_ACTIVIDADES'!$A$4:$A$26,0)),"")))</f>
        <v/>
      </c>
      <c r="X562" s="24">
        <f>IF($F562="","",IFERROR(INDEX('CAT_CENTROS_COSTO'!$F$4:$F$28,MATCH($F562,'CAT_CENTROS_COSTO'!$A$4:$A$28,0)),"(sin catálogo)"))</f>
        <v/>
      </c>
      <c r="Y562" s="24">
        <f>IF($F562="","",IFERROR(INDEX('CAT_CENTROS_COSTO'!$D$4:$D$28,MATCH($F562,'CAT_CENTROS_COSTO'!$A$4:$A$28,0)),"(sin catálogo)"))</f>
        <v/>
      </c>
      <c r="Z562" s="24">
        <f>IF($F562="","",IF((IFERROR(INDEX('CAT_CENTROS_COSTO'!$E$4:$E$28,MATCH($F562,'CAT_CENTROS_COSTO'!$A$4:$A$28,0)),""))&lt;&gt;"",IFERROR(INDEX('CAT_CENTROS_COSTO'!$E$4:$E$28,MATCH($F562,'CAT_CENTROS_COSTO'!$A$4:$A$28,0)),""),$Y562))</f>
        <v/>
      </c>
      <c r="AA562" s="24">
        <f>IF($F562="","",IFERROR(INDEX('CAT_CENTROS_COSTO'!$G$4:$G$28,MATCH($F562,'CAT_CENTROS_COSTO'!$A$4:$A$28,0)),"(sin catálogo)"))</f>
        <v/>
      </c>
      <c r="AB562" s="24">
        <f>IF($G562="","",IFERROR(INDEX('CAT_PUESTOS'!$B$4:$B$23,MATCH($G562,'CAT_PUESTOS'!$A$4:$A$23,0)),"(sin catálogo)"))</f>
        <v/>
      </c>
      <c r="AC562" s="24">
        <f>IF($H562="","",IFERROR(INDEX('CAT_ACTIVIDADES'!$B$4:$B$26,MATCH($H562,'CAT_ACTIVIDADES'!$A$4:$A$26,0)),"(sin catálogo)"))</f>
        <v/>
      </c>
      <c r="AD562" s="26">
        <f>IF($J562="","",TODAY()-$J562)</f>
        <v/>
      </c>
      <c r="AE562" s="26">
        <f>IF($J562="","",IF($J562&lt;=TODAY(),COUNTIFS(cal_fechas,"&gt;="&amp;$J562,cal_fechas,"&lt;"&amp;TODAY(),cal_habil,"sí"),-COUNTIFS(cal_fechas,"&gt;="&amp;TODAY(),cal_fechas,"&lt;"&amp;$J562,cal_habil,"sí")))</f>
        <v/>
      </c>
      <c r="AF562" s="24">
        <f>IF($AE562="","",IF($AE562&lt;0,"FUTURO",IF($AE562&gt;p_dias_backlog_max,"BACKLOG","MES CORRIENTE")))</f>
        <v/>
      </c>
      <c r="AG562" s="24">
        <f>IF($AE562="",FALSE,AND($AE562&gt;p_dias_backlog_min,$AE562&lt;=p_dias_backlog_max))</f>
        <v/>
      </c>
      <c r="AH562" s="4" t="n"/>
      <c r="AI562" s="24">
        <f>IF($AH562="","",IF((IFERROR(INDEX('ASIGNACIONES'!$J$4:$J$451,MATCH($O562&amp;"|"&amp;$S562&amp;"|"&amp;$AH562,'ASIGNACIONES'!$N$4:$N$451,0)),""))=0,"",IFERROR(INDEX('ASIGNACIONES'!$J$4:$J$451,MATCH($O562&amp;"|"&amp;$S562&amp;"|"&amp;$AH562,'ASIGNACIONES'!$N$4:$N$451,0)),"")))</f>
        <v/>
      </c>
      <c r="AJ562" s="42">
        <f>IF($AH562="","",SUMIFS('ORDENES'!$M$4:$M$1203,'ORDENES'!$AH$4:$AH$1203,$AH562,'ORDENES'!$O$4:$O$1203,$O562,'ORDENES'!$S$4:$S$1203,$S562))</f>
        <v/>
      </c>
      <c r="AK562" s="42">
        <f>IF($AJ562="","",p_factor_productividad*IFERROR(INDEX('ASIGNACIONES'!$M$4:$M$451,MATCH($O562&amp;"|"&amp;$S562&amp;"|"&amp;$AH562,'ASIGNACIONES'!$N$4:$N$451,0)),0)-$AJ562)</f>
        <v/>
      </c>
      <c r="AL562" s="32">
        <f>IF($A562="","",IFERROR(INDEX('2_IMPORTAR_EJECUCION'!$F$9:$F$1208,MATCH($AU562,'2_IMPORTAR_EJECUCION'!$J$9:$J$1208,0)),0))</f>
        <v/>
      </c>
      <c r="AM562" s="32">
        <f>IF($A562="","",MAX(0,IFERROR(INDEX('2_IMPORTAR_EJECUCION'!$H$9:$H$1208,MATCH($AU562,'2_IMPORTAR_EJECUCION'!$J$9:$J$1208,0)),0)-$AL562))</f>
        <v/>
      </c>
      <c r="AN562" s="32">
        <f>IF($A562="","",$AL562+$AM562)</f>
        <v/>
      </c>
      <c r="AO562" s="24">
        <f>IF($A562="","",IF(OR((IFERROR(INDEX('CAT_ACTIVIDADES'!$D$4:$D$26,MATCH($H562,'CAT_ACTIVIDADES'!$A$4:$A$26,0)),""))=0,(IFERROR(INDEX('CAT_ACTIVIDADES'!$D$4:$D$26,MATCH($H562,'CAT_ACTIVIDADES'!$A$4:$A$26,0)),""))=""),"SIN CLASIFICAR",IFERROR(INDEX('CAT_ACTIVIDADES'!$D$4:$D$26,MATCH($H562,'CAT_ACTIVIDADES'!$A$4:$A$26,0)),"")))</f>
        <v/>
      </c>
      <c r="AP562" s="4" t="n"/>
      <c r="AQ562" s="4" t="n"/>
      <c r="AR562" s="4" t="n"/>
      <c r="AS562" s="24">
        <f>IF($AR562="","",HYPERLINK(p_ruta_base_checklists&amp;$AR562,"abrir"))</f>
        <v/>
      </c>
      <c r="AT562" s="4" t="n"/>
      <c r="AU562" s="24">
        <f>IF($A562="","",$A562&amp;IF($B562="","0010",$B562))</f>
        <v/>
      </c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41" t="n"/>
      <c r="K563" s="5" t="n"/>
      <c r="L563" s="18" t="n"/>
      <c r="M563" s="24">
        <f>IF($A563="","",IFERROR(INDEX('AJUSTES'!$B$4:$B$303,MATCH($AU563,'AJUSTES'!$A$4:$A$303,0)),IF($K563="","",$K563)))</f>
        <v/>
      </c>
      <c r="N563" s="24">
        <f>IF($A563="","",IFERROR(INDEX('CAT_ESTADOS_ERP'!$B$4:$B$22,MATCH(IFERROR(INDEX('2_IMPORTAR_EJECUCION'!$C$9:$C$1208,MATCH($AU563,'2_IMPORTAR_EJECUCION'!$J$9:$J$1208,0)),""),'CAT_ESTADOS_ERP'!$A$4:$A$22,0)),"Pendiente"))</f>
        <v/>
      </c>
      <c r="O563" s="24">
        <f>IF($J563="","",YEAR($J563+4-WEEKDAY($J563,2))&amp;"-S"&amp;TEXT(_xlfn.ISOWEEKNUM($J563),"00"))</f>
        <v/>
      </c>
      <c r="P563" s="24">
        <f>IF($J563="","",YEAR($J563))</f>
        <v/>
      </c>
      <c r="Q563" s="24">
        <f>IF($J563="","",MONTH($J563))</f>
        <v/>
      </c>
      <c r="R563" s="24">
        <f>IF($J563="","",$P563&amp;"-"&amp;TEXT($Q563,"00"))</f>
        <v/>
      </c>
      <c r="S563" s="24">
        <f>IF($J563="","",INDEX(lista_dias,WEEKDAY($J563,2)))</f>
        <v/>
      </c>
      <c r="T563" s="24">
        <f>IF($J563="","",IFERROR(INDEX('CALENDARIO'!$C$15:$C$214,MATCH(TEXT($J563,"yyyy-mm-dd")&amp;"|"&amp;$Y563&amp;"|"&amp;$Z563,'CALENDARIO'!$G$15:$G$214,0)),IFERROR(INDEX('CALENDARIO'!$C$15:$C$214,MATCH(TEXT($J563,"yyyy-mm-dd")&amp;"|"&amp;$Y563&amp;"|",'CALENDARIO'!$G$15:$G$214,0)),IFERROR(INDEX('CALENDARIO'!$C$15:$C$214,MATCH(TEXT($J563,"yyyy-mm-dd")&amp;"||",'CALENDARIO'!$G$15:$G$214,0)),INDEX(patronHabil,WEEKDAY($J563,2))))))</f>
        <v/>
      </c>
      <c r="U563" s="24">
        <f>IF($I563="","",IFERROR(INDEX('CAT_TIPOS_OT'!$C$4:$C$23,MATCH($I563,'CAT_TIPOS_OT'!$A$4:$A$23,0)),"sin_clasificar"))</f>
        <v/>
      </c>
      <c r="V563" s="24">
        <f>IF($I563="","",IF(IFERROR(INDEX('CAT_TIPOS_OT'!$D$4:$D$23,MATCH($I563,'CAT_TIPOS_OT'!$A$4:$A$23,0)),"SIN CLASIFICAR")="","SIN CLASIFICAR",IFERROR(INDEX('CAT_TIPOS_OT'!$D$4:$D$23,MATCH($I563,'CAT_TIPOS_OT'!$A$4:$A$23,0)),"SIN CLASIFICAR")))</f>
        <v/>
      </c>
      <c r="W563" s="24">
        <f>IF($H563="","",IF(IFERROR(INDEX('CAT_ACTIVIDADES'!$F$4:$F$26,MATCH($H563,'CAT_ACTIVIDADES'!$A$4:$A$26,0)),"")=0,"",IFERROR(INDEX('CAT_ACTIVIDADES'!$F$4:$F$26,MATCH($H563,'CAT_ACTIVIDADES'!$A$4:$A$26,0)),"")))</f>
        <v/>
      </c>
      <c r="X563" s="24">
        <f>IF($F563="","",IFERROR(INDEX('CAT_CENTROS_COSTO'!$F$4:$F$28,MATCH($F563,'CAT_CENTROS_COSTO'!$A$4:$A$28,0)),"(sin catálogo)"))</f>
        <v/>
      </c>
      <c r="Y563" s="24">
        <f>IF($F563="","",IFERROR(INDEX('CAT_CENTROS_COSTO'!$D$4:$D$28,MATCH($F563,'CAT_CENTROS_COSTO'!$A$4:$A$28,0)),"(sin catálogo)"))</f>
        <v/>
      </c>
      <c r="Z563" s="24">
        <f>IF($F563="","",IF((IFERROR(INDEX('CAT_CENTROS_COSTO'!$E$4:$E$28,MATCH($F563,'CAT_CENTROS_COSTO'!$A$4:$A$28,0)),""))&lt;&gt;"",IFERROR(INDEX('CAT_CENTROS_COSTO'!$E$4:$E$28,MATCH($F563,'CAT_CENTROS_COSTO'!$A$4:$A$28,0)),""),$Y563))</f>
        <v/>
      </c>
      <c r="AA563" s="24">
        <f>IF($F563="","",IFERROR(INDEX('CAT_CENTROS_COSTO'!$G$4:$G$28,MATCH($F563,'CAT_CENTROS_COSTO'!$A$4:$A$28,0)),"(sin catálogo)"))</f>
        <v/>
      </c>
      <c r="AB563" s="24">
        <f>IF($G563="","",IFERROR(INDEX('CAT_PUESTOS'!$B$4:$B$23,MATCH($G563,'CAT_PUESTOS'!$A$4:$A$23,0)),"(sin catálogo)"))</f>
        <v/>
      </c>
      <c r="AC563" s="24">
        <f>IF($H563="","",IFERROR(INDEX('CAT_ACTIVIDADES'!$B$4:$B$26,MATCH($H563,'CAT_ACTIVIDADES'!$A$4:$A$26,0)),"(sin catálogo)"))</f>
        <v/>
      </c>
      <c r="AD563" s="26">
        <f>IF($J563="","",TODAY()-$J563)</f>
        <v/>
      </c>
      <c r="AE563" s="26">
        <f>IF($J563="","",IF($J563&lt;=TODAY(),COUNTIFS(cal_fechas,"&gt;="&amp;$J563,cal_fechas,"&lt;"&amp;TODAY(),cal_habil,"sí"),-COUNTIFS(cal_fechas,"&gt;="&amp;TODAY(),cal_fechas,"&lt;"&amp;$J563,cal_habil,"sí")))</f>
        <v/>
      </c>
      <c r="AF563" s="24">
        <f>IF($AE563="","",IF($AE563&lt;0,"FUTURO",IF($AE563&gt;p_dias_backlog_max,"BACKLOG","MES CORRIENTE")))</f>
        <v/>
      </c>
      <c r="AG563" s="24">
        <f>IF($AE563="",FALSE,AND($AE563&gt;p_dias_backlog_min,$AE563&lt;=p_dias_backlog_max))</f>
        <v/>
      </c>
      <c r="AH563" s="4" t="n"/>
      <c r="AI563" s="24">
        <f>IF($AH563="","",IF((IFERROR(INDEX('ASIGNACIONES'!$J$4:$J$451,MATCH($O563&amp;"|"&amp;$S563&amp;"|"&amp;$AH563,'ASIGNACIONES'!$N$4:$N$451,0)),""))=0,"",IFERROR(INDEX('ASIGNACIONES'!$J$4:$J$451,MATCH($O563&amp;"|"&amp;$S563&amp;"|"&amp;$AH563,'ASIGNACIONES'!$N$4:$N$451,0)),"")))</f>
        <v/>
      </c>
      <c r="AJ563" s="42">
        <f>IF($AH563="","",SUMIFS('ORDENES'!$M$4:$M$1203,'ORDENES'!$AH$4:$AH$1203,$AH563,'ORDENES'!$O$4:$O$1203,$O563,'ORDENES'!$S$4:$S$1203,$S563))</f>
        <v/>
      </c>
      <c r="AK563" s="42">
        <f>IF($AJ563="","",p_factor_productividad*IFERROR(INDEX('ASIGNACIONES'!$M$4:$M$451,MATCH($O563&amp;"|"&amp;$S563&amp;"|"&amp;$AH563,'ASIGNACIONES'!$N$4:$N$451,0)),0)-$AJ563)</f>
        <v/>
      </c>
      <c r="AL563" s="32">
        <f>IF($A563="","",IFERROR(INDEX('2_IMPORTAR_EJECUCION'!$F$9:$F$1208,MATCH($AU563,'2_IMPORTAR_EJECUCION'!$J$9:$J$1208,0)),0))</f>
        <v/>
      </c>
      <c r="AM563" s="32">
        <f>IF($A563="","",MAX(0,IFERROR(INDEX('2_IMPORTAR_EJECUCION'!$H$9:$H$1208,MATCH($AU563,'2_IMPORTAR_EJECUCION'!$J$9:$J$1208,0)),0)-$AL563))</f>
        <v/>
      </c>
      <c r="AN563" s="32">
        <f>IF($A563="","",$AL563+$AM563)</f>
        <v/>
      </c>
      <c r="AO563" s="24">
        <f>IF($A563="","",IF(OR((IFERROR(INDEX('CAT_ACTIVIDADES'!$D$4:$D$26,MATCH($H563,'CAT_ACTIVIDADES'!$A$4:$A$26,0)),""))=0,(IFERROR(INDEX('CAT_ACTIVIDADES'!$D$4:$D$26,MATCH($H563,'CAT_ACTIVIDADES'!$A$4:$A$26,0)),""))=""),"SIN CLASIFICAR",IFERROR(INDEX('CAT_ACTIVIDADES'!$D$4:$D$26,MATCH($H563,'CAT_ACTIVIDADES'!$A$4:$A$26,0)),"")))</f>
        <v/>
      </c>
      <c r="AP563" s="4" t="n"/>
      <c r="AQ563" s="4" t="n"/>
      <c r="AR563" s="4" t="n"/>
      <c r="AS563" s="24">
        <f>IF($AR563="","",HYPERLINK(p_ruta_base_checklists&amp;$AR563,"abrir"))</f>
        <v/>
      </c>
      <c r="AT563" s="4" t="n"/>
      <c r="AU563" s="24">
        <f>IF($A563="","",$A563&amp;IF($B563="","0010",$B563))</f>
        <v/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41" t="n"/>
      <c r="K564" s="5" t="n"/>
      <c r="L564" s="18" t="n"/>
      <c r="M564" s="24">
        <f>IF($A564="","",IFERROR(INDEX('AJUSTES'!$B$4:$B$303,MATCH($AU564,'AJUSTES'!$A$4:$A$303,0)),IF($K564="","",$K564)))</f>
        <v/>
      </c>
      <c r="N564" s="24">
        <f>IF($A564="","",IFERROR(INDEX('CAT_ESTADOS_ERP'!$B$4:$B$22,MATCH(IFERROR(INDEX('2_IMPORTAR_EJECUCION'!$C$9:$C$1208,MATCH($AU564,'2_IMPORTAR_EJECUCION'!$J$9:$J$1208,0)),""),'CAT_ESTADOS_ERP'!$A$4:$A$22,0)),"Pendiente"))</f>
        <v/>
      </c>
      <c r="O564" s="24">
        <f>IF($J564="","",YEAR($J564+4-WEEKDAY($J564,2))&amp;"-S"&amp;TEXT(_xlfn.ISOWEEKNUM($J564),"00"))</f>
        <v/>
      </c>
      <c r="P564" s="24">
        <f>IF($J564="","",YEAR($J564))</f>
        <v/>
      </c>
      <c r="Q564" s="24">
        <f>IF($J564="","",MONTH($J564))</f>
        <v/>
      </c>
      <c r="R564" s="24">
        <f>IF($J564="","",$P564&amp;"-"&amp;TEXT($Q564,"00"))</f>
        <v/>
      </c>
      <c r="S564" s="24">
        <f>IF($J564="","",INDEX(lista_dias,WEEKDAY($J564,2)))</f>
        <v/>
      </c>
      <c r="T564" s="24">
        <f>IF($J564="","",IFERROR(INDEX('CALENDARIO'!$C$15:$C$214,MATCH(TEXT($J564,"yyyy-mm-dd")&amp;"|"&amp;$Y564&amp;"|"&amp;$Z564,'CALENDARIO'!$G$15:$G$214,0)),IFERROR(INDEX('CALENDARIO'!$C$15:$C$214,MATCH(TEXT($J564,"yyyy-mm-dd")&amp;"|"&amp;$Y564&amp;"|",'CALENDARIO'!$G$15:$G$214,0)),IFERROR(INDEX('CALENDARIO'!$C$15:$C$214,MATCH(TEXT($J564,"yyyy-mm-dd")&amp;"||",'CALENDARIO'!$G$15:$G$214,0)),INDEX(patronHabil,WEEKDAY($J564,2))))))</f>
        <v/>
      </c>
      <c r="U564" s="24">
        <f>IF($I564="","",IFERROR(INDEX('CAT_TIPOS_OT'!$C$4:$C$23,MATCH($I564,'CAT_TIPOS_OT'!$A$4:$A$23,0)),"sin_clasificar"))</f>
        <v/>
      </c>
      <c r="V564" s="24">
        <f>IF($I564="","",IF(IFERROR(INDEX('CAT_TIPOS_OT'!$D$4:$D$23,MATCH($I564,'CAT_TIPOS_OT'!$A$4:$A$23,0)),"SIN CLASIFICAR")="","SIN CLASIFICAR",IFERROR(INDEX('CAT_TIPOS_OT'!$D$4:$D$23,MATCH($I564,'CAT_TIPOS_OT'!$A$4:$A$23,0)),"SIN CLASIFICAR")))</f>
        <v/>
      </c>
      <c r="W564" s="24">
        <f>IF($H564="","",IF(IFERROR(INDEX('CAT_ACTIVIDADES'!$F$4:$F$26,MATCH($H564,'CAT_ACTIVIDADES'!$A$4:$A$26,0)),"")=0,"",IFERROR(INDEX('CAT_ACTIVIDADES'!$F$4:$F$26,MATCH($H564,'CAT_ACTIVIDADES'!$A$4:$A$26,0)),"")))</f>
        <v/>
      </c>
      <c r="X564" s="24">
        <f>IF($F564="","",IFERROR(INDEX('CAT_CENTROS_COSTO'!$F$4:$F$28,MATCH($F564,'CAT_CENTROS_COSTO'!$A$4:$A$28,0)),"(sin catálogo)"))</f>
        <v/>
      </c>
      <c r="Y564" s="24">
        <f>IF($F564="","",IFERROR(INDEX('CAT_CENTROS_COSTO'!$D$4:$D$28,MATCH($F564,'CAT_CENTROS_COSTO'!$A$4:$A$28,0)),"(sin catálogo)"))</f>
        <v/>
      </c>
      <c r="Z564" s="24">
        <f>IF($F564="","",IF((IFERROR(INDEX('CAT_CENTROS_COSTO'!$E$4:$E$28,MATCH($F564,'CAT_CENTROS_COSTO'!$A$4:$A$28,0)),""))&lt;&gt;"",IFERROR(INDEX('CAT_CENTROS_COSTO'!$E$4:$E$28,MATCH($F564,'CAT_CENTROS_COSTO'!$A$4:$A$28,0)),""),$Y564))</f>
        <v/>
      </c>
      <c r="AA564" s="24">
        <f>IF($F564="","",IFERROR(INDEX('CAT_CENTROS_COSTO'!$G$4:$G$28,MATCH($F564,'CAT_CENTROS_COSTO'!$A$4:$A$28,0)),"(sin catálogo)"))</f>
        <v/>
      </c>
      <c r="AB564" s="24">
        <f>IF($G564="","",IFERROR(INDEX('CAT_PUESTOS'!$B$4:$B$23,MATCH($G564,'CAT_PUESTOS'!$A$4:$A$23,0)),"(sin catálogo)"))</f>
        <v/>
      </c>
      <c r="AC564" s="24">
        <f>IF($H564="","",IFERROR(INDEX('CAT_ACTIVIDADES'!$B$4:$B$26,MATCH($H564,'CAT_ACTIVIDADES'!$A$4:$A$26,0)),"(sin catálogo)"))</f>
        <v/>
      </c>
      <c r="AD564" s="26">
        <f>IF($J564="","",TODAY()-$J564)</f>
        <v/>
      </c>
      <c r="AE564" s="26">
        <f>IF($J564="","",IF($J564&lt;=TODAY(),COUNTIFS(cal_fechas,"&gt;="&amp;$J564,cal_fechas,"&lt;"&amp;TODAY(),cal_habil,"sí"),-COUNTIFS(cal_fechas,"&gt;="&amp;TODAY(),cal_fechas,"&lt;"&amp;$J564,cal_habil,"sí")))</f>
        <v/>
      </c>
      <c r="AF564" s="24">
        <f>IF($AE564="","",IF($AE564&lt;0,"FUTURO",IF($AE564&gt;p_dias_backlog_max,"BACKLOG","MES CORRIENTE")))</f>
        <v/>
      </c>
      <c r="AG564" s="24">
        <f>IF($AE564="",FALSE,AND($AE564&gt;p_dias_backlog_min,$AE564&lt;=p_dias_backlog_max))</f>
        <v/>
      </c>
      <c r="AH564" s="4" t="n"/>
      <c r="AI564" s="24">
        <f>IF($AH564="","",IF((IFERROR(INDEX('ASIGNACIONES'!$J$4:$J$451,MATCH($O564&amp;"|"&amp;$S564&amp;"|"&amp;$AH564,'ASIGNACIONES'!$N$4:$N$451,0)),""))=0,"",IFERROR(INDEX('ASIGNACIONES'!$J$4:$J$451,MATCH($O564&amp;"|"&amp;$S564&amp;"|"&amp;$AH564,'ASIGNACIONES'!$N$4:$N$451,0)),"")))</f>
        <v/>
      </c>
      <c r="AJ564" s="42">
        <f>IF($AH564="","",SUMIFS('ORDENES'!$M$4:$M$1203,'ORDENES'!$AH$4:$AH$1203,$AH564,'ORDENES'!$O$4:$O$1203,$O564,'ORDENES'!$S$4:$S$1203,$S564))</f>
        <v/>
      </c>
      <c r="AK564" s="42">
        <f>IF($AJ564="","",p_factor_productividad*IFERROR(INDEX('ASIGNACIONES'!$M$4:$M$451,MATCH($O564&amp;"|"&amp;$S564&amp;"|"&amp;$AH564,'ASIGNACIONES'!$N$4:$N$451,0)),0)-$AJ564)</f>
        <v/>
      </c>
      <c r="AL564" s="32">
        <f>IF($A564="","",IFERROR(INDEX('2_IMPORTAR_EJECUCION'!$F$9:$F$1208,MATCH($AU564,'2_IMPORTAR_EJECUCION'!$J$9:$J$1208,0)),0))</f>
        <v/>
      </c>
      <c r="AM564" s="32">
        <f>IF($A564="","",MAX(0,IFERROR(INDEX('2_IMPORTAR_EJECUCION'!$H$9:$H$1208,MATCH($AU564,'2_IMPORTAR_EJECUCION'!$J$9:$J$1208,0)),0)-$AL564))</f>
        <v/>
      </c>
      <c r="AN564" s="32">
        <f>IF($A564="","",$AL564+$AM564)</f>
        <v/>
      </c>
      <c r="AO564" s="24">
        <f>IF($A564="","",IF(OR((IFERROR(INDEX('CAT_ACTIVIDADES'!$D$4:$D$26,MATCH($H564,'CAT_ACTIVIDADES'!$A$4:$A$26,0)),""))=0,(IFERROR(INDEX('CAT_ACTIVIDADES'!$D$4:$D$26,MATCH($H564,'CAT_ACTIVIDADES'!$A$4:$A$26,0)),""))=""),"SIN CLASIFICAR",IFERROR(INDEX('CAT_ACTIVIDADES'!$D$4:$D$26,MATCH($H564,'CAT_ACTIVIDADES'!$A$4:$A$26,0)),"")))</f>
        <v/>
      </c>
      <c r="AP564" s="4" t="n"/>
      <c r="AQ564" s="4" t="n"/>
      <c r="AR564" s="4" t="n"/>
      <c r="AS564" s="24">
        <f>IF($AR564="","",HYPERLINK(p_ruta_base_checklists&amp;$AR564,"abrir"))</f>
        <v/>
      </c>
      <c r="AT564" s="4" t="n"/>
      <c r="AU564" s="24">
        <f>IF($A564="","",$A564&amp;IF($B564="","0010",$B564))</f>
        <v/>
      </c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41" t="n"/>
      <c r="K565" s="5" t="n"/>
      <c r="L565" s="18" t="n"/>
      <c r="M565" s="24">
        <f>IF($A565="","",IFERROR(INDEX('AJUSTES'!$B$4:$B$303,MATCH($AU565,'AJUSTES'!$A$4:$A$303,0)),IF($K565="","",$K565)))</f>
        <v/>
      </c>
      <c r="N565" s="24">
        <f>IF($A565="","",IFERROR(INDEX('CAT_ESTADOS_ERP'!$B$4:$B$22,MATCH(IFERROR(INDEX('2_IMPORTAR_EJECUCION'!$C$9:$C$1208,MATCH($AU565,'2_IMPORTAR_EJECUCION'!$J$9:$J$1208,0)),""),'CAT_ESTADOS_ERP'!$A$4:$A$22,0)),"Pendiente"))</f>
        <v/>
      </c>
      <c r="O565" s="24">
        <f>IF($J565="","",YEAR($J565+4-WEEKDAY($J565,2))&amp;"-S"&amp;TEXT(_xlfn.ISOWEEKNUM($J565),"00"))</f>
        <v/>
      </c>
      <c r="P565" s="24">
        <f>IF($J565="","",YEAR($J565))</f>
        <v/>
      </c>
      <c r="Q565" s="24">
        <f>IF($J565="","",MONTH($J565))</f>
        <v/>
      </c>
      <c r="R565" s="24">
        <f>IF($J565="","",$P565&amp;"-"&amp;TEXT($Q565,"00"))</f>
        <v/>
      </c>
      <c r="S565" s="24">
        <f>IF($J565="","",INDEX(lista_dias,WEEKDAY($J565,2)))</f>
        <v/>
      </c>
      <c r="T565" s="24">
        <f>IF($J565="","",IFERROR(INDEX('CALENDARIO'!$C$15:$C$214,MATCH(TEXT($J565,"yyyy-mm-dd")&amp;"|"&amp;$Y565&amp;"|"&amp;$Z565,'CALENDARIO'!$G$15:$G$214,0)),IFERROR(INDEX('CALENDARIO'!$C$15:$C$214,MATCH(TEXT($J565,"yyyy-mm-dd")&amp;"|"&amp;$Y565&amp;"|",'CALENDARIO'!$G$15:$G$214,0)),IFERROR(INDEX('CALENDARIO'!$C$15:$C$214,MATCH(TEXT($J565,"yyyy-mm-dd")&amp;"||",'CALENDARIO'!$G$15:$G$214,0)),INDEX(patronHabil,WEEKDAY($J565,2))))))</f>
        <v/>
      </c>
      <c r="U565" s="24">
        <f>IF($I565="","",IFERROR(INDEX('CAT_TIPOS_OT'!$C$4:$C$23,MATCH($I565,'CAT_TIPOS_OT'!$A$4:$A$23,0)),"sin_clasificar"))</f>
        <v/>
      </c>
      <c r="V565" s="24">
        <f>IF($I565="","",IF(IFERROR(INDEX('CAT_TIPOS_OT'!$D$4:$D$23,MATCH($I565,'CAT_TIPOS_OT'!$A$4:$A$23,0)),"SIN CLASIFICAR")="","SIN CLASIFICAR",IFERROR(INDEX('CAT_TIPOS_OT'!$D$4:$D$23,MATCH($I565,'CAT_TIPOS_OT'!$A$4:$A$23,0)),"SIN CLASIFICAR")))</f>
        <v/>
      </c>
      <c r="W565" s="24">
        <f>IF($H565="","",IF(IFERROR(INDEX('CAT_ACTIVIDADES'!$F$4:$F$26,MATCH($H565,'CAT_ACTIVIDADES'!$A$4:$A$26,0)),"")=0,"",IFERROR(INDEX('CAT_ACTIVIDADES'!$F$4:$F$26,MATCH($H565,'CAT_ACTIVIDADES'!$A$4:$A$26,0)),"")))</f>
        <v/>
      </c>
      <c r="X565" s="24">
        <f>IF($F565="","",IFERROR(INDEX('CAT_CENTROS_COSTO'!$F$4:$F$28,MATCH($F565,'CAT_CENTROS_COSTO'!$A$4:$A$28,0)),"(sin catálogo)"))</f>
        <v/>
      </c>
      <c r="Y565" s="24">
        <f>IF($F565="","",IFERROR(INDEX('CAT_CENTROS_COSTO'!$D$4:$D$28,MATCH($F565,'CAT_CENTROS_COSTO'!$A$4:$A$28,0)),"(sin catálogo)"))</f>
        <v/>
      </c>
      <c r="Z565" s="24">
        <f>IF($F565="","",IF((IFERROR(INDEX('CAT_CENTROS_COSTO'!$E$4:$E$28,MATCH($F565,'CAT_CENTROS_COSTO'!$A$4:$A$28,0)),""))&lt;&gt;"",IFERROR(INDEX('CAT_CENTROS_COSTO'!$E$4:$E$28,MATCH($F565,'CAT_CENTROS_COSTO'!$A$4:$A$28,0)),""),$Y565))</f>
        <v/>
      </c>
      <c r="AA565" s="24">
        <f>IF($F565="","",IFERROR(INDEX('CAT_CENTROS_COSTO'!$G$4:$G$28,MATCH($F565,'CAT_CENTROS_COSTO'!$A$4:$A$28,0)),"(sin catálogo)"))</f>
        <v/>
      </c>
      <c r="AB565" s="24">
        <f>IF($G565="","",IFERROR(INDEX('CAT_PUESTOS'!$B$4:$B$23,MATCH($G565,'CAT_PUESTOS'!$A$4:$A$23,0)),"(sin catálogo)"))</f>
        <v/>
      </c>
      <c r="AC565" s="24">
        <f>IF($H565="","",IFERROR(INDEX('CAT_ACTIVIDADES'!$B$4:$B$26,MATCH($H565,'CAT_ACTIVIDADES'!$A$4:$A$26,0)),"(sin catálogo)"))</f>
        <v/>
      </c>
      <c r="AD565" s="26">
        <f>IF($J565="","",TODAY()-$J565)</f>
        <v/>
      </c>
      <c r="AE565" s="26">
        <f>IF($J565="","",IF($J565&lt;=TODAY(),COUNTIFS(cal_fechas,"&gt;="&amp;$J565,cal_fechas,"&lt;"&amp;TODAY(),cal_habil,"sí"),-COUNTIFS(cal_fechas,"&gt;="&amp;TODAY(),cal_fechas,"&lt;"&amp;$J565,cal_habil,"sí")))</f>
        <v/>
      </c>
      <c r="AF565" s="24">
        <f>IF($AE565="","",IF($AE565&lt;0,"FUTURO",IF($AE565&gt;p_dias_backlog_max,"BACKLOG","MES CORRIENTE")))</f>
        <v/>
      </c>
      <c r="AG565" s="24">
        <f>IF($AE565="",FALSE,AND($AE565&gt;p_dias_backlog_min,$AE565&lt;=p_dias_backlog_max))</f>
        <v/>
      </c>
      <c r="AH565" s="4" t="n"/>
      <c r="AI565" s="24">
        <f>IF($AH565="","",IF((IFERROR(INDEX('ASIGNACIONES'!$J$4:$J$451,MATCH($O565&amp;"|"&amp;$S565&amp;"|"&amp;$AH565,'ASIGNACIONES'!$N$4:$N$451,0)),""))=0,"",IFERROR(INDEX('ASIGNACIONES'!$J$4:$J$451,MATCH($O565&amp;"|"&amp;$S565&amp;"|"&amp;$AH565,'ASIGNACIONES'!$N$4:$N$451,0)),"")))</f>
        <v/>
      </c>
      <c r="AJ565" s="42">
        <f>IF($AH565="","",SUMIFS('ORDENES'!$M$4:$M$1203,'ORDENES'!$AH$4:$AH$1203,$AH565,'ORDENES'!$O$4:$O$1203,$O565,'ORDENES'!$S$4:$S$1203,$S565))</f>
        <v/>
      </c>
      <c r="AK565" s="42">
        <f>IF($AJ565="","",p_factor_productividad*IFERROR(INDEX('ASIGNACIONES'!$M$4:$M$451,MATCH($O565&amp;"|"&amp;$S565&amp;"|"&amp;$AH565,'ASIGNACIONES'!$N$4:$N$451,0)),0)-$AJ565)</f>
        <v/>
      </c>
      <c r="AL565" s="32">
        <f>IF($A565="","",IFERROR(INDEX('2_IMPORTAR_EJECUCION'!$F$9:$F$1208,MATCH($AU565,'2_IMPORTAR_EJECUCION'!$J$9:$J$1208,0)),0))</f>
        <v/>
      </c>
      <c r="AM565" s="32">
        <f>IF($A565="","",MAX(0,IFERROR(INDEX('2_IMPORTAR_EJECUCION'!$H$9:$H$1208,MATCH($AU565,'2_IMPORTAR_EJECUCION'!$J$9:$J$1208,0)),0)-$AL565))</f>
        <v/>
      </c>
      <c r="AN565" s="32">
        <f>IF($A565="","",$AL565+$AM565)</f>
        <v/>
      </c>
      <c r="AO565" s="24">
        <f>IF($A565="","",IF(OR((IFERROR(INDEX('CAT_ACTIVIDADES'!$D$4:$D$26,MATCH($H565,'CAT_ACTIVIDADES'!$A$4:$A$26,0)),""))=0,(IFERROR(INDEX('CAT_ACTIVIDADES'!$D$4:$D$26,MATCH($H565,'CAT_ACTIVIDADES'!$A$4:$A$26,0)),""))=""),"SIN CLASIFICAR",IFERROR(INDEX('CAT_ACTIVIDADES'!$D$4:$D$26,MATCH($H565,'CAT_ACTIVIDADES'!$A$4:$A$26,0)),"")))</f>
        <v/>
      </c>
      <c r="AP565" s="4" t="n"/>
      <c r="AQ565" s="4" t="n"/>
      <c r="AR565" s="4" t="n"/>
      <c r="AS565" s="24">
        <f>IF($AR565="","",HYPERLINK(p_ruta_base_checklists&amp;$AR565,"abrir"))</f>
        <v/>
      </c>
      <c r="AT565" s="4" t="n"/>
      <c r="AU565" s="24">
        <f>IF($A565="","",$A565&amp;IF($B565="","0010",$B565))</f>
        <v/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41" t="n"/>
      <c r="K566" s="5" t="n"/>
      <c r="L566" s="18" t="n"/>
      <c r="M566" s="24">
        <f>IF($A566="","",IFERROR(INDEX('AJUSTES'!$B$4:$B$303,MATCH($AU566,'AJUSTES'!$A$4:$A$303,0)),IF($K566="","",$K566)))</f>
        <v/>
      </c>
      <c r="N566" s="24">
        <f>IF($A566="","",IFERROR(INDEX('CAT_ESTADOS_ERP'!$B$4:$B$22,MATCH(IFERROR(INDEX('2_IMPORTAR_EJECUCION'!$C$9:$C$1208,MATCH($AU566,'2_IMPORTAR_EJECUCION'!$J$9:$J$1208,0)),""),'CAT_ESTADOS_ERP'!$A$4:$A$22,0)),"Pendiente"))</f>
        <v/>
      </c>
      <c r="O566" s="24">
        <f>IF($J566="","",YEAR($J566+4-WEEKDAY($J566,2))&amp;"-S"&amp;TEXT(_xlfn.ISOWEEKNUM($J566),"00"))</f>
        <v/>
      </c>
      <c r="P566" s="24">
        <f>IF($J566="","",YEAR($J566))</f>
        <v/>
      </c>
      <c r="Q566" s="24">
        <f>IF($J566="","",MONTH($J566))</f>
        <v/>
      </c>
      <c r="R566" s="24">
        <f>IF($J566="","",$P566&amp;"-"&amp;TEXT($Q566,"00"))</f>
        <v/>
      </c>
      <c r="S566" s="24">
        <f>IF($J566="","",INDEX(lista_dias,WEEKDAY($J566,2)))</f>
        <v/>
      </c>
      <c r="T566" s="24">
        <f>IF($J566="","",IFERROR(INDEX('CALENDARIO'!$C$15:$C$214,MATCH(TEXT($J566,"yyyy-mm-dd")&amp;"|"&amp;$Y566&amp;"|"&amp;$Z566,'CALENDARIO'!$G$15:$G$214,0)),IFERROR(INDEX('CALENDARIO'!$C$15:$C$214,MATCH(TEXT($J566,"yyyy-mm-dd")&amp;"|"&amp;$Y566&amp;"|",'CALENDARIO'!$G$15:$G$214,0)),IFERROR(INDEX('CALENDARIO'!$C$15:$C$214,MATCH(TEXT($J566,"yyyy-mm-dd")&amp;"||",'CALENDARIO'!$G$15:$G$214,0)),INDEX(patronHabil,WEEKDAY($J566,2))))))</f>
        <v/>
      </c>
      <c r="U566" s="24">
        <f>IF($I566="","",IFERROR(INDEX('CAT_TIPOS_OT'!$C$4:$C$23,MATCH($I566,'CAT_TIPOS_OT'!$A$4:$A$23,0)),"sin_clasificar"))</f>
        <v/>
      </c>
      <c r="V566" s="24">
        <f>IF($I566="","",IF(IFERROR(INDEX('CAT_TIPOS_OT'!$D$4:$D$23,MATCH($I566,'CAT_TIPOS_OT'!$A$4:$A$23,0)),"SIN CLASIFICAR")="","SIN CLASIFICAR",IFERROR(INDEX('CAT_TIPOS_OT'!$D$4:$D$23,MATCH($I566,'CAT_TIPOS_OT'!$A$4:$A$23,0)),"SIN CLASIFICAR")))</f>
        <v/>
      </c>
      <c r="W566" s="24">
        <f>IF($H566="","",IF(IFERROR(INDEX('CAT_ACTIVIDADES'!$F$4:$F$26,MATCH($H566,'CAT_ACTIVIDADES'!$A$4:$A$26,0)),"")=0,"",IFERROR(INDEX('CAT_ACTIVIDADES'!$F$4:$F$26,MATCH($H566,'CAT_ACTIVIDADES'!$A$4:$A$26,0)),"")))</f>
        <v/>
      </c>
      <c r="X566" s="24">
        <f>IF($F566="","",IFERROR(INDEX('CAT_CENTROS_COSTO'!$F$4:$F$28,MATCH($F566,'CAT_CENTROS_COSTO'!$A$4:$A$28,0)),"(sin catálogo)"))</f>
        <v/>
      </c>
      <c r="Y566" s="24">
        <f>IF($F566="","",IFERROR(INDEX('CAT_CENTROS_COSTO'!$D$4:$D$28,MATCH($F566,'CAT_CENTROS_COSTO'!$A$4:$A$28,0)),"(sin catálogo)"))</f>
        <v/>
      </c>
      <c r="Z566" s="24">
        <f>IF($F566="","",IF((IFERROR(INDEX('CAT_CENTROS_COSTO'!$E$4:$E$28,MATCH($F566,'CAT_CENTROS_COSTO'!$A$4:$A$28,0)),""))&lt;&gt;"",IFERROR(INDEX('CAT_CENTROS_COSTO'!$E$4:$E$28,MATCH($F566,'CAT_CENTROS_COSTO'!$A$4:$A$28,0)),""),$Y566))</f>
        <v/>
      </c>
      <c r="AA566" s="24">
        <f>IF($F566="","",IFERROR(INDEX('CAT_CENTROS_COSTO'!$G$4:$G$28,MATCH($F566,'CAT_CENTROS_COSTO'!$A$4:$A$28,0)),"(sin catálogo)"))</f>
        <v/>
      </c>
      <c r="AB566" s="24">
        <f>IF($G566="","",IFERROR(INDEX('CAT_PUESTOS'!$B$4:$B$23,MATCH($G566,'CAT_PUESTOS'!$A$4:$A$23,0)),"(sin catálogo)"))</f>
        <v/>
      </c>
      <c r="AC566" s="24">
        <f>IF($H566="","",IFERROR(INDEX('CAT_ACTIVIDADES'!$B$4:$B$26,MATCH($H566,'CAT_ACTIVIDADES'!$A$4:$A$26,0)),"(sin catálogo)"))</f>
        <v/>
      </c>
      <c r="AD566" s="26">
        <f>IF($J566="","",TODAY()-$J566)</f>
        <v/>
      </c>
      <c r="AE566" s="26">
        <f>IF($J566="","",IF($J566&lt;=TODAY(),COUNTIFS(cal_fechas,"&gt;="&amp;$J566,cal_fechas,"&lt;"&amp;TODAY(),cal_habil,"sí"),-COUNTIFS(cal_fechas,"&gt;="&amp;TODAY(),cal_fechas,"&lt;"&amp;$J566,cal_habil,"sí")))</f>
        <v/>
      </c>
      <c r="AF566" s="24">
        <f>IF($AE566="","",IF($AE566&lt;0,"FUTURO",IF($AE566&gt;p_dias_backlog_max,"BACKLOG","MES CORRIENTE")))</f>
        <v/>
      </c>
      <c r="AG566" s="24">
        <f>IF($AE566="",FALSE,AND($AE566&gt;p_dias_backlog_min,$AE566&lt;=p_dias_backlog_max))</f>
        <v/>
      </c>
      <c r="AH566" s="4" t="n"/>
      <c r="AI566" s="24">
        <f>IF($AH566="","",IF((IFERROR(INDEX('ASIGNACIONES'!$J$4:$J$451,MATCH($O566&amp;"|"&amp;$S566&amp;"|"&amp;$AH566,'ASIGNACIONES'!$N$4:$N$451,0)),""))=0,"",IFERROR(INDEX('ASIGNACIONES'!$J$4:$J$451,MATCH($O566&amp;"|"&amp;$S566&amp;"|"&amp;$AH566,'ASIGNACIONES'!$N$4:$N$451,0)),"")))</f>
        <v/>
      </c>
      <c r="AJ566" s="42">
        <f>IF($AH566="","",SUMIFS('ORDENES'!$M$4:$M$1203,'ORDENES'!$AH$4:$AH$1203,$AH566,'ORDENES'!$O$4:$O$1203,$O566,'ORDENES'!$S$4:$S$1203,$S566))</f>
        <v/>
      </c>
      <c r="AK566" s="42">
        <f>IF($AJ566="","",p_factor_productividad*IFERROR(INDEX('ASIGNACIONES'!$M$4:$M$451,MATCH($O566&amp;"|"&amp;$S566&amp;"|"&amp;$AH566,'ASIGNACIONES'!$N$4:$N$451,0)),0)-$AJ566)</f>
        <v/>
      </c>
      <c r="AL566" s="32">
        <f>IF($A566="","",IFERROR(INDEX('2_IMPORTAR_EJECUCION'!$F$9:$F$1208,MATCH($AU566,'2_IMPORTAR_EJECUCION'!$J$9:$J$1208,0)),0))</f>
        <v/>
      </c>
      <c r="AM566" s="32">
        <f>IF($A566="","",MAX(0,IFERROR(INDEX('2_IMPORTAR_EJECUCION'!$H$9:$H$1208,MATCH($AU566,'2_IMPORTAR_EJECUCION'!$J$9:$J$1208,0)),0)-$AL566))</f>
        <v/>
      </c>
      <c r="AN566" s="32">
        <f>IF($A566="","",$AL566+$AM566)</f>
        <v/>
      </c>
      <c r="AO566" s="24">
        <f>IF($A566="","",IF(OR((IFERROR(INDEX('CAT_ACTIVIDADES'!$D$4:$D$26,MATCH($H566,'CAT_ACTIVIDADES'!$A$4:$A$26,0)),""))=0,(IFERROR(INDEX('CAT_ACTIVIDADES'!$D$4:$D$26,MATCH($H566,'CAT_ACTIVIDADES'!$A$4:$A$26,0)),""))=""),"SIN CLASIFICAR",IFERROR(INDEX('CAT_ACTIVIDADES'!$D$4:$D$26,MATCH($H566,'CAT_ACTIVIDADES'!$A$4:$A$26,0)),"")))</f>
        <v/>
      </c>
      <c r="AP566" s="4" t="n"/>
      <c r="AQ566" s="4" t="n"/>
      <c r="AR566" s="4" t="n"/>
      <c r="AS566" s="24">
        <f>IF($AR566="","",HYPERLINK(p_ruta_base_checklists&amp;$AR566,"abrir"))</f>
        <v/>
      </c>
      <c r="AT566" s="4" t="n"/>
      <c r="AU566" s="24">
        <f>IF($A566="","",$A566&amp;IF($B566="","0010",$B566))</f>
        <v/>
      </c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41" t="n"/>
      <c r="K567" s="5" t="n"/>
      <c r="L567" s="18" t="n"/>
      <c r="M567" s="24">
        <f>IF($A567="","",IFERROR(INDEX('AJUSTES'!$B$4:$B$303,MATCH($AU567,'AJUSTES'!$A$4:$A$303,0)),IF($K567="","",$K567)))</f>
        <v/>
      </c>
      <c r="N567" s="24">
        <f>IF($A567="","",IFERROR(INDEX('CAT_ESTADOS_ERP'!$B$4:$B$22,MATCH(IFERROR(INDEX('2_IMPORTAR_EJECUCION'!$C$9:$C$1208,MATCH($AU567,'2_IMPORTAR_EJECUCION'!$J$9:$J$1208,0)),""),'CAT_ESTADOS_ERP'!$A$4:$A$22,0)),"Pendiente"))</f>
        <v/>
      </c>
      <c r="O567" s="24">
        <f>IF($J567="","",YEAR($J567+4-WEEKDAY($J567,2))&amp;"-S"&amp;TEXT(_xlfn.ISOWEEKNUM($J567),"00"))</f>
        <v/>
      </c>
      <c r="P567" s="24">
        <f>IF($J567="","",YEAR($J567))</f>
        <v/>
      </c>
      <c r="Q567" s="24">
        <f>IF($J567="","",MONTH($J567))</f>
        <v/>
      </c>
      <c r="R567" s="24">
        <f>IF($J567="","",$P567&amp;"-"&amp;TEXT($Q567,"00"))</f>
        <v/>
      </c>
      <c r="S567" s="24">
        <f>IF($J567="","",INDEX(lista_dias,WEEKDAY($J567,2)))</f>
        <v/>
      </c>
      <c r="T567" s="24">
        <f>IF($J567="","",IFERROR(INDEX('CALENDARIO'!$C$15:$C$214,MATCH(TEXT($J567,"yyyy-mm-dd")&amp;"|"&amp;$Y567&amp;"|"&amp;$Z567,'CALENDARIO'!$G$15:$G$214,0)),IFERROR(INDEX('CALENDARIO'!$C$15:$C$214,MATCH(TEXT($J567,"yyyy-mm-dd")&amp;"|"&amp;$Y567&amp;"|",'CALENDARIO'!$G$15:$G$214,0)),IFERROR(INDEX('CALENDARIO'!$C$15:$C$214,MATCH(TEXT($J567,"yyyy-mm-dd")&amp;"||",'CALENDARIO'!$G$15:$G$214,0)),INDEX(patronHabil,WEEKDAY($J567,2))))))</f>
        <v/>
      </c>
      <c r="U567" s="24">
        <f>IF($I567="","",IFERROR(INDEX('CAT_TIPOS_OT'!$C$4:$C$23,MATCH($I567,'CAT_TIPOS_OT'!$A$4:$A$23,0)),"sin_clasificar"))</f>
        <v/>
      </c>
      <c r="V567" s="24">
        <f>IF($I567="","",IF(IFERROR(INDEX('CAT_TIPOS_OT'!$D$4:$D$23,MATCH($I567,'CAT_TIPOS_OT'!$A$4:$A$23,0)),"SIN CLASIFICAR")="","SIN CLASIFICAR",IFERROR(INDEX('CAT_TIPOS_OT'!$D$4:$D$23,MATCH($I567,'CAT_TIPOS_OT'!$A$4:$A$23,0)),"SIN CLASIFICAR")))</f>
        <v/>
      </c>
      <c r="W567" s="24">
        <f>IF($H567="","",IF(IFERROR(INDEX('CAT_ACTIVIDADES'!$F$4:$F$26,MATCH($H567,'CAT_ACTIVIDADES'!$A$4:$A$26,0)),"")=0,"",IFERROR(INDEX('CAT_ACTIVIDADES'!$F$4:$F$26,MATCH($H567,'CAT_ACTIVIDADES'!$A$4:$A$26,0)),"")))</f>
        <v/>
      </c>
      <c r="X567" s="24">
        <f>IF($F567="","",IFERROR(INDEX('CAT_CENTROS_COSTO'!$F$4:$F$28,MATCH($F567,'CAT_CENTROS_COSTO'!$A$4:$A$28,0)),"(sin catálogo)"))</f>
        <v/>
      </c>
      <c r="Y567" s="24">
        <f>IF($F567="","",IFERROR(INDEX('CAT_CENTROS_COSTO'!$D$4:$D$28,MATCH($F567,'CAT_CENTROS_COSTO'!$A$4:$A$28,0)),"(sin catálogo)"))</f>
        <v/>
      </c>
      <c r="Z567" s="24">
        <f>IF($F567="","",IF((IFERROR(INDEX('CAT_CENTROS_COSTO'!$E$4:$E$28,MATCH($F567,'CAT_CENTROS_COSTO'!$A$4:$A$28,0)),""))&lt;&gt;"",IFERROR(INDEX('CAT_CENTROS_COSTO'!$E$4:$E$28,MATCH($F567,'CAT_CENTROS_COSTO'!$A$4:$A$28,0)),""),$Y567))</f>
        <v/>
      </c>
      <c r="AA567" s="24">
        <f>IF($F567="","",IFERROR(INDEX('CAT_CENTROS_COSTO'!$G$4:$G$28,MATCH($F567,'CAT_CENTROS_COSTO'!$A$4:$A$28,0)),"(sin catálogo)"))</f>
        <v/>
      </c>
      <c r="AB567" s="24">
        <f>IF($G567="","",IFERROR(INDEX('CAT_PUESTOS'!$B$4:$B$23,MATCH($G567,'CAT_PUESTOS'!$A$4:$A$23,0)),"(sin catálogo)"))</f>
        <v/>
      </c>
      <c r="AC567" s="24">
        <f>IF($H567="","",IFERROR(INDEX('CAT_ACTIVIDADES'!$B$4:$B$26,MATCH($H567,'CAT_ACTIVIDADES'!$A$4:$A$26,0)),"(sin catálogo)"))</f>
        <v/>
      </c>
      <c r="AD567" s="26">
        <f>IF($J567="","",TODAY()-$J567)</f>
        <v/>
      </c>
      <c r="AE567" s="26">
        <f>IF($J567="","",IF($J567&lt;=TODAY(),COUNTIFS(cal_fechas,"&gt;="&amp;$J567,cal_fechas,"&lt;"&amp;TODAY(),cal_habil,"sí"),-COUNTIFS(cal_fechas,"&gt;="&amp;TODAY(),cal_fechas,"&lt;"&amp;$J567,cal_habil,"sí")))</f>
        <v/>
      </c>
      <c r="AF567" s="24">
        <f>IF($AE567="","",IF($AE567&lt;0,"FUTURO",IF($AE567&gt;p_dias_backlog_max,"BACKLOG","MES CORRIENTE")))</f>
        <v/>
      </c>
      <c r="AG567" s="24">
        <f>IF($AE567="",FALSE,AND($AE567&gt;p_dias_backlog_min,$AE567&lt;=p_dias_backlog_max))</f>
        <v/>
      </c>
      <c r="AH567" s="4" t="n"/>
      <c r="AI567" s="24">
        <f>IF($AH567="","",IF((IFERROR(INDEX('ASIGNACIONES'!$J$4:$J$451,MATCH($O567&amp;"|"&amp;$S567&amp;"|"&amp;$AH567,'ASIGNACIONES'!$N$4:$N$451,0)),""))=0,"",IFERROR(INDEX('ASIGNACIONES'!$J$4:$J$451,MATCH($O567&amp;"|"&amp;$S567&amp;"|"&amp;$AH567,'ASIGNACIONES'!$N$4:$N$451,0)),"")))</f>
        <v/>
      </c>
      <c r="AJ567" s="42">
        <f>IF($AH567="","",SUMIFS('ORDENES'!$M$4:$M$1203,'ORDENES'!$AH$4:$AH$1203,$AH567,'ORDENES'!$O$4:$O$1203,$O567,'ORDENES'!$S$4:$S$1203,$S567))</f>
        <v/>
      </c>
      <c r="AK567" s="42">
        <f>IF($AJ567="","",p_factor_productividad*IFERROR(INDEX('ASIGNACIONES'!$M$4:$M$451,MATCH($O567&amp;"|"&amp;$S567&amp;"|"&amp;$AH567,'ASIGNACIONES'!$N$4:$N$451,0)),0)-$AJ567)</f>
        <v/>
      </c>
      <c r="AL567" s="32">
        <f>IF($A567="","",IFERROR(INDEX('2_IMPORTAR_EJECUCION'!$F$9:$F$1208,MATCH($AU567,'2_IMPORTAR_EJECUCION'!$J$9:$J$1208,0)),0))</f>
        <v/>
      </c>
      <c r="AM567" s="32">
        <f>IF($A567="","",MAX(0,IFERROR(INDEX('2_IMPORTAR_EJECUCION'!$H$9:$H$1208,MATCH($AU567,'2_IMPORTAR_EJECUCION'!$J$9:$J$1208,0)),0)-$AL567))</f>
        <v/>
      </c>
      <c r="AN567" s="32">
        <f>IF($A567="","",$AL567+$AM567)</f>
        <v/>
      </c>
      <c r="AO567" s="24">
        <f>IF($A567="","",IF(OR((IFERROR(INDEX('CAT_ACTIVIDADES'!$D$4:$D$26,MATCH($H567,'CAT_ACTIVIDADES'!$A$4:$A$26,0)),""))=0,(IFERROR(INDEX('CAT_ACTIVIDADES'!$D$4:$D$26,MATCH($H567,'CAT_ACTIVIDADES'!$A$4:$A$26,0)),""))=""),"SIN CLASIFICAR",IFERROR(INDEX('CAT_ACTIVIDADES'!$D$4:$D$26,MATCH($H567,'CAT_ACTIVIDADES'!$A$4:$A$26,0)),"")))</f>
        <v/>
      </c>
      <c r="AP567" s="4" t="n"/>
      <c r="AQ567" s="4" t="n"/>
      <c r="AR567" s="4" t="n"/>
      <c r="AS567" s="24">
        <f>IF($AR567="","",HYPERLINK(p_ruta_base_checklists&amp;$AR567,"abrir"))</f>
        <v/>
      </c>
      <c r="AT567" s="4" t="n"/>
      <c r="AU567" s="24">
        <f>IF($A567="","",$A567&amp;IF($B567="","0010",$B567))</f>
        <v/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41" t="n"/>
      <c r="K568" s="5" t="n"/>
      <c r="L568" s="18" t="n"/>
      <c r="M568" s="24">
        <f>IF($A568="","",IFERROR(INDEX('AJUSTES'!$B$4:$B$303,MATCH($AU568,'AJUSTES'!$A$4:$A$303,0)),IF($K568="","",$K568)))</f>
        <v/>
      </c>
      <c r="N568" s="24">
        <f>IF($A568="","",IFERROR(INDEX('CAT_ESTADOS_ERP'!$B$4:$B$22,MATCH(IFERROR(INDEX('2_IMPORTAR_EJECUCION'!$C$9:$C$1208,MATCH($AU568,'2_IMPORTAR_EJECUCION'!$J$9:$J$1208,0)),""),'CAT_ESTADOS_ERP'!$A$4:$A$22,0)),"Pendiente"))</f>
        <v/>
      </c>
      <c r="O568" s="24">
        <f>IF($J568="","",YEAR($J568+4-WEEKDAY($J568,2))&amp;"-S"&amp;TEXT(_xlfn.ISOWEEKNUM($J568),"00"))</f>
        <v/>
      </c>
      <c r="P568" s="24">
        <f>IF($J568="","",YEAR($J568))</f>
        <v/>
      </c>
      <c r="Q568" s="24">
        <f>IF($J568="","",MONTH($J568))</f>
        <v/>
      </c>
      <c r="R568" s="24">
        <f>IF($J568="","",$P568&amp;"-"&amp;TEXT($Q568,"00"))</f>
        <v/>
      </c>
      <c r="S568" s="24">
        <f>IF($J568="","",INDEX(lista_dias,WEEKDAY($J568,2)))</f>
        <v/>
      </c>
      <c r="T568" s="24">
        <f>IF($J568="","",IFERROR(INDEX('CALENDARIO'!$C$15:$C$214,MATCH(TEXT($J568,"yyyy-mm-dd")&amp;"|"&amp;$Y568&amp;"|"&amp;$Z568,'CALENDARIO'!$G$15:$G$214,0)),IFERROR(INDEX('CALENDARIO'!$C$15:$C$214,MATCH(TEXT($J568,"yyyy-mm-dd")&amp;"|"&amp;$Y568&amp;"|",'CALENDARIO'!$G$15:$G$214,0)),IFERROR(INDEX('CALENDARIO'!$C$15:$C$214,MATCH(TEXT($J568,"yyyy-mm-dd")&amp;"||",'CALENDARIO'!$G$15:$G$214,0)),INDEX(patronHabil,WEEKDAY($J568,2))))))</f>
        <v/>
      </c>
      <c r="U568" s="24">
        <f>IF($I568="","",IFERROR(INDEX('CAT_TIPOS_OT'!$C$4:$C$23,MATCH($I568,'CAT_TIPOS_OT'!$A$4:$A$23,0)),"sin_clasificar"))</f>
        <v/>
      </c>
      <c r="V568" s="24">
        <f>IF($I568="","",IF(IFERROR(INDEX('CAT_TIPOS_OT'!$D$4:$D$23,MATCH($I568,'CAT_TIPOS_OT'!$A$4:$A$23,0)),"SIN CLASIFICAR")="","SIN CLASIFICAR",IFERROR(INDEX('CAT_TIPOS_OT'!$D$4:$D$23,MATCH($I568,'CAT_TIPOS_OT'!$A$4:$A$23,0)),"SIN CLASIFICAR")))</f>
        <v/>
      </c>
      <c r="W568" s="24">
        <f>IF($H568="","",IF(IFERROR(INDEX('CAT_ACTIVIDADES'!$F$4:$F$26,MATCH($H568,'CAT_ACTIVIDADES'!$A$4:$A$26,0)),"")=0,"",IFERROR(INDEX('CAT_ACTIVIDADES'!$F$4:$F$26,MATCH($H568,'CAT_ACTIVIDADES'!$A$4:$A$26,0)),"")))</f>
        <v/>
      </c>
      <c r="X568" s="24">
        <f>IF($F568="","",IFERROR(INDEX('CAT_CENTROS_COSTO'!$F$4:$F$28,MATCH($F568,'CAT_CENTROS_COSTO'!$A$4:$A$28,0)),"(sin catálogo)"))</f>
        <v/>
      </c>
      <c r="Y568" s="24">
        <f>IF($F568="","",IFERROR(INDEX('CAT_CENTROS_COSTO'!$D$4:$D$28,MATCH($F568,'CAT_CENTROS_COSTO'!$A$4:$A$28,0)),"(sin catálogo)"))</f>
        <v/>
      </c>
      <c r="Z568" s="24">
        <f>IF($F568="","",IF((IFERROR(INDEX('CAT_CENTROS_COSTO'!$E$4:$E$28,MATCH($F568,'CAT_CENTROS_COSTO'!$A$4:$A$28,0)),""))&lt;&gt;"",IFERROR(INDEX('CAT_CENTROS_COSTO'!$E$4:$E$28,MATCH($F568,'CAT_CENTROS_COSTO'!$A$4:$A$28,0)),""),$Y568))</f>
        <v/>
      </c>
      <c r="AA568" s="24">
        <f>IF($F568="","",IFERROR(INDEX('CAT_CENTROS_COSTO'!$G$4:$G$28,MATCH($F568,'CAT_CENTROS_COSTO'!$A$4:$A$28,0)),"(sin catálogo)"))</f>
        <v/>
      </c>
      <c r="AB568" s="24">
        <f>IF($G568="","",IFERROR(INDEX('CAT_PUESTOS'!$B$4:$B$23,MATCH($G568,'CAT_PUESTOS'!$A$4:$A$23,0)),"(sin catálogo)"))</f>
        <v/>
      </c>
      <c r="AC568" s="24">
        <f>IF($H568="","",IFERROR(INDEX('CAT_ACTIVIDADES'!$B$4:$B$26,MATCH($H568,'CAT_ACTIVIDADES'!$A$4:$A$26,0)),"(sin catálogo)"))</f>
        <v/>
      </c>
      <c r="AD568" s="26">
        <f>IF($J568="","",TODAY()-$J568)</f>
        <v/>
      </c>
      <c r="AE568" s="26">
        <f>IF($J568="","",IF($J568&lt;=TODAY(),COUNTIFS(cal_fechas,"&gt;="&amp;$J568,cal_fechas,"&lt;"&amp;TODAY(),cal_habil,"sí"),-COUNTIFS(cal_fechas,"&gt;="&amp;TODAY(),cal_fechas,"&lt;"&amp;$J568,cal_habil,"sí")))</f>
        <v/>
      </c>
      <c r="AF568" s="24">
        <f>IF($AE568="","",IF($AE568&lt;0,"FUTURO",IF($AE568&gt;p_dias_backlog_max,"BACKLOG","MES CORRIENTE")))</f>
        <v/>
      </c>
      <c r="AG568" s="24">
        <f>IF($AE568="",FALSE,AND($AE568&gt;p_dias_backlog_min,$AE568&lt;=p_dias_backlog_max))</f>
        <v/>
      </c>
      <c r="AH568" s="4" t="n"/>
      <c r="AI568" s="24">
        <f>IF($AH568="","",IF((IFERROR(INDEX('ASIGNACIONES'!$J$4:$J$451,MATCH($O568&amp;"|"&amp;$S568&amp;"|"&amp;$AH568,'ASIGNACIONES'!$N$4:$N$451,0)),""))=0,"",IFERROR(INDEX('ASIGNACIONES'!$J$4:$J$451,MATCH($O568&amp;"|"&amp;$S568&amp;"|"&amp;$AH568,'ASIGNACIONES'!$N$4:$N$451,0)),"")))</f>
        <v/>
      </c>
      <c r="AJ568" s="42">
        <f>IF($AH568="","",SUMIFS('ORDENES'!$M$4:$M$1203,'ORDENES'!$AH$4:$AH$1203,$AH568,'ORDENES'!$O$4:$O$1203,$O568,'ORDENES'!$S$4:$S$1203,$S568))</f>
        <v/>
      </c>
      <c r="AK568" s="42">
        <f>IF($AJ568="","",p_factor_productividad*IFERROR(INDEX('ASIGNACIONES'!$M$4:$M$451,MATCH($O568&amp;"|"&amp;$S568&amp;"|"&amp;$AH568,'ASIGNACIONES'!$N$4:$N$451,0)),0)-$AJ568)</f>
        <v/>
      </c>
      <c r="AL568" s="32">
        <f>IF($A568="","",IFERROR(INDEX('2_IMPORTAR_EJECUCION'!$F$9:$F$1208,MATCH($AU568,'2_IMPORTAR_EJECUCION'!$J$9:$J$1208,0)),0))</f>
        <v/>
      </c>
      <c r="AM568" s="32">
        <f>IF($A568="","",MAX(0,IFERROR(INDEX('2_IMPORTAR_EJECUCION'!$H$9:$H$1208,MATCH($AU568,'2_IMPORTAR_EJECUCION'!$J$9:$J$1208,0)),0)-$AL568))</f>
        <v/>
      </c>
      <c r="AN568" s="32">
        <f>IF($A568="","",$AL568+$AM568)</f>
        <v/>
      </c>
      <c r="AO568" s="24">
        <f>IF($A568="","",IF(OR((IFERROR(INDEX('CAT_ACTIVIDADES'!$D$4:$D$26,MATCH($H568,'CAT_ACTIVIDADES'!$A$4:$A$26,0)),""))=0,(IFERROR(INDEX('CAT_ACTIVIDADES'!$D$4:$D$26,MATCH($H568,'CAT_ACTIVIDADES'!$A$4:$A$26,0)),""))=""),"SIN CLASIFICAR",IFERROR(INDEX('CAT_ACTIVIDADES'!$D$4:$D$26,MATCH($H568,'CAT_ACTIVIDADES'!$A$4:$A$26,0)),"")))</f>
        <v/>
      </c>
      <c r="AP568" s="4" t="n"/>
      <c r="AQ568" s="4" t="n"/>
      <c r="AR568" s="4" t="n"/>
      <c r="AS568" s="24">
        <f>IF($AR568="","",HYPERLINK(p_ruta_base_checklists&amp;$AR568,"abrir"))</f>
        <v/>
      </c>
      <c r="AT568" s="4" t="n"/>
      <c r="AU568" s="24">
        <f>IF($A568="","",$A568&amp;IF($B568="","0010",$B568))</f>
        <v/>
      </c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41" t="n"/>
      <c r="K569" s="5" t="n"/>
      <c r="L569" s="18" t="n"/>
      <c r="M569" s="24">
        <f>IF($A569="","",IFERROR(INDEX('AJUSTES'!$B$4:$B$303,MATCH($AU569,'AJUSTES'!$A$4:$A$303,0)),IF($K569="","",$K569)))</f>
        <v/>
      </c>
      <c r="N569" s="24">
        <f>IF($A569="","",IFERROR(INDEX('CAT_ESTADOS_ERP'!$B$4:$B$22,MATCH(IFERROR(INDEX('2_IMPORTAR_EJECUCION'!$C$9:$C$1208,MATCH($AU569,'2_IMPORTAR_EJECUCION'!$J$9:$J$1208,0)),""),'CAT_ESTADOS_ERP'!$A$4:$A$22,0)),"Pendiente"))</f>
        <v/>
      </c>
      <c r="O569" s="24">
        <f>IF($J569="","",YEAR($J569+4-WEEKDAY($J569,2))&amp;"-S"&amp;TEXT(_xlfn.ISOWEEKNUM($J569),"00"))</f>
        <v/>
      </c>
      <c r="P569" s="24">
        <f>IF($J569="","",YEAR($J569))</f>
        <v/>
      </c>
      <c r="Q569" s="24">
        <f>IF($J569="","",MONTH($J569))</f>
        <v/>
      </c>
      <c r="R569" s="24">
        <f>IF($J569="","",$P569&amp;"-"&amp;TEXT($Q569,"00"))</f>
        <v/>
      </c>
      <c r="S569" s="24">
        <f>IF($J569="","",INDEX(lista_dias,WEEKDAY($J569,2)))</f>
        <v/>
      </c>
      <c r="T569" s="24">
        <f>IF($J569="","",IFERROR(INDEX('CALENDARIO'!$C$15:$C$214,MATCH(TEXT($J569,"yyyy-mm-dd")&amp;"|"&amp;$Y569&amp;"|"&amp;$Z569,'CALENDARIO'!$G$15:$G$214,0)),IFERROR(INDEX('CALENDARIO'!$C$15:$C$214,MATCH(TEXT($J569,"yyyy-mm-dd")&amp;"|"&amp;$Y569&amp;"|",'CALENDARIO'!$G$15:$G$214,0)),IFERROR(INDEX('CALENDARIO'!$C$15:$C$214,MATCH(TEXT($J569,"yyyy-mm-dd")&amp;"||",'CALENDARIO'!$G$15:$G$214,0)),INDEX(patronHabil,WEEKDAY($J569,2))))))</f>
        <v/>
      </c>
      <c r="U569" s="24">
        <f>IF($I569="","",IFERROR(INDEX('CAT_TIPOS_OT'!$C$4:$C$23,MATCH($I569,'CAT_TIPOS_OT'!$A$4:$A$23,0)),"sin_clasificar"))</f>
        <v/>
      </c>
      <c r="V569" s="24">
        <f>IF($I569="","",IF(IFERROR(INDEX('CAT_TIPOS_OT'!$D$4:$D$23,MATCH($I569,'CAT_TIPOS_OT'!$A$4:$A$23,0)),"SIN CLASIFICAR")="","SIN CLASIFICAR",IFERROR(INDEX('CAT_TIPOS_OT'!$D$4:$D$23,MATCH($I569,'CAT_TIPOS_OT'!$A$4:$A$23,0)),"SIN CLASIFICAR")))</f>
        <v/>
      </c>
      <c r="W569" s="24">
        <f>IF($H569="","",IF(IFERROR(INDEX('CAT_ACTIVIDADES'!$F$4:$F$26,MATCH($H569,'CAT_ACTIVIDADES'!$A$4:$A$26,0)),"")=0,"",IFERROR(INDEX('CAT_ACTIVIDADES'!$F$4:$F$26,MATCH($H569,'CAT_ACTIVIDADES'!$A$4:$A$26,0)),"")))</f>
        <v/>
      </c>
      <c r="X569" s="24">
        <f>IF($F569="","",IFERROR(INDEX('CAT_CENTROS_COSTO'!$F$4:$F$28,MATCH($F569,'CAT_CENTROS_COSTO'!$A$4:$A$28,0)),"(sin catálogo)"))</f>
        <v/>
      </c>
      <c r="Y569" s="24">
        <f>IF($F569="","",IFERROR(INDEX('CAT_CENTROS_COSTO'!$D$4:$D$28,MATCH($F569,'CAT_CENTROS_COSTO'!$A$4:$A$28,0)),"(sin catálogo)"))</f>
        <v/>
      </c>
      <c r="Z569" s="24">
        <f>IF($F569="","",IF((IFERROR(INDEX('CAT_CENTROS_COSTO'!$E$4:$E$28,MATCH($F569,'CAT_CENTROS_COSTO'!$A$4:$A$28,0)),""))&lt;&gt;"",IFERROR(INDEX('CAT_CENTROS_COSTO'!$E$4:$E$28,MATCH($F569,'CAT_CENTROS_COSTO'!$A$4:$A$28,0)),""),$Y569))</f>
        <v/>
      </c>
      <c r="AA569" s="24">
        <f>IF($F569="","",IFERROR(INDEX('CAT_CENTROS_COSTO'!$G$4:$G$28,MATCH($F569,'CAT_CENTROS_COSTO'!$A$4:$A$28,0)),"(sin catálogo)"))</f>
        <v/>
      </c>
      <c r="AB569" s="24">
        <f>IF($G569="","",IFERROR(INDEX('CAT_PUESTOS'!$B$4:$B$23,MATCH($G569,'CAT_PUESTOS'!$A$4:$A$23,0)),"(sin catálogo)"))</f>
        <v/>
      </c>
      <c r="AC569" s="24">
        <f>IF($H569="","",IFERROR(INDEX('CAT_ACTIVIDADES'!$B$4:$B$26,MATCH($H569,'CAT_ACTIVIDADES'!$A$4:$A$26,0)),"(sin catálogo)"))</f>
        <v/>
      </c>
      <c r="AD569" s="26">
        <f>IF($J569="","",TODAY()-$J569)</f>
        <v/>
      </c>
      <c r="AE569" s="26">
        <f>IF($J569="","",IF($J569&lt;=TODAY(),COUNTIFS(cal_fechas,"&gt;="&amp;$J569,cal_fechas,"&lt;"&amp;TODAY(),cal_habil,"sí"),-COUNTIFS(cal_fechas,"&gt;="&amp;TODAY(),cal_fechas,"&lt;"&amp;$J569,cal_habil,"sí")))</f>
        <v/>
      </c>
      <c r="AF569" s="24">
        <f>IF($AE569="","",IF($AE569&lt;0,"FUTURO",IF($AE569&gt;p_dias_backlog_max,"BACKLOG","MES CORRIENTE")))</f>
        <v/>
      </c>
      <c r="AG569" s="24">
        <f>IF($AE569="",FALSE,AND($AE569&gt;p_dias_backlog_min,$AE569&lt;=p_dias_backlog_max))</f>
        <v/>
      </c>
      <c r="AH569" s="4" t="n"/>
      <c r="AI569" s="24">
        <f>IF($AH569="","",IF((IFERROR(INDEX('ASIGNACIONES'!$J$4:$J$451,MATCH($O569&amp;"|"&amp;$S569&amp;"|"&amp;$AH569,'ASIGNACIONES'!$N$4:$N$451,0)),""))=0,"",IFERROR(INDEX('ASIGNACIONES'!$J$4:$J$451,MATCH($O569&amp;"|"&amp;$S569&amp;"|"&amp;$AH569,'ASIGNACIONES'!$N$4:$N$451,0)),"")))</f>
        <v/>
      </c>
      <c r="AJ569" s="42">
        <f>IF($AH569="","",SUMIFS('ORDENES'!$M$4:$M$1203,'ORDENES'!$AH$4:$AH$1203,$AH569,'ORDENES'!$O$4:$O$1203,$O569,'ORDENES'!$S$4:$S$1203,$S569))</f>
        <v/>
      </c>
      <c r="AK569" s="42">
        <f>IF($AJ569="","",p_factor_productividad*IFERROR(INDEX('ASIGNACIONES'!$M$4:$M$451,MATCH($O569&amp;"|"&amp;$S569&amp;"|"&amp;$AH569,'ASIGNACIONES'!$N$4:$N$451,0)),0)-$AJ569)</f>
        <v/>
      </c>
      <c r="AL569" s="32">
        <f>IF($A569="","",IFERROR(INDEX('2_IMPORTAR_EJECUCION'!$F$9:$F$1208,MATCH($AU569,'2_IMPORTAR_EJECUCION'!$J$9:$J$1208,0)),0))</f>
        <v/>
      </c>
      <c r="AM569" s="32">
        <f>IF($A569="","",MAX(0,IFERROR(INDEX('2_IMPORTAR_EJECUCION'!$H$9:$H$1208,MATCH($AU569,'2_IMPORTAR_EJECUCION'!$J$9:$J$1208,0)),0)-$AL569))</f>
        <v/>
      </c>
      <c r="AN569" s="32">
        <f>IF($A569="","",$AL569+$AM569)</f>
        <v/>
      </c>
      <c r="AO569" s="24">
        <f>IF($A569="","",IF(OR((IFERROR(INDEX('CAT_ACTIVIDADES'!$D$4:$D$26,MATCH($H569,'CAT_ACTIVIDADES'!$A$4:$A$26,0)),""))=0,(IFERROR(INDEX('CAT_ACTIVIDADES'!$D$4:$D$26,MATCH($H569,'CAT_ACTIVIDADES'!$A$4:$A$26,0)),""))=""),"SIN CLASIFICAR",IFERROR(INDEX('CAT_ACTIVIDADES'!$D$4:$D$26,MATCH($H569,'CAT_ACTIVIDADES'!$A$4:$A$26,0)),"")))</f>
        <v/>
      </c>
      <c r="AP569" s="4" t="n"/>
      <c r="AQ569" s="4" t="n"/>
      <c r="AR569" s="4" t="n"/>
      <c r="AS569" s="24">
        <f>IF($AR569="","",HYPERLINK(p_ruta_base_checklists&amp;$AR569,"abrir"))</f>
        <v/>
      </c>
      <c r="AT569" s="4" t="n"/>
      <c r="AU569" s="24">
        <f>IF($A569="","",$A569&amp;IF($B569="","0010",$B569))</f>
        <v/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41" t="n"/>
      <c r="K570" s="5" t="n"/>
      <c r="L570" s="18" t="n"/>
      <c r="M570" s="24">
        <f>IF($A570="","",IFERROR(INDEX('AJUSTES'!$B$4:$B$303,MATCH($AU570,'AJUSTES'!$A$4:$A$303,0)),IF($K570="","",$K570)))</f>
        <v/>
      </c>
      <c r="N570" s="24">
        <f>IF($A570="","",IFERROR(INDEX('CAT_ESTADOS_ERP'!$B$4:$B$22,MATCH(IFERROR(INDEX('2_IMPORTAR_EJECUCION'!$C$9:$C$1208,MATCH($AU570,'2_IMPORTAR_EJECUCION'!$J$9:$J$1208,0)),""),'CAT_ESTADOS_ERP'!$A$4:$A$22,0)),"Pendiente"))</f>
        <v/>
      </c>
      <c r="O570" s="24">
        <f>IF($J570="","",YEAR($J570+4-WEEKDAY($J570,2))&amp;"-S"&amp;TEXT(_xlfn.ISOWEEKNUM($J570),"00"))</f>
        <v/>
      </c>
      <c r="P570" s="24">
        <f>IF($J570="","",YEAR($J570))</f>
        <v/>
      </c>
      <c r="Q570" s="24">
        <f>IF($J570="","",MONTH($J570))</f>
        <v/>
      </c>
      <c r="R570" s="24">
        <f>IF($J570="","",$P570&amp;"-"&amp;TEXT($Q570,"00"))</f>
        <v/>
      </c>
      <c r="S570" s="24">
        <f>IF($J570="","",INDEX(lista_dias,WEEKDAY($J570,2)))</f>
        <v/>
      </c>
      <c r="T570" s="24">
        <f>IF($J570="","",IFERROR(INDEX('CALENDARIO'!$C$15:$C$214,MATCH(TEXT($J570,"yyyy-mm-dd")&amp;"|"&amp;$Y570&amp;"|"&amp;$Z570,'CALENDARIO'!$G$15:$G$214,0)),IFERROR(INDEX('CALENDARIO'!$C$15:$C$214,MATCH(TEXT($J570,"yyyy-mm-dd")&amp;"|"&amp;$Y570&amp;"|",'CALENDARIO'!$G$15:$G$214,0)),IFERROR(INDEX('CALENDARIO'!$C$15:$C$214,MATCH(TEXT($J570,"yyyy-mm-dd")&amp;"||",'CALENDARIO'!$G$15:$G$214,0)),INDEX(patronHabil,WEEKDAY($J570,2))))))</f>
        <v/>
      </c>
      <c r="U570" s="24">
        <f>IF($I570="","",IFERROR(INDEX('CAT_TIPOS_OT'!$C$4:$C$23,MATCH($I570,'CAT_TIPOS_OT'!$A$4:$A$23,0)),"sin_clasificar"))</f>
        <v/>
      </c>
      <c r="V570" s="24">
        <f>IF($I570="","",IF(IFERROR(INDEX('CAT_TIPOS_OT'!$D$4:$D$23,MATCH($I570,'CAT_TIPOS_OT'!$A$4:$A$23,0)),"SIN CLASIFICAR")="","SIN CLASIFICAR",IFERROR(INDEX('CAT_TIPOS_OT'!$D$4:$D$23,MATCH($I570,'CAT_TIPOS_OT'!$A$4:$A$23,0)),"SIN CLASIFICAR")))</f>
        <v/>
      </c>
      <c r="W570" s="24">
        <f>IF($H570="","",IF(IFERROR(INDEX('CAT_ACTIVIDADES'!$F$4:$F$26,MATCH($H570,'CAT_ACTIVIDADES'!$A$4:$A$26,0)),"")=0,"",IFERROR(INDEX('CAT_ACTIVIDADES'!$F$4:$F$26,MATCH($H570,'CAT_ACTIVIDADES'!$A$4:$A$26,0)),"")))</f>
        <v/>
      </c>
      <c r="X570" s="24">
        <f>IF($F570="","",IFERROR(INDEX('CAT_CENTROS_COSTO'!$F$4:$F$28,MATCH($F570,'CAT_CENTROS_COSTO'!$A$4:$A$28,0)),"(sin catálogo)"))</f>
        <v/>
      </c>
      <c r="Y570" s="24">
        <f>IF($F570="","",IFERROR(INDEX('CAT_CENTROS_COSTO'!$D$4:$D$28,MATCH($F570,'CAT_CENTROS_COSTO'!$A$4:$A$28,0)),"(sin catálogo)"))</f>
        <v/>
      </c>
      <c r="Z570" s="24">
        <f>IF($F570="","",IF((IFERROR(INDEX('CAT_CENTROS_COSTO'!$E$4:$E$28,MATCH($F570,'CAT_CENTROS_COSTO'!$A$4:$A$28,0)),""))&lt;&gt;"",IFERROR(INDEX('CAT_CENTROS_COSTO'!$E$4:$E$28,MATCH($F570,'CAT_CENTROS_COSTO'!$A$4:$A$28,0)),""),$Y570))</f>
        <v/>
      </c>
      <c r="AA570" s="24">
        <f>IF($F570="","",IFERROR(INDEX('CAT_CENTROS_COSTO'!$G$4:$G$28,MATCH($F570,'CAT_CENTROS_COSTO'!$A$4:$A$28,0)),"(sin catálogo)"))</f>
        <v/>
      </c>
      <c r="AB570" s="24">
        <f>IF($G570="","",IFERROR(INDEX('CAT_PUESTOS'!$B$4:$B$23,MATCH($G570,'CAT_PUESTOS'!$A$4:$A$23,0)),"(sin catálogo)"))</f>
        <v/>
      </c>
      <c r="AC570" s="24">
        <f>IF($H570="","",IFERROR(INDEX('CAT_ACTIVIDADES'!$B$4:$B$26,MATCH($H570,'CAT_ACTIVIDADES'!$A$4:$A$26,0)),"(sin catálogo)"))</f>
        <v/>
      </c>
      <c r="AD570" s="26">
        <f>IF($J570="","",TODAY()-$J570)</f>
        <v/>
      </c>
      <c r="AE570" s="26">
        <f>IF($J570="","",IF($J570&lt;=TODAY(),COUNTIFS(cal_fechas,"&gt;="&amp;$J570,cal_fechas,"&lt;"&amp;TODAY(),cal_habil,"sí"),-COUNTIFS(cal_fechas,"&gt;="&amp;TODAY(),cal_fechas,"&lt;"&amp;$J570,cal_habil,"sí")))</f>
        <v/>
      </c>
      <c r="AF570" s="24">
        <f>IF($AE570="","",IF($AE570&lt;0,"FUTURO",IF($AE570&gt;p_dias_backlog_max,"BACKLOG","MES CORRIENTE")))</f>
        <v/>
      </c>
      <c r="AG570" s="24">
        <f>IF($AE570="",FALSE,AND($AE570&gt;p_dias_backlog_min,$AE570&lt;=p_dias_backlog_max))</f>
        <v/>
      </c>
      <c r="AH570" s="4" t="n"/>
      <c r="AI570" s="24">
        <f>IF($AH570="","",IF((IFERROR(INDEX('ASIGNACIONES'!$J$4:$J$451,MATCH($O570&amp;"|"&amp;$S570&amp;"|"&amp;$AH570,'ASIGNACIONES'!$N$4:$N$451,0)),""))=0,"",IFERROR(INDEX('ASIGNACIONES'!$J$4:$J$451,MATCH($O570&amp;"|"&amp;$S570&amp;"|"&amp;$AH570,'ASIGNACIONES'!$N$4:$N$451,0)),"")))</f>
        <v/>
      </c>
      <c r="AJ570" s="42">
        <f>IF($AH570="","",SUMIFS('ORDENES'!$M$4:$M$1203,'ORDENES'!$AH$4:$AH$1203,$AH570,'ORDENES'!$O$4:$O$1203,$O570,'ORDENES'!$S$4:$S$1203,$S570))</f>
        <v/>
      </c>
      <c r="AK570" s="42">
        <f>IF($AJ570="","",p_factor_productividad*IFERROR(INDEX('ASIGNACIONES'!$M$4:$M$451,MATCH($O570&amp;"|"&amp;$S570&amp;"|"&amp;$AH570,'ASIGNACIONES'!$N$4:$N$451,0)),0)-$AJ570)</f>
        <v/>
      </c>
      <c r="AL570" s="32">
        <f>IF($A570="","",IFERROR(INDEX('2_IMPORTAR_EJECUCION'!$F$9:$F$1208,MATCH($AU570,'2_IMPORTAR_EJECUCION'!$J$9:$J$1208,0)),0))</f>
        <v/>
      </c>
      <c r="AM570" s="32">
        <f>IF($A570="","",MAX(0,IFERROR(INDEX('2_IMPORTAR_EJECUCION'!$H$9:$H$1208,MATCH($AU570,'2_IMPORTAR_EJECUCION'!$J$9:$J$1208,0)),0)-$AL570))</f>
        <v/>
      </c>
      <c r="AN570" s="32">
        <f>IF($A570="","",$AL570+$AM570)</f>
        <v/>
      </c>
      <c r="AO570" s="24">
        <f>IF($A570="","",IF(OR((IFERROR(INDEX('CAT_ACTIVIDADES'!$D$4:$D$26,MATCH($H570,'CAT_ACTIVIDADES'!$A$4:$A$26,0)),""))=0,(IFERROR(INDEX('CAT_ACTIVIDADES'!$D$4:$D$26,MATCH($H570,'CAT_ACTIVIDADES'!$A$4:$A$26,0)),""))=""),"SIN CLASIFICAR",IFERROR(INDEX('CAT_ACTIVIDADES'!$D$4:$D$26,MATCH($H570,'CAT_ACTIVIDADES'!$A$4:$A$26,0)),"")))</f>
        <v/>
      </c>
      <c r="AP570" s="4" t="n"/>
      <c r="AQ570" s="4" t="n"/>
      <c r="AR570" s="4" t="n"/>
      <c r="AS570" s="24">
        <f>IF($AR570="","",HYPERLINK(p_ruta_base_checklists&amp;$AR570,"abrir"))</f>
        <v/>
      </c>
      <c r="AT570" s="4" t="n"/>
      <c r="AU570" s="24">
        <f>IF($A570="","",$A570&amp;IF($B570="","0010",$B570))</f>
        <v/>
      </c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41" t="n"/>
      <c r="K571" s="5" t="n"/>
      <c r="L571" s="18" t="n"/>
      <c r="M571" s="24">
        <f>IF($A571="","",IFERROR(INDEX('AJUSTES'!$B$4:$B$303,MATCH($AU571,'AJUSTES'!$A$4:$A$303,0)),IF($K571="","",$K571)))</f>
        <v/>
      </c>
      <c r="N571" s="24">
        <f>IF($A571="","",IFERROR(INDEX('CAT_ESTADOS_ERP'!$B$4:$B$22,MATCH(IFERROR(INDEX('2_IMPORTAR_EJECUCION'!$C$9:$C$1208,MATCH($AU571,'2_IMPORTAR_EJECUCION'!$J$9:$J$1208,0)),""),'CAT_ESTADOS_ERP'!$A$4:$A$22,0)),"Pendiente"))</f>
        <v/>
      </c>
      <c r="O571" s="24">
        <f>IF($J571="","",YEAR($J571+4-WEEKDAY($J571,2))&amp;"-S"&amp;TEXT(_xlfn.ISOWEEKNUM($J571),"00"))</f>
        <v/>
      </c>
      <c r="P571" s="24">
        <f>IF($J571="","",YEAR($J571))</f>
        <v/>
      </c>
      <c r="Q571" s="24">
        <f>IF($J571="","",MONTH($J571))</f>
        <v/>
      </c>
      <c r="R571" s="24">
        <f>IF($J571="","",$P571&amp;"-"&amp;TEXT($Q571,"00"))</f>
        <v/>
      </c>
      <c r="S571" s="24">
        <f>IF($J571="","",INDEX(lista_dias,WEEKDAY($J571,2)))</f>
        <v/>
      </c>
      <c r="T571" s="24">
        <f>IF($J571="","",IFERROR(INDEX('CALENDARIO'!$C$15:$C$214,MATCH(TEXT($J571,"yyyy-mm-dd")&amp;"|"&amp;$Y571&amp;"|"&amp;$Z571,'CALENDARIO'!$G$15:$G$214,0)),IFERROR(INDEX('CALENDARIO'!$C$15:$C$214,MATCH(TEXT($J571,"yyyy-mm-dd")&amp;"|"&amp;$Y571&amp;"|",'CALENDARIO'!$G$15:$G$214,0)),IFERROR(INDEX('CALENDARIO'!$C$15:$C$214,MATCH(TEXT($J571,"yyyy-mm-dd")&amp;"||",'CALENDARIO'!$G$15:$G$214,0)),INDEX(patronHabil,WEEKDAY($J571,2))))))</f>
        <v/>
      </c>
      <c r="U571" s="24">
        <f>IF($I571="","",IFERROR(INDEX('CAT_TIPOS_OT'!$C$4:$C$23,MATCH($I571,'CAT_TIPOS_OT'!$A$4:$A$23,0)),"sin_clasificar"))</f>
        <v/>
      </c>
      <c r="V571" s="24">
        <f>IF($I571="","",IF(IFERROR(INDEX('CAT_TIPOS_OT'!$D$4:$D$23,MATCH($I571,'CAT_TIPOS_OT'!$A$4:$A$23,0)),"SIN CLASIFICAR")="","SIN CLASIFICAR",IFERROR(INDEX('CAT_TIPOS_OT'!$D$4:$D$23,MATCH($I571,'CAT_TIPOS_OT'!$A$4:$A$23,0)),"SIN CLASIFICAR")))</f>
        <v/>
      </c>
      <c r="W571" s="24">
        <f>IF($H571="","",IF(IFERROR(INDEX('CAT_ACTIVIDADES'!$F$4:$F$26,MATCH($H571,'CAT_ACTIVIDADES'!$A$4:$A$26,0)),"")=0,"",IFERROR(INDEX('CAT_ACTIVIDADES'!$F$4:$F$26,MATCH($H571,'CAT_ACTIVIDADES'!$A$4:$A$26,0)),"")))</f>
        <v/>
      </c>
      <c r="X571" s="24">
        <f>IF($F571="","",IFERROR(INDEX('CAT_CENTROS_COSTO'!$F$4:$F$28,MATCH($F571,'CAT_CENTROS_COSTO'!$A$4:$A$28,0)),"(sin catálogo)"))</f>
        <v/>
      </c>
      <c r="Y571" s="24">
        <f>IF($F571="","",IFERROR(INDEX('CAT_CENTROS_COSTO'!$D$4:$D$28,MATCH($F571,'CAT_CENTROS_COSTO'!$A$4:$A$28,0)),"(sin catálogo)"))</f>
        <v/>
      </c>
      <c r="Z571" s="24">
        <f>IF($F571="","",IF((IFERROR(INDEX('CAT_CENTROS_COSTO'!$E$4:$E$28,MATCH($F571,'CAT_CENTROS_COSTO'!$A$4:$A$28,0)),""))&lt;&gt;"",IFERROR(INDEX('CAT_CENTROS_COSTO'!$E$4:$E$28,MATCH($F571,'CAT_CENTROS_COSTO'!$A$4:$A$28,0)),""),$Y571))</f>
        <v/>
      </c>
      <c r="AA571" s="24">
        <f>IF($F571="","",IFERROR(INDEX('CAT_CENTROS_COSTO'!$G$4:$G$28,MATCH($F571,'CAT_CENTROS_COSTO'!$A$4:$A$28,0)),"(sin catálogo)"))</f>
        <v/>
      </c>
      <c r="AB571" s="24">
        <f>IF($G571="","",IFERROR(INDEX('CAT_PUESTOS'!$B$4:$B$23,MATCH($G571,'CAT_PUESTOS'!$A$4:$A$23,0)),"(sin catálogo)"))</f>
        <v/>
      </c>
      <c r="AC571" s="24">
        <f>IF($H571="","",IFERROR(INDEX('CAT_ACTIVIDADES'!$B$4:$B$26,MATCH($H571,'CAT_ACTIVIDADES'!$A$4:$A$26,0)),"(sin catálogo)"))</f>
        <v/>
      </c>
      <c r="AD571" s="26">
        <f>IF($J571="","",TODAY()-$J571)</f>
        <v/>
      </c>
      <c r="AE571" s="26">
        <f>IF($J571="","",IF($J571&lt;=TODAY(),COUNTIFS(cal_fechas,"&gt;="&amp;$J571,cal_fechas,"&lt;"&amp;TODAY(),cal_habil,"sí"),-COUNTIFS(cal_fechas,"&gt;="&amp;TODAY(),cal_fechas,"&lt;"&amp;$J571,cal_habil,"sí")))</f>
        <v/>
      </c>
      <c r="AF571" s="24">
        <f>IF($AE571="","",IF($AE571&lt;0,"FUTURO",IF($AE571&gt;p_dias_backlog_max,"BACKLOG","MES CORRIENTE")))</f>
        <v/>
      </c>
      <c r="AG571" s="24">
        <f>IF($AE571="",FALSE,AND($AE571&gt;p_dias_backlog_min,$AE571&lt;=p_dias_backlog_max))</f>
        <v/>
      </c>
      <c r="AH571" s="4" t="n"/>
      <c r="AI571" s="24">
        <f>IF($AH571="","",IF((IFERROR(INDEX('ASIGNACIONES'!$J$4:$J$451,MATCH($O571&amp;"|"&amp;$S571&amp;"|"&amp;$AH571,'ASIGNACIONES'!$N$4:$N$451,0)),""))=0,"",IFERROR(INDEX('ASIGNACIONES'!$J$4:$J$451,MATCH($O571&amp;"|"&amp;$S571&amp;"|"&amp;$AH571,'ASIGNACIONES'!$N$4:$N$451,0)),"")))</f>
        <v/>
      </c>
      <c r="AJ571" s="42">
        <f>IF($AH571="","",SUMIFS('ORDENES'!$M$4:$M$1203,'ORDENES'!$AH$4:$AH$1203,$AH571,'ORDENES'!$O$4:$O$1203,$O571,'ORDENES'!$S$4:$S$1203,$S571))</f>
        <v/>
      </c>
      <c r="AK571" s="42">
        <f>IF($AJ571="","",p_factor_productividad*IFERROR(INDEX('ASIGNACIONES'!$M$4:$M$451,MATCH($O571&amp;"|"&amp;$S571&amp;"|"&amp;$AH571,'ASIGNACIONES'!$N$4:$N$451,0)),0)-$AJ571)</f>
        <v/>
      </c>
      <c r="AL571" s="32">
        <f>IF($A571="","",IFERROR(INDEX('2_IMPORTAR_EJECUCION'!$F$9:$F$1208,MATCH($AU571,'2_IMPORTAR_EJECUCION'!$J$9:$J$1208,0)),0))</f>
        <v/>
      </c>
      <c r="AM571" s="32">
        <f>IF($A571="","",MAX(0,IFERROR(INDEX('2_IMPORTAR_EJECUCION'!$H$9:$H$1208,MATCH($AU571,'2_IMPORTAR_EJECUCION'!$J$9:$J$1208,0)),0)-$AL571))</f>
        <v/>
      </c>
      <c r="AN571" s="32">
        <f>IF($A571="","",$AL571+$AM571)</f>
        <v/>
      </c>
      <c r="AO571" s="24">
        <f>IF($A571="","",IF(OR((IFERROR(INDEX('CAT_ACTIVIDADES'!$D$4:$D$26,MATCH($H571,'CAT_ACTIVIDADES'!$A$4:$A$26,0)),""))=0,(IFERROR(INDEX('CAT_ACTIVIDADES'!$D$4:$D$26,MATCH($H571,'CAT_ACTIVIDADES'!$A$4:$A$26,0)),""))=""),"SIN CLASIFICAR",IFERROR(INDEX('CAT_ACTIVIDADES'!$D$4:$D$26,MATCH($H571,'CAT_ACTIVIDADES'!$A$4:$A$26,0)),"")))</f>
        <v/>
      </c>
      <c r="AP571" s="4" t="n"/>
      <c r="AQ571" s="4" t="n"/>
      <c r="AR571" s="4" t="n"/>
      <c r="AS571" s="24">
        <f>IF($AR571="","",HYPERLINK(p_ruta_base_checklists&amp;$AR571,"abrir"))</f>
        <v/>
      </c>
      <c r="AT571" s="4" t="n"/>
      <c r="AU571" s="24">
        <f>IF($A571="","",$A571&amp;IF($B571="","0010",$B571))</f>
        <v/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41" t="n"/>
      <c r="K572" s="5" t="n"/>
      <c r="L572" s="18" t="n"/>
      <c r="M572" s="24">
        <f>IF($A572="","",IFERROR(INDEX('AJUSTES'!$B$4:$B$303,MATCH($AU572,'AJUSTES'!$A$4:$A$303,0)),IF($K572="","",$K572)))</f>
        <v/>
      </c>
      <c r="N572" s="24">
        <f>IF($A572="","",IFERROR(INDEX('CAT_ESTADOS_ERP'!$B$4:$B$22,MATCH(IFERROR(INDEX('2_IMPORTAR_EJECUCION'!$C$9:$C$1208,MATCH($AU572,'2_IMPORTAR_EJECUCION'!$J$9:$J$1208,0)),""),'CAT_ESTADOS_ERP'!$A$4:$A$22,0)),"Pendiente"))</f>
        <v/>
      </c>
      <c r="O572" s="24">
        <f>IF($J572="","",YEAR($J572+4-WEEKDAY($J572,2))&amp;"-S"&amp;TEXT(_xlfn.ISOWEEKNUM($J572),"00"))</f>
        <v/>
      </c>
      <c r="P572" s="24">
        <f>IF($J572="","",YEAR($J572))</f>
        <v/>
      </c>
      <c r="Q572" s="24">
        <f>IF($J572="","",MONTH($J572))</f>
        <v/>
      </c>
      <c r="R572" s="24">
        <f>IF($J572="","",$P572&amp;"-"&amp;TEXT($Q572,"00"))</f>
        <v/>
      </c>
      <c r="S572" s="24">
        <f>IF($J572="","",INDEX(lista_dias,WEEKDAY($J572,2)))</f>
        <v/>
      </c>
      <c r="T572" s="24">
        <f>IF($J572="","",IFERROR(INDEX('CALENDARIO'!$C$15:$C$214,MATCH(TEXT($J572,"yyyy-mm-dd")&amp;"|"&amp;$Y572&amp;"|"&amp;$Z572,'CALENDARIO'!$G$15:$G$214,0)),IFERROR(INDEX('CALENDARIO'!$C$15:$C$214,MATCH(TEXT($J572,"yyyy-mm-dd")&amp;"|"&amp;$Y572&amp;"|",'CALENDARIO'!$G$15:$G$214,0)),IFERROR(INDEX('CALENDARIO'!$C$15:$C$214,MATCH(TEXT($J572,"yyyy-mm-dd")&amp;"||",'CALENDARIO'!$G$15:$G$214,0)),INDEX(patronHabil,WEEKDAY($J572,2))))))</f>
        <v/>
      </c>
      <c r="U572" s="24">
        <f>IF($I572="","",IFERROR(INDEX('CAT_TIPOS_OT'!$C$4:$C$23,MATCH($I572,'CAT_TIPOS_OT'!$A$4:$A$23,0)),"sin_clasificar"))</f>
        <v/>
      </c>
      <c r="V572" s="24">
        <f>IF($I572="","",IF(IFERROR(INDEX('CAT_TIPOS_OT'!$D$4:$D$23,MATCH($I572,'CAT_TIPOS_OT'!$A$4:$A$23,0)),"SIN CLASIFICAR")="","SIN CLASIFICAR",IFERROR(INDEX('CAT_TIPOS_OT'!$D$4:$D$23,MATCH($I572,'CAT_TIPOS_OT'!$A$4:$A$23,0)),"SIN CLASIFICAR")))</f>
        <v/>
      </c>
      <c r="W572" s="24">
        <f>IF($H572="","",IF(IFERROR(INDEX('CAT_ACTIVIDADES'!$F$4:$F$26,MATCH($H572,'CAT_ACTIVIDADES'!$A$4:$A$26,0)),"")=0,"",IFERROR(INDEX('CAT_ACTIVIDADES'!$F$4:$F$26,MATCH($H572,'CAT_ACTIVIDADES'!$A$4:$A$26,0)),"")))</f>
        <v/>
      </c>
      <c r="X572" s="24">
        <f>IF($F572="","",IFERROR(INDEX('CAT_CENTROS_COSTO'!$F$4:$F$28,MATCH($F572,'CAT_CENTROS_COSTO'!$A$4:$A$28,0)),"(sin catálogo)"))</f>
        <v/>
      </c>
      <c r="Y572" s="24">
        <f>IF($F572="","",IFERROR(INDEX('CAT_CENTROS_COSTO'!$D$4:$D$28,MATCH($F572,'CAT_CENTROS_COSTO'!$A$4:$A$28,0)),"(sin catálogo)"))</f>
        <v/>
      </c>
      <c r="Z572" s="24">
        <f>IF($F572="","",IF((IFERROR(INDEX('CAT_CENTROS_COSTO'!$E$4:$E$28,MATCH($F572,'CAT_CENTROS_COSTO'!$A$4:$A$28,0)),""))&lt;&gt;"",IFERROR(INDEX('CAT_CENTROS_COSTO'!$E$4:$E$28,MATCH($F572,'CAT_CENTROS_COSTO'!$A$4:$A$28,0)),""),$Y572))</f>
        <v/>
      </c>
      <c r="AA572" s="24">
        <f>IF($F572="","",IFERROR(INDEX('CAT_CENTROS_COSTO'!$G$4:$G$28,MATCH($F572,'CAT_CENTROS_COSTO'!$A$4:$A$28,0)),"(sin catálogo)"))</f>
        <v/>
      </c>
      <c r="AB572" s="24">
        <f>IF($G572="","",IFERROR(INDEX('CAT_PUESTOS'!$B$4:$B$23,MATCH($G572,'CAT_PUESTOS'!$A$4:$A$23,0)),"(sin catálogo)"))</f>
        <v/>
      </c>
      <c r="AC572" s="24">
        <f>IF($H572="","",IFERROR(INDEX('CAT_ACTIVIDADES'!$B$4:$B$26,MATCH($H572,'CAT_ACTIVIDADES'!$A$4:$A$26,0)),"(sin catálogo)"))</f>
        <v/>
      </c>
      <c r="AD572" s="26">
        <f>IF($J572="","",TODAY()-$J572)</f>
        <v/>
      </c>
      <c r="AE572" s="26">
        <f>IF($J572="","",IF($J572&lt;=TODAY(),COUNTIFS(cal_fechas,"&gt;="&amp;$J572,cal_fechas,"&lt;"&amp;TODAY(),cal_habil,"sí"),-COUNTIFS(cal_fechas,"&gt;="&amp;TODAY(),cal_fechas,"&lt;"&amp;$J572,cal_habil,"sí")))</f>
        <v/>
      </c>
      <c r="AF572" s="24">
        <f>IF($AE572="","",IF($AE572&lt;0,"FUTURO",IF($AE572&gt;p_dias_backlog_max,"BACKLOG","MES CORRIENTE")))</f>
        <v/>
      </c>
      <c r="AG572" s="24">
        <f>IF($AE572="",FALSE,AND($AE572&gt;p_dias_backlog_min,$AE572&lt;=p_dias_backlog_max))</f>
        <v/>
      </c>
      <c r="AH572" s="4" t="n"/>
      <c r="AI572" s="24">
        <f>IF($AH572="","",IF((IFERROR(INDEX('ASIGNACIONES'!$J$4:$J$451,MATCH($O572&amp;"|"&amp;$S572&amp;"|"&amp;$AH572,'ASIGNACIONES'!$N$4:$N$451,0)),""))=0,"",IFERROR(INDEX('ASIGNACIONES'!$J$4:$J$451,MATCH($O572&amp;"|"&amp;$S572&amp;"|"&amp;$AH572,'ASIGNACIONES'!$N$4:$N$451,0)),"")))</f>
        <v/>
      </c>
      <c r="AJ572" s="42">
        <f>IF($AH572="","",SUMIFS('ORDENES'!$M$4:$M$1203,'ORDENES'!$AH$4:$AH$1203,$AH572,'ORDENES'!$O$4:$O$1203,$O572,'ORDENES'!$S$4:$S$1203,$S572))</f>
        <v/>
      </c>
      <c r="AK572" s="42">
        <f>IF($AJ572="","",p_factor_productividad*IFERROR(INDEX('ASIGNACIONES'!$M$4:$M$451,MATCH($O572&amp;"|"&amp;$S572&amp;"|"&amp;$AH572,'ASIGNACIONES'!$N$4:$N$451,0)),0)-$AJ572)</f>
        <v/>
      </c>
      <c r="AL572" s="32">
        <f>IF($A572="","",IFERROR(INDEX('2_IMPORTAR_EJECUCION'!$F$9:$F$1208,MATCH($AU572,'2_IMPORTAR_EJECUCION'!$J$9:$J$1208,0)),0))</f>
        <v/>
      </c>
      <c r="AM572" s="32">
        <f>IF($A572="","",MAX(0,IFERROR(INDEX('2_IMPORTAR_EJECUCION'!$H$9:$H$1208,MATCH($AU572,'2_IMPORTAR_EJECUCION'!$J$9:$J$1208,0)),0)-$AL572))</f>
        <v/>
      </c>
      <c r="AN572" s="32">
        <f>IF($A572="","",$AL572+$AM572)</f>
        <v/>
      </c>
      <c r="AO572" s="24">
        <f>IF($A572="","",IF(OR((IFERROR(INDEX('CAT_ACTIVIDADES'!$D$4:$D$26,MATCH($H572,'CAT_ACTIVIDADES'!$A$4:$A$26,0)),""))=0,(IFERROR(INDEX('CAT_ACTIVIDADES'!$D$4:$D$26,MATCH($H572,'CAT_ACTIVIDADES'!$A$4:$A$26,0)),""))=""),"SIN CLASIFICAR",IFERROR(INDEX('CAT_ACTIVIDADES'!$D$4:$D$26,MATCH($H572,'CAT_ACTIVIDADES'!$A$4:$A$26,0)),"")))</f>
        <v/>
      </c>
      <c r="AP572" s="4" t="n"/>
      <c r="AQ572" s="4" t="n"/>
      <c r="AR572" s="4" t="n"/>
      <c r="AS572" s="24">
        <f>IF($AR572="","",HYPERLINK(p_ruta_base_checklists&amp;$AR572,"abrir"))</f>
        <v/>
      </c>
      <c r="AT572" s="4" t="n"/>
      <c r="AU572" s="24">
        <f>IF($A572="","",$A572&amp;IF($B572="","0010",$B572))</f>
        <v/>
      </c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41" t="n"/>
      <c r="K573" s="5" t="n"/>
      <c r="L573" s="18" t="n"/>
      <c r="M573" s="24">
        <f>IF($A573="","",IFERROR(INDEX('AJUSTES'!$B$4:$B$303,MATCH($AU573,'AJUSTES'!$A$4:$A$303,0)),IF($K573="","",$K573)))</f>
        <v/>
      </c>
      <c r="N573" s="24">
        <f>IF($A573="","",IFERROR(INDEX('CAT_ESTADOS_ERP'!$B$4:$B$22,MATCH(IFERROR(INDEX('2_IMPORTAR_EJECUCION'!$C$9:$C$1208,MATCH($AU573,'2_IMPORTAR_EJECUCION'!$J$9:$J$1208,0)),""),'CAT_ESTADOS_ERP'!$A$4:$A$22,0)),"Pendiente"))</f>
        <v/>
      </c>
      <c r="O573" s="24">
        <f>IF($J573="","",YEAR($J573+4-WEEKDAY($J573,2))&amp;"-S"&amp;TEXT(_xlfn.ISOWEEKNUM($J573),"00"))</f>
        <v/>
      </c>
      <c r="P573" s="24">
        <f>IF($J573="","",YEAR($J573))</f>
        <v/>
      </c>
      <c r="Q573" s="24">
        <f>IF($J573="","",MONTH($J573))</f>
        <v/>
      </c>
      <c r="R573" s="24">
        <f>IF($J573="","",$P573&amp;"-"&amp;TEXT($Q573,"00"))</f>
        <v/>
      </c>
      <c r="S573" s="24">
        <f>IF($J573="","",INDEX(lista_dias,WEEKDAY($J573,2)))</f>
        <v/>
      </c>
      <c r="T573" s="24">
        <f>IF($J573="","",IFERROR(INDEX('CALENDARIO'!$C$15:$C$214,MATCH(TEXT($J573,"yyyy-mm-dd")&amp;"|"&amp;$Y573&amp;"|"&amp;$Z573,'CALENDARIO'!$G$15:$G$214,0)),IFERROR(INDEX('CALENDARIO'!$C$15:$C$214,MATCH(TEXT($J573,"yyyy-mm-dd")&amp;"|"&amp;$Y573&amp;"|",'CALENDARIO'!$G$15:$G$214,0)),IFERROR(INDEX('CALENDARIO'!$C$15:$C$214,MATCH(TEXT($J573,"yyyy-mm-dd")&amp;"||",'CALENDARIO'!$G$15:$G$214,0)),INDEX(patronHabil,WEEKDAY($J573,2))))))</f>
        <v/>
      </c>
      <c r="U573" s="24">
        <f>IF($I573="","",IFERROR(INDEX('CAT_TIPOS_OT'!$C$4:$C$23,MATCH($I573,'CAT_TIPOS_OT'!$A$4:$A$23,0)),"sin_clasificar"))</f>
        <v/>
      </c>
      <c r="V573" s="24">
        <f>IF($I573="","",IF(IFERROR(INDEX('CAT_TIPOS_OT'!$D$4:$D$23,MATCH($I573,'CAT_TIPOS_OT'!$A$4:$A$23,0)),"SIN CLASIFICAR")="","SIN CLASIFICAR",IFERROR(INDEX('CAT_TIPOS_OT'!$D$4:$D$23,MATCH($I573,'CAT_TIPOS_OT'!$A$4:$A$23,0)),"SIN CLASIFICAR")))</f>
        <v/>
      </c>
      <c r="W573" s="24">
        <f>IF($H573="","",IF(IFERROR(INDEX('CAT_ACTIVIDADES'!$F$4:$F$26,MATCH($H573,'CAT_ACTIVIDADES'!$A$4:$A$26,0)),"")=0,"",IFERROR(INDEX('CAT_ACTIVIDADES'!$F$4:$F$26,MATCH($H573,'CAT_ACTIVIDADES'!$A$4:$A$26,0)),"")))</f>
        <v/>
      </c>
      <c r="X573" s="24">
        <f>IF($F573="","",IFERROR(INDEX('CAT_CENTROS_COSTO'!$F$4:$F$28,MATCH($F573,'CAT_CENTROS_COSTO'!$A$4:$A$28,0)),"(sin catálogo)"))</f>
        <v/>
      </c>
      <c r="Y573" s="24">
        <f>IF($F573="","",IFERROR(INDEX('CAT_CENTROS_COSTO'!$D$4:$D$28,MATCH($F573,'CAT_CENTROS_COSTO'!$A$4:$A$28,0)),"(sin catálogo)"))</f>
        <v/>
      </c>
      <c r="Z573" s="24">
        <f>IF($F573="","",IF((IFERROR(INDEX('CAT_CENTROS_COSTO'!$E$4:$E$28,MATCH($F573,'CAT_CENTROS_COSTO'!$A$4:$A$28,0)),""))&lt;&gt;"",IFERROR(INDEX('CAT_CENTROS_COSTO'!$E$4:$E$28,MATCH($F573,'CAT_CENTROS_COSTO'!$A$4:$A$28,0)),""),$Y573))</f>
        <v/>
      </c>
      <c r="AA573" s="24">
        <f>IF($F573="","",IFERROR(INDEX('CAT_CENTROS_COSTO'!$G$4:$G$28,MATCH($F573,'CAT_CENTROS_COSTO'!$A$4:$A$28,0)),"(sin catálogo)"))</f>
        <v/>
      </c>
      <c r="AB573" s="24">
        <f>IF($G573="","",IFERROR(INDEX('CAT_PUESTOS'!$B$4:$B$23,MATCH($G573,'CAT_PUESTOS'!$A$4:$A$23,0)),"(sin catálogo)"))</f>
        <v/>
      </c>
      <c r="AC573" s="24">
        <f>IF($H573="","",IFERROR(INDEX('CAT_ACTIVIDADES'!$B$4:$B$26,MATCH($H573,'CAT_ACTIVIDADES'!$A$4:$A$26,0)),"(sin catálogo)"))</f>
        <v/>
      </c>
      <c r="AD573" s="26">
        <f>IF($J573="","",TODAY()-$J573)</f>
        <v/>
      </c>
      <c r="AE573" s="26">
        <f>IF($J573="","",IF($J573&lt;=TODAY(),COUNTIFS(cal_fechas,"&gt;="&amp;$J573,cal_fechas,"&lt;"&amp;TODAY(),cal_habil,"sí"),-COUNTIFS(cal_fechas,"&gt;="&amp;TODAY(),cal_fechas,"&lt;"&amp;$J573,cal_habil,"sí")))</f>
        <v/>
      </c>
      <c r="AF573" s="24">
        <f>IF($AE573="","",IF($AE573&lt;0,"FUTURO",IF($AE573&gt;p_dias_backlog_max,"BACKLOG","MES CORRIENTE")))</f>
        <v/>
      </c>
      <c r="AG573" s="24">
        <f>IF($AE573="",FALSE,AND($AE573&gt;p_dias_backlog_min,$AE573&lt;=p_dias_backlog_max))</f>
        <v/>
      </c>
      <c r="AH573" s="4" t="n"/>
      <c r="AI573" s="24">
        <f>IF($AH573="","",IF((IFERROR(INDEX('ASIGNACIONES'!$J$4:$J$451,MATCH($O573&amp;"|"&amp;$S573&amp;"|"&amp;$AH573,'ASIGNACIONES'!$N$4:$N$451,0)),""))=0,"",IFERROR(INDEX('ASIGNACIONES'!$J$4:$J$451,MATCH($O573&amp;"|"&amp;$S573&amp;"|"&amp;$AH573,'ASIGNACIONES'!$N$4:$N$451,0)),"")))</f>
        <v/>
      </c>
      <c r="AJ573" s="42">
        <f>IF($AH573="","",SUMIFS('ORDENES'!$M$4:$M$1203,'ORDENES'!$AH$4:$AH$1203,$AH573,'ORDENES'!$O$4:$O$1203,$O573,'ORDENES'!$S$4:$S$1203,$S573))</f>
        <v/>
      </c>
      <c r="AK573" s="42">
        <f>IF($AJ573="","",p_factor_productividad*IFERROR(INDEX('ASIGNACIONES'!$M$4:$M$451,MATCH($O573&amp;"|"&amp;$S573&amp;"|"&amp;$AH573,'ASIGNACIONES'!$N$4:$N$451,0)),0)-$AJ573)</f>
        <v/>
      </c>
      <c r="AL573" s="32">
        <f>IF($A573="","",IFERROR(INDEX('2_IMPORTAR_EJECUCION'!$F$9:$F$1208,MATCH($AU573,'2_IMPORTAR_EJECUCION'!$J$9:$J$1208,0)),0))</f>
        <v/>
      </c>
      <c r="AM573" s="32">
        <f>IF($A573="","",MAX(0,IFERROR(INDEX('2_IMPORTAR_EJECUCION'!$H$9:$H$1208,MATCH($AU573,'2_IMPORTAR_EJECUCION'!$J$9:$J$1208,0)),0)-$AL573))</f>
        <v/>
      </c>
      <c r="AN573" s="32">
        <f>IF($A573="","",$AL573+$AM573)</f>
        <v/>
      </c>
      <c r="AO573" s="24">
        <f>IF($A573="","",IF(OR((IFERROR(INDEX('CAT_ACTIVIDADES'!$D$4:$D$26,MATCH($H573,'CAT_ACTIVIDADES'!$A$4:$A$26,0)),""))=0,(IFERROR(INDEX('CAT_ACTIVIDADES'!$D$4:$D$26,MATCH($H573,'CAT_ACTIVIDADES'!$A$4:$A$26,0)),""))=""),"SIN CLASIFICAR",IFERROR(INDEX('CAT_ACTIVIDADES'!$D$4:$D$26,MATCH($H573,'CAT_ACTIVIDADES'!$A$4:$A$26,0)),"")))</f>
        <v/>
      </c>
      <c r="AP573" s="4" t="n"/>
      <c r="AQ573" s="4" t="n"/>
      <c r="AR573" s="4" t="n"/>
      <c r="AS573" s="24">
        <f>IF($AR573="","",HYPERLINK(p_ruta_base_checklists&amp;$AR573,"abrir"))</f>
        <v/>
      </c>
      <c r="AT573" s="4" t="n"/>
      <c r="AU573" s="24">
        <f>IF($A573="","",$A573&amp;IF($B573="","0010",$B573))</f>
        <v/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41" t="n"/>
      <c r="K574" s="5" t="n"/>
      <c r="L574" s="18" t="n"/>
      <c r="M574" s="24">
        <f>IF($A574="","",IFERROR(INDEX('AJUSTES'!$B$4:$B$303,MATCH($AU574,'AJUSTES'!$A$4:$A$303,0)),IF($K574="","",$K574)))</f>
        <v/>
      </c>
      <c r="N574" s="24">
        <f>IF($A574="","",IFERROR(INDEX('CAT_ESTADOS_ERP'!$B$4:$B$22,MATCH(IFERROR(INDEX('2_IMPORTAR_EJECUCION'!$C$9:$C$1208,MATCH($AU574,'2_IMPORTAR_EJECUCION'!$J$9:$J$1208,0)),""),'CAT_ESTADOS_ERP'!$A$4:$A$22,0)),"Pendiente"))</f>
        <v/>
      </c>
      <c r="O574" s="24">
        <f>IF($J574="","",YEAR($J574+4-WEEKDAY($J574,2))&amp;"-S"&amp;TEXT(_xlfn.ISOWEEKNUM($J574),"00"))</f>
        <v/>
      </c>
      <c r="P574" s="24">
        <f>IF($J574="","",YEAR($J574))</f>
        <v/>
      </c>
      <c r="Q574" s="24">
        <f>IF($J574="","",MONTH($J574))</f>
        <v/>
      </c>
      <c r="R574" s="24">
        <f>IF($J574="","",$P574&amp;"-"&amp;TEXT($Q574,"00"))</f>
        <v/>
      </c>
      <c r="S574" s="24">
        <f>IF($J574="","",INDEX(lista_dias,WEEKDAY($J574,2)))</f>
        <v/>
      </c>
      <c r="T574" s="24">
        <f>IF($J574="","",IFERROR(INDEX('CALENDARIO'!$C$15:$C$214,MATCH(TEXT($J574,"yyyy-mm-dd")&amp;"|"&amp;$Y574&amp;"|"&amp;$Z574,'CALENDARIO'!$G$15:$G$214,0)),IFERROR(INDEX('CALENDARIO'!$C$15:$C$214,MATCH(TEXT($J574,"yyyy-mm-dd")&amp;"|"&amp;$Y574&amp;"|",'CALENDARIO'!$G$15:$G$214,0)),IFERROR(INDEX('CALENDARIO'!$C$15:$C$214,MATCH(TEXT($J574,"yyyy-mm-dd")&amp;"||",'CALENDARIO'!$G$15:$G$214,0)),INDEX(patronHabil,WEEKDAY($J574,2))))))</f>
        <v/>
      </c>
      <c r="U574" s="24">
        <f>IF($I574="","",IFERROR(INDEX('CAT_TIPOS_OT'!$C$4:$C$23,MATCH($I574,'CAT_TIPOS_OT'!$A$4:$A$23,0)),"sin_clasificar"))</f>
        <v/>
      </c>
      <c r="V574" s="24">
        <f>IF($I574="","",IF(IFERROR(INDEX('CAT_TIPOS_OT'!$D$4:$D$23,MATCH($I574,'CAT_TIPOS_OT'!$A$4:$A$23,0)),"SIN CLASIFICAR")="","SIN CLASIFICAR",IFERROR(INDEX('CAT_TIPOS_OT'!$D$4:$D$23,MATCH($I574,'CAT_TIPOS_OT'!$A$4:$A$23,0)),"SIN CLASIFICAR")))</f>
        <v/>
      </c>
      <c r="W574" s="24">
        <f>IF($H574="","",IF(IFERROR(INDEX('CAT_ACTIVIDADES'!$F$4:$F$26,MATCH($H574,'CAT_ACTIVIDADES'!$A$4:$A$26,0)),"")=0,"",IFERROR(INDEX('CAT_ACTIVIDADES'!$F$4:$F$26,MATCH($H574,'CAT_ACTIVIDADES'!$A$4:$A$26,0)),"")))</f>
        <v/>
      </c>
      <c r="X574" s="24">
        <f>IF($F574="","",IFERROR(INDEX('CAT_CENTROS_COSTO'!$F$4:$F$28,MATCH($F574,'CAT_CENTROS_COSTO'!$A$4:$A$28,0)),"(sin catálogo)"))</f>
        <v/>
      </c>
      <c r="Y574" s="24">
        <f>IF($F574="","",IFERROR(INDEX('CAT_CENTROS_COSTO'!$D$4:$D$28,MATCH($F574,'CAT_CENTROS_COSTO'!$A$4:$A$28,0)),"(sin catálogo)"))</f>
        <v/>
      </c>
      <c r="Z574" s="24">
        <f>IF($F574="","",IF((IFERROR(INDEX('CAT_CENTROS_COSTO'!$E$4:$E$28,MATCH($F574,'CAT_CENTROS_COSTO'!$A$4:$A$28,0)),""))&lt;&gt;"",IFERROR(INDEX('CAT_CENTROS_COSTO'!$E$4:$E$28,MATCH($F574,'CAT_CENTROS_COSTO'!$A$4:$A$28,0)),""),$Y574))</f>
        <v/>
      </c>
      <c r="AA574" s="24">
        <f>IF($F574="","",IFERROR(INDEX('CAT_CENTROS_COSTO'!$G$4:$G$28,MATCH($F574,'CAT_CENTROS_COSTO'!$A$4:$A$28,0)),"(sin catálogo)"))</f>
        <v/>
      </c>
      <c r="AB574" s="24">
        <f>IF($G574="","",IFERROR(INDEX('CAT_PUESTOS'!$B$4:$B$23,MATCH($G574,'CAT_PUESTOS'!$A$4:$A$23,0)),"(sin catálogo)"))</f>
        <v/>
      </c>
      <c r="AC574" s="24">
        <f>IF($H574="","",IFERROR(INDEX('CAT_ACTIVIDADES'!$B$4:$B$26,MATCH($H574,'CAT_ACTIVIDADES'!$A$4:$A$26,0)),"(sin catálogo)"))</f>
        <v/>
      </c>
      <c r="AD574" s="26">
        <f>IF($J574="","",TODAY()-$J574)</f>
        <v/>
      </c>
      <c r="AE574" s="26">
        <f>IF($J574="","",IF($J574&lt;=TODAY(),COUNTIFS(cal_fechas,"&gt;="&amp;$J574,cal_fechas,"&lt;"&amp;TODAY(),cal_habil,"sí"),-COUNTIFS(cal_fechas,"&gt;="&amp;TODAY(),cal_fechas,"&lt;"&amp;$J574,cal_habil,"sí")))</f>
        <v/>
      </c>
      <c r="AF574" s="24">
        <f>IF($AE574="","",IF($AE574&lt;0,"FUTURO",IF($AE574&gt;p_dias_backlog_max,"BACKLOG","MES CORRIENTE")))</f>
        <v/>
      </c>
      <c r="AG574" s="24">
        <f>IF($AE574="",FALSE,AND($AE574&gt;p_dias_backlog_min,$AE574&lt;=p_dias_backlog_max))</f>
        <v/>
      </c>
      <c r="AH574" s="4" t="n"/>
      <c r="AI574" s="24">
        <f>IF($AH574="","",IF((IFERROR(INDEX('ASIGNACIONES'!$J$4:$J$451,MATCH($O574&amp;"|"&amp;$S574&amp;"|"&amp;$AH574,'ASIGNACIONES'!$N$4:$N$451,0)),""))=0,"",IFERROR(INDEX('ASIGNACIONES'!$J$4:$J$451,MATCH($O574&amp;"|"&amp;$S574&amp;"|"&amp;$AH574,'ASIGNACIONES'!$N$4:$N$451,0)),"")))</f>
        <v/>
      </c>
      <c r="AJ574" s="42">
        <f>IF($AH574="","",SUMIFS('ORDENES'!$M$4:$M$1203,'ORDENES'!$AH$4:$AH$1203,$AH574,'ORDENES'!$O$4:$O$1203,$O574,'ORDENES'!$S$4:$S$1203,$S574))</f>
        <v/>
      </c>
      <c r="AK574" s="42">
        <f>IF($AJ574="","",p_factor_productividad*IFERROR(INDEX('ASIGNACIONES'!$M$4:$M$451,MATCH($O574&amp;"|"&amp;$S574&amp;"|"&amp;$AH574,'ASIGNACIONES'!$N$4:$N$451,0)),0)-$AJ574)</f>
        <v/>
      </c>
      <c r="AL574" s="32">
        <f>IF($A574="","",IFERROR(INDEX('2_IMPORTAR_EJECUCION'!$F$9:$F$1208,MATCH($AU574,'2_IMPORTAR_EJECUCION'!$J$9:$J$1208,0)),0))</f>
        <v/>
      </c>
      <c r="AM574" s="32">
        <f>IF($A574="","",MAX(0,IFERROR(INDEX('2_IMPORTAR_EJECUCION'!$H$9:$H$1208,MATCH($AU574,'2_IMPORTAR_EJECUCION'!$J$9:$J$1208,0)),0)-$AL574))</f>
        <v/>
      </c>
      <c r="AN574" s="32">
        <f>IF($A574="","",$AL574+$AM574)</f>
        <v/>
      </c>
      <c r="AO574" s="24">
        <f>IF($A574="","",IF(OR((IFERROR(INDEX('CAT_ACTIVIDADES'!$D$4:$D$26,MATCH($H574,'CAT_ACTIVIDADES'!$A$4:$A$26,0)),""))=0,(IFERROR(INDEX('CAT_ACTIVIDADES'!$D$4:$D$26,MATCH($H574,'CAT_ACTIVIDADES'!$A$4:$A$26,0)),""))=""),"SIN CLASIFICAR",IFERROR(INDEX('CAT_ACTIVIDADES'!$D$4:$D$26,MATCH($H574,'CAT_ACTIVIDADES'!$A$4:$A$26,0)),"")))</f>
        <v/>
      </c>
      <c r="AP574" s="4" t="n"/>
      <c r="AQ574" s="4" t="n"/>
      <c r="AR574" s="4" t="n"/>
      <c r="AS574" s="24">
        <f>IF($AR574="","",HYPERLINK(p_ruta_base_checklists&amp;$AR574,"abrir"))</f>
        <v/>
      </c>
      <c r="AT574" s="4" t="n"/>
      <c r="AU574" s="24">
        <f>IF($A574="","",$A574&amp;IF($B574="","0010",$B574))</f>
        <v/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41" t="n"/>
      <c r="K575" s="5" t="n"/>
      <c r="L575" s="18" t="n"/>
      <c r="M575" s="24">
        <f>IF($A575="","",IFERROR(INDEX('AJUSTES'!$B$4:$B$303,MATCH($AU575,'AJUSTES'!$A$4:$A$303,0)),IF($K575="","",$K575)))</f>
        <v/>
      </c>
      <c r="N575" s="24">
        <f>IF($A575="","",IFERROR(INDEX('CAT_ESTADOS_ERP'!$B$4:$B$22,MATCH(IFERROR(INDEX('2_IMPORTAR_EJECUCION'!$C$9:$C$1208,MATCH($AU575,'2_IMPORTAR_EJECUCION'!$J$9:$J$1208,0)),""),'CAT_ESTADOS_ERP'!$A$4:$A$22,0)),"Pendiente"))</f>
        <v/>
      </c>
      <c r="O575" s="24">
        <f>IF($J575="","",YEAR($J575+4-WEEKDAY($J575,2))&amp;"-S"&amp;TEXT(_xlfn.ISOWEEKNUM($J575),"00"))</f>
        <v/>
      </c>
      <c r="P575" s="24">
        <f>IF($J575="","",YEAR($J575))</f>
        <v/>
      </c>
      <c r="Q575" s="24">
        <f>IF($J575="","",MONTH($J575))</f>
        <v/>
      </c>
      <c r="R575" s="24">
        <f>IF($J575="","",$P575&amp;"-"&amp;TEXT($Q575,"00"))</f>
        <v/>
      </c>
      <c r="S575" s="24">
        <f>IF($J575="","",INDEX(lista_dias,WEEKDAY($J575,2)))</f>
        <v/>
      </c>
      <c r="T575" s="24">
        <f>IF($J575="","",IFERROR(INDEX('CALENDARIO'!$C$15:$C$214,MATCH(TEXT($J575,"yyyy-mm-dd")&amp;"|"&amp;$Y575&amp;"|"&amp;$Z575,'CALENDARIO'!$G$15:$G$214,0)),IFERROR(INDEX('CALENDARIO'!$C$15:$C$214,MATCH(TEXT($J575,"yyyy-mm-dd")&amp;"|"&amp;$Y575&amp;"|",'CALENDARIO'!$G$15:$G$214,0)),IFERROR(INDEX('CALENDARIO'!$C$15:$C$214,MATCH(TEXT($J575,"yyyy-mm-dd")&amp;"||",'CALENDARIO'!$G$15:$G$214,0)),INDEX(patronHabil,WEEKDAY($J575,2))))))</f>
        <v/>
      </c>
      <c r="U575" s="24">
        <f>IF($I575="","",IFERROR(INDEX('CAT_TIPOS_OT'!$C$4:$C$23,MATCH($I575,'CAT_TIPOS_OT'!$A$4:$A$23,0)),"sin_clasificar"))</f>
        <v/>
      </c>
      <c r="V575" s="24">
        <f>IF($I575="","",IF(IFERROR(INDEX('CAT_TIPOS_OT'!$D$4:$D$23,MATCH($I575,'CAT_TIPOS_OT'!$A$4:$A$23,0)),"SIN CLASIFICAR")="","SIN CLASIFICAR",IFERROR(INDEX('CAT_TIPOS_OT'!$D$4:$D$23,MATCH($I575,'CAT_TIPOS_OT'!$A$4:$A$23,0)),"SIN CLASIFICAR")))</f>
        <v/>
      </c>
      <c r="W575" s="24">
        <f>IF($H575="","",IF(IFERROR(INDEX('CAT_ACTIVIDADES'!$F$4:$F$26,MATCH($H575,'CAT_ACTIVIDADES'!$A$4:$A$26,0)),"")=0,"",IFERROR(INDEX('CAT_ACTIVIDADES'!$F$4:$F$26,MATCH($H575,'CAT_ACTIVIDADES'!$A$4:$A$26,0)),"")))</f>
        <v/>
      </c>
      <c r="X575" s="24">
        <f>IF($F575="","",IFERROR(INDEX('CAT_CENTROS_COSTO'!$F$4:$F$28,MATCH($F575,'CAT_CENTROS_COSTO'!$A$4:$A$28,0)),"(sin catálogo)"))</f>
        <v/>
      </c>
      <c r="Y575" s="24">
        <f>IF($F575="","",IFERROR(INDEX('CAT_CENTROS_COSTO'!$D$4:$D$28,MATCH($F575,'CAT_CENTROS_COSTO'!$A$4:$A$28,0)),"(sin catálogo)"))</f>
        <v/>
      </c>
      <c r="Z575" s="24">
        <f>IF($F575="","",IF((IFERROR(INDEX('CAT_CENTROS_COSTO'!$E$4:$E$28,MATCH($F575,'CAT_CENTROS_COSTO'!$A$4:$A$28,0)),""))&lt;&gt;"",IFERROR(INDEX('CAT_CENTROS_COSTO'!$E$4:$E$28,MATCH($F575,'CAT_CENTROS_COSTO'!$A$4:$A$28,0)),""),$Y575))</f>
        <v/>
      </c>
      <c r="AA575" s="24">
        <f>IF($F575="","",IFERROR(INDEX('CAT_CENTROS_COSTO'!$G$4:$G$28,MATCH($F575,'CAT_CENTROS_COSTO'!$A$4:$A$28,0)),"(sin catálogo)"))</f>
        <v/>
      </c>
      <c r="AB575" s="24">
        <f>IF($G575="","",IFERROR(INDEX('CAT_PUESTOS'!$B$4:$B$23,MATCH($G575,'CAT_PUESTOS'!$A$4:$A$23,0)),"(sin catálogo)"))</f>
        <v/>
      </c>
      <c r="AC575" s="24">
        <f>IF($H575="","",IFERROR(INDEX('CAT_ACTIVIDADES'!$B$4:$B$26,MATCH($H575,'CAT_ACTIVIDADES'!$A$4:$A$26,0)),"(sin catálogo)"))</f>
        <v/>
      </c>
      <c r="AD575" s="26">
        <f>IF($J575="","",TODAY()-$J575)</f>
        <v/>
      </c>
      <c r="AE575" s="26">
        <f>IF($J575="","",IF($J575&lt;=TODAY(),COUNTIFS(cal_fechas,"&gt;="&amp;$J575,cal_fechas,"&lt;"&amp;TODAY(),cal_habil,"sí"),-COUNTIFS(cal_fechas,"&gt;="&amp;TODAY(),cal_fechas,"&lt;"&amp;$J575,cal_habil,"sí")))</f>
        <v/>
      </c>
      <c r="AF575" s="24">
        <f>IF($AE575="","",IF($AE575&lt;0,"FUTURO",IF($AE575&gt;p_dias_backlog_max,"BACKLOG","MES CORRIENTE")))</f>
        <v/>
      </c>
      <c r="AG575" s="24">
        <f>IF($AE575="",FALSE,AND($AE575&gt;p_dias_backlog_min,$AE575&lt;=p_dias_backlog_max))</f>
        <v/>
      </c>
      <c r="AH575" s="4" t="n"/>
      <c r="AI575" s="24">
        <f>IF($AH575="","",IF((IFERROR(INDEX('ASIGNACIONES'!$J$4:$J$451,MATCH($O575&amp;"|"&amp;$S575&amp;"|"&amp;$AH575,'ASIGNACIONES'!$N$4:$N$451,0)),""))=0,"",IFERROR(INDEX('ASIGNACIONES'!$J$4:$J$451,MATCH($O575&amp;"|"&amp;$S575&amp;"|"&amp;$AH575,'ASIGNACIONES'!$N$4:$N$451,0)),"")))</f>
        <v/>
      </c>
      <c r="AJ575" s="42">
        <f>IF($AH575="","",SUMIFS('ORDENES'!$M$4:$M$1203,'ORDENES'!$AH$4:$AH$1203,$AH575,'ORDENES'!$O$4:$O$1203,$O575,'ORDENES'!$S$4:$S$1203,$S575))</f>
        <v/>
      </c>
      <c r="AK575" s="42">
        <f>IF($AJ575="","",p_factor_productividad*IFERROR(INDEX('ASIGNACIONES'!$M$4:$M$451,MATCH($O575&amp;"|"&amp;$S575&amp;"|"&amp;$AH575,'ASIGNACIONES'!$N$4:$N$451,0)),0)-$AJ575)</f>
        <v/>
      </c>
      <c r="AL575" s="32">
        <f>IF($A575="","",IFERROR(INDEX('2_IMPORTAR_EJECUCION'!$F$9:$F$1208,MATCH($AU575,'2_IMPORTAR_EJECUCION'!$J$9:$J$1208,0)),0))</f>
        <v/>
      </c>
      <c r="AM575" s="32">
        <f>IF($A575="","",MAX(0,IFERROR(INDEX('2_IMPORTAR_EJECUCION'!$H$9:$H$1208,MATCH($AU575,'2_IMPORTAR_EJECUCION'!$J$9:$J$1208,0)),0)-$AL575))</f>
        <v/>
      </c>
      <c r="AN575" s="32">
        <f>IF($A575="","",$AL575+$AM575)</f>
        <v/>
      </c>
      <c r="AO575" s="24">
        <f>IF($A575="","",IF(OR((IFERROR(INDEX('CAT_ACTIVIDADES'!$D$4:$D$26,MATCH($H575,'CAT_ACTIVIDADES'!$A$4:$A$26,0)),""))=0,(IFERROR(INDEX('CAT_ACTIVIDADES'!$D$4:$D$26,MATCH($H575,'CAT_ACTIVIDADES'!$A$4:$A$26,0)),""))=""),"SIN CLASIFICAR",IFERROR(INDEX('CAT_ACTIVIDADES'!$D$4:$D$26,MATCH($H575,'CAT_ACTIVIDADES'!$A$4:$A$26,0)),"")))</f>
        <v/>
      </c>
      <c r="AP575" s="4" t="n"/>
      <c r="AQ575" s="4" t="n"/>
      <c r="AR575" s="4" t="n"/>
      <c r="AS575" s="24">
        <f>IF($AR575="","",HYPERLINK(p_ruta_base_checklists&amp;$AR575,"abrir"))</f>
        <v/>
      </c>
      <c r="AT575" s="4" t="n"/>
      <c r="AU575" s="24">
        <f>IF($A575="","",$A575&amp;IF($B575="","0010",$B575))</f>
        <v/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41" t="n"/>
      <c r="K576" s="5" t="n"/>
      <c r="L576" s="18" t="n"/>
      <c r="M576" s="24">
        <f>IF($A576="","",IFERROR(INDEX('AJUSTES'!$B$4:$B$303,MATCH($AU576,'AJUSTES'!$A$4:$A$303,0)),IF($K576="","",$K576)))</f>
        <v/>
      </c>
      <c r="N576" s="24">
        <f>IF($A576="","",IFERROR(INDEX('CAT_ESTADOS_ERP'!$B$4:$B$22,MATCH(IFERROR(INDEX('2_IMPORTAR_EJECUCION'!$C$9:$C$1208,MATCH($AU576,'2_IMPORTAR_EJECUCION'!$J$9:$J$1208,0)),""),'CAT_ESTADOS_ERP'!$A$4:$A$22,0)),"Pendiente"))</f>
        <v/>
      </c>
      <c r="O576" s="24">
        <f>IF($J576="","",YEAR($J576+4-WEEKDAY($J576,2))&amp;"-S"&amp;TEXT(_xlfn.ISOWEEKNUM($J576),"00"))</f>
        <v/>
      </c>
      <c r="P576" s="24">
        <f>IF($J576="","",YEAR($J576))</f>
        <v/>
      </c>
      <c r="Q576" s="24">
        <f>IF($J576="","",MONTH($J576))</f>
        <v/>
      </c>
      <c r="R576" s="24">
        <f>IF($J576="","",$P576&amp;"-"&amp;TEXT($Q576,"00"))</f>
        <v/>
      </c>
      <c r="S576" s="24">
        <f>IF($J576="","",INDEX(lista_dias,WEEKDAY($J576,2)))</f>
        <v/>
      </c>
      <c r="T576" s="24">
        <f>IF($J576="","",IFERROR(INDEX('CALENDARIO'!$C$15:$C$214,MATCH(TEXT($J576,"yyyy-mm-dd")&amp;"|"&amp;$Y576&amp;"|"&amp;$Z576,'CALENDARIO'!$G$15:$G$214,0)),IFERROR(INDEX('CALENDARIO'!$C$15:$C$214,MATCH(TEXT($J576,"yyyy-mm-dd")&amp;"|"&amp;$Y576&amp;"|",'CALENDARIO'!$G$15:$G$214,0)),IFERROR(INDEX('CALENDARIO'!$C$15:$C$214,MATCH(TEXT($J576,"yyyy-mm-dd")&amp;"||",'CALENDARIO'!$G$15:$G$214,0)),INDEX(patronHabil,WEEKDAY($J576,2))))))</f>
        <v/>
      </c>
      <c r="U576" s="24">
        <f>IF($I576="","",IFERROR(INDEX('CAT_TIPOS_OT'!$C$4:$C$23,MATCH($I576,'CAT_TIPOS_OT'!$A$4:$A$23,0)),"sin_clasificar"))</f>
        <v/>
      </c>
      <c r="V576" s="24">
        <f>IF($I576="","",IF(IFERROR(INDEX('CAT_TIPOS_OT'!$D$4:$D$23,MATCH($I576,'CAT_TIPOS_OT'!$A$4:$A$23,0)),"SIN CLASIFICAR")="","SIN CLASIFICAR",IFERROR(INDEX('CAT_TIPOS_OT'!$D$4:$D$23,MATCH($I576,'CAT_TIPOS_OT'!$A$4:$A$23,0)),"SIN CLASIFICAR")))</f>
        <v/>
      </c>
      <c r="W576" s="24">
        <f>IF($H576="","",IF(IFERROR(INDEX('CAT_ACTIVIDADES'!$F$4:$F$26,MATCH($H576,'CAT_ACTIVIDADES'!$A$4:$A$26,0)),"")=0,"",IFERROR(INDEX('CAT_ACTIVIDADES'!$F$4:$F$26,MATCH($H576,'CAT_ACTIVIDADES'!$A$4:$A$26,0)),"")))</f>
        <v/>
      </c>
      <c r="X576" s="24">
        <f>IF($F576="","",IFERROR(INDEX('CAT_CENTROS_COSTO'!$F$4:$F$28,MATCH($F576,'CAT_CENTROS_COSTO'!$A$4:$A$28,0)),"(sin catálogo)"))</f>
        <v/>
      </c>
      <c r="Y576" s="24">
        <f>IF($F576="","",IFERROR(INDEX('CAT_CENTROS_COSTO'!$D$4:$D$28,MATCH($F576,'CAT_CENTROS_COSTO'!$A$4:$A$28,0)),"(sin catálogo)"))</f>
        <v/>
      </c>
      <c r="Z576" s="24">
        <f>IF($F576="","",IF((IFERROR(INDEX('CAT_CENTROS_COSTO'!$E$4:$E$28,MATCH($F576,'CAT_CENTROS_COSTO'!$A$4:$A$28,0)),""))&lt;&gt;"",IFERROR(INDEX('CAT_CENTROS_COSTO'!$E$4:$E$28,MATCH($F576,'CAT_CENTROS_COSTO'!$A$4:$A$28,0)),""),$Y576))</f>
        <v/>
      </c>
      <c r="AA576" s="24">
        <f>IF($F576="","",IFERROR(INDEX('CAT_CENTROS_COSTO'!$G$4:$G$28,MATCH($F576,'CAT_CENTROS_COSTO'!$A$4:$A$28,0)),"(sin catálogo)"))</f>
        <v/>
      </c>
      <c r="AB576" s="24">
        <f>IF($G576="","",IFERROR(INDEX('CAT_PUESTOS'!$B$4:$B$23,MATCH($G576,'CAT_PUESTOS'!$A$4:$A$23,0)),"(sin catálogo)"))</f>
        <v/>
      </c>
      <c r="AC576" s="24">
        <f>IF($H576="","",IFERROR(INDEX('CAT_ACTIVIDADES'!$B$4:$B$26,MATCH($H576,'CAT_ACTIVIDADES'!$A$4:$A$26,0)),"(sin catálogo)"))</f>
        <v/>
      </c>
      <c r="AD576" s="26">
        <f>IF($J576="","",TODAY()-$J576)</f>
        <v/>
      </c>
      <c r="AE576" s="26">
        <f>IF($J576="","",IF($J576&lt;=TODAY(),COUNTIFS(cal_fechas,"&gt;="&amp;$J576,cal_fechas,"&lt;"&amp;TODAY(),cal_habil,"sí"),-COUNTIFS(cal_fechas,"&gt;="&amp;TODAY(),cal_fechas,"&lt;"&amp;$J576,cal_habil,"sí")))</f>
        <v/>
      </c>
      <c r="AF576" s="24">
        <f>IF($AE576="","",IF($AE576&lt;0,"FUTURO",IF($AE576&gt;p_dias_backlog_max,"BACKLOG","MES CORRIENTE")))</f>
        <v/>
      </c>
      <c r="AG576" s="24">
        <f>IF($AE576="",FALSE,AND($AE576&gt;p_dias_backlog_min,$AE576&lt;=p_dias_backlog_max))</f>
        <v/>
      </c>
      <c r="AH576" s="4" t="n"/>
      <c r="AI576" s="24">
        <f>IF($AH576="","",IF((IFERROR(INDEX('ASIGNACIONES'!$J$4:$J$451,MATCH($O576&amp;"|"&amp;$S576&amp;"|"&amp;$AH576,'ASIGNACIONES'!$N$4:$N$451,0)),""))=0,"",IFERROR(INDEX('ASIGNACIONES'!$J$4:$J$451,MATCH($O576&amp;"|"&amp;$S576&amp;"|"&amp;$AH576,'ASIGNACIONES'!$N$4:$N$451,0)),"")))</f>
        <v/>
      </c>
      <c r="AJ576" s="42">
        <f>IF($AH576="","",SUMIFS('ORDENES'!$M$4:$M$1203,'ORDENES'!$AH$4:$AH$1203,$AH576,'ORDENES'!$O$4:$O$1203,$O576,'ORDENES'!$S$4:$S$1203,$S576))</f>
        <v/>
      </c>
      <c r="AK576" s="42">
        <f>IF($AJ576="","",p_factor_productividad*IFERROR(INDEX('ASIGNACIONES'!$M$4:$M$451,MATCH($O576&amp;"|"&amp;$S576&amp;"|"&amp;$AH576,'ASIGNACIONES'!$N$4:$N$451,0)),0)-$AJ576)</f>
        <v/>
      </c>
      <c r="AL576" s="32">
        <f>IF($A576="","",IFERROR(INDEX('2_IMPORTAR_EJECUCION'!$F$9:$F$1208,MATCH($AU576,'2_IMPORTAR_EJECUCION'!$J$9:$J$1208,0)),0))</f>
        <v/>
      </c>
      <c r="AM576" s="32">
        <f>IF($A576="","",MAX(0,IFERROR(INDEX('2_IMPORTAR_EJECUCION'!$H$9:$H$1208,MATCH($AU576,'2_IMPORTAR_EJECUCION'!$J$9:$J$1208,0)),0)-$AL576))</f>
        <v/>
      </c>
      <c r="AN576" s="32">
        <f>IF($A576="","",$AL576+$AM576)</f>
        <v/>
      </c>
      <c r="AO576" s="24">
        <f>IF($A576="","",IF(OR((IFERROR(INDEX('CAT_ACTIVIDADES'!$D$4:$D$26,MATCH($H576,'CAT_ACTIVIDADES'!$A$4:$A$26,0)),""))=0,(IFERROR(INDEX('CAT_ACTIVIDADES'!$D$4:$D$26,MATCH($H576,'CAT_ACTIVIDADES'!$A$4:$A$26,0)),""))=""),"SIN CLASIFICAR",IFERROR(INDEX('CAT_ACTIVIDADES'!$D$4:$D$26,MATCH($H576,'CAT_ACTIVIDADES'!$A$4:$A$26,0)),"")))</f>
        <v/>
      </c>
      <c r="AP576" s="4" t="n"/>
      <c r="AQ576" s="4" t="n"/>
      <c r="AR576" s="4" t="n"/>
      <c r="AS576" s="24">
        <f>IF($AR576="","",HYPERLINK(p_ruta_base_checklists&amp;$AR576,"abrir"))</f>
        <v/>
      </c>
      <c r="AT576" s="4" t="n"/>
      <c r="AU576" s="24">
        <f>IF($A576="","",$A576&amp;IF($B576="","0010",$B576))</f>
        <v/>
      </c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41" t="n"/>
      <c r="K577" s="5" t="n"/>
      <c r="L577" s="18" t="n"/>
      <c r="M577" s="24">
        <f>IF($A577="","",IFERROR(INDEX('AJUSTES'!$B$4:$B$303,MATCH($AU577,'AJUSTES'!$A$4:$A$303,0)),IF($K577="","",$K577)))</f>
        <v/>
      </c>
      <c r="N577" s="24">
        <f>IF($A577="","",IFERROR(INDEX('CAT_ESTADOS_ERP'!$B$4:$B$22,MATCH(IFERROR(INDEX('2_IMPORTAR_EJECUCION'!$C$9:$C$1208,MATCH($AU577,'2_IMPORTAR_EJECUCION'!$J$9:$J$1208,0)),""),'CAT_ESTADOS_ERP'!$A$4:$A$22,0)),"Pendiente"))</f>
        <v/>
      </c>
      <c r="O577" s="24">
        <f>IF($J577="","",YEAR($J577+4-WEEKDAY($J577,2))&amp;"-S"&amp;TEXT(_xlfn.ISOWEEKNUM($J577),"00"))</f>
        <v/>
      </c>
      <c r="P577" s="24">
        <f>IF($J577="","",YEAR($J577))</f>
        <v/>
      </c>
      <c r="Q577" s="24">
        <f>IF($J577="","",MONTH($J577))</f>
        <v/>
      </c>
      <c r="R577" s="24">
        <f>IF($J577="","",$P577&amp;"-"&amp;TEXT($Q577,"00"))</f>
        <v/>
      </c>
      <c r="S577" s="24">
        <f>IF($J577="","",INDEX(lista_dias,WEEKDAY($J577,2)))</f>
        <v/>
      </c>
      <c r="T577" s="24">
        <f>IF($J577="","",IFERROR(INDEX('CALENDARIO'!$C$15:$C$214,MATCH(TEXT($J577,"yyyy-mm-dd")&amp;"|"&amp;$Y577&amp;"|"&amp;$Z577,'CALENDARIO'!$G$15:$G$214,0)),IFERROR(INDEX('CALENDARIO'!$C$15:$C$214,MATCH(TEXT($J577,"yyyy-mm-dd")&amp;"|"&amp;$Y577&amp;"|",'CALENDARIO'!$G$15:$G$214,0)),IFERROR(INDEX('CALENDARIO'!$C$15:$C$214,MATCH(TEXT($J577,"yyyy-mm-dd")&amp;"||",'CALENDARIO'!$G$15:$G$214,0)),INDEX(patronHabil,WEEKDAY($J577,2))))))</f>
        <v/>
      </c>
      <c r="U577" s="24">
        <f>IF($I577="","",IFERROR(INDEX('CAT_TIPOS_OT'!$C$4:$C$23,MATCH($I577,'CAT_TIPOS_OT'!$A$4:$A$23,0)),"sin_clasificar"))</f>
        <v/>
      </c>
      <c r="V577" s="24">
        <f>IF($I577="","",IF(IFERROR(INDEX('CAT_TIPOS_OT'!$D$4:$D$23,MATCH($I577,'CAT_TIPOS_OT'!$A$4:$A$23,0)),"SIN CLASIFICAR")="","SIN CLASIFICAR",IFERROR(INDEX('CAT_TIPOS_OT'!$D$4:$D$23,MATCH($I577,'CAT_TIPOS_OT'!$A$4:$A$23,0)),"SIN CLASIFICAR")))</f>
        <v/>
      </c>
      <c r="W577" s="24">
        <f>IF($H577="","",IF(IFERROR(INDEX('CAT_ACTIVIDADES'!$F$4:$F$26,MATCH($H577,'CAT_ACTIVIDADES'!$A$4:$A$26,0)),"")=0,"",IFERROR(INDEX('CAT_ACTIVIDADES'!$F$4:$F$26,MATCH($H577,'CAT_ACTIVIDADES'!$A$4:$A$26,0)),"")))</f>
        <v/>
      </c>
      <c r="X577" s="24">
        <f>IF($F577="","",IFERROR(INDEX('CAT_CENTROS_COSTO'!$F$4:$F$28,MATCH($F577,'CAT_CENTROS_COSTO'!$A$4:$A$28,0)),"(sin catálogo)"))</f>
        <v/>
      </c>
      <c r="Y577" s="24">
        <f>IF($F577="","",IFERROR(INDEX('CAT_CENTROS_COSTO'!$D$4:$D$28,MATCH($F577,'CAT_CENTROS_COSTO'!$A$4:$A$28,0)),"(sin catálogo)"))</f>
        <v/>
      </c>
      <c r="Z577" s="24">
        <f>IF($F577="","",IF((IFERROR(INDEX('CAT_CENTROS_COSTO'!$E$4:$E$28,MATCH($F577,'CAT_CENTROS_COSTO'!$A$4:$A$28,0)),""))&lt;&gt;"",IFERROR(INDEX('CAT_CENTROS_COSTO'!$E$4:$E$28,MATCH($F577,'CAT_CENTROS_COSTO'!$A$4:$A$28,0)),""),$Y577))</f>
        <v/>
      </c>
      <c r="AA577" s="24">
        <f>IF($F577="","",IFERROR(INDEX('CAT_CENTROS_COSTO'!$G$4:$G$28,MATCH($F577,'CAT_CENTROS_COSTO'!$A$4:$A$28,0)),"(sin catálogo)"))</f>
        <v/>
      </c>
      <c r="AB577" s="24">
        <f>IF($G577="","",IFERROR(INDEX('CAT_PUESTOS'!$B$4:$B$23,MATCH($G577,'CAT_PUESTOS'!$A$4:$A$23,0)),"(sin catálogo)"))</f>
        <v/>
      </c>
      <c r="AC577" s="24">
        <f>IF($H577="","",IFERROR(INDEX('CAT_ACTIVIDADES'!$B$4:$B$26,MATCH($H577,'CAT_ACTIVIDADES'!$A$4:$A$26,0)),"(sin catálogo)"))</f>
        <v/>
      </c>
      <c r="AD577" s="26">
        <f>IF($J577="","",TODAY()-$J577)</f>
        <v/>
      </c>
      <c r="AE577" s="26">
        <f>IF($J577="","",IF($J577&lt;=TODAY(),COUNTIFS(cal_fechas,"&gt;="&amp;$J577,cal_fechas,"&lt;"&amp;TODAY(),cal_habil,"sí"),-COUNTIFS(cal_fechas,"&gt;="&amp;TODAY(),cal_fechas,"&lt;"&amp;$J577,cal_habil,"sí")))</f>
        <v/>
      </c>
      <c r="AF577" s="24">
        <f>IF($AE577="","",IF($AE577&lt;0,"FUTURO",IF($AE577&gt;p_dias_backlog_max,"BACKLOG","MES CORRIENTE")))</f>
        <v/>
      </c>
      <c r="AG577" s="24">
        <f>IF($AE577="",FALSE,AND($AE577&gt;p_dias_backlog_min,$AE577&lt;=p_dias_backlog_max))</f>
        <v/>
      </c>
      <c r="AH577" s="4" t="n"/>
      <c r="AI577" s="24">
        <f>IF($AH577="","",IF((IFERROR(INDEX('ASIGNACIONES'!$J$4:$J$451,MATCH($O577&amp;"|"&amp;$S577&amp;"|"&amp;$AH577,'ASIGNACIONES'!$N$4:$N$451,0)),""))=0,"",IFERROR(INDEX('ASIGNACIONES'!$J$4:$J$451,MATCH($O577&amp;"|"&amp;$S577&amp;"|"&amp;$AH577,'ASIGNACIONES'!$N$4:$N$451,0)),"")))</f>
        <v/>
      </c>
      <c r="AJ577" s="42">
        <f>IF($AH577="","",SUMIFS('ORDENES'!$M$4:$M$1203,'ORDENES'!$AH$4:$AH$1203,$AH577,'ORDENES'!$O$4:$O$1203,$O577,'ORDENES'!$S$4:$S$1203,$S577))</f>
        <v/>
      </c>
      <c r="AK577" s="42">
        <f>IF($AJ577="","",p_factor_productividad*IFERROR(INDEX('ASIGNACIONES'!$M$4:$M$451,MATCH($O577&amp;"|"&amp;$S577&amp;"|"&amp;$AH577,'ASIGNACIONES'!$N$4:$N$451,0)),0)-$AJ577)</f>
        <v/>
      </c>
      <c r="AL577" s="32">
        <f>IF($A577="","",IFERROR(INDEX('2_IMPORTAR_EJECUCION'!$F$9:$F$1208,MATCH($AU577,'2_IMPORTAR_EJECUCION'!$J$9:$J$1208,0)),0))</f>
        <v/>
      </c>
      <c r="AM577" s="32">
        <f>IF($A577="","",MAX(0,IFERROR(INDEX('2_IMPORTAR_EJECUCION'!$H$9:$H$1208,MATCH($AU577,'2_IMPORTAR_EJECUCION'!$J$9:$J$1208,0)),0)-$AL577))</f>
        <v/>
      </c>
      <c r="AN577" s="32">
        <f>IF($A577="","",$AL577+$AM577)</f>
        <v/>
      </c>
      <c r="AO577" s="24">
        <f>IF($A577="","",IF(OR((IFERROR(INDEX('CAT_ACTIVIDADES'!$D$4:$D$26,MATCH($H577,'CAT_ACTIVIDADES'!$A$4:$A$26,0)),""))=0,(IFERROR(INDEX('CAT_ACTIVIDADES'!$D$4:$D$26,MATCH($H577,'CAT_ACTIVIDADES'!$A$4:$A$26,0)),""))=""),"SIN CLASIFICAR",IFERROR(INDEX('CAT_ACTIVIDADES'!$D$4:$D$26,MATCH($H577,'CAT_ACTIVIDADES'!$A$4:$A$26,0)),"")))</f>
        <v/>
      </c>
      <c r="AP577" s="4" t="n"/>
      <c r="AQ577" s="4" t="n"/>
      <c r="AR577" s="4" t="n"/>
      <c r="AS577" s="24">
        <f>IF($AR577="","",HYPERLINK(p_ruta_base_checklists&amp;$AR577,"abrir"))</f>
        <v/>
      </c>
      <c r="AT577" s="4" t="n"/>
      <c r="AU577" s="24">
        <f>IF($A577="","",$A577&amp;IF($B577="","0010",$B577))</f>
        <v/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41" t="n"/>
      <c r="K578" s="5" t="n"/>
      <c r="L578" s="18" t="n"/>
      <c r="M578" s="24">
        <f>IF($A578="","",IFERROR(INDEX('AJUSTES'!$B$4:$B$303,MATCH($AU578,'AJUSTES'!$A$4:$A$303,0)),IF($K578="","",$K578)))</f>
        <v/>
      </c>
      <c r="N578" s="24">
        <f>IF($A578="","",IFERROR(INDEX('CAT_ESTADOS_ERP'!$B$4:$B$22,MATCH(IFERROR(INDEX('2_IMPORTAR_EJECUCION'!$C$9:$C$1208,MATCH($AU578,'2_IMPORTAR_EJECUCION'!$J$9:$J$1208,0)),""),'CAT_ESTADOS_ERP'!$A$4:$A$22,0)),"Pendiente"))</f>
        <v/>
      </c>
      <c r="O578" s="24">
        <f>IF($J578="","",YEAR($J578+4-WEEKDAY($J578,2))&amp;"-S"&amp;TEXT(_xlfn.ISOWEEKNUM($J578),"00"))</f>
        <v/>
      </c>
      <c r="P578" s="24">
        <f>IF($J578="","",YEAR($J578))</f>
        <v/>
      </c>
      <c r="Q578" s="24">
        <f>IF($J578="","",MONTH($J578))</f>
        <v/>
      </c>
      <c r="R578" s="24">
        <f>IF($J578="","",$P578&amp;"-"&amp;TEXT($Q578,"00"))</f>
        <v/>
      </c>
      <c r="S578" s="24">
        <f>IF($J578="","",INDEX(lista_dias,WEEKDAY($J578,2)))</f>
        <v/>
      </c>
      <c r="T578" s="24">
        <f>IF($J578="","",IFERROR(INDEX('CALENDARIO'!$C$15:$C$214,MATCH(TEXT($J578,"yyyy-mm-dd")&amp;"|"&amp;$Y578&amp;"|"&amp;$Z578,'CALENDARIO'!$G$15:$G$214,0)),IFERROR(INDEX('CALENDARIO'!$C$15:$C$214,MATCH(TEXT($J578,"yyyy-mm-dd")&amp;"|"&amp;$Y578&amp;"|",'CALENDARIO'!$G$15:$G$214,0)),IFERROR(INDEX('CALENDARIO'!$C$15:$C$214,MATCH(TEXT($J578,"yyyy-mm-dd")&amp;"||",'CALENDARIO'!$G$15:$G$214,0)),INDEX(patronHabil,WEEKDAY($J578,2))))))</f>
        <v/>
      </c>
      <c r="U578" s="24">
        <f>IF($I578="","",IFERROR(INDEX('CAT_TIPOS_OT'!$C$4:$C$23,MATCH($I578,'CAT_TIPOS_OT'!$A$4:$A$23,0)),"sin_clasificar"))</f>
        <v/>
      </c>
      <c r="V578" s="24">
        <f>IF($I578="","",IF(IFERROR(INDEX('CAT_TIPOS_OT'!$D$4:$D$23,MATCH($I578,'CAT_TIPOS_OT'!$A$4:$A$23,0)),"SIN CLASIFICAR")="","SIN CLASIFICAR",IFERROR(INDEX('CAT_TIPOS_OT'!$D$4:$D$23,MATCH($I578,'CAT_TIPOS_OT'!$A$4:$A$23,0)),"SIN CLASIFICAR")))</f>
        <v/>
      </c>
      <c r="W578" s="24">
        <f>IF($H578="","",IF(IFERROR(INDEX('CAT_ACTIVIDADES'!$F$4:$F$26,MATCH($H578,'CAT_ACTIVIDADES'!$A$4:$A$26,0)),"")=0,"",IFERROR(INDEX('CAT_ACTIVIDADES'!$F$4:$F$26,MATCH($H578,'CAT_ACTIVIDADES'!$A$4:$A$26,0)),"")))</f>
        <v/>
      </c>
      <c r="X578" s="24">
        <f>IF($F578="","",IFERROR(INDEX('CAT_CENTROS_COSTO'!$F$4:$F$28,MATCH($F578,'CAT_CENTROS_COSTO'!$A$4:$A$28,0)),"(sin catálogo)"))</f>
        <v/>
      </c>
      <c r="Y578" s="24">
        <f>IF($F578="","",IFERROR(INDEX('CAT_CENTROS_COSTO'!$D$4:$D$28,MATCH($F578,'CAT_CENTROS_COSTO'!$A$4:$A$28,0)),"(sin catálogo)"))</f>
        <v/>
      </c>
      <c r="Z578" s="24">
        <f>IF($F578="","",IF((IFERROR(INDEX('CAT_CENTROS_COSTO'!$E$4:$E$28,MATCH($F578,'CAT_CENTROS_COSTO'!$A$4:$A$28,0)),""))&lt;&gt;"",IFERROR(INDEX('CAT_CENTROS_COSTO'!$E$4:$E$28,MATCH($F578,'CAT_CENTROS_COSTO'!$A$4:$A$28,0)),""),$Y578))</f>
        <v/>
      </c>
      <c r="AA578" s="24">
        <f>IF($F578="","",IFERROR(INDEX('CAT_CENTROS_COSTO'!$G$4:$G$28,MATCH($F578,'CAT_CENTROS_COSTO'!$A$4:$A$28,0)),"(sin catálogo)"))</f>
        <v/>
      </c>
      <c r="AB578" s="24">
        <f>IF($G578="","",IFERROR(INDEX('CAT_PUESTOS'!$B$4:$B$23,MATCH($G578,'CAT_PUESTOS'!$A$4:$A$23,0)),"(sin catálogo)"))</f>
        <v/>
      </c>
      <c r="AC578" s="24">
        <f>IF($H578="","",IFERROR(INDEX('CAT_ACTIVIDADES'!$B$4:$B$26,MATCH($H578,'CAT_ACTIVIDADES'!$A$4:$A$26,0)),"(sin catálogo)"))</f>
        <v/>
      </c>
      <c r="AD578" s="26">
        <f>IF($J578="","",TODAY()-$J578)</f>
        <v/>
      </c>
      <c r="AE578" s="26">
        <f>IF($J578="","",IF($J578&lt;=TODAY(),COUNTIFS(cal_fechas,"&gt;="&amp;$J578,cal_fechas,"&lt;"&amp;TODAY(),cal_habil,"sí"),-COUNTIFS(cal_fechas,"&gt;="&amp;TODAY(),cal_fechas,"&lt;"&amp;$J578,cal_habil,"sí")))</f>
        <v/>
      </c>
      <c r="AF578" s="24">
        <f>IF($AE578="","",IF($AE578&lt;0,"FUTURO",IF($AE578&gt;p_dias_backlog_max,"BACKLOG","MES CORRIENTE")))</f>
        <v/>
      </c>
      <c r="AG578" s="24">
        <f>IF($AE578="",FALSE,AND($AE578&gt;p_dias_backlog_min,$AE578&lt;=p_dias_backlog_max))</f>
        <v/>
      </c>
      <c r="AH578" s="4" t="n"/>
      <c r="AI578" s="24">
        <f>IF($AH578="","",IF((IFERROR(INDEX('ASIGNACIONES'!$J$4:$J$451,MATCH($O578&amp;"|"&amp;$S578&amp;"|"&amp;$AH578,'ASIGNACIONES'!$N$4:$N$451,0)),""))=0,"",IFERROR(INDEX('ASIGNACIONES'!$J$4:$J$451,MATCH($O578&amp;"|"&amp;$S578&amp;"|"&amp;$AH578,'ASIGNACIONES'!$N$4:$N$451,0)),"")))</f>
        <v/>
      </c>
      <c r="AJ578" s="42">
        <f>IF($AH578="","",SUMIFS('ORDENES'!$M$4:$M$1203,'ORDENES'!$AH$4:$AH$1203,$AH578,'ORDENES'!$O$4:$O$1203,$O578,'ORDENES'!$S$4:$S$1203,$S578))</f>
        <v/>
      </c>
      <c r="AK578" s="42">
        <f>IF($AJ578="","",p_factor_productividad*IFERROR(INDEX('ASIGNACIONES'!$M$4:$M$451,MATCH($O578&amp;"|"&amp;$S578&amp;"|"&amp;$AH578,'ASIGNACIONES'!$N$4:$N$451,0)),0)-$AJ578)</f>
        <v/>
      </c>
      <c r="AL578" s="32">
        <f>IF($A578="","",IFERROR(INDEX('2_IMPORTAR_EJECUCION'!$F$9:$F$1208,MATCH($AU578,'2_IMPORTAR_EJECUCION'!$J$9:$J$1208,0)),0))</f>
        <v/>
      </c>
      <c r="AM578" s="32">
        <f>IF($A578="","",MAX(0,IFERROR(INDEX('2_IMPORTAR_EJECUCION'!$H$9:$H$1208,MATCH($AU578,'2_IMPORTAR_EJECUCION'!$J$9:$J$1208,0)),0)-$AL578))</f>
        <v/>
      </c>
      <c r="AN578" s="32">
        <f>IF($A578="","",$AL578+$AM578)</f>
        <v/>
      </c>
      <c r="AO578" s="24">
        <f>IF($A578="","",IF(OR((IFERROR(INDEX('CAT_ACTIVIDADES'!$D$4:$D$26,MATCH($H578,'CAT_ACTIVIDADES'!$A$4:$A$26,0)),""))=0,(IFERROR(INDEX('CAT_ACTIVIDADES'!$D$4:$D$26,MATCH($H578,'CAT_ACTIVIDADES'!$A$4:$A$26,0)),""))=""),"SIN CLASIFICAR",IFERROR(INDEX('CAT_ACTIVIDADES'!$D$4:$D$26,MATCH($H578,'CAT_ACTIVIDADES'!$A$4:$A$26,0)),"")))</f>
        <v/>
      </c>
      <c r="AP578" s="4" t="n"/>
      <c r="AQ578" s="4" t="n"/>
      <c r="AR578" s="4" t="n"/>
      <c r="AS578" s="24">
        <f>IF($AR578="","",HYPERLINK(p_ruta_base_checklists&amp;$AR578,"abrir"))</f>
        <v/>
      </c>
      <c r="AT578" s="4" t="n"/>
      <c r="AU578" s="24">
        <f>IF($A578="","",$A578&amp;IF($B578="","0010",$B578))</f>
        <v/>
      </c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41" t="n"/>
      <c r="K579" s="5" t="n"/>
      <c r="L579" s="18" t="n"/>
      <c r="M579" s="24">
        <f>IF($A579="","",IFERROR(INDEX('AJUSTES'!$B$4:$B$303,MATCH($AU579,'AJUSTES'!$A$4:$A$303,0)),IF($K579="","",$K579)))</f>
        <v/>
      </c>
      <c r="N579" s="24">
        <f>IF($A579="","",IFERROR(INDEX('CAT_ESTADOS_ERP'!$B$4:$B$22,MATCH(IFERROR(INDEX('2_IMPORTAR_EJECUCION'!$C$9:$C$1208,MATCH($AU579,'2_IMPORTAR_EJECUCION'!$J$9:$J$1208,0)),""),'CAT_ESTADOS_ERP'!$A$4:$A$22,0)),"Pendiente"))</f>
        <v/>
      </c>
      <c r="O579" s="24">
        <f>IF($J579="","",YEAR($J579+4-WEEKDAY($J579,2))&amp;"-S"&amp;TEXT(_xlfn.ISOWEEKNUM($J579),"00"))</f>
        <v/>
      </c>
      <c r="P579" s="24">
        <f>IF($J579="","",YEAR($J579))</f>
        <v/>
      </c>
      <c r="Q579" s="24">
        <f>IF($J579="","",MONTH($J579))</f>
        <v/>
      </c>
      <c r="R579" s="24">
        <f>IF($J579="","",$P579&amp;"-"&amp;TEXT($Q579,"00"))</f>
        <v/>
      </c>
      <c r="S579" s="24">
        <f>IF($J579="","",INDEX(lista_dias,WEEKDAY($J579,2)))</f>
        <v/>
      </c>
      <c r="T579" s="24">
        <f>IF($J579="","",IFERROR(INDEX('CALENDARIO'!$C$15:$C$214,MATCH(TEXT($J579,"yyyy-mm-dd")&amp;"|"&amp;$Y579&amp;"|"&amp;$Z579,'CALENDARIO'!$G$15:$G$214,0)),IFERROR(INDEX('CALENDARIO'!$C$15:$C$214,MATCH(TEXT($J579,"yyyy-mm-dd")&amp;"|"&amp;$Y579&amp;"|",'CALENDARIO'!$G$15:$G$214,0)),IFERROR(INDEX('CALENDARIO'!$C$15:$C$214,MATCH(TEXT($J579,"yyyy-mm-dd")&amp;"||",'CALENDARIO'!$G$15:$G$214,0)),INDEX(patronHabil,WEEKDAY($J579,2))))))</f>
        <v/>
      </c>
      <c r="U579" s="24">
        <f>IF($I579="","",IFERROR(INDEX('CAT_TIPOS_OT'!$C$4:$C$23,MATCH($I579,'CAT_TIPOS_OT'!$A$4:$A$23,0)),"sin_clasificar"))</f>
        <v/>
      </c>
      <c r="V579" s="24">
        <f>IF($I579="","",IF(IFERROR(INDEX('CAT_TIPOS_OT'!$D$4:$D$23,MATCH($I579,'CAT_TIPOS_OT'!$A$4:$A$23,0)),"SIN CLASIFICAR")="","SIN CLASIFICAR",IFERROR(INDEX('CAT_TIPOS_OT'!$D$4:$D$23,MATCH($I579,'CAT_TIPOS_OT'!$A$4:$A$23,0)),"SIN CLASIFICAR")))</f>
        <v/>
      </c>
      <c r="W579" s="24">
        <f>IF($H579="","",IF(IFERROR(INDEX('CAT_ACTIVIDADES'!$F$4:$F$26,MATCH($H579,'CAT_ACTIVIDADES'!$A$4:$A$26,0)),"")=0,"",IFERROR(INDEX('CAT_ACTIVIDADES'!$F$4:$F$26,MATCH($H579,'CAT_ACTIVIDADES'!$A$4:$A$26,0)),"")))</f>
        <v/>
      </c>
      <c r="X579" s="24">
        <f>IF($F579="","",IFERROR(INDEX('CAT_CENTROS_COSTO'!$F$4:$F$28,MATCH($F579,'CAT_CENTROS_COSTO'!$A$4:$A$28,0)),"(sin catálogo)"))</f>
        <v/>
      </c>
      <c r="Y579" s="24">
        <f>IF($F579="","",IFERROR(INDEX('CAT_CENTROS_COSTO'!$D$4:$D$28,MATCH($F579,'CAT_CENTROS_COSTO'!$A$4:$A$28,0)),"(sin catálogo)"))</f>
        <v/>
      </c>
      <c r="Z579" s="24">
        <f>IF($F579="","",IF((IFERROR(INDEX('CAT_CENTROS_COSTO'!$E$4:$E$28,MATCH($F579,'CAT_CENTROS_COSTO'!$A$4:$A$28,0)),""))&lt;&gt;"",IFERROR(INDEX('CAT_CENTROS_COSTO'!$E$4:$E$28,MATCH($F579,'CAT_CENTROS_COSTO'!$A$4:$A$28,0)),""),$Y579))</f>
        <v/>
      </c>
      <c r="AA579" s="24">
        <f>IF($F579="","",IFERROR(INDEX('CAT_CENTROS_COSTO'!$G$4:$G$28,MATCH($F579,'CAT_CENTROS_COSTO'!$A$4:$A$28,0)),"(sin catálogo)"))</f>
        <v/>
      </c>
      <c r="AB579" s="24">
        <f>IF($G579="","",IFERROR(INDEX('CAT_PUESTOS'!$B$4:$B$23,MATCH($G579,'CAT_PUESTOS'!$A$4:$A$23,0)),"(sin catálogo)"))</f>
        <v/>
      </c>
      <c r="AC579" s="24">
        <f>IF($H579="","",IFERROR(INDEX('CAT_ACTIVIDADES'!$B$4:$B$26,MATCH($H579,'CAT_ACTIVIDADES'!$A$4:$A$26,0)),"(sin catálogo)"))</f>
        <v/>
      </c>
      <c r="AD579" s="26">
        <f>IF($J579="","",TODAY()-$J579)</f>
        <v/>
      </c>
      <c r="AE579" s="26">
        <f>IF($J579="","",IF($J579&lt;=TODAY(),COUNTIFS(cal_fechas,"&gt;="&amp;$J579,cal_fechas,"&lt;"&amp;TODAY(),cal_habil,"sí"),-COUNTIFS(cal_fechas,"&gt;="&amp;TODAY(),cal_fechas,"&lt;"&amp;$J579,cal_habil,"sí")))</f>
        <v/>
      </c>
      <c r="AF579" s="24">
        <f>IF($AE579="","",IF($AE579&lt;0,"FUTURO",IF($AE579&gt;p_dias_backlog_max,"BACKLOG","MES CORRIENTE")))</f>
        <v/>
      </c>
      <c r="AG579" s="24">
        <f>IF($AE579="",FALSE,AND($AE579&gt;p_dias_backlog_min,$AE579&lt;=p_dias_backlog_max))</f>
        <v/>
      </c>
      <c r="AH579" s="4" t="n"/>
      <c r="AI579" s="24">
        <f>IF($AH579="","",IF((IFERROR(INDEX('ASIGNACIONES'!$J$4:$J$451,MATCH($O579&amp;"|"&amp;$S579&amp;"|"&amp;$AH579,'ASIGNACIONES'!$N$4:$N$451,0)),""))=0,"",IFERROR(INDEX('ASIGNACIONES'!$J$4:$J$451,MATCH($O579&amp;"|"&amp;$S579&amp;"|"&amp;$AH579,'ASIGNACIONES'!$N$4:$N$451,0)),"")))</f>
        <v/>
      </c>
      <c r="AJ579" s="42">
        <f>IF($AH579="","",SUMIFS('ORDENES'!$M$4:$M$1203,'ORDENES'!$AH$4:$AH$1203,$AH579,'ORDENES'!$O$4:$O$1203,$O579,'ORDENES'!$S$4:$S$1203,$S579))</f>
        <v/>
      </c>
      <c r="AK579" s="42">
        <f>IF($AJ579="","",p_factor_productividad*IFERROR(INDEX('ASIGNACIONES'!$M$4:$M$451,MATCH($O579&amp;"|"&amp;$S579&amp;"|"&amp;$AH579,'ASIGNACIONES'!$N$4:$N$451,0)),0)-$AJ579)</f>
        <v/>
      </c>
      <c r="AL579" s="32">
        <f>IF($A579="","",IFERROR(INDEX('2_IMPORTAR_EJECUCION'!$F$9:$F$1208,MATCH($AU579,'2_IMPORTAR_EJECUCION'!$J$9:$J$1208,0)),0))</f>
        <v/>
      </c>
      <c r="AM579" s="32">
        <f>IF($A579="","",MAX(0,IFERROR(INDEX('2_IMPORTAR_EJECUCION'!$H$9:$H$1208,MATCH($AU579,'2_IMPORTAR_EJECUCION'!$J$9:$J$1208,0)),0)-$AL579))</f>
        <v/>
      </c>
      <c r="AN579" s="32">
        <f>IF($A579="","",$AL579+$AM579)</f>
        <v/>
      </c>
      <c r="AO579" s="24">
        <f>IF($A579="","",IF(OR((IFERROR(INDEX('CAT_ACTIVIDADES'!$D$4:$D$26,MATCH($H579,'CAT_ACTIVIDADES'!$A$4:$A$26,0)),""))=0,(IFERROR(INDEX('CAT_ACTIVIDADES'!$D$4:$D$26,MATCH($H579,'CAT_ACTIVIDADES'!$A$4:$A$26,0)),""))=""),"SIN CLASIFICAR",IFERROR(INDEX('CAT_ACTIVIDADES'!$D$4:$D$26,MATCH($H579,'CAT_ACTIVIDADES'!$A$4:$A$26,0)),"")))</f>
        <v/>
      </c>
      <c r="AP579" s="4" t="n"/>
      <c r="AQ579" s="4" t="n"/>
      <c r="AR579" s="4" t="n"/>
      <c r="AS579" s="24">
        <f>IF($AR579="","",HYPERLINK(p_ruta_base_checklists&amp;$AR579,"abrir"))</f>
        <v/>
      </c>
      <c r="AT579" s="4" t="n"/>
      <c r="AU579" s="24">
        <f>IF($A579="","",$A579&amp;IF($B579="","0010",$B579))</f>
        <v/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41" t="n"/>
      <c r="K580" s="5" t="n"/>
      <c r="L580" s="18" t="n"/>
      <c r="M580" s="24">
        <f>IF($A580="","",IFERROR(INDEX('AJUSTES'!$B$4:$B$303,MATCH($AU580,'AJUSTES'!$A$4:$A$303,0)),IF($K580="","",$K580)))</f>
        <v/>
      </c>
      <c r="N580" s="24">
        <f>IF($A580="","",IFERROR(INDEX('CAT_ESTADOS_ERP'!$B$4:$B$22,MATCH(IFERROR(INDEX('2_IMPORTAR_EJECUCION'!$C$9:$C$1208,MATCH($AU580,'2_IMPORTAR_EJECUCION'!$J$9:$J$1208,0)),""),'CAT_ESTADOS_ERP'!$A$4:$A$22,0)),"Pendiente"))</f>
        <v/>
      </c>
      <c r="O580" s="24">
        <f>IF($J580="","",YEAR($J580+4-WEEKDAY($J580,2))&amp;"-S"&amp;TEXT(_xlfn.ISOWEEKNUM($J580),"00"))</f>
        <v/>
      </c>
      <c r="P580" s="24">
        <f>IF($J580="","",YEAR($J580))</f>
        <v/>
      </c>
      <c r="Q580" s="24">
        <f>IF($J580="","",MONTH($J580))</f>
        <v/>
      </c>
      <c r="R580" s="24">
        <f>IF($J580="","",$P580&amp;"-"&amp;TEXT($Q580,"00"))</f>
        <v/>
      </c>
      <c r="S580" s="24">
        <f>IF($J580="","",INDEX(lista_dias,WEEKDAY($J580,2)))</f>
        <v/>
      </c>
      <c r="T580" s="24">
        <f>IF($J580="","",IFERROR(INDEX('CALENDARIO'!$C$15:$C$214,MATCH(TEXT($J580,"yyyy-mm-dd")&amp;"|"&amp;$Y580&amp;"|"&amp;$Z580,'CALENDARIO'!$G$15:$G$214,0)),IFERROR(INDEX('CALENDARIO'!$C$15:$C$214,MATCH(TEXT($J580,"yyyy-mm-dd")&amp;"|"&amp;$Y580&amp;"|",'CALENDARIO'!$G$15:$G$214,0)),IFERROR(INDEX('CALENDARIO'!$C$15:$C$214,MATCH(TEXT($J580,"yyyy-mm-dd")&amp;"||",'CALENDARIO'!$G$15:$G$214,0)),INDEX(patronHabil,WEEKDAY($J580,2))))))</f>
        <v/>
      </c>
      <c r="U580" s="24">
        <f>IF($I580="","",IFERROR(INDEX('CAT_TIPOS_OT'!$C$4:$C$23,MATCH($I580,'CAT_TIPOS_OT'!$A$4:$A$23,0)),"sin_clasificar"))</f>
        <v/>
      </c>
      <c r="V580" s="24">
        <f>IF($I580="","",IF(IFERROR(INDEX('CAT_TIPOS_OT'!$D$4:$D$23,MATCH($I580,'CAT_TIPOS_OT'!$A$4:$A$23,0)),"SIN CLASIFICAR")="","SIN CLASIFICAR",IFERROR(INDEX('CAT_TIPOS_OT'!$D$4:$D$23,MATCH($I580,'CAT_TIPOS_OT'!$A$4:$A$23,0)),"SIN CLASIFICAR")))</f>
        <v/>
      </c>
      <c r="W580" s="24">
        <f>IF($H580="","",IF(IFERROR(INDEX('CAT_ACTIVIDADES'!$F$4:$F$26,MATCH($H580,'CAT_ACTIVIDADES'!$A$4:$A$26,0)),"")=0,"",IFERROR(INDEX('CAT_ACTIVIDADES'!$F$4:$F$26,MATCH($H580,'CAT_ACTIVIDADES'!$A$4:$A$26,0)),"")))</f>
        <v/>
      </c>
      <c r="X580" s="24">
        <f>IF($F580="","",IFERROR(INDEX('CAT_CENTROS_COSTO'!$F$4:$F$28,MATCH($F580,'CAT_CENTROS_COSTO'!$A$4:$A$28,0)),"(sin catálogo)"))</f>
        <v/>
      </c>
      <c r="Y580" s="24">
        <f>IF($F580="","",IFERROR(INDEX('CAT_CENTROS_COSTO'!$D$4:$D$28,MATCH($F580,'CAT_CENTROS_COSTO'!$A$4:$A$28,0)),"(sin catálogo)"))</f>
        <v/>
      </c>
      <c r="Z580" s="24">
        <f>IF($F580="","",IF((IFERROR(INDEX('CAT_CENTROS_COSTO'!$E$4:$E$28,MATCH($F580,'CAT_CENTROS_COSTO'!$A$4:$A$28,0)),""))&lt;&gt;"",IFERROR(INDEX('CAT_CENTROS_COSTO'!$E$4:$E$28,MATCH($F580,'CAT_CENTROS_COSTO'!$A$4:$A$28,0)),""),$Y580))</f>
        <v/>
      </c>
      <c r="AA580" s="24">
        <f>IF($F580="","",IFERROR(INDEX('CAT_CENTROS_COSTO'!$G$4:$G$28,MATCH($F580,'CAT_CENTROS_COSTO'!$A$4:$A$28,0)),"(sin catálogo)"))</f>
        <v/>
      </c>
      <c r="AB580" s="24">
        <f>IF($G580="","",IFERROR(INDEX('CAT_PUESTOS'!$B$4:$B$23,MATCH($G580,'CAT_PUESTOS'!$A$4:$A$23,0)),"(sin catálogo)"))</f>
        <v/>
      </c>
      <c r="AC580" s="24">
        <f>IF($H580="","",IFERROR(INDEX('CAT_ACTIVIDADES'!$B$4:$B$26,MATCH($H580,'CAT_ACTIVIDADES'!$A$4:$A$26,0)),"(sin catálogo)"))</f>
        <v/>
      </c>
      <c r="AD580" s="26">
        <f>IF($J580="","",TODAY()-$J580)</f>
        <v/>
      </c>
      <c r="AE580" s="26">
        <f>IF($J580="","",IF($J580&lt;=TODAY(),COUNTIFS(cal_fechas,"&gt;="&amp;$J580,cal_fechas,"&lt;"&amp;TODAY(),cal_habil,"sí"),-COUNTIFS(cal_fechas,"&gt;="&amp;TODAY(),cal_fechas,"&lt;"&amp;$J580,cal_habil,"sí")))</f>
        <v/>
      </c>
      <c r="AF580" s="24">
        <f>IF($AE580="","",IF($AE580&lt;0,"FUTURO",IF($AE580&gt;p_dias_backlog_max,"BACKLOG","MES CORRIENTE")))</f>
        <v/>
      </c>
      <c r="AG580" s="24">
        <f>IF($AE580="",FALSE,AND($AE580&gt;p_dias_backlog_min,$AE580&lt;=p_dias_backlog_max))</f>
        <v/>
      </c>
      <c r="AH580" s="4" t="n"/>
      <c r="AI580" s="24">
        <f>IF($AH580="","",IF((IFERROR(INDEX('ASIGNACIONES'!$J$4:$J$451,MATCH($O580&amp;"|"&amp;$S580&amp;"|"&amp;$AH580,'ASIGNACIONES'!$N$4:$N$451,0)),""))=0,"",IFERROR(INDEX('ASIGNACIONES'!$J$4:$J$451,MATCH($O580&amp;"|"&amp;$S580&amp;"|"&amp;$AH580,'ASIGNACIONES'!$N$4:$N$451,0)),"")))</f>
        <v/>
      </c>
      <c r="AJ580" s="42">
        <f>IF($AH580="","",SUMIFS('ORDENES'!$M$4:$M$1203,'ORDENES'!$AH$4:$AH$1203,$AH580,'ORDENES'!$O$4:$O$1203,$O580,'ORDENES'!$S$4:$S$1203,$S580))</f>
        <v/>
      </c>
      <c r="AK580" s="42">
        <f>IF($AJ580="","",p_factor_productividad*IFERROR(INDEX('ASIGNACIONES'!$M$4:$M$451,MATCH($O580&amp;"|"&amp;$S580&amp;"|"&amp;$AH580,'ASIGNACIONES'!$N$4:$N$451,0)),0)-$AJ580)</f>
        <v/>
      </c>
      <c r="AL580" s="32">
        <f>IF($A580="","",IFERROR(INDEX('2_IMPORTAR_EJECUCION'!$F$9:$F$1208,MATCH($AU580,'2_IMPORTAR_EJECUCION'!$J$9:$J$1208,0)),0))</f>
        <v/>
      </c>
      <c r="AM580" s="32">
        <f>IF($A580="","",MAX(0,IFERROR(INDEX('2_IMPORTAR_EJECUCION'!$H$9:$H$1208,MATCH($AU580,'2_IMPORTAR_EJECUCION'!$J$9:$J$1208,0)),0)-$AL580))</f>
        <v/>
      </c>
      <c r="AN580" s="32">
        <f>IF($A580="","",$AL580+$AM580)</f>
        <v/>
      </c>
      <c r="AO580" s="24">
        <f>IF($A580="","",IF(OR((IFERROR(INDEX('CAT_ACTIVIDADES'!$D$4:$D$26,MATCH($H580,'CAT_ACTIVIDADES'!$A$4:$A$26,0)),""))=0,(IFERROR(INDEX('CAT_ACTIVIDADES'!$D$4:$D$26,MATCH($H580,'CAT_ACTIVIDADES'!$A$4:$A$26,0)),""))=""),"SIN CLASIFICAR",IFERROR(INDEX('CAT_ACTIVIDADES'!$D$4:$D$26,MATCH($H580,'CAT_ACTIVIDADES'!$A$4:$A$26,0)),"")))</f>
        <v/>
      </c>
      <c r="AP580" s="4" t="n"/>
      <c r="AQ580" s="4" t="n"/>
      <c r="AR580" s="4" t="n"/>
      <c r="AS580" s="24">
        <f>IF($AR580="","",HYPERLINK(p_ruta_base_checklists&amp;$AR580,"abrir"))</f>
        <v/>
      </c>
      <c r="AT580" s="4" t="n"/>
      <c r="AU580" s="24">
        <f>IF($A580="","",$A580&amp;IF($B580="","0010",$B580))</f>
        <v/>
      </c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41" t="n"/>
      <c r="K581" s="5" t="n"/>
      <c r="L581" s="18" t="n"/>
      <c r="M581" s="24">
        <f>IF($A581="","",IFERROR(INDEX('AJUSTES'!$B$4:$B$303,MATCH($AU581,'AJUSTES'!$A$4:$A$303,0)),IF($K581="","",$K581)))</f>
        <v/>
      </c>
      <c r="N581" s="24">
        <f>IF($A581="","",IFERROR(INDEX('CAT_ESTADOS_ERP'!$B$4:$B$22,MATCH(IFERROR(INDEX('2_IMPORTAR_EJECUCION'!$C$9:$C$1208,MATCH($AU581,'2_IMPORTAR_EJECUCION'!$J$9:$J$1208,0)),""),'CAT_ESTADOS_ERP'!$A$4:$A$22,0)),"Pendiente"))</f>
        <v/>
      </c>
      <c r="O581" s="24">
        <f>IF($J581="","",YEAR($J581+4-WEEKDAY($J581,2))&amp;"-S"&amp;TEXT(_xlfn.ISOWEEKNUM($J581),"00"))</f>
        <v/>
      </c>
      <c r="P581" s="24">
        <f>IF($J581="","",YEAR($J581))</f>
        <v/>
      </c>
      <c r="Q581" s="24">
        <f>IF($J581="","",MONTH($J581))</f>
        <v/>
      </c>
      <c r="R581" s="24">
        <f>IF($J581="","",$P581&amp;"-"&amp;TEXT($Q581,"00"))</f>
        <v/>
      </c>
      <c r="S581" s="24">
        <f>IF($J581="","",INDEX(lista_dias,WEEKDAY($J581,2)))</f>
        <v/>
      </c>
      <c r="T581" s="24">
        <f>IF($J581="","",IFERROR(INDEX('CALENDARIO'!$C$15:$C$214,MATCH(TEXT($J581,"yyyy-mm-dd")&amp;"|"&amp;$Y581&amp;"|"&amp;$Z581,'CALENDARIO'!$G$15:$G$214,0)),IFERROR(INDEX('CALENDARIO'!$C$15:$C$214,MATCH(TEXT($J581,"yyyy-mm-dd")&amp;"|"&amp;$Y581&amp;"|",'CALENDARIO'!$G$15:$G$214,0)),IFERROR(INDEX('CALENDARIO'!$C$15:$C$214,MATCH(TEXT($J581,"yyyy-mm-dd")&amp;"||",'CALENDARIO'!$G$15:$G$214,0)),INDEX(patronHabil,WEEKDAY($J581,2))))))</f>
        <v/>
      </c>
      <c r="U581" s="24">
        <f>IF($I581="","",IFERROR(INDEX('CAT_TIPOS_OT'!$C$4:$C$23,MATCH($I581,'CAT_TIPOS_OT'!$A$4:$A$23,0)),"sin_clasificar"))</f>
        <v/>
      </c>
      <c r="V581" s="24">
        <f>IF($I581="","",IF(IFERROR(INDEX('CAT_TIPOS_OT'!$D$4:$D$23,MATCH($I581,'CAT_TIPOS_OT'!$A$4:$A$23,0)),"SIN CLASIFICAR")="","SIN CLASIFICAR",IFERROR(INDEX('CAT_TIPOS_OT'!$D$4:$D$23,MATCH($I581,'CAT_TIPOS_OT'!$A$4:$A$23,0)),"SIN CLASIFICAR")))</f>
        <v/>
      </c>
      <c r="W581" s="24">
        <f>IF($H581="","",IF(IFERROR(INDEX('CAT_ACTIVIDADES'!$F$4:$F$26,MATCH($H581,'CAT_ACTIVIDADES'!$A$4:$A$26,0)),"")=0,"",IFERROR(INDEX('CAT_ACTIVIDADES'!$F$4:$F$26,MATCH($H581,'CAT_ACTIVIDADES'!$A$4:$A$26,0)),"")))</f>
        <v/>
      </c>
      <c r="X581" s="24">
        <f>IF($F581="","",IFERROR(INDEX('CAT_CENTROS_COSTO'!$F$4:$F$28,MATCH($F581,'CAT_CENTROS_COSTO'!$A$4:$A$28,0)),"(sin catálogo)"))</f>
        <v/>
      </c>
      <c r="Y581" s="24">
        <f>IF($F581="","",IFERROR(INDEX('CAT_CENTROS_COSTO'!$D$4:$D$28,MATCH($F581,'CAT_CENTROS_COSTO'!$A$4:$A$28,0)),"(sin catálogo)"))</f>
        <v/>
      </c>
      <c r="Z581" s="24">
        <f>IF($F581="","",IF((IFERROR(INDEX('CAT_CENTROS_COSTO'!$E$4:$E$28,MATCH($F581,'CAT_CENTROS_COSTO'!$A$4:$A$28,0)),""))&lt;&gt;"",IFERROR(INDEX('CAT_CENTROS_COSTO'!$E$4:$E$28,MATCH($F581,'CAT_CENTROS_COSTO'!$A$4:$A$28,0)),""),$Y581))</f>
        <v/>
      </c>
      <c r="AA581" s="24">
        <f>IF($F581="","",IFERROR(INDEX('CAT_CENTROS_COSTO'!$G$4:$G$28,MATCH($F581,'CAT_CENTROS_COSTO'!$A$4:$A$28,0)),"(sin catálogo)"))</f>
        <v/>
      </c>
      <c r="AB581" s="24">
        <f>IF($G581="","",IFERROR(INDEX('CAT_PUESTOS'!$B$4:$B$23,MATCH($G581,'CAT_PUESTOS'!$A$4:$A$23,0)),"(sin catálogo)"))</f>
        <v/>
      </c>
      <c r="AC581" s="24">
        <f>IF($H581="","",IFERROR(INDEX('CAT_ACTIVIDADES'!$B$4:$B$26,MATCH($H581,'CAT_ACTIVIDADES'!$A$4:$A$26,0)),"(sin catálogo)"))</f>
        <v/>
      </c>
      <c r="AD581" s="26">
        <f>IF($J581="","",TODAY()-$J581)</f>
        <v/>
      </c>
      <c r="AE581" s="26">
        <f>IF($J581="","",IF($J581&lt;=TODAY(),COUNTIFS(cal_fechas,"&gt;="&amp;$J581,cal_fechas,"&lt;"&amp;TODAY(),cal_habil,"sí"),-COUNTIFS(cal_fechas,"&gt;="&amp;TODAY(),cal_fechas,"&lt;"&amp;$J581,cal_habil,"sí")))</f>
        <v/>
      </c>
      <c r="AF581" s="24">
        <f>IF($AE581="","",IF($AE581&lt;0,"FUTURO",IF($AE581&gt;p_dias_backlog_max,"BACKLOG","MES CORRIENTE")))</f>
        <v/>
      </c>
      <c r="AG581" s="24">
        <f>IF($AE581="",FALSE,AND($AE581&gt;p_dias_backlog_min,$AE581&lt;=p_dias_backlog_max))</f>
        <v/>
      </c>
      <c r="AH581" s="4" t="n"/>
      <c r="AI581" s="24">
        <f>IF($AH581="","",IF((IFERROR(INDEX('ASIGNACIONES'!$J$4:$J$451,MATCH($O581&amp;"|"&amp;$S581&amp;"|"&amp;$AH581,'ASIGNACIONES'!$N$4:$N$451,0)),""))=0,"",IFERROR(INDEX('ASIGNACIONES'!$J$4:$J$451,MATCH($O581&amp;"|"&amp;$S581&amp;"|"&amp;$AH581,'ASIGNACIONES'!$N$4:$N$451,0)),"")))</f>
        <v/>
      </c>
      <c r="AJ581" s="42">
        <f>IF($AH581="","",SUMIFS('ORDENES'!$M$4:$M$1203,'ORDENES'!$AH$4:$AH$1203,$AH581,'ORDENES'!$O$4:$O$1203,$O581,'ORDENES'!$S$4:$S$1203,$S581))</f>
        <v/>
      </c>
      <c r="AK581" s="42">
        <f>IF($AJ581="","",p_factor_productividad*IFERROR(INDEX('ASIGNACIONES'!$M$4:$M$451,MATCH($O581&amp;"|"&amp;$S581&amp;"|"&amp;$AH581,'ASIGNACIONES'!$N$4:$N$451,0)),0)-$AJ581)</f>
        <v/>
      </c>
      <c r="AL581" s="32">
        <f>IF($A581="","",IFERROR(INDEX('2_IMPORTAR_EJECUCION'!$F$9:$F$1208,MATCH($AU581,'2_IMPORTAR_EJECUCION'!$J$9:$J$1208,0)),0))</f>
        <v/>
      </c>
      <c r="AM581" s="32">
        <f>IF($A581="","",MAX(0,IFERROR(INDEX('2_IMPORTAR_EJECUCION'!$H$9:$H$1208,MATCH($AU581,'2_IMPORTAR_EJECUCION'!$J$9:$J$1208,0)),0)-$AL581))</f>
        <v/>
      </c>
      <c r="AN581" s="32">
        <f>IF($A581="","",$AL581+$AM581)</f>
        <v/>
      </c>
      <c r="AO581" s="24">
        <f>IF($A581="","",IF(OR((IFERROR(INDEX('CAT_ACTIVIDADES'!$D$4:$D$26,MATCH($H581,'CAT_ACTIVIDADES'!$A$4:$A$26,0)),""))=0,(IFERROR(INDEX('CAT_ACTIVIDADES'!$D$4:$D$26,MATCH($H581,'CAT_ACTIVIDADES'!$A$4:$A$26,0)),""))=""),"SIN CLASIFICAR",IFERROR(INDEX('CAT_ACTIVIDADES'!$D$4:$D$26,MATCH($H581,'CAT_ACTIVIDADES'!$A$4:$A$26,0)),"")))</f>
        <v/>
      </c>
      <c r="AP581" s="4" t="n"/>
      <c r="AQ581" s="4" t="n"/>
      <c r="AR581" s="4" t="n"/>
      <c r="AS581" s="24">
        <f>IF($AR581="","",HYPERLINK(p_ruta_base_checklists&amp;$AR581,"abrir"))</f>
        <v/>
      </c>
      <c r="AT581" s="4" t="n"/>
      <c r="AU581" s="24">
        <f>IF($A581="","",$A581&amp;IF($B581="","0010",$B581))</f>
        <v/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41" t="n"/>
      <c r="K582" s="5" t="n"/>
      <c r="L582" s="18" t="n"/>
      <c r="M582" s="24">
        <f>IF($A582="","",IFERROR(INDEX('AJUSTES'!$B$4:$B$303,MATCH($AU582,'AJUSTES'!$A$4:$A$303,0)),IF($K582="","",$K582)))</f>
        <v/>
      </c>
      <c r="N582" s="24">
        <f>IF($A582="","",IFERROR(INDEX('CAT_ESTADOS_ERP'!$B$4:$B$22,MATCH(IFERROR(INDEX('2_IMPORTAR_EJECUCION'!$C$9:$C$1208,MATCH($AU582,'2_IMPORTAR_EJECUCION'!$J$9:$J$1208,0)),""),'CAT_ESTADOS_ERP'!$A$4:$A$22,0)),"Pendiente"))</f>
        <v/>
      </c>
      <c r="O582" s="24">
        <f>IF($J582="","",YEAR($J582+4-WEEKDAY($J582,2))&amp;"-S"&amp;TEXT(_xlfn.ISOWEEKNUM($J582),"00"))</f>
        <v/>
      </c>
      <c r="P582" s="24">
        <f>IF($J582="","",YEAR($J582))</f>
        <v/>
      </c>
      <c r="Q582" s="24">
        <f>IF($J582="","",MONTH($J582))</f>
        <v/>
      </c>
      <c r="R582" s="24">
        <f>IF($J582="","",$P582&amp;"-"&amp;TEXT($Q582,"00"))</f>
        <v/>
      </c>
      <c r="S582" s="24">
        <f>IF($J582="","",INDEX(lista_dias,WEEKDAY($J582,2)))</f>
        <v/>
      </c>
      <c r="T582" s="24">
        <f>IF($J582="","",IFERROR(INDEX('CALENDARIO'!$C$15:$C$214,MATCH(TEXT($J582,"yyyy-mm-dd")&amp;"|"&amp;$Y582&amp;"|"&amp;$Z582,'CALENDARIO'!$G$15:$G$214,0)),IFERROR(INDEX('CALENDARIO'!$C$15:$C$214,MATCH(TEXT($J582,"yyyy-mm-dd")&amp;"|"&amp;$Y582&amp;"|",'CALENDARIO'!$G$15:$G$214,0)),IFERROR(INDEX('CALENDARIO'!$C$15:$C$214,MATCH(TEXT($J582,"yyyy-mm-dd")&amp;"||",'CALENDARIO'!$G$15:$G$214,0)),INDEX(patronHabil,WEEKDAY($J582,2))))))</f>
        <v/>
      </c>
      <c r="U582" s="24">
        <f>IF($I582="","",IFERROR(INDEX('CAT_TIPOS_OT'!$C$4:$C$23,MATCH($I582,'CAT_TIPOS_OT'!$A$4:$A$23,0)),"sin_clasificar"))</f>
        <v/>
      </c>
      <c r="V582" s="24">
        <f>IF($I582="","",IF(IFERROR(INDEX('CAT_TIPOS_OT'!$D$4:$D$23,MATCH($I582,'CAT_TIPOS_OT'!$A$4:$A$23,0)),"SIN CLASIFICAR")="","SIN CLASIFICAR",IFERROR(INDEX('CAT_TIPOS_OT'!$D$4:$D$23,MATCH($I582,'CAT_TIPOS_OT'!$A$4:$A$23,0)),"SIN CLASIFICAR")))</f>
        <v/>
      </c>
      <c r="W582" s="24">
        <f>IF($H582="","",IF(IFERROR(INDEX('CAT_ACTIVIDADES'!$F$4:$F$26,MATCH($H582,'CAT_ACTIVIDADES'!$A$4:$A$26,0)),"")=0,"",IFERROR(INDEX('CAT_ACTIVIDADES'!$F$4:$F$26,MATCH($H582,'CAT_ACTIVIDADES'!$A$4:$A$26,0)),"")))</f>
        <v/>
      </c>
      <c r="X582" s="24">
        <f>IF($F582="","",IFERROR(INDEX('CAT_CENTROS_COSTO'!$F$4:$F$28,MATCH($F582,'CAT_CENTROS_COSTO'!$A$4:$A$28,0)),"(sin catálogo)"))</f>
        <v/>
      </c>
      <c r="Y582" s="24">
        <f>IF($F582="","",IFERROR(INDEX('CAT_CENTROS_COSTO'!$D$4:$D$28,MATCH($F582,'CAT_CENTROS_COSTO'!$A$4:$A$28,0)),"(sin catálogo)"))</f>
        <v/>
      </c>
      <c r="Z582" s="24">
        <f>IF($F582="","",IF((IFERROR(INDEX('CAT_CENTROS_COSTO'!$E$4:$E$28,MATCH($F582,'CAT_CENTROS_COSTO'!$A$4:$A$28,0)),""))&lt;&gt;"",IFERROR(INDEX('CAT_CENTROS_COSTO'!$E$4:$E$28,MATCH($F582,'CAT_CENTROS_COSTO'!$A$4:$A$28,0)),""),$Y582))</f>
        <v/>
      </c>
      <c r="AA582" s="24">
        <f>IF($F582="","",IFERROR(INDEX('CAT_CENTROS_COSTO'!$G$4:$G$28,MATCH($F582,'CAT_CENTROS_COSTO'!$A$4:$A$28,0)),"(sin catálogo)"))</f>
        <v/>
      </c>
      <c r="AB582" s="24">
        <f>IF($G582="","",IFERROR(INDEX('CAT_PUESTOS'!$B$4:$B$23,MATCH($G582,'CAT_PUESTOS'!$A$4:$A$23,0)),"(sin catálogo)"))</f>
        <v/>
      </c>
      <c r="AC582" s="24">
        <f>IF($H582="","",IFERROR(INDEX('CAT_ACTIVIDADES'!$B$4:$B$26,MATCH($H582,'CAT_ACTIVIDADES'!$A$4:$A$26,0)),"(sin catálogo)"))</f>
        <v/>
      </c>
      <c r="AD582" s="26">
        <f>IF($J582="","",TODAY()-$J582)</f>
        <v/>
      </c>
      <c r="AE582" s="26">
        <f>IF($J582="","",IF($J582&lt;=TODAY(),COUNTIFS(cal_fechas,"&gt;="&amp;$J582,cal_fechas,"&lt;"&amp;TODAY(),cal_habil,"sí"),-COUNTIFS(cal_fechas,"&gt;="&amp;TODAY(),cal_fechas,"&lt;"&amp;$J582,cal_habil,"sí")))</f>
        <v/>
      </c>
      <c r="AF582" s="24">
        <f>IF($AE582="","",IF($AE582&lt;0,"FUTURO",IF($AE582&gt;p_dias_backlog_max,"BACKLOG","MES CORRIENTE")))</f>
        <v/>
      </c>
      <c r="AG582" s="24">
        <f>IF($AE582="",FALSE,AND($AE582&gt;p_dias_backlog_min,$AE582&lt;=p_dias_backlog_max))</f>
        <v/>
      </c>
      <c r="AH582" s="4" t="n"/>
      <c r="AI582" s="24">
        <f>IF($AH582="","",IF((IFERROR(INDEX('ASIGNACIONES'!$J$4:$J$451,MATCH($O582&amp;"|"&amp;$S582&amp;"|"&amp;$AH582,'ASIGNACIONES'!$N$4:$N$451,0)),""))=0,"",IFERROR(INDEX('ASIGNACIONES'!$J$4:$J$451,MATCH($O582&amp;"|"&amp;$S582&amp;"|"&amp;$AH582,'ASIGNACIONES'!$N$4:$N$451,0)),"")))</f>
        <v/>
      </c>
      <c r="AJ582" s="42">
        <f>IF($AH582="","",SUMIFS('ORDENES'!$M$4:$M$1203,'ORDENES'!$AH$4:$AH$1203,$AH582,'ORDENES'!$O$4:$O$1203,$O582,'ORDENES'!$S$4:$S$1203,$S582))</f>
        <v/>
      </c>
      <c r="AK582" s="42">
        <f>IF($AJ582="","",p_factor_productividad*IFERROR(INDEX('ASIGNACIONES'!$M$4:$M$451,MATCH($O582&amp;"|"&amp;$S582&amp;"|"&amp;$AH582,'ASIGNACIONES'!$N$4:$N$451,0)),0)-$AJ582)</f>
        <v/>
      </c>
      <c r="AL582" s="32">
        <f>IF($A582="","",IFERROR(INDEX('2_IMPORTAR_EJECUCION'!$F$9:$F$1208,MATCH($AU582,'2_IMPORTAR_EJECUCION'!$J$9:$J$1208,0)),0))</f>
        <v/>
      </c>
      <c r="AM582" s="32">
        <f>IF($A582="","",MAX(0,IFERROR(INDEX('2_IMPORTAR_EJECUCION'!$H$9:$H$1208,MATCH($AU582,'2_IMPORTAR_EJECUCION'!$J$9:$J$1208,0)),0)-$AL582))</f>
        <v/>
      </c>
      <c r="AN582" s="32">
        <f>IF($A582="","",$AL582+$AM582)</f>
        <v/>
      </c>
      <c r="AO582" s="24">
        <f>IF($A582="","",IF(OR((IFERROR(INDEX('CAT_ACTIVIDADES'!$D$4:$D$26,MATCH($H582,'CAT_ACTIVIDADES'!$A$4:$A$26,0)),""))=0,(IFERROR(INDEX('CAT_ACTIVIDADES'!$D$4:$D$26,MATCH($H582,'CAT_ACTIVIDADES'!$A$4:$A$26,0)),""))=""),"SIN CLASIFICAR",IFERROR(INDEX('CAT_ACTIVIDADES'!$D$4:$D$26,MATCH($H582,'CAT_ACTIVIDADES'!$A$4:$A$26,0)),"")))</f>
        <v/>
      </c>
      <c r="AP582" s="4" t="n"/>
      <c r="AQ582" s="4" t="n"/>
      <c r="AR582" s="4" t="n"/>
      <c r="AS582" s="24">
        <f>IF($AR582="","",HYPERLINK(p_ruta_base_checklists&amp;$AR582,"abrir"))</f>
        <v/>
      </c>
      <c r="AT582" s="4" t="n"/>
      <c r="AU582" s="24">
        <f>IF($A582="","",$A582&amp;IF($B582="","0010",$B582))</f>
        <v/>
      </c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41" t="n"/>
      <c r="K583" s="5" t="n"/>
      <c r="L583" s="18" t="n"/>
      <c r="M583" s="24">
        <f>IF($A583="","",IFERROR(INDEX('AJUSTES'!$B$4:$B$303,MATCH($AU583,'AJUSTES'!$A$4:$A$303,0)),IF($K583="","",$K583)))</f>
        <v/>
      </c>
      <c r="N583" s="24">
        <f>IF($A583="","",IFERROR(INDEX('CAT_ESTADOS_ERP'!$B$4:$B$22,MATCH(IFERROR(INDEX('2_IMPORTAR_EJECUCION'!$C$9:$C$1208,MATCH($AU583,'2_IMPORTAR_EJECUCION'!$J$9:$J$1208,0)),""),'CAT_ESTADOS_ERP'!$A$4:$A$22,0)),"Pendiente"))</f>
        <v/>
      </c>
      <c r="O583" s="24">
        <f>IF($J583="","",YEAR($J583+4-WEEKDAY($J583,2))&amp;"-S"&amp;TEXT(_xlfn.ISOWEEKNUM($J583),"00"))</f>
        <v/>
      </c>
      <c r="P583" s="24">
        <f>IF($J583="","",YEAR($J583))</f>
        <v/>
      </c>
      <c r="Q583" s="24">
        <f>IF($J583="","",MONTH($J583))</f>
        <v/>
      </c>
      <c r="R583" s="24">
        <f>IF($J583="","",$P583&amp;"-"&amp;TEXT($Q583,"00"))</f>
        <v/>
      </c>
      <c r="S583" s="24">
        <f>IF($J583="","",INDEX(lista_dias,WEEKDAY($J583,2)))</f>
        <v/>
      </c>
      <c r="T583" s="24">
        <f>IF($J583="","",IFERROR(INDEX('CALENDARIO'!$C$15:$C$214,MATCH(TEXT($J583,"yyyy-mm-dd")&amp;"|"&amp;$Y583&amp;"|"&amp;$Z583,'CALENDARIO'!$G$15:$G$214,0)),IFERROR(INDEX('CALENDARIO'!$C$15:$C$214,MATCH(TEXT($J583,"yyyy-mm-dd")&amp;"|"&amp;$Y583&amp;"|",'CALENDARIO'!$G$15:$G$214,0)),IFERROR(INDEX('CALENDARIO'!$C$15:$C$214,MATCH(TEXT($J583,"yyyy-mm-dd")&amp;"||",'CALENDARIO'!$G$15:$G$214,0)),INDEX(patronHabil,WEEKDAY($J583,2))))))</f>
        <v/>
      </c>
      <c r="U583" s="24">
        <f>IF($I583="","",IFERROR(INDEX('CAT_TIPOS_OT'!$C$4:$C$23,MATCH($I583,'CAT_TIPOS_OT'!$A$4:$A$23,0)),"sin_clasificar"))</f>
        <v/>
      </c>
      <c r="V583" s="24">
        <f>IF($I583="","",IF(IFERROR(INDEX('CAT_TIPOS_OT'!$D$4:$D$23,MATCH($I583,'CAT_TIPOS_OT'!$A$4:$A$23,0)),"SIN CLASIFICAR")="","SIN CLASIFICAR",IFERROR(INDEX('CAT_TIPOS_OT'!$D$4:$D$23,MATCH($I583,'CAT_TIPOS_OT'!$A$4:$A$23,0)),"SIN CLASIFICAR")))</f>
        <v/>
      </c>
      <c r="W583" s="24">
        <f>IF($H583="","",IF(IFERROR(INDEX('CAT_ACTIVIDADES'!$F$4:$F$26,MATCH($H583,'CAT_ACTIVIDADES'!$A$4:$A$26,0)),"")=0,"",IFERROR(INDEX('CAT_ACTIVIDADES'!$F$4:$F$26,MATCH($H583,'CAT_ACTIVIDADES'!$A$4:$A$26,0)),"")))</f>
        <v/>
      </c>
      <c r="X583" s="24">
        <f>IF($F583="","",IFERROR(INDEX('CAT_CENTROS_COSTO'!$F$4:$F$28,MATCH($F583,'CAT_CENTROS_COSTO'!$A$4:$A$28,0)),"(sin catálogo)"))</f>
        <v/>
      </c>
      <c r="Y583" s="24">
        <f>IF($F583="","",IFERROR(INDEX('CAT_CENTROS_COSTO'!$D$4:$D$28,MATCH($F583,'CAT_CENTROS_COSTO'!$A$4:$A$28,0)),"(sin catálogo)"))</f>
        <v/>
      </c>
      <c r="Z583" s="24">
        <f>IF($F583="","",IF((IFERROR(INDEX('CAT_CENTROS_COSTO'!$E$4:$E$28,MATCH($F583,'CAT_CENTROS_COSTO'!$A$4:$A$28,0)),""))&lt;&gt;"",IFERROR(INDEX('CAT_CENTROS_COSTO'!$E$4:$E$28,MATCH($F583,'CAT_CENTROS_COSTO'!$A$4:$A$28,0)),""),$Y583))</f>
        <v/>
      </c>
      <c r="AA583" s="24">
        <f>IF($F583="","",IFERROR(INDEX('CAT_CENTROS_COSTO'!$G$4:$G$28,MATCH($F583,'CAT_CENTROS_COSTO'!$A$4:$A$28,0)),"(sin catálogo)"))</f>
        <v/>
      </c>
      <c r="AB583" s="24">
        <f>IF($G583="","",IFERROR(INDEX('CAT_PUESTOS'!$B$4:$B$23,MATCH($G583,'CAT_PUESTOS'!$A$4:$A$23,0)),"(sin catálogo)"))</f>
        <v/>
      </c>
      <c r="AC583" s="24">
        <f>IF($H583="","",IFERROR(INDEX('CAT_ACTIVIDADES'!$B$4:$B$26,MATCH($H583,'CAT_ACTIVIDADES'!$A$4:$A$26,0)),"(sin catálogo)"))</f>
        <v/>
      </c>
      <c r="AD583" s="26">
        <f>IF($J583="","",TODAY()-$J583)</f>
        <v/>
      </c>
      <c r="AE583" s="26">
        <f>IF($J583="","",IF($J583&lt;=TODAY(),COUNTIFS(cal_fechas,"&gt;="&amp;$J583,cal_fechas,"&lt;"&amp;TODAY(),cal_habil,"sí"),-COUNTIFS(cal_fechas,"&gt;="&amp;TODAY(),cal_fechas,"&lt;"&amp;$J583,cal_habil,"sí")))</f>
        <v/>
      </c>
      <c r="AF583" s="24">
        <f>IF($AE583="","",IF($AE583&lt;0,"FUTURO",IF($AE583&gt;p_dias_backlog_max,"BACKLOG","MES CORRIENTE")))</f>
        <v/>
      </c>
      <c r="AG583" s="24">
        <f>IF($AE583="",FALSE,AND($AE583&gt;p_dias_backlog_min,$AE583&lt;=p_dias_backlog_max))</f>
        <v/>
      </c>
      <c r="AH583" s="4" t="n"/>
      <c r="AI583" s="24">
        <f>IF($AH583="","",IF((IFERROR(INDEX('ASIGNACIONES'!$J$4:$J$451,MATCH($O583&amp;"|"&amp;$S583&amp;"|"&amp;$AH583,'ASIGNACIONES'!$N$4:$N$451,0)),""))=0,"",IFERROR(INDEX('ASIGNACIONES'!$J$4:$J$451,MATCH($O583&amp;"|"&amp;$S583&amp;"|"&amp;$AH583,'ASIGNACIONES'!$N$4:$N$451,0)),"")))</f>
        <v/>
      </c>
      <c r="AJ583" s="42">
        <f>IF($AH583="","",SUMIFS('ORDENES'!$M$4:$M$1203,'ORDENES'!$AH$4:$AH$1203,$AH583,'ORDENES'!$O$4:$O$1203,$O583,'ORDENES'!$S$4:$S$1203,$S583))</f>
        <v/>
      </c>
      <c r="AK583" s="42">
        <f>IF($AJ583="","",p_factor_productividad*IFERROR(INDEX('ASIGNACIONES'!$M$4:$M$451,MATCH($O583&amp;"|"&amp;$S583&amp;"|"&amp;$AH583,'ASIGNACIONES'!$N$4:$N$451,0)),0)-$AJ583)</f>
        <v/>
      </c>
      <c r="AL583" s="32">
        <f>IF($A583="","",IFERROR(INDEX('2_IMPORTAR_EJECUCION'!$F$9:$F$1208,MATCH($AU583,'2_IMPORTAR_EJECUCION'!$J$9:$J$1208,0)),0))</f>
        <v/>
      </c>
      <c r="AM583" s="32">
        <f>IF($A583="","",MAX(0,IFERROR(INDEX('2_IMPORTAR_EJECUCION'!$H$9:$H$1208,MATCH($AU583,'2_IMPORTAR_EJECUCION'!$J$9:$J$1208,0)),0)-$AL583))</f>
        <v/>
      </c>
      <c r="AN583" s="32">
        <f>IF($A583="","",$AL583+$AM583)</f>
        <v/>
      </c>
      <c r="AO583" s="24">
        <f>IF($A583="","",IF(OR((IFERROR(INDEX('CAT_ACTIVIDADES'!$D$4:$D$26,MATCH($H583,'CAT_ACTIVIDADES'!$A$4:$A$26,0)),""))=0,(IFERROR(INDEX('CAT_ACTIVIDADES'!$D$4:$D$26,MATCH($H583,'CAT_ACTIVIDADES'!$A$4:$A$26,0)),""))=""),"SIN CLASIFICAR",IFERROR(INDEX('CAT_ACTIVIDADES'!$D$4:$D$26,MATCH($H583,'CAT_ACTIVIDADES'!$A$4:$A$26,0)),"")))</f>
        <v/>
      </c>
      <c r="AP583" s="4" t="n"/>
      <c r="AQ583" s="4" t="n"/>
      <c r="AR583" s="4" t="n"/>
      <c r="AS583" s="24">
        <f>IF($AR583="","",HYPERLINK(p_ruta_base_checklists&amp;$AR583,"abrir"))</f>
        <v/>
      </c>
      <c r="AT583" s="4" t="n"/>
      <c r="AU583" s="24">
        <f>IF($A583="","",$A583&amp;IF($B583="","0010",$B583))</f>
        <v/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41" t="n"/>
      <c r="K584" s="5" t="n"/>
      <c r="L584" s="18" t="n"/>
      <c r="M584" s="24">
        <f>IF($A584="","",IFERROR(INDEX('AJUSTES'!$B$4:$B$303,MATCH($AU584,'AJUSTES'!$A$4:$A$303,0)),IF($K584="","",$K584)))</f>
        <v/>
      </c>
      <c r="N584" s="24">
        <f>IF($A584="","",IFERROR(INDEX('CAT_ESTADOS_ERP'!$B$4:$B$22,MATCH(IFERROR(INDEX('2_IMPORTAR_EJECUCION'!$C$9:$C$1208,MATCH($AU584,'2_IMPORTAR_EJECUCION'!$J$9:$J$1208,0)),""),'CAT_ESTADOS_ERP'!$A$4:$A$22,0)),"Pendiente"))</f>
        <v/>
      </c>
      <c r="O584" s="24">
        <f>IF($J584="","",YEAR($J584+4-WEEKDAY($J584,2))&amp;"-S"&amp;TEXT(_xlfn.ISOWEEKNUM($J584),"00"))</f>
        <v/>
      </c>
      <c r="P584" s="24">
        <f>IF($J584="","",YEAR($J584))</f>
        <v/>
      </c>
      <c r="Q584" s="24">
        <f>IF($J584="","",MONTH($J584))</f>
        <v/>
      </c>
      <c r="R584" s="24">
        <f>IF($J584="","",$P584&amp;"-"&amp;TEXT($Q584,"00"))</f>
        <v/>
      </c>
      <c r="S584" s="24">
        <f>IF($J584="","",INDEX(lista_dias,WEEKDAY($J584,2)))</f>
        <v/>
      </c>
      <c r="T584" s="24">
        <f>IF($J584="","",IFERROR(INDEX('CALENDARIO'!$C$15:$C$214,MATCH(TEXT($J584,"yyyy-mm-dd")&amp;"|"&amp;$Y584&amp;"|"&amp;$Z584,'CALENDARIO'!$G$15:$G$214,0)),IFERROR(INDEX('CALENDARIO'!$C$15:$C$214,MATCH(TEXT($J584,"yyyy-mm-dd")&amp;"|"&amp;$Y584&amp;"|",'CALENDARIO'!$G$15:$G$214,0)),IFERROR(INDEX('CALENDARIO'!$C$15:$C$214,MATCH(TEXT($J584,"yyyy-mm-dd")&amp;"||",'CALENDARIO'!$G$15:$G$214,0)),INDEX(patronHabil,WEEKDAY($J584,2))))))</f>
        <v/>
      </c>
      <c r="U584" s="24">
        <f>IF($I584="","",IFERROR(INDEX('CAT_TIPOS_OT'!$C$4:$C$23,MATCH($I584,'CAT_TIPOS_OT'!$A$4:$A$23,0)),"sin_clasificar"))</f>
        <v/>
      </c>
      <c r="V584" s="24">
        <f>IF($I584="","",IF(IFERROR(INDEX('CAT_TIPOS_OT'!$D$4:$D$23,MATCH($I584,'CAT_TIPOS_OT'!$A$4:$A$23,0)),"SIN CLASIFICAR")="","SIN CLASIFICAR",IFERROR(INDEX('CAT_TIPOS_OT'!$D$4:$D$23,MATCH($I584,'CAT_TIPOS_OT'!$A$4:$A$23,0)),"SIN CLASIFICAR")))</f>
        <v/>
      </c>
      <c r="W584" s="24">
        <f>IF($H584="","",IF(IFERROR(INDEX('CAT_ACTIVIDADES'!$F$4:$F$26,MATCH($H584,'CAT_ACTIVIDADES'!$A$4:$A$26,0)),"")=0,"",IFERROR(INDEX('CAT_ACTIVIDADES'!$F$4:$F$26,MATCH($H584,'CAT_ACTIVIDADES'!$A$4:$A$26,0)),"")))</f>
        <v/>
      </c>
      <c r="X584" s="24">
        <f>IF($F584="","",IFERROR(INDEX('CAT_CENTROS_COSTO'!$F$4:$F$28,MATCH($F584,'CAT_CENTROS_COSTO'!$A$4:$A$28,0)),"(sin catálogo)"))</f>
        <v/>
      </c>
      <c r="Y584" s="24">
        <f>IF($F584="","",IFERROR(INDEX('CAT_CENTROS_COSTO'!$D$4:$D$28,MATCH($F584,'CAT_CENTROS_COSTO'!$A$4:$A$28,0)),"(sin catálogo)"))</f>
        <v/>
      </c>
      <c r="Z584" s="24">
        <f>IF($F584="","",IF((IFERROR(INDEX('CAT_CENTROS_COSTO'!$E$4:$E$28,MATCH($F584,'CAT_CENTROS_COSTO'!$A$4:$A$28,0)),""))&lt;&gt;"",IFERROR(INDEX('CAT_CENTROS_COSTO'!$E$4:$E$28,MATCH($F584,'CAT_CENTROS_COSTO'!$A$4:$A$28,0)),""),$Y584))</f>
        <v/>
      </c>
      <c r="AA584" s="24">
        <f>IF($F584="","",IFERROR(INDEX('CAT_CENTROS_COSTO'!$G$4:$G$28,MATCH($F584,'CAT_CENTROS_COSTO'!$A$4:$A$28,0)),"(sin catálogo)"))</f>
        <v/>
      </c>
      <c r="AB584" s="24">
        <f>IF($G584="","",IFERROR(INDEX('CAT_PUESTOS'!$B$4:$B$23,MATCH($G584,'CAT_PUESTOS'!$A$4:$A$23,0)),"(sin catálogo)"))</f>
        <v/>
      </c>
      <c r="AC584" s="24">
        <f>IF($H584="","",IFERROR(INDEX('CAT_ACTIVIDADES'!$B$4:$B$26,MATCH($H584,'CAT_ACTIVIDADES'!$A$4:$A$26,0)),"(sin catálogo)"))</f>
        <v/>
      </c>
      <c r="AD584" s="26">
        <f>IF($J584="","",TODAY()-$J584)</f>
        <v/>
      </c>
      <c r="AE584" s="26">
        <f>IF($J584="","",IF($J584&lt;=TODAY(),COUNTIFS(cal_fechas,"&gt;="&amp;$J584,cal_fechas,"&lt;"&amp;TODAY(),cal_habil,"sí"),-COUNTIFS(cal_fechas,"&gt;="&amp;TODAY(),cal_fechas,"&lt;"&amp;$J584,cal_habil,"sí")))</f>
        <v/>
      </c>
      <c r="AF584" s="24">
        <f>IF($AE584="","",IF($AE584&lt;0,"FUTURO",IF($AE584&gt;p_dias_backlog_max,"BACKLOG","MES CORRIENTE")))</f>
        <v/>
      </c>
      <c r="AG584" s="24">
        <f>IF($AE584="",FALSE,AND($AE584&gt;p_dias_backlog_min,$AE584&lt;=p_dias_backlog_max))</f>
        <v/>
      </c>
      <c r="AH584" s="4" t="n"/>
      <c r="AI584" s="24">
        <f>IF($AH584="","",IF((IFERROR(INDEX('ASIGNACIONES'!$J$4:$J$451,MATCH($O584&amp;"|"&amp;$S584&amp;"|"&amp;$AH584,'ASIGNACIONES'!$N$4:$N$451,0)),""))=0,"",IFERROR(INDEX('ASIGNACIONES'!$J$4:$J$451,MATCH($O584&amp;"|"&amp;$S584&amp;"|"&amp;$AH584,'ASIGNACIONES'!$N$4:$N$451,0)),"")))</f>
        <v/>
      </c>
      <c r="AJ584" s="42">
        <f>IF($AH584="","",SUMIFS('ORDENES'!$M$4:$M$1203,'ORDENES'!$AH$4:$AH$1203,$AH584,'ORDENES'!$O$4:$O$1203,$O584,'ORDENES'!$S$4:$S$1203,$S584))</f>
        <v/>
      </c>
      <c r="AK584" s="42">
        <f>IF($AJ584="","",p_factor_productividad*IFERROR(INDEX('ASIGNACIONES'!$M$4:$M$451,MATCH($O584&amp;"|"&amp;$S584&amp;"|"&amp;$AH584,'ASIGNACIONES'!$N$4:$N$451,0)),0)-$AJ584)</f>
        <v/>
      </c>
      <c r="AL584" s="32">
        <f>IF($A584="","",IFERROR(INDEX('2_IMPORTAR_EJECUCION'!$F$9:$F$1208,MATCH($AU584,'2_IMPORTAR_EJECUCION'!$J$9:$J$1208,0)),0))</f>
        <v/>
      </c>
      <c r="AM584" s="32">
        <f>IF($A584="","",MAX(0,IFERROR(INDEX('2_IMPORTAR_EJECUCION'!$H$9:$H$1208,MATCH($AU584,'2_IMPORTAR_EJECUCION'!$J$9:$J$1208,0)),0)-$AL584))</f>
        <v/>
      </c>
      <c r="AN584" s="32">
        <f>IF($A584="","",$AL584+$AM584)</f>
        <v/>
      </c>
      <c r="AO584" s="24">
        <f>IF($A584="","",IF(OR((IFERROR(INDEX('CAT_ACTIVIDADES'!$D$4:$D$26,MATCH($H584,'CAT_ACTIVIDADES'!$A$4:$A$26,0)),""))=0,(IFERROR(INDEX('CAT_ACTIVIDADES'!$D$4:$D$26,MATCH($H584,'CAT_ACTIVIDADES'!$A$4:$A$26,0)),""))=""),"SIN CLASIFICAR",IFERROR(INDEX('CAT_ACTIVIDADES'!$D$4:$D$26,MATCH($H584,'CAT_ACTIVIDADES'!$A$4:$A$26,0)),"")))</f>
        <v/>
      </c>
      <c r="AP584" s="4" t="n"/>
      <c r="AQ584" s="4" t="n"/>
      <c r="AR584" s="4" t="n"/>
      <c r="AS584" s="24">
        <f>IF($AR584="","",HYPERLINK(p_ruta_base_checklists&amp;$AR584,"abrir"))</f>
        <v/>
      </c>
      <c r="AT584" s="4" t="n"/>
      <c r="AU584" s="24">
        <f>IF($A584="","",$A584&amp;IF($B584="","0010",$B584))</f>
        <v/>
      </c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41" t="n"/>
      <c r="K585" s="5" t="n"/>
      <c r="L585" s="18" t="n"/>
      <c r="M585" s="24">
        <f>IF($A585="","",IFERROR(INDEX('AJUSTES'!$B$4:$B$303,MATCH($AU585,'AJUSTES'!$A$4:$A$303,0)),IF($K585="","",$K585)))</f>
        <v/>
      </c>
      <c r="N585" s="24">
        <f>IF($A585="","",IFERROR(INDEX('CAT_ESTADOS_ERP'!$B$4:$B$22,MATCH(IFERROR(INDEX('2_IMPORTAR_EJECUCION'!$C$9:$C$1208,MATCH($AU585,'2_IMPORTAR_EJECUCION'!$J$9:$J$1208,0)),""),'CAT_ESTADOS_ERP'!$A$4:$A$22,0)),"Pendiente"))</f>
        <v/>
      </c>
      <c r="O585" s="24">
        <f>IF($J585="","",YEAR($J585+4-WEEKDAY($J585,2))&amp;"-S"&amp;TEXT(_xlfn.ISOWEEKNUM($J585),"00"))</f>
        <v/>
      </c>
      <c r="P585" s="24">
        <f>IF($J585="","",YEAR($J585))</f>
        <v/>
      </c>
      <c r="Q585" s="24">
        <f>IF($J585="","",MONTH($J585))</f>
        <v/>
      </c>
      <c r="R585" s="24">
        <f>IF($J585="","",$P585&amp;"-"&amp;TEXT($Q585,"00"))</f>
        <v/>
      </c>
      <c r="S585" s="24">
        <f>IF($J585="","",INDEX(lista_dias,WEEKDAY($J585,2)))</f>
        <v/>
      </c>
      <c r="T585" s="24">
        <f>IF($J585="","",IFERROR(INDEX('CALENDARIO'!$C$15:$C$214,MATCH(TEXT($J585,"yyyy-mm-dd")&amp;"|"&amp;$Y585&amp;"|"&amp;$Z585,'CALENDARIO'!$G$15:$G$214,0)),IFERROR(INDEX('CALENDARIO'!$C$15:$C$214,MATCH(TEXT($J585,"yyyy-mm-dd")&amp;"|"&amp;$Y585&amp;"|",'CALENDARIO'!$G$15:$G$214,0)),IFERROR(INDEX('CALENDARIO'!$C$15:$C$214,MATCH(TEXT($J585,"yyyy-mm-dd")&amp;"||",'CALENDARIO'!$G$15:$G$214,0)),INDEX(patronHabil,WEEKDAY($J585,2))))))</f>
        <v/>
      </c>
      <c r="U585" s="24">
        <f>IF($I585="","",IFERROR(INDEX('CAT_TIPOS_OT'!$C$4:$C$23,MATCH($I585,'CAT_TIPOS_OT'!$A$4:$A$23,0)),"sin_clasificar"))</f>
        <v/>
      </c>
      <c r="V585" s="24">
        <f>IF($I585="","",IF(IFERROR(INDEX('CAT_TIPOS_OT'!$D$4:$D$23,MATCH($I585,'CAT_TIPOS_OT'!$A$4:$A$23,0)),"SIN CLASIFICAR")="","SIN CLASIFICAR",IFERROR(INDEX('CAT_TIPOS_OT'!$D$4:$D$23,MATCH($I585,'CAT_TIPOS_OT'!$A$4:$A$23,0)),"SIN CLASIFICAR")))</f>
        <v/>
      </c>
      <c r="W585" s="24">
        <f>IF($H585="","",IF(IFERROR(INDEX('CAT_ACTIVIDADES'!$F$4:$F$26,MATCH($H585,'CAT_ACTIVIDADES'!$A$4:$A$26,0)),"")=0,"",IFERROR(INDEX('CAT_ACTIVIDADES'!$F$4:$F$26,MATCH($H585,'CAT_ACTIVIDADES'!$A$4:$A$26,0)),"")))</f>
        <v/>
      </c>
      <c r="X585" s="24">
        <f>IF($F585="","",IFERROR(INDEX('CAT_CENTROS_COSTO'!$F$4:$F$28,MATCH($F585,'CAT_CENTROS_COSTO'!$A$4:$A$28,0)),"(sin catálogo)"))</f>
        <v/>
      </c>
      <c r="Y585" s="24">
        <f>IF($F585="","",IFERROR(INDEX('CAT_CENTROS_COSTO'!$D$4:$D$28,MATCH($F585,'CAT_CENTROS_COSTO'!$A$4:$A$28,0)),"(sin catálogo)"))</f>
        <v/>
      </c>
      <c r="Z585" s="24">
        <f>IF($F585="","",IF((IFERROR(INDEX('CAT_CENTROS_COSTO'!$E$4:$E$28,MATCH($F585,'CAT_CENTROS_COSTO'!$A$4:$A$28,0)),""))&lt;&gt;"",IFERROR(INDEX('CAT_CENTROS_COSTO'!$E$4:$E$28,MATCH($F585,'CAT_CENTROS_COSTO'!$A$4:$A$28,0)),""),$Y585))</f>
        <v/>
      </c>
      <c r="AA585" s="24">
        <f>IF($F585="","",IFERROR(INDEX('CAT_CENTROS_COSTO'!$G$4:$G$28,MATCH($F585,'CAT_CENTROS_COSTO'!$A$4:$A$28,0)),"(sin catálogo)"))</f>
        <v/>
      </c>
      <c r="AB585" s="24">
        <f>IF($G585="","",IFERROR(INDEX('CAT_PUESTOS'!$B$4:$B$23,MATCH($G585,'CAT_PUESTOS'!$A$4:$A$23,0)),"(sin catálogo)"))</f>
        <v/>
      </c>
      <c r="AC585" s="24">
        <f>IF($H585="","",IFERROR(INDEX('CAT_ACTIVIDADES'!$B$4:$B$26,MATCH($H585,'CAT_ACTIVIDADES'!$A$4:$A$26,0)),"(sin catálogo)"))</f>
        <v/>
      </c>
      <c r="AD585" s="26">
        <f>IF($J585="","",TODAY()-$J585)</f>
        <v/>
      </c>
      <c r="AE585" s="26">
        <f>IF($J585="","",IF($J585&lt;=TODAY(),COUNTIFS(cal_fechas,"&gt;="&amp;$J585,cal_fechas,"&lt;"&amp;TODAY(),cal_habil,"sí"),-COUNTIFS(cal_fechas,"&gt;="&amp;TODAY(),cal_fechas,"&lt;"&amp;$J585,cal_habil,"sí")))</f>
        <v/>
      </c>
      <c r="AF585" s="24">
        <f>IF($AE585="","",IF($AE585&lt;0,"FUTURO",IF($AE585&gt;p_dias_backlog_max,"BACKLOG","MES CORRIENTE")))</f>
        <v/>
      </c>
      <c r="AG585" s="24">
        <f>IF($AE585="",FALSE,AND($AE585&gt;p_dias_backlog_min,$AE585&lt;=p_dias_backlog_max))</f>
        <v/>
      </c>
      <c r="AH585" s="4" t="n"/>
      <c r="AI585" s="24">
        <f>IF($AH585="","",IF((IFERROR(INDEX('ASIGNACIONES'!$J$4:$J$451,MATCH($O585&amp;"|"&amp;$S585&amp;"|"&amp;$AH585,'ASIGNACIONES'!$N$4:$N$451,0)),""))=0,"",IFERROR(INDEX('ASIGNACIONES'!$J$4:$J$451,MATCH($O585&amp;"|"&amp;$S585&amp;"|"&amp;$AH585,'ASIGNACIONES'!$N$4:$N$451,0)),"")))</f>
        <v/>
      </c>
      <c r="AJ585" s="42">
        <f>IF($AH585="","",SUMIFS('ORDENES'!$M$4:$M$1203,'ORDENES'!$AH$4:$AH$1203,$AH585,'ORDENES'!$O$4:$O$1203,$O585,'ORDENES'!$S$4:$S$1203,$S585))</f>
        <v/>
      </c>
      <c r="AK585" s="42">
        <f>IF($AJ585="","",p_factor_productividad*IFERROR(INDEX('ASIGNACIONES'!$M$4:$M$451,MATCH($O585&amp;"|"&amp;$S585&amp;"|"&amp;$AH585,'ASIGNACIONES'!$N$4:$N$451,0)),0)-$AJ585)</f>
        <v/>
      </c>
      <c r="AL585" s="32">
        <f>IF($A585="","",IFERROR(INDEX('2_IMPORTAR_EJECUCION'!$F$9:$F$1208,MATCH($AU585,'2_IMPORTAR_EJECUCION'!$J$9:$J$1208,0)),0))</f>
        <v/>
      </c>
      <c r="AM585" s="32">
        <f>IF($A585="","",MAX(0,IFERROR(INDEX('2_IMPORTAR_EJECUCION'!$H$9:$H$1208,MATCH($AU585,'2_IMPORTAR_EJECUCION'!$J$9:$J$1208,0)),0)-$AL585))</f>
        <v/>
      </c>
      <c r="AN585" s="32">
        <f>IF($A585="","",$AL585+$AM585)</f>
        <v/>
      </c>
      <c r="AO585" s="24">
        <f>IF($A585="","",IF(OR((IFERROR(INDEX('CAT_ACTIVIDADES'!$D$4:$D$26,MATCH($H585,'CAT_ACTIVIDADES'!$A$4:$A$26,0)),""))=0,(IFERROR(INDEX('CAT_ACTIVIDADES'!$D$4:$D$26,MATCH($H585,'CAT_ACTIVIDADES'!$A$4:$A$26,0)),""))=""),"SIN CLASIFICAR",IFERROR(INDEX('CAT_ACTIVIDADES'!$D$4:$D$26,MATCH($H585,'CAT_ACTIVIDADES'!$A$4:$A$26,0)),"")))</f>
        <v/>
      </c>
      <c r="AP585" s="4" t="n"/>
      <c r="AQ585" s="4" t="n"/>
      <c r="AR585" s="4" t="n"/>
      <c r="AS585" s="24">
        <f>IF($AR585="","",HYPERLINK(p_ruta_base_checklists&amp;$AR585,"abrir"))</f>
        <v/>
      </c>
      <c r="AT585" s="4" t="n"/>
      <c r="AU585" s="24">
        <f>IF($A585="","",$A585&amp;IF($B585="","0010",$B585))</f>
        <v/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41" t="n"/>
      <c r="K586" s="5" t="n"/>
      <c r="L586" s="18" t="n"/>
      <c r="M586" s="24">
        <f>IF($A586="","",IFERROR(INDEX('AJUSTES'!$B$4:$B$303,MATCH($AU586,'AJUSTES'!$A$4:$A$303,0)),IF($K586="","",$K586)))</f>
        <v/>
      </c>
      <c r="N586" s="24">
        <f>IF($A586="","",IFERROR(INDEX('CAT_ESTADOS_ERP'!$B$4:$B$22,MATCH(IFERROR(INDEX('2_IMPORTAR_EJECUCION'!$C$9:$C$1208,MATCH($AU586,'2_IMPORTAR_EJECUCION'!$J$9:$J$1208,0)),""),'CAT_ESTADOS_ERP'!$A$4:$A$22,0)),"Pendiente"))</f>
        <v/>
      </c>
      <c r="O586" s="24">
        <f>IF($J586="","",YEAR($J586+4-WEEKDAY($J586,2))&amp;"-S"&amp;TEXT(_xlfn.ISOWEEKNUM($J586),"00"))</f>
        <v/>
      </c>
      <c r="P586" s="24">
        <f>IF($J586="","",YEAR($J586))</f>
        <v/>
      </c>
      <c r="Q586" s="24">
        <f>IF($J586="","",MONTH($J586))</f>
        <v/>
      </c>
      <c r="R586" s="24">
        <f>IF($J586="","",$P586&amp;"-"&amp;TEXT($Q586,"00"))</f>
        <v/>
      </c>
      <c r="S586" s="24">
        <f>IF($J586="","",INDEX(lista_dias,WEEKDAY($J586,2)))</f>
        <v/>
      </c>
      <c r="T586" s="24">
        <f>IF($J586="","",IFERROR(INDEX('CALENDARIO'!$C$15:$C$214,MATCH(TEXT($J586,"yyyy-mm-dd")&amp;"|"&amp;$Y586&amp;"|"&amp;$Z586,'CALENDARIO'!$G$15:$G$214,0)),IFERROR(INDEX('CALENDARIO'!$C$15:$C$214,MATCH(TEXT($J586,"yyyy-mm-dd")&amp;"|"&amp;$Y586&amp;"|",'CALENDARIO'!$G$15:$G$214,0)),IFERROR(INDEX('CALENDARIO'!$C$15:$C$214,MATCH(TEXT($J586,"yyyy-mm-dd")&amp;"||",'CALENDARIO'!$G$15:$G$214,0)),INDEX(patronHabil,WEEKDAY($J586,2))))))</f>
        <v/>
      </c>
      <c r="U586" s="24">
        <f>IF($I586="","",IFERROR(INDEX('CAT_TIPOS_OT'!$C$4:$C$23,MATCH($I586,'CAT_TIPOS_OT'!$A$4:$A$23,0)),"sin_clasificar"))</f>
        <v/>
      </c>
      <c r="V586" s="24">
        <f>IF($I586="","",IF(IFERROR(INDEX('CAT_TIPOS_OT'!$D$4:$D$23,MATCH($I586,'CAT_TIPOS_OT'!$A$4:$A$23,0)),"SIN CLASIFICAR")="","SIN CLASIFICAR",IFERROR(INDEX('CAT_TIPOS_OT'!$D$4:$D$23,MATCH($I586,'CAT_TIPOS_OT'!$A$4:$A$23,0)),"SIN CLASIFICAR")))</f>
        <v/>
      </c>
      <c r="W586" s="24">
        <f>IF($H586="","",IF(IFERROR(INDEX('CAT_ACTIVIDADES'!$F$4:$F$26,MATCH($H586,'CAT_ACTIVIDADES'!$A$4:$A$26,0)),"")=0,"",IFERROR(INDEX('CAT_ACTIVIDADES'!$F$4:$F$26,MATCH($H586,'CAT_ACTIVIDADES'!$A$4:$A$26,0)),"")))</f>
        <v/>
      </c>
      <c r="X586" s="24">
        <f>IF($F586="","",IFERROR(INDEX('CAT_CENTROS_COSTO'!$F$4:$F$28,MATCH($F586,'CAT_CENTROS_COSTO'!$A$4:$A$28,0)),"(sin catálogo)"))</f>
        <v/>
      </c>
      <c r="Y586" s="24">
        <f>IF($F586="","",IFERROR(INDEX('CAT_CENTROS_COSTO'!$D$4:$D$28,MATCH($F586,'CAT_CENTROS_COSTO'!$A$4:$A$28,0)),"(sin catálogo)"))</f>
        <v/>
      </c>
      <c r="Z586" s="24">
        <f>IF($F586="","",IF((IFERROR(INDEX('CAT_CENTROS_COSTO'!$E$4:$E$28,MATCH($F586,'CAT_CENTROS_COSTO'!$A$4:$A$28,0)),""))&lt;&gt;"",IFERROR(INDEX('CAT_CENTROS_COSTO'!$E$4:$E$28,MATCH($F586,'CAT_CENTROS_COSTO'!$A$4:$A$28,0)),""),$Y586))</f>
        <v/>
      </c>
      <c r="AA586" s="24">
        <f>IF($F586="","",IFERROR(INDEX('CAT_CENTROS_COSTO'!$G$4:$G$28,MATCH($F586,'CAT_CENTROS_COSTO'!$A$4:$A$28,0)),"(sin catálogo)"))</f>
        <v/>
      </c>
      <c r="AB586" s="24">
        <f>IF($G586="","",IFERROR(INDEX('CAT_PUESTOS'!$B$4:$B$23,MATCH($G586,'CAT_PUESTOS'!$A$4:$A$23,0)),"(sin catálogo)"))</f>
        <v/>
      </c>
      <c r="AC586" s="24">
        <f>IF($H586="","",IFERROR(INDEX('CAT_ACTIVIDADES'!$B$4:$B$26,MATCH($H586,'CAT_ACTIVIDADES'!$A$4:$A$26,0)),"(sin catálogo)"))</f>
        <v/>
      </c>
      <c r="AD586" s="26">
        <f>IF($J586="","",TODAY()-$J586)</f>
        <v/>
      </c>
      <c r="AE586" s="26">
        <f>IF($J586="","",IF($J586&lt;=TODAY(),COUNTIFS(cal_fechas,"&gt;="&amp;$J586,cal_fechas,"&lt;"&amp;TODAY(),cal_habil,"sí"),-COUNTIFS(cal_fechas,"&gt;="&amp;TODAY(),cal_fechas,"&lt;"&amp;$J586,cal_habil,"sí")))</f>
        <v/>
      </c>
      <c r="AF586" s="24">
        <f>IF($AE586="","",IF($AE586&lt;0,"FUTURO",IF($AE586&gt;p_dias_backlog_max,"BACKLOG","MES CORRIENTE")))</f>
        <v/>
      </c>
      <c r="AG586" s="24">
        <f>IF($AE586="",FALSE,AND($AE586&gt;p_dias_backlog_min,$AE586&lt;=p_dias_backlog_max))</f>
        <v/>
      </c>
      <c r="AH586" s="4" t="n"/>
      <c r="AI586" s="24">
        <f>IF($AH586="","",IF((IFERROR(INDEX('ASIGNACIONES'!$J$4:$J$451,MATCH($O586&amp;"|"&amp;$S586&amp;"|"&amp;$AH586,'ASIGNACIONES'!$N$4:$N$451,0)),""))=0,"",IFERROR(INDEX('ASIGNACIONES'!$J$4:$J$451,MATCH($O586&amp;"|"&amp;$S586&amp;"|"&amp;$AH586,'ASIGNACIONES'!$N$4:$N$451,0)),"")))</f>
        <v/>
      </c>
      <c r="AJ586" s="42">
        <f>IF($AH586="","",SUMIFS('ORDENES'!$M$4:$M$1203,'ORDENES'!$AH$4:$AH$1203,$AH586,'ORDENES'!$O$4:$O$1203,$O586,'ORDENES'!$S$4:$S$1203,$S586))</f>
        <v/>
      </c>
      <c r="AK586" s="42">
        <f>IF($AJ586="","",p_factor_productividad*IFERROR(INDEX('ASIGNACIONES'!$M$4:$M$451,MATCH($O586&amp;"|"&amp;$S586&amp;"|"&amp;$AH586,'ASIGNACIONES'!$N$4:$N$451,0)),0)-$AJ586)</f>
        <v/>
      </c>
      <c r="AL586" s="32">
        <f>IF($A586="","",IFERROR(INDEX('2_IMPORTAR_EJECUCION'!$F$9:$F$1208,MATCH($AU586,'2_IMPORTAR_EJECUCION'!$J$9:$J$1208,0)),0))</f>
        <v/>
      </c>
      <c r="AM586" s="32">
        <f>IF($A586="","",MAX(0,IFERROR(INDEX('2_IMPORTAR_EJECUCION'!$H$9:$H$1208,MATCH($AU586,'2_IMPORTAR_EJECUCION'!$J$9:$J$1208,0)),0)-$AL586))</f>
        <v/>
      </c>
      <c r="AN586" s="32">
        <f>IF($A586="","",$AL586+$AM586)</f>
        <v/>
      </c>
      <c r="AO586" s="24">
        <f>IF($A586="","",IF(OR((IFERROR(INDEX('CAT_ACTIVIDADES'!$D$4:$D$26,MATCH($H586,'CAT_ACTIVIDADES'!$A$4:$A$26,0)),""))=0,(IFERROR(INDEX('CAT_ACTIVIDADES'!$D$4:$D$26,MATCH($H586,'CAT_ACTIVIDADES'!$A$4:$A$26,0)),""))=""),"SIN CLASIFICAR",IFERROR(INDEX('CAT_ACTIVIDADES'!$D$4:$D$26,MATCH($H586,'CAT_ACTIVIDADES'!$A$4:$A$26,0)),"")))</f>
        <v/>
      </c>
      <c r="AP586" s="4" t="n"/>
      <c r="AQ586" s="4" t="n"/>
      <c r="AR586" s="4" t="n"/>
      <c r="AS586" s="24">
        <f>IF($AR586="","",HYPERLINK(p_ruta_base_checklists&amp;$AR586,"abrir"))</f>
        <v/>
      </c>
      <c r="AT586" s="4" t="n"/>
      <c r="AU586" s="24">
        <f>IF($A586="","",$A586&amp;IF($B586="","0010",$B586))</f>
        <v/>
      </c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41" t="n"/>
      <c r="K587" s="5" t="n"/>
      <c r="L587" s="18" t="n"/>
      <c r="M587" s="24">
        <f>IF($A587="","",IFERROR(INDEX('AJUSTES'!$B$4:$B$303,MATCH($AU587,'AJUSTES'!$A$4:$A$303,0)),IF($K587="","",$K587)))</f>
        <v/>
      </c>
      <c r="N587" s="24">
        <f>IF($A587="","",IFERROR(INDEX('CAT_ESTADOS_ERP'!$B$4:$B$22,MATCH(IFERROR(INDEX('2_IMPORTAR_EJECUCION'!$C$9:$C$1208,MATCH($AU587,'2_IMPORTAR_EJECUCION'!$J$9:$J$1208,0)),""),'CAT_ESTADOS_ERP'!$A$4:$A$22,0)),"Pendiente"))</f>
        <v/>
      </c>
      <c r="O587" s="24">
        <f>IF($J587="","",YEAR($J587+4-WEEKDAY($J587,2))&amp;"-S"&amp;TEXT(_xlfn.ISOWEEKNUM($J587),"00"))</f>
        <v/>
      </c>
      <c r="P587" s="24">
        <f>IF($J587="","",YEAR($J587))</f>
        <v/>
      </c>
      <c r="Q587" s="24">
        <f>IF($J587="","",MONTH($J587))</f>
        <v/>
      </c>
      <c r="R587" s="24">
        <f>IF($J587="","",$P587&amp;"-"&amp;TEXT($Q587,"00"))</f>
        <v/>
      </c>
      <c r="S587" s="24">
        <f>IF($J587="","",INDEX(lista_dias,WEEKDAY($J587,2)))</f>
        <v/>
      </c>
      <c r="T587" s="24">
        <f>IF($J587="","",IFERROR(INDEX('CALENDARIO'!$C$15:$C$214,MATCH(TEXT($J587,"yyyy-mm-dd")&amp;"|"&amp;$Y587&amp;"|"&amp;$Z587,'CALENDARIO'!$G$15:$G$214,0)),IFERROR(INDEX('CALENDARIO'!$C$15:$C$214,MATCH(TEXT($J587,"yyyy-mm-dd")&amp;"|"&amp;$Y587&amp;"|",'CALENDARIO'!$G$15:$G$214,0)),IFERROR(INDEX('CALENDARIO'!$C$15:$C$214,MATCH(TEXT($J587,"yyyy-mm-dd")&amp;"||",'CALENDARIO'!$G$15:$G$214,0)),INDEX(patronHabil,WEEKDAY($J587,2))))))</f>
        <v/>
      </c>
      <c r="U587" s="24">
        <f>IF($I587="","",IFERROR(INDEX('CAT_TIPOS_OT'!$C$4:$C$23,MATCH($I587,'CAT_TIPOS_OT'!$A$4:$A$23,0)),"sin_clasificar"))</f>
        <v/>
      </c>
      <c r="V587" s="24">
        <f>IF($I587="","",IF(IFERROR(INDEX('CAT_TIPOS_OT'!$D$4:$D$23,MATCH($I587,'CAT_TIPOS_OT'!$A$4:$A$23,0)),"SIN CLASIFICAR")="","SIN CLASIFICAR",IFERROR(INDEX('CAT_TIPOS_OT'!$D$4:$D$23,MATCH($I587,'CAT_TIPOS_OT'!$A$4:$A$23,0)),"SIN CLASIFICAR")))</f>
        <v/>
      </c>
      <c r="W587" s="24">
        <f>IF($H587="","",IF(IFERROR(INDEX('CAT_ACTIVIDADES'!$F$4:$F$26,MATCH($H587,'CAT_ACTIVIDADES'!$A$4:$A$26,0)),"")=0,"",IFERROR(INDEX('CAT_ACTIVIDADES'!$F$4:$F$26,MATCH($H587,'CAT_ACTIVIDADES'!$A$4:$A$26,0)),"")))</f>
        <v/>
      </c>
      <c r="X587" s="24">
        <f>IF($F587="","",IFERROR(INDEX('CAT_CENTROS_COSTO'!$F$4:$F$28,MATCH($F587,'CAT_CENTROS_COSTO'!$A$4:$A$28,0)),"(sin catálogo)"))</f>
        <v/>
      </c>
      <c r="Y587" s="24">
        <f>IF($F587="","",IFERROR(INDEX('CAT_CENTROS_COSTO'!$D$4:$D$28,MATCH($F587,'CAT_CENTROS_COSTO'!$A$4:$A$28,0)),"(sin catálogo)"))</f>
        <v/>
      </c>
      <c r="Z587" s="24">
        <f>IF($F587="","",IF((IFERROR(INDEX('CAT_CENTROS_COSTO'!$E$4:$E$28,MATCH($F587,'CAT_CENTROS_COSTO'!$A$4:$A$28,0)),""))&lt;&gt;"",IFERROR(INDEX('CAT_CENTROS_COSTO'!$E$4:$E$28,MATCH($F587,'CAT_CENTROS_COSTO'!$A$4:$A$28,0)),""),$Y587))</f>
        <v/>
      </c>
      <c r="AA587" s="24">
        <f>IF($F587="","",IFERROR(INDEX('CAT_CENTROS_COSTO'!$G$4:$G$28,MATCH($F587,'CAT_CENTROS_COSTO'!$A$4:$A$28,0)),"(sin catálogo)"))</f>
        <v/>
      </c>
      <c r="AB587" s="24">
        <f>IF($G587="","",IFERROR(INDEX('CAT_PUESTOS'!$B$4:$B$23,MATCH($G587,'CAT_PUESTOS'!$A$4:$A$23,0)),"(sin catálogo)"))</f>
        <v/>
      </c>
      <c r="AC587" s="24">
        <f>IF($H587="","",IFERROR(INDEX('CAT_ACTIVIDADES'!$B$4:$B$26,MATCH($H587,'CAT_ACTIVIDADES'!$A$4:$A$26,0)),"(sin catálogo)"))</f>
        <v/>
      </c>
      <c r="AD587" s="26">
        <f>IF($J587="","",TODAY()-$J587)</f>
        <v/>
      </c>
      <c r="AE587" s="26">
        <f>IF($J587="","",IF($J587&lt;=TODAY(),COUNTIFS(cal_fechas,"&gt;="&amp;$J587,cal_fechas,"&lt;"&amp;TODAY(),cal_habil,"sí"),-COUNTIFS(cal_fechas,"&gt;="&amp;TODAY(),cal_fechas,"&lt;"&amp;$J587,cal_habil,"sí")))</f>
        <v/>
      </c>
      <c r="AF587" s="24">
        <f>IF($AE587="","",IF($AE587&lt;0,"FUTURO",IF($AE587&gt;p_dias_backlog_max,"BACKLOG","MES CORRIENTE")))</f>
        <v/>
      </c>
      <c r="AG587" s="24">
        <f>IF($AE587="",FALSE,AND($AE587&gt;p_dias_backlog_min,$AE587&lt;=p_dias_backlog_max))</f>
        <v/>
      </c>
      <c r="AH587" s="4" t="n"/>
      <c r="AI587" s="24">
        <f>IF($AH587="","",IF((IFERROR(INDEX('ASIGNACIONES'!$J$4:$J$451,MATCH($O587&amp;"|"&amp;$S587&amp;"|"&amp;$AH587,'ASIGNACIONES'!$N$4:$N$451,0)),""))=0,"",IFERROR(INDEX('ASIGNACIONES'!$J$4:$J$451,MATCH($O587&amp;"|"&amp;$S587&amp;"|"&amp;$AH587,'ASIGNACIONES'!$N$4:$N$451,0)),"")))</f>
        <v/>
      </c>
      <c r="AJ587" s="42">
        <f>IF($AH587="","",SUMIFS('ORDENES'!$M$4:$M$1203,'ORDENES'!$AH$4:$AH$1203,$AH587,'ORDENES'!$O$4:$O$1203,$O587,'ORDENES'!$S$4:$S$1203,$S587))</f>
        <v/>
      </c>
      <c r="AK587" s="42">
        <f>IF($AJ587="","",p_factor_productividad*IFERROR(INDEX('ASIGNACIONES'!$M$4:$M$451,MATCH($O587&amp;"|"&amp;$S587&amp;"|"&amp;$AH587,'ASIGNACIONES'!$N$4:$N$451,0)),0)-$AJ587)</f>
        <v/>
      </c>
      <c r="AL587" s="32">
        <f>IF($A587="","",IFERROR(INDEX('2_IMPORTAR_EJECUCION'!$F$9:$F$1208,MATCH($AU587,'2_IMPORTAR_EJECUCION'!$J$9:$J$1208,0)),0))</f>
        <v/>
      </c>
      <c r="AM587" s="32">
        <f>IF($A587="","",MAX(0,IFERROR(INDEX('2_IMPORTAR_EJECUCION'!$H$9:$H$1208,MATCH($AU587,'2_IMPORTAR_EJECUCION'!$J$9:$J$1208,0)),0)-$AL587))</f>
        <v/>
      </c>
      <c r="AN587" s="32">
        <f>IF($A587="","",$AL587+$AM587)</f>
        <v/>
      </c>
      <c r="AO587" s="24">
        <f>IF($A587="","",IF(OR((IFERROR(INDEX('CAT_ACTIVIDADES'!$D$4:$D$26,MATCH($H587,'CAT_ACTIVIDADES'!$A$4:$A$26,0)),""))=0,(IFERROR(INDEX('CAT_ACTIVIDADES'!$D$4:$D$26,MATCH($H587,'CAT_ACTIVIDADES'!$A$4:$A$26,0)),""))=""),"SIN CLASIFICAR",IFERROR(INDEX('CAT_ACTIVIDADES'!$D$4:$D$26,MATCH($H587,'CAT_ACTIVIDADES'!$A$4:$A$26,0)),"")))</f>
        <v/>
      </c>
      <c r="AP587" s="4" t="n"/>
      <c r="AQ587" s="4" t="n"/>
      <c r="AR587" s="4" t="n"/>
      <c r="AS587" s="24">
        <f>IF($AR587="","",HYPERLINK(p_ruta_base_checklists&amp;$AR587,"abrir"))</f>
        <v/>
      </c>
      <c r="AT587" s="4" t="n"/>
      <c r="AU587" s="24">
        <f>IF($A587="","",$A587&amp;IF($B587="","0010",$B587))</f>
        <v/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41" t="n"/>
      <c r="K588" s="5" t="n"/>
      <c r="L588" s="18" t="n"/>
      <c r="M588" s="24">
        <f>IF($A588="","",IFERROR(INDEX('AJUSTES'!$B$4:$B$303,MATCH($AU588,'AJUSTES'!$A$4:$A$303,0)),IF($K588="","",$K588)))</f>
        <v/>
      </c>
      <c r="N588" s="24">
        <f>IF($A588="","",IFERROR(INDEX('CAT_ESTADOS_ERP'!$B$4:$B$22,MATCH(IFERROR(INDEX('2_IMPORTAR_EJECUCION'!$C$9:$C$1208,MATCH($AU588,'2_IMPORTAR_EJECUCION'!$J$9:$J$1208,0)),""),'CAT_ESTADOS_ERP'!$A$4:$A$22,0)),"Pendiente"))</f>
        <v/>
      </c>
      <c r="O588" s="24">
        <f>IF($J588="","",YEAR($J588+4-WEEKDAY($J588,2))&amp;"-S"&amp;TEXT(_xlfn.ISOWEEKNUM($J588),"00"))</f>
        <v/>
      </c>
      <c r="P588" s="24">
        <f>IF($J588="","",YEAR($J588))</f>
        <v/>
      </c>
      <c r="Q588" s="24">
        <f>IF($J588="","",MONTH($J588))</f>
        <v/>
      </c>
      <c r="R588" s="24">
        <f>IF($J588="","",$P588&amp;"-"&amp;TEXT($Q588,"00"))</f>
        <v/>
      </c>
      <c r="S588" s="24">
        <f>IF($J588="","",INDEX(lista_dias,WEEKDAY($J588,2)))</f>
        <v/>
      </c>
      <c r="T588" s="24">
        <f>IF($J588="","",IFERROR(INDEX('CALENDARIO'!$C$15:$C$214,MATCH(TEXT($J588,"yyyy-mm-dd")&amp;"|"&amp;$Y588&amp;"|"&amp;$Z588,'CALENDARIO'!$G$15:$G$214,0)),IFERROR(INDEX('CALENDARIO'!$C$15:$C$214,MATCH(TEXT($J588,"yyyy-mm-dd")&amp;"|"&amp;$Y588&amp;"|",'CALENDARIO'!$G$15:$G$214,0)),IFERROR(INDEX('CALENDARIO'!$C$15:$C$214,MATCH(TEXT($J588,"yyyy-mm-dd")&amp;"||",'CALENDARIO'!$G$15:$G$214,0)),INDEX(patronHabil,WEEKDAY($J588,2))))))</f>
        <v/>
      </c>
      <c r="U588" s="24">
        <f>IF($I588="","",IFERROR(INDEX('CAT_TIPOS_OT'!$C$4:$C$23,MATCH($I588,'CAT_TIPOS_OT'!$A$4:$A$23,0)),"sin_clasificar"))</f>
        <v/>
      </c>
      <c r="V588" s="24">
        <f>IF($I588="","",IF(IFERROR(INDEX('CAT_TIPOS_OT'!$D$4:$D$23,MATCH($I588,'CAT_TIPOS_OT'!$A$4:$A$23,0)),"SIN CLASIFICAR")="","SIN CLASIFICAR",IFERROR(INDEX('CAT_TIPOS_OT'!$D$4:$D$23,MATCH($I588,'CAT_TIPOS_OT'!$A$4:$A$23,0)),"SIN CLASIFICAR")))</f>
        <v/>
      </c>
      <c r="W588" s="24">
        <f>IF($H588="","",IF(IFERROR(INDEX('CAT_ACTIVIDADES'!$F$4:$F$26,MATCH($H588,'CAT_ACTIVIDADES'!$A$4:$A$26,0)),"")=0,"",IFERROR(INDEX('CAT_ACTIVIDADES'!$F$4:$F$26,MATCH($H588,'CAT_ACTIVIDADES'!$A$4:$A$26,0)),"")))</f>
        <v/>
      </c>
      <c r="X588" s="24">
        <f>IF($F588="","",IFERROR(INDEX('CAT_CENTROS_COSTO'!$F$4:$F$28,MATCH($F588,'CAT_CENTROS_COSTO'!$A$4:$A$28,0)),"(sin catálogo)"))</f>
        <v/>
      </c>
      <c r="Y588" s="24">
        <f>IF($F588="","",IFERROR(INDEX('CAT_CENTROS_COSTO'!$D$4:$D$28,MATCH($F588,'CAT_CENTROS_COSTO'!$A$4:$A$28,0)),"(sin catálogo)"))</f>
        <v/>
      </c>
      <c r="Z588" s="24">
        <f>IF($F588="","",IF((IFERROR(INDEX('CAT_CENTROS_COSTO'!$E$4:$E$28,MATCH($F588,'CAT_CENTROS_COSTO'!$A$4:$A$28,0)),""))&lt;&gt;"",IFERROR(INDEX('CAT_CENTROS_COSTO'!$E$4:$E$28,MATCH($F588,'CAT_CENTROS_COSTO'!$A$4:$A$28,0)),""),$Y588))</f>
        <v/>
      </c>
      <c r="AA588" s="24">
        <f>IF($F588="","",IFERROR(INDEX('CAT_CENTROS_COSTO'!$G$4:$G$28,MATCH($F588,'CAT_CENTROS_COSTO'!$A$4:$A$28,0)),"(sin catálogo)"))</f>
        <v/>
      </c>
      <c r="AB588" s="24">
        <f>IF($G588="","",IFERROR(INDEX('CAT_PUESTOS'!$B$4:$B$23,MATCH($G588,'CAT_PUESTOS'!$A$4:$A$23,0)),"(sin catálogo)"))</f>
        <v/>
      </c>
      <c r="AC588" s="24">
        <f>IF($H588="","",IFERROR(INDEX('CAT_ACTIVIDADES'!$B$4:$B$26,MATCH($H588,'CAT_ACTIVIDADES'!$A$4:$A$26,0)),"(sin catálogo)"))</f>
        <v/>
      </c>
      <c r="AD588" s="26">
        <f>IF($J588="","",TODAY()-$J588)</f>
        <v/>
      </c>
      <c r="AE588" s="26">
        <f>IF($J588="","",IF($J588&lt;=TODAY(),COUNTIFS(cal_fechas,"&gt;="&amp;$J588,cal_fechas,"&lt;"&amp;TODAY(),cal_habil,"sí"),-COUNTIFS(cal_fechas,"&gt;="&amp;TODAY(),cal_fechas,"&lt;"&amp;$J588,cal_habil,"sí")))</f>
        <v/>
      </c>
      <c r="AF588" s="24">
        <f>IF($AE588="","",IF($AE588&lt;0,"FUTURO",IF($AE588&gt;p_dias_backlog_max,"BACKLOG","MES CORRIENTE")))</f>
        <v/>
      </c>
      <c r="AG588" s="24">
        <f>IF($AE588="",FALSE,AND($AE588&gt;p_dias_backlog_min,$AE588&lt;=p_dias_backlog_max))</f>
        <v/>
      </c>
      <c r="AH588" s="4" t="n"/>
      <c r="AI588" s="24">
        <f>IF($AH588="","",IF((IFERROR(INDEX('ASIGNACIONES'!$J$4:$J$451,MATCH($O588&amp;"|"&amp;$S588&amp;"|"&amp;$AH588,'ASIGNACIONES'!$N$4:$N$451,0)),""))=0,"",IFERROR(INDEX('ASIGNACIONES'!$J$4:$J$451,MATCH($O588&amp;"|"&amp;$S588&amp;"|"&amp;$AH588,'ASIGNACIONES'!$N$4:$N$451,0)),"")))</f>
        <v/>
      </c>
      <c r="AJ588" s="42">
        <f>IF($AH588="","",SUMIFS('ORDENES'!$M$4:$M$1203,'ORDENES'!$AH$4:$AH$1203,$AH588,'ORDENES'!$O$4:$O$1203,$O588,'ORDENES'!$S$4:$S$1203,$S588))</f>
        <v/>
      </c>
      <c r="AK588" s="42">
        <f>IF($AJ588="","",p_factor_productividad*IFERROR(INDEX('ASIGNACIONES'!$M$4:$M$451,MATCH($O588&amp;"|"&amp;$S588&amp;"|"&amp;$AH588,'ASIGNACIONES'!$N$4:$N$451,0)),0)-$AJ588)</f>
        <v/>
      </c>
      <c r="AL588" s="32">
        <f>IF($A588="","",IFERROR(INDEX('2_IMPORTAR_EJECUCION'!$F$9:$F$1208,MATCH($AU588,'2_IMPORTAR_EJECUCION'!$J$9:$J$1208,0)),0))</f>
        <v/>
      </c>
      <c r="AM588" s="32">
        <f>IF($A588="","",MAX(0,IFERROR(INDEX('2_IMPORTAR_EJECUCION'!$H$9:$H$1208,MATCH($AU588,'2_IMPORTAR_EJECUCION'!$J$9:$J$1208,0)),0)-$AL588))</f>
        <v/>
      </c>
      <c r="AN588" s="32">
        <f>IF($A588="","",$AL588+$AM588)</f>
        <v/>
      </c>
      <c r="AO588" s="24">
        <f>IF($A588="","",IF(OR((IFERROR(INDEX('CAT_ACTIVIDADES'!$D$4:$D$26,MATCH($H588,'CAT_ACTIVIDADES'!$A$4:$A$26,0)),""))=0,(IFERROR(INDEX('CAT_ACTIVIDADES'!$D$4:$D$26,MATCH($H588,'CAT_ACTIVIDADES'!$A$4:$A$26,0)),""))=""),"SIN CLASIFICAR",IFERROR(INDEX('CAT_ACTIVIDADES'!$D$4:$D$26,MATCH($H588,'CAT_ACTIVIDADES'!$A$4:$A$26,0)),"")))</f>
        <v/>
      </c>
      <c r="AP588" s="4" t="n"/>
      <c r="AQ588" s="4" t="n"/>
      <c r="AR588" s="4" t="n"/>
      <c r="AS588" s="24">
        <f>IF($AR588="","",HYPERLINK(p_ruta_base_checklists&amp;$AR588,"abrir"))</f>
        <v/>
      </c>
      <c r="AT588" s="4" t="n"/>
      <c r="AU588" s="24">
        <f>IF($A588="","",$A588&amp;IF($B588="","0010",$B588))</f>
        <v/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41" t="n"/>
      <c r="K589" s="5" t="n"/>
      <c r="L589" s="18" t="n"/>
      <c r="M589" s="24">
        <f>IF($A589="","",IFERROR(INDEX('AJUSTES'!$B$4:$B$303,MATCH($AU589,'AJUSTES'!$A$4:$A$303,0)),IF($K589="","",$K589)))</f>
        <v/>
      </c>
      <c r="N589" s="24">
        <f>IF($A589="","",IFERROR(INDEX('CAT_ESTADOS_ERP'!$B$4:$B$22,MATCH(IFERROR(INDEX('2_IMPORTAR_EJECUCION'!$C$9:$C$1208,MATCH($AU589,'2_IMPORTAR_EJECUCION'!$J$9:$J$1208,0)),""),'CAT_ESTADOS_ERP'!$A$4:$A$22,0)),"Pendiente"))</f>
        <v/>
      </c>
      <c r="O589" s="24">
        <f>IF($J589="","",YEAR($J589+4-WEEKDAY($J589,2))&amp;"-S"&amp;TEXT(_xlfn.ISOWEEKNUM($J589),"00"))</f>
        <v/>
      </c>
      <c r="P589" s="24">
        <f>IF($J589="","",YEAR($J589))</f>
        <v/>
      </c>
      <c r="Q589" s="24">
        <f>IF($J589="","",MONTH($J589))</f>
        <v/>
      </c>
      <c r="R589" s="24">
        <f>IF($J589="","",$P589&amp;"-"&amp;TEXT($Q589,"00"))</f>
        <v/>
      </c>
      <c r="S589" s="24">
        <f>IF($J589="","",INDEX(lista_dias,WEEKDAY($J589,2)))</f>
        <v/>
      </c>
      <c r="T589" s="24">
        <f>IF($J589="","",IFERROR(INDEX('CALENDARIO'!$C$15:$C$214,MATCH(TEXT($J589,"yyyy-mm-dd")&amp;"|"&amp;$Y589&amp;"|"&amp;$Z589,'CALENDARIO'!$G$15:$G$214,0)),IFERROR(INDEX('CALENDARIO'!$C$15:$C$214,MATCH(TEXT($J589,"yyyy-mm-dd")&amp;"|"&amp;$Y589&amp;"|",'CALENDARIO'!$G$15:$G$214,0)),IFERROR(INDEX('CALENDARIO'!$C$15:$C$214,MATCH(TEXT($J589,"yyyy-mm-dd")&amp;"||",'CALENDARIO'!$G$15:$G$214,0)),INDEX(patronHabil,WEEKDAY($J589,2))))))</f>
        <v/>
      </c>
      <c r="U589" s="24">
        <f>IF($I589="","",IFERROR(INDEX('CAT_TIPOS_OT'!$C$4:$C$23,MATCH($I589,'CAT_TIPOS_OT'!$A$4:$A$23,0)),"sin_clasificar"))</f>
        <v/>
      </c>
      <c r="V589" s="24">
        <f>IF($I589="","",IF(IFERROR(INDEX('CAT_TIPOS_OT'!$D$4:$D$23,MATCH($I589,'CAT_TIPOS_OT'!$A$4:$A$23,0)),"SIN CLASIFICAR")="","SIN CLASIFICAR",IFERROR(INDEX('CAT_TIPOS_OT'!$D$4:$D$23,MATCH($I589,'CAT_TIPOS_OT'!$A$4:$A$23,0)),"SIN CLASIFICAR")))</f>
        <v/>
      </c>
      <c r="W589" s="24">
        <f>IF($H589="","",IF(IFERROR(INDEX('CAT_ACTIVIDADES'!$F$4:$F$26,MATCH($H589,'CAT_ACTIVIDADES'!$A$4:$A$26,0)),"")=0,"",IFERROR(INDEX('CAT_ACTIVIDADES'!$F$4:$F$26,MATCH($H589,'CAT_ACTIVIDADES'!$A$4:$A$26,0)),"")))</f>
        <v/>
      </c>
      <c r="X589" s="24">
        <f>IF($F589="","",IFERROR(INDEX('CAT_CENTROS_COSTO'!$F$4:$F$28,MATCH($F589,'CAT_CENTROS_COSTO'!$A$4:$A$28,0)),"(sin catálogo)"))</f>
        <v/>
      </c>
      <c r="Y589" s="24">
        <f>IF($F589="","",IFERROR(INDEX('CAT_CENTROS_COSTO'!$D$4:$D$28,MATCH($F589,'CAT_CENTROS_COSTO'!$A$4:$A$28,0)),"(sin catálogo)"))</f>
        <v/>
      </c>
      <c r="Z589" s="24">
        <f>IF($F589="","",IF((IFERROR(INDEX('CAT_CENTROS_COSTO'!$E$4:$E$28,MATCH($F589,'CAT_CENTROS_COSTO'!$A$4:$A$28,0)),""))&lt;&gt;"",IFERROR(INDEX('CAT_CENTROS_COSTO'!$E$4:$E$28,MATCH($F589,'CAT_CENTROS_COSTO'!$A$4:$A$28,0)),""),$Y589))</f>
        <v/>
      </c>
      <c r="AA589" s="24">
        <f>IF($F589="","",IFERROR(INDEX('CAT_CENTROS_COSTO'!$G$4:$G$28,MATCH($F589,'CAT_CENTROS_COSTO'!$A$4:$A$28,0)),"(sin catálogo)"))</f>
        <v/>
      </c>
      <c r="AB589" s="24">
        <f>IF($G589="","",IFERROR(INDEX('CAT_PUESTOS'!$B$4:$B$23,MATCH($G589,'CAT_PUESTOS'!$A$4:$A$23,0)),"(sin catálogo)"))</f>
        <v/>
      </c>
      <c r="AC589" s="24">
        <f>IF($H589="","",IFERROR(INDEX('CAT_ACTIVIDADES'!$B$4:$B$26,MATCH($H589,'CAT_ACTIVIDADES'!$A$4:$A$26,0)),"(sin catálogo)"))</f>
        <v/>
      </c>
      <c r="AD589" s="26">
        <f>IF($J589="","",TODAY()-$J589)</f>
        <v/>
      </c>
      <c r="AE589" s="26">
        <f>IF($J589="","",IF($J589&lt;=TODAY(),COUNTIFS(cal_fechas,"&gt;="&amp;$J589,cal_fechas,"&lt;"&amp;TODAY(),cal_habil,"sí"),-COUNTIFS(cal_fechas,"&gt;="&amp;TODAY(),cal_fechas,"&lt;"&amp;$J589,cal_habil,"sí")))</f>
        <v/>
      </c>
      <c r="AF589" s="24">
        <f>IF($AE589="","",IF($AE589&lt;0,"FUTURO",IF($AE589&gt;p_dias_backlog_max,"BACKLOG","MES CORRIENTE")))</f>
        <v/>
      </c>
      <c r="AG589" s="24">
        <f>IF($AE589="",FALSE,AND($AE589&gt;p_dias_backlog_min,$AE589&lt;=p_dias_backlog_max))</f>
        <v/>
      </c>
      <c r="AH589" s="4" t="n"/>
      <c r="AI589" s="24">
        <f>IF($AH589="","",IF((IFERROR(INDEX('ASIGNACIONES'!$J$4:$J$451,MATCH($O589&amp;"|"&amp;$S589&amp;"|"&amp;$AH589,'ASIGNACIONES'!$N$4:$N$451,0)),""))=0,"",IFERROR(INDEX('ASIGNACIONES'!$J$4:$J$451,MATCH($O589&amp;"|"&amp;$S589&amp;"|"&amp;$AH589,'ASIGNACIONES'!$N$4:$N$451,0)),"")))</f>
        <v/>
      </c>
      <c r="AJ589" s="42">
        <f>IF($AH589="","",SUMIFS('ORDENES'!$M$4:$M$1203,'ORDENES'!$AH$4:$AH$1203,$AH589,'ORDENES'!$O$4:$O$1203,$O589,'ORDENES'!$S$4:$S$1203,$S589))</f>
        <v/>
      </c>
      <c r="AK589" s="42">
        <f>IF($AJ589="","",p_factor_productividad*IFERROR(INDEX('ASIGNACIONES'!$M$4:$M$451,MATCH($O589&amp;"|"&amp;$S589&amp;"|"&amp;$AH589,'ASIGNACIONES'!$N$4:$N$451,0)),0)-$AJ589)</f>
        <v/>
      </c>
      <c r="AL589" s="32">
        <f>IF($A589="","",IFERROR(INDEX('2_IMPORTAR_EJECUCION'!$F$9:$F$1208,MATCH($AU589,'2_IMPORTAR_EJECUCION'!$J$9:$J$1208,0)),0))</f>
        <v/>
      </c>
      <c r="AM589" s="32">
        <f>IF($A589="","",MAX(0,IFERROR(INDEX('2_IMPORTAR_EJECUCION'!$H$9:$H$1208,MATCH($AU589,'2_IMPORTAR_EJECUCION'!$J$9:$J$1208,0)),0)-$AL589))</f>
        <v/>
      </c>
      <c r="AN589" s="32">
        <f>IF($A589="","",$AL589+$AM589)</f>
        <v/>
      </c>
      <c r="AO589" s="24">
        <f>IF($A589="","",IF(OR((IFERROR(INDEX('CAT_ACTIVIDADES'!$D$4:$D$26,MATCH($H589,'CAT_ACTIVIDADES'!$A$4:$A$26,0)),""))=0,(IFERROR(INDEX('CAT_ACTIVIDADES'!$D$4:$D$26,MATCH($H589,'CAT_ACTIVIDADES'!$A$4:$A$26,0)),""))=""),"SIN CLASIFICAR",IFERROR(INDEX('CAT_ACTIVIDADES'!$D$4:$D$26,MATCH($H589,'CAT_ACTIVIDADES'!$A$4:$A$26,0)),"")))</f>
        <v/>
      </c>
      <c r="AP589" s="4" t="n"/>
      <c r="AQ589" s="4" t="n"/>
      <c r="AR589" s="4" t="n"/>
      <c r="AS589" s="24">
        <f>IF($AR589="","",HYPERLINK(p_ruta_base_checklists&amp;$AR589,"abrir"))</f>
        <v/>
      </c>
      <c r="AT589" s="4" t="n"/>
      <c r="AU589" s="24">
        <f>IF($A589="","",$A589&amp;IF($B589="","0010",$B589))</f>
        <v/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41" t="n"/>
      <c r="K590" s="5" t="n"/>
      <c r="L590" s="18" t="n"/>
      <c r="M590" s="24">
        <f>IF($A590="","",IFERROR(INDEX('AJUSTES'!$B$4:$B$303,MATCH($AU590,'AJUSTES'!$A$4:$A$303,0)),IF($K590="","",$K590)))</f>
        <v/>
      </c>
      <c r="N590" s="24">
        <f>IF($A590="","",IFERROR(INDEX('CAT_ESTADOS_ERP'!$B$4:$B$22,MATCH(IFERROR(INDEX('2_IMPORTAR_EJECUCION'!$C$9:$C$1208,MATCH($AU590,'2_IMPORTAR_EJECUCION'!$J$9:$J$1208,0)),""),'CAT_ESTADOS_ERP'!$A$4:$A$22,0)),"Pendiente"))</f>
        <v/>
      </c>
      <c r="O590" s="24">
        <f>IF($J590="","",YEAR($J590+4-WEEKDAY($J590,2))&amp;"-S"&amp;TEXT(_xlfn.ISOWEEKNUM($J590),"00"))</f>
        <v/>
      </c>
      <c r="P590" s="24">
        <f>IF($J590="","",YEAR($J590))</f>
        <v/>
      </c>
      <c r="Q590" s="24">
        <f>IF($J590="","",MONTH($J590))</f>
        <v/>
      </c>
      <c r="R590" s="24">
        <f>IF($J590="","",$P590&amp;"-"&amp;TEXT($Q590,"00"))</f>
        <v/>
      </c>
      <c r="S590" s="24">
        <f>IF($J590="","",INDEX(lista_dias,WEEKDAY($J590,2)))</f>
        <v/>
      </c>
      <c r="T590" s="24">
        <f>IF($J590="","",IFERROR(INDEX('CALENDARIO'!$C$15:$C$214,MATCH(TEXT($J590,"yyyy-mm-dd")&amp;"|"&amp;$Y590&amp;"|"&amp;$Z590,'CALENDARIO'!$G$15:$G$214,0)),IFERROR(INDEX('CALENDARIO'!$C$15:$C$214,MATCH(TEXT($J590,"yyyy-mm-dd")&amp;"|"&amp;$Y590&amp;"|",'CALENDARIO'!$G$15:$G$214,0)),IFERROR(INDEX('CALENDARIO'!$C$15:$C$214,MATCH(TEXT($J590,"yyyy-mm-dd")&amp;"||",'CALENDARIO'!$G$15:$G$214,0)),INDEX(patronHabil,WEEKDAY($J590,2))))))</f>
        <v/>
      </c>
      <c r="U590" s="24">
        <f>IF($I590="","",IFERROR(INDEX('CAT_TIPOS_OT'!$C$4:$C$23,MATCH($I590,'CAT_TIPOS_OT'!$A$4:$A$23,0)),"sin_clasificar"))</f>
        <v/>
      </c>
      <c r="V590" s="24">
        <f>IF($I590="","",IF(IFERROR(INDEX('CAT_TIPOS_OT'!$D$4:$D$23,MATCH($I590,'CAT_TIPOS_OT'!$A$4:$A$23,0)),"SIN CLASIFICAR")="","SIN CLASIFICAR",IFERROR(INDEX('CAT_TIPOS_OT'!$D$4:$D$23,MATCH($I590,'CAT_TIPOS_OT'!$A$4:$A$23,0)),"SIN CLASIFICAR")))</f>
        <v/>
      </c>
      <c r="W590" s="24">
        <f>IF($H590="","",IF(IFERROR(INDEX('CAT_ACTIVIDADES'!$F$4:$F$26,MATCH($H590,'CAT_ACTIVIDADES'!$A$4:$A$26,0)),"")=0,"",IFERROR(INDEX('CAT_ACTIVIDADES'!$F$4:$F$26,MATCH($H590,'CAT_ACTIVIDADES'!$A$4:$A$26,0)),"")))</f>
        <v/>
      </c>
      <c r="X590" s="24">
        <f>IF($F590="","",IFERROR(INDEX('CAT_CENTROS_COSTO'!$F$4:$F$28,MATCH($F590,'CAT_CENTROS_COSTO'!$A$4:$A$28,0)),"(sin catálogo)"))</f>
        <v/>
      </c>
      <c r="Y590" s="24">
        <f>IF($F590="","",IFERROR(INDEX('CAT_CENTROS_COSTO'!$D$4:$D$28,MATCH($F590,'CAT_CENTROS_COSTO'!$A$4:$A$28,0)),"(sin catálogo)"))</f>
        <v/>
      </c>
      <c r="Z590" s="24">
        <f>IF($F590="","",IF((IFERROR(INDEX('CAT_CENTROS_COSTO'!$E$4:$E$28,MATCH($F590,'CAT_CENTROS_COSTO'!$A$4:$A$28,0)),""))&lt;&gt;"",IFERROR(INDEX('CAT_CENTROS_COSTO'!$E$4:$E$28,MATCH($F590,'CAT_CENTROS_COSTO'!$A$4:$A$28,0)),""),$Y590))</f>
        <v/>
      </c>
      <c r="AA590" s="24">
        <f>IF($F590="","",IFERROR(INDEX('CAT_CENTROS_COSTO'!$G$4:$G$28,MATCH($F590,'CAT_CENTROS_COSTO'!$A$4:$A$28,0)),"(sin catálogo)"))</f>
        <v/>
      </c>
      <c r="AB590" s="24">
        <f>IF($G590="","",IFERROR(INDEX('CAT_PUESTOS'!$B$4:$B$23,MATCH($G590,'CAT_PUESTOS'!$A$4:$A$23,0)),"(sin catálogo)"))</f>
        <v/>
      </c>
      <c r="AC590" s="24">
        <f>IF($H590="","",IFERROR(INDEX('CAT_ACTIVIDADES'!$B$4:$B$26,MATCH($H590,'CAT_ACTIVIDADES'!$A$4:$A$26,0)),"(sin catálogo)"))</f>
        <v/>
      </c>
      <c r="AD590" s="26">
        <f>IF($J590="","",TODAY()-$J590)</f>
        <v/>
      </c>
      <c r="AE590" s="26">
        <f>IF($J590="","",IF($J590&lt;=TODAY(),COUNTIFS(cal_fechas,"&gt;="&amp;$J590,cal_fechas,"&lt;"&amp;TODAY(),cal_habil,"sí"),-COUNTIFS(cal_fechas,"&gt;="&amp;TODAY(),cal_fechas,"&lt;"&amp;$J590,cal_habil,"sí")))</f>
        <v/>
      </c>
      <c r="AF590" s="24">
        <f>IF($AE590="","",IF($AE590&lt;0,"FUTURO",IF($AE590&gt;p_dias_backlog_max,"BACKLOG","MES CORRIENTE")))</f>
        <v/>
      </c>
      <c r="AG590" s="24">
        <f>IF($AE590="",FALSE,AND($AE590&gt;p_dias_backlog_min,$AE590&lt;=p_dias_backlog_max))</f>
        <v/>
      </c>
      <c r="AH590" s="4" t="n"/>
      <c r="AI590" s="24">
        <f>IF($AH590="","",IF((IFERROR(INDEX('ASIGNACIONES'!$J$4:$J$451,MATCH($O590&amp;"|"&amp;$S590&amp;"|"&amp;$AH590,'ASIGNACIONES'!$N$4:$N$451,0)),""))=0,"",IFERROR(INDEX('ASIGNACIONES'!$J$4:$J$451,MATCH($O590&amp;"|"&amp;$S590&amp;"|"&amp;$AH590,'ASIGNACIONES'!$N$4:$N$451,0)),"")))</f>
        <v/>
      </c>
      <c r="AJ590" s="42">
        <f>IF($AH590="","",SUMIFS('ORDENES'!$M$4:$M$1203,'ORDENES'!$AH$4:$AH$1203,$AH590,'ORDENES'!$O$4:$O$1203,$O590,'ORDENES'!$S$4:$S$1203,$S590))</f>
        <v/>
      </c>
      <c r="AK590" s="42">
        <f>IF($AJ590="","",p_factor_productividad*IFERROR(INDEX('ASIGNACIONES'!$M$4:$M$451,MATCH($O590&amp;"|"&amp;$S590&amp;"|"&amp;$AH590,'ASIGNACIONES'!$N$4:$N$451,0)),0)-$AJ590)</f>
        <v/>
      </c>
      <c r="AL590" s="32">
        <f>IF($A590="","",IFERROR(INDEX('2_IMPORTAR_EJECUCION'!$F$9:$F$1208,MATCH($AU590,'2_IMPORTAR_EJECUCION'!$J$9:$J$1208,0)),0))</f>
        <v/>
      </c>
      <c r="AM590" s="32">
        <f>IF($A590="","",MAX(0,IFERROR(INDEX('2_IMPORTAR_EJECUCION'!$H$9:$H$1208,MATCH($AU590,'2_IMPORTAR_EJECUCION'!$J$9:$J$1208,0)),0)-$AL590))</f>
        <v/>
      </c>
      <c r="AN590" s="32">
        <f>IF($A590="","",$AL590+$AM590)</f>
        <v/>
      </c>
      <c r="AO590" s="24">
        <f>IF($A590="","",IF(OR((IFERROR(INDEX('CAT_ACTIVIDADES'!$D$4:$D$26,MATCH($H590,'CAT_ACTIVIDADES'!$A$4:$A$26,0)),""))=0,(IFERROR(INDEX('CAT_ACTIVIDADES'!$D$4:$D$26,MATCH($H590,'CAT_ACTIVIDADES'!$A$4:$A$26,0)),""))=""),"SIN CLASIFICAR",IFERROR(INDEX('CAT_ACTIVIDADES'!$D$4:$D$26,MATCH($H590,'CAT_ACTIVIDADES'!$A$4:$A$26,0)),"")))</f>
        <v/>
      </c>
      <c r="AP590" s="4" t="n"/>
      <c r="AQ590" s="4" t="n"/>
      <c r="AR590" s="4" t="n"/>
      <c r="AS590" s="24">
        <f>IF($AR590="","",HYPERLINK(p_ruta_base_checklists&amp;$AR590,"abrir"))</f>
        <v/>
      </c>
      <c r="AT590" s="4" t="n"/>
      <c r="AU590" s="24">
        <f>IF($A590="","",$A590&amp;IF($B590="","0010",$B590))</f>
        <v/>
      </c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41" t="n"/>
      <c r="K591" s="5" t="n"/>
      <c r="L591" s="18" t="n"/>
      <c r="M591" s="24">
        <f>IF($A591="","",IFERROR(INDEX('AJUSTES'!$B$4:$B$303,MATCH($AU591,'AJUSTES'!$A$4:$A$303,0)),IF($K591="","",$K591)))</f>
        <v/>
      </c>
      <c r="N591" s="24">
        <f>IF($A591="","",IFERROR(INDEX('CAT_ESTADOS_ERP'!$B$4:$B$22,MATCH(IFERROR(INDEX('2_IMPORTAR_EJECUCION'!$C$9:$C$1208,MATCH($AU591,'2_IMPORTAR_EJECUCION'!$J$9:$J$1208,0)),""),'CAT_ESTADOS_ERP'!$A$4:$A$22,0)),"Pendiente"))</f>
        <v/>
      </c>
      <c r="O591" s="24">
        <f>IF($J591="","",YEAR($J591+4-WEEKDAY($J591,2))&amp;"-S"&amp;TEXT(_xlfn.ISOWEEKNUM($J591),"00"))</f>
        <v/>
      </c>
      <c r="P591" s="24">
        <f>IF($J591="","",YEAR($J591))</f>
        <v/>
      </c>
      <c r="Q591" s="24">
        <f>IF($J591="","",MONTH($J591))</f>
        <v/>
      </c>
      <c r="R591" s="24">
        <f>IF($J591="","",$P591&amp;"-"&amp;TEXT($Q591,"00"))</f>
        <v/>
      </c>
      <c r="S591" s="24">
        <f>IF($J591="","",INDEX(lista_dias,WEEKDAY($J591,2)))</f>
        <v/>
      </c>
      <c r="T591" s="24">
        <f>IF($J591="","",IFERROR(INDEX('CALENDARIO'!$C$15:$C$214,MATCH(TEXT($J591,"yyyy-mm-dd")&amp;"|"&amp;$Y591&amp;"|"&amp;$Z591,'CALENDARIO'!$G$15:$G$214,0)),IFERROR(INDEX('CALENDARIO'!$C$15:$C$214,MATCH(TEXT($J591,"yyyy-mm-dd")&amp;"|"&amp;$Y591&amp;"|",'CALENDARIO'!$G$15:$G$214,0)),IFERROR(INDEX('CALENDARIO'!$C$15:$C$214,MATCH(TEXT($J591,"yyyy-mm-dd")&amp;"||",'CALENDARIO'!$G$15:$G$214,0)),INDEX(patronHabil,WEEKDAY($J591,2))))))</f>
        <v/>
      </c>
      <c r="U591" s="24">
        <f>IF($I591="","",IFERROR(INDEX('CAT_TIPOS_OT'!$C$4:$C$23,MATCH($I591,'CAT_TIPOS_OT'!$A$4:$A$23,0)),"sin_clasificar"))</f>
        <v/>
      </c>
      <c r="V591" s="24">
        <f>IF($I591="","",IF(IFERROR(INDEX('CAT_TIPOS_OT'!$D$4:$D$23,MATCH($I591,'CAT_TIPOS_OT'!$A$4:$A$23,0)),"SIN CLASIFICAR")="","SIN CLASIFICAR",IFERROR(INDEX('CAT_TIPOS_OT'!$D$4:$D$23,MATCH($I591,'CAT_TIPOS_OT'!$A$4:$A$23,0)),"SIN CLASIFICAR")))</f>
        <v/>
      </c>
      <c r="W591" s="24">
        <f>IF($H591="","",IF(IFERROR(INDEX('CAT_ACTIVIDADES'!$F$4:$F$26,MATCH($H591,'CAT_ACTIVIDADES'!$A$4:$A$26,0)),"")=0,"",IFERROR(INDEX('CAT_ACTIVIDADES'!$F$4:$F$26,MATCH($H591,'CAT_ACTIVIDADES'!$A$4:$A$26,0)),"")))</f>
        <v/>
      </c>
      <c r="X591" s="24">
        <f>IF($F591="","",IFERROR(INDEX('CAT_CENTROS_COSTO'!$F$4:$F$28,MATCH($F591,'CAT_CENTROS_COSTO'!$A$4:$A$28,0)),"(sin catálogo)"))</f>
        <v/>
      </c>
      <c r="Y591" s="24">
        <f>IF($F591="","",IFERROR(INDEX('CAT_CENTROS_COSTO'!$D$4:$D$28,MATCH($F591,'CAT_CENTROS_COSTO'!$A$4:$A$28,0)),"(sin catálogo)"))</f>
        <v/>
      </c>
      <c r="Z591" s="24">
        <f>IF($F591="","",IF((IFERROR(INDEX('CAT_CENTROS_COSTO'!$E$4:$E$28,MATCH($F591,'CAT_CENTROS_COSTO'!$A$4:$A$28,0)),""))&lt;&gt;"",IFERROR(INDEX('CAT_CENTROS_COSTO'!$E$4:$E$28,MATCH($F591,'CAT_CENTROS_COSTO'!$A$4:$A$28,0)),""),$Y591))</f>
        <v/>
      </c>
      <c r="AA591" s="24">
        <f>IF($F591="","",IFERROR(INDEX('CAT_CENTROS_COSTO'!$G$4:$G$28,MATCH($F591,'CAT_CENTROS_COSTO'!$A$4:$A$28,0)),"(sin catálogo)"))</f>
        <v/>
      </c>
      <c r="AB591" s="24">
        <f>IF($G591="","",IFERROR(INDEX('CAT_PUESTOS'!$B$4:$B$23,MATCH($G591,'CAT_PUESTOS'!$A$4:$A$23,0)),"(sin catálogo)"))</f>
        <v/>
      </c>
      <c r="AC591" s="24">
        <f>IF($H591="","",IFERROR(INDEX('CAT_ACTIVIDADES'!$B$4:$B$26,MATCH($H591,'CAT_ACTIVIDADES'!$A$4:$A$26,0)),"(sin catálogo)"))</f>
        <v/>
      </c>
      <c r="AD591" s="26">
        <f>IF($J591="","",TODAY()-$J591)</f>
        <v/>
      </c>
      <c r="AE591" s="26">
        <f>IF($J591="","",IF($J591&lt;=TODAY(),COUNTIFS(cal_fechas,"&gt;="&amp;$J591,cal_fechas,"&lt;"&amp;TODAY(),cal_habil,"sí"),-COUNTIFS(cal_fechas,"&gt;="&amp;TODAY(),cal_fechas,"&lt;"&amp;$J591,cal_habil,"sí")))</f>
        <v/>
      </c>
      <c r="AF591" s="24">
        <f>IF($AE591="","",IF($AE591&lt;0,"FUTURO",IF($AE591&gt;p_dias_backlog_max,"BACKLOG","MES CORRIENTE")))</f>
        <v/>
      </c>
      <c r="AG591" s="24">
        <f>IF($AE591="",FALSE,AND($AE591&gt;p_dias_backlog_min,$AE591&lt;=p_dias_backlog_max))</f>
        <v/>
      </c>
      <c r="AH591" s="4" t="n"/>
      <c r="AI591" s="24">
        <f>IF($AH591="","",IF((IFERROR(INDEX('ASIGNACIONES'!$J$4:$J$451,MATCH($O591&amp;"|"&amp;$S591&amp;"|"&amp;$AH591,'ASIGNACIONES'!$N$4:$N$451,0)),""))=0,"",IFERROR(INDEX('ASIGNACIONES'!$J$4:$J$451,MATCH($O591&amp;"|"&amp;$S591&amp;"|"&amp;$AH591,'ASIGNACIONES'!$N$4:$N$451,0)),"")))</f>
        <v/>
      </c>
      <c r="AJ591" s="42">
        <f>IF($AH591="","",SUMIFS('ORDENES'!$M$4:$M$1203,'ORDENES'!$AH$4:$AH$1203,$AH591,'ORDENES'!$O$4:$O$1203,$O591,'ORDENES'!$S$4:$S$1203,$S591))</f>
        <v/>
      </c>
      <c r="AK591" s="42">
        <f>IF($AJ591="","",p_factor_productividad*IFERROR(INDEX('ASIGNACIONES'!$M$4:$M$451,MATCH($O591&amp;"|"&amp;$S591&amp;"|"&amp;$AH591,'ASIGNACIONES'!$N$4:$N$451,0)),0)-$AJ591)</f>
        <v/>
      </c>
      <c r="AL591" s="32">
        <f>IF($A591="","",IFERROR(INDEX('2_IMPORTAR_EJECUCION'!$F$9:$F$1208,MATCH($AU591,'2_IMPORTAR_EJECUCION'!$J$9:$J$1208,0)),0))</f>
        <v/>
      </c>
      <c r="AM591" s="32">
        <f>IF($A591="","",MAX(0,IFERROR(INDEX('2_IMPORTAR_EJECUCION'!$H$9:$H$1208,MATCH($AU591,'2_IMPORTAR_EJECUCION'!$J$9:$J$1208,0)),0)-$AL591))</f>
        <v/>
      </c>
      <c r="AN591" s="32">
        <f>IF($A591="","",$AL591+$AM591)</f>
        <v/>
      </c>
      <c r="AO591" s="24">
        <f>IF($A591="","",IF(OR((IFERROR(INDEX('CAT_ACTIVIDADES'!$D$4:$D$26,MATCH($H591,'CAT_ACTIVIDADES'!$A$4:$A$26,0)),""))=0,(IFERROR(INDEX('CAT_ACTIVIDADES'!$D$4:$D$26,MATCH($H591,'CAT_ACTIVIDADES'!$A$4:$A$26,0)),""))=""),"SIN CLASIFICAR",IFERROR(INDEX('CAT_ACTIVIDADES'!$D$4:$D$26,MATCH($H591,'CAT_ACTIVIDADES'!$A$4:$A$26,0)),"")))</f>
        <v/>
      </c>
      <c r="AP591" s="4" t="n"/>
      <c r="AQ591" s="4" t="n"/>
      <c r="AR591" s="4" t="n"/>
      <c r="AS591" s="24">
        <f>IF($AR591="","",HYPERLINK(p_ruta_base_checklists&amp;$AR591,"abrir"))</f>
        <v/>
      </c>
      <c r="AT591" s="4" t="n"/>
      <c r="AU591" s="24">
        <f>IF($A591="","",$A591&amp;IF($B591="","0010",$B591))</f>
        <v/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41" t="n"/>
      <c r="K592" s="5" t="n"/>
      <c r="L592" s="18" t="n"/>
      <c r="M592" s="24">
        <f>IF($A592="","",IFERROR(INDEX('AJUSTES'!$B$4:$B$303,MATCH($AU592,'AJUSTES'!$A$4:$A$303,0)),IF($K592="","",$K592)))</f>
        <v/>
      </c>
      <c r="N592" s="24">
        <f>IF($A592="","",IFERROR(INDEX('CAT_ESTADOS_ERP'!$B$4:$B$22,MATCH(IFERROR(INDEX('2_IMPORTAR_EJECUCION'!$C$9:$C$1208,MATCH($AU592,'2_IMPORTAR_EJECUCION'!$J$9:$J$1208,0)),""),'CAT_ESTADOS_ERP'!$A$4:$A$22,0)),"Pendiente"))</f>
        <v/>
      </c>
      <c r="O592" s="24">
        <f>IF($J592="","",YEAR($J592+4-WEEKDAY($J592,2))&amp;"-S"&amp;TEXT(_xlfn.ISOWEEKNUM($J592),"00"))</f>
        <v/>
      </c>
      <c r="P592" s="24">
        <f>IF($J592="","",YEAR($J592))</f>
        <v/>
      </c>
      <c r="Q592" s="24">
        <f>IF($J592="","",MONTH($J592))</f>
        <v/>
      </c>
      <c r="R592" s="24">
        <f>IF($J592="","",$P592&amp;"-"&amp;TEXT($Q592,"00"))</f>
        <v/>
      </c>
      <c r="S592" s="24">
        <f>IF($J592="","",INDEX(lista_dias,WEEKDAY($J592,2)))</f>
        <v/>
      </c>
      <c r="T592" s="24">
        <f>IF($J592="","",IFERROR(INDEX('CALENDARIO'!$C$15:$C$214,MATCH(TEXT($J592,"yyyy-mm-dd")&amp;"|"&amp;$Y592&amp;"|"&amp;$Z592,'CALENDARIO'!$G$15:$G$214,0)),IFERROR(INDEX('CALENDARIO'!$C$15:$C$214,MATCH(TEXT($J592,"yyyy-mm-dd")&amp;"|"&amp;$Y592&amp;"|",'CALENDARIO'!$G$15:$G$214,0)),IFERROR(INDEX('CALENDARIO'!$C$15:$C$214,MATCH(TEXT($J592,"yyyy-mm-dd")&amp;"||",'CALENDARIO'!$G$15:$G$214,0)),INDEX(patronHabil,WEEKDAY($J592,2))))))</f>
        <v/>
      </c>
      <c r="U592" s="24">
        <f>IF($I592="","",IFERROR(INDEX('CAT_TIPOS_OT'!$C$4:$C$23,MATCH($I592,'CAT_TIPOS_OT'!$A$4:$A$23,0)),"sin_clasificar"))</f>
        <v/>
      </c>
      <c r="V592" s="24">
        <f>IF($I592="","",IF(IFERROR(INDEX('CAT_TIPOS_OT'!$D$4:$D$23,MATCH($I592,'CAT_TIPOS_OT'!$A$4:$A$23,0)),"SIN CLASIFICAR")="","SIN CLASIFICAR",IFERROR(INDEX('CAT_TIPOS_OT'!$D$4:$D$23,MATCH($I592,'CAT_TIPOS_OT'!$A$4:$A$23,0)),"SIN CLASIFICAR")))</f>
        <v/>
      </c>
      <c r="W592" s="24">
        <f>IF($H592="","",IF(IFERROR(INDEX('CAT_ACTIVIDADES'!$F$4:$F$26,MATCH($H592,'CAT_ACTIVIDADES'!$A$4:$A$26,0)),"")=0,"",IFERROR(INDEX('CAT_ACTIVIDADES'!$F$4:$F$26,MATCH($H592,'CAT_ACTIVIDADES'!$A$4:$A$26,0)),"")))</f>
        <v/>
      </c>
      <c r="X592" s="24">
        <f>IF($F592="","",IFERROR(INDEX('CAT_CENTROS_COSTO'!$F$4:$F$28,MATCH($F592,'CAT_CENTROS_COSTO'!$A$4:$A$28,0)),"(sin catálogo)"))</f>
        <v/>
      </c>
      <c r="Y592" s="24">
        <f>IF($F592="","",IFERROR(INDEX('CAT_CENTROS_COSTO'!$D$4:$D$28,MATCH($F592,'CAT_CENTROS_COSTO'!$A$4:$A$28,0)),"(sin catálogo)"))</f>
        <v/>
      </c>
      <c r="Z592" s="24">
        <f>IF($F592="","",IF((IFERROR(INDEX('CAT_CENTROS_COSTO'!$E$4:$E$28,MATCH($F592,'CAT_CENTROS_COSTO'!$A$4:$A$28,0)),""))&lt;&gt;"",IFERROR(INDEX('CAT_CENTROS_COSTO'!$E$4:$E$28,MATCH($F592,'CAT_CENTROS_COSTO'!$A$4:$A$28,0)),""),$Y592))</f>
        <v/>
      </c>
      <c r="AA592" s="24">
        <f>IF($F592="","",IFERROR(INDEX('CAT_CENTROS_COSTO'!$G$4:$G$28,MATCH($F592,'CAT_CENTROS_COSTO'!$A$4:$A$28,0)),"(sin catálogo)"))</f>
        <v/>
      </c>
      <c r="AB592" s="24">
        <f>IF($G592="","",IFERROR(INDEX('CAT_PUESTOS'!$B$4:$B$23,MATCH($G592,'CAT_PUESTOS'!$A$4:$A$23,0)),"(sin catálogo)"))</f>
        <v/>
      </c>
      <c r="AC592" s="24">
        <f>IF($H592="","",IFERROR(INDEX('CAT_ACTIVIDADES'!$B$4:$B$26,MATCH($H592,'CAT_ACTIVIDADES'!$A$4:$A$26,0)),"(sin catálogo)"))</f>
        <v/>
      </c>
      <c r="AD592" s="26">
        <f>IF($J592="","",TODAY()-$J592)</f>
        <v/>
      </c>
      <c r="AE592" s="26">
        <f>IF($J592="","",IF($J592&lt;=TODAY(),COUNTIFS(cal_fechas,"&gt;="&amp;$J592,cal_fechas,"&lt;"&amp;TODAY(),cal_habil,"sí"),-COUNTIFS(cal_fechas,"&gt;="&amp;TODAY(),cal_fechas,"&lt;"&amp;$J592,cal_habil,"sí")))</f>
        <v/>
      </c>
      <c r="AF592" s="24">
        <f>IF($AE592="","",IF($AE592&lt;0,"FUTURO",IF($AE592&gt;p_dias_backlog_max,"BACKLOG","MES CORRIENTE")))</f>
        <v/>
      </c>
      <c r="AG592" s="24">
        <f>IF($AE592="",FALSE,AND($AE592&gt;p_dias_backlog_min,$AE592&lt;=p_dias_backlog_max))</f>
        <v/>
      </c>
      <c r="AH592" s="4" t="n"/>
      <c r="AI592" s="24">
        <f>IF($AH592="","",IF((IFERROR(INDEX('ASIGNACIONES'!$J$4:$J$451,MATCH($O592&amp;"|"&amp;$S592&amp;"|"&amp;$AH592,'ASIGNACIONES'!$N$4:$N$451,0)),""))=0,"",IFERROR(INDEX('ASIGNACIONES'!$J$4:$J$451,MATCH($O592&amp;"|"&amp;$S592&amp;"|"&amp;$AH592,'ASIGNACIONES'!$N$4:$N$451,0)),"")))</f>
        <v/>
      </c>
      <c r="AJ592" s="42">
        <f>IF($AH592="","",SUMIFS('ORDENES'!$M$4:$M$1203,'ORDENES'!$AH$4:$AH$1203,$AH592,'ORDENES'!$O$4:$O$1203,$O592,'ORDENES'!$S$4:$S$1203,$S592))</f>
        <v/>
      </c>
      <c r="AK592" s="42">
        <f>IF($AJ592="","",p_factor_productividad*IFERROR(INDEX('ASIGNACIONES'!$M$4:$M$451,MATCH($O592&amp;"|"&amp;$S592&amp;"|"&amp;$AH592,'ASIGNACIONES'!$N$4:$N$451,0)),0)-$AJ592)</f>
        <v/>
      </c>
      <c r="AL592" s="32">
        <f>IF($A592="","",IFERROR(INDEX('2_IMPORTAR_EJECUCION'!$F$9:$F$1208,MATCH($AU592,'2_IMPORTAR_EJECUCION'!$J$9:$J$1208,0)),0))</f>
        <v/>
      </c>
      <c r="AM592" s="32">
        <f>IF($A592="","",MAX(0,IFERROR(INDEX('2_IMPORTAR_EJECUCION'!$H$9:$H$1208,MATCH($AU592,'2_IMPORTAR_EJECUCION'!$J$9:$J$1208,0)),0)-$AL592))</f>
        <v/>
      </c>
      <c r="AN592" s="32">
        <f>IF($A592="","",$AL592+$AM592)</f>
        <v/>
      </c>
      <c r="AO592" s="24">
        <f>IF($A592="","",IF(OR((IFERROR(INDEX('CAT_ACTIVIDADES'!$D$4:$D$26,MATCH($H592,'CAT_ACTIVIDADES'!$A$4:$A$26,0)),""))=0,(IFERROR(INDEX('CAT_ACTIVIDADES'!$D$4:$D$26,MATCH($H592,'CAT_ACTIVIDADES'!$A$4:$A$26,0)),""))=""),"SIN CLASIFICAR",IFERROR(INDEX('CAT_ACTIVIDADES'!$D$4:$D$26,MATCH($H592,'CAT_ACTIVIDADES'!$A$4:$A$26,0)),"")))</f>
        <v/>
      </c>
      <c r="AP592" s="4" t="n"/>
      <c r="AQ592" s="4" t="n"/>
      <c r="AR592" s="4" t="n"/>
      <c r="AS592" s="24">
        <f>IF($AR592="","",HYPERLINK(p_ruta_base_checklists&amp;$AR592,"abrir"))</f>
        <v/>
      </c>
      <c r="AT592" s="4" t="n"/>
      <c r="AU592" s="24">
        <f>IF($A592="","",$A592&amp;IF($B592="","0010",$B592))</f>
        <v/>
      </c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41" t="n"/>
      <c r="K593" s="5" t="n"/>
      <c r="L593" s="18" t="n"/>
      <c r="M593" s="24">
        <f>IF($A593="","",IFERROR(INDEX('AJUSTES'!$B$4:$B$303,MATCH($AU593,'AJUSTES'!$A$4:$A$303,0)),IF($K593="","",$K593)))</f>
        <v/>
      </c>
      <c r="N593" s="24">
        <f>IF($A593="","",IFERROR(INDEX('CAT_ESTADOS_ERP'!$B$4:$B$22,MATCH(IFERROR(INDEX('2_IMPORTAR_EJECUCION'!$C$9:$C$1208,MATCH($AU593,'2_IMPORTAR_EJECUCION'!$J$9:$J$1208,0)),""),'CAT_ESTADOS_ERP'!$A$4:$A$22,0)),"Pendiente"))</f>
        <v/>
      </c>
      <c r="O593" s="24">
        <f>IF($J593="","",YEAR($J593+4-WEEKDAY($J593,2))&amp;"-S"&amp;TEXT(_xlfn.ISOWEEKNUM($J593),"00"))</f>
        <v/>
      </c>
      <c r="P593" s="24">
        <f>IF($J593="","",YEAR($J593))</f>
        <v/>
      </c>
      <c r="Q593" s="24">
        <f>IF($J593="","",MONTH($J593))</f>
        <v/>
      </c>
      <c r="R593" s="24">
        <f>IF($J593="","",$P593&amp;"-"&amp;TEXT($Q593,"00"))</f>
        <v/>
      </c>
      <c r="S593" s="24">
        <f>IF($J593="","",INDEX(lista_dias,WEEKDAY($J593,2)))</f>
        <v/>
      </c>
      <c r="T593" s="24">
        <f>IF($J593="","",IFERROR(INDEX('CALENDARIO'!$C$15:$C$214,MATCH(TEXT($J593,"yyyy-mm-dd")&amp;"|"&amp;$Y593&amp;"|"&amp;$Z593,'CALENDARIO'!$G$15:$G$214,0)),IFERROR(INDEX('CALENDARIO'!$C$15:$C$214,MATCH(TEXT($J593,"yyyy-mm-dd")&amp;"|"&amp;$Y593&amp;"|",'CALENDARIO'!$G$15:$G$214,0)),IFERROR(INDEX('CALENDARIO'!$C$15:$C$214,MATCH(TEXT($J593,"yyyy-mm-dd")&amp;"||",'CALENDARIO'!$G$15:$G$214,0)),INDEX(patronHabil,WEEKDAY($J593,2))))))</f>
        <v/>
      </c>
      <c r="U593" s="24">
        <f>IF($I593="","",IFERROR(INDEX('CAT_TIPOS_OT'!$C$4:$C$23,MATCH($I593,'CAT_TIPOS_OT'!$A$4:$A$23,0)),"sin_clasificar"))</f>
        <v/>
      </c>
      <c r="V593" s="24">
        <f>IF($I593="","",IF(IFERROR(INDEX('CAT_TIPOS_OT'!$D$4:$D$23,MATCH($I593,'CAT_TIPOS_OT'!$A$4:$A$23,0)),"SIN CLASIFICAR")="","SIN CLASIFICAR",IFERROR(INDEX('CAT_TIPOS_OT'!$D$4:$D$23,MATCH($I593,'CAT_TIPOS_OT'!$A$4:$A$23,0)),"SIN CLASIFICAR")))</f>
        <v/>
      </c>
      <c r="W593" s="24">
        <f>IF($H593="","",IF(IFERROR(INDEX('CAT_ACTIVIDADES'!$F$4:$F$26,MATCH($H593,'CAT_ACTIVIDADES'!$A$4:$A$26,0)),"")=0,"",IFERROR(INDEX('CAT_ACTIVIDADES'!$F$4:$F$26,MATCH($H593,'CAT_ACTIVIDADES'!$A$4:$A$26,0)),"")))</f>
        <v/>
      </c>
      <c r="X593" s="24">
        <f>IF($F593="","",IFERROR(INDEX('CAT_CENTROS_COSTO'!$F$4:$F$28,MATCH($F593,'CAT_CENTROS_COSTO'!$A$4:$A$28,0)),"(sin catálogo)"))</f>
        <v/>
      </c>
      <c r="Y593" s="24">
        <f>IF($F593="","",IFERROR(INDEX('CAT_CENTROS_COSTO'!$D$4:$D$28,MATCH($F593,'CAT_CENTROS_COSTO'!$A$4:$A$28,0)),"(sin catálogo)"))</f>
        <v/>
      </c>
      <c r="Z593" s="24">
        <f>IF($F593="","",IF((IFERROR(INDEX('CAT_CENTROS_COSTO'!$E$4:$E$28,MATCH($F593,'CAT_CENTROS_COSTO'!$A$4:$A$28,0)),""))&lt;&gt;"",IFERROR(INDEX('CAT_CENTROS_COSTO'!$E$4:$E$28,MATCH($F593,'CAT_CENTROS_COSTO'!$A$4:$A$28,0)),""),$Y593))</f>
        <v/>
      </c>
      <c r="AA593" s="24">
        <f>IF($F593="","",IFERROR(INDEX('CAT_CENTROS_COSTO'!$G$4:$G$28,MATCH($F593,'CAT_CENTROS_COSTO'!$A$4:$A$28,0)),"(sin catálogo)"))</f>
        <v/>
      </c>
      <c r="AB593" s="24">
        <f>IF($G593="","",IFERROR(INDEX('CAT_PUESTOS'!$B$4:$B$23,MATCH($G593,'CAT_PUESTOS'!$A$4:$A$23,0)),"(sin catálogo)"))</f>
        <v/>
      </c>
      <c r="AC593" s="24">
        <f>IF($H593="","",IFERROR(INDEX('CAT_ACTIVIDADES'!$B$4:$B$26,MATCH($H593,'CAT_ACTIVIDADES'!$A$4:$A$26,0)),"(sin catálogo)"))</f>
        <v/>
      </c>
      <c r="AD593" s="26">
        <f>IF($J593="","",TODAY()-$J593)</f>
        <v/>
      </c>
      <c r="AE593" s="26">
        <f>IF($J593="","",IF($J593&lt;=TODAY(),COUNTIFS(cal_fechas,"&gt;="&amp;$J593,cal_fechas,"&lt;"&amp;TODAY(),cal_habil,"sí"),-COUNTIFS(cal_fechas,"&gt;="&amp;TODAY(),cal_fechas,"&lt;"&amp;$J593,cal_habil,"sí")))</f>
        <v/>
      </c>
      <c r="AF593" s="24">
        <f>IF($AE593="","",IF($AE593&lt;0,"FUTURO",IF($AE593&gt;p_dias_backlog_max,"BACKLOG","MES CORRIENTE")))</f>
        <v/>
      </c>
      <c r="AG593" s="24">
        <f>IF($AE593="",FALSE,AND($AE593&gt;p_dias_backlog_min,$AE593&lt;=p_dias_backlog_max))</f>
        <v/>
      </c>
      <c r="AH593" s="4" t="n"/>
      <c r="AI593" s="24">
        <f>IF($AH593="","",IF((IFERROR(INDEX('ASIGNACIONES'!$J$4:$J$451,MATCH($O593&amp;"|"&amp;$S593&amp;"|"&amp;$AH593,'ASIGNACIONES'!$N$4:$N$451,0)),""))=0,"",IFERROR(INDEX('ASIGNACIONES'!$J$4:$J$451,MATCH($O593&amp;"|"&amp;$S593&amp;"|"&amp;$AH593,'ASIGNACIONES'!$N$4:$N$451,0)),"")))</f>
        <v/>
      </c>
      <c r="AJ593" s="42">
        <f>IF($AH593="","",SUMIFS('ORDENES'!$M$4:$M$1203,'ORDENES'!$AH$4:$AH$1203,$AH593,'ORDENES'!$O$4:$O$1203,$O593,'ORDENES'!$S$4:$S$1203,$S593))</f>
        <v/>
      </c>
      <c r="AK593" s="42">
        <f>IF($AJ593="","",p_factor_productividad*IFERROR(INDEX('ASIGNACIONES'!$M$4:$M$451,MATCH($O593&amp;"|"&amp;$S593&amp;"|"&amp;$AH593,'ASIGNACIONES'!$N$4:$N$451,0)),0)-$AJ593)</f>
        <v/>
      </c>
      <c r="AL593" s="32">
        <f>IF($A593="","",IFERROR(INDEX('2_IMPORTAR_EJECUCION'!$F$9:$F$1208,MATCH($AU593,'2_IMPORTAR_EJECUCION'!$J$9:$J$1208,0)),0))</f>
        <v/>
      </c>
      <c r="AM593" s="32">
        <f>IF($A593="","",MAX(0,IFERROR(INDEX('2_IMPORTAR_EJECUCION'!$H$9:$H$1208,MATCH($AU593,'2_IMPORTAR_EJECUCION'!$J$9:$J$1208,0)),0)-$AL593))</f>
        <v/>
      </c>
      <c r="AN593" s="32">
        <f>IF($A593="","",$AL593+$AM593)</f>
        <v/>
      </c>
      <c r="AO593" s="24">
        <f>IF($A593="","",IF(OR((IFERROR(INDEX('CAT_ACTIVIDADES'!$D$4:$D$26,MATCH($H593,'CAT_ACTIVIDADES'!$A$4:$A$26,0)),""))=0,(IFERROR(INDEX('CAT_ACTIVIDADES'!$D$4:$D$26,MATCH($H593,'CAT_ACTIVIDADES'!$A$4:$A$26,0)),""))=""),"SIN CLASIFICAR",IFERROR(INDEX('CAT_ACTIVIDADES'!$D$4:$D$26,MATCH($H593,'CAT_ACTIVIDADES'!$A$4:$A$26,0)),"")))</f>
        <v/>
      </c>
      <c r="AP593" s="4" t="n"/>
      <c r="AQ593" s="4" t="n"/>
      <c r="AR593" s="4" t="n"/>
      <c r="AS593" s="24">
        <f>IF($AR593="","",HYPERLINK(p_ruta_base_checklists&amp;$AR593,"abrir"))</f>
        <v/>
      </c>
      <c r="AT593" s="4" t="n"/>
      <c r="AU593" s="24">
        <f>IF($A593="","",$A593&amp;IF($B593="","0010",$B593))</f>
        <v/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41" t="n"/>
      <c r="K594" s="5" t="n"/>
      <c r="L594" s="18" t="n"/>
      <c r="M594" s="24">
        <f>IF($A594="","",IFERROR(INDEX('AJUSTES'!$B$4:$B$303,MATCH($AU594,'AJUSTES'!$A$4:$A$303,0)),IF($K594="","",$K594)))</f>
        <v/>
      </c>
      <c r="N594" s="24">
        <f>IF($A594="","",IFERROR(INDEX('CAT_ESTADOS_ERP'!$B$4:$B$22,MATCH(IFERROR(INDEX('2_IMPORTAR_EJECUCION'!$C$9:$C$1208,MATCH($AU594,'2_IMPORTAR_EJECUCION'!$J$9:$J$1208,0)),""),'CAT_ESTADOS_ERP'!$A$4:$A$22,0)),"Pendiente"))</f>
        <v/>
      </c>
      <c r="O594" s="24">
        <f>IF($J594="","",YEAR($J594+4-WEEKDAY($J594,2))&amp;"-S"&amp;TEXT(_xlfn.ISOWEEKNUM($J594),"00"))</f>
        <v/>
      </c>
      <c r="P594" s="24">
        <f>IF($J594="","",YEAR($J594))</f>
        <v/>
      </c>
      <c r="Q594" s="24">
        <f>IF($J594="","",MONTH($J594))</f>
        <v/>
      </c>
      <c r="R594" s="24">
        <f>IF($J594="","",$P594&amp;"-"&amp;TEXT($Q594,"00"))</f>
        <v/>
      </c>
      <c r="S594" s="24">
        <f>IF($J594="","",INDEX(lista_dias,WEEKDAY($J594,2)))</f>
        <v/>
      </c>
      <c r="T594" s="24">
        <f>IF($J594="","",IFERROR(INDEX('CALENDARIO'!$C$15:$C$214,MATCH(TEXT($J594,"yyyy-mm-dd")&amp;"|"&amp;$Y594&amp;"|"&amp;$Z594,'CALENDARIO'!$G$15:$G$214,0)),IFERROR(INDEX('CALENDARIO'!$C$15:$C$214,MATCH(TEXT($J594,"yyyy-mm-dd")&amp;"|"&amp;$Y594&amp;"|",'CALENDARIO'!$G$15:$G$214,0)),IFERROR(INDEX('CALENDARIO'!$C$15:$C$214,MATCH(TEXT($J594,"yyyy-mm-dd")&amp;"||",'CALENDARIO'!$G$15:$G$214,0)),INDEX(patronHabil,WEEKDAY($J594,2))))))</f>
        <v/>
      </c>
      <c r="U594" s="24">
        <f>IF($I594="","",IFERROR(INDEX('CAT_TIPOS_OT'!$C$4:$C$23,MATCH($I594,'CAT_TIPOS_OT'!$A$4:$A$23,0)),"sin_clasificar"))</f>
        <v/>
      </c>
      <c r="V594" s="24">
        <f>IF($I594="","",IF(IFERROR(INDEX('CAT_TIPOS_OT'!$D$4:$D$23,MATCH($I594,'CAT_TIPOS_OT'!$A$4:$A$23,0)),"SIN CLASIFICAR")="","SIN CLASIFICAR",IFERROR(INDEX('CAT_TIPOS_OT'!$D$4:$D$23,MATCH($I594,'CAT_TIPOS_OT'!$A$4:$A$23,0)),"SIN CLASIFICAR")))</f>
        <v/>
      </c>
      <c r="W594" s="24">
        <f>IF($H594="","",IF(IFERROR(INDEX('CAT_ACTIVIDADES'!$F$4:$F$26,MATCH($H594,'CAT_ACTIVIDADES'!$A$4:$A$26,0)),"")=0,"",IFERROR(INDEX('CAT_ACTIVIDADES'!$F$4:$F$26,MATCH($H594,'CAT_ACTIVIDADES'!$A$4:$A$26,0)),"")))</f>
        <v/>
      </c>
      <c r="X594" s="24">
        <f>IF($F594="","",IFERROR(INDEX('CAT_CENTROS_COSTO'!$F$4:$F$28,MATCH($F594,'CAT_CENTROS_COSTO'!$A$4:$A$28,0)),"(sin catálogo)"))</f>
        <v/>
      </c>
      <c r="Y594" s="24">
        <f>IF($F594="","",IFERROR(INDEX('CAT_CENTROS_COSTO'!$D$4:$D$28,MATCH($F594,'CAT_CENTROS_COSTO'!$A$4:$A$28,0)),"(sin catálogo)"))</f>
        <v/>
      </c>
      <c r="Z594" s="24">
        <f>IF($F594="","",IF((IFERROR(INDEX('CAT_CENTROS_COSTO'!$E$4:$E$28,MATCH($F594,'CAT_CENTROS_COSTO'!$A$4:$A$28,0)),""))&lt;&gt;"",IFERROR(INDEX('CAT_CENTROS_COSTO'!$E$4:$E$28,MATCH($F594,'CAT_CENTROS_COSTO'!$A$4:$A$28,0)),""),$Y594))</f>
        <v/>
      </c>
      <c r="AA594" s="24">
        <f>IF($F594="","",IFERROR(INDEX('CAT_CENTROS_COSTO'!$G$4:$G$28,MATCH($F594,'CAT_CENTROS_COSTO'!$A$4:$A$28,0)),"(sin catálogo)"))</f>
        <v/>
      </c>
      <c r="AB594" s="24">
        <f>IF($G594="","",IFERROR(INDEX('CAT_PUESTOS'!$B$4:$B$23,MATCH($G594,'CAT_PUESTOS'!$A$4:$A$23,0)),"(sin catálogo)"))</f>
        <v/>
      </c>
      <c r="AC594" s="24">
        <f>IF($H594="","",IFERROR(INDEX('CAT_ACTIVIDADES'!$B$4:$B$26,MATCH($H594,'CAT_ACTIVIDADES'!$A$4:$A$26,0)),"(sin catálogo)"))</f>
        <v/>
      </c>
      <c r="AD594" s="26">
        <f>IF($J594="","",TODAY()-$J594)</f>
        <v/>
      </c>
      <c r="AE594" s="26">
        <f>IF($J594="","",IF($J594&lt;=TODAY(),COUNTIFS(cal_fechas,"&gt;="&amp;$J594,cal_fechas,"&lt;"&amp;TODAY(),cal_habil,"sí"),-COUNTIFS(cal_fechas,"&gt;="&amp;TODAY(),cal_fechas,"&lt;"&amp;$J594,cal_habil,"sí")))</f>
        <v/>
      </c>
      <c r="AF594" s="24">
        <f>IF($AE594="","",IF($AE594&lt;0,"FUTURO",IF($AE594&gt;p_dias_backlog_max,"BACKLOG","MES CORRIENTE")))</f>
        <v/>
      </c>
      <c r="AG594" s="24">
        <f>IF($AE594="",FALSE,AND($AE594&gt;p_dias_backlog_min,$AE594&lt;=p_dias_backlog_max))</f>
        <v/>
      </c>
      <c r="AH594" s="4" t="n"/>
      <c r="AI594" s="24">
        <f>IF($AH594="","",IF((IFERROR(INDEX('ASIGNACIONES'!$J$4:$J$451,MATCH($O594&amp;"|"&amp;$S594&amp;"|"&amp;$AH594,'ASIGNACIONES'!$N$4:$N$451,0)),""))=0,"",IFERROR(INDEX('ASIGNACIONES'!$J$4:$J$451,MATCH($O594&amp;"|"&amp;$S594&amp;"|"&amp;$AH594,'ASIGNACIONES'!$N$4:$N$451,0)),"")))</f>
        <v/>
      </c>
      <c r="AJ594" s="42">
        <f>IF($AH594="","",SUMIFS('ORDENES'!$M$4:$M$1203,'ORDENES'!$AH$4:$AH$1203,$AH594,'ORDENES'!$O$4:$O$1203,$O594,'ORDENES'!$S$4:$S$1203,$S594))</f>
        <v/>
      </c>
      <c r="AK594" s="42">
        <f>IF($AJ594="","",p_factor_productividad*IFERROR(INDEX('ASIGNACIONES'!$M$4:$M$451,MATCH($O594&amp;"|"&amp;$S594&amp;"|"&amp;$AH594,'ASIGNACIONES'!$N$4:$N$451,0)),0)-$AJ594)</f>
        <v/>
      </c>
      <c r="AL594" s="32">
        <f>IF($A594="","",IFERROR(INDEX('2_IMPORTAR_EJECUCION'!$F$9:$F$1208,MATCH($AU594,'2_IMPORTAR_EJECUCION'!$J$9:$J$1208,0)),0))</f>
        <v/>
      </c>
      <c r="AM594" s="32">
        <f>IF($A594="","",MAX(0,IFERROR(INDEX('2_IMPORTAR_EJECUCION'!$H$9:$H$1208,MATCH($AU594,'2_IMPORTAR_EJECUCION'!$J$9:$J$1208,0)),0)-$AL594))</f>
        <v/>
      </c>
      <c r="AN594" s="32">
        <f>IF($A594="","",$AL594+$AM594)</f>
        <v/>
      </c>
      <c r="AO594" s="24">
        <f>IF($A594="","",IF(OR((IFERROR(INDEX('CAT_ACTIVIDADES'!$D$4:$D$26,MATCH($H594,'CAT_ACTIVIDADES'!$A$4:$A$26,0)),""))=0,(IFERROR(INDEX('CAT_ACTIVIDADES'!$D$4:$D$26,MATCH($H594,'CAT_ACTIVIDADES'!$A$4:$A$26,0)),""))=""),"SIN CLASIFICAR",IFERROR(INDEX('CAT_ACTIVIDADES'!$D$4:$D$26,MATCH($H594,'CAT_ACTIVIDADES'!$A$4:$A$26,0)),"")))</f>
        <v/>
      </c>
      <c r="AP594" s="4" t="n"/>
      <c r="AQ594" s="4" t="n"/>
      <c r="AR594" s="4" t="n"/>
      <c r="AS594" s="24">
        <f>IF($AR594="","",HYPERLINK(p_ruta_base_checklists&amp;$AR594,"abrir"))</f>
        <v/>
      </c>
      <c r="AT594" s="4" t="n"/>
      <c r="AU594" s="24">
        <f>IF($A594="","",$A594&amp;IF($B594="","0010",$B594))</f>
        <v/>
      </c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41" t="n"/>
      <c r="K595" s="5" t="n"/>
      <c r="L595" s="18" t="n"/>
      <c r="M595" s="24">
        <f>IF($A595="","",IFERROR(INDEX('AJUSTES'!$B$4:$B$303,MATCH($AU595,'AJUSTES'!$A$4:$A$303,0)),IF($K595="","",$K595)))</f>
        <v/>
      </c>
      <c r="N595" s="24">
        <f>IF($A595="","",IFERROR(INDEX('CAT_ESTADOS_ERP'!$B$4:$B$22,MATCH(IFERROR(INDEX('2_IMPORTAR_EJECUCION'!$C$9:$C$1208,MATCH($AU595,'2_IMPORTAR_EJECUCION'!$J$9:$J$1208,0)),""),'CAT_ESTADOS_ERP'!$A$4:$A$22,0)),"Pendiente"))</f>
        <v/>
      </c>
      <c r="O595" s="24">
        <f>IF($J595="","",YEAR($J595+4-WEEKDAY($J595,2))&amp;"-S"&amp;TEXT(_xlfn.ISOWEEKNUM($J595),"00"))</f>
        <v/>
      </c>
      <c r="P595" s="24">
        <f>IF($J595="","",YEAR($J595))</f>
        <v/>
      </c>
      <c r="Q595" s="24">
        <f>IF($J595="","",MONTH($J595))</f>
        <v/>
      </c>
      <c r="R595" s="24">
        <f>IF($J595="","",$P595&amp;"-"&amp;TEXT($Q595,"00"))</f>
        <v/>
      </c>
      <c r="S595" s="24">
        <f>IF($J595="","",INDEX(lista_dias,WEEKDAY($J595,2)))</f>
        <v/>
      </c>
      <c r="T595" s="24">
        <f>IF($J595="","",IFERROR(INDEX('CALENDARIO'!$C$15:$C$214,MATCH(TEXT($J595,"yyyy-mm-dd")&amp;"|"&amp;$Y595&amp;"|"&amp;$Z595,'CALENDARIO'!$G$15:$G$214,0)),IFERROR(INDEX('CALENDARIO'!$C$15:$C$214,MATCH(TEXT($J595,"yyyy-mm-dd")&amp;"|"&amp;$Y595&amp;"|",'CALENDARIO'!$G$15:$G$214,0)),IFERROR(INDEX('CALENDARIO'!$C$15:$C$214,MATCH(TEXT($J595,"yyyy-mm-dd")&amp;"||",'CALENDARIO'!$G$15:$G$214,0)),INDEX(patronHabil,WEEKDAY($J595,2))))))</f>
        <v/>
      </c>
      <c r="U595" s="24">
        <f>IF($I595="","",IFERROR(INDEX('CAT_TIPOS_OT'!$C$4:$C$23,MATCH($I595,'CAT_TIPOS_OT'!$A$4:$A$23,0)),"sin_clasificar"))</f>
        <v/>
      </c>
      <c r="V595" s="24">
        <f>IF($I595="","",IF(IFERROR(INDEX('CAT_TIPOS_OT'!$D$4:$D$23,MATCH($I595,'CAT_TIPOS_OT'!$A$4:$A$23,0)),"SIN CLASIFICAR")="","SIN CLASIFICAR",IFERROR(INDEX('CAT_TIPOS_OT'!$D$4:$D$23,MATCH($I595,'CAT_TIPOS_OT'!$A$4:$A$23,0)),"SIN CLASIFICAR")))</f>
        <v/>
      </c>
      <c r="W595" s="24">
        <f>IF($H595="","",IF(IFERROR(INDEX('CAT_ACTIVIDADES'!$F$4:$F$26,MATCH($H595,'CAT_ACTIVIDADES'!$A$4:$A$26,0)),"")=0,"",IFERROR(INDEX('CAT_ACTIVIDADES'!$F$4:$F$26,MATCH($H595,'CAT_ACTIVIDADES'!$A$4:$A$26,0)),"")))</f>
        <v/>
      </c>
      <c r="X595" s="24">
        <f>IF($F595="","",IFERROR(INDEX('CAT_CENTROS_COSTO'!$F$4:$F$28,MATCH($F595,'CAT_CENTROS_COSTO'!$A$4:$A$28,0)),"(sin catálogo)"))</f>
        <v/>
      </c>
      <c r="Y595" s="24">
        <f>IF($F595="","",IFERROR(INDEX('CAT_CENTROS_COSTO'!$D$4:$D$28,MATCH($F595,'CAT_CENTROS_COSTO'!$A$4:$A$28,0)),"(sin catálogo)"))</f>
        <v/>
      </c>
      <c r="Z595" s="24">
        <f>IF($F595="","",IF((IFERROR(INDEX('CAT_CENTROS_COSTO'!$E$4:$E$28,MATCH($F595,'CAT_CENTROS_COSTO'!$A$4:$A$28,0)),""))&lt;&gt;"",IFERROR(INDEX('CAT_CENTROS_COSTO'!$E$4:$E$28,MATCH($F595,'CAT_CENTROS_COSTO'!$A$4:$A$28,0)),""),$Y595))</f>
        <v/>
      </c>
      <c r="AA595" s="24">
        <f>IF($F595="","",IFERROR(INDEX('CAT_CENTROS_COSTO'!$G$4:$G$28,MATCH($F595,'CAT_CENTROS_COSTO'!$A$4:$A$28,0)),"(sin catálogo)"))</f>
        <v/>
      </c>
      <c r="AB595" s="24">
        <f>IF($G595="","",IFERROR(INDEX('CAT_PUESTOS'!$B$4:$B$23,MATCH($G595,'CAT_PUESTOS'!$A$4:$A$23,0)),"(sin catálogo)"))</f>
        <v/>
      </c>
      <c r="AC595" s="24">
        <f>IF($H595="","",IFERROR(INDEX('CAT_ACTIVIDADES'!$B$4:$B$26,MATCH($H595,'CAT_ACTIVIDADES'!$A$4:$A$26,0)),"(sin catálogo)"))</f>
        <v/>
      </c>
      <c r="AD595" s="26">
        <f>IF($J595="","",TODAY()-$J595)</f>
        <v/>
      </c>
      <c r="AE595" s="26">
        <f>IF($J595="","",IF($J595&lt;=TODAY(),COUNTIFS(cal_fechas,"&gt;="&amp;$J595,cal_fechas,"&lt;"&amp;TODAY(),cal_habil,"sí"),-COUNTIFS(cal_fechas,"&gt;="&amp;TODAY(),cal_fechas,"&lt;"&amp;$J595,cal_habil,"sí")))</f>
        <v/>
      </c>
      <c r="AF595" s="24">
        <f>IF($AE595="","",IF($AE595&lt;0,"FUTURO",IF($AE595&gt;p_dias_backlog_max,"BACKLOG","MES CORRIENTE")))</f>
        <v/>
      </c>
      <c r="AG595" s="24">
        <f>IF($AE595="",FALSE,AND($AE595&gt;p_dias_backlog_min,$AE595&lt;=p_dias_backlog_max))</f>
        <v/>
      </c>
      <c r="AH595" s="4" t="n"/>
      <c r="AI595" s="24">
        <f>IF($AH595="","",IF((IFERROR(INDEX('ASIGNACIONES'!$J$4:$J$451,MATCH($O595&amp;"|"&amp;$S595&amp;"|"&amp;$AH595,'ASIGNACIONES'!$N$4:$N$451,0)),""))=0,"",IFERROR(INDEX('ASIGNACIONES'!$J$4:$J$451,MATCH($O595&amp;"|"&amp;$S595&amp;"|"&amp;$AH595,'ASIGNACIONES'!$N$4:$N$451,0)),"")))</f>
        <v/>
      </c>
      <c r="AJ595" s="42">
        <f>IF($AH595="","",SUMIFS('ORDENES'!$M$4:$M$1203,'ORDENES'!$AH$4:$AH$1203,$AH595,'ORDENES'!$O$4:$O$1203,$O595,'ORDENES'!$S$4:$S$1203,$S595))</f>
        <v/>
      </c>
      <c r="AK595" s="42">
        <f>IF($AJ595="","",p_factor_productividad*IFERROR(INDEX('ASIGNACIONES'!$M$4:$M$451,MATCH($O595&amp;"|"&amp;$S595&amp;"|"&amp;$AH595,'ASIGNACIONES'!$N$4:$N$451,0)),0)-$AJ595)</f>
        <v/>
      </c>
      <c r="AL595" s="32">
        <f>IF($A595="","",IFERROR(INDEX('2_IMPORTAR_EJECUCION'!$F$9:$F$1208,MATCH($AU595,'2_IMPORTAR_EJECUCION'!$J$9:$J$1208,0)),0))</f>
        <v/>
      </c>
      <c r="AM595" s="32">
        <f>IF($A595="","",MAX(0,IFERROR(INDEX('2_IMPORTAR_EJECUCION'!$H$9:$H$1208,MATCH($AU595,'2_IMPORTAR_EJECUCION'!$J$9:$J$1208,0)),0)-$AL595))</f>
        <v/>
      </c>
      <c r="AN595" s="32">
        <f>IF($A595="","",$AL595+$AM595)</f>
        <v/>
      </c>
      <c r="AO595" s="24">
        <f>IF($A595="","",IF(OR((IFERROR(INDEX('CAT_ACTIVIDADES'!$D$4:$D$26,MATCH($H595,'CAT_ACTIVIDADES'!$A$4:$A$26,0)),""))=0,(IFERROR(INDEX('CAT_ACTIVIDADES'!$D$4:$D$26,MATCH($H595,'CAT_ACTIVIDADES'!$A$4:$A$26,0)),""))=""),"SIN CLASIFICAR",IFERROR(INDEX('CAT_ACTIVIDADES'!$D$4:$D$26,MATCH($H595,'CAT_ACTIVIDADES'!$A$4:$A$26,0)),"")))</f>
        <v/>
      </c>
      <c r="AP595" s="4" t="n"/>
      <c r="AQ595" s="4" t="n"/>
      <c r="AR595" s="4" t="n"/>
      <c r="AS595" s="24">
        <f>IF($AR595="","",HYPERLINK(p_ruta_base_checklists&amp;$AR595,"abrir"))</f>
        <v/>
      </c>
      <c r="AT595" s="4" t="n"/>
      <c r="AU595" s="24">
        <f>IF($A595="","",$A595&amp;IF($B595="","0010",$B595))</f>
        <v/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41" t="n"/>
      <c r="K596" s="5" t="n"/>
      <c r="L596" s="18" t="n"/>
      <c r="M596" s="24">
        <f>IF($A596="","",IFERROR(INDEX('AJUSTES'!$B$4:$B$303,MATCH($AU596,'AJUSTES'!$A$4:$A$303,0)),IF($K596="","",$K596)))</f>
        <v/>
      </c>
      <c r="N596" s="24">
        <f>IF($A596="","",IFERROR(INDEX('CAT_ESTADOS_ERP'!$B$4:$B$22,MATCH(IFERROR(INDEX('2_IMPORTAR_EJECUCION'!$C$9:$C$1208,MATCH($AU596,'2_IMPORTAR_EJECUCION'!$J$9:$J$1208,0)),""),'CAT_ESTADOS_ERP'!$A$4:$A$22,0)),"Pendiente"))</f>
        <v/>
      </c>
      <c r="O596" s="24">
        <f>IF($J596="","",YEAR($J596+4-WEEKDAY($J596,2))&amp;"-S"&amp;TEXT(_xlfn.ISOWEEKNUM($J596),"00"))</f>
        <v/>
      </c>
      <c r="P596" s="24">
        <f>IF($J596="","",YEAR($J596))</f>
        <v/>
      </c>
      <c r="Q596" s="24">
        <f>IF($J596="","",MONTH($J596))</f>
        <v/>
      </c>
      <c r="R596" s="24">
        <f>IF($J596="","",$P596&amp;"-"&amp;TEXT($Q596,"00"))</f>
        <v/>
      </c>
      <c r="S596" s="24">
        <f>IF($J596="","",INDEX(lista_dias,WEEKDAY($J596,2)))</f>
        <v/>
      </c>
      <c r="T596" s="24">
        <f>IF($J596="","",IFERROR(INDEX('CALENDARIO'!$C$15:$C$214,MATCH(TEXT($J596,"yyyy-mm-dd")&amp;"|"&amp;$Y596&amp;"|"&amp;$Z596,'CALENDARIO'!$G$15:$G$214,0)),IFERROR(INDEX('CALENDARIO'!$C$15:$C$214,MATCH(TEXT($J596,"yyyy-mm-dd")&amp;"|"&amp;$Y596&amp;"|",'CALENDARIO'!$G$15:$G$214,0)),IFERROR(INDEX('CALENDARIO'!$C$15:$C$214,MATCH(TEXT($J596,"yyyy-mm-dd")&amp;"||",'CALENDARIO'!$G$15:$G$214,0)),INDEX(patronHabil,WEEKDAY($J596,2))))))</f>
        <v/>
      </c>
      <c r="U596" s="24">
        <f>IF($I596="","",IFERROR(INDEX('CAT_TIPOS_OT'!$C$4:$C$23,MATCH($I596,'CAT_TIPOS_OT'!$A$4:$A$23,0)),"sin_clasificar"))</f>
        <v/>
      </c>
      <c r="V596" s="24">
        <f>IF($I596="","",IF(IFERROR(INDEX('CAT_TIPOS_OT'!$D$4:$D$23,MATCH($I596,'CAT_TIPOS_OT'!$A$4:$A$23,0)),"SIN CLASIFICAR")="","SIN CLASIFICAR",IFERROR(INDEX('CAT_TIPOS_OT'!$D$4:$D$23,MATCH($I596,'CAT_TIPOS_OT'!$A$4:$A$23,0)),"SIN CLASIFICAR")))</f>
        <v/>
      </c>
      <c r="W596" s="24">
        <f>IF($H596="","",IF(IFERROR(INDEX('CAT_ACTIVIDADES'!$F$4:$F$26,MATCH($H596,'CAT_ACTIVIDADES'!$A$4:$A$26,0)),"")=0,"",IFERROR(INDEX('CAT_ACTIVIDADES'!$F$4:$F$26,MATCH($H596,'CAT_ACTIVIDADES'!$A$4:$A$26,0)),"")))</f>
        <v/>
      </c>
      <c r="X596" s="24">
        <f>IF($F596="","",IFERROR(INDEX('CAT_CENTROS_COSTO'!$F$4:$F$28,MATCH($F596,'CAT_CENTROS_COSTO'!$A$4:$A$28,0)),"(sin catálogo)"))</f>
        <v/>
      </c>
      <c r="Y596" s="24">
        <f>IF($F596="","",IFERROR(INDEX('CAT_CENTROS_COSTO'!$D$4:$D$28,MATCH($F596,'CAT_CENTROS_COSTO'!$A$4:$A$28,0)),"(sin catálogo)"))</f>
        <v/>
      </c>
      <c r="Z596" s="24">
        <f>IF($F596="","",IF((IFERROR(INDEX('CAT_CENTROS_COSTO'!$E$4:$E$28,MATCH($F596,'CAT_CENTROS_COSTO'!$A$4:$A$28,0)),""))&lt;&gt;"",IFERROR(INDEX('CAT_CENTROS_COSTO'!$E$4:$E$28,MATCH($F596,'CAT_CENTROS_COSTO'!$A$4:$A$28,0)),""),$Y596))</f>
        <v/>
      </c>
      <c r="AA596" s="24">
        <f>IF($F596="","",IFERROR(INDEX('CAT_CENTROS_COSTO'!$G$4:$G$28,MATCH($F596,'CAT_CENTROS_COSTO'!$A$4:$A$28,0)),"(sin catálogo)"))</f>
        <v/>
      </c>
      <c r="AB596" s="24">
        <f>IF($G596="","",IFERROR(INDEX('CAT_PUESTOS'!$B$4:$B$23,MATCH($G596,'CAT_PUESTOS'!$A$4:$A$23,0)),"(sin catálogo)"))</f>
        <v/>
      </c>
      <c r="AC596" s="24">
        <f>IF($H596="","",IFERROR(INDEX('CAT_ACTIVIDADES'!$B$4:$B$26,MATCH($H596,'CAT_ACTIVIDADES'!$A$4:$A$26,0)),"(sin catálogo)"))</f>
        <v/>
      </c>
      <c r="AD596" s="26">
        <f>IF($J596="","",TODAY()-$J596)</f>
        <v/>
      </c>
      <c r="AE596" s="26">
        <f>IF($J596="","",IF($J596&lt;=TODAY(),COUNTIFS(cal_fechas,"&gt;="&amp;$J596,cal_fechas,"&lt;"&amp;TODAY(),cal_habil,"sí"),-COUNTIFS(cal_fechas,"&gt;="&amp;TODAY(),cal_fechas,"&lt;"&amp;$J596,cal_habil,"sí")))</f>
        <v/>
      </c>
      <c r="AF596" s="24">
        <f>IF($AE596="","",IF($AE596&lt;0,"FUTURO",IF($AE596&gt;p_dias_backlog_max,"BACKLOG","MES CORRIENTE")))</f>
        <v/>
      </c>
      <c r="AG596" s="24">
        <f>IF($AE596="",FALSE,AND($AE596&gt;p_dias_backlog_min,$AE596&lt;=p_dias_backlog_max))</f>
        <v/>
      </c>
      <c r="AH596" s="4" t="n"/>
      <c r="AI596" s="24">
        <f>IF($AH596="","",IF((IFERROR(INDEX('ASIGNACIONES'!$J$4:$J$451,MATCH($O596&amp;"|"&amp;$S596&amp;"|"&amp;$AH596,'ASIGNACIONES'!$N$4:$N$451,0)),""))=0,"",IFERROR(INDEX('ASIGNACIONES'!$J$4:$J$451,MATCH($O596&amp;"|"&amp;$S596&amp;"|"&amp;$AH596,'ASIGNACIONES'!$N$4:$N$451,0)),"")))</f>
        <v/>
      </c>
      <c r="AJ596" s="42">
        <f>IF($AH596="","",SUMIFS('ORDENES'!$M$4:$M$1203,'ORDENES'!$AH$4:$AH$1203,$AH596,'ORDENES'!$O$4:$O$1203,$O596,'ORDENES'!$S$4:$S$1203,$S596))</f>
        <v/>
      </c>
      <c r="AK596" s="42">
        <f>IF($AJ596="","",p_factor_productividad*IFERROR(INDEX('ASIGNACIONES'!$M$4:$M$451,MATCH($O596&amp;"|"&amp;$S596&amp;"|"&amp;$AH596,'ASIGNACIONES'!$N$4:$N$451,0)),0)-$AJ596)</f>
        <v/>
      </c>
      <c r="AL596" s="32">
        <f>IF($A596="","",IFERROR(INDEX('2_IMPORTAR_EJECUCION'!$F$9:$F$1208,MATCH($AU596,'2_IMPORTAR_EJECUCION'!$J$9:$J$1208,0)),0))</f>
        <v/>
      </c>
      <c r="AM596" s="32">
        <f>IF($A596="","",MAX(0,IFERROR(INDEX('2_IMPORTAR_EJECUCION'!$H$9:$H$1208,MATCH($AU596,'2_IMPORTAR_EJECUCION'!$J$9:$J$1208,0)),0)-$AL596))</f>
        <v/>
      </c>
      <c r="AN596" s="32">
        <f>IF($A596="","",$AL596+$AM596)</f>
        <v/>
      </c>
      <c r="AO596" s="24">
        <f>IF($A596="","",IF(OR((IFERROR(INDEX('CAT_ACTIVIDADES'!$D$4:$D$26,MATCH($H596,'CAT_ACTIVIDADES'!$A$4:$A$26,0)),""))=0,(IFERROR(INDEX('CAT_ACTIVIDADES'!$D$4:$D$26,MATCH($H596,'CAT_ACTIVIDADES'!$A$4:$A$26,0)),""))=""),"SIN CLASIFICAR",IFERROR(INDEX('CAT_ACTIVIDADES'!$D$4:$D$26,MATCH($H596,'CAT_ACTIVIDADES'!$A$4:$A$26,0)),"")))</f>
        <v/>
      </c>
      <c r="AP596" s="4" t="n"/>
      <c r="AQ596" s="4" t="n"/>
      <c r="AR596" s="4" t="n"/>
      <c r="AS596" s="24">
        <f>IF($AR596="","",HYPERLINK(p_ruta_base_checklists&amp;$AR596,"abrir"))</f>
        <v/>
      </c>
      <c r="AT596" s="4" t="n"/>
      <c r="AU596" s="24">
        <f>IF($A596="","",$A596&amp;IF($B596="","0010",$B596))</f>
        <v/>
      </c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41" t="n"/>
      <c r="K597" s="5" t="n"/>
      <c r="L597" s="18" t="n"/>
      <c r="M597" s="24">
        <f>IF($A597="","",IFERROR(INDEX('AJUSTES'!$B$4:$B$303,MATCH($AU597,'AJUSTES'!$A$4:$A$303,0)),IF($K597="","",$K597)))</f>
        <v/>
      </c>
      <c r="N597" s="24">
        <f>IF($A597="","",IFERROR(INDEX('CAT_ESTADOS_ERP'!$B$4:$B$22,MATCH(IFERROR(INDEX('2_IMPORTAR_EJECUCION'!$C$9:$C$1208,MATCH($AU597,'2_IMPORTAR_EJECUCION'!$J$9:$J$1208,0)),""),'CAT_ESTADOS_ERP'!$A$4:$A$22,0)),"Pendiente"))</f>
        <v/>
      </c>
      <c r="O597" s="24">
        <f>IF($J597="","",YEAR($J597+4-WEEKDAY($J597,2))&amp;"-S"&amp;TEXT(_xlfn.ISOWEEKNUM($J597),"00"))</f>
        <v/>
      </c>
      <c r="P597" s="24">
        <f>IF($J597="","",YEAR($J597))</f>
        <v/>
      </c>
      <c r="Q597" s="24">
        <f>IF($J597="","",MONTH($J597))</f>
        <v/>
      </c>
      <c r="R597" s="24">
        <f>IF($J597="","",$P597&amp;"-"&amp;TEXT($Q597,"00"))</f>
        <v/>
      </c>
      <c r="S597" s="24">
        <f>IF($J597="","",INDEX(lista_dias,WEEKDAY($J597,2)))</f>
        <v/>
      </c>
      <c r="T597" s="24">
        <f>IF($J597="","",IFERROR(INDEX('CALENDARIO'!$C$15:$C$214,MATCH(TEXT($J597,"yyyy-mm-dd")&amp;"|"&amp;$Y597&amp;"|"&amp;$Z597,'CALENDARIO'!$G$15:$G$214,0)),IFERROR(INDEX('CALENDARIO'!$C$15:$C$214,MATCH(TEXT($J597,"yyyy-mm-dd")&amp;"|"&amp;$Y597&amp;"|",'CALENDARIO'!$G$15:$G$214,0)),IFERROR(INDEX('CALENDARIO'!$C$15:$C$214,MATCH(TEXT($J597,"yyyy-mm-dd")&amp;"||",'CALENDARIO'!$G$15:$G$214,0)),INDEX(patronHabil,WEEKDAY($J597,2))))))</f>
        <v/>
      </c>
      <c r="U597" s="24">
        <f>IF($I597="","",IFERROR(INDEX('CAT_TIPOS_OT'!$C$4:$C$23,MATCH($I597,'CAT_TIPOS_OT'!$A$4:$A$23,0)),"sin_clasificar"))</f>
        <v/>
      </c>
      <c r="V597" s="24">
        <f>IF($I597="","",IF(IFERROR(INDEX('CAT_TIPOS_OT'!$D$4:$D$23,MATCH($I597,'CAT_TIPOS_OT'!$A$4:$A$23,0)),"SIN CLASIFICAR")="","SIN CLASIFICAR",IFERROR(INDEX('CAT_TIPOS_OT'!$D$4:$D$23,MATCH($I597,'CAT_TIPOS_OT'!$A$4:$A$23,0)),"SIN CLASIFICAR")))</f>
        <v/>
      </c>
      <c r="W597" s="24">
        <f>IF($H597="","",IF(IFERROR(INDEX('CAT_ACTIVIDADES'!$F$4:$F$26,MATCH($H597,'CAT_ACTIVIDADES'!$A$4:$A$26,0)),"")=0,"",IFERROR(INDEX('CAT_ACTIVIDADES'!$F$4:$F$26,MATCH($H597,'CAT_ACTIVIDADES'!$A$4:$A$26,0)),"")))</f>
        <v/>
      </c>
      <c r="X597" s="24">
        <f>IF($F597="","",IFERROR(INDEX('CAT_CENTROS_COSTO'!$F$4:$F$28,MATCH($F597,'CAT_CENTROS_COSTO'!$A$4:$A$28,0)),"(sin catálogo)"))</f>
        <v/>
      </c>
      <c r="Y597" s="24">
        <f>IF($F597="","",IFERROR(INDEX('CAT_CENTROS_COSTO'!$D$4:$D$28,MATCH($F597,'CAT_CENTROS_COSTO'!$A$4:$A$28,0)),"(sin catálogo)"))</f>
        <v/>
      </c>
      <c r="Z597" s="24">
        <f>IF($F597="","",IF((IFERROR(INDEX('CAT_CENTROS_COSTO'!$E$4:$E$28,MATCH($F597,'CAT_CENTROS_COSTO'!$A$4:$A$28,0)),""))&lt;&gt;"",IFERROR(INDEX('CAT_CENTROS_COSTO'!$E$4:$E$28,MATCH($F597,'CAT_CENTROS_COSTO'!$A$4:$A$28,0)),""),$Y597))</f>
        <v/>
      </c>
      <c r="AA597" s="24">
        <f>IF($F597="","",IFERROR(INDEX('CAT_CENTROS_COSTO'!$G$4:$G$28,MATCH($F597,'CAT_CENTROS_COSTO'!$A$4:$A$28,0)),"(sin catálogo)"))</f>
        <v/>
      </c>
      <c r="AB597" s="24">
        <f>IF($G597="","",IFERROR(INDEX('CAT_PUESTOS'!$B$4:$B$23,MATCH($G597,'CAT_PUESTOS'!$A$4:$A$23,0)),"(sin catálogo)"))</f>
        <v/>
      </c>
      <c r="AC597" s="24">
        <f>IF($H597="","",IFERROR(INDEX('CAT_ACTIVIDADES'!$B$4:$B$26,MATCH($H597,'CAT_ACTIVIDADES'!$A$4:$A$26,0)),"(sin catálogo)"))</f>
        <v/>
      </c>
      <c r="AD597" s="26">
        <f>IF($J597="","",TODAY()-$J597)</f>
        <v/>
      </c>
      <c r="AE597" s="26">
        <f>IF($J597="","",IF($J597&lt;=TODAY(),COUNTIFS(cal_fechas,"&gt;="&amp;$J597,cal_fechas,"&lt;"&amp;TODAY(),cal_habil,"sí"),-COUNTIFS(cal_fechas,"&gt;="&amp;TODAY(),cal_fechas,"&lt;"&amp;$J597,cal_habil,"sí")))</f>
        <v/>
      </c>
      <c r="AF597" s="24">
        <f>IF($AE597="","",IF($AE597&lt;0,"FUTURO",IF($AE597&gt;p_dias_backlog_max,"BACKLOG","MES CORRIENTE")))</f>
        <v/>
      </c>
      <c r="AG597" s="24">
        <f>IF($AE597="",FALSE,AND($AE597&gt;p_dias_backlog_min,$AE597&lt;=p_dias_backlog_max))</f>
        <v/>
      </c>
      <c r="AH597" s="4" t="n"/>
      <c r="AI597" s="24">
        <f>IF($AH597="","",IF((IFERROR(INDEX('ASIGNACIONES'!$J$4:$J$451,MATCH($O597&amp;"|"&amp;$S597&amp;"|"&amp;$AH597,'ASIGNACIONES'!$N$4:$N$451,0)),""))=0,"",IFERROR(INDEX('ASIGNACIONES'!$J$4:$J$451,MATCH($O597&amp;"|"&amp;$S597&amp;"|"&amp;$AH597,'ASIGNACIONES'!$N$4:$N$451,0)),"")))</f>
        <v/>
      </c>
      <c r="AJ597" s="42">
        <f>IF($AH597="","",SUMIFS('ORDENES'!$M$4:$M$1203,'ORDENES'!$AH$4:$AH$1203,$AH597,'ORDENES'!$O$4:$O$1203,$O597,'ORDENES'!$S$4:$S$1203,$S597))</f>
        <v/>
      </c>
      <c r="AK597" s="42">
        <f>IF($AJ597="","",p_factor_productividad*IFERROR(INDEX('ASIGNACIONES'!$M$4:$M$451,MATCH($O597&amp;"|"&amp;$S597&amp;"|"&amp;$AH597,'ASIGNACIONES'!$N$4:$N$451,0)),0)-$AJ597)</f>
        <v/>
      </c>
      <c r="AL597" s="32">
        <f>IF($A597="","",IFERROR(INDEX('2_IMPORTAR_EJECUCION'!$F$9:$F$1208,MATCH($AU597,'2_IMPORTAR_EJECUCION'!$J$9:$J$1208,0)),0))</f>
        <v/>
      </c>
      <c r="AM597" s="32">
        <f>IF($A597="","",MAX(0,IFERROR(INDEX('2_IMPORTAR_EJECUCION'!$H$9:$H$1208,MATCH($AU597,'2_IMPORTAR_EJECUCION'!$J$9:$J$1208,0)),0)-$AL597))</f>
        <v/>
      </c>
      <c r="AN597" s="32">
        <f>IF($A597="","",$AL597+$AM597)</f>
        <v/>
      </c>
      <c r="AO597" s="24">
        <f>IF($A597="","",IF(OR((IFERROR(INDEX('CAT_ACTIVIDADES'!$D$4:$D$26,MATCH($H597,'CAT_ACTIVIDADES'!$A$4:$A$26,0)),""))=0,(IFERROR(INDEX('CAT_ACTIVIDADES'!$D$4:$D$26,MATCH($H597,'CAT_ACTIVIDADES'!$A$4:$A$26,0)),""))=""),"SIN CLASIFICAR",IFERROR(INDEX('CAT_ACTIVIDADES'!$D$4:$D$26,MATCH($H597,'CAT_ACTIVIDADES'!$A$4:$A$26,0)),"")))</f>
        <v/>
      </c>
      <c r="AP597" s="4" t="n"/>
      <c r="AQ597" s="4" t="n"/>
      <c r="AR597" s="4" t="n"/>
      <c r="AS597" s="24">
        <f>IF($AR597="","",HYPERLINK(p_ruta_base_checklists&amp;$AR597,"abrir"))</f>
        <v/>
      </c>
      <c r="AT597" s="4" t="n"/>
      <c r="AU597" s="24">
        <f>IF($A597="","",$A597&amp;IF($B597="","0010",$B597))</f>
        <v/>
      </c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41" t="n"/>
      <c r="K598" s="5" t="n"/>
      <c r="L598" s="18" t="n"/>
      <c r="M598" s="24">
        <f>IF($A598="","",IFERROR(INDEX('AJUSTES'!$B$4:$B$303,MATCH($AU598,'AJUSTES'!$A$4:$A$303,0)),IF($K598="","",$K598)))</f>
        <v/>
      </c>
      <c r="N598" s="24">
        <f>IF($A598="","",IFERROR(INDEX('CAT_ESTADOS_ERP'!$B$4:$B$22,MATCH(IFERROR(INDEX('2_IMPORTAR_EJECUCION'!$C$9:$C$1208,MATCH($AU598,'2_IMPORTAR_EJECUCION'!$J$9:$J$1208,0)),""),'CAT_ESTADOS_ERP'!$A$4:$A$22,0)),"Pendiente"))</f>
        <v/>
      </c>
      <c r="O598" s="24">
        <f>IF($J598="","",YEAR($J598+4-WEEKDAY($J598,2))&amp;"-S"&amp;TEXT(_xlfn.ISOWEEKNUM($J598),"00"))</f>
        <v/>
      </c>
      <c r="P598" s="24">
        <f>IF($J598="","",YEAR($J598))</f>
        <v/>
      </c>
      <c r="Q598" s="24">
        <f>IF($J598="","",MONTH($J598))</f>
        <v/>
      </c>
      <c r="R598" s="24">
        <f>IF($J598="","",$P598&amp;"-"&amp;TEXT($Q598,"00"))</f>
        <v/>
      </c>
      <c r="S598" s="24">
        <f>IF($J598="","",INDEX(lista_dias,WEEKDAY($J598,2)))</f>
        <v/>
      </c>
      <c r="T598" s="24">
        <f>IF($J598="","",IFERROR(INDEX('CALENDARIO'!$C$15:$C$214,MATCH(TEXT($J598,"yyyy-mm-dd")&amp;"|"&amp;$Y598&amp;"|"&amp;$Z598,'CALENDARIO'!$G$15:$G$214,0)),IFERROR(INDEX('CALENDARIO'!$C$15:$C$214,MATCH(TEXT($J598,"yyyy-mm-dd")&amp;"|"&amp;$Y598&amp;"|",'CALENDARIO'!$G$15:$G$214,0)),IFERROR(INDEX('CALENDARIO'!$C$15:$C$214,MATCH(TEXT($J598,"yyyy-mm-dd")&amp;"||",'CALENDARIO'!$G$15:$G$214,0)),INDEX(patronHabil,WEEKDAY($J598,2))))))</f>
        <v/>
      </c>
      <c r="U598" s="24">
        <f>IF($I598="","",IFERROR(INDEX('CAT_TIPOS_OT'!$C$4:$C$23,MATCH($I598,'CAT_TIPOS_OT'!$A$4:$A$23,0)),"sin_clasificar"))</f>
        <v/>
      </c>
      <c r="V598" s="24">
        <f>IF($I598="","",IF(IFERROR(INDEX('CAT_TIPOS_OT'!$D$4:$D$23,MATCH($I598,'CAT_TIPOS_OT'!$A$4:$A$23,0)),"SIN CLASIFICAR")="","SIN CLASIFICAR",IFERROR(INDEX('CAT_TIPOS_OT'!$D$4:$D$23,MATCH($I598,'CAT_TIPOS_OT'!$A$4:$A$23,0)),"SIN CLASIFICAR")))</f>
        <v/>
      </c>
      <c r="W598" s="24">
        <f>IF($H598="","",IF(IFERROR(INDEX('CAT_ACTIVIDADES'!$F$4:$F$26,MATCH($H598,'CAT_ACTIVIDADES'!$A$4:$A$26,0)),"")=0,"",IFERROR(INDEX('CAT_ACTIVIDADES'!$F$4:$F$26,MATCH($H598,'CAT_ACTIVIDADES'!$A$4:$A$26,0)),"")))</f>
        <v/>
      </c>
      <c r="X598" s="24">
        <f>IF($F598="","",IFERROR(INDEX('CAT_CENTROS_COSTO'!$F$4:$F$28,MATCH($F598,'CAT_CENTROS_COSTO'!$A$4:$A$28,0)),"(sin catálogo)"))</f>
        <v/>
      </c>
      <c r="Y598" s="24">
        <f>IF($F598="","",IFERROR(INDEX('CAT_CENTROS_COSTO'!$D$4:$D$28,MATCH($F598,'CAT_CENTROS_COSTO'!$A$4:$A$28,0)),"(sin catálogo)"))</f>
        <v/>
      </c>
      <c r="Z598" s="24">
        <f>IF($F598="","",IF((IFERROR(INDEX('CAT_CENTROS_COSTO'!$E$4:$E$28,MATCH($F598,'CAT_CENTROS_COSTO'!$A$4:$A$28,0)),""))&lt;&gt;"",IFERROR(INDEX('CAT_CENTROS_COSTO'!$E$4:$E$28,MATCH($F598,'CAT_CENTROS_COSTO'!$A$4:$A$28,0)),""),$Y598))</f>
        <v/>
      </c>
      <c r="AA598" s="24">
        <f>IF($F598="","",IFERROR(INDEX('CAT_CENTROS_COSTO'!$G$4:$G$28,MATCH($F598,'CAT_CENTROS_COSTO'!$A$4:$A$28,0)),"(sin catálogo)"))</f>
        <v/>
      </c>
      <c r="AB598" s="24">
        <f>IF($G598="","",IFERROR(INDEX('CAT_PUESTOS'!$B$4:$B$23,MATCH($G598,'CAT_PUESTOS'!$A$4:$A$23,0)),"(sin catálogo)"))</f>
        <v/>
      </c>
      <c r="AC598" s="24">
        <f>IF($H598="","",IFERROR(INDEX('CAT_ACTIVIDADES'!$B$4:$B$26,MATCH($H598,'CAT_ACTIVIDADES'!$A$4:$A$26,0)),"(sin catálogo)"))</f>
        <v/>
      </c>
      <c r="AD598" s="26">
        <f>IF($J598="","",TODAY()-$J598)</f>
        <v/>
      </c>
      <c r="AE598" s="26">
        <f>IF($J598="","",IF($J598&lt;=TODAY(),COUNTIFS(cal_fechas,"&gt;="&amp;$J598,cal_fechas,"&lt;"&amp;TODAY(),cal_habil,"sí"),-COUNTIFS(cal_fechas,"&gt;="&amp;TODAY(),cal_fechas,"&lt;"&amp;$J598,cal_habil,"sí")))</f>
        <v/>
      </c>
      <c r="AF598" s="24">
        <f>IF($AE598="","",IF($AE598&lt;0,"FUTURO",IF($AE598&gt;p_dias_backlog_max,"BACKLOG","MES CORRIENTE")))</f>
        <v/>
      </c>
      <c r="AG598" s="24">
        <f>IF($AE598="",FALSE,AND($AE598&gt;p_dias_backlog_min,$AE598&lt;=p_dias_backlog_max))</f>
        <v/>
      </c>
      <c r="AH598" s="4" t="n"/>
      <c r="AI598" s="24">
        <f>IF($AH598="","",IF((IFERROR(INDEX('ASIGNACIONES'!$J$4:$J$451,MATCH($O598&amp;"|"&amp;$S598&amp;"|"&amp;$AH598,'ASIGNACIONES'!$N$4:$N$451,0)),""))=0,"",IFERROR(INDEX('ASIGNACIONES'!$J$4:$J$451,MATCH($O598&amp;"|"&amp;$S598&amp;"|"&amp;$AH598,'ASIGNACIONES'!$N$4:$N$451,0)),"")))</f>
        <v/>
      </c>
      <c r="AJ598" s="42">
        <f>IF($AH598="","",SUMIFS('ORDENES'!$M$4:$M$1203,'ORDENES'!$AH$4:$AH$1203,$AH598,'ORDENES'!$O$4:$O$1203,$O598,'ORDENES'!$S$4:$S$1203,$S598))</f>
        <v/>
      </c>
      <c r="AK598" s="42">
        <f>IF($AJ598="","",p_factor_productividad*IFERROR(INDEX('ASIGNACIONES'!$M$4:$M$451,MATCH($O598&amp;"|"&amp;$S598&amp;"|"&amp;$AH598,'ASIGNACIONES'!$N$4:$N$451,0)),0)-$AJ598)</f>
        <v/>
      </c>
      <c r="AL598" s="32">
        <f>IF($A598="","",IFERROR(INDEX('2_IMPORTAR_EJECUCION'!$F$9:$F$1208,MATCH($AU598,'2_IMPORTAR_EJECUCION'!$J$9:$J$1208,0)),0))</f>
        <v/>
      </c>
      <c r="AM598" s="32">
        <f>IF($A598="","",MAX(0,IFERROR(INDEX('2_IMPORTAR_EJECUCION'!$H$9:$H$1208,MATCH($AU598,'2_IMPORTAR_EJECUCION'!$J$9:$J$1208,0)),0)-$AL598))</f>
        <v/>
      </c>
      <c r="AN598" s="32">
        <f>IF($A598="","",$AL598+$AM598)</f>
        <v/>
      </c>
      <c r="AO598" s="24">
        <f>IF($A598="","",IF(OR((IFERROR(INDEX('CAT_ACTIVIDADES'!$D$4:$D$26,MATCH($H598,'CAT_ACTIVIDADES'!$A$4:$A$26,0)),""))=0,(IFERROR(INDEX('CAT_ACTIVIDADES'!$D$4:$D$26,MATCH($H598,'CAT_ACTIVIDADES'!$A$4:$A$26,0)),""))=""),"SIN CLASIFICAR",IFERROR(INDEX('CAT_ACTIVIDADES'!$D$4:$D$26,MATCH($H598,'CAT_ACTIVIDADES'!$A$4:$A$26,0)),"")))</f>
        <v/>
      </c>
      <c r="AP598" s="4" t="n"/>
      <c r="AQ598" s="4" t="n"/>
      <c r="AR598" s="4" t="n"/>
      <c r="AS598" s="24">
        <f>IF($AR598="","",HYPERLINK(p_ruta_base_checklists&amp;$AR598,"abrir"))</f>
        <v/>
      </c>
      <c r="AT598" s="4" t="n"/>
      <c r="AU598" s="24">
        <f>IF($A598="","",$A598&amp;IF($B598="","0010",$B598))</f>
        <v/>
      </c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41" t="n"/>
      <c r="K599" s="5" t="n"/>
      <c r="L599" s="18" t="n"/>
      <c r="M599" s="24">
        <f>IF($A599="","",IFERROR(INDEX('AJUSTES'!$B$4:$B$303,MATCH($AU599,'AJUSTES'!$A$4:$A$303,0)),IF($K599="","",$K599)))</f>
        <v/>
      </c>
      <c r="N599" s="24">
        <f>IF($A599="","",IFERROR(INDEX('CAT_ESTADOS_ERP'!$B$4:$B$22,MATCH(IFERROR(INDEX('2_IMPORTAR_EJECUCION'!$C$9:$C$1208,MATCH($AU599,'2_IMPORTAR_EJECUCION'!$J$9:$J$1208,0)),""),'CAT_ESTADOS_ERP'!$A$4:$A$22,0)),"Pendiente"))</f>
        <v/>
      </c>
      <c r="O599" s="24">
        <f>IF($J599="","",YEAR($J599+4-WEEKDAY($J599,2))&amp;"-S"&amp;TEXT(_xlfn.ISOWEEKNUM($J599),"00"))</f>
        <v/>
      </c>
      <c r="P599" s="24">
        <f>IF($J599="","",YEAR($J599))</f>
        <v/>
      </c>
      <c r="Q599" s="24">
        <f>IF($J599="","",MONTH($J599))</f>
        <v/>
      </c>
      <c r="R599" s="24">
        <f>IF($J599="","",$P599&amp;"-"&amp;TEXT($Q599,"00"))</f>
        <v/>
      </c>
      <c r="S599" s="24">
        <f>IF($J599="","",INDEX(lista_dias,WEEKDAY($J599,2)))</f>
        <v/>
      </c>
      <c r="T599" s="24">
        <f>IF($J599="","",IFERROR(INDEX('CALENDARIO'!$C$15:$C$214,MATCH(TEXT($J599,"yyyy-mm-dd")&amp;"|"&amp;$Y599&amp;"|"&amp;$Z599,'CALENDARIO'!$G$15:$G$214,0)),IFERROR(INDEX('CALENDARIO'!$C$15:$C$214,MATCH(TEXT($J599,"yyyy-mm-dd")&amp;"|"&amp;$Y599&amp;"|",'CALENDARIO'!$G$15:$G$214,0)),IFERROR(INDEX('CALENDARIO'!$C$15:$C$214,MATCH(TEXT($J599,"yyyy-mm-dd")&amp;"||",'CALENDARIO'!$G$15:$G$214,0)),INDEX(patronHabil,WEEKDAY($J599,2))))))</f>
        <v/>
      </c>
      <c r="U599" s="24">
        <f>IF($I599="","",IFERROR(INDEX('CAT_TIPOS_OT'!$C$4:$C$23,MATCH($I599,'CAT_TIPOS_OT'!$A$4:$A$23,0)),"sin_clasificar"))</f>
        <v/>
      </c>
      <c r="V599" s="24">
        <f>IF($I599="","",IF(IFERROR(INDEX('CAT_TIPOS_OT'!$D$4:$D$23,MATCH($I599,'CAT_TIPOS_OT'!$A$4:$A$23,0)),"SIN CLASIFICAR")="","SIN CLASIFICAR",IFERROR(INDEX('CAT_TIPOS_OT'!$D$4:$D$23,MATCH($I599,'CAT_TIPOS_OT'!$A$4:$A$23,0)),"SIN CLASIFICAR")))</f>
        <v/>
      </c>
      <c r="W599" s="24">
        <f>IF($H599="","",IF(IFERROR(INDEX('CAT_ACTIVIDADES'!$F$4:$F$26,MATCH($H599,'CAT_ACTIVIDADES'!$A$4:$A$26,0)),"")=0,"",IFERROR(INDEX('CAT_ACTIVIDADES'!$F$4:$F$26,MATCH($H599,'CAT_ACTIVIDADES'!$A$4:$A$26,0)),"")))</f>
        <v/>
      </c>
      <c r="X599" s="24">
        <f>IF($F599="","",IFERROR(INDEX('CAT_CENTROS_COSTO'!$F$4:$F$28,MATCH($F599,'CAT_CENTROS_COSTO'!$A$4:$A$28,0)),"(sin catálogo)"))</f>
        <v/>
      </c>
      <c r="Y599" s="24">
        <f>IF($F599="","",IFERROR(INDEX('CAT_CENTROS_COSTO'!$D$4:$D$28,MATCH($F599,'CAT_CENTROS_COSTO'!$A$4:$A$28,0)),"(sin catálogo)"))</f>
        <v/>
      </c>
      <c r="Z599" s="24">
        <f>IF($F599="","",IF((IFERROR(INDEX('CAT_CENTROS_COSTO'!$E$4:$E$28,MATCH($F599,'CAT_CENTROS_COSTO'!$A$4:$A$28,0)),""))&lt;&gt;"",IFERROR(INDEX('CAT_CENTROS_COSTO'!$E$4:$E$28,MATCH($F599,'CAT_CENTROS_COSTO'!$A$4:$A$28,0)),""),$Y599))</f>
        <v/>
      </c>
      <c r="AA599" s="24">
        <f>IF($F599="","",IFERROR(INDEX('CAT_CENTROS_COSTO'!$G$4:$G$28,MATCH($F599,'CAT_CENTROS_COSTO'!$A$4:$A$28,0)),"(sin catálogo)"))</f>
        <v/>
      </c>
      <c r="AB599" s="24">
        <f>IF($G599="","",IFERROR(INDEX('CAT_PUESTOS'!$B$4:$B$23,MATCH($G599,'CAT_PUESTOS'!$A$4:$A$23,0)),"(sin catálogo)"))</f>
        <v/>
      </c>
      <c r="AC599" s="24">
        <f>IF($H599="","",IFERROR(INDEX('CAT_ACTIVIDADES'!$B$4:$B$26,MATCH($H599,'CAT_ACTIVIDADES'!$A$4:$A$26,0)),"(sin catálogo)"))</f>
        <v/>
      </c>
      <c r="AD599" s="26">
        <f>IF($J599="","",TODAY()-$J599)</f>
        <v/>
      </c>
      <c r="AE599" s="26">
        <f>IF($J599="","",IF($J599&lt;=TODAY(),COUNTIFS(cal_fechas,"&gt;="&amp;$J599,cal_fechas,"&lt;"&amp;TODAY(),cal_habil,"sí"),-COUNTIFS(cal_fechas,"&gt;="&amp;TODAY(),cal_fechas,"&lt;"&amp;$J599,cal_habil,"sí")))</f>
        <v/>
      </c>
      <c r="AF599" s="24">
        <f>IF($AE599="","",IF($AE599&lt;0,"FUTURO",IF($AE599&gt;p_dias_backlog_max,"BACKLOG","MES CORRIENTE")))</f>
        <v/>
      </c>
      <c r="AG599" s="24">
        <f>IF($AE599="",FALSE,AND($AE599&gt;p_dias_backlog_min,$AE599&lt;=p_dias_backlog_max))</f>
        <v/>
      </c>
      <c r="AH599" s="4" t="n"/>
      <c r="AI599" s="24">
        <f>IF($AH599="","",IF((IFERROR(INDEX('ASIGNACIONES'!$J$4:$J$451,MATCH($O599&amp;"|"&amp;$S599&amp;"|"&amp;$AH599,'ASIGNACIONES'!$N$4:$N$451,0)),""))=0,"",IFERROR(INDEX('ASIGNACIONES'!$J$4:$J$451,MATCH($O599&amp;"|"&amp;$S599&amp;"|"&amp;$AH599,'ASIGNACIONES'!$N$4:$N$451,0)),"")))</f>
        <v/>
      </c>
      <c r="AJ599" s="42">
        <f>IF($AH599="","",SUMIFS('ORDENES'!$M$4:$M$1203,'ORDENES'!$AH$4:$AH$1203,$AH599,'ORDENES'!$O$4:$O$1203,$O599,'ORDENES'!$S$4:$S$1203,$S599))</f>
        <v/>
      </c>
      <c r="AK599" s="42">
        <f>IF($AJ599="","",p_factor_productividad*IFERROR(INDEX('ASIGNACIONES'!$M$4:$M$451,MATCH($O599&amp;"|"&amp;$S599&amp;"|"&amp;$AH599,'ASIGNACIONES'!$N$4:$N$451,0)),0)-$AJ599)</f>
        <v/>
      </c>
      <c r="AL599" s="32">
        <f>IF($A599="","",IFERROR(INDEX('2_IMPORTAR_EJECUCION'!$F$9:$F$1208,MATCH($AU599,'2_IMPORTAR_EJECUCION'!$J$9:$J$1208,0)),0))</f>
        <v/>
      </c>
      <c r="AM599" s="32">
        <f>IF($A599="","",MAX(0,IFERROR(INDEX('2_IMPORTAR_EJECUCION'!$H$9:$H$1208,MATCH($AU599,'2_IMPORTAR_EJECUCION'!$J$9:$J$1208,0)),0)-$AL599))</f>
        <v/>
      </c>
      <c r="AN599" s="32">
        <f>IF($A599="","",$AL599+$AM599)</f>
        <v/>
      </c>
      <c r="AO599" s="24">
        <f>IF($A599="","",IF(OR((IFERROR(INDEX('CAT_ACTIVIDADES'!$D$4:$D$26,MATCH($H599,'CAT_ACTIVIDADES'!$A$4:$A$26,0)),""))=0,(IFERROR(INDEX('CAT_ACTIVIDADES'!$D$4:$D$26,MATCH($H599,'CAT_ACTIVIDADES'!$A$4:$A$26,0)),""))=""),"SIN CLASIFICAR",IFERROR(INDEX('CAT_ACTIVIDADES'!$D$4:$D$26,MATCH($H599,'CAT_ACTIVIDADES'!$A$4:$A$26,0)),"")))</f>
        <v/>
      </c>
      <c r="AP599" s="4" t="n"/>
      <c r="AQ599" s="4" t="n"/>
      <c r="AR599" s="4" t="n"/>
      <c r="AS599" s="24">
        <f>IF($AR599="","",HYPERLINK(p_ruta_base_checklists&amp;$AR599,"abrir"))</f>
        <v/>
      </c>
      <c r="AT599" s="4" t="n"/>
      <c r="AU599" s="24">
        <f>IF($A599="","",$A599&amp;IF($B599="","0010",$B599))</f>
        <v/>
      </c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41" t="n"/>
      <c r="K600" s="5" t="n"/>
      <c r="L600" s="18" t="n"/>
      <c r="M600" s="24">
        <f>IF($A600="","",IFERROR(INDEX('AJUSTES'!$B$4:$B$303,MATCH($AU600,'AJUSTES'!$A$4:$A$303,0)),IF($K600="","",$K600)))</f>
        <v/>
      </c>
      <c r="N600" s="24">
        <f>IF($A600="","",IFERROR(INDEX('CAT_ESTADOS_ERP'!$B$4:$B$22,MATCH(IFERROR(INDEX('2_IMPORTAR_EJECUCION'!$C$9:$C$1208,MATCH($AU600,'2_IMPORTAR_EJECUCION'!$J$9:$J$1208,0)),""),'CAT_ESTADOS_ERP'!$A$4:$A$22,0)),"Pendiente"))</f>
        <v/>
      </c>
      <c r="O600" s="24">
        <f>IF($J600="","",YEAR($J600+4-WEEKDAY($J600,2))&amp;"-S"&amp;TEXT(_xlfn.ISOWEEKNUM($J600),"00"))</f>
        <v/>
      </c>
      <c r="P600" s="24">
        <f>IF($J600="","",YEAR($J600))</f>
        <v/>
      </c>
      <c r="Q600" s="24">
        <f>IF($J600="","",MONTH($J600))</f>
        <v/>
      </c>
      <c r="R600" s="24">
        <f>IF($J600="","",$P600&amp;"-"&amp;TEXT($Q600,"00"))</f>
        <v/>
      </c>
      <c r="S600" s="24">
        <f>IF($J600="","",INDEX(lista_dias,WEEKDAY($J600,2)))</f>
        <v/>
      </c>
      <c r="T600" s="24">
        <f>IF($J600="","",IFERROR(INDEX('CALENDARIO'!$C$15:$C$214,MATCH(TEXT($J600,"yyyy-mm-dd")&amp;"|"&amp;$Y600&amp;"|"&amp;$Z600,'CALENDARIO'!$G$15:$G$214,0)),IFERROR(INDEX('CALENDARIO'!$C$15:$C$214,MATCH(TEXT($J600,"yyyy-mm-dd")&amp;"|"&amp;$Y600&amp;"|",'CALENDARIO'!$G$15:$G$214,0)),IFERROR(INDEX('CALENDARIO'!$C$15:$C$214,MATCH(TEXT($J600,"yyyy-mm-dd")&amp;"||",'CALENDARIO'!$G$15:$G$214,0)),INDEX(patronHabil,WEEKDAY($J600,2))))))</f>
        <v/>
      </c>
      <c r="U600" s="24">
        <f>IF($I600="","",IFERROR(INDEX('CAT_TIPOS_OT'!$C$4:$C$23,MATCH($I600,'CAT_TIPOS_OT'!$A$4:$A$23,0)),"sin_clasificar"))</f>
        <v/>
      </c>
      <c r="V600" s="24">
        <f>IF($I600="","",IF(IFERROR(INDEX('CAT_TIPOS_OT'!$D$4:$D$23,MATCH($I600,'CAT_TIPOS_OT'!$A$4:$A$23,0)),"SIN CLASIFICAR")="","SIN CLASIFICAR",IFERROR(INDEX('CAT_TIPOS_OT'!$D$4:$D$23,MATCH($I600,'CAT_TIPOS_OT'!$A$4:$A$23,0)),"SIN CLASIFICAR")))</f>
        <v/>
      </c>
      <c r="W600" s="24">
        <f>IF($H600="","",IF(IFERROR(INDEX('CAT_ACTIVIDADES'!$F$4:$F$26,MATCH($H600,'CAT_ACTIVIDADES'!$A$4:$A$26,0)),"")=0,"",IFERROR(INDEX('CAT_ACTIVIDADES'!$F$4:$F$26,MATCH($H600,'CAT_ACTIVIDADES'!$A$4:$A$26,0)),"")))</f>
        <v/>
      </c>
      <c r="X600" s="24">
        <f>IF($F600="","",IFERROR(INDEX('CAT_CENTROS_COSTO'!$F$4:$F$28,MATCH($F600,'CAT_CENTROS_COSTO'!$A$4:$A$28,0)),"(sin catálogo)"))</f>
        <v/>
      </c>
      <c r="Y600" s="24">
        <f>IF($F600="","",IFERROR(INDEX('CAT_CENTROS_COSTO'!$D$4:$D$28,MATCH($F600,'CAT_CENTROS_COSTO'!$A$4:$A$28,0)),"(sin catálogo)"))</f>
        <v/>
      </c>
      <c r="Z600" s="24">
        <f>IF($F600="","",IF((IFERROR(INDEX('CAT_CENTROS_COSTO'!$E$4:$E$28,MATCH($F600,'CAT_CENTROS_COSTO'!$A$4:$A$28,0)),""))&lt;&gt;"",IFERROR(INDEX('CAT_CENTROS_COSTO'!$E$4:$E$28,MATCH($F600,'CAT_CENTROS_COSTO'!$A$4:$A$28,0)),""),$Y600))</f>
        <v/>
      </c>
      <c r="AA600" s="24">
        <f>IF($F600="","",IFERROR(INDEX('CAT_CENTROS_COSTO'!$G$4:$G$28,MATCH($F600,'CAT_CENTROS_COSTO'!$A$4:$A$28,0)),"(sin catálogo)"))</f>
        <v/>
      </c>
      <c r="AB600" s="24">
        <f>IF($G600="","",IFERROR(INDEX('CAT_PUESTOS'!$B$4:$B$23,MATCH($G600,'CAT_PUESTOS'!$A$4:$A$23,0)),"(sin catálogo)"))</f>
        <v/>
      </c>
      <c r="AC600" s="24">
        <f>IF($H600="","",IFERROR(INDEX('CAT_ACTIVIDADES'!$B$4:$B$26,MATCH($H600,'CAT_ACTIVIDADES'!$A$4:$A$26,0)),"(sin catálogo)"))</f>
        <v/>
      </c>
      <c r="AD600" s="26">
        <f>IF($J600="","",TODAY()-$J600)</f>
        <v/>
      </c>
      <c r="AE600" s="26">
        <f>IF($J600="","",IF($J600&lt;=TODAY(),COUNTIFS(cal_fechas,"&gt;="&amp;$J600,cal_fechas,"&lt;"&amp;TODAY(),cal_habil,"sí"),-COUNTIFS(cal_fechas,"&gt;="&amp;TODAY(),cal_fechas,"&lt;"&amp;$J600,cal_habil,"sí")))</f>
        <v/>
      </c>
      <c r="AF600" s="24">
        <f>IF($AE600="","",IF($AE600&lt;0,"FUTURO",IF($AE600&gt;p_dias_backlog_max,"BACKLOG","MES CORRIENTE")))</f>
        <v/>
      </c>
      <c r="AG600" s="24">
        <f>IF($AE600="",FALSE,AND($AE600&gt;p_dias_backlog_min,$AE600&lt;=p_dias_backlog_max))</f>
        <v/>
      </c>
      <c r="AH600" s="4" t="n"/>
      <c r="AI600" s="24">
        <f>IF($AH600="","",IF((IFERROR(INDEX('ASIGNACIONES'!$J$4:$J$451,MATCH($O600&amp;"|"&amp;$S600&amp;"|"&amp;$AH600,'ASIGNACIONES'!$N$4:$N$451,0)),""))=0,"",IFERROR(INDEX('ASIGNACIONES'!$J$4:$J$451,MATCH($O600&amp;"|"&amp;$S600&amp;"|"&amp;$AH600,'ASIGNACIONES'!$N$4:$N$451,0)),"")))</f>
        <v/>
      </c>
      <c r="AJ600" s="42">
        <f>IF($AH600="","",SUMIFS('ORDENES'!$M$4:$M$1203,'ORDENES'!$AH$4:$AH$1203,$AH600,'ORDENES'!$O$4:$O$1203,$O600,'ORDENES'!$S$4:$S$1203,$S600))</f>
        <v/>
      </c>
      <c r="AK600" s="42">
        <f>IF($AJ600="","",p_factor_productividad*IFERROR(INDEX('ASIGNACIONES'!$M$4:$M$451,MATCH($O600&amp;"|"&amp;$S600&amp;"|"&amp;$AH600,'ASIGNACIONES'!$N$4:$N$451,0)),0)-$AJ600)</f>
        <v/>
      </c>
      <c r="AL600" s="32">
        <f>IF($A600="","",IFERROR(INDEX('2_IMPORTAR_EJECUCION'!$F$9:$F$1208,MATCH($AU600,'2_IMPORTAR_EJECUCION'!$J$9:$J$1208,0)),0))</f>
        <v/>
      </c>
      <c r="AM600" s="32">
        <f>IF($A600="","",MAX(0,IFERROR(INDEX('2_IMPORTAR_EJECUCION'!$H$9:$H$1208,MATCH($AU600,'2_IMPORTAR_EJECUCION'!$J$9:$J$1208,0)),0)-$AL600))</f>
        <v/>
      </c>
      <c r="AN600" s="32">
        <f>IF($A600="","",$AL600+$AM600)</f>
        <v/>
      </c>
      <c r="AO600" s="24">
        <f>IF($A600="","",IF(OR((IFERROR(INDEX('CAT_ACTIVIDADES'!$D$4:$D$26,MATCH($H600,'CAT_ACTIVIDADES'!$A$4:$A$26,0)),""))=0,(IFERROR(INDEX('CAT_ACTIVIDADES'!$D$4:$D$26,MATCH($H600,'CAT_ACTIVIDADES'!$A$4:$A$26,0)),""))=""),"SIN CLASIFICAR",IFERROR(INDEX('CAT_ACTIVIDADES'!$D$4:$D$26,MATCH($H600,'CAT_ACTIVIDADES'!$A$4:$A$26,0)),"")))</f>
        <v/>
      </c>
      <c r="AP600" s="4" t="n"/>
      <c r="AQ600" s="4" t="n"/>
      <c r="AR600" s="4" t="n"/>
      <c r="AS600" s="24">
        <f>IF($AR600="","",HYPERLINK(p_ruta_base_checklists&amp;$AR600,"abrir"))</f>
        <v/>
      </c>
      <c r="AT600" s="4" t="n"/>
      <c r="AU600" s="24">
        <f>IF($A600="","",$A600&amp;IF($B600="","0010",$B600))</f>
        <v/>
      </c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41" t="n"/>
      <c r="K601" s="5" t="n"/>
      <c r="L601" s="18" t="n"/>
      <c r="M601" s="24">
        <f>IF($A601="","",IFERROR(INDEX('AJUSTES'!$B$4:$B$303,MATCH($AU601,'AJUSTES'!$A$4:$A$303,0)),IF($K601="","",$K601)))</f>
        <v/>
      </c>
      <c r="N601" s="24">
        <f>IF($A601="","",IFERROR(INDEX('CAT_ESTADOS_ERP'!$B$4:$B$22,MATCH(IFERROR(INDEX('2_IMPORTAR_EJECUCION'!$C$9:$C$1208,MATCH($AU601,'2_IMPORTAR_EJECUCION'!$J$9:$J$1208,0)),""),'CAT_ESTADOS_ERP'!$A$4:$A$22,0)),"Pendiente"))</f>
        <v/>
      </c>
      <c r="O601" s="24">
        <f>IF($J601="","",YEAR($J601+4-WEEKDAY($J601,2))&amp;"-S"&amp;TEXT(_xlfn.ISOWEEKNUM($J601),"00"))</f>
        <v/>
      </c>
      <c r="P601" s="24">
        <f>IF($J601="","",YEAR($J601))</f>
        <v/>
      </c>
      <c r="Q601" s="24">
        <f>IF($J601="","",MONTH($J601))</f>
        <v/>
      </c>
      <c r="R601" s="24">
        <f>IF($J601="","",$P601&amp;"-"&amp;TEXT($Q601,"00"))</f>
        <v/>
      </c>
      <c r="S601" s="24">
        <f>IF($J601="","",INDEX(lista_dias,WEEKDAY($J601,2)))</f>
        <v/>
      </c>
      <c r="T601" s="24">
        <f>IF($J601="","",IFERROR(INDEX('CALENDARIO'!$C$15:$C$214,MATCH(TEXT($J601,"yyyy-mm-dd")&amp;"|"&amp;$Y601&amp;"|"&amp;$Z601,'CALENDARIO'!$G$15:$G$214,0)),IFERROR(INDEX('CALENDARIO'!$C$15:$C$214,MATCH(TEXT($J601,"yyyy-mm-dd")&amp;"|"&amp;$Y601&amp;"|",'CALENDARIO'!$G$15:$G$214,0)),IFERROR(INDEX('CALENDARIO'!$C$15:$C$214,MATCH(TEXT($J601,"yyyy-mm-dd")&amp;"||",'CALENDARIO'!$G$15:$G$214,0)),INDEX(patronHabil,WEEKDAY($J601,2))))))</f>
        <v/>
      </c>
      <c r="U601" s="24">
        <f>IF($I601="","",IFERROR(INDEX('CAT_TIPOS_OT'!$C$4:$C$23,MATCH($I601,'CAT_TIPOS_OT'!$A$4:$A$23,0)),"sin_clasificar"))</f>
        <v/>
      </c>
      <c r="V601" s="24">
        <f>IF($I601="","",IF(IFERROR(INDEX('CAT_TIPOS_OT'!$D$4:$D$23,MATCH($I601,'CAT_TIPOS_OT'!$A$4:$A$23,0)),"SIN CLASIFICAR")="","SIN CLASIFICAR",IFERROR(INDEX('CAT_TIPOS_OT'!$D$4:$D$23,MATCH($I601,'CAT_TIPOS_OT'!$A$4:$A$23,0)),"SIN CLASIFICAR")))</f>
        <v/>
      </c>
      <c r="W601" s="24">
        <f>IF($H601="","",IF(IFERROR(INDEX('CAT_ACTIVIDADES'!$F$4:$F$26,MATCH($H601,'CAT_ACTIVIDADES'!$A$4:$A$26,0)),"")=0,"",IFERROR(INDEX('CAT_ACTIVIDADES'!$F$4:$F$26,MATCH($H601,'CAT_ACTIVIDADES'!$A$4:$A$26,0)),"")))</f>
        <v/>
      </c>
      <c r="X601" s="24">
        <f>IF($F601="","",IFERROR(INDEX('CAT_CENTROS_COSTO'!$F$4:$F$28,MATCH($F601,'CAT_CENTROS_COSTO'!$A$4:$A$28,0)),"(sin catálogo)"))</f>
        <v/>
      </c>
      <c r="Y601" s="24">
        <f>IF($F601="","",IFERROR(INDEX('CAT_CENTROS_COSTO'!$D$4:$D$28,MATCH($F601,'CAT_CENTROS_COSTO'!$A$4:$A$28,0)),"(sin catálogo)"))</f>
        <v/>
      </c>
      <c r="Z601" s="24">
        <f>IF($F601="","",IF((IFERROR(INDEX('CAT_CENTROS_COSTO'!$E$4:$E$28,MATCH($F601,'CAT_CENTROS_COSTO'!$A$4:$A$28,0)),""))&lt;&gt;"",IFERROR(INDEX('CAT_CENTROS_COSTO'!$E$4:$E$28,MATCH($F601,'CAT_CENTROS_COSTO'!$A$4:$A$28,0)),""),$Y601))</f>
        <v/>
      </c>
      <c r="AA601" s="24">
        <f>IF($F601="","",IFERROR(INDEX('CAT_CENTROS_COSTO'!$G$4:$G$28,MATCH($F601,'CAT_CENTROS_COSTO'!$A$4:$A$28,0)),"(sin catálogo)"))</f>
        <v/>
      </c>
      <c r="AB601" s="24">
        <f>IF($G601="","",IFERROR(INDEX('CAT_PUESTOS'!$B$4:$B$23,MATCH($G601,'CAT_PUESTOS'!$A$4:$A$23,0)),"(sin catálogo)"))</f>
        <v/>
      </c>
      <c r="AC601" s="24">
        <f>IF($H601="","",IFERROR(INDEX('CAT_ACTIVIDADES'!$B$4:$B$26,MATCH($H601,'CAT_ACTIVIDADES'!$A$4:$A$26,0)),"(sin catálogo)"))</f>
        <v/>
      </c>
      <c r="AD601" s="26">
        <f>IF($J601="","",TODAY()-$J601)</f>
        <v/>
      </c>
      <c r="AE601" s="26">
        <f>IF($J601="","",IF($J601&lt;=TODAY(),COUNTIFS(cal_fechas,"&gt;="&amp;$J601,cal_fechas,"&lt;"&amp;TODAY(),cal_habil,"sí"),-COUNTIFS(cal_fechas,"&gt;="&amp;TODAY(),cal_fechas,"&lt;"&amp;$J601,cal_habil,"sí")))</f>
        <v/>
      </c>
      <c r="AF601" s="24">
        <f>IF($AE601="","",IF($AE601&lt;0,"FUTURO",IF($AE601&gt;p_dias_backlog_max,"BACKLOG","MES CORRIENTE")))</f>
        <v/>
      </c>
      <c r="AG601" s="24">
        <f>IF($AE601="",FALSE,AND($AE601&gt;p_dias_backlog_min,$AE601&lt;=p_dias_backlog_max))</f>
        <v/>
      </c>
      <c r="AH601" s="4" t="n"/>
      <c r="AI601" s="24">
        <f>IF($AH601="","",IF((IFERROR(INDEX('ASIGNACIONES'!$J$4:$J$451,MATCH($O601&amp;"|"&amp;$S601&amp;"|"&amp;$AH601,'ASIGNACIONES'!$N$4:$N$451,0)),""))=0,"",IFERROR(INDEX('ASIGNACIONES'!$J$4:$J$451,MATCH($O601&amp;"|"&amp;$S601&amp;"|"&amp;$AH601,'ASIGNACIONES'!$N$4:$N$451,0)),"")))</f>
        <v/>
      </c>
      <c r="AJ601" s="42">
        <f>IF($AH601="","",SUMIFS('ORDENES'!$M$4:$M$1203,'ORDENES'!$AH$4:$AH$1203,$AH601,'ORDENES'!$O$4:$O$1203,$O601,'ORDENES'!$S$4:$S$1203,$S601))</f>
        <v/>
      </c>
      <c r="AK601" s="42">
        <f>IF($AJ601="","",p_factor_productividad*IFERROR(INDEX('ASIGNACIONES'!$M$4:$M$451,MATCH($O601&amp;"|"&amp;$S601&amp;"|"&amp;$AH601,'ASIGNACIONES'!$N$4:$N$451,0)),0)-$AJ601)</f>
        <v/>
      </c>
      <c r="AL601" s="32">
        <f>IF($A601="","",IFERROR(INDEX('2_IMPORTAR_EJECUCION'!$F$9:$F$1208,MATCH($AU601,'2_IMPORTAR_EJECUCION'!$J$9:$J$1208,0)),0))</f>
        <v/>
      </c>
      <c r="AM601" s="32">
        <f>IF($A601="","",MAX(0,IFERROR(INDEX('2_IMPORTAR_EJECUCION'!$H$9:$H$1208,MATCH($AU601,'2_IMPORTAR_EJECUCION'!$J$9:$J$1208,0)),0)-$AL601))</f>
        <v/>
      </c>
      <c r="AN601" s="32">
        <f>IF($A601="","",$AL601+$AM601)</f>
        <v/>
      </c>
      <c r="AO601" s="24">
        <f>IF($A601="","",IF(OR((IFERROR(INDEX('CAT_ACTIVIDADES'!$D$4:$D$26,MATCH($H601,'CAT_ACTIVIDADES'!$A$4:$A$26,0)),""))=0,(IFERROR(INDEX('CAT_ACTIVIDADES'!$D$4:$D$26,MATCH($H601,'CAT_ACTIVIDADES'!$A$4:$A$26,0)),""))=""),"SIN CLASIFICAR",IFERROR(INDEX('CAT_ACTIVIDADES'!$D$4:$D$26,MATCH($H601,'CAT_ACTIVIDADES'!$A$4:$A$26,0)),"")))</f>
        <v/>
      </c>
      <c r="AP601" s="4" t="n"/>
      <c r="AQ601" s="4" t="n"/>
      <c r="AR601" s="4" t="n"/>
      <c r="AS601" s="24">
        <f>IF($AR601="","",HYPERLINK(p_ruta_base_checklists&amp;$AR601,"abrir"))</f>
        <v/>
      </c>
      <c r="AT601" s="4" t="n"/>
      <c r="AU601" s="24">
        <f>IF($A601="","",$A601&amp;IF($B601="","0010",$B601))</f>
        <v/>
      </c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41" t="n"/>
      <c r="K602" s="5" t="n"/>
      <c r="L602" s="18" t="n"/>
      <c r="M602" s="24">
        <f>IF($A602="","",IFERROR(INDEX('AJUSTES'!$B$4:$B$303,MATCH($AU602,'AJUSTES'!$A$4:$A$303,0)),IF($K602="","",$K602)))</f>
        <v/>
      </c>
      <c r="N602" s="24">
        <f>IF($A602="","",IFERROR(INDEX('CAT_ESTADOS_ERP'!$B$4:$B$22,MATCH(IFERROR(INDEX('2_IMPORTAR_EJECUCION'!$C$9:$C$1208,MATCH($AU602,'2_IMPORTAR_EJECUCION'!$J$9:$J$1208,0)),""),'CAT_ESTADOS_ERP'!$A$4:$A$22,0)),"Pendiente"))</f>
        <v/>
      </c>
      <c r="O602" s="24">
        <f>IF($J602="","",YEAR($J602+4-WEEKDAY($J602,2))&amp;"-S"&amp;TEXT(_xlfn.ISOWEEKNUM($J602),"00"))</f>
        <v/>
      </c>
      <c r="P602" s="24">
        <f>IF($J602="","",YEAR($J602))</f>
        <v/>
      </c>
      <c r="Q602" s="24">
        <f>IF($J602="","",MONTH($J602))</f>
        <v/>
      </c>
      <c r="R602" s="24">
        <f>IF($J602="","",$P602&amp;"-"&amp;TEXT($Q602,"00"))</f>
        <v/>
      </c>
      <c r="S602" s="24">
        <f>IF($J602="","",INDEX(lista_dias,WEEKDAY($J602,2)))</f>
        <v/>
      </c>
      <c r="T602" s="24">
        <f>IF($J602="","",IFERROR(INDEX('CALENDARIO'!$C$15:$C$214,MATCH(TEXT($J602,"yyyy-mm-dd")&amp;"|"&amp;$Y602&amp;"|"&amp;$Z602,'CALENDARIO'!$G$15:$G$214,0)),IFERROR(INDEX('CALENDARIO'!$C$15:$C$214,MATCH(TEXT($J602,"yyyy-mm-dd")&amp;"|"&amp;$Y602&amp;"|",'CALENDARIO'!$G$15:$G$214,0)),IFERROR(INDEX('CALENDARIO'!$C$15:$C$214,MATCH(TEXT($J602,"yyyy-mm-dd")&amp;"||",'CALENDARIO'!$G$15:$G$214,0)),INDEX(patronHabil,WEEKDAY($J602,2))))))</f>
        <v/>
      </c>
      <c r="U602" s="24">
        <f>IF($I602="","",IFERROR(INDEX('CAT_TIPOS_OT'!$C$4:$C$23,MATCH($I602,'CAT_TIPOS_OT'!$A$4:$A$23,0)),"sin_clasificar"))</f>
        <v/>
      </c>
      <c r="V602" s="24">
        <f>IF($I602="","",IF(IFERROR(INDEX('CAT_TIPOS_OT'!$D$4:$D$23,MATCH($I602,'CAT_TIPOS_OT'!$A$4:$A$23,0)),"SIN CLASIFICAR")="","SIN CLASIFICAR",IFERROR(INDEX('CAT_TIPOS_OT'!$D$4:$D$23,MATCH($I602,'CAT_TIPOS_OT'!$A$4:$A$23,0)),"SIN CLASIFICAR")))</f>
        <v/>
      </c>
      <c r="W602" s="24">
        <f>IF($H602="","",IF(IFERROR(INDEX('CAT_ACTIVIDADES'!$F$4:$F$26,MATCH($H602,'CAT_ACTIVIDADES'!$A$4:$A$26,0)),"")=0,"",IFERROR(INDEX('CAT_ACTIVIDADES'!$F$4:$F$26,MATCH($H602,'CAT_ACTIVIDADES'!$A$4:$A$26,0)),"")))</f>
        <v/>
      </c>
      <c r="X602" s="24">
        <f>IF($F602="","",IFERROR(INDEX('CAT_CENTROS_COSTO'!$F$4:$F$28,MATCH($F602,'CAT_CENTROS_COSTO'!$A$4:$A$28,0)),"(sin catálogo)"))</f>
        <v/>
      </c>
      <c r="Y602" s="24">
        <f>IF($F602="","",IFERROR(INDEX('CAT_CENTROS_COSTO'!$D$4:$D$28,MATCH($F602,'CAT_CENTROS_COSTO'!$A$4:$A$28,0)),"(sin catálogo)"))</f>
        <v/>
      </c>
      <c r="Z602" s="24">
        <f>IF($F602="","",IF((IFERROR(INDEX('CAT_CENTROS_COSTO'!$E$4:$E$28,MATCH($F602,'CAT_CENTROS_COSTO'!$A$4:$A$28,0)),""))&lt;&gt;"",IFERROR(INDEX('CAT_CENTROS_COSTO'!$E$4:$E$28,MATCH($F602,'CAT_CENTROS_COSTO'!$A$4:$A$28,0)),""),$Y602))</f>
        <v/>
      </c>
      <c r="AA602" s="24">
        <f>IF($F602="","",IFERROR(INDEX('CAT_CENTROS_COSTO'!$G$4:$G$28,MATCH($F602,'CAT_CENTROS_COSTO'!$A$4:$A$28,0)),"(sin catálogo)"))</f>
        <v/>
      </c>
      <c r="AB602" s="24">
        <f>IF($G602="","",IFERROR(INDEX('CAT_PUESTOS'!$B$4:$B$23,MATCH($G602,'CAT_PUESTOS'!$A$4:$A$23,0)),"(sin catálogo)"))</f>
        <v/>
      </c>
      <c r="AC602" s="24">
        <f>IF($H602="","",IFERROR(INDEX('CAT_ACTIVIDADES'!$B$4:$B$26,MATCH($H602,'CAT_ACTIVIDADES'!$A$4:$A$26,0)),"(sin catálogo)"))</f>
        <v/>
      </c>
      <c r="AD602" s="26">
        <f>IF($J602="","",TODAY()-$J602)</f>
        <v/>
      </c>
      <c r="AE602" s="26">
        <f>IF($J602="","",IF($J602&lt;=TODAY(),COUNTIFS(cal_fechas,"&gt;="&amp;$J602,cal_fechas,"&lt;"&amp;TODAY(),cal_habil,"sí"),-COUNTIFS(cal_fechas,"&gt;="&amp;TODAY(),cal_fechas,"&lt;"&amp;$J602,cal_habil,"sí")))</f>
        <v/>
      </c>
      <c r="AF602" s="24">
        <f>IF($AE602="","",IF($AE602&lt;0,"FUTURO",IF($AE602&gt;p_dias_backlog_max,"BACKLOG","MES CORRIENTE")))</f>
        <v/>
      </c>
      <c r="AG602" s="24">
        <f>IF($AE602="",FALSE,AND($AE602&gt;p_dias_backlog_min,$AE602&lt;=p_dias_backlog_max))</f>
        <v/>
      </c>
      <c r="AH602" s="4" t="n"/>
      <c r="AI602" s="24">
        <f>IF($AH602="","",IF((IFERROR(INDEX('ASIGNACIONES'!$J$4:$J$451,MATCH($O602&amp;"|"&amp;$S602&amp;"|"&amp;$AH602,'ASIGNACIONES'!$N$4:$N$451,0)),""))=0,"",IFERROR(INDEX('ASIGNACIONES'!$J$4:$J$451,MATCH($O602&amp;"|"&amp;$S602&amp;"|"&amp;$AH602,'ASIGNACIONES'!$N$4:$N$451,0)),"")))</f>
        <v/>
      </c>
      <c r="AJ602" s="42">
        <f>IF($AH602="","",SUMIFS('ORDENES'!$M$4:$M$1203,'ORDENES'!$AH$4:$AH$1203,$AH602,'ORDENES'!$O$4:$O$1203,$O602,'ORDENES'!$S$4:$S$1203,$S602))</f>
        <v/>
      </c>
      <c r="AK602" s="42">
        <f>IF($AJ602="","",p_factor_productividad*IFERROR(INDEX('ASIGNACIONES'!$M$4:$M$451,MATCH($O602&amp;"|"&amp;$S602&amp;"|"&amp;$AH602,'ASIGNACIONES'!$N$4:$N$451,0)),0)-$AJ602)</f>
        <v/>
      </c>
      <c r="AL602" s="32">
        <f>IF($A602="","",IFERROR(INDEX('2_IMPORTAR_EJECUCION'!$F$9:$F$1208,MATCH($AU602,'2_IMPORTAR_EJECUCION'!$J$9:$J$1208,0)),0))</f>
        <v/>
      </c>
      <c r="AM602" s="32">
        <f>IF($A602="","",MAX(0,IFERROR(INDEX('2_IMPORTAR_EJECUCION'!$H$9:$H$1208,MATCH($AU602,'2_IMPORTAR_EJECUCION'!$J$9:$J$1208,0)),0)-$AL602))</f>
        <v/>
      </c>
      <c r="AN602" s="32">
        <f>IF($A602="","",$AL602+$AM602)</f>
        <v/>
      </c>
      <c r="AO602" s="24">
        <f>IF($A602="","",IF(OR((IFERROR(INDEX('CAT_ACTIVIDADES'!$D$4:$D$26,MATCH($H602,'CAT_ACTIVIDADES'!$A$4:$A$26,0)),""))=0,(IFERROR(INDEX('CAT_ACTIVIDADES'!$D$4:$D$26,MATCH($H602,'CAT_ACTIVIDADES'!$A$4:$A$26,0)),""))=""),"SIN CLASIFICAR",IFERROR(INDEX('CAT_ACTIVIDADES'!$D$4:$D$26,MATCH($H602,'CAT_ACTIVIDADES'!$A$4:$A$26,0)),"")))</f>
        <v/>
      </c>
      <c r="AP602" s="4" t="n"/>
      <c r="AQ602" s="4" t="n"/>
      <c r="AR602" s="4" t="n"/>
      <c r="AS602" s="24">
        <f>IF($AR602="","",HYPERLINK(p_ruta_base_checklists&amp;$AR602,"abrir"))</f>
        <v/>
      </c>
      <c r="AT602" s="4" t="n"/>
      <c r="AU602" s="24">
        <f>IF($A602="","",$A602&amp;IF($B602="","0010",$B602))</f>
        <v/>
      </c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41" t="n"/>
      <c r="K603" s="5" t="n"/>
      <c r="L603" s="18" t="n"/>
      <c r="M603" s="24">
        <f>IF($A603="","",IFERROR(INDEX('AJUSTES'!$B$4:$B$303,MATCH($AU603,'AJUSTES'!$A$4:$A$303,0)),IF($K603="","",$K603)))</f>
        <v/>
      </c>
      <c r="N603" s="24">
        <f>IF($A603="","",IFERROR(INDEX('CAT_ESTADOS_ERP'!$B$4:$B$22,MATCH(IFERROR(INDEX('2_IMPORTAR_EJECUCION'!$C$9:$C$1208,MATCH($AU603,'2_IMPORTAR_EJECUCION'!$J$9:$J$1208,0)),""),'CAT_ESTADOS_ERP'!$A$4:$A$22,0)),"Pendiente"))</f>
        <v/>
      </c>
      <c r="O603" s="24">
        <f>IF($J603="","",YEAR($J603+4-WEEKDAY($J603,2))&amp;"-S"&amp;TEXT(_xlfn.ISOWEEKNUM($J603),"00"))</f>
        <v/>
      </c>
      <c r="P603" s="24">
        <f>IF($J603="","",YEAR($J603))</f>
        <v/>
      </c>
      <c r="Q603" s="24">
        <f>IF($J603="","",MONTH($J603))</f>
        <v/>
      </c>
      <c r="R603" s="24">
        <f>IF($J603="","",$P603&amp;"-"&amp;TEXT($Q603,"00"))</f>
        <v/>
      </c>
      <c r="S603" s="24">
        <f>IF($J603="","",INDEX(lista_dias,WEEKDAY($J603,2)))</f>
        <v/>
      </c>
      <c r="T603" s="24">
        <f>IF($J603="","",IFERROR(INDEX('CALENDARIO'!$C$15:$C$214,MATCH(TEXT($J603,"yyyy-mm-dd")&amp;"|"&amp;$Y603&amp;"|"&amp;$Z603,'CALENDARIO'!$G$15:$G$214,0)),IFERROR(INDEX('CALENDARIO'!$C$15:$C$214,MATCH(TEXT($J603,"yyyy-mm-dd")&amp;"|"&amp;$Y603&amp;"|",'CALENDARIO'!$G$15:$G$214,0)),IFERROR(INDEX('CALENDARIO'!$C$15:$C$214,MATCH(TEXT($J603,"yyyy-mm-dd")&amp;"||",'CALENDARIO'!$G$15:$G$214,0)),INDEX(patronHabil,WEEKDAY($J603,2))))))</f>
        <v/>
      </c>
      <c r="U603" s="24">
        <f>IF($I603="","",IFERROR(INDEX('CAT_TIPOS_OT'!$C$4:$C$23,MATCH($I603,'CAT_TIPOS_OT'!$A$4:$A$23,0)),"sin_clasificar"))</f>
        <v/>
      </c>
      <c r="V603" s="24">
        <f>IF($I603="","",IF(IFERROR(INDEX('CAT_TIPOS_OT'!$D$4:$D$23,MATCH($I603,'CAT_TIPOS_OT'!$A$4:$A$23,0)),"SIN CLASIFICAR")="","SIN CLASIFICAR",IFERROR(INDEX('CAT_TIPOS_OT'!$D$4:$D$23,MATCH($I603,'CAT_TIPOS_OT'!$A$4:$A$23,0)),"SIN CLASIFICAR")))</f>
        <v/>
      </c>
      <c r="W603" s="24">
        <f>IF($H603="","",IF(IFERROR(INDEX('CAT_ACTIVIDADES'!$F$4:$F$26,MATCH($H603,'CAT_ACTIVIDADES'!$A$4:$A$26,0)),"")=0,"",IFERROR(INDEX('CAT_ACTIVIDADES'!$F$4:$F$26,MATCH($H603,'CAT_ACTIVIDADES'!$A$4:$A$26,0)),"")))</f>
        <v/>
      </c>
      <c r="X603" s="24">
        <f>IF($F603="","",IFERROR(INDEX('CAT_CENTROS_COSTO'!$F$4:$F$28,MATCH($F603,'CAT_CENTROS_COSTO'!$A$4:$A$28,0)),"(sin catálogo)"))</f>
        <v/>
      </c>
      <c r="Y603" s="24">
        <f>IF($F603="","",IFERROR(INDEX('CAT_CENTROS_COSTO'!$D$4:$D$28,MATCH($F603,'CAT_CENTROS_COSTO'!$A$4:$A$28,0)),"(sin catálogo)"))</f>
        <v/>
      </c>
      <c r="Z603" s="24">
        <f>IF($F603="","",IF((IFERROR(INDEX('CAT_CENTROS_COSTO'!$E$4:$E$28,MATCH($F603,'CAT_CENTROS_COSTO'!$A$4:$A$28,0)),""))&lt;&gt;"",IFERROR(INDEX('CAT_CENTROS_COSTO'!$E$4:$E$28,MATCH($F603,'CAT_CENTROS_COSTO'!$A$4:$A$28,0)),""),$Y603))</f>
        <v/>
      </c>
      <c r="AA603" s="24">
        <f>IF($F603="","",IFERROR(INDEX('CAT_CENTROS_COSTO'!$G$4:$G$28,MATCH($F603,'CAT_CENTROS_COSTO'!$A$4:$A$28,0)),"(sin catálogo)"))</f>
        <v/>
      </c>
      <c r="AB603" s="24">
        <f>IF($G603="","",IFERROR(INDEX('CAT_PUESTOS'!$B$4:$B$23,MATCH($G603,'CAT_PUESTOS'!$A$4:$A$23,0)),"(sin catálogo)"))</f>
        <v/>
      </c>
      <c r="AC603" s="24">
        <f>IF($H603="","",IFERROR(INDEX('CAT_ACTIVIDADES'!$B$4:$B$26,MATCH($H603,'CAT_ACTIVIDADES'!$A$4:$A$26,0)),"(sin catálogo)"))</f>
        <v/>
      </c>
      <c r="AD603" s="26">
        <f>IF($J603="","",TODAY()-$J603)</f>
        <v/>
      </c>
      <c r="AE603" s="26">
        <f>IF($J603="","",IF($J603&lt;=TODAY(),COUNTIFS(cal_fechas,"&gt;="&amp;$J603,cal_fechas,"&lt;"&amp;TODAY(),cal_habil,"sí"),-COUNTIFS(cal_fechas,"&gt;="&amp;TODAY(),cal_fechas,"&lt;"&amp;$J603,cal_habil,"sí")))</f>
        <v/>
      </c>
      <c r="AF603" s="24">
        <f>IF($AE603="","",IF($AE603&lt;0,"FUTURO",IF($AE603&gt;p_dias_backlog_max,"BACKLOG","MES CORRIENTE")))</f>
        <v/>
      </c>
      <c r="AG603" s="24">
        <f>IF($AE603="",FALSE,AND($AE603&gt;p_dias_backlog_min,$AE603&lt;=p_dias_backlog_max))</f>
        <v/>
      </c>
      <c r="AH603" s="4" t="n"/>
      <c r="AI603" s="24">
        <f>IF($AH603="","",IF((IFERROR(INDEX('ASIGNACIONES'!$J$4:$J$451,MATCH($O603&amp;"|"&amp;$S603&amp;"|"&amp;$AH603,'ASIGNACIONES'!$N$4:$N$451,0)),""))=0,"",IFERROR(INDEX('ASIGNACIONES'!$J$4:$J$451,MATCH($O603&amp;"|"&amp;$S603&amp;"|"&amp;$AH603,'ASIGNACIONES'!$N$4:$N$451,0)),"")))</f>
        <v/>
      </c>
      <c r="AJ603" s="42">
        <f>IF($AH603="","",SUMIFS('ORDENES'!$M$4:$M$1203,'ORDENES'!$AH$4:$AH$1203,$AH603,'ORDENES'!$O$4:$O$1203,$O603,'ORDENES'!$S$4:$S$1203,$S603))</f>
        <v/>
      </c>
      <c r="AK603" s="42">
        <f>IF($AJ603="","",p_factor_productividad*IFERROR(INDEX('ASIGNACIONES'!$M$4:$M$451,MATCH($O603&amp;"|"&amp;$S603&amp;"|"&amp;$AH603,'ASIGNACIONES'!$N$4:$N$451,0)),0)-$AJ603)</f>
        <v/>
      </c>
      <c r="AL603" s="32">
        <f>IF($A603="","",IFERROR(INDEX('2_IMPORTAR_EJECUCION'!$F$9:$F$1208,MATCH($AU603,'2_IMPORTAR_EJECUCION'!$J$9:$J$1208,0)),0))</f>
        <v/>
      </c>
      <c r="AM603" s="32">
        <f>IF($A603="","",MAX(0,IFERROR(INDEX('2_IMPORTAR_EJECUCION'!$H$9:$H$1208,MATCH($AU603,'2_IMPORTAR_EJECUCION'!$J$9:$J$1208,0)),0)-$AL603))</f>
        <v/>
      </c>
      <c r="AN603" s="32">
        <f>IF($A603="","",$AL603+$AM603)</f>
        <v/>
      </c>
      <c r="AO603" s="24">
        <f>IF($A603="","",IF(OR((IFERROR(INDEX('CAT_ACTIVIDADES'!$D$4:$D$26,MATCH($H603,'CAT_ACTIVIDADES'!$A$4:$A$26,0)),""))=0,(IFERROR(INDEX('CAT_ACTIVIDADES'!$D$4:$D$26,MATCH($H603,'CAT_ACTIVIDADES'!$A$4:$A$26,0)),""))=""),"SIN CLASIFICAR",IFERROR(INDEX('CAT_ACTIVIDADES'!$D$4:$D$26,MATCH($H603,'CAT_ACTIVIDADES'!$A$4:$A$26,0)),"")))</f>
        <v/>
      </c>
      <c r="AP603" s="4" t="n"/>
      <c r="AQ603" s="4" t="n"/>
      <c r="AR603" s="4" t="n"/>
      <c r="AS603" s="24">
        <f>IF($AR603="","",HYPERLINK(p_ruta_base_checklists&amp;$AR603,"abrir"))</f>
        <v/>
      </c>
      <c r="AT603" s="4" t="n"/>
      <c r="AU603" s="24">
        <f>IF($A603="","",$A603&amp;IF($B603="","0010",$B603))</f>
        <v/>
      </c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41" t="n"/>
      <c r="K604" s="5" t="n"/>
      <c r="L604" s="18" t="n"/>
      <c r="M604" s="24">
        <f>IF($A604="","",IFERROR(INDEX('AJUSTES'!$B$4:$B$303,MATCH($AU604,'AJUSTES'!$A$4:$A$303,0)),IF($K604="","",$K604)))</f>
        <v/>
      </c>
      <c r="N604" s="24">
        <f>IF($A604="","",IFERROR(INDEX('CAT_ESTADOS_ERP'!$B$4:$B$22,MATCH(IFERROR(INDEX('2_IMPORTAR_EJECUCION'!$C$9:$C$1208,MATCH($AU604,'2_IMPORTAR_EJECUCION'!$J$9:$J$1208,0)),""),'CAT_ESTADOS_ERP'!$A$4:$A$22,0)),"Pendiente"))</f>
        <v/>
      </c>
      <c r="O604" s="24">
        <f>IF($J604="","",YEAR($J604+4-WEEKDAY($J604,2))&amp;"-S"&amp;TEXT(_xlfn.ISOWEEKNUM($J604),"00"))</f>
        <v/>
      </c>
      <c r="P604" s="24">
        <f>IF($J604="","",YEAR($J604))</f>
        <v/>
      </c>
      <c r="Q604" s="24">
        <f>IF($J604="","",MONTH($J604))</f>
        <v/>
      </c>
      <c r="R604" s="24">
        <f>IF($J604="","",$P604&amp;"-"&amp;TEXT($Q604,"00"))</f>
        <v/>
      </c>
      <c r="S604" s="24">
        <f>IF($J604="","",INDEX(lista_dias,WEEKDAY($J604,2)))</f>
        <v/>
      </c>
      <c r="T604" s="24">
        <f>IF($J604="","",IFERROR(INDEX('CALENDARIO'!$C$15:$C$214,MATCH(TEXT($J604,"yyyy-mm-dd")&amp;"|"&amp;$Y604&amp;"|"&amp;$Z604,'CALENDARIO'!$G$15:$G$214,0)),IFERROR(INDEX('CALENDARIO'!$C$15:$C$214,MATCH(TEXT($J604,"yyyy-mm-dd")&amp;"|"&amp;$Y604&amp;"|",'CALENDARIO'!$G$15:$G$214,0)),IFERROR(INDEX('CALENDARIO'!$C$15:$C$214,MATCH(TEXT($J604,"yyyy-mm-dd")&amp;"||",'CALENDARIO'!$G$15:$G$214,0)),INDEX(patronHabil,WEEKDAY($J604,2))))))</f>
        <v/>
      </c>
      <c r="U604" s="24">
        <f>IF($I604="","",IFERROR(INDEX('CAT_TIPOS_OT'!$C$4:$C$23,MATCH($I604,'CAT_TIPOS_OT'!$A$4:$A$23,0)),"sin_clasificar"))</f>
        <v/>
      </c>
      <c r="V604" s="24">
        <f>IF($I604="","",IF(IFERROR(INDEX('CAT_TIPOS_OT'!$D$4:$D$23,MATCH($I604,'CAT_TIPOS_OT'!$A$4:$A$23,0)),"SIN CLASIFICAR")="","SIN CLASIFICAR",IFERROR(INDEX('CAT_TIPOS_OT'!$D$4:$D$23,MATCH($I604,'CAT_TIPOS_OT'!$A$4:$A$23,0)),"SIN CLASIFICAR")))</f>
        <v/>
      </c>
      <c r="W604" s="24">
        <f>IF($H604="","",IF(IFERROR(INDEX('CAT_ACTIVIDADES'!$F$4:$F$26,MATCH($H604,'CAT_ACTIVIDADES'!$A$4:$A$26,0)),"")=0,"",IFERROR(INDEX('CAT_ACTIVIDADES'!$F$4:$F$26,MATCH($H604,'CAT_ACTIVIDADES'!$A$4:$A$26,0)),"")))</f>
        <v/>
      </c>
      <c r="X604" s="24">
        <f>IF($F604="","",IFERROR(INDEX('CAT_CENTROS_COSTO'!$F$4:$F$28,MATCH($F604,'CAT_CENTROS_COSTO'!$A$4:$A$28,0)),"(sin catálogo)"))</f>
        <v/>
      </c>
      <c r="Y604" s="24">
        <f>IF($F604="","",IFERROR(INDEX('CAT_CENTROS_COSTO'!$D$4:$D$28,MATCH($F604,'CAT_CENTROS_COSTO'!$A$4:$A$28,0)),"(sin catálogo)"))</f>
        <v/>
      </c>
      <c r="Z604" s="24">
        <f>IF($F604="","",IF((IFERROR(INDEX('CAT_CENTROS_COSTO'!$E$4:$E$28,MATCH($F604,'CAT_CENTROS_COSTO'!$A$4:$A$28,0)),""))&lt;&gt;"",IFERROR(INDEX('CAT_CENTROS_COSTO'!$E$4:$E$28,MATCH($F604,'CAT_CENTROS_COSTO'!$A$4:$A$28,0)),""),$Y604))</f>
        <v/>
      </c>
      <c r="AA604" s="24">
        <f>IF($F604="","",IFERROR(INDEX('CAT_CENTROS_COSTO'!$G$4:$G$28,MATCH($F604,'CAT_CENTROS_COSTO'!$A$4:$A$28,0)),"(sin catálogo)"))</f>
        <v/>
      </c>
      <c r="AB604" s="24">
        <f>IF($G604="","",IFERROR(INDEX('CAT_PUESTOS'!$B$4:$B$23,MATCH($G604,'CAT_PUESTOS'!$A$4:$A$23,0)),"(sin catálogo)"))</f>
        <v/>
      </c>
      <c r="AC604" s="24">
        <f>IF($H604="","",IFERROR(INDEX('CAT_ACTIVIDADES'!$B$4:$B$26,MATCH($H604,'CAT_ACTIVIDADES'!$A$4:$A$26,0)),"(sin catálogo)"))</f>
        <v/>
      </c>
      <c r="AD604" s="26">
        <f>IF($J604="","",TODAY()-$J604)</f>
        <v/>
      </c>
      <c r="AE604" s="26">
        <f>IF($J604="","",IF($J604&lt;=TODAY(),COUNTIFS(cal_fechas,"&gt;="&amp;$J604,cal_fechas,"&lt;"&amp;TODAY(),cal_habil,"sí"),-COUNTIFS(cal_fechas,"&gt;="&amp;TODAY(),cal_fechas,"&lt;"&amp;$J604,cal_habil,"sí")))</f>
        <v/>
      </c>
      <c r="AF604" s="24">
        <f>IF($AE604="","",IF($AE604&lt;0,"FUTURO",IF($AE604&gt;p_dias_backlog_max,"BACKLOG","MES CORRIENTE")))</f>
        <v/>
      </c>
      <c r="AG604" s="24">
        <f>IF($AE604="",FALSE,AND($AE604&gt;p_dias_backlog_min,$AE604&lt;=p_dias_backlog_max))</f>
        <v/>
      </c>
      <c r="AH604" s="4" t="n"/>
      <c r="AI604" s="24">
        <f>IF($AH604="","",IF((IFERROR(INDEX('ASIGNACIONES'!$J$4:$J$451,MATCH($O604&amp;"|"&amp;$S604&amp;"|"&amp;$AH604,'ASIGNACIONES'!$N$4:$N$451,0)),""))=0,"",IFERROR(INDEX('ASIGNACIONES'!$J$4:$J$451,MATCH($O604&amp;"|"&amp;$S604&amp;"|"&amp;$AH604,'ASIGNACIONES'!$N$4:$N$451,0)),"")))</f>
        <v/>
      </c>
      <c r="AJ604" s="42">
        <f>IF($AH604="","",SUMIFS('ORDENES'!$M$4:$M$1203,'ORDENES'!$AH$4:$AH$1203,$AH604,'ORDENES'!$O$4:$O$1203,$O604,'ORDENES'!$S$4:$S$1203,$S604))</f>
        <v/>
      </c>
      <c r="AK604" s="42">
        <f>IF($AJ604="","",p_factor_productividad*IFERROR(INDEX('ASIGNACIONES'!$M$4:$M$451,MATCH($O604&amp;"|"&amp;$S604&amp;"|"&amp;$AH604,'ASIGNACIONES'!$N$4:$N$451,0)),0)-$AJ604)</f>
        <v/>
      </c>
      <c r="AL604" s="32">
        <f>IF($A604="","",IFERROR(INDEX('2_IMPORTAR_EJECUCION'!$F$9:$F$1208,MATCH($AU604,'2_IMPORTAR_EJECUCION'!$J$9:$J$1208,0)),0))</f>
        <v/>
      </c>
      <c r="AM604" s="32">
        <f>IF($A604="","",MAX(0,IFERROR(INDEX('2_IMPORTAR_EJECUCION'!$H$9:$H$1208,MATCH($AU604,'2_IMPORTAR_EJECUCION'!$J$9:$J$1208,0)),0)-$AL604))</f>
        <v/>
      </c>
      <c r="AN604" s="32">
        <f>IF($A604="","",$AL604+$AM604)</f>
        <v/>
      </c>
      <c r="AO604" s="24">
        <f>IF($A604="","",IF(OR((IFERROR(INDEX('CAT_ACTIVIDADES'!$D$4:$D$26,MATCH($H604,'CAT_ACTIVIDADES'!$A$4:$A$26,0)),""))=0,(IFERROR(INDEX('CAT_ACTIVIDADES'!$D$4:$D$26,MATCH($H604,'CAT_ACTIVIDADES'!$A$4:$A$26,0)),""))=""),"SIN CLASIFICAR",IFERROR(INDEX('CAT_ACTIVIDADES'!$D$4:$D$26,MATCH($H604,'CAT_ACTIVIDADES'!$A$4:$A$26,0)),"")))</f>
        <v/>
      </c>
      <c r="AP604" s="4" t="n"/>
      <c r="AQ604" s="4" t="n"/>
      <c r="AR604" s="4" t="n"/>
      <c r="AS604" s="24">
        <f>IF($AR604="","",HYPERLINK(p_ruta_base_checklists&amp;$AR604,"abrir"))</f>
        <v/>
      </c>
      <c r="AT604" s="4" t="n"/>
      <c r="AU604" s="24">
        <f>IF($A604="","",$A604&amp;IF($B604="","0010",$B604))</f>
        <v/>
      </c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41" t="n"/>
      <c r="K605" s="5" t="n"/>
      <c r="L605" s="18" t="n"/>
      <c r="M605" s="24">
        <f>IF($A605="","",IFERROR(INDEX('AJUSTES'!$B$4:$B$303,MATCH($AU605,'AJUSTES'!$A$4:$A$303,0)),IF($K605="","",$K605)))</f>
        <v/>
      </c>
      <c r="N605" s="24">
        <f>IF($A605="","",IFERROR(INDEX('CAT_ESTADOS_ERP'!$B$4:$B$22,MATCH(IFERROR(INDEX('2_IMPORTAR_EJECUCION'!$C$9:$C$1208,MATCH($AU605,'2_IMPORTAR_EJECUCION'!$J$9:$J$1208,0)),""),'CAT_ESTADOS_ERP'!$A$4:$A$22,0)),"Pendiente"))</f>
        <v/>
      </c>
      <c r="O605" s="24">
        <f>IF($J605="","",YEAR($J605+4-WEEKDAY($J605,2))&amp;"-S"&amp;TEXT(_xlfn.ISOWEEKNUM($J605),"00"))</f>
        <v/>
      </c>
      <c r="P605" s="24">
        <f>IF($J605="","",YEAR($J605))</f>
        <v/>
      </c>
      <c r="Q605" s="24">
        <f>IF($J605="","",MONTH($J605))</f>
        <v/>
      </c>
      <c r="R605" s="24">
        <f>IF($J605="","",$P605&amp;"-"&amp;TEXT($Q605,"00"))</f>
        <v/>
      </c>
      <c r="S605" s="24">
        <f>IF($J605="","",INDEX(lista_dias,WEEKDAY($J605,2)))</f>
        <v/>
      </c>
      <c r="T605" s="24">
        <f>IF($J605="","",IFERROR(INDEX('CALENDARIO'!$C$15:$C$214,MATCH(TEXT($J605,"yyyy-mm-dd")&amp;"|"&amp;$Y605&amp;"|"&amp;$Z605,'CALENDARIO'!$G$15:$G$214,0)),IFERROR(INDEX('CALENDARIO'!$C$15:$C$214,MATCH(TEXT($J605,"yyyy-mm-dd")&amp;"|"&amp;$Y605&amp;"|",'CALENDARIO'!$G$15:$G$214,0)),IFERROR(INDEX('CALENDARIO'!$C$15:$C$214,MATCH(TEXT($J605,"yyyy-mm-dd")&amp;"||",'CALENDARIO'!$G$15:$G$214,0)),INDEX(patronHabil,WEEKDAY($J605,2))))))</f>
        <v/>
      </c>
      <c r="U605" s="24">
        <f>IF($I605="","",IFERROR(INDEX('CAT_TIPOS_OT'!$C$4:$C$23,MATCH($I605,'CAT_TIPOS_OT'!$A$4:$A$23,0)),"sin_clasificar"))</f>
        <v/>
      </c>
      <c r="V605" s="24">
        <f>IF($I605="","",IF(IFERROR(INDEX('CAT_TIPOS_OT'!$D$4:$D$23,MATCH($I605,'CAT_TIPOS_OT'!$A$4:$A$23,0)),"SIN CLASIFICAR")="","SIN CLASIFICAR",IFERROR(INDEX('CAT_TIPOS_OT'!$D$4:$D$23,MATCH($I605,'CAT_TIPOS_OT'!$A$4:$A$23,0)),"SIN CLASIFICAR")))</f>
        <v/>
      </c>
      <c r="W605" s="24">
        <f>IF($H605="","",IF(IFERROR(INDEX('CAT_ACTIVIDADES'!$F$4:$F$26,MATCH($H605,'CAT_ACTIVIDADES'!$A$4:$A$26,0)),"")=0,"",IFERROR(INDEX('CAT_ACTIVIDADES'!$F$4:$F$26,MATCH($H605,'CAT_ACTIVIDADES'!$A$4:$A$26,0)),"")))</f>
        <v/>
      </c>
      <c r="X605" s="24">
        <f>IF($F605="","",IFERROR(INDEX('CAT_CENTROS_COSTO'!$F$4:$F$28,MATCH($F605,'CAT_CENTROS_COSTO'!$A$4:$A$28,0)),"(sin catálogo)"))</f>
        <v/>
      </c>
      <c r="Y605" s="24">
        <f>IF($F605="","",IFERROR(INDEX('CAT_CENTROS_COSTO'!$D$4:$D$28,MATCH($F605,'CAT_CENTROS_COSTO'!$A$4:$A$28,0)),"(sin catálogo)"))</f>
        <v/>
      </c>
      <c r="Z605" s="24">
        <f>IF($F605="","",IF((IFERROR(INDEX('CAT_CENTROS_COSTO'!$E$4:$E$28,MATCH($F605,'CAT_CENTROS_COSTO'!$A$4:$A$28,0)),""))&lt;&gt;"",IFERROR(INDEX('CAT_CENTROS_COSTO'!$E$4:$E$28,MATCH($F605,'CAT_CENTROS_COSTO'!$A$4:$A$28,0)),""),$Y605))</f>
        <v/>
      </c>
      <c r="AA605" s="24">
        <f>IF($F605="","",IFERROR(INDEX('CAT_CENTROS_COSTO'!$G$4:$G$28,MATCH($F605,'CAT_CENTROS_COSTO'!$A$4:$A$28,0)),"(sin catálogo)"))</f>
        <v/>
      </c>
      <c r="AB605" s="24">
        <f>IF($G605="","",IFERROR(INDEX('CAT_PUESTOS'!$B$4:$B$23,MATCH($G605,'CAT_PUESTOS'!$A$4:$A$23,0)),"(sin catálogo)"))</f>
        <v/>
      </c>
      <c r="AC605" s="24">
        <f>IF($H605="","",IFERROR(INDEX('CAT_ACTIVIDADES'!$B$4:$B$26,MATCH($H605,'CAT_ACTIVIDADES'!$A$4:$A$26,0)),"(sin catálogo)"))</f>
        <v/>
      </c>
      <c r="AD605" s="26">
        <f>IF($J605="","",TODAY()-$J605)</f>
        <v/>
      </c>
      <c r="AE605" s="26">
        <f>IF($J605="","",IF($J605&lt;=TODAY(),COUNTIFS(cal_fechas,"&gt;="&amp;$J605,cal_fechas,"&lt;"&amp;TODAY(),cal_habil,"sí"),-COUNTIFS(cal_fechas,"&gt;="&amp;TODAY(),cal_fechas,"&lt;"&amp;$J605,cal_habil,"sí")))</f>
        <v/>
      </c>
      <c r="AF605" s="24">
        <f>IF($AE605="","",IF($AE605&lt;0,"FUTURO",IF($AE605&gt;p_dias_backlog_max,"BACKLOG","MES CORRIENTE")))</f>
        <v/>
      </c>
      <c r="AG605" s="24">
        <f>IF($AE605="",FALSE,AND($AE605&gt;p_dias_backlog_min,$AE605&lt;=p_dias_backlog_max))</f>
        <v/>
      </c>
      <c r="AH605" s="4" t="n"/>
      <c r="AI605" s="24">
        <f>IF($AH605="","",IF((IFERROR(INDEX('ASIGNACIONES'!$J$4:$J$451,MATCH($O605&amp;"|"&amp;$S605&amp;"|"&amp;$AH605,'ASIGNACIONES'!$N$4:$N$451,0)),""))=0,"",IFERROR(INDEX('ASIGNACIONES'!$J$4:$J$451,MATCH($O605&amp;"|"&amp;$S605&amp;"|"&amp;$AH605,'ASIGNACIONES'!$N$4:$N$451,0)),"")))</f>
        <v/>
      </c>
      <c r="AJ605" s="42">
        <f>IF($AH605="","",SUMIFS('ORDENES'!$M$4:$M$1203,'ORDENES'!$AH$4:$AH$1203,$AH605,'ORDENES'!$O$4:$O$1203,$O605,'ORDENES'!$S$4:$S$1203,$S605))</f>
        <v/>
      </c>
      <c r="AK605" s="42">
        <f>IF($AJ605="","",p_factor_productividad*IFERROR(INDEX('ASIGNACIONES'!$M$4:$M$451,MATCH($O605&amp;"|"&amp;$S605&amp;"|"&amp;$AH605,'ASIGNACIONES'!$N$4:$N$451,0)),0)-$AJ605)</f>
        <v/>
      </c>
      <c r="AL605" s="32">
        <f>IF($A605="","",IFERROR(INDEX('2_IMPORTAR_EJECUCION'!$F$9:$F$1208,MATCH($AU605,'2_IMPORTAR_EJECUCION'!$J$9:$J$1208,0)),0))</f>
        <v/>
      </c>
      <c r="AM605" s="32">
        <f>IF($A605="","",MAX(0,IFERROR(INDEX('2_IMPORTAR_EJECUCION'!$H$9:$H$1208,MATCH($AU605,'2_IMPORTAR_EJECUCION'!$J$9:$J$1208,0)),0)-$AL605))</f>
        <v/>
      </c>
      <c r="AN605" s="32">
        <f>IF($A605="","",$AL605+$AM605)</f>
        <v/>
      </c>
      <c r="AO605" s="24">
        <f>IF($A605="","",IF(OR((IFERROR(INDEX('CAT_ACTIVIDADES'!$D$4:$D$26,MATCH($H605,'CAT_ACTIVIDADES'!$A$4:$A$26,0)),""))=0,(IFERROR(INDEX('CAT_ACTIVIDADES'!$D$4:$D$26,MATCH($H605,'CAT_ACTIVIDADES'!$A$4:$A$26,0)),""))=""),"SIN CLASIFICAR",IFERROR(INDEX('CAT_ACTIVIDADES'!$D$4:$D$26,MATCH($H605,'CAT_ACTIVIDADES'!$A$4:$A$26,0)),"")))</f>
        <v/>
      </c>
      <c r="AP605" s="4" t="n"/>
      <c r="AQ605" s="4" t="n"/>
      <c r="AR605" s="4" t="n"/>
      <c r="AS605" s="24">
        <f>IF($AR605="","",HYPERLINK(p_ruta_base_checklists&amp;$AR605,"abrir"))</f>
        <v/>
      </c>
      <c r="AT605" s="4" t="n"/>
      <c r="AU605" s="24">
        <f>IF($A605="","",$A605&amp;IF($B605="","0010",$B605))</f>
        <v/>
      </c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41" t="n"/>
      <c r="K606" s="5" t="n"/>
      <c r="L606" s="18" t="n"/>
      <c r="M606" s="24">
        <f>IF($A606="","",IFERROR(INDEX('AJUSTES'!$B$4:$B$303,MATCH($AU606,'AJUSTES'!$A$4:$A$303,0)),IF($K606="","",$K606)))</f>
        <v/>
      </c>
      <c r="N606" s="24">
        <f>IF($A606="","",IFERROR(INDEX('CAT_ESTADOS_ERP'!$B$4:$B$22,MATCH(IFERROR(INDEX('2_IMPORTAR_EJECUCION'!$C$9:$C$1208,MATCH($AU606,'2_IMPORTAR_EJECUCION'!$J$9:$J$1208,0)),""),'CAT_ESTADOS_ERP'!$A$4:$A$22,0)),"Pendiente"))</f>
        <v/>
      </c>
      <c r="O606" s="24">
        <f>IF($J606="","",YEAR($J606+4-WEEKDAY($J606,2))&amp;"-S"&amp;TEXT(_xlfn.ISOWEEKNUM($J606),"00"))</f>
        <v/>
      </c>
      <c r="P606" s="24">
        <f>IF($J606="","",YEAR($J606))</f>
        <v/>
      </c>
      <c r="Q606" s="24">
        <f>IF($J606="","",MONTH($J606))</f>
        <v/>
      </c>
      <c r="R606" s="24">
        <f>IF($J606="","",$P606&amp;"-"&amp;TEXT($Q606,"00"))</f>
        <v/>
      </c>
      <c r="S606" s="24">
        <f>IF($J606="","",INDEX(lista_dias,WEEKDAY($J606,2)))</f>
        <v/>
      </c>
      <c r="T606" s="24">
        <f>IF($J606="","",IFERROR(INDEX('CALENDARIO'!$C$15:$C$214,MATCH(TEXT($J606,"yyyy-mm-dd")&amp;"|"&amp;$Y606&amp;"|"&amp;$Z606,'CALENDARIO'!$G$15:$G$214,0)),IFERROR(INDEX('CALENDARIO'!$C$15:$C$214,MATCH(TEXT($J606,"yyyy-mm-dd")&amp;"|"&amp;$Y606&amp;"|",'CALENDARIO'!$G$15:$G$214,0)),IFERROR(INDEX('CALENDARIO'!$C$15:$C$214,MATCH(TEXT($J606,"yyyy-mm-dd")&amp;"||",'CALENDARIO'!$G$15:$G$214,0)),INDEX(patronHabil,WEEKDAY($J606,2))))))</f>
        <v/>
      </c>
      <c r="U606" s="24">
        <f>IF($I606="","",IFERROR(INDEX('CAT_TIPOS_OT'!$C$4:$C$23,MATCH($I606,'CAT_TIPOS_OT'!$A$4:$A$23,0)),"sin_clasificar"))</f>
        <v/>
      </c>
      <c r="V606" s="24">
        <f>IF($I606="","",IF(IFERROR(INDEX('CAT_TIPOS_OT'!$D$4:$D$23,MATCH($I606,'CAT_TIPOS_OT'!$A$4:$A$23,0)),"SIN CLASIFICAR")="","SIN CLASIFICAR",IFERROR(INDEX('CAT_TIPOS_OT'!$D$4:$D$23,MATCH($I606,'CAT_TIPOS_OT'!$A$4:$A$23,0)),"SIN CLASIFICAR")))</f>
        <v/>
      </c>
      <c r="W606" s="24">
        <f>IF($H606="","",IF(IFERROR(INDEX('CAT_ACTIVIDADES'!$F$4:$F$26,MATCH($H606,'CAT_ACTIVIDADES'!$A$4:$A$26,0)),"")=0,"",IFERROR(INDEX('CAT_ACTIVIDADES'!$F$4:$F$26,MATCH($H606,'CAT_ACTIVIDADES'!$A$4:$A$26,0)),"")))</f>
        <v/>
      </c>
      <c r="X606" s="24">
        <f>IF($F606="","",IFERROR(INDEX('CAT_CENTROS_COSTO'!$F$4:$F$28,MATCH($F606,'CAT_CENTROS_COSTO'!$A$4:$A$28,0)),"(sin catálogo)"))</f>
        <v/>
      </c>
      <c r="Y606" s="24">
        <f>IF($F606="","",IFERROR(INDEX('CAT_CENTROS_COSTO'!$D$4:$D$28,MATCH($F606,'CAT_CENTROS_COSTO'!$A$4:$A$28,0)),"(sin catálogo)"))</f>
        <v/>
      </c>
      <c r="Z606" s="24">
        <f>IF($F606="","",IF((IFERROR(INDEX('CAT_CENTROS_COSTO'!$E$4:$E$28,MATCH($F606,'CAT_CENTROS_COSTO'!$A$4:$A$28,0)),""))&lt;&gt;"",IFERROR(INDEX('CAT_CENTROS_COSTO'!$E$4:$E$28,MATCH($F606,'CAT_CENTROS_COSTO'!$A$4:$A$28,0)),""),$Y606))</f>
        <v/>
      </c>
      <c r="AA606" s="24">
        <f>IF($F606="","",IFERROR(INDEX('CAT_CENTROS_COSTO'!$G$4:$G$28,MATCH($F606,'CAT_CENTROS_COSTO'!$A$4:$A$28,0)),"(sin catálogo)"))</f>
        <v/>
      </c>
      <c r="AB606" s="24">
        <f>IF($G606="","",IFERROR(INDEX('CAT_PUESTOS'!$B$4:$B$23,MATCH($G606,'CAT_PUESTOS'!$A$4:$A$23,0)),"(sin catálogo)"))</f>
        <v/>
      </c>
      <c r="AC606" s="24">
        <f>IF($H606="","",IFERROR(INDEX('CAT_ACTIVIDADES'!$B$4:$B$26,MATCH($H606,'CAT_ACTIVIDADES'!$A$4:$A$26,0)),"(sin catálogo)"))</f>
        <v/>
      </c>
      <c r="AD606" s="26">
        <f>IF($J606="","",TODAY()-$J606)</f>
        <v/>
      </c>
      <c r="AE606" s="26">
        <f>IF($J606="","",IF($J606&lt;=TODAY(),COUNTIFS(cal_fechas,"&gt;="&amp;$J606,cal_fechas,"&lt;"&amp;TODAY(),cal_habil,"sí"),-COUNTIFS(cal_fechas,"&gt;="&amp;TODAY(),cal_fechas,"&lt;"&amp;$J606,cal_habil,"sí")))</f>
        <v/>
      </c>
      <c r="AF606" s="24">
        <f>IF($AE606="","",IF($AE606&lt;0,"FUTURO",IF($AE606&gt;p_dias_backlog_max,"BACKLOG","MES CORRIENTE")))</f>
        <v/>
      </c>
      <c r="AG606" s="24">
        <f>IF($AE606="",FALSE,AND($AE606&gt;p_dias_backlog_min,$AE606&lt;=p_dias_backlog_max))</f>
        <v/>
      </c>
      <c r="AH606" s="4" t="n"/>
      <c r="AI606" s="24">
        <f>IF($AH606="","",IF((IFERROR(INDEX('ASIGNACIONES'!$J$4:$J$451,MATCH($O606&amp;"|"&amp;$S606&amp;"|"&amp;$AH606,'ASIGNACIONES'!$N$4:$N$451,0)),""))=0,"",IFERROR(INDEX('ASIGNACIONES'!$J$4:$J$451,MATCH($O606&amp;"|"&amp;$S606&amp;"|"&amp;$AH606,'ASIGNACIONES'!$N$4:$N$451,0)),"")))</f>
        <v/>
      </c>
      <c r="AJ606" s="42">
        <f>IF($AH606="","",SUMIFS('ORDENES'!$M$4:$M$1203,'ORDENES'!$AH$4:$AH$1203,$AH606,'ORDENES'!$O$4:$O$1203,$O606,'ORDENES'!$S$4:$S$1203,$S606))</f>
        <v/>
      </c>
      <c r="AK606" s="42">
        <f>IF($AJ606="","",p_factor_productividad*IFERROR(INDEX('ASIGNACIONES'!$M$4:$M$451,MATCH($O606&amp;"|"&amp;$S606&amp;"|"&amp;$AH606,'ASIGNACIONES'!$N$4:$N$451,0)),0)-$AJ606)</f>
        <v/>
      </c>
      <c r="AL606" s="32">
        <f>IF($A606="","",IFERROR(INDEX('2_IMPORTAR_EJECUCION'!$F$9:$F$1208,MATCH($AU606,'2_IMPORTAR_EJECUCION'!$J$9:$J$1208,0)),0))</f>
        <v/>
      </c>
      <c r="AM606" s="32">
        <f>IF($A606="","",MAX(0,IFERROR(INDEX('2_IMPORTAR_EJECUCION'!$H$9:$H$1208,MATCH($AU606,'2_IMPORTAR_EJECUCION'!$J$9:$J$1208,0)),0)-$AL606))</f>
        <v/>
      </c>
      <c r="AN606" s="32">
        <f>IF($A606="","",$AL606+$AM606)</f>
        <v/>
      </c>
      <c r="AO606" s="24">
        <f>IF($A606="","",IF(OR((IFERROR(INDEX('CAT_ACTIVIDADES'!$D$4:$D$26,MATCH($H606,'CAT_ACTIVIDADES'!$A$4:$A$26,0)),""))=0,(IFERROR(INDEX('CAT_ACTIVIDADES'!$D$4:$D$26,MATCH($H606,'CAT_ACTIVIDADES'!$A$4:$A$26,0)),""))=""),"SIN CLASIFICAR",IFERROR(INDEX('CAT_ACTIVIDADES'!$D$4:$D$26,MATCH($H606,'CAT_ACTIVIDADES'!$A$4:$A$26,0)),"")))</f>
        <v/>
      </c>
      <c r="AP606" s="4" t="n"/>
      <c r="AQ606" s="4" t="n"/>
      <c r="AR606" s="4" t="n"/>
      <c r="AS606" s="24">
        <f>IF($AR606="","",HYPERLINK(p_ruta_base_checklists&amp;$AR606,"abrir"))</f>
        <v/>
      </c>
      <c r="AT606" s="4" t="n"/>
      <c r="AU606" s="24">
        <f>IF($A606="","",$A606&amp;IF($B606="","0010",$B606))</f>
        <v/>
      </c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41" t="n"/>
      <c r="K607" s="5" t="n"/>
      <c r="L607" s="18" t="n"/>
      <c r="M607" s="24">
        <f>IF($A607="","",IFERROR(INDEX('AJUSTES'!$B$4:$B$303,MATCH($AU607,'AJUSTES'!$A$4:$A$303,0)),IF($K607="","",$K607)))</f>
        <v/>
      </c>
      <c r="N607" s="24">
        <f>IF($A607="","",IFERROR(INDEX('CAT_ESTADOS_ERP'!$B$4:$B$22,MATCH(IFERROR(INDEX('2_IMPORTAR_EJECUCION'!$C$9:$C$1208,MATCH($AU607,'2_IMPORTAR_EJECUCION'!$J$9:$J$1208,0)),""),'CAT_ESTADOS_ERP'!$A$4:$A$22,0)),"Pendiente"))</f>
        <v/>
      </c>
      <c r="O607" s="24">
        <f>IF($J607="","",YEAR($J607+4-WEEKDAY($J607,2))&amp;"-S"&amp;TEXT(_xlfn.ISOWEEKNUM($J607),"00"))</f>
        <v/>
      </c>
      <c r="P607" s="24">
        <f>IF($J607="","",YEAR($J607))</f>
        <v/>
      </c>
      <c r="Q607" s="24">
        <f>IF($J607="","",MONTH($J607))</f>
        <v/>
      </c>
      <c r="R607" s="24">
        <f>IF($J607="","",$P607&amp;"-"&amp;TEXT($Q607,"00"))</f>
        <v/>
      </c>
      <c r="S607" s="24">
        <f>IF($J607="","",INDEX(lista_dias,WEEKDAY($J607,2)))</f>
        <v/>
      </c>
      <c r="T607" s="24">
        <f>IF($J607="","",IFERROR(INDEX('CALENDARIO'!$C$15:$C$214,MATCH(TEXT($J607,"yyyy-mm-dd")&amp;"|"&amp;$Y607&amp;"|"&amp;$Z607,'CALENDARIO'!$G$15:$G$214,0)),IFERROR(INDEX('CALENDARIO'!$C$15:$C$214,MATCH(TEXT($J607,"yyyy-mm-dd")&amp;"|"&amp;$Y607&amp;"|",'CALENDARIO'!$G$15:$G$214,0)),IFERROR(INDEX('CALENDARIO'!$C$15:$C$214,MATCH(TEXT($J607,"yyyy-mm-dd")&amp;"||",'CALENDARIO'!$G$15:$G$214,0)),INDEX(patronHabil,WEEKDAY($J607,2))))))</f>
        <v/>
      </c>
      <c r="U607" s="24">
        <f>IF($I607="","",IFERROR(INDEX('CAT_TIPOS_OT'!$C$4:$C$23,MATCH($I607,'CAT_TIPOS_OT'!$A$4:$A$23,0)),"sin_clasificar"))</f>
        <v/>
      </c>
      <c r="V607" s="24">
        <f>IF($I607="","",IF(IFERROR(INDEX('CAT_TIPOS_OT'!$D$4:$D$23,MATCH($I607,'CAT_TIPOS_OT'!$A$4:$A$23,0)),"SIN CLASIFICAR")="","SIN CLASIFICAR",IFERROR(INDEX('CAT_TIPOS_OT'!$D$4:$D$23,MATCH($I607,'CAT_TIPOS_OT'!$A$4:$A$23,0)),"SIN CLASIFICAR")))</f>
        <v/>
      </c>
      <c r="W607" s="24">
        <f>IF($H607="","",IF(IFERROR(INDEX('CAT_ACTIVIDADES'!$F$4:$F$26,MATCH($H607,'CAT_ACTIVIDADES'!$A$4:$A$26,0)),"")=0,"",IFERROR(INDEX('CAT_ACTIVIDADES'!$F$4:$F$26,MATCH($H607,'CAT_ACTIVIDADES'!$A$4:$A$26,0)),"")))</f>
        <v/>
      </c>
      <c r="X607" s="24">
        <f>IF($F607="","",IFERROR(INDEX('CAT_CENTROS_COSTO'!$F$4:$F$28,MATCH($F607,'CAT_CENTROS_COSTO'!$A$4:$A$28,0)),"(sin catálogo)"))</f>
        <v/>
      </c>
      <c r="Y607" s="24">
        <f>IF($F607="","",IFERROR(INDEX('CAT_CENTROS_COSTO'!$D$4:$D$28,MATCH($F607,'CAT_CENTROS_COSTO'!$A$4:$A$28,0)),"(sin catálogo)"))</f>
        <v/>
      </c>
      <c r="Z607" s="24">
        <f>IF($F607="","",IF((IFERROR(INDEX('CAT_CENTROS_COSTO'!$E$4:$E$28,MATCH($F607,'CAT_CENTROS_COSTO'!$A$4:$A$28,0)),""))&lt;&gt;"",IFERROR(INDEX('CAT_CENTROS_COSTO'!$E$4:$E$28,MATCH($F607,'CAT_CENTROS_COSTO'!$A$4:$A$28,0)),""),$Y607))</f>
        <v/>
      </c>
      <c r="AA607" s="24">
        <f>IF($F607="","",IFERROR(INDEX('CAT_CENTROS_COSTO'!$G$4:$G$28,MATCH($F607,'CAT_CENTROS_COSTO'!$A$4:$A$28,0)),"(sin catálogo)"))</f>
        <v/>
      </c>
      <c r="AB607" s="24">
        <f>IF($G607="","",IFERROR(INDEX('CAT_PUESTOS'!$B$4:$B$23,MATCH($G607,'CAT_PUESTOS'!$A$4:$A$23,0)),"(sin catálogo)"))</f>
        <v/>
      </c>
      <c r="AC607" s="24">
        <f>IF($H607="","",IFERROR(INDEX('CAT_ACTIVIDADES'!$B$4:$B$26,MATCH($H607,'CAT_ACTIVIDADES'!$A$4:$A$26,0)),"(sin catálogo)"))</f>
        <v/>
      </c>
      <c r="AD607" s="26">
        <f>IF($J607="","",TODAY()-$J607)</f>
        <v/>
      </c>
      <c r="AE607" s="26">
        <f>IF($J607="","",IF($J607&lt;=TODAY(),COUNTIFS(cal_fechas,"&gt;="&amp;$J607,cal_fechas,"&lt;"&amp;TODAY(),cal_habil,"sí"),-COUNTIFS(cal_fechas,"&gt;="&amp;TODAY(),cal_fechas,"&lt;"&amp;$J607,cal_habil,"sí")))</f>
        <v/>
      </c>
      <c r="AF607" s="24">
        <f>IF($AE607="","",IF($AE607&lt;0,"FUTURO",IF($AE607&gt;p_dias_backlog_max,"BACKLOG","MES CORRIENTE")))</f>
        <v/>
      </c>
      <c r="AG607" s="24">
        <f>IF($AE607="",FALSE,AND($AE607&gt;p_dias_backlog_min,$AE607&lt;=p_dias_backlog_max))</f>
        <v/>
      </c>
      <c r="AH607" s="4" t="n"/>
      <c r="AI607" s="24">
        <f>IF($AH607="","",IF((IFERROR(INDEX('ASIGNACIONES'!$J$4:$J$451,MATCH($O607&amp;"|"&amp;$S607&amp;"|"&amp;$AH607,'ASIGNACIONES'!$N$4:$N$451,0)),""))=0,"",IFERROR(INDEX('ASIGNACIONES'!$J$4:$J$451,MATCH($O607&amp;"|"&amp;$S607&amp;"|"&amp;$AH607,'ASIGNACIONES'!$N$4:$N$451,0)),"")))</f>
        <v/>
      </c>
      <c r="AJ607" s="42">
        <f>IF($AH607="","",SUMIFS('ORDENES'!$M$4:$M$1203,'ORDENES'!$AH$4:$AH$1203,$AH607,'ORDENES'!$O$4:$O$1203,$O607,'ORDENES'!$S$4:$S$1203,$S607))</f>
        <v/>
      </c>
      <c r="AK607" s="42">
        <f>IF($AJ607="","",p_factor_productividad*IFERROR(INDEX('ASIGNACIONES'!$M$4:$M$451,MATCH($O607&amp;"|"&amp;$S607&amp;"|"&amp;$AH607,'ASIGNACIONES'!$N$4:$N$451,0)),0)-$AJ607)</f>
        <v/>
      </c>
      <c r="AL607" s="32">
        <f>IF($A607="","",IFERROR(INDEX('2_IMPORTAR_EJECUCION'!$F$9:$F$1208,MATCH($AU607,'2_IMPORTAR_EJECUCION'!$J$9:$J$1208,0)),0))</f>
        <v/>
      </c>
      <c r="AM607" s="32">
        <f>IF($A607="","",MAX(0,IFERROR(INDEX('2_IMPORTAR_EJECUCION'!$H$9:$H$1208,MATCH($AU607,'2_IMPORTAR_EJECUCION'!$J$9:$J$1208,0)),0)-$AL607))</f>
        <v/>
      </c>
      <c r="AN607" s="32">
        <f>IF($A607="","",$AL607+$AM607)</f>
        <v/>
      </c>
      <c r="AO607" s="24">
        <f>IF($A607="","",IF(OR((IFERROR(INDEX('CAT_ACTIVIDADES'!$D$4:$D$26,MATCH($H607,'CAT_ACTIVIDADES'!$A$4:$A$26,0)),""))=0,(IFERROR(INDEX('CAT_ACTIVIDADES'!$D$4:$D$26,MATCH($H607,'CAT_ACTIVIDADES'!$A$4:$A$26,0)),""))=""),"SIN CLASIFICAR",IFERROR(INDEX('CAT_ACTIVIDADES'!$D$4:$D$26,MATCH($H607,'CAT_ACTIVIDADES'!$A$4:$A$26,0)),"")))</f>
        <v/>
      </c>
      <c r="AP607" s="4" t="n"/>
      <c r="AQ607" s="4" t="n"/>
      <c r="AR607" s="4" t="n"/>
      <c r="AS607" s="24">
        <f>IF($AR607="","",HYPERLINK(p_ruta_base_checklists&amp;$AR607,"abrir"))</f>
        <v/>
      </c>
      <c r="AT607" s="4" t="n"/>
      <c r="AU607" s="24">
        <f>IF($A607="","",$A607&amp;IF($B607="","0010",$B607))</f>
        <v/>
      </c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41" t="n"/>
      <c r="K608" s="5" t="n"/>
      <c r="L608" s="18" t="n"/>
      <c r="M608" s="24">
        <f>IF($A608="","",IFERROR(INDEX('AJUSTES'!$B$4:$B$303,MATCH($AU608,'AJUSTES'!$A$4:$A$303,0)),IF($K608="","",$K608)))</f>
        <v/>
      </c>
      <c r="N608" s="24">
        <f>IF($A608="","",IFERROR(INDEX('CAT_ESTADOS_ERP'!$B$4:$B$22,MATCH(IFERROR(INDEX('2_IMPORTAR_EJECUCION'!$C$9:$C$1208,MATCH($AU608,'2_IMPORTAR_EJECUCION'!$J$9:$J$1208,0)),""),'CAT_ESTADOS_ERP'!$A$4:$A$22,0)),"Pendiente"))</f>
        <v/>
      </c>
      <c r="O608" s="24">
        <f>IF($J608="","",YEAR($J608+4-WEEKDAY($J608,2))&amp;"-S"&amp;TEXT(_xlfn.ISOWEEKNUM($J608),"00"))</f>
        <v/>
      </c>
      <c r="P608" s="24">
        <f>IF($J608="","",YEAR($J608))</f>
        <v/>
      </c>
      <c r="Q608" s="24">
        <f>IF($J608="","",MONTH($J608))</f>
        <v/>
      </c>
      <c r="R608" s="24">
        <f>IF($J608="","",$P608&amp;"-"&amp;TEXT($Q608,"00"))</f>
        <v/>
      </c>
      <c r="S608" s="24">
        <f>IF($J608="","",INDEX(lista_dias,WEEKDAY($J608,2)))</f>
        <v/>
      </c>
      <c r="T608" s="24">
        <f>IF($J608="","",IFERROR(INDEX('CALENDARIO'!$C$15:$C$214,MATCH(TEXT($J608,"yyyy-mm-dd")&amp;"|"&amp;$Y608&amp;"|"&amp;$Z608,'CALENDARIO'!$G$15:$G$214,0)),IFERROR(INDEX('CALENDARIO'!$C$15:$C$214,MATCH(TEXT($J608,"yyyy-mm-dd")&amp;"|"&amp;$Y608&amp;"|",'CALENDARIO'!$G$15:$G$214,0)),IFERROR(INDEX('CALENDARIO'!$C$15:$C$214,MATCH(TEXT($J608,"yyyy-mm-dd")&amp;"||",'CALENDARIO'!$G$15:$G$214,0)),INDEX(patronHabil,WEEKDAY($J608,2))))))</f>
        <v/>
      </c>
      <c r="U608" s="24">
        <f>IF($I608="","",IFERROR(INDEX('CAT_TIPOS_OT'!$C$4:$C$23,MATCH($I608,'CAT_TIPOS_OT'!$A$4:$A$23,0)),"sin_clasificar"))</f>
        <v/>
      </c>
      <c r="V608" s="24">
        <f>IF($I608="","",IF(IFERROR(INDEX('CAT_TIPOS_OT'!$D$4:$D$23,MATCH($I608,'CAT_TIPOS_OT'!$A$4:$A$23,0)),"SIN CLASIFICAR")="","SIN CLASIFICAR",IFERROR(INDEX('CAT_TIPOS_OT'!$D$4:$D$23,MATCH($I608,'CAT_TIPOS_OT'!$A$4:$A$23,0)),"SIN CLASIFICAR")))</f>
        <v/>
      </c>
      <c r="W608" s="24">
        <f>IF($H608="","",IF(IFERROR(INDEX('CAT_ACTIVIDADES'!$F$4:$F$26,MATCH($H608,'CAT_ACTIVIDADES'!$A$4:$A$26,0)),"")=0,"",IFERROR(INDEX('CAT_ACTIVIDADES'!$F$4:$F$26,MATCH($H608,'CAT_ACTIVIDADES'!$A$4:$A$26,0)),"")))</f>
        <v/>
      </c>
      <c r="X608" s="24">
        <f>IF($F608="","",IFERROR(INDEX('CAT_CENTROS_COSTO'!$F$4:$F$28,MATCH($F608,'CAT_CENTROS_COSTO'!$A$4:$A$28,0)),"(sin catálogo)"))</f>
        <v/>
      </c>
      <c r="Y608" s="24">
        <f>IF($F608="","",IFERROR(INDEX('CAT_CENTROS_COSTO'!$D$4:$D$28,MATCH($F608,'CAT_CENTROS_COSTO'!$A$4:$A$28,0)),"(sin catálogo)"))</f>
        <v/>
      </c>
      <c r="Z608" s="24">
        <f>IF($F608="","",IF((IFERROR(INDEX('CAT_CENTROS_COSTO'!$E$4:$E$28,MATCH($F608,'CAT_CENTROS_COSTO'!$A$4:$A$28,0)),""))&lt;&gt;"",IFERROR(INDEX('CAT_CENTROS_COSTO'!$E$4:$E$28,MATCH($F608,'CAT_CENTROS_COSTO'!$A$4:$A$28,0)),""),$Y608))</f>
        <v/>
      </c>
      <c r="AA608" s="24">
        <f>IF($F608="","",IFERROR(INDEX('CAT_CENTROS_COSTO'!$G$4:$G$28,MATCH($F608,'CAT_CENTROS_COSTO'!$A$4:$A$28,0)),"(sin catálogo)"))</f>
        <v/>
      </c>
      <c r="AB608" s="24">
        <f>IF($G608="","",IFERROR(INDEX('CAT_PUESTOS'!$B$4:$B$23,MATCH($G608,'CAT_PUESTOS'!$A$4:$A$23,0)),"(sin catálogo)"))</f>
        <v/>
      </c>
      <c r="AC608" s="24">
        <f>IF($H608="","",IFERROR(INDEX('CAT_ACTIVIDADES'!$B$4:$B$26,MATCH($H608,'CAT_ACTIVIDADES'!$A$4:$A$26,0)),"(sin catálogo)"))</f>
        <v/>
      </c>
      <c r="AD608" s="26">
        <f>IF($J608="","",TODAY()-$J608)</f>
        <v/>
      </c>
      <c r="AE608" s="26">
        <f>IF($J608="","",IF($J608&lt;=TODAY(),COUNTIFS(cal_fechas,"&gt;="&amp;$J608,cal_fechas,"&lt;"&amp;TODAY(),cal_habil,"sí"),-COUNTIFS(cal_fechas,"&gt;="&amp;TODAY(),cal_fechas,"&lt;"&amp;$J608,cal_habil,"sí")))</f>
        <v/>
      </c>
      <c r="AF608" s="24">
        <f>IF($AE608="","",IF($AE608&lt;0,"FUTURO",IF($AE608&gt;p_dias_backlog_max,"BACKLOG","MES CORRIENTE")))</f>
        <v/>
      </c>
      <c r="AG608" s="24">
        <f>IF($AE608="",FALSE,AND($AE608&gt;p_dias_backlog_min,$AE608&lt;=p_dias_backlog_max))</f>
        <v/>
      </c>
      <c r="AH608" s="4" t="n"/>
      <c r="AI608" s="24">
        <f>IF($AH608="","",IF((IFERROR(INDEX('ASIGNACIONES'!$J$4:$J$451,MATCH($O608&amp;"|"&amp;$S608&amp;"|"&amp;$AH608,'ASIGNACIONES'!$N$4:$N$451,0)),""))=0,"",IFERROR(INDEX('ASIGNACIONES'!$J$4:$J$451,MATCH($O608&amp;"|"&amp;$S608&amp;"|"&amp;$AH608,'ASIGNACIONES'!$N$4:$N$451,0)),"")))</f>
        <v/>
      </c>
      <c r="AJ608" s="42">
        <f>IF($AH608="","",SUMIFS('ORDENES'!$M$4:$M$1203,'ORDENES'!$AH$4:$AH$1203,$AH608,'ORDENES'!$O$4:$O$1203,$O608,'ORDENES'!$S$4:$S$1203,$S608))</f>
        <v/>
      </c>
      <c r="AK608" s="42">
        <f>IF($AJ608="","",p_factor_productividad*IFERROR(INDEX('ASIGNACIONES'!$M$4:$M$451,MATCH($O608&amp;"|"&amp;$S608&amp;"|"&amp;$AH608,'ASIGNACIONES'!$N$4:$N$451,0)),0)-$AJ608)</f>
        <v/>
      </c>
      <c r="AL608" s="32">
        <f>IF($A608="","",IFERROR(INDEX('2_IMPORTAR_EJECUCION'!$F$9:$F$1208,MATCH($AU608,'2_IMPORTAR_EJECUCION'!$J$9:$J$1208,0)),0))</f>
        <v/>
      </c>
      <c r="AM608" s="32">
        <f>IF($A608="","",MAX(0,IFERROR(INDEX('2_IMPORTAR_EJECUCION'!$H$9:$H$1208,MATCH($AU608,'2_IMPORTAR_EJECUCION'!$J$9:$J$1208,0)),0)-$AL608))</f>
        <v/>
      </c>
      <c r="AN608" s="32">
        <f>IF($A608="","",$AL608+$AM608)</f>
        <v/>
      </c>
      <c r="AO608" s="24">
        <f>IF($A608="","",IF(OR((IFERROR(INDEX('CAT_ACTIVIDADES'!$D$4:$D$26,MATCH($H608,'CAT_ACTIVIDADES'!$A$4:$A$26,0)),""))=0,(IFERROR(INDEX('CAT_ACTIVIDADES'!$D$4:$D$26,MATCH($H608,'CAT_ACTIVIDADES'!$A$4:$A$26,0)),""))=""),"SIN CLASIFICAR",IFERROR(INDEX('CAT_ACTIVIDADES'!$D$4:$D$26,MATCH($H608,'CAT_ACTIVIDADES'!$A$4:$A$26,0)),"")))</f>
        <v/>
      </c>
      <c r="AP608" s="4" t="n"/>
      <c r="AQ608" s="4" t="n"/>
      <c r="AR608" s="4" t="n"/>
      <c r="AS608" s="24">
        <f>IF($AR608="","",HYPERLINK(p_ruta_base_checklists&amp;$AR608,"abrir"))</f>
        <v/>
      </c>
      <c r="AT608" s="4" t="n"/>
      <c r="AU608" s="24">
        <f>IF($A608="","",$A608&amp;IF($B608="","0010",$B608))</f>
        <v/>
      </c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41" t="n"/>
      <c r="K609" s="5" t="n"/>
      <c r="L609" s="18" t="n"/>
      <c r="M609" s="24">
        <f>IF($A609="","",IFERROR(INDEX('AJUSTES'!$B$4:$B$303,MATCH($AU609,'AJUSTES'!$A$4:$A$303,0)),IF($K609="","",$K609)))</f>
        <v/>
      </c>
      <c r="N609" s="24">
        <f>IF($A609="","",IFERROR(INDEX('CAT_ESTADOS_ERP'!$B$4:$B$22,MATCH(IFERROR(INDEX('2_IMPORTAR_EJECUCION'!$C$9:$C$1208,MATCH($AU609,'2_IMPORTAR_EJECUCION'!$J$9:$J$1208,0)),""),'CAT_ESTADOS_ERP'!$A$4:$A$22,0)),"Pendiente"))</f>
        <v/>
      </c>
      <c r="O609" s="24">
        <f>IF($J609="","",YEAR($J609+4-WEEKDAY($J609,2))&amp;"-S"&amp;TEXT(_xlfn.ISOWEEKNUM($J609),"00"))</f>
        <v/>
      </c>
      <c r="P609" s="24">
        <f>IF($J609="","",YEAR($J609))</f>
        <v/>
      </c>
      <c r="Q609" s="24">
        <f>IF($J609="","",MONTH($J609))</f>
        <v/>
      </c>
      <c r="R609" s="24">
        <f>IF($J609="","",$P609&amp;"-"&amp;TEXT($Q609,"00"))</f>
        <v/>
      </c>
      <c r="S609" s="24">
        <f>IF($J609="","",INDEX(lista_dias,WEEKDAY($J609,2)))</f>
        <v/>
      </c>
      <c r="T609" s="24">
        <f>IF($J609="","",IFERROR(INDEX('CALENDARIO'!$C$15:$C$214,MATCH(TEXT($J609,"yyyy-mm-dd")&amp;"|"&amp;$Y609&amp;"|"&amp;$Z609,'CALENDARIO'!$G$15:$G$214,0)),IFERROR(INDEX('CALENDARIO'!$C$15:$C$214,MATCH(TEXT($J609,"yyyy-mm-dd")&amp;"|"&amp;$Y609&amp;"|",'CALENDARIO'!$G$15:$G$214,0)),IFERROR(INDEX('CALENDARIO'!$C$15:$C$214,MATCH(TEXT($J609,"yyyy-mm-dd")&amp;"||",'CALENDARIO'!$G$15:$G$214,0)),INDEX(patronHabil,WEEKDAY($J609,2))))))</f>
        <v/>
      </c>
      <c r="U609" s="24">
        <f>IF($I609="","",IFERROR(INDEX('CAT_TIPOS_OT'!$C$4:$C$23,MATCH($I609,'CAT_TIPOS_OT'!$A$4:$A$23,0)),"sin_clasificar"))</f>
        <v/>
      </c>
      <c r="V609" s="24">
        <f>IF($I609="","",IF(IFERROR(INDEX('CAT_TIPOS_OT'!$D$4:$D$23,MATCH($I609,'CAT_TIPOS_OT'!$A$4:$A$23,0)),"SIN CLASIFICAR")="","SIN CLASIFICAR",IFERROR(INDEX('CAT_TIPOS_OT'!$D$4:$D$23,MATCH($I609,'CAT_TIPOS_OT'!$A$4:$A$23,0)),"SIN CLASIFICAR")))</f>
        <v/>
      </c>
      <c r="W609" s="24">
        <f>IF($H609="","",IF(IFERROR(INDEX('CAT_ACTIVIDADES'!$F$4:$F$26,MATCH($H609,'CAT_ACTIVIDADES'!$A$4:$A$26,0)),"")=0,"",IFERROR(INDEX('CAT_ACTIVIDADES'!$F$4:$F$26,MATCH($H609,'CAT_ACTIVIDADES'!$A$4:$A$26,0)),"")))</f>
        <v/>
      </c>
      <c r="X609" s="24">
        <f>IF($F609="","",IFERROR(INDEX('CAT_CENTROS_COSTO'!$F$4:$F$28,MATCH($F609,'CAT_CENTROS_COSTO'!$A$4:$A$28,0)),"(sin catálogo)"))</f>
        <v/>
      </c>
      <c r="Y609" s="24">
        <f>IF($F609="","",IFERROR(INDEX('CAT_CENTROS_COSTO'!$D$4:$D$28,MATCH($F609,'CAT_CENTROS_COSTO'!$A$4:$A$28,0)),"(sin catálogo)"))</f>
        <v/>
      </c>
      <c r="Z609" s="24">
        <f>IF($F609="","",IF((IFERROR(INDEX('CAT_CENTROS_COSTO'!$E$4:$E$28,MATCH($F609,'CAT_CENTROS_COSTO'!$A$4:$A$28,0)),""))&lt;&gt;"",IFERROR(INDEX('CAT_CENTROS_COSTO'!$E$4:$E$28,MATCH($F609,'CAT_CENTROS_COSTO'!$A$4:$A$28,0)),""),$Y609))</f>
        <v/>
      </c>
      <c r="AA609" s="24">
        <f>IF($F609="","",IFERROR(INDEX('CAT_CENTROS_COSTO'!$G$4:$G$28,MATCH($F609,'CAT_CENTROS_COSTO'!$A$4:$A$28,0)),"(sin catálogo)"))</f>
        <v/>
      </c>
      <c r="AB609" s="24">
        <f>IF($G609="","",IFERROR(INDEX('CAT_PUESTOS'!$B$4:$B$23,MATCH($G609,'CAT_PUESTOS'!$A$4:$A$23,0)),"(sin catálogo)"))</f>
        <v/>
      </c>
      <c r="AC609" s="24">
        <f>IF($H609="","",IFERROR(INDEX('CAT_ACTIVIDADES'!$B$4:$B$26,MATCH($H609,'CAT_ACTIVIDADES'!$A$4:$A$26,0)),"(sin catálogo)"))</f>
        <v/>
      </c>
      <c r="AD609" s="26">
        <f>IF($J609="","",TODAY()-$J609)</f>
        <v/>
      </c>
      <c r="AE609" s="26">
        <f>IF($J609="","",IF($J609&lt;=TODAY(),COUNTIFS(cal_fechas,"&gt;="&amp;$J609,cal_fechas,"&lt;"&amp;TODAY(),cal_habil,"sí"),-COUNTIFS(cal_fechas,"&gt;="&amp;TODAY(),cal_fechas,"&lt;"&amp;$J609,cal_habil,"sí")))</f>
        <v/>
      </c>
      <c r="AF609" s="24">
        <f>IF($AE609="","",IF($AE609&lt;0,"FUTURO",IF($AE609&gt;p_dias_backlog_max,"BACKLOG","MES CORRIENTE")))</f>
        <v/>
      </c>
      <c r="AG609" s="24">
        <f>IF($AE609="",FALSE,AND($AE609&gt;p_dias_backlog_min,$AE609&lt;=p_dias_backlog_max))</f>
        <v/>
      </c>
      <c r="AH609" s="4" t="n"/>
      <c r="AI609" s="24">
        <f>IF($AH609="","",IF((IFERROR(INDEX('ASIGNACIONES'!$J$4:$J$451,MATCH($O609&amp;"|"&amp;$S609&amp;"|"&amp;$AH609,'ASIGNACIONES'!$N$4:$N$451,0)),""))=0,"",IFERROR(INDEX('ASIGNACIONES'!$J$4:$J$451,MATCH($O609&amp;"|"&amp;$S609&amp;"|"&amp;$AH609,'ASIGNACIONES'!$N$4:$N$451,0)),"")))</f>
        <v/>
      </c>
      <c r="AJ609" s="42">
        <f>IF($AH609="","",SUMIFS('ORDENES'!$M$4:$M$1203,'ORDENES'!$AH$4:$AH$1203,$AH609,'ORDENES'!$O$4:$O$1203,$O609,'ORDENES'!$S$4:$S$1203,$S609))</f>
        <v/>
      </c>
      <c r="AK609" s="42">
        <f>IF($AJ609="","",p_factor_productividad*IFERROR(INDEX('ASIGNACIONES'!$M$4:$M$451,MATCH($O609&amp;"|"&amp;$S609&amp;"|"&amp;$AH609,'ASIGNACIONES'!$N$4:$N$451,0)),0)-$AJ609)</f>
        <v/>
      </c>
      <c r="AL609" s="32">
        <f>IF($A609="","",IFERROR(INDEX('2_IMPORTAR_EJECUCION'!$F$9:$F$1208,MATCH($AU609,'2_IMPORTAR_EJECUCION'!$J$9:$J$1208,0)),0))</f>
        <v/>
      </c>
      <c r="AM609" s="32">
        <f>IF($A609="","",MAX(0,IFERROR(INDEX('2_IMPORTAR_EJECUCION'!$H$9:$H$1208,MATCH($AU609,'2_IMPORTAR_EJECUCION'!$J$9:$J$1208,0)),0)-$AL609))</f>
        <v/>
      </c>
      <c r="AN609" s="32">
        <f>IF($A609="","",$AL609+$AM609)</f>
        <v/>
      </c>
      <c r="AO609" s="24">
        <f>IF($A609="","",IF(OR((IFERROR(INDEX('CAT_ACTIVIDADES'!$D$4:$D$26,MATCH($H609,'CAT_ACTIVIDADES'!$A$4:$A$26,0)),""))=0,(IFERROR(INDEX('CAT_ACTIVIDADES'!$D$4:$D$26,MATCH($H609,'CAT_ACTIVIDADES'!$A$4:$A$26,0)),""))=""),"SIN CLASIFICAR",IFERROR(INDEX('CAT_ACTIVIDADES'!$D$4:$D$26,MATCH($H609,'CAT_ACTIVIDADES'!$A$4:$A$26,0)),"")))</f>
        <v/>
      </c>
      <c r="AP609" s="4" t="n"/>
      <c r="AQ609" s="4" t="n"/>
      <c r="AR609" s="4" t="n"/>
      <c r="AS609" s="24">
        <f>IF($AR609="","",HYPERLINK(p_ruta_base_checklists&amp;$AR609,"abrir"))</f>
        <v/>
      </c>
      <c r="AT609" s="4" t="n"/>
      <c r="AU609" s="24">
        <f>IF($A609="","",$A609&amp;IF($B609="","0010",$B609))</f>
        <v/>
      </c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41" t="n"/>
      <c r="K610" s="5" t="n"/>
      <c r="L610" s="18" t="n"/>
      <c r="M610" s="24">
        <f>IF($A610="","",IFERROR(INDEX('AJUSTES'!$B$4:$B$303,MATCH($AU610,'AJUSTES'!$A$4:$A$303,0)),IF($K610="","",$K610)))</f>
        <v/>
      </c>
      <c r="N610" s="24">
        <f>IF($A610="","",IFERROR(INDEX('CAT_ESTADOS_ERP'!$B$4:$B$22,MATCH(IFERROR(INDEX('2_IMPORTAR_EJECUCION'!$C$9:$C$1208,MATCH($AU610,'2_IMPORTAR_EJECUCION'!$J$9:$J$1208,0)),""),'CAT_ESTADOS_ERP'!$A$4:$A$22,0)),"Pendiente"))</f>
        <v/>
      </c>
      <c r="O610" s="24">
        <f>IF($J610="","",YEAR($J610+4-WEEKDAY($J610,2))&amp;"-S"&amp;TEXT(_xlfn.ISOWEEKNUM($J610),"00"))</f>
        <v/>
      </c>
      <c r="P610" s="24">
        <f>IF($J610="","",YEAR($J610))</f>
        <v/>
      </c>
      <c r="Q610" s="24">
        <f>IF($J610="","",MONTH($J610))</f>
        <v/>
      </c>
      <c r="R610" s="24">
        <f>IF($J610="","",$P610&amp;"-"&amp;TEXT($Q610,"00"))</f>
        <v/>
      </c>
      <c r="S610" s="24">
        <f>IF($J610="","",INDEX(lista_dias,WEEKDAY($J610,2)))</f>
        <v/>
      </c>
      <c r="T610" s="24">
        <f>IF($J610="","",IFERROR(INDEX('CALENDARIO'!$C$15:$C$214,MATCH(TEXT($J610,"yyyy-mm-dd")&amp;"|"&amp;$Y610&amp;"|"&amp;$Z610,'CALENDARIO'!$G$15:$G$214,0)),IFERROR(INDEX('CALENDARIO'!$C$15:$C$214,MATCH(TEXT($J610,"yyyy-mm-dd")&amp;"|"&amp;$Y610&amp;"|",'CALENDARIO'!$G$15:$G$214,0)),IFERROR(INDEX('CALENDARIO'!$C$15:$C$214,MATCH(TEXT($J610,"yyyy-mm-dd")&amp;"||",'CALENDARIO'!$G$15:$G$214,0)),INDEX(patronHabil,WEEKDAY($J610,2))))))</f>
        <v/>
      </c>
      <c r="U610" s="24">
        <f>IF($I610="","",IFERROR(INDEX('CAT_TIPOS_OT'!$C$4:$C$23,MATCH($I610,'CAT_TIPOS_OT'!$A$4:$A$23,0)),"sin_clasificar"))</f>
        <v/>
      </c>
      <c r="V610" s="24">
        <f>IF($I610="","",IF(IFERROR(INDEX('CAT_TIPOS_OT'!$D$4:$D$23,MATCH($I610,'CAT_TIPOS_OT'!$A$4:$A$23,0)),"SIN CLASIFICAR")="","SIN CLASIFICAR",IFERROR(INDEX('CAT_TIPOS_OT'!$D$4:$D$23,MATCH($I610,'CAT_TIPOS_OT'!$A$4:$A$23,0)),"SIN CLASIFICAR")))</f>
        <v/>
      </c>
      <c r="W610" s="24">
        <f>IF($H610="","",IF(IFERROR(INDEX('CAT_ACTIVIDADES'!$F$4:$F$26,MATCH($H610,'CAT_ACTIVIDADES'!$A$4:$A$26,0)),"")=0,"",IFERROR(INDEX('CAT_ACTIVIDADES'!$F$4:$F$26,MATCH($H610,'CAT_ACTIVIDADES'!$A$4:$A$26,0)),"")))</f>
        <v/>
      </c>
      <c r="X610" s="24">
        <f>IF($F610="","",IFERROR(INDEX('CAT_CENTROS_COSTO'!$F$4:$F$28,MATCH($F610,'CAT_CENTROS_COSTO'!$A$4:$A$28,0)),"(sin catálogo)"))</f>
        <v/>
      </c>
      <c r="Y610" s="24">
        <f>IF($F610="","",IFERROR(INDEX('CAT_CENTROS_COSTO'!$D$4:$D$28,MATCH($F610,'CAT_CENTROS_COSTO'!$A$4:$A$28,0)),"(sin catálogo)"))</f>
        <v/>
      </c>
      <c r="Z610" s="24">
        <f>IF($F610="","",IF((IFERROR(INDEX('CAT_CENTROS_COSTO'!$E$4:$E$28,MATCH($F610,'CAT_CENTROS_COSTO'!$A$4:$A$28,0)),""))&lt;&gt;"",IFERROR(INDEX('CAT_CENTROS_COSTO'!$E$4:$E$28,MATCH($F610,'CAT_CENTROS_COSTO'!$A$4:$A$28,0)),""),$Y610))</f>
        <v/>
      </c>
      <c r="AA610" s="24">
        <f>IF($F610="","",IFERROR(INDEX('CAT_CENTROS_COSTO'!$G$4:$G$28,MATCH($F610,'CAT_CENTROS_COSTO'!$A$4:$A$28,0)),"(sin catálogo)"))</f>
        <v/>
      </c>
      <c r="AB610" s="24">
        <f>IF($G610="","",IFERROR(INDEX('CAT_PUESTOS'!$B$4:$B$23,MATCH($G610,'CAT_PUESTOS'!$A$4:$A$23,0)),"(sin catálogo)"))</f>
        <v/>
      </c>
      <c r="AC610" s="24">
        <f>IF($H610="","",IFERROR(INDEX('CAT_ACTIVIDADES'!$B$4:$B$26,MATCH($H610,'CAT_ACTIVIDADES'!$A$4:$A$26,0)),"(sin catálogo)"))</f>
        <v/>
      </c>
      <c r="AD610" s="26">
        <f>IF($J610="","",TODAY()-$J610)</f>
        <v/>
      </c>
      <c r="AE610" s="26">
        <f>IF($J610="","",IF($J610&lt;=TODAY(),COUNTIFS(cal_fechas,"&gt;="&amp;$J610,cal_fechas,"&lt;"&amp;TODAY(),cal_habil,"sí"),-COUNTIFS(cal_fechas,"&gt;="&amp;TODAY(),cal_fechas,"&lt;"&amp;$J610,cal_habil,"sí")))</f>
        <v/>
      </c>
      <c r="AF610" s="24">
        <f>IF($AE610="","",IF($AE610&lt;0,"FUTURO",IF($AE610&gt;p_dias_backlog_max,"BACKLOG","MES CORRIENTE")))</f>
        <v/>
      </c>
      <c r="AG610" s="24">
        <f>IF($AE610="",FALSE,AND($AE610&gt;p_dias_backlog_min,$AE610&lt;=p_dias_backlog_max))</f>
        <v/>
      </c>
      <c r="AH610" s="4" t="n"/>
      <c r="AI610" s="24">
        <f>IF($AH610="","",IF((IFERROR(INDEX('ASIGNACIONES'!$J$4:$J$451,MATCH($O610&amp;"|"&amp;$S610&amp;"|"&amp;$AH610,'ASIGNACIONES'!$N$4:$N$451,0)),""))=0,"",IFERROR(INDEX('ASIGNACIONES'!$J$4:$J$451,MATCH($O610&amp;"|"&amp;$S610&amp;"|"&amp;$AH610,'ASIGNACIONES'!$N$4:$N$451,0)),"")))</f>
        <v/>
      </c>
      <c r="AJ610" s="42">
        <f>IF($AH610="","",SUMIFS('ORDENES'!$M$4:$M$1203,'ORDENES'!$AH$4:$AH$1203,$AH610,'ORDENES'!$O$4:$O$1203,$O610,'ORDENES'!$S$4:$S$1203,$S610))</f>
        <v/>
      </c>
      <c r="AK610" s="42">
        <f>IF($AJ610="","",p_factor_productividad*IFERROR(INDEX('ASIGNACIONES'!$M$4:$M$451,MATCH($O610&amp;"|"&amp;$S610&amp;"|"&amp;$AH610,'ASIGNACIONES'!$N$4:$N$451,0)),0)-$AJ610)</f>
        <v/>
      </c>
      <c r="AL610" s="32">
        <f>IF($A610="","",IFERROR(INDEX('2_IMPORTAR_EJECUCION'!$F$9:$F$1208,MATCH($AU610,'2_IMPORTAR_EJECUCION'!$J$9:$J$1208,0)),0))</f>
        <v/>
      </c>
      <c r="AM610" s="32">
        <f>IF($A610="","",MAX(0,IFERROR(INDEX('2_IMPORTAR_EJECUCION'!$H$9:$H$1208,MATCH($AU610,'2_IMPORTAR_EJECUCION'!$J$9:$J$1208,0)),0)-$AL610))</f>
        <v/>
      </c>
      <c r="AN610" s="32">
        <f>IF($A610="","",$AL610+$AM610)</f>
        <v/>
      </c>
      <c r="AO610" s="24">
        <f>IF($A610="","",IF(OR((IFERROR(INDEX('CAT_ACTIVIDADES'!$D$4:$D$26,MATCH($H610,'CAT_ACTIVIDADES'!$A$4:$A$26,0)),""))=0,(IFERROR(INDEX('CAT_ACTIVIDADES'!$D$4:$D$26,MATCH($H610,'CAT_ACTIVIDADES'!$A$4:$A$26,0)),""))=""),"SIN CLASIFICAR",IFERROR(INDEX('CAT_ACTIVIDADES'!$D$4:$D$26,MATCH($H610,'CAT_ACTIVIDADES'!$A$4:$A$26,0)),"")))</f>
        <v/>
      </c>
      <c r="AP610" s="4" t="n"/>
      <c r="AQ610" s="4" t="n"/>
      <c r="AR610" s="4" t="n"/>
      <c r="AS610" s="24">
        <f>IF($AR610="","",HYPERLINK(p_ruta_base_checklists&amp;$AR610,"abrir"))</f>
        <v/>
      </c>
      <c r="AT610" s="4" t="n"/>
      <c r="AU610" s="24">
        <f>IF($A610="","",$A610&amp;IF($B610="","0010",$B610))</f>
        <v/>
      </c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41" t="n"/>
      <c r="K611" s="5" t="n"/>
      <c r="L611" s="18" t="n"/>
      <c r="M611" s="24">
        <f>IF($A611="","",IFERROR(INDEX('AJUSTES'!$B$4:$B$303,MATCH($AU611,'AJUSTES'!$A$4:$A$303,0)),IF($K611="","",$K611)))</f>
        <v/>
      </c>
      <c r="N611" s="24">
        <f>IF($A611="","",IFERROR(INDEX('CAT_ESTADOS_ERP'!$B$4:$B$22,MATCH(IFERROR(INDEX('2_IMPORTAR_EJECUCION'!$C$9:$C$1208,MATCH($AU611,'2_IMPORTAR_EJECUCION'!$J$9:$J$1208,0)),""),'CAT_ESTADOS_ERP'!$A$4:$A$22,0)),"Pendiente"))</f>
        <v/>
      </c>
      <c r="O611" s="24">
        <f>IF($J611="","",YEAR($J611+4-WEEKDAY($J611,2))&amp;"-S"&amp;TEXT(_xlfn.ISOWEEKNUM($J611),"00"))</f>
        <v/>
      </c>
      <c r="P611" s="24">
        <f>IF($J611="","",YEAR($J611))</f>
        <v/>
      </c>
      <c r="Q611" s="24">
        <f>IF($J611="","",MONTH($J611))</f>
        <v/>
      </c>
      <c r="R611" s="24">
        <f>IF($J611="","",$P611&amp;"-"&amp;TEXT($Q611,"00"))</f>
        <v/>
      </c>
      <c r="S611" s="24">
        <f>IF($J611="","",INDEX(lista_dias,WEEKDAY($J611,2)))</f>
        <v/>
      </c>
      <c r="T611" s="24">
        <f>IF($J611="","",IFERROR(INDEX('CALENDARIO'!$C$15:$C$214,MATCH(TEXT($J611,"yyyy-mm-dd")&amp;"|"&amp;$Y611&amp;"|"&amp;$Z611,'CALENDARIO'!$G$15:$G$214,0)),IFERROR(INDEX('CALENDARIO'!$C$15:$C$214,MATCH(TEXT($J611,"yyyy-mm-dd")&amp;"|"&amp;$Y611&amp;"|",'CALENDARIO'!$G$15:$G$214,0)),IFERROR(INDEX('CALENDARIO'!$C$15:$C$214,MATCH(TEXT($J611,"yyyy-mm-dd")&amp;"||",'CALENDARIO'!$G$15:$G$214,0)),INDEX(patronHabil,WEEKDAY($J611,2))))))</f>
        <v/>
      </c>
      <c r="U611" s="24">
        <f>IF($I611="","",IFERROR(INDEX('CAT_TIPOS_OT'!$C$4:$C$23,MATCH($I611,'CAT_TIPOS_OT'!$A$4:$A$23,0)),"sin_clasificar"))</f>
        <v/>
      </c>
      <c r="V611" s="24">
        <f>IF($I611="","",IF(IFERROR(INDEX('CAT_TIPOS_OT'!$D$4:$D$23,MATCH($I611,'CAT_TIPOS_OT'!$A$4:$A$23,0)),"SIN CLASIFICAR")="","SIN CLASIFICAR",IFERROR(INDEX('CAT_TIPOS_OT'!$D$4:$D$23,MATCH($I611,'CAT_TIPOS_OT'!$A$4:$A$23,0)),"SIN CLASIFICAR")))</f>
        <v/>
      </c>
      <c r="W611" s="24">
        <f>IF($H611="","",IF(IFERROR(INDEX('CAT_ACTIVIDADES'!$F$4:$F$26,MATCH($H611,'CAT_ACTIVIDADES'!$A$4:$A$26,0)),"")=0,"",IFERROR(INDEX('CAT_ACTIVIDADES'!$F$4:$F$26,MATCH($H611,'CAT_ACTIVIDADES'!$A$4:$A$26,0)),"")))</f>
        <v/>
      </c>
      <c r="X611" s="24">
        <f>IF($F611="","",IFERROR(INDEX('CAT_CENTROS_COSTO'!$F$4:$F$28,MATCH($F611,'CAT_CENTROS_COSTO'!$A$4:$A$28,0)),"(sin catálogo)"))</f>
        <v/>
      </c>
      <c r="Y611" s="24">
        <f>IF($F611="","",IFERROR(INDEX('CAT_CENTROS_COSTO'!$D$4:$D$28,MATCH($F611,'CAT_CENTROS_COSTO'!$A$4:$A$28,0)),"(sin catálogo)"))</f>
        <v/>
      </c>
      <c r="Z611" s="24">
        <f>IF($F611="","",IF((IFERROR(INDEX('CAT_CENTROS_COSTO'!$E$4:$E$28,MATCH($F611,'CAT_CENTROS_COSTO'!$A$4:$A$28,0)),""))&lt;&gt;"",IFERROR(INDEX('CAT_CENTROS_COSTO'!$E$4:$E$28,MATCH($F611,'CAT_CENTROS_COSTO'!$A$4:$A$28,0)),""),$Y611))</f>
        <v/>
      </c>
      <c r="AA611" s="24">
        <f>IF($F611="","",IFERROR(INDEX('CAT_CENTROS_COSTO'!$G$4:$G$28,MATCH($F611,'CAT_CENTROS_COSTO'!$A$4:$A$28,0)),"(sin catálogo)"))</f>
        <v/>
      </c>
      <c r="AB611" s="24">
        <f>IF($G611="","",IFERROR(INDEX('CAT_PUESTOS'!$B$4:$B$23,MATCH($G611,'CAT_PUESTOS'!$A$4:$A$23,0)),"(sin catálogo)"))</f>
        <v/>
      </c>
      <c r="AC611" s="24">
        <f>IF($H611="","",IFERROR(INDEX('CAT_ACTIVIDADES'!$B$4:$B$26,MATCH($H611,'CAT_ACTIVIDADES'!$A$4:$A$26,0)),"(sin catálogo)"))</f>
        <v/>
      </c>
      <c r="AD611" s="26">
        <f>IF($J611="","",TODAY()-$J611)</f>
        <v/>
      </c>
      <c r="AE611" s="26">
        <f>IF($J611="","",IF($J611&lt;=TODAY(),COUNTIFS(cal_fechas,"&gt;="&amp;$J611,cal_fechas,"&lt;"&amp;TODAY(),cal_habil,"sí"),-COUNTIFS(cal_fechas,"&gt;="&amp;TODAY(),cal_fechas,"&lt;"&amp;$J611,cal_habil,"sí")))</f>
        <v/>
      </c>
      <c r="AF611" s="24">
        <f>IF($AE611="","",IF($AE611&lt;0,"FUTURO",IF($AE611&gt;p_dias_backlog_max,"BACKLOG","MES CORRIENTE")))</f>
        <v/>
      </c>
      <c r="AG611" s="24">
        <f>IF($AE611="",FALSE,AND($AE611&gt;p_dias_backlog_min,$AE611&lt;=p_dias_backlog_max))</f>
        <v/>
      </c>
      <c r="AH611" s="4" t="n"/>
      <c r="AI611" s="24">
        <f>IF($AH611="","",IF((IFERROR(INDEX('ASIGNACIONES'!$J$4:$J$451,MATCH($O611&amp;"|"&amp;$S611&amp;"|"&amp;$AH611,'ASIGNACIONES'!$N$4:$N$451,0)),""))=0,"",IFERROR(INDEX('ASIGNACIONES'!$J$4:$J$451,MATCH($O611&amp;"|"&amp;$S611&amp;"|"&amp;$AH611,'ASIGNACIONES'!$N$4:$N$451,0)),"")))</f>
        <v/>
      </c>
      <c r="AJ611" s="42">
        <f>IF($AH611="","",SUMIFS('ORDENES'!$M$4:$M$1203,'ORDENES'!$AH$4:$AH$1203,$AH611,'ORDENES'!$O$4:$O$1203,$O611,'ORDENES'!$S$4:$S$1203,$S611))</f>
        <v/>
      </c>
      <c r="AK611" s="42">
        <f>IF($AJ611="","",p_factor_productividad*IFERROR(INDEX('ASIGNACIONES'!$M$4:$M$451,MATCH($O611&amp;"|"&amp;$S611&amp;"|"&amp;$AH611,'ASIGNACIONES'!$N$4:$N$451,0)),0)-$AJ611)</f>
        <v/>
      </c>
      <c r="AL611" s="32">
        <f>IF($A611="","",IFERROR(INDEX('2_IMPORTAR_EJECUCION'!$F$9:$F$1208,MATCH($AU611,'2_IMPORTAR_EJECUCION'!$J$9:$J$1208,0)),0))</f>
        <v/>
      </c>
      <c r="AM611" s="32">
        <f>IF($A611="","",MAX(0,IFERROR(INDEX('2_IMPORTAR_EJECUCION'!$H$9:$H$1208,MATCH($AU611,'2_IMPORTAR_EJECUCION'!$J$9:$J$1208,0)),0)-$AL611))</f>
        <v/>
      </c>
      <c r="AN611" s="32">
        <f>IF($A611="","",$AL611+$AM611)</f>
        <v/>
      </c>
      <c r="AO611" s="24">
        <f>IF($A611="","",IF(OR((IFERROR(INDEX('CAT_ACTIVIDADES'!$D$4:$D$26,MATCH($H611,'CAT_ACTIVIDADES'!$A$4:$A$26,0)),""))=0,(IFERROR(INDEX('CAT_ACTIVIDADES'!$D$4:$D$26,MATCH($H611,'CAT_ACTIVIDADES'!$A$4:$A$26,0)),""))=""),"SIN CLASIFICAR",IFERROR(INDEX('CAT_ACTIVIDADES'!$D$4:$D$26,MATCH($H611,'CAT_ACTIVIDADES'!$A$4:$A$26,0)),"")))</f>
        <v/>
      </c>
      <c r="AP611" s="4" t="n"/>
      <c r="AQ611" s="4" t="n"/>
      <c r="AR611" s="4" t="n"/>
      <c r="AS611" s="24">
        <f>IF($AR611="","",HYPERLINK(p_ruta_base_checklists&amp;$AR611,"abrir"))</f>
        <v/>
      </c>
      <c r="AT611" s="4" t="n"/>
      <c r="AU611" s="24">
        <f>IF($A611="","",$A611&amp;IF($B611="","0010",$B611))</f>
        <v/>
      </c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41" t="n"/>
      <c r="K612" s="5" t="n"/>
      <c r="L612" s="18" t="n"/>
      <c r="M612" s="24">
        <f>IF($A612="","",IFERROR(INDEX('AJUSTES'!$B$4:$B$303,MATCH($AU612,'AJUSTES'!$A$4:$A$303,0)),IF($K612="","",$K612)))</f>
        <v/>
      </c>
      <c r="N612" s="24">
        <f>IF($A612="","",IFERROR(INDEX('CAT_ESTADOS_ERP'!$B$4:$B$22,MATCH(IFERROR(INDEX('2_IMPORTAR_EJECUCION'!$C$9:$C$1208,MATCH($AU612,'2_IMPORTAR_EJECUCION'!$J$9:$J$1208,0)),""),'CAT_ESTADOS_ERP'!$A$4:$A$22,0)),"Pendiente"))</f>
        <v/>
      </c>
      <c r="O612" s="24">
        <f>IF($J612="","",YEAR($J612+4-WEEKDAY($J612,2))&amp;"-S"&amp;TEXT(_xlfn.ISOWEEKNUM($J612),"00"))</f>
        <v/>
      </c>
      <c r="P612" s="24">
        <f>IF($J612="","",YEAR($J612))</f>
        <v/>
      </c>
      <c r="Q612" s="24">
        <f>IF($J612="","",MONTH($J612))</f>
        <v/>
      </c>
      <c r="R612" s="24">
        <f>IF($J612="","",$P612&amp;"-"&amp;TEXT($Q612,"00"))</f>
        <v/>
      </c>
      <c r="S612" s="24">
        <f>IF($J612="","",INDEX(lista_dias,WEEKDAY($J612,2)))</f>
        <v/>
      </c>
      <c r="T612" s="24">
        <f>IF($J612="","",IFERROR(INDEX('CALENDARIO'!$C$15:$C$214,MATCH(TEXT($J612,"yyyy-mm-dd")&amp;"|"&amp;$Y612&amp;"|"&amp;$Z612,'CALENDARIO'!$G$15:$G$214,0)),IFERROR(INDEX('CALENDARIO'!$C$15:$C$214,MATCH(TEXT($J612,"yyyy-mm-dd")&amp;"|"&amp;$Y612&amp;"|",'CALENDARIO'!$G$15:$G$214,0)),IFERROR(INDEX('CALENDARIO'!$C$15:$C$214,MATCH(TEXT($J612,"yyyy-mm-dd")&amp;"||",'CALENDARIO'!$G$15:$G$214,0)),INDEX(patronHabil,WEEKDAY($J612,2))))))</f>
        <v/>
      </c>
      <c r="U612" s="24">
        <f>IF($I612="","",IFERROR(INDEX('CAT_TIPOS_OT'!$C$4:$C$23,MATCH($I612,'CAT_TIPOS_OT'!$A$4:$A$23,0)),"sin_clasificar"))</f>
        <v/>
      </c>
      <c r="V612" s="24">
        <f>IF($I612="","",IF(IFERROR(INDEX('CAT_TIPOS_OT'!$D$4:$D$23,MATCH($I612,'CAT_TIPOS_OT'!$A$4:$A$23,0)),"SIN CLASIFICAR")="","SIN CLASIFICAR",IFERROR(INDEX('CAT_TIPOS_OT'!$D$4:$D$23,MATCH($I612,'CAT_TIPOS_OT'!$A$4:$A$23,0)),"SIN CLASIFICAR")))</f>
        <v/>
      </c>
      <c r="W612" s="24">
        <f>IF($H612="","",IF(IFERROR(INDEX('CAT_ACTIVIDADES'!$F$4:$F$26,MATCH($H612,'CAT_ACTIVIDADES'!$A$4:$A$26,0)),"")=0,"",IFERROR(INDEX('CAT_ACTIVIDADES'!$F$4:$F$26,MATCH($H612,'CAT_ACTIVIDADES'!$A$4:$A$26,0)),"")))</f>
        <v/>
      </c>
      <c r="X612" s="24">
        <f>IF($F612="","",IFERROR(INDEX('CAT_CENTROS_COSTO'!$F$4:$F$28,MATCH($F612,'CAT_CENTROS_COSTO'!$A$4:$A$28,0)),"(sin catálogo)"))</f>
        <v/>
      </c>
      <c r="Y612" s="24">
        <f>IF($F612="","",IFERROR(INDEX('CAT_CENTROS_COSTO'!$D$4:$D$28,MATCH($F612,'CAT_CENTROS_COSTO'!$A$4:$A$28,0)),"(sin catálogo)"))</f>
        <v/>
      </c>
      <c r="Z612" s="24">
        <f>IF($F612="","",IF((IFERROR(INDEX('CAT_CENTROS_COSTO'!$E$4:$E$28,MATCH($F612,'CAT_CENTROS_COSTO'!$A$4:$A$28,0)),""))&lt;&gt;"",IFERROR(INDEX('CAT_CENTROS_COSTO'!$E$4:$E$28,MATCH($F612,'CAT_CENTROS_COSTO'!$A$4:$A$28,0)),""),$Y612))</f>
        <v/>
      </c>
      <c r="AA612" s="24">
        <f>IF($F612="","",IFERROR(INDEX('CAT_CENTROS_COSTO'!$G$4:$G$28,MATCH($F612,'CAT_CENTROS_COSTO'!$A$4:$A$28,0)),"(sin catálogo)"))</f>
        <v/>
      </c>
      <c r="AB612" s="24">
        <f>IF($G612="","",IFERROR(INDEX('CAT_PUESTOS'!$B$4:$B$23,MATCH($G612,'CAT_PUESTOS'!$A$4:$A$23,0)),"(sin catálogo)"))</f>
        <v/>
      </c>
      <c r="AC612" s="24">
        <f>IF($H612="","",IFERROR(INDEX('CAT_ACTIVIDADES'!$B$4:$B$26,MATCH($H612,'CAT_ACTIVIDADES'!$A$4:$A$26,0)),"(sin catálogo)"))</f>
        <v/>
      </c>
      <c r="AD612" s="26">
        <f>IF($J612="","",TODAY()-$J612)</f>
        <v/>
      </c>
      <c r="AE612" s="26">
        <f>IF($J612="","",IF($J612&lt;=TODAY(),COUNTIFS(cal_fechas,"&gt;="&amp;$J612,cal_fechas,"&lt;"&amp;TODAY(),cal_habil,"sí"),-COUNTIFS(cal_fechas,"&gt;="&amp;TODAY(),cal_fechas,"&lt;"&amp;$J612,cal_habil,"sí")))</f>
        <v/>
      </c>
      <c r="AF612" s="24">
        <f>IF($AE612="","",IF($AE612&lt;0,"FUTURO",IF($AE612&gt;p_dias_backlog_max,"BACKLOG","MES CORRIENTE")))</f>
        <v/>
      </c>
      <c r="AG612" s="24">
        <f>IF($AE612="",FALSE,AND($AE612&gt;p_dias_backlog_min,$AE612&lt;=p_dias_backlog_max))</f>
        <v/>
      </c>
      <c r="AH612" s="4" t="n"/>
      <c r="AI612" s="24">
        <f>IF($AH612="","",IF((IFERROR(INDEX('ASIGNACIONES'!$J$4:$J$451,MATCH($O612&amp;"|"&amp;$S612&amp;"|"&amp;$AH612,'ASIGNACIONES'!$N$4:$N$451,0)),""))=0,"",IFERROR(INDEX('ASIGNACIONES'!$J$4:$J$451,MATCH($O612&amp;"|"&amp;$S612&amp;"|"&amp;$AH612,'ASIGNACIONES'!$N$4:$N$451,0)),"")))</f>
        <v/>
      </c>
      <c r="AJ612" s="42">
        <f>IF($AH612="","",SUMIFS('ORDENES'!$M$4:$M$1203,'ORDENES'!$AH$4:$AH$1203,$AH612,'ORDENES'!$O$4:$O$1203,$O612,'ORDENES'!$S$4:$S$1203,$S612))</f>
        <v/>
      </c>
      <c r="AK612" s="42">
        <f>IF($AJ612="","",p_factor_productividad*IFERROR(INDEX('ASIGNACIONES'!$M$4:$M$451,MATCH($O612&amp;"|"&amp;$S612&amp;"|"&amp;$AH612,'ASIGNACIONES'!$N$4:$N$451,0)),0)-$AJ612)</f>
        <v/>
      </c>
      <c r="AL612" s="32">
        <f>IF($A612="","",IFERROR(INDEX('2_IMPORTAR_EJECUCION'!$F$9:$F$1208,MATCH($AU612,'2_IMPORTAR_EJECUCION'!$J$9:$J$1208,0)),0))</f>
        <v/>
      </c>
      <c r="AM612" s="32">
        <f>IF($A612="","",MAX(0,IFERROR(INDEX('2_IMPORTAR_EJECUCION'!$H$9:$H$1208,MATCH($AU612,'2_IMPORTAR_EJECUCION'!$J$9:$J$1208,0)),0)-$AL612))</f>
        <v/>
      </c>
      <c r="AN612" s="32">
        <f>IF($A612="","",$AL612+$AM612)</f>
        <v/>
      </c>
      <c r="AO612" s="24">
        <f>IF($A612="","",IF(OR((IFERROR(INDEX('CAT_ACTIVIDADES'!$D$4:$D$26,MATCH($H612,'CAT_ACTIVIDADES'!$A$4:$A$26,0)),""))=0,(IFERROR(INDEX('CAT_ACTIVIDADES'!$D$4:$D$26,MATCH($H612,'CAT_ACTIVIDADES'!$A$4:$A$26,0)),""))=""),"SIN CLASIFICAR",IFERROR(INDEX('CAT_ACTIVIDADES'!$D$4:$D$26,MATCH($H612,'CAT_ACTIVIDADES'!$A$4:$A$26,0)),"")))</f>
        <v/>
      </c>
      <c r="AP612" s="4" t="n"/>
      <c r="AQ612" s="4" t="n"/>
      <c r="AR612" s="4" t="n"/>
      <c r="AS612" s="24">
        <f>IF($AR612="","",HYPERLINK(p_ruta_base_checklists&amp;$AR612,"abrir"))</f>
        <v/>
      </c>
      <c r="AT612" s="4" t="n"/>
      <c r="AU612" s="24">
        <f>IF($A612="","",$A612&amp;IF($B612="","0010",$B612))</f>
        <v/>
      </c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41" t="n"/>
      <c r="K613" s="5" t="n"/>
      <c r="L613" s="18" t="n"/>
      <c r="M613" s="24">
        <f>IF($A613="","",IFERROR(INDEX('AJUSTES'!$B$4:$B$303,MATCH($AU613,'AJUSTES'!$A$4:$A$303,0)),IF($K613="","",$K613)))</f>
        <v/>
      </c>
      <c r="N613" s="24">
        <f>IF($A613="","",IFERROR(INDEX('CAT_ESTADOS_ERP'!$B$4:$B$22,MATCH(IFERROR(INDEX('2_IMPORTAR_EJECUCION'!$C$9:$C$1208,MATCH($AU613,'2_IMPORTAR_EJECUCION'!$J$9:$J$1208,0)),""),'CAT_ESTADOS_ERP'!$A$4:$A$22,0)),"Pendiente"))</f>
        <v/>
      </c>
      <c r="O613" s="24">
        <f>IF($J613="","",YEAR($J613+4-WEEKDAY($J613,2))&amp;"-S"&amp;TEXT(_xlfn.ISOWEEKNUM($J613),"00"))</f>
        <v/>
      </c>
      <c r="P613" s="24">
        <f>IF($J613="","",YEAR($J613))</f>
        <v/>
      </c>
      <c r="Q613" s="24">
        <f>IF($J613="","",MONTH($J613))</f>
        <v/>
      </c>
      <c r="R613" s="24">
        <f>IF($J613="","",$P613&amp;"-"&amp;TEXT($Q613,"00"))</f>
        <v/>
      </c>
      <c r="S613" s="24">
        <f>IF($J613="","",INDEX(lista_dias,WEEKDAY($J613,2)))</f>
        <v/>
      </c>
      <c r="T613" s="24">
        <f>IF($J613="","",IFERROR(INDEX('CALENDARIO'!$C$15:$C$214,MATCH(TEXT($J613,"yyyy-mm-dd")&amp;"|"&amp;$Y613&amp;"|"&amp;$Z613,'CALENDARIO'!$G$15:$G$214,0)),IFERROR(INDEX('CALENDARIO'!$C$15:$C$214,MATCH(TEXT($J613,"yyyy-mm-dd")&amp;"|"&amp;$Y613&amp;"|",'CALENDARIO'!$G$15:$G$214,0)),IFERROR(INDEX('CALENDARIO'!$C$15:$C$214,MATCH(TEXT($J613,"yyyy-mm-dd")&amp;"||",'CALENDARIO'!$G$15:$G$214,0)),INDEX(patronHabil,WEEKDAY($J613,2))))))</f>
        <v/>
      </c>
      <c r="U613" s="24">
        <f>IF($I613="","",IFERROR(INDEX('CAT_TIPOS_OT'!$C$4:$C$23,MATCH($I613,'CAT_TIPOS_OT'!$A$4:$A$23,0)),"sin_clasificar"))</f>
        <v/>
      </c>
      <c r="V613" s="24">
        <f>IF($I613="","",IF(IFERROR(INDEX('CAT_TIPOS_OT'!$D$4:$D$23,MATCH($I613,'CAT_TIPOS_OT'!$A$4:$A$23,0)),"SIN CLASIFICAR")="","SIN CLASIFICAR",IFERROR(INDEX('CAT_TIPOS_OT'!$D$4:$D$23,MATCH($I613,'CAT_TIPOS_OT'!$A$4:$A$23,0)),"SIN CLASIFICAR")))</f>
        <v/>
      </c>
      <c r="W613" s="24">
        <f>IF($H613="","",IF(IFERROR(INDEX('CAT_ACTIVIDADES'!$F$4:$F$26,MATCH($H613,'CAT_ACTIVIDADES'!$A$4:$A$26,0)),"")=0,"",IFERROR(INDEX('CAT_ACTIVIDADES'!$F$4:$F$26,MATCH($H613,'CAT_ACTIVIDADES'!$A$4:$A$26,0)),"")))</f>
        <v/>
      </c>
      <c r="X613" s="24">
        <f>IF($F613="","",IFERROR(INDEX('CAT_CENTROS_COSTO'!$F$4:$F$28,MATCH($F613,'CAT_CENTROS_COSTO'!$A$4:$A$28,0)),"(sin catálogo)"))</f>
        <v/>
      </c>
      <c r="Y613" s="24">
        <f>IF($F613="","",IFERROR(INDEX('CAT_CENTROS_COSTO'!$D$4:$D$28,MATCH($F613,'CAT_CENTROS_COSTO'!$A$4:$A$28,0)),"(sin catálogo)"))</f>
        <v/>
      </c>
      <c r="Z613" s="24">
        <f>IF($F613="","",IF((IFERROR(INDEX('CAT_CENTROS_COSTO'!$E$4:$E$28,MATCH($F613,'CAT_CENTROS_COSTO'!$A$4:$A$28,0)),""))&lt;&gt;"",IFERROR(INDEX('CAT_CENTROS_COSTO'!$E$4:$E$28,MATCH($F613,'CAT_CENTROS_COSTO'!$A$4:$A$28,0)),""),$Y613))</f>
        <v/>
      </c>
      <c r="AA613" s="24">
        <f>IF($F613="","",IFERROR(INDEX('CAT_CENTROS_COSTO'!$G$4:$G$28,MATCH($F613,'CAT_CENTROS_COSTO'!$A$4:$A$28,0)),"(sin catálogo)"))</f>
        <v/>
      </c>
      <c r="AB613" s="24">
        <f>IF($G613="","",IFERROR(INDEX('CAT_PUESTOS'!$B$4:$B$23,MATCH($G613,'CAT_PUESTOS'!$A$4:$A$23,0)),"(sin catálogo)"))</f>
        <v/>
      </c>
      <c r="AC613" s="24">
        <f>IF($H613="","",IFERROR(INDEX('CAT_ACTIVIDADES'!$B$4:$B$26,MATCH($H613,'CAT_ACTIVIDADES'!$A$4:$A$26,0)),"(sin catálogo)"))</f>
        <v/>
      </c>
      <c r="AD613" s="26">
        <f>IF($J613="","",TODAY()-$J613)</f>
        <v/>
      </c>
      <c r="AE613" s="26">
        <f>IF($J613="","",IF($J613&lt;=TODAY(),COUNTIFS(cal_fechas,"&gt;="&amp;$J613,cal_fechas,"&lt;"&amp;TODAY(),cal_habil,"sí"),-COUNTIFS(cal_fechas,"&gt;="&amp;TODAY(),cal_fechas,"&lt;"&amp;$J613,cal_habil,"sí")))</f>
        <v/>
      </c>
      <c r="AF613" s="24">
        <f>IF($AE613="","",IF($AE613&lt;0,"FUTURO",IF($AE613&gt;p_dias_backlog_max,"BACKLOG","MES CORRIENTE")))</f>
        <v/>
      </c>
      <c r="AG613" s="24">
        <f>IF($AE613="",FALSE,AND($AE613&gt;p_dias_backlog_min,$AE613&lt;=p_dias_backlog_max))</f>
        <v/>
      </c>
      <c r="AH613" s="4" t="n"/>
      <c r="AI613" s="24">
        <f>IF($AH613="","",IF((IFERROR(INDEX('ASIGNACIONES'!$J$4:$J$451,MATCH($O613&amp;"|"&amp;$S613&amp;"|"&amp;$AH613,'ASIGNACIONES'!$N$4:$N$451,0)),""))=0,"",IFERROR(INDEX('ASIGNACIONES'!$J$4:$J$451,MATCH($O613&amp;"|"&amp;$S613&amp;"|"&amp;$AH613,'ASIGNACIONES'!$N$4:$N$451,0)),"")))</f>
        <v/>
      </c>
      <c r="AJ613" s="42">
        <f>IF($AH613="","",SUMIFS('ORDENES'!$M$4:$M$1203,'ORDENES'!$AH$4:$AH$1203,$AH613,'ORDENES'!$O$4:$O$1203,$O613,'ORDENES'!$S$4:$S$1203,$S613))</f>
        <v/>
      </c>
      <c r="AK613" s="42">
        <f>IF($AJ613="","",p_factor_productividad*IFERROR(INDEX('ASIGNACIONES'!$M$4:$M$451,MATCH($O613&amp;"|"&amp;$S613&amp;"|"&amp;$AH613,'ASIGNACIONES'!$N$4:$N$451,0)),0)-$AJ613)</f>
        <v/>
      </c>
      <c r="AL613" s="32">
        <f>IF($A613="","",IFERROR(INDEX('2_IMPORTAR_EJECUCION'!$F$9:$F$1208,MATCH($AU613,'2_IMPORTAR_EJECUCION'!$J$9:$J$1208,0)),0))</f>
        <v/>
      </c>
      <c r="AM613" s="32">
        <f>IF($A613="","",MAX(0,IFERROR(INDEX('2_IMPORTAR_EJECUCION'!$H$9:$H$1208,MATCH($AU613,'2_IMPORTAR_EJECUCION'!$J$9:$J$1208,0)),0)-$AL613))</f>
        <v/>
      </c>
      <c r="AN613" s="32">
        <f>IF($A613="","",$AL613+$AM613)</f>
        <v/>
      </c>
      <c r="AO613" s="24">
        <f>IF($A613="","",IF(OR((IFERROR(INDEX('CAT_ACTIVIDADES'!$D$4:$D$26,MATCH($H613,'CAT_ACTIVIDADES'!$A$4:$A$26,0)),""))=0,(IFERROR(INDEX('CAT_ACTIVIDADES'!$D$4:$D$26,MATCH($H613,'CAT_ACTIVIDADES'!$A$4:$A$26,0)),""))=""),"SIN CLASIFICAR",IFERROR(INDEX('CAT_ACTIVIDADES'!$D$4:$D$26,MATCH($H613,'CAT_ACTIVIDADES'!$A$4:$A$26,0)),"")))</f>
        <v/>
      </c>
      <c r="AP613" s="4" t="n"/>
      <c r="AQ613" s="4" t="n"/>
      <c r="AR613" s="4" t="n"/>
      <c r="AS613" s="24">
        <f>IF($AR613="","",HYPERLINK(p_ruta_base_checklists&amp;$AR613,"abrir"))</f>
        <v/>
      </c>
      <c r="AT613" s="4" t="n"/>
      <c r="AU613" s="24">
        <f>IF($A613="","",$A613&amp;IF($B613="","0010",$B613))</f>
        <v/>
      </c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41" t="n"/>
      <c r="K614" s="5" t="n"/>
      <c r="L614" s="18" t="n"/>
      <c r="M614" s="24">
        <f>IF($A614="","",IFERROR(INDEX('AJUSTES'!$B$4:$B$303,MATCH($AU614,'AJUSTES'!$A$4:$A$303,0)),IF($K614="","",$K614)))</f>
        <v/>
      </c>
      <c r="N614" s="24">
        <f>IF($A614="","",IFERROR(INDEX('CAT_ESTADOS_ERP'!$B$4:$B$22,MATCH(IFERROR(INDEX('2_IMPORTAR_EJECUCION'!$C$9:$C$1208,MATCH($AU614,'2_IMPORTAR_EJECUCION'!$J$9:$J$1208,0)),""),'CAT_ESTADOS_ERP'!$A$4:$A$22,0)),"Pendiente"))</f>
        <v/>
      </c>
      <c r="O614" s="24">
        <f>IF($J614="","",YEAR($J614+4-WEEKDAY($J614,2))&amp;"-S"&amp;TEXT(_xlfn.ISOWEEKNUM($J614),"00"))</f>
        <v/>
      </c>
      <c r="P614" s="24">
        <f>IF($J614="","",YEAR($J614))</f>
        <v/>
      </c>
      <c r="Q614" s="24">
        <f>IF($J614="","",MONTH($J614))</f>
        <v/>
      </c>
      <c r="R614" s="24">
        <f>IF($J614="","",$P614&amp;"-"&amp;TEXT($Q614,"00"))</f>
        <v/>
      </c>
      <c r="S614" s="24">
        <f>IF($J614="","",INDEX(lista_dias,WEEKDAY($J614,2)))</f>
        <v/>
      </c>
      <c r="T614" s="24">
        <f>IF($J614="","",IFERROR(INDEX('CALENDARIO'!$C$15:$C$214,MATCH(TEXT($J614,"yyyy-mm-dd")&amp;"|"&amp;$Y614&amp;"|"&amp;$Z614,'CALENDARIO'!$G$15:$G$214,0)),IFERROR(INDEX('CALENDARIO'!$C$15:$C$214,MATCH(TEXT($J614,"yyyy-mm-dd")&amp;"|"&amp;$Y614&amp;"|",'CALENDARIO'!$G$15:$G$214,0)),IFERROR(INDEX('CALENDARIO'!$C$15:$C$214,MATCH(TEXT($J614,"yyyy-mm-dd")&amp;"||",'CALENDARIO'!$G$15:$G$214,0)),INDEX(patronHabil,WEEKDAY($J614,2))))))</f>
        <v/>
      </c>
      <c r="U614" s="24">
        <f>IF($I614="","",IFERROR(INDEX('CAT_TIPOS_OT'!$C$4:$C$23,MATCH($I614,'CAT_TIPOS_OT'!$A$4:$A$23,0)),"sin_clasificar"))</f>
        <v/>
      </c>
      <c r="V614" s="24">
        <f>IF($I614="","",IF(IFERROR(INDEX('CAT_TIPOS_OT'!$D$4:$D$23,MATCH($I614,'CAT_TIPOS_OT'!$A$4:$A$23,0)),"SIN CLASIFICAR")="","SIN CLASIFICAR",IFERROR(INDEX('CAT_TIPOS_OT'!$D$4:$D$23,MATCH($I614,'CAT_TIPOS_OT'!$A$4:$A$23,0)),"SIN CLASIFICAR")))</f>
        <v/>
      </c>
      <c r="W614" s="24">
        <f>IF($H614="","",IF(IFERROR(INDEX('CAT_ACTIVIDADES'!$F$4:$F$26,MATCH($H614,'CAT_ACTIVIDADES'!$A$4:$A$26,0)),"")=0,"",IFERROR(INDEX('CAT_ACTIVIDADES'!$F$4:$F$26,MATCH($H614,'CAT_ACTIVIDADES'!$A$4:$A$26,0)),"")))</f>
        <v/>
      </c>
      <c r="X614" s="24">
        <f>IF($F614="","",IFERROR(INDEX('CAT_CENTROS_COSTO'!$F$4:$F$28,MATCH($F614,'CAT_CENTROS_COSTO'!$A$4:$A$28,0)),"(sin catálogo)"))</f>
        <v/>
      </c>
      <c r="Y614" s="24">
        <f>IF($F614="","",IFERROR(INDEX('CAT_CENTROS_COSTO'!$D$4:$D$28,MATCH($F614,'CAT_CENTROS_COSTO'!$A$4:$A$28,0)),"(sin catálogo)"))</f>
        <v/>
      </c>
      <c r="Z614" s="24">
        <f>IF($F614="","",IF((IFERROR(INDEX('CAT_CENTROS_COSTO'!$E$4:$E$28,MATCH($F614,'CAT_CENTROS_COSTO'!$A$4:$A$28,0)),""))&lt;&gt;"",IFERROR(INDEX('CAT_CENTROS_COSTO'!$E$4:$E$28,MATCH($F614,'CAT_CENTROS_COSTO'!$A$4:$A$28,0)),""),$Y614))</f>
        <v/>
      </c>
      <c r="AA614" s="24">
        <f>IF($F614="","",IFERROR(INDEX('CAT_CENTROS_COSTO'!$G$4:$G$28,MATCH($F614,'CAT_CENTROS_COSTO'!$A$4:$A$28,0)),"(sin catálogo)"))</f>
        <v/>
      </c>
      <c r="AB614" s="24">
        <f>IF($G614="","",IFERROR(INDEX('CAT_PUESTOS'!$B$4:$B$23,MATCH($G614,'CAT_PUESTOS'!$A$4:$A$23,0)),"(sin catálogo)"))</f>
        <v/>
      </c>
      <c r="AC614" s="24">
        <f>IF($H614="","",IFERROR(INDEX('CAT_ACTIVIDADES'!$B$4:$B$26,MATCH($H614,'CAT_ACTIVIDADES'!$A$4:$A$26,0)),"(sin catálogo)"))</f>
        <v/>
      </c>
      <c r="AD614" s="26">
        <f>IF($J614="","",TODAY()-$J614)</f>
        <v/>
      </c>
      <c r="AE614" s="26">
        <f>IF($J614="","",IF($J614&lt;=TODAY(),COUNTIFS(cal_fechas,"&gt;="&amp;$J614,cal_fechas,"&lt;"&amp;TODAY(),cal_habil,"sí"),-COUNTIFS(cal_fechas,"&gt;="&amp;TODAY(),cal_fechas,"&lt;"&amp;$J614,cal_habil,"sí")))</f>
        <v/>
      </c>
      <c r="AF614" s="24">
        <f>IF($AE614="","",IF($AE614&lt;0,"FUTURO",IF($AE614&gt;p_dias_backlog_max,"BACKLOG","MES CORRIENTE")))</f>
        <v/>
      </c>
      <c r="AG614" s="24">
        <f>IF($AE614="",FALSE,AND($AE614&gt;p_dias_backlog_min,$AE614&lt;=p_dias_backlog_max))</f>
        <v/>
      </c>
      <c r="AH614" s="4" t="n"/>
      <c r="AI614" s="24">
        <f>IF($AH614="","",IF((IFERROR(INDEX('ASIGNACIONES'!$J$4:$J$451,MATCH($O614&amp;"|"&amp;$S614&amp;"|"&amp;$AH614,'ASIGNACIONES'!$N$4:$N$451,0)),""))=0,"",IFERROR(INDEX('ASIGNACIONES'!$J$4:$J$451,MATCH($O614&amp;"|"&amp;$S614&amp;"|"&amp;$AH614,'ASIGNACIONES'!$N$4:$N$451,0)),"")))</f>
        <v/>
      </c>
      <c r="AJ614" s="42">
        <f>IF($AH614="","",SUMIFS('ORDENES'!$M$4:$M$1203,'ORDENES'!$AH$4:$AH$1203,$AH614,'ORDENES'!$O$4:$O$1203,$O614,'ORDENES'!$S$4:$S$1203,$S614))</f>
        <v/>
      </c>
      <c r="AK614" s="42">
        <f>IF($AJ614="","",p_factor_productividad*IFERROR(INDEX('ASIGNACIONES'!$M$4:$M$451,MATCH($O614&amp;"|"&amp;$S614&amp;"|"&amp;$AH614,'ASIGNACIONES'!$N$4:$N$451,0)),0)-$AJ614)</f>
        <v/>
      </c>
      <c r="AL614" s="32">
        <f>IF($A614="","",IFERROR(INDEX('2_IMPORTAR_EJECUCION'!$F$9:$F$1208,MATCH($AU614,'2_IMPORTAR_EJECUCION'!$J$9:$J$1208,0)),0))</f>
        <v/>
      </c>
      <c r="AM614" s="32">
        <f>IF($A614="","",MAX(0,IFERROR(INDEX('2_IMPORTAR_EJECUCION'!$H$9:$H$1208,MATCH($AU614,'2_IMPORTAR_EJECUCION'!$J$9:$J$1208,0)),0)-$AL614))</f>
        <v/>
      </c>
      <c r="AN614" s="32">
        <f>IF($A614="","",$AL614+$AM614)</f>
        <v/>
      </c>
      <c r="AO614" s="24">
        <f>IF($A614="","",IF(OR((IFERROR(INDEX('CAT_ACTIVIDADES'!$D$4:$D$26,MATCH($H614,'CAT_ACTIVIDADES'!$A$4:$A$26,0)),""))=0,(IFERROR(INDEX('CAT_ACTIVIDADES'!$D$4:$D$26,MATCH($H614,'CAT_ACTIVIDADES'!$A$4:$A$26,0)),""))=""),"SIN CLASIFICAR",IFERROR(INDEX('CAT_ACTIVIDADES'!$D$4:$D$26,MATCH($H614,'CAT_ACTIVIDADES'!$A$4:$A$26,0)),"")))</f>
        <v/>
      </c>
      <c r="AP614" s="4" t="n"/>
      <c r="AQ614" s="4" t="n"/>
      <c r="AR614" s="4" t="n"/>
      <c r="AS614" s="24">
        <f>IF($AR614="","",HYPERLINK(p_ruta_base_checklists&amp;$AR614,"abrir"))</f>
        <v/>
      </c>
      <c r="AT614" s="4" t="n"/>
      <c r="AU614" s="24">
        <f>IF($A614="","",$A614&amp;IF($B614="","0010",$B614))</f>
        <v/>
      </c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41" t="n"/>
      <c r="K615" s="5" t="n"/>
      <c r="L615" s="18" t="n"/>
      <c r="M615" s="24">
        <f>IF($A615="","",IFERROR(INDEX('AJUSTES'!$B$4:$B$303,MATCH($AU615,'AJUSTES'!$A$4:$A$303,0)),IF($K615="","",$K615)))</f>
        <v/>
      </c>
      <c r="N615" s="24">
        <f>IF($A615="","",IFERROR(INDEX('CAT_ESTADOS_ERP'!$B$4:$B$22,MATCH(IFERROR(INDEX('2_IMPORTAR_EJECUCION'!$C$9:$C$1208,MATCH($AU615,'2_IMPORTAR_EJECUCION'!$J$9:$J$1208,0)),""),'CAT_ESTADOS_ERP'!$A$4:$A$22,0)),"Pendiente"))</f>
        <v/>
      </c>
      <c r="O615" s="24">
        <f>IF($J615="","",YEAR($J615+4-WEEKDAY($J615,2))&amp;"-S"&amp;TEXT(_xlfn.ISOWEEKNUM($J615),"00"))</f>
        <v/>
      </c>
      <c r="P615" s="24">
        <f>IF($J615="","",YEAR($J615))</f>
        <v/>
      </c>
      <c r="Q615" s="24">
        <f>IF($J615="","",MONTH($J615))</f>
        <v/>
      </c>
      <c r="R615" s="24">
        <f>IF($J615="","",$P615&amp;"-"&amp;TEXT($Q615,"00"))</f>
        <v/>
      </c>
      <c r="S615" s="24">
        <f>IF($J615="","",INDEX(lista_dias,WEEKDAY($J615,2)))</f>
        <v/>
      </c>
      <c r="T615" s="24">
        <f>IF($J615="","",IFERROR(INDEX('CALENDARIO'!$C$15:$C$214,MATCH(TEXT($J615,"yyyy-mm-dd")&amp;"|"&amp;$Y615&amp;"|"&amp;$Z615,'CALENDARIO'!$G$15:$G$214,0)),IFERROR(INDEX('CALENDARIO'!$C$15:$C$214,MATCH(TEXT($J615,"yyyy-mm-dd")&amp;"|"&amp;$Y615&amp;"|",'CALENDARIO'!$G$15:$G$214,0)),IFERROR(INDEX('CALENDARIO'!$C$15:$C$214,MATCH(TEXT($J615,"yyyy-mm-dd")&amp;"||",'CALENDARIO'!$G$15:$G$214,0)),INDEX(patronHabil,WEEKDAY($J615,2))))))</f>
        <v/>
      </c>
      <c r="U615" s="24">
        <f>IF($I615="","",IFERROR(INDEX('CAT_TIPOS_OT'!$C$4:$C$23,MATCH($I615,'CAT_TIPOS_OT'!$A$4:$A$23,0)),"sin_clasificar"))</f>
        <v/>
      </c>
      <c r="V615" s="24">
        <f>IF($I615="","",IF(IFERROR(INDEX('CAT_TIPOS_OT'!$D$4:$D$23,MATCH($I615,'CAT_TIPOS_OT'!$A$4:$A$23,0)),"SIN CLASIFICAR")="","SIN CLASIFICAR",IFERROR(INDEX('CAT_TIPOS_OT'!$D$4:$D$23,MATCH($I615,'CAT_TIPOS_OT'!$A$4:$A$23,0)),"SIN CLASIFICAR")))</f>
        <v/>
      </c>
      <c r="W615" s="24">
        <f>IF($H615="","",IF(IFERROR(INDEX('CAT_ACTIVIDADES'!$F$4:$F$26,MATCH($H615,'CAT_ACTIVIDADES'!$A$4:$A$26,0)),"")=0,"",IFERROR(INDEX('CAT_ACTIVIDADES'!$F$4:$F$26,MATCH($H615,'CAT_ACTIVIDADES'!$A$4:$A$26,0)),"")))</f>
        <v/>
      </c>
      <c r="X615" s="24">
        <f>IF($F615="","",IFERROR(INDEX('CAT_CENTROS_COSTO'!$F$4:$F$28,MATCH($F615,'CAT_CENTROS_COSTO'!$A$4:$A$28,0)),"(sin catálogo)"))</f>
        <v/>
      </c>
      <c r="Y615" s="24">
        <f>IF($F615="","",IFERROR(INDEX('CAT_CENTROS_COSTO'!$D$4:$D$28,MATCH($F615,'CAT_CENTROS_COSTO'!$A$4:$A$28,0)),"(sin catálogo)"))</f>
        <v/>
      </c>
      <c r="Z615" s="24">
        <f>IF($F615="","",IF((IFERROR(INDEX('CAT_CENTROS_COSTO'!$E$4:$E$28,MATCH($F615,'CAT_CENTROS_COSTO'!$A$4:$A$28,0)),""))&lt;&gt;"",IFERROR(INDEX('CAT_CENTROS_COSTO'!$E$4:$E$28,MATCH($F615,'CAT_CENTROS_COSTO'!$A$4:$A$28,0)),""),$Y615))</f>
        <v/>
      </c>
      <c r="AA615" s="24">
        <f>IF($F615="","",IFERROR(INDEX('CAT_CENTROS_COSTO'!$G$4:$G$28,MATCH($F615,'CAT_CENTROS_COSTO'!$A$4:$A$28,0)),"(sin catálogo)"))</f>
        <v/>
      </c>
      <c r="AB615" s="24">
        <f>IF($G615="","",IFERROR(INDEX('CAT_PUESTOS'!$B$4:$B$23,MATCH($G615,'CAT_PUESTOS'!$A$4:$A$23,0)),"(sin catálogo)"))</f>
        <v/>
      </c>
      <c r="AC615" s="24">
        <f>IF($H615="","",IFERROR(INDEX('CAT_ACTIVIDADES'!$B$4:$B$26,MATCH($H615,'CAT_ACTIVIDADES'!$A$4:$A$26,0)),"(sin catálogo)"))</f>
        <v/>
      </c>
      <c r="AD615" s="26">
        <f>IF($J615="","",TODAY()-$J615)</f>
        <v/>
      </c>
      <c r="AE615" s="26">
        <f>IF($J615="","",IF($J615&lt;=TODAY(),COUNTIFS(cal_fechas,"&gt;="&amp;$J615,cal_fechas,"&lt;"&amp;TODAY(),cal_habil,"sí"),-COUNTIFS(cal_fechas,"&gt;="&amp;TODAY(),cal_fechas,"&lt;"&amp;$J615,cal_habil,"sí")))</f>
        <v/>
      </c>
      <c r="AF615" s="24">
        <f>IF($AE615="","",IF($AE615&lt;0,"FUTURO",IF($AE615&gt;p_dias_backlog_max,"BACKLOG","MES CORRIENTE")))</f>
        <v/>
      </c>
      <c r="AG615" s="24">
        <f>IF($AE615="",FALSE,AND($AE615&gt;p_dias_backlog_min,$AE615&lt;=p_dias_backlog_max))</f>
        <v/>
      </c>
      <c r="AH615" s="4" t="n"/>
      <c r="AI615" s="24">
        <f>IF($AH615="","",IF((IFERROR(INDEX('ASIGNACIONES'!$J$4:$J$451,MATCH($O615&amp;"|"&amp;$S615&amp;"|"&amp;$AH615,'ASIGNACIONES'!$N$4:$N$451,0)),""))=0,"",IFERROR(INDEX('ASIGNACIONES'!$J$4:$J$451,MATCH($O615&amp;"|"&amp;$S615&amp;"|"&amp;$AH615,'ASIGNACIONES'!$N$4:$N$451,0)),"")))</f>
        <v/>
      </c>
      <c r="AJ615" s="42">
        <f>IF($AH615="","",SUMIFS('ORDENES'!$M$4:$M$1203,'ORDENES'!$AH$4:$AH$1203,$AH615,'ORDENES'!$O$4:$O$1203,$O615,'ORDENES'!$S$4:$S$1203,$S615))</f>
        <v/>
      </c>
      <c r="AK615" s="42">
        <f>IF($AJ615="","",p_factor_productividad*IFERROR(INDEX('ASIGNACIONES'!$M$4:$M$451,MATCH($O615&amp;"|"&amp;$S615&amp;"|"&amp;$AH615,'ASIGNACIONES'!$N$4:$N$451,0)),0)-$AJ615)</f>
        <v/>
      </c>
      <c r="AL615" s="32">
        <f>IF($A615="","",IFERROR(INDEX('2_IMPORTAR_EJECUCION'!$F$9:$F$1208,MATCH($AU615,'2_IMPORTAR_EJECUCION'!$J$9:$J$1208,0)),0))</f>
        <v/>
      </c>
      <c r="AM615" s="32">
        <f>IF($A615="","",MAX(0,IFERROR(INDEX('2_IMPORTAR_EJECUCION'!$H$9:$H$1208,MATCH($AU615,'2_IMPORTAR_EJECUCION'!$J$9:$J$1208,0)),0)-$AL615))</f>
        <v/>
      </c>
      <c r="AN615" s="32">
        <f>IF($A615="","",$AL615+$AM615)</f>
        <v/>
      </c>
      <c r="AO615" s="24">
        <f>IF($A615="","",IF(OR((IFERROR(INDEX('CAT_ACTIVIDADES'!$D$4:$D$26,MATCH($H615,'CAT_ACTIVIDADES'!$A$4:$A$26,0)),""))=0,(IFERROR(INDEX('CAT_ACTIVIDADES'!$D$4:$D$26,MATCH($H615,'CAT_ACTIVIDADES'!$A$4:$A$26,0)),""))=""),"SIN CLASIFICAR",IFERROR(INDEX('CAT_ACTIVIDADES'!$D$4:$D$26,MATCH($H615,'CAT_ACTIVIDADES'!$A$4:$A$26,0)),"")))</f>
        <v/>
      </c>
      <c r="AP615" s="4" t="n"/>
      <c r="AQ615" s="4" t="n"/>
      <c r="AR615" s="4" t="n"/>
      <c r="AS615" s="24">
        <f>IF($AR615="","",HYPERLINK(p_ruta_base_checklists&amp;$AR615,"abrir"))</f>
        <v/>
      </c>
      <c r="AT615" s="4" t="n"/>
      <c r="AU615" s="24">
        <f>IF($A615="","",$A615&amp;IF($B615="","0010",$B615))</f>
        <v/>
      </c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41" t="n"/>
      <c r="K616" s="5" t="n"/>
      <c r="L616" s="18" t="n"/>
      <c r="M616" s="24">
        <f>IF($A616="","",IFERROR(INDEX('AJUSTES'!$B$4:$B$303,MATCH($AU616,'AJUSTES'!$A$4:$A$303,0)),IF($K616="","",$K616)))</f>
        <v/>
      </c>
      <c r="N616" s="24">
        <f>IF($A616="","",IFERROR(INDEX('CAT_ESTADOS_ERP'!$B$4:$B$22,MATCH(IFERROR(INDEX('2_IMPORTAR_EJECUCION'!$C$9:$C$1208,MATCH($AU616,'2_IMPORTAR_EJECUCION'!$J$9:$J$1208,0)),""),'CAT_ESTADOS_ERP'!$A$4:$A$22,0)),"Pendiente"))</f>
        <v/>
      </c>
      <c r="O616" s="24">
        <f>IF($J616="","",YEAR($J616+4-WEEKDAY($J616,2))&amp;"-S"&amp;TEXT(_xlfn.ISOWEEKNUM($J616),"00"))</f>
        <v/>
      </c>
      <c r="P616" s="24">
        <f>IF($J616="","",YEAR($J616))</f>
        <v/>
      </c>
      <c r="Q616" s="24">
        <f>IF($J616="","",MONTH($J616))</f>
        <v/>
      </c>
      <c r="R616" s="24">
        <f>IF($J616="","",$P616&amp;"-"&amp;TEXT($Q616,"00"))</f>
        <v/>
      </c>
      <c r="S616" s="24">
        <f>IF($J616="","",INDEX(lista_dias,WEEKDAY($J616,2)))</f>
        <v/>
      </c>
      <c r="T616" s="24">
        <f>IF($J616="","",IFERROR(INDEX('CALENDARIO'!$C$15:$C$214,MATCH(TEXT($J616,"yyyy-mm-dd")&amp;"|"&amp;$Y616&amp;"|"&amp;$Z616,'CALENDARIO'!$G$15:$G$214,0)),IFERROR(INDEX('CALENDARIO'!$C$15:$C$214,MATCH(TEXT($J616,"yyyy-mm-dd")&amp;"|"&amp;$Y616&amp;"|",'CALENDARIO'!$G$15:$G$214,0)),IFERROR(INDEX('CALENDARIO'!$C$15:$C$214,MATCH(TEXT($J616,"yyyy-mm-dd")&amp;"||",'CALENDARIO'!$G$15:$G$214,0)),INDEX(patronHabil,WEEKDAY($J616,2))))))</f>
        <v/>
      </c>
      <c r="U616" s="24">
        <f>IF($I616="","",IFERROR(INDEX('CAT_TIPOS_OT'!$C$4:$C$23,MATCH($I616,'CAT_TIPOS_OT'!$A$4:$A$23,0)),"sin_clasificar"))</f>
        <v/>
      </c>
      <c r="V616" s="24">
        <f>IF($I616="","",IF(IFERROR(INDEX('CAT_TIPOS_OT'!$D$4:$D$23,MATCH($I616,'CAT_TIPOS_OT'!$A$4:$A$23,0)),"SIN CLASIFICAR")="","SIN CLASIFICAR",IFERROR(INDEX('CAT_TIPOS_OT'!$D$4:$D$23,MATCH($I616,'CAT_TIPOS_OT'!$A$4:$A$23,0)),"SIN CLASIFICAR")))</f>
        <v/>
      </c>
      <c r="W616" s="24">
        <f>IF($H616="","",IF(IFERROR(INDEX('CAT_ACTIVIDADES'!$F$4:$F$26,MATCH($H616,'CAT_ACTIVIDADES'!$A$4:$A$26,0)),"")=0,"",IFERROR(INDEX('CAT_ACTIVIDADES'!$F$4:$F$26,MATCH($H616,'CAT_ACTIVIDADES'!$A$4:$A$26,0)),"")))</f>
        <v/>
      </c>
      <c r="X616" s="24">
        <f>IF($F616="","",IFERROR(INDEX('CAT_CENTROS_COSTO'!$F$4:$F$28,MATCH($F616,'CAT_CENTROS_COSTO'!$A$4:$A$28,0)),"(sin catálogo)"))</f>
        <v/>
      </c>
      <c r="Y616" s="24">
        <f>IF($F616="","",IFERROR(INDEX('CAT_CENTROS_COSTO'!$D$4:$D$28,MATCH($F616,'CAT_CENTROS_COSTO'!$A$4:$A$28,0)),"(sin catálogo)"))</f>
        <v/>
      </c>
      <c r="Z616" s="24">
        <f>IF($F616="","",IF((IFERROR(INDEX('CAT_CENTROS_COSTO'!$E$4:$E$28,MATCH($F616,'CAT_CENTROS_COSTO'!$A$4:$A$28,0)),""))&lt;&gt;"",IFERROR(INDEX('CAT_CENTROS_COSTO'!$E$4:$E$28,MATCH($F616,'CAT_CENTROS_COSTO'!$A$4:$A$28,0)),""),$Y616))</f>
        <v/>
      </c>
      <c r="AA616" s="24">
        <f>IF($F616="","",IFERROR(INDEX('CAT_CENTROS_COSTO'!$G$4:$G$28,MATCH($F616,'CAT_CENTROS_COSTO'!$A$4:$A$28,0)),"(sin catálogo)"))</f>
        <v/>
      </c>
      <c r="AB616" s="24">
        <f>IF($G616="","",IFERROR(INDEX('CAT_PUESTOS'!$B$4:$B$23,MATCH($G616,'CAT_PUESTOS'!$A$4:$A$23,0)),"(sin catálogo)"))</f>
        <v/>
      </c>
      <c r="AC616" s="24">
        <f>IF($H616="","",IFERROR(INDEX('CAT_ACTIVIDADES'!$B$4:$B$26,MATCH($H616,'CAT_ACTIVIDADES'!$A$4:$A$26,0)),"(sin catálogo)"))</f>
        <v/>
      </c>
      <c r="AD616" s="26">
        <f>IF($J616="","",TODAY()-$J616)</f>
        <v/>
      </c>
      <c r="AE616" s="26">
        <f>IF($J616="","",IF($J616&lt;=TODAY(),COUNTIFS(cal_fechas,"&gt;="&amp;$J616,cal_fechas,"&lt;"&amp;TODAY(),cal_habil,"sí"),-COUNTIFS(cal_fechas,"&gt;="&amp;TODAY(),cal_fechas,"&lt;"&amp;$J616,cal_habil,"sí")))</f>
        <v/>
      </c>
      <c r="AF616" s="24">
        <f>IF($AE616="","",IF($AE616&lt;0,"FUTURO",IF($AE616&gt;p_dias_backlog_max,"BACKLOG","MES CORRIENTE")))</f>
        <v/>
      </c>
      <c r="AG616" s="24">
        <f>IF($AE616="",FALSE,AND($AE616&gt;p_dias_backlog_min,$AE616&lt;=p_dias_backlog_max))</f>
        <v/>
      </c>
      <c r="AH616" s="4" t="n"/>
      <c r="AI616" s="24">
        <f>IF($AH616="","",IF((IFERROR(INDEX('ASIGNACIONES'!$J$4:$J$451,MATCH($O616&amp;"|"&amp;$S616&amp;"|"&amp;$AH616,'ASIGNACIONES'!$N$4:$N$451,0)),""))=0,"",IFERROR(INDEX('ASIGNACIONES'!$J$4:$J$451,MATCH($O616&amp;"|"&amp;$S616&amp;"|"&amp;$AH616,'ASIGNACIONES'!$N$4:$N$451,0)),"")))</f>
        <v/>
      </c>
      <c r="AJ616" s="42">
        <f>IF($AH616="","",SUMIFS('ORDENES'!$M$4:$M$1203,'ORDENES'!$AH$4:$AH$1203,$AH616,'ORDENES'!$O$4:$O$1203,$O616,'ORDENES'!$S$4:$S$1203,$S616))</f>
        <v/>
      </c>
      <c r="AK616" s="42">
        <f>IF($AJ616="","",p_factor_productividad*IFERROR(INDEX('ASIGNACIONES'!$M$4:$M$451,MATCH($O616&amp;"|"&amp;$S616&amp;"|"&amp;$AH616,'ASIGNACIONES'!$N$4:$N$451,0)),0)-$AJ616)</f>
        <v/>
      </c>
      <c r="AL616" s="32">
        <f>IF($A616="","",IFERROR(INDEX('2_IMPORTAR_EJECUCION'!$F$9:$F$1208,MATCH($AU616,'2_IMPORTAR_EJECUCION'!$J$9:$J$1208,0)),0))</f>
        <v/>
      </c>
      <c r="AM616" s="32">
        <f>IF($A616="","",MAX(0,IFERROR(INDEX('2_IMPORTAR_EJECUCION'!$H$9:$H$1208,MATCH($AU616,'2_IMPORTAR_EJECUCION'!$J$9:$J$1208,0)),0)-$AL616))</f>
        <v/>
      </c>
      <c r="AN616" s="32">
        <f>IF($A616="","",$AL616+$AM616)</f>
        <v/>
      </c>
      <c r="AO616" s="24">
        <f>IF($A616="","",IF(OR((IFERROR(INDEX('CAT_ACTIVIDADES'!$D$4:$D$26,MATCH($H616,'CAT_ACTIVIDADES'!$A$4:$A$26,0)),""))=0,(IFERROR(INDEX('CAT_ACTIVIDADES'!$D$4:$D$26,MATCH($H616,'CAT_ACTIVIDADES'!$A$4:$A$26,0)),""))=""),"SIN CLASIFICAR",IFERROR(INDEX('CAT_ACTIVIDADES'!$D$4:$D$26,MATCH($H616,'CAT_ACTIVIDADES'!$A$4:$A$26,0)),"")))</f>
        <v/>
      </c>
      <c r="AP616" s="4" t="n"/>
      <c r="AQ616" s="4" t="n"/>
      <c r="AR616" s="4" t="n"/>
      <c r="AS616" s="24">
        <f>IF($AR616="","",HYPERLINK(p_ruta_base_checklists&amp;$AR616,"abrir"))</f>
        <v/>
      </c>
      <c r="AT616" s="4" t="n"/>
      <c r="AU616" s="24">
        <f>IF($A616="","",$A616&amp;IF($B616="","0010",$B616))</f>
        <v/>
      </c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41" t="n"/>
      <c r="K617" s="5" t="n"/>
      <c r="L617" s="18" t="n"/>
      <c r="M617" s="24">
        <f>IF($A617="","",IFERROR(INDEX('AJUSTES'!$B$4:$B$303,MATCH($AU617,'AJUSTES'!$A$4:$A$303,0)),IF($K617="","",$K617)))</f>
        <v/>
      </c>
      <c r="N617" s="24">
        <f>IF($A617="","",IFERROR(INDEX('CAT_ESTADOS_ERP'!$B$4:$B$22,MATCH(IFERROR(INDEX('2_IMPORTAR_EJECUCION'!$C$9:$C$1208,MATCH($AU617,'2_IMPORTAR_EJECUCION'!$J$9:$J$1208,0)),""),'CAT_ESTADOS_ERP'!$A$4:$A$22,0)),"Pendiente"))</f>
        <v/>
      </c>
      <c r="O617" s="24">
        <f>IF($J617="","",YEAR($J617+4-WEEKDAY($J617,2))&amp;"-S"&amp;TEXT(_xlfn.ISOWEEKNUM($J617),"00"))</f>
        <v/>
      </c>
      <c r="P617" s="24">
        <f>IF($J617="","",YEAR($J617))</f>
        <v/>
      </c>
      <c r="Q617" s="24">
        <f>IF($J617="","",MONTH($J617))</f>
        <v/>
      </c>
      <c r="R617" s="24">
        <f>IF($J617="","",$P617&amp;"-"&amp;TEXT($Q617,"00"))</f>
        <v/>
      </c>
      <c r="S617" s="24">
        <f>IF($J617="","",INDEX(lista_dias,WEEKDAY($J617,2)))</f>
        <v/>
      </c>
      <c r="T617" s="24">
        <f>IF($J617="","",IFERROR(INDEX('CALENDARIO'!$C$15:$C$214,MATCH(TEXT($J617,"yyyy-mm-dd")&amp;"|"&amp;$Y617&amp;"|"&amp;$Z617,'CALENDARIO'!$G$15:$G$214,0)),IFERROR(INDEX('CALENDARIO'!$C$15:$C$214,MATCH(TEXT($J617,"yyyy-mm-dd")&amp;"|"&amp;$Y617&amp;"|",'CALENDARIO'!$G$15:$G$214,0)),IFERROR(INDEX('CALENDARIO'!$C$15:$C$214,MATCH(TEXT($J617,"yyyy-mm-dd")&amp;"||",'CALENDARIO'!$G$15:$G$214,0)),INDEX(patronHabil,WEEKDAY($J617,2))))))</f>
        <v/>
      </c>
      <c r="U617" s="24">
        <f>IF($I617="","",IFERROR(INDEX('CAT_TIPOS_OT'!$C$4:$C$23,MATCH($I617,'CAT_TIPOS_OT'!$A$4:$A$23,0)),"sin_clasificar"))</f>
        <v/>
      </c>
      <c r="V617" s="24">
        <f>IF($I617="","",IF(IFERROR(INDEX('CAT_TIPOS_OT'!$D$4:$D$23,MATCH($I617,'CAT_TIPOS_OT'!$A$4:$A$23,0)),"SIN CLASIFICAR")="","SIN CLASIFICAR",IFERROR(INDEX('CAT_TIPOS_OT'!$D$4:$D$23,MATCH($I617,'CAT_TIPOS_OT'!$A$4:$A$23,0)),"SIN CLASIFICAR")))</f>
        <v/>
      </c>
      <c r="W617" s="24">
        <f>IF($H617="","",IF(IFERROR(INDEX('CAT_ACTIVIDADES'!$F$4:$F$26,MATCH($H617,'CAT_ACTIVIDADES'!$A$4:$A$26,0)),"")=0,"",IFERROR(INDEX('CAT_ACTIVIDADES'!$F$4:$F$26,MATCH($H617,'CAT_ACTIVIDADES'!$A$4:$A$26,0)),"")))</f>
        <v/>
      </c>
      <c r="X617" s="24">
        <f>IF($F617="","",IFERROR(INDEX('CAT_CENTROS_COSTO'!$F$4:$F$28,MATCH($F617,'CAT_CENTROS_COSTO'!$A$4:$A$28,0)),"(sin catálogo)"))</f>
        <v/>
      </c>
      <c r="Y617" s="24">
        <f>IF($F617="","",IFERROR(INDEX('CAT_CENTROS_COSTO'!$D$4:$D$28,MATCH($F617,'CAT_CENTROS_COSTO'!$A$4:$A$28,0)),"(sin catálogo)"))</f>
        <v/>
      </c>
      <c r="Z617" s="24">
        <f>IF($F617="","",IF((IFERROR(INDEX('CAT_CENTROS_COSTO'!$E$4:$E$28,MATCH($F617,'CAT_CENTROS_COSTO'!$A$4:$A$28,0)),""))&lt;&gt;"",IFERROR(INDEX('CAT_CENTROS_COSTO'!$E$4:$E$28,MATCH($F617,'CAT_CENTROS_COSTO'!$A$4:$A$28,0)),""),$Y617))</f>
        <v/>
      </c>
      <c r="AA617" s="24">
        <f>IF($F617="","",IFERROR(INDEX('CAT_CENTROS_COSTO'!$G$4:$G$28,MATCH($F617,'CAT_CENTROS_COSTO'!$A$4:$A$28,0)),"(sin catálogo)"))</f>
        <v/>
      </c>
      <c r="AB617" s="24">
        <f>IF($G617="","",IFERROR(INDEX('CAT_PUESTOS'!$B$4:$B$23,MATCH($G617,'CAT_PUESTOS'!$A$4:$A$23,0)),"(sin catálogo)"))</f>
        <v/>
      </c>
      <c r="AC617" s="24">
        <f>IF($H617="","",IFERROR(INDEX('CAT_ACTIVIDADES'!$B$4:$B$26,MATCH($H617,'CAT_ACTIVIDADES'!$A$4:$A$26,0)),"(sin catálogo)"))</f>
        <v/>
      </c>
      <c r="AD617" s="26">
        <f>IF($J617="","",TODAY()-$J617)</f>
        <v/>
      </c>
      <c r="AE617" s="26">
        <f>IF($J617="","",IF($J617&lt;=TODAY(),COUNTIFS(cal_fechas,"&gt;="&amp;$J617,cal_fechas,"&lt;"&amp;TODAY(),cal_habil,"sí"),-COUNTIFS(cal_fechas,"&gt;="&amp;TODAY(),cal_fechas,"&lt;"&amp;$J617,cal_habil,"sí")))</f>
        <v/>
      </c>
      <c r="AF617" s="24">
        <f>IF($AE617="","",IF($AE617&lt;0,"FUTURO",IF($AE617&gt;p_dias_backlog_max,"BACKLOG","MES CORRIENTE")))</f>
        <v/>
      </c>
      <c r="AG617" s="24">
        <f>IF($AE617="",FALSE,AND($AE617&gt;p_dias_backlog_min,$AE617&lt;=p_dias_backlog_max))</f>
        <v/>
      </c>
      <c r="AH617" s="4" t="n"/>
      <c r="AI617" s="24">
        <f>IF($AH617="","",IF((IFERROR(INDEX('ASIGNACIONES'!$J$4:$J$451,MATCH($O617&amp;"|"&amp;$S617&amp;"|"&amp;$AH617,'ASIGNACIONES'!$N$4:$N$451,0)),""))=0,"",IFERROR(INDEX('ASIGNACIONES'!$J$4:$J$451,MATCH($O617&amp;"|"&amp;$S617&amp;"|"&amp;$AH617,'ASIGNACIONES'!$N$4:$N$451,0)),"")))</f>
        <v/>
      </c>
      <c r="AJ617" s="42">
        <f>IF($AH617="","",SUMIFS('ORDENES'!$M$4:$M$1203,'ORDENES'!$AH$4:$AH$1203,$AH617,'ORDENES'!$O$4:$O$1203,$O617,'ORDENES'!$S$4:$S$1203,$S617))</f>
        <v/>
      </c>
      <c r="AK617" s="42">
        <f>IF($AJ617="","",p_factor_productividad*IFERROR(INDEX('ASIGNACIONES'!$M$4:$M$451,MATCH($O617&amp;"|"&amp;$S617&amp;"|"&amp;$AH617,'ASIGNACIONES'!$N$4:$N$451,0)),0)-$AJ617)</f>
        <v/>
      </c>
      <c r="AL617" s="32">
        <f>IF($A617="","",IFERROR(INDEX('2_IMPORTAR_EJECUCION'!$F$9:$F$1208,MATCH($AU617,'2_IMPORTAR_EJECUCION'!$J$9:$J$1208,0)),0))</f>
        <v/>
      </c>
      <c r="AM617" s="32">
        <f>IF($A617="","",MAX(0,IFERROR(INDEX('2_IMPORTAR_EJECUCION'!$H$9:$H$1208,MATCH($AU617,'2_IMPORTAR_EJECUCION'!$J$9:$J$1208,0)),0)-$AL617))</f>
        <v/>
      </c>
      <c r="AN617" s="32">
        <f>IF($A617="","",$AL617+$AM617)</f>
        <v/>
      </c>
      <c r="AO617" s="24">
        <f>IF($A617="","",IF(OR((IFERROR(INDEX('CAT_ACTIVIDADES'!$D$4:$D$26,MATCH($H617,'CAT_ACTIVIDADES'!$A$4:$A$26,0)),""))=0,(IFERROR(INDEX('CAT_ACTIVIDADES'!$D$4:$D$26,MATCH($H617,'CAT_ACTIVIDADES'!$A$4:$A$26,0)),""))=""),"SIN CLASIFICAR",IFERROR(INDEX('CAT_ACTIVIDADES'!$D$4:$D$26,MATCH($H617,'CAT_ACTIVIDADES'!$A$4:$A$26,0)),"")))</f>
        <v/>
      </c>
      <c r="AP617" s="4" t="n"/>
      <c r="AQ617" s="4" t="n"/>
      <c r="AR617" s="4" t="n"/>
      <c r="AS617" s="24">
        <f>IF($AR617="","",HYPERLINK(p_ruta_base_checklists&amp;$AR617,"abrir"))</f>
        <v/>
      </c>
      <c r="AT617" s="4" t="n"/>
      <c r="AU617" s="24">
        <f>IF($A617="","",$A617&amp;IF($B617="","0010",$B617))</f>
        <v/>
      </c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41" t="n"/>
      <c r="K618" s="5" t="n"/>
      <c r="L618" s="18" t="n"/>
      <c r="M618" s="24">
        <f>IF($A618="","",IFERROR(INDEX('AJUSTES'!$B$4:$B$303,MATCH($AU618,'AJUSTES'!$A$4:$A$303,0)),IF($K618="","",$K618)))</f>
        <v/>
      </c>
      <c r="N618" s="24">
        <f>IF($A618="","",IFERROR(INDEX('CAT_ESTADOS_ERP'!$B$4:$B$22,MATCH(IFERROR(INDEX('2_IMPORTAR_EJECUCION'!$C$9:$C$1208,MATCH($AU618,'2_IMPORTAR_EJECUCION'!$J$9:$J$1208,0)),""),'CAT_ESTADOS_ERP'!$A$4:$A$22,0)),"Pendiente"))</f>
        <v/>
      </c>
      <c r="O618" s="24">
        <f>IF($J618="","",YEAR($J618+4-WEEKDAY($J618,2))&amp;"-S"&amp;TEXT(_xlfn.ISOWEEKNUM($J618),"00"))</f>
        <v/>
      </c>
      <c r="P618" s="24">
        <f>IF($J618="","",YEAR($J618))</f>
        <v/>
      </c>
      <c r="Q618" s="24">
        <f>IF($J618="","",MONTH($J618))</f>
        <v/>
      </c>
      <c r="R618" s="24">
        <f>IF($J618="","",$P618&amp;"-"&amp;TEXT($Q618,"00"))</f>
        <v/>
      </c>
      <c r="S618" s="24">
        <f>IF($J618="","",INDEX(lista_dias,WEEKDAY($J618,2)))</f>
        <v/>
      </c>
      <c r="T618" s="24">
        <f>IF($J618="","",IFERROR(INDEX('CALENDARIO'!$C$15:$C$214,MATCH(TEXT($J618,"yyyy-mm-dd")&amp;"|"&amp;$Y618&amp;"|"&amp;$Z618,'CALENDARIO'!$G$15:$G$214,0)),IFERROR(INDEX('CALENDARIO'!$C$15:$C$214,MATCH(TEXT($J618,"yyyy-mm-dd")&amp;"|"&amp;$Y618&amp;"|",'CALENDARIO'!$G$15:$G$214,0)),IFERROR(INDEX('CALENDARIO'!$C$15:$C$214,MATCH(TEXT($J618,"yyyy-mm-dd")&amp;"||",'CALENDARIO'!$G$15:$G$214,0)),INDEX(patronHabil,WEEKDAY($J618,2))))))</f>
        <v/>
      </c>
      <c r="U618" s="24">
        <f>IF($I618="","",IFERROR(INDEX('CAT_TIPOS_OT'!$C$4:$C$23,MATCH($I618,'CAT_TIPOS_OT'!$A$4:$A$23,0)),"sin_clasificar"))</f>
        <v/>
      </c>
      <c r="V618" s="24">
        <f>IF($I618="","",IF(IFERROR(INDEX('CAT_TIPOS_OT'!$D$4:$D$23,MATCH($I618,'CAT_TIPOS_OT'!$A$4:$A$23,0)),"SIN CLASIFICAR")="","SIN CLASIFICAR",IFERROR(INDEX('CAT_TIPOS_OT'!$D$4:$D$23,MATCH($I618,'CAT_TIPOS_OT'!$A$4:$A$23,0)),"SIN CLASIFICAR")))</f>
        <v/>
      </c>
      <c r="W618" s="24">
        <f>IF($H618="","",IF(IFERROR(INDEX('CAT_ACTIVIDADES'!$F$4:$F$26,MATCH($H618,'CAT_ACTIVIDADES'!$A$4:$A$26,0)),"")=0,"",IFERROR(INDEX('CAT_ACTIVIDADES'!$F$4:$F$26,MATCH($H618,'CAT_ACTIVIDADES'!$A$4:$A$26,0)),"")))</f>
        <v/>
      </c>
      <c r="X618" s="24">
        <f>IF($F618="","",IFERROR(INDEX('CAT_CENTROS_COSTO'!$F$4:$F$28,MATCH($F618,'CAT_CENTROS_COSTO'!$A$4:$A$28,0)),"(sin catálogo)"))</f>
        <v/>
      </c>
      <c r="Y618" s="24">
        <f>IF($F618="","",IFERROR(INDEX('CAT_CENTROS_COSTO'!$D$4:$D$28,MATCH($F618,'CAT_CENTROS_COSTO'!$A$4:$A$28,0)),"(sin catálogo)"))</f>
        <v/>
      </c>
      <c r="Z618" s="24">
        <f>IF($F618="","",IF((IFERROR(INDEX('CAT_CENTROS_COSTO'!$E$4:$E$28,MATCH($F618,'CAT_CENTROS_COSTO'!$A$4:$A$28,0)),""))&lt;&gt;"",IFERROR(INDEX('CAT_CENTROS_COSTO'!$E$4:$E$28,MATCH($F618,'CAT_CENTROS_COSTO'!$A$4:$A$28,0)),""),$Y618))</f>
        <v/>
      </c>
      <c r="AA618" s="24">
        <f>IF($F618="","",IFERROR(INDEX('CAT_CENTROS_COSTO'!$G$4:$G$28,MATCH($F618,'CAT_CENTROS_COSTO'!$A$4:$A$28,0)),"(sin catálogo)"))</f>
        <v/>
      </c>
      <c r="AB618" s="24">
        <f>IF($G618="","",IFERROR(INDEX('CAT_PUESTOS'!$B$4:$B$23,MATCH($G618,'CAT_PUESTOS'!$A$4:$A$23,0)),"(sin catálogo)"))</f>
        <v/>
      </c>
      <c r="AC618" s="24">
        <f>IF($H618="","",IFERROR(INDEX('CAT_ACTIVIDADES'!$B$4:$B$26,MATCH($H618,'CAT_ACTIVIDADES'!$A$4:$A$26,0)),"(sin catálogo)"))</f>
        <v/>
      </c>
      <c r="AD618" s="26">
        <f>IF($J618="","",TODAY()-$J618)</f>
        <v/>
      </c>
      <c r="AE618" s="26">
        <f>IF($J618="","",IF($J618&lt;=TODAY(),COUNTIFS(cal_fechas,"&gt;="&amp;$J618,cal_fechas,"&lt;"&amp;TODAY(),cal_habil,"sí"),-COUNTIFS(cal_fechas,"&gt;="&amp;TODAY(),cal_fechas,"&lt;"&amp;$J618,cal_habil,"sí")))</f>
        <v/>
      </c>
      <c r="AF618" s="24">
        <f>IF($AE618="","",IF($AE618&lt;0,"FUTURO",IF($AE618&gt;p_dias_backlog_max,"BACKLOG","MES CORRIENTE")))</f>
        <v/>
      </c>
      <c r="AG618" s="24">
        <f>IF($AE618="",FALSE,AND($AE618&gt;p_dias_backlog_min,$AE618&lt;=p_dias_backlog_max))</f>
        <v/>
      </c>
      <c r="AH618" s="4" t="n"/>
      <c r="AI618" s="24">
        <f>IF($AH618="","",IF((IFERROR(INDEX('ASIGNACIONES'!$J$4:$J$451,MATCH($O618&amp;"|"&amp;$S618&amp;"|"&amp;$AH618,'ASIGNACIONES'!$N$4:$N$451,0)),""))=0,"",IFERROR(INDEX('ASIGNACIONES'!$J$4:$J$451,MATCH($O618&amp;"|"&amp;$S618&amp;"|"&amp;$AH618,'ASIGNACIONES'!$N$4:$N$451,0)),"")))</f>
        <v/>
      </c>
      <c r="AJ618" s="42">
        <f>IF($AH618="","",SUMIFS('ORDENES'!$M$4:$M$1203,'ORDENES'!$AH$4:$AH$1203,$AH618,'ORDENES'!$O$4:$O$1203,$O618,'ORDENES'!$S$4:$S$1203,$S618))</f>
        <v/>
      </c>
      <c r="AK618" s="42">
        <f>IF($AJ618="","",p_factor_productividad*IFERROR(INDEX('ASIGNACIONES'!$M$4:$M$451,MATCH($O618&amp;"|"&amp;$S618&amp;"|"&amp;$AH618,'ASIGNACIONES'!$N$4:$N$451,0)),0)-$AJ618)</f>
        <v/>
      </c>
      <c r="AL618" s="32">
        <f>IF($A618="","",IFERROR(INDEX('2_IMPORTAR_EJECUCION'!$F$9:$F$1208,MATCH($AU618,'2_IMPORTAR_EJECUCION'!$J$9:$J$1208,0)),0))</f>
        <v/>
      </c>
      <c r="AM618" s="32">
        <f>IF($A618="","",MAX(0,IFERROR(INDEX('2_IMPORTAR_EJECUCION'!$H$9:$H$1208,MATCH($AU618,'2_IMPORTAR_EJECUCION'!$J$9:$J$1208,0)),0)-$AL618))</f>
        <v/>
      </c>
      <c r="AN618" s="32">
        <f>IF($A618="","",$AL618+$AM618)</f>
        <v/>
      </c>
      <c r="AO618" s="24">
        <f>IF($A618="","",IF(OR((IFERROR(INDEX('CAT_ACTIVIDADES'!$D$4:$D$26,MATCH($H618,'CAT_ACTIVIDADES'!$A$4:$A$26,0)),""))=0,(IFERROR(INDEX('CAT_ACTIVIDADES'!$D$4:$D$26,MATCH($H618,'CAT_ACTIVIDADES'!$A$4:$A$26,0)),""))=""),"SIN CLASIFICAR",IFERROR(INDEX('CAT_ACTIVIDADES'!$D$4:$D$26,MATCH($H618,'CAT_ACTIVIDADES'!$A$4:$A$26,0)),"")))</f>
        <v/>
      </c>
      <c r="AP618" s="4" t="n"/>
      <c r="AQ618" s="4" t="n"/>
      <c r="AR618" s="4" t="n"/>
      <c r="AS618" s="24">
        <f>IF($AR618="","",HYPERLINK(p_ruta_base_checklists&amp;$AR618,"abrir"))</f>
        <v/>
      </c>
      <c r="AT618" s="4" t="n"/>
      <c r="AU618" s="24">
        <f>IF($A618="","",$A618&amp;IF($B618="","0010",$B618))</f>
        <v/>
      </c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41" t="n"/>
      <c r="K619" s="5" t="n"/>
      <c r="L619" s="18" t="n"/>
      <c r="M619" s="24">
        <f>IF($A619="","",IFERROR(INDEX('AJUSTES'!$B$4:$B$303,MATCH($AU619,'AJUSTES'!$A$4:$A$303,0)),IF($K619="","",$K619)))</f>
        <v/>
      </c>
      <c r="N619" s="24">
        <f>IF($A619="","",IFERROR(INDEX('CAT_ESTADOS_ERP'!$B$4:$B$22,MATCH(IFERROR(INDEX('2_IMPORTAR_EJECUCION'!$C$9:$C$1208,MATCH($AU619,'2_IMPORTAR_EJECUCION'!$J$9:$J$1208,0)),""),'CAT_ESTADOS_ERP'!$A$4:$A$22,0)),"Pendiente"))</f>
        <v/>
      </c>
      <c r="O619" s="24">
        <f>IF($J619="","",YEAR($J619+4-WEEKDAY($J619,2))&amp;"-S"&amp;TEXT(_xlfn.ISOWEEKNUM($J619),"00"))</f>
        <v/>
      </c>
      <c r="P619" s="24">
        <f>IF($J619="","",YEAR($J619))</f>
        <v/>
      </c>
      <c r="Q619" s="24">
        <f>IF($J619="","",MONTH($J619))</f>
        <v/>
      </c>
      <c r="R619" s="24">
        <f>IF($J619="","",$P619&amp;"-"&amp;TEXT($Q619,"00"))</f>
        <v/>
      </c>
      <c r="S619" s="24">
        <f>IF($J619="","",INDEX(lista_dias,WEEKDAY($J619,2)))</f>
        <v/>
      </c>
      <c r="T619" s="24">
        <f>IF($J619="","",IFERROR(INDEX('CALENDARIO'!$C$15:$C$214,MATCH(TEXT($J619,"yyyy-mm-dd")&amp;"|"&amp;$Y619&amp;"|"&amp;$Z619,'CALENDARIO'!$G$15:$G$214,0)),IFERROR(INDEX('CALENDARIO'!$C$15:$C$214,MATCH(TEXT($J619,"yyyy-mm-dd")&amp;"|"&amp;$Y619&amp;"|",'CALENDARIO'!$G$15:$G$214,0)),IFERROR(INDEX('CALENDARIO'!$C$15:$C$214,MATCH(TEXT($J619,"yyyy-mm-dd")&amp;"||",'CALENDARIO'!$G$15:$G$214,0)),INDEX(patronHabil,WEEKDAY($J619,2))))))</f>
        <v/>
      </c>
      <c r="U619" s="24">
        <f>IF($I619="","",IFERROR(INDEX('CAT_TIPOS_OT'!$C$4:$C$23,MATCH($I619,'CAT_TIPOS_OT'!$A$4:$A$23,0)),"sin_clasificar"))</f>
        <v/>
      </c>
      <c r="V619" s="24">
        <f>IF($I619="","",IF(IFERROR(INDEX('CAT_TIPOS_OT'!$D$4:$D$23,MATCH($I619,'CAT_TIPOS_OT'!$A$4:$A$23,0)),"SIN CLASIFICAR")="","SIN CLASIFICAR",IFERROR(INDEX('CAT_TIPOS_OT'!$D$4:$D$23,MATCH($I619,'CAT_TIPOS_OT'!$A$4:$A$23,0)),"SIN CLASIFICAR")))</f>
        <v/>
      </c>
      <c r="W619" s="24">
        <f>IF($H619="","",IF(IFERROR(INDEX('CAT_ACTIVIDADES'!$F$4:$F$26,MATCH($H619,'CAT_ACTIVIDADES'!$A$4:$A$26,0)),"")=0,"",IFERROR(INDEX('CAT_ACTIVIDADES'!$F$4:$F$26,MATCH($H619,'CAT_ACTIVIDADES'!$A$4:$A$26,0)),"")))</f>
        <v/>
      </c>
      <c r="X619" s="24">
        <f>IF($F619="","",IFERROR(INDEX('CAT_CENTROS_COSTO'!$F$4:$F$28,MATCH($F619,'CAT_CENTROS_COSTO'!$A$4:$A$28,0)),"(sin catálogo)"))</f>
        <v/>
      </c>
      <c r="Y619" s="24">
        <f>IF($F619="","",IFERROR(INDEX('CAT_CENTROS_COSTO'!$D$4:$D$28,MATCH($F619,'CAT_CENTROS_COSTO'!$A$4:$A$28,0)),"(sin catálogo)"))</f>
        <v/>
      </c>
      <c r="Z619" s="24">
        <f>IF($F619="","",IF((IFERROR(INDEX('CAT_CENTROS_COSTO'!$E$4:$E$28,MATCH($F619,'CAT_CENTROS_COSTO'!$A$4:$A$28,0)),""))&lt;&gt;"",IFERROR(INDEX('CAT_CENTROS_COSTO'!$E$4:$E$28,MATCH($F619,'CAT_CENTROS_COSTO'!$A$4:$A$28,0)),""),$Y619))</f>
        <v/>
      </c>
      <c r="AA619" s="24">
        <f>IF($F619="","",IFERROR(INDEX('CAT_CENTROS_COSTO'!$G$4:$G$28,MATCH($F619,'CAT_CENTROS_COSTO'!$A$4:$A$28,0)),"(sin catálogo)"))</f>
        <v/>
      </c>
      <c r="AB619" s="24">
        <f>IF($G619="","",IFERROR(INDEX('CAT_PUESTOS'!$B$4:$B$23,MATCH($G619,'CAT_PUESTOS'!$A$4:$A$23,0)),"(sin catálogo)"))</f>
        <v/>
      </c>
      <c r="AC619" s="24">
        <f>IF($H619="","",IFERROR(INDEX('CAT_ACTIVIDADES'!$B$4:$B$26,MATCH($H619,'CAT_ACTIVIDADES'!$A$4:$A$26,0)),"(sin catálogo)"))</f>
        <v/>
      </c>
      <c r="AD619" s="26">
        <f>IF($J619="","",TODAY()-$J619)</f>
        <v/>
      </c>
      <c r="AE619" s="26">
        <f>IF($J619="","",IF($J619&lt;=TODAY(),COUNTIFS(cal_fechas,"&gt;="&amp;$J619,cal_fechas,"&lt;"&amp;TODAY(),cal_habil,"sí"),-COUNTIFS(cal_fechas,"&gt;="&amp;TODAY(),cal_fechas,"&lt;"&amp;$J619,cal_habil,"sí")))</f>
        <v/>
      </c>
      <c r="AF619" s="24">
        <f>IF($AE619="","",IF($AE619&lt;0,"FUTURO",IF($AE619&gt;p_dias_backlog_max,"BACKLOG","MES CORRIENTE")))</f>
        <v/>
      </c>
      <c r="AG619" s="24">
        <f>IF($AE619="",FALSE,AND($AE619&gt;p_dias_backlog_min,$AE619&lt;=p_dias_backlog_max))</f>
        <v/>
      </c>
      <c r="AH619" s="4" t="n"/>
      <c r="AI619" s="24">
        <f>IF($AH619="","",IF((IFERROR(INDEX('ASIGNACIONES'!$J$4:$J$451,MATCH($O619&amp;"|"&amp;$S619&amp;"|"&amp;$AH619,'ASIGNACIONES'!$N$4:$N$451,0)),""))=0,"",IFERROR(INDEX('ASIGNACIONES'!$J$4:$J$451,MATCH($O619&amp;"|"&amp;$S619&amp;"|"&amp;$AH619,'ASIGNACIONES'!$N$4:$N$451,0)),"")))</f>
        <v/>
      </c>
      <c r="AJ619" s="42">
        <f>IF($AH619="","",SUMIFS('ORDENES'!$M$4:$M$1203,'ORDENES'!$AH$4:$AH$1203,$AH619,'ORDENES'!$O$4:$O$1203,$O619,'ORDENES'!$S$4:$S$1203,$S619))</f>
        <v/>
      </c>
      <c r="AK619" s="42">
        <f>IF($AJ619="","",p_factor_productividad*IFERROR(INDEX('ASIGNACIONES'!$M$4:$M$451,MATCH($O619&amp;"|"&amp;$S619&amp;"|"&amp;$AH619,'ASIGNACIONES'!$N$4:$N$451,0)),0)-$AJ619)</f>
        <v/>
      </c>
      <c r="AL619" s="32">
        <f>IF($A619="","",IFERROR(INDEX('2_IMPORTAR_EJECUCION'!$F$9:$F$1208,MATCH($AU619,'2_IMPORTAR_EJECUCION'!$J$9:$J$1208,0)),0))</f>
        <v/>
      </c>
      <c r="AM619" s="32">
        <f>IF($A619="","",MAX(0,IFERROR(INDEX('2_IMPORTAR_EJECUCION'!$H$9:$H$1208,MATCH($AU619,'2_IMPORTAR_EJECUCION'!$J$9:$J$1208,0)),0)-$AL619))</f>
        <v/>
      </c>
      <c r="AN619" s="32">
        <f>IF($A619="","",$AL619+$AM619)</f>
        <v/>
      </c>
      <c r="AO619" s="24">
        <f>IF($A619="","",IF(OR((IFERROR(INDEX('CAT_ACTIVIDADES'!$D$4:$D$26,MATCH($H619,'CAT_ACTIVIDADES'!$A$4:$A$26,0)),""))=0,(IFERROR(INDEX('CAT_ACTIVIDADES'!$D$4:$D$26,MATCH($H619,'CAT_ACTIVIDADES'!$A$4:$A$26,0)),""))=""),"SIN CLASIFICAR",IFERROR(INDEX('CAT_ACTIVIDADES'!$D$4:$D$26,MATCH($H619,'CAT_ACTIVIDADES'!$A$4:$A$26,0)),"")))</f>
        <v/>
      </c>
      <c r="AP619" s="4" t="n"/>
      <c r="AQ619" s="4" t="n"/>
      <c r="AR619" s="4" t="n"/>
      <c r="AS619" s="24">
        <f>IF($AR619="","",HYPERLINK(p_ruta_base_checklists&amp;$AR619,"abrir"))</f>
        <v/>
      </c>
      <c r="AT619" s="4" t="n"/>
      <c r="AU619" s="24">
        <f>IF($A619="","",$A619&amp;IF($B619="","0010",$B619))</f>
        <v/>
      </c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41" t="n"/>
      <c r="K620" s="5" t="n"/>
      <c r="L620" s="18" t="n"/>
      <c r="M620" s="24">
        <f>IF($A620="","",IFERROR(INDEX('AJUSTES'!$B$4:$B$303,MATCH($AU620,'AJUSTES'!$A$4:$A$303,0)),IF($K620="","",$K620)))</f>
        <v/>
      </c>
      <c r="N620" s="24">
        <f>IF($A620="","",IFERROR(INDEX('CAT_ESTADOS_ERP'!$B$4:$B$22,MATCH(IFERROR(INDEX('2_IMPORTAR_EJECUCION'!$C$9:$C$1208,MATCH($AU620,'2_IMPORTAR_EJECUCION'!$J$9:$J$1208,0)),""),'CAT_ESTADOS_ERP'!$A$4:$A$22,0)),"Pendiente"))</f>
        <v/>
      </c>
      <c r="O620" s="24">
        <f>IF($J620="","",YEAR($J620+4-WEEKDAY($J620,2))&amp;"-S"&amp;TEXT(_xlfn.ISOWEEKNUM($J620),"00"))</f>
        <v/>
      </c>
      <c r="P620" s="24">
        <f>IF($J620="","",YEAR($J620))</f>
        <v/>
      </c>
      <c r="Q620" s="24">
        <f>IF($J620="","",MONTH($J620))</f>
        <v/>
      </c>
      <c r="R620" s="24">
        <f>IF($J620="","",$P620&amp;"-"&amp;TEXT($Q620,"00"))</f>
        <v/>
      </c>
      <c r="S620" s="24">
        <f>IF($J620="","",INDEX(lista_dias,WEEKDAY($J620,2)))</f>
        <v/>
      </c>
      <c r="T620" s="24">
        <f>IF($J620="","",IFERROR(INDEX('CALENDARIO'!$C$15:$C$214,MATCH(TEXT($J620,"yyyy-mm-dd")&amp;"|"&amp;$Y620&amp;"|"&amp;$Z620,'CALENDARIO'!$G$15:$G$214,0)),IFERROR(INDEX('CALENDARIO'!$C$15:$C$214,MATCH(TEXT($J620,"yyyy-mm-dd")&amp;"|"&amp;$Y620&amp;"|",'CALENDARIO'!$G$15:$G$214,0)),IFERROR(INDEX('CALENDARIO'!$C$15:$C$214,MATCH(TEXT($J620,"yyyy-mm-dd")&amp;"||",'CALENDARIO'!$G$15:$G$214,0)),INDEX(patronHabil,WEEKDAY($J620,2))))))</f>
        <v/>
      </c>
      <c r="U620" s="24">
        <f>IF($I620="","",IFERROR(INDEX('CAT_TIPOS_OT'!$C$4:$C$23,MATCH($I620,'CAT_TIPOS_OT'!$A$4:$A$23,0)),"sin_clasificar"))</f>
        <v/>
      </c>
      <c r="V620" s="24">
        <f>IF($I620="","",IF(IFERROR(INDEX('CAT_TIPOS_OT'!$D$4:$D$23,MATCH($I620,'CAT_TIPOS_OT'!$A$4:$A$23,0)),"SIN CLASIFICAR")="","SIN CLASIFICAR",IFERROR(INDEX('CAT_TIPOS_OT'!$D$4:$D$23,MATCH($I620,'CAT_TIPOS_OT'!$A$4:$A$23,0)),"SIN CLASIFICAR")))</f>
        <v/>
      </c>
      <c r="W620" s="24">
        <f>IF($H620="","",IF(IFERROR(INDEX('CAT_ACTIVIDADES'!$F$4:$F$26,MATCH($H620,'CAT_ACTIVIDADES'!$A$4:$A$26,0)),"")=0,"",IFERROR(INDEX('CAT_ACTIVIDADES'!$F$4:$F$26,MATCH($H620,'CAT_ACTIVIDADES'!$A$4:$A$26,0)),"")))</f>
        <v/>
      </c>
      <c r="X620" s="24">
        <f>IF($F620="","",IFERROR(INDEX('CAT_CENTROS_COSTO'!$F$4:$F$28,MATCH($F620,'CAT_CENTROS_COSTO'!$A$4:$A$28,0)),"(sin catálogo)"))</f>
        <v/>
      </c>
      <c r="Y620" s="24">
        <f>IF($F620="","",IFERROR(INDEX('CAT_CENTROS_COSTO'!$D$4:$D$28,MATCH($F620,'CAT_CENTROS_COSTO'!$A$4:$A$28,0)),"(sin catálogo)"))</f>
        <v/>
      </c>
      <c r="Z620" s="24">
        <f>IF($F620="","",IF((IFERROR(INDEX('CAT_CENTROS_COSTO'!$E$4:$E$28,MATCH($F620,'CAT_CENTROS_COSTO'!$A$4:$A$28,0)),""))&lt;&gt;"",IFERROR(INDEX('CAT_CENTROS_COSTO'!$E$4:$E$28,MATCH($F620,'CAT_CENTROS_COSTO'!$A$4:$A$28,0)),""),$Y620))</f>
        <v/>
      </c>
      <c r="AA620" s="24">
        <f>IF($F620="","",IFERROR(INDEX('CAT_CENTROS_COSTO'!$G$4:$G$28,MATCH($F620,'CAT_CENTROS_COSTO'!$A$4:$A$28,0)),"(sin catálogo)"))</f>
        <v/>
      </c>
      <c r="AB620" s="24">
        <f>IF($G620="","",IFERROR(INDEX('CAT_PUESTOS'!$B$4:$B$23,MATCH($G620,'CAT_PUESTOS'!$A$4:$A$23,0)),"(sin catálogo)"))</f>
        <v/>
      </c>
      <c r="AC620" s="24">
        <f>IF($H620="","",IFERROR(INDEX('CAT_ACTIVIDADES'!$B$4:$B$26,MATCH($H620,'CAT_ACTIVIDADES'!$A$4:$A$26,0)),"(sin catálogo)"))</f>
        <v/>
      </c>
      <c r="AD620" s="26">
        <f>IF($J620="","",TODAY()-$J620)</f>
        <v/>
      </c>
      <c r="AE620" s="26">
        <f>IF($J620="","",IF($J620&lt;=TODAY(),COUNTIFS(cal_fechas,"&gt;="&amp;$J620,cal_fechas,"&lt;"&amp;TODAY(),cal_habil,"sí"),-COUNTIFS(cal_fechas,"&gt;="&amp;TODAY(),cal_fechas,"&lt;"&amp;$J620,cal_habil,"sí")))</f>
        <v/>
      </c>
      <c r="AF620" s="24">
        <f>IF($AE620="","",IF($AE620&lt;0,"FUTURO",IF($AE620&gt;p_dias_backlog_max,"BACKLOG","MES CORRIENTE")))</f>
        <v/>
      </c>
      <c r="AG620" s="24">
        <f>IF($AE620="",FALSE,AND($AE620&gt;p_dias_backlog_min,$AE620&lt;=p_dias_backlog_max))</f>
        <v/>
      </c>
      <c r="AH620" s="4" t="n"/>
      <c r="AI620" s="24">
        <f>IF($AH620="","",IF((IFERROR(INDEX('ASIGNACIONES'!$J$4:$J$451,MATCH($O620&amp;"|"&amp;$S620&amp;"|"&amp;$AH620,'ASIGNACIONES'!$N$4:$N$451,0)),""))=0,"",IFERROR(INDEX('ASIGNACIONES'!$J$4:$J$451,MATCH($O620&amp;"|"&amp;$S620&amp;"|"&amp;$AH620,'ASIGNACIONES'!$N$4:$N$451,0)),"")))</f>
        <v/>
      </c>
      <c r="AJ620" s="42">
        <f>IF($AH620="","",SUMIFS('ORDENES'!$M$4:$M$1203,'ORDENES'!$AH$4:$AH$1203,$AH620,'ORDENES'!$O$4:$O$1203,$O620,'ORDENES'!$S$4:$S$1203,$S620))</f>
        <v/>
      </c>
      <c r="AK620" s="42">
        <f>IF($AJ620="","",p_factor_productividad*IFERROR(INDEX('ASIGNACIONES'!$M$4:$M$451,MATCH($O620&amp;"|"&amp;$S620&amp;"|"&amp;$AH620,'ASIGNACIONES'!$N$4:$N$451,0)),0)-$AJ620)</f>
        <v/>
      </c>
      <c r="AL620" s="32">
        <f>IF($A620="","",IFERROR(INDEX('2_IMPORTAR_EJECUCION'!$F$9:$F$1208,MATCH($AU620,'2_IMPORTAR_EJECUCION'!$J$9:$J$1208,0)),0))</f>
        <v/>
      </c>
      <c r="AM620" s="32">
        <f>IF($A620="","",MAX(0,IFERROR(INDEX('2_IMPORTAR_EJECUCION'!$H$9:$H$1208,MATCH($AU620,'2_IMPORTAR_EJECUCION'!$J$9:$J$1208,0)),0)-$AL620))</f>
        <v/>
      </c>
      <c r="AN620" s="32">
        <f>IF($A620="","",$AL620+$AM620)</f>
        <v/>
      </c>
      <c r="AO620" s="24">
        <f>IF($A620="","",IF(OR((IFERROR(INDEX('CAT_ACTIVIDADES'!$D$4:$D$26,MATCH($H620,'CAT_ACTIVIDADES'!$A$4:$A$26,0)),""))=0,(IFERROR(INDEX('CAT_ACTIVIDADES'!$D$4:$D$26,MATCH($H620,'CAT_ACTIVIDADES'!$A$4:$A$26,0)),""))=""),"SIN CLASIFICAR",IFERROR(INDEX('CAT_ACTIVIDADES'!$D$4:$D$26,MATCH($H620,'CAT_ACTIVIDADES'!$A$4:$A$26,0)),"")))</f>
        <v/>
      </c>
      <c r="AP620" s="4" t="n"/>
      <c r="AQ620" s="4" t="n"/>
      <c r="AR620" s="4" t="n"/>
      <c r="AS620" s="24">
        <f>IF($AR620="","",HYPERLINK(p_ruta_base_checklists&amp;$AR620,"abrir"))</f>
        <v/>
      </c>
      <c r="AT620" s="4" t="n"/>
      <c r="AU620" s="24">
        <f>IF($A620="","",$A620&amp;IF($B620="","0010",$B620))</f>
        <v/>
      </c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41" t="n"/>
      <c r="K621" s="5" t="n"/>
      <c r="L621" s="18" t="n"/>
      <c r="M621" s="24">
        <f>IF($A621="","",IFERROR(INDEX('AJUSTES'!$B$4:$B$303,MATCH($AU621,'AJUSTES'!$A$4:$A$303,0)),IF($K621="","",$K621)))</f>
        <v/>
      </c>
      <c r="N621" s="24">
        <f>IF($A621="","",IFERROR(INDEX('CAT_ESTADOS_ERP'!$B$4:$B$22,MATCH(IFERROR(INDEX('2_IMPORTAR_EJECUCION'!$C$9:$C$1208,MATCH($AU621,'2_IMPORTAR_EJECUCION'!$J$9:$J$1208,0)),""),'CAT_ESTADOS_ERP'!$A$4:$A$22,0)),"Pendiente"))</f>
        <v/>
      </c>
      <c r="O621" s="24">
        <f>IF($J621="","",YEAR($J621+4-WEEKDAY($J621,2))&amp;"-S"&amp;TEXT(_xlfn.ISOWEEKNUM($J621),"00"))</f>
        <v/>
      </c>
      <c r="P621" s="24">
        <f>IF($J621="","",YEAR($J621))</f>
        <v/>
      </c>
      <c r="Q621" s="24">
        <f>IF($J621="","",MONTH($J621))</f>
        <v/>
      </c>
      <c r="R621" s="24">
        <f>IF($J621="","",$P621&amp;"-"&amp;TEXT($Q621,"00"))</f>
        <v/>
      </c>
      <c r="S621" s="24">
        <f>IF($J621="","",INDEX(lista_dias,WEEKDAY($J621,2)))</f>
        <v/>
      </c>
      <c r="T621" s="24">
        <f>IF($J621="","",IFERROR(INDEX('CALENDARIO'!$C$15:$C$214,MATCH(TEXT($J621,"yyyy-mm-dd")&amp;"|"&amp;$Y621&amp;"|"&amp;$Z621,'CALENDARIO'!$G$15:$G$214,0)),IFERROR(INDEX('CALENDARIO'!$C$15:$C$214,MATCH(TEXT($J621,"yyyy-mm-dd")&amp;"|"&amp;$Y621&amp;"|",'CALENDARIO'!$G$15:$G$214,0)),IFERROR(INDEX('CALENDARIO'!$C$15:$C$214,MATCH(TEXT($J621,"yyyy-mm-dd")&amp;"||",'CALENDARIO'!$G$15:$G$214,0)),INDEX(patronHabil,WEEKDAY($J621,2))))))</f>
        <v/>
      </c>
      <c r="U621" s="24">
        <f>IF($I621="","",IFERROR(INDEX('CAT_TIPOS_OT'!$C$4:$C$23,MATCH($I621,'CAT_TIPOS_OT'!$A$4:$A$23,0)),"sin_clasificar"))</f>
        <v/>
      </c>
      <c r="V621" s="24">
        <f>IF($I621="","",IF(IFERROR(INDEX('CAT_TIPOS_OT'!$D$4:$D$23,MATCH($I621,'CAT_TIPOS_OT'!$A$4:$A$23,0)),"SIN CLASIFICAR")="","SIN CLASIFICAR",IFERROR(INDEX('CAT_TIPOS_OT'!$D$4:$D$23,MATCH($I621,'CAT_TIPOS_OT'!$A$4:$A$23,0)),"SIN CLASIFICAR")))</f>
        <v/>
      </c>
      <c r="W621" s="24">
        <f>IF($H621="","",IF(IFERROR(INDEX('CAT_ACTIVIDADES'!$F$4:$F$26,MATCH($H621,'CAT_ACTIVIDADES'!$A$4:$A$26,0)),"")=0,"",IFERROR(INDEX('CAT_ACTIVIDADES'!$F$4:$F$26,MATCH($H621,'CAT_ACTIVIDADES'!$A$4:$A$26,0)),"")))</f>
        <v/>
      </c>
      <c r="X621" s="24">
        <f>IF($F621="","",IFERROR(INDEX('CAT_CENTROS_COSTO'!$F$4:$F$28,MATCH($F621,'CAT_CENTROS_COSTO'!$A$4:$A$28,0)),"(sin catálogo)"))</f>
        <v/>
      </c>
      <c r="Y621" s="24">
        <f>IF($F621="","",IFERROR(INDEX('CAT_CENTROS_COSTO'!$D$4:$D$28,MATCH($F621,'CAT_CENTROS_COSTO'!$A$4:$A$28,0)),"(sin catálogo)"))</f>
        <v/>
      </c>
      <c r="Z621" s="24">
        <f>IF($F621="","",IF((IFERROR(INDEX('CAT_CENTROS_COSTO'!$E$4:$E$28,MATCH($F621,'CAT_CENTROS_COSTO'!$A$4:$A$28,0)),""))&lt;&gt;"",IFERROR(INDEX('CAT_CENTROS_COSTO'!$E$4:$E$28,MATCH($F621,'CAT_CENTROS_COSTO'!$A$4:$A$28,0)),""),$Y621))</f>
        <v/>
      </c>
      <c r="AA621" s="24">
        <f>IF($F621="","",IFERROR(INDEX('CAT_CENTROS_COSTO'!$G$4:$G$28,MATCH($F621,'CAT_CENTROS_COSTO'!$A$4:$A$28,0)),"(sin catálogo)"))</f>
        <v/>
      </c>
      <c r="AB621" s="24">
        <f>IF($G621="","",IFERROR(INDEX('CAT_PUESTOS'!$B$4:$B$23,MATCH($G621,'CAT_PUESTOS'!$A$4:$A$23,0)),"(sin catálogo)"))</f>
        <v/>
      </c>
      <c r="AC621" s="24">
        <f>IF($H621="","",IFERROR(INDEX('CAT_ACTIVIDADES'!$B$4:$B$26,MATCH($H621,'CAT_ACTIVIDADES'!$A$4:$A$26,0)),"(sin catálogo)"))</f>
        <v/>
      </c>
      <c r="AD621" s="26">
        <f>IF($J621="","",TODAY()-$J621)</f>
        <v/>
      </c>
      <c r="AE621" s="26">
        <f>IF($J621="","",IF($J621&lt;=TODAY(),COUNTIFS(cal_fechas,"&gt;="&amp;$J621,cal_fechas,"&lt;"&amp;TODAY(),cal_habil,"sí"),-COUNTIFS(cal_fechas,"&gt;="&amp;TODAY(),cal_fechas,"&lt;"&amp;$J621,cal_habil,"sí")))</f>
        <v/>
      </c>
      <c r="AF621" s="24">
        <f>IF($AE621="","",IF($AE621&lt;0,"FUTURO",IF($AE621&gt;p_dias_backlog_max,"BACKLOG","MES CORRIENTE")))</f>
        <v/>
      </c>
      <c r="AG621" s="24">
        <f>IF($AE621="",FALSE,AND($AE621&gt;p_dias_backlog_min,$AE621&lt;=p_dias_backlog_max))</f>
        <v/>
      </c>
      <c r="AH621" s="4" t="n"/>
      <c r="AI621" s="24">
        <f>IF($AH621="","",IF((IFERROR(INDEX('ASIGNACIONES'!$J$4:$J$451,MATCH($O621&amp;"|"&amp;$S621&amp;"|"&amp;$AH621,'ASIGNACIONES'!$N$4:$N$451,0)),""))=0,"",IFERROR(INDEX('ASIGNACIONES'!$J$4:$J$451,MATCH($O621&amp;"|"&amp;$S621&amp;"|"&amp;$AH621,'ASIGNACIONES'!$N$4:$N$451,0)),"")))</f>
        <v/>
      </c>
      <c r="AJ621" s="42">
        <f>IF($AH621="","",SUMIFS('ORDENES'!$M$4:$M$1203,'ORDENES'!$AH$4:$AH$1203,$AH621,'ORDENES'!$O$4:$O$1203,$O621,'ORDENES'!$S$4:$S$1203,$S621))</f>
        <v/>
      </c>
      <c r="AK621" s="42">
        <f>IF($AJ621="","",p_factor_productividad*IFERROR(INDEX('ASIGNACIONES'!$M$4:$M$451,MATCH($O621&amp;"|"&amp;$S621&amp;"|"&amp;$AH621,'ASIGNACIONES'!$N$4:$N$451,0)),0)-$AJ621)</f>
        <v/>
      </c>
      <c r="AL621" s="32">
        <f>IF($A621="","",IFERROR(INDEX('2_IMPORTAR_EJECUCION'!$F$9:$F$1208,MATCH($AU621,'2_IMPORTAR_EJECUCION'!$J$9:$J$1208,0)),0))</f>
        <v/>
      </c>
      <c r="AM621" s="32">
        <f>IF($A621="","",MAX(0,IFERROR(INDEX('2_IMPORTAR_EJECUCION'!$H$9:$H$1208,MATCH($AU621,'2_IMPORTAR_EJECUCION'!$J$9:$J$1208,0)),0)-$AL621))</f>
        <v/>
      </c>
      <c r="AN621" s="32">
        <f>IF($A621="","",$AL621+$AM621)</f>
        <v/>
      </c>
      <c r="AO621" s="24">
        <f>IF($A621="","",IF(OR((IFERROR(INDEX('CAT_ACTIVIDADES'!$D$4:$D$26,MATCH($H621,'CAT_ACTIVIDADES'!$A$4:$A$26,0)),""))=0,(IFERROR(INDEX('CAT_ACTIVIDADES'!$D$4:$D$26,MATCH($H621,'CAT_ACTIVIDADES'!$A$4:$A$26,0)),""))=""),"SIN CLASIFICAR",IFERROR(INDEX('CAT_ACTIVIDADES'!$D$4:$D$26,MATCH($H621,'CAT_ACTIVIDADES'!$A$4:$A$26,0)),"")))</f>
        <v/>
      </c>
      <c r="AP621" s="4" t="n"/>
      <c r="AQ621" s="4" t="n"/>
      <c r="AR621" s="4" t="n"/>
      <c r="AS621" s="24">
        <f>IF($AR621="","",HYPERLINK(p_ruta_base_checklists&amp;$AR621,"abrir"))</f>
        <v/>
      </c>
      <c r="AT621" s="4" t="n"/>
      <c r="AU621" s="24">
        <f>IF($A621="","",$A621&amp;IF($B621="","0010",$B621))</f>
        <v/>
      </c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41" t="n"/>
      <c r="K622" s="5" t="n"/>
      <c r="L622" s="18" t="n"/>
      <c r="M622" s="24">
        <f>IF($A622="","",IFERROR(INDEX('AJUSTES'!$B$4:$B$303,MATCH($AU622,'AJUSTES'!$A$4:$A$303,0)),IF($K622="","",$K622)))</f>
        <v/>
      </c>
      <c r="N622" s="24">
        <f>IF($A622="","",IFERROR(INDEX('CAT_ESTADOS_ERP'!$B$4:$B$22,MATCH(IFERROR(INDEX('2_IMPORTAR_EJECUCION'!$C$9:$C$1208,MATCH($AU622,'2_IMPORTAR_EJECUCION'!$J$9:$J$1208,0)),""),'CAT_ESTADOS_ERP'!$A$4:$A$22,0)),"Pendiente"))</f>
        <v/>
      </c>
      <c r="O622" s="24">
        <f>IF($J622="","",YEAR($J622+4-WEEKDAY($J622,2))&amp;"-S"&amp;TEXT(_xlfn.ISOWEEKNUM($J622),"00"))</f>
        <v/>
      </c>
      <c r="P622" s="24">
        <f>IF($J622="","",YEAR($J622))</f>
        <v/>
      </c>
      <c r="Q622" s="24">
        <f>IF($J622="","",MONTH($J622))</f>
        <v/>
      </c>
      <c r="R622" s="24">
        <f>IF($J622="","",$P622&amp;"-"&amp;TEXT($Q622,"00"))</f>
        <v/>
      </c>
      <c r="S622" s="24">
        <f>IF($J622="","",INDEX(lista_dias,WEEKDAY($J622,2)))</f>
        <v/>
      </c>
      <c r="T622" s="24">
        <f>IF($J622="","",IFERROR(INDEX('CALENDARIO'!$C$15:$C$214,MATCH(TEXT($J622,"yyyy-mm-dd")&amp;"|"&amp;$Y622&amp;"|"&amp;$Z622,'CALENDARIO'!$G$15:$G$214,0)),IFERROR(INDEX('CALENDARIO'!$C$15:$C$214,MATCH(TEXT($J622,"yyyy-mm-dd")&amp;"|"&amp;$Y622&amp;"|",'CALENDARIO'!$G$15:$G$214,0)),IFERROR(INDEX('CALENDARIO'!$C$15:$C$214,MATCH(TEXT($J622,"yyyy-mm-dd")&amp;"||",'CALENDARIO'!$G$15:$G$214,0)),INDEX(patronHabil,WEEKDAY($J622,2))))))</f>
        <v/>
      </c>
      <c r="U622" s="24">
        <f>IF($I622="","",IFERROR(INDEX('CAT_TIPOS_OT'!$C$4:$C$23,MATCH($I622,'CAT_TIPOS_OT'!$A$4:$A$23,0)),"sin_clasificar"))</f>
        <v/>
      </c>
      <c r="V622" s="24">
        <f>IF($I622="","",IF(IFERROR(INDEX('CAT_TIPOS_OT'!$D$4:$D$23,MATCH($I622,'CAT_TIPOS_OT'!$A$4:$A$23,0)),"SIN CLASIFICAR")="","SIN CLASIFICAR",IFERROR(INDEX('CAT_TIPOS_OT'!$D$4:$D$23,MATCH($I622,'CAT_TIPOS_OT'!$A$4:$A$23,0)),"SIN CLASIFICAR")))</f>
        <v/>
      </c>
      <c r="W622" s="24">
        <f>IF($H622="","",IF(IFERROR(INDEX('CAT_ACTIVIDADES'!$F$4:$F$26,MATCH($H622,'CAT_ACTIVIDADES'!$A$4:$A$26,0)),"")=0,"",IFERROR(INDEX('CAT_ACTIVIDADES'!$F$4:$F$26,MATCH($H622,'CAT_ACTIVIDADES'!$A$4:$A$26,0)),"")))</f>
        <v/>
      </c>
      <c r="X622" s="24">
        <f>IF($F622="","",IFERROR(INDEX('CAT_CENTROS_COSTO'!$F$4:$F$28,MATCH($F622,'CAT_CENTROS_COSTO'!$A$4:$A$28,0)),"(sin catálogo)"))</f>
        <v/>
      </c>
      <c r="Y622" s="24">
        <f>IF($F622="","",IFERROR(INDEX('CAT_CENTROS_COSTO'!$D$4:$D$28,MATCH($F622,'CAT_CENTROS_COSTO'!$A$4:$A$28,0)),"(sin catálogo)"))</f>
        <v/>
      </c>
      <c r="Z622" s="24">
        <f>IF($F622="","",IF((IFERROR(INDEX('CAT_CENTROS_COSTO'!$E$4:$E$28,MATCH($F622,'CAT_CENTROS_COSTO'!$A$4:$A$28,0)),""))&lt;&gt;"",IFERROR(INDEX('CAT_CENTROS_COSTO'!$E$4:$E$28,MATCH($F622,'CAT_CENTROS_COSTO'!$A$4:$A$28,0)),""),$Y622))</f>
        <v/>
      </c>
      <c r="AA622" s="24">
        <f>IF($F622="","",IFERROR(INDEX('CAT_CENTROS_COSTO'!$G$4:$G$28,MATCH($F622,'CAT_CENTROS_COSTO'!$A$4:$A$28,0)),"(sin catálogo)"))</f>
        <v/>
      </c>
      <c r="AB622" s="24">
        <f>IF($G622="","",IFERROR(INDEX('CAT_PUESTOS'!$B$4:$B$23,MATCH($G622,'CAT_PUESTOS'!$A$4:$A$23,0)),"(sin catálogo)"))</f>
        <v/>
      </c>
      <c r="AC622" s="24">
        <f>IF($H622="","",IFERROR(INDEX('CAT_ACTIVIDADES'!$B$4:$B$26,MATCH($H622,'CAT_ACTIVIDADES'!$A$4:$A$26,0)),"(sin catálogo)"))</f>
        <v/>
      </c>
      <c r="AD622" s="26">
        <f>IF($J622="","",TODAY()-$J622)</f>
        <v/>
      </c>
      <c r="AE622" s="26">
        <f>IF($J622="","",IF($J622&lt;=TODAY(),COUNTIFS(cal_fechas,"&gt;="&amp;$J622,cal_fechas,"&lt;"&amp;TODAY(),cal_habil,"sí"),-COUNTIFS(cal_fechas,"&gt;="&amp;TODAY(),cal_fechas,"&lt;"&amp;$J622,cal_habil,"sí")))</f>
        <v/>
      </c>
      <c r="AF622" s="24">
        <f>IF($AE622="","",IF($AE622&lt;0,"FUTURO",IF($AE622&gt;p_dias_backlog_max,"BACKLOG","MES CORRIENTE")))</f>
        <v/>
      </c>
      <c r="AG622" s="24">
        <f>IF($AE622="",FALSE,AND($AE622&gt;p_dias_backlog_min,$AE622&lt;=p_dias_backlog_max))</f>
        <v/>
      </c>
      <c r="AH622" s="4" t="n"/>
      <c r="AI622" s="24">
        <f>IF($AH622="","",IF((IFERROR(INDEX('ASIGNACIONES'!$J$4:$J$451,MATCH($O622&amp;"|"&amp;$S622&amp;"|"&amp;$AH622,'ASIGNACIONES'!$N$4:$N$451,0)),""))=0,"",IFERROR(INDEX('ASIGNACIONES'!$J$4:$J$451,MATCH($O622&amp;"|"&amp;$S622&amp;"|"&amp;$AH622,'ASIGNACIONES'!$N$4:$N$451,0)),"")))</f>
        <v/>
      </c>
      <c r="AJ622" s="42">
        <f>IF($AH622="","",SUMIFS('ORDENES'!$M$4:$M$1203,'ORDENES'!$AH$4:$AH$1203,$AH622,'ORDENES'!$O$4:$O$1203,$O622,'ORDENES'!$S$4:$S$1203,$S622))</f>
        <v/>
      </c>
      <c r="AK622" s="42">
        <f>IF($AJ622="","",p_factor_productividad*IFERROR(INDEX('ASIGNACIONES'!$M$4:$M$451,MATCH($O622&amp;"|"&amp;$S622&amp;"|"&amp;$AH622,'ASIGNACIONES'!$N$4:$N$451,0)),0)-$AJ622)</f>
        <v/>
      </c>
      <c r="AL622" s="32">
        <f>IF($A622="","",IFERROR(INDEX('2_IMPORTAR_EJECUCION'!$F$9:$F$1208,MATCH($AU622,'2_IMPORTAR_EJECUCION'!$J$9:$J$1208,0)),0))</f>
        <v/>
      </c>
      <c r="AM622" s="32">
        <f>IF($A622="","",MAX(0,IFERROR(INDEX('2_IMPORTAR_EJECUCION'!$H$9:$H$1208,MATCH($AU622,'2_IMPORTAR_EJECUCION'!$J$9:$J$1208,0)),0)-$AL622))</f>
        <v/>
      </c>
      <c r="AN622" s="32">
        <f>IF($A622="","",$AL622+$AM622)</f>
        <v/>
      </c>
      <c r="AO622" s="24">
        <f>IF($A622="","",IF(OR((IFERROR(INDEX('CAT_ACTIVIDADES'!$D$4:$D$26,MATCH($H622,'CAT_ACTIVIDADES'!$A$4:$A$26,0)),""))=0,(IFERROR(INDEX('CAT_ACTIVIDADES'!$D$4:$D$26,MATCH($H622,'CAT_ACTIVIDADES'!$A$4:$A$26,0)),""))=""),"SIN CLASIFICAR",IFERROR(INDEX('CAT_ACTIVIDADES'!$D$4:$D$26,MATCH($H622,'CAT_ACTIVIDADES'!$A$4:$A$26,0)),"")))</f>
        <v/>
      </c>
      <c r="AP622" s="4" t="n"/>
      <c r="AQ622" s="4" t="n"/>
      <c r="AR622" s="4" t="n"/>
      <c r="AS622" s="24">
        <f>IF($AR622="","",HYPERLINK(p_ruta_base_checklists&amp;$AR622,"abrir"))</f>
        <v/>
      </c>
      <c r="AT622" s="4" t="n"/>
      <c r="AU622" s="24">
        <f>IF($A622="","",$A622&amp;IF($B622="","0010",$B622))</f>
        <v/>
      </c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41" t="n"/>
      <c r="K623" s="5" t="n"/>
      <c r="L623" s="18" t="n"/>
      <c r="M623" s="24">
        <f>IF($A623="","",IFERROR(INDEX('AJUSTES'!$B$4:$B$303,MATCH($AU623,'AJUSTES'!$A$4:$A$303,0)),IF($K623="","",$K623)))</f>
        <v/>
      </c>
      <c r="N623" s="24">
        <f>IF($A623="","",IFERROR(INDEX('CAT_ESTADOS_ERP'!$B$4:$B$22,MATCH(IFERROR(INDEX('2_IMPORTAR_EJECUCION'!$C$9:$C$1208,MATCH($AU623,'2_IMPORTAR_EJECUCION'!$J$9:$J$1208,0)),""),'CAT_ESTADOS_ERP'!$A$4:$A$22,0)),"Pendiente"))</f>
        <v/>
      </c>
      <c r="O623" s="24">
        <f>IF($J623="","",YEAR($J623+4-WEEKDAY($J623,2))&amp;"-S"&amp;TEXT(_xlfn.ISOWEEKNUM($J623),"00"))</f>
        <v/>
      </c>
      <c r="P623" s="24">
        <f>IF($J623="","",YEAR($J623))</f>
        <v/>
      </c>
      <c r="Q623" s="24">
        <f>IF($J623="","",MONTH($J623))</f>
        <v/>
      </c>
      <c r="R623" s="24">
        <f>IF($J623="","",$P623&amp;"-"&amp;TEXT($Q623,"00"))</f>
        <v/>
      </c>
      <c r="S623" s="24">
        <f>IF($J623="","",INDEX(lista_dias,WEEKDAY($J623,2)))</f>
        <v/>
      </c>
      <c r="T623" s="24">
        <f>IF($J623="","",IFERROR(INDEX('CALENDARIO'!$C$15:$C$214,MATCH(TEXT($J623,"yyyy-mm-dd")&amp;"|"&amp;$Y623&amp;"|"&amp;$Z623,'CALENDARIO'!$G$15:$G$214,0)),IFERROR(INDEX('CALENDARIO'!$C$15:$C$214,MATCH(TEXT($J623,"yyyy-mm-dd")&amp;"|"&amp;$Y623&amp;"|",'CALENDARIO'!$G$15:$G$214,0)),IFERROR(INDEX('CALENDARIO'!$C$15:$C$214,MATCH(TEXT($J623,"yyyy-mm-dd")&amp;"||",'CALENDARIO'!$G$15:$G$214,0)),INDEX(patronHabil,WEEKDAY($J623,2))))))</f>
        <v/>
      </c>
      <c r="U623" s="24">
        <f>IF($I623="","",IFERROR(INDEX('CAT_TIPOS_OT'!$C$4:$C$23,MATCH($I623,'CAT_TIPOS_OT'!$A$4:$A$23,0)),"sin_clasificar"))</f>
        <v/>
      </c>
      <c r="V623" s="24">
        <f>IF($I623="","",IF(IFERROR(INDEX('CAT_TIPOS_OT'!$D$4:$D$23,MATCH($I623,'CAT_TIPOS_OT'!$A$4:$A$23,0)),"SIN CLASIFICAR")="","SIN CLASIFICAR",IFERROR(INDEX('CAT_TIPOS_OT'!$D$4:$D$23,MATCH($I623,'CAT_TIPOS_OT'!$A$4:$A$23,0)),"SIN CLASIFICAR")))</f>
        <v/>
      </c>
      <c r="W623" s="24">
        <f>IF($H623="","",IF(IFERROR(INDEX('CAT_ACTIVIDADES'!$F$4:$F$26,MATCH($H623,'CAT_ACTIVIDADES'!$A$4:$A$26,0)),"")=0,"",IFERROR(INDEX('CAT_ACTIVIDADES'!$F$4:$F$26,MATCH($H623,'CAT_ACTIVIDADES'!$A$4:$A$26,0)),"")))</f>
        <v/>
      </c>
      <c r="X623" s="24">
        <f>IF($F623="","",IFERROR(INDEX('CAT_CENTROS_COSTO'!$F$4:$F$28,MATCH($F623,'CAT_CENTROS_COSTO'!$A$4:$A$28,0)),"(sin catálogo)"))</f>
        <v/>
      </c>
      <c r="Y623" s="24">
        <f>IF($F623="","",IFERROR(INDEX('CAT_CENTROS_COSTO'!$D$4:$D$28,MATCH($F623,'CAT_CENTROS_COSTO'!$A$4:$A$28,0)),"(sin catálogo)"))</f>
        <v/>
      </c>
      <c r="Z623" s="24">
        <f>IF($F623="","",IF((IFERROR(INDEX('CAT_CENTROS_COSTO'!$E$4:$E$28,MATCH($F623,'CAT_CENTROS_COSTO'!$A$4:$A$28,0)),""))&lt;&gt;"",IFERROR(INDEX('CAT_CENTROS_COSTO'!$E$4:$E$28,MATCH($F623,'CAT_CENTROS_COSTO'!$A$4:$A$28,0)),""),$Y623))</f>
        <v/>
      </c>
      <c r="AA623" s="24">
        <f>IF($F623="","",IFERROR(INDEX('CAT_CENTROS_COSTO'!$G$4:$G$28,MATCH($F623,'CAT_CENTROS_COSTO'!$A$4:$A$28,0)),"(sin catálogo)"))</f>
        <v/>
      </c>
      <c r="AB623" s="24">
        <f>IF($G623="","",IFERROR(INDEX('CAT_PUESTOS'!$B$4:$B$23,MATCH($G623,'CAT_PUESTOS'!$A$4:$A$23,0)),"(sin catálogo)"))</f>
        <v/>
      </c>
      <c r="AC623" s="24">
        <f>IF($H623="","",IFERROR(INDEX('CAT_ACTIVIDADES'!$B$4:$B$26,MATCH($H623,'CAT_ACTIVIDADES'!$A$4:$A$26,0)),"(sin catálogo)"))</f>
        <v/>
      </c>
      <c r="AD623" s="26">
        <f>IF($J623="","",TODAY()-$J623)</f>
        <v/>
      </c>
      <c r="AE623" s="26">
        <f>IF($J623="","",IF($J623&lt;=TODAY(),COUNTIFS(cal_fechas,"&gt;="&amp;$J623,cal_fechas,"&lt;"&amp;TODAY(),cal_habil,"sí"),-COUNTIFS(cal_fechas,"&gt;="&amp;TODAY(),cal_fechas,"&lt;"&amp;$J623,cal_habil,"sí")))</f>
        <v/>
      </c>
      <c r="AF623" s="24">
        <f>IF($AE623="","",IF($AE623&lt;0,"FUTURO",IF($AE623&gt;p_dias_backlog_max,"BACKLOG","MES CORRIENTE")))</f>
        <v/>
      </c>
      <c r="AG623" s="24">
        <f>IF($AE623="",FALSE,AND($AE623&gt;p_dias_backlog_min,$AE623&lt;=p_dias_backlog_max))</f>
        <v/>
      </c>
      <c r="AH623" s="4" t="n"/>
      <c r="AI623" s="24">
        <f>IF($AH623="","",IF((IFERROR(INDEX('ASIGNACIONES'!$J$4:$J$451,MATCH($O623&amp;"|"&amp;$S623&amp;"|"&amp;$AH623,'ASIGNACIONES'!$N$4:$N$451,0)),""))=0,"",IFERROR(INDEX('ASIGNACIONES'!$J$4:$J$451,MATCH($O623&amp;"|"&amp;$S623&amp;"|"&amp;$AH623,'ASIGNACIONES'!$N$4:$N$451,0)),"")))</f>
        <v/>
      </c>
      <c r="AJ623" s="42">
        <f>IF($AH623="","",SUMIFS('ORDENES'!$M$4:$M$1203,'ORDENES'!$AH$4:$AH$1203,$AH623,'ORDENES'!$O$4:$O$1203,$O623,'ORDENES'!$S$4:$S$1203,$S623))</f>
        <v/>
      </c>
      <c r="AK623" s="42">
        <f>IF($AJ623="","",p_factor_productividad*IFERROR(INDEX('ASIGNACIONES'!$M$4:$M$451,MATCH($O623&amp;"|"&amp;$S623&amp;"|"&amp;$AH623,'ASIGNACIONES'!$N$4:$N$451,0)),0)-$AJ623)</f>
        <v/>
      </c>
      <c r="AL623" s="32">
        <f>IF($A623="","",IFERROR(INDEX('2_IMPORTAR_EJECUCION'!$F$9:$F$1208,MATCH($AU623,'2_IMPORTAR_EJECUCION'!$J$9:$J$1208,0)),0))</f>
        <v/>
      </c>
      <c r="AM623" s="32">
        <f>IF($A623="","",MAX(0,IFERROR(INDEX('2_IMPORTAR_EJECUCION'!$H$9:$H$1208,MATCH($AU623,'2_IMPORTAR_EJECUCION'!$J$9:$J$1208,0)),0)-$AL623))</f>
        <v/>
      </c>
      <c r="AN623" s="32">
        <f>IF($A623="","",$AL623+$AM623)</f>
        <v/>
      </c>
      <c r="AO623" s="24">
        <f>IF($A623="","",IF(OR((IFERROR(INDEX('CAT_ACTIVIDADES'!$D$4:$D$26,MATCH($H623,'CAT_ACTIVIDADES'!$A$4:$A$26,0)),""))=0,(IFERROR(INDEX('CAT_ACTIVIDADES'!$D$4:$D$26,MATCH($H623,'CAT_ACTIVIDADES'!$A$4:$A$26,0)),""))=""),"SIN CLASIFICAR",IFERROR(INDEX('CAT_ACTIVIDADES'!$D$4:$D$26,MATCH($H623,'CAT_ACTIVIDADES'!$A$4:$A$26,0)),"")))</f>
        <v/>
      </c>
      <c r="AP623" s="4" t="n"/>
      <c r="AQ623" s="4" t="n"/>
      <c r="AR623" s="4" t="n"/>
      <c r="AS623" s="24">
        <f>IF($AR623="","",HYPERLINK(p_ruta_base_checklists&amp;$AR623,"abrir"))</f>
        <v/>
      </c>
      <c r="AT623" s="4" t="n"/>
      <c r="AU623" s="24">
        <f>IF($A623="","",$A623&amp;IF($B623="","0010",$B623))</f>
        <v/>
      </c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41" t="n"/>
      <c r="K624" s="5" t="n"/>
      <c r="L624" s="18" t="n"/>
      <c r="M624" s="24">
        <f>IF($A624="","",IFERROR(INDEX('AJUSTES'!$B$4:$B$303,MATCH($AU624,'AJUSTES'!$A$4:$A$303,0)),IF($K624="","",$K624)))</f>
        <v/>
      </c>
      <c r="N624" s="24">
        <f>IF($A624="","",IFERROR(INDEX('CAT_ESTADOS_ERP'!$B$4:$B$22,MATCH(IFERROR(INDEX('2_IMPORTAR_EJECUCION'!$C$9:$C$1208,MATCH($AU624,'2_IMPORTAR_EJECUCION'!$J$9:$J$1208,0)),""),'CAT_ESTADOS_ERP'!$A$4:$A$22,0)),"Pendiente"))</f>
        <v/>
      </c>
      <c r="O624" s="24">
        <f>IF($J624="","",YEAR($J624+4-WEEKDAY($J624,2))&amp;"-S"&amp;TEXT(_xlfn.ISOWEEKNUM($J624),"00"))</f>
        <v/>
      </c>
      <c r="P624" s="24">
        <f>IF($J624="","",YEAR($J624))</f>
        <v/>
      </c>
      <c r="Q624" s="24">
        <f>IF($J624="","",MONTH($J624))</f>
        <v/>
      </c>
      <c r="R624" s="24">
        <f>IF($J624="","",$P624&amp;"-"&amp;TEXT($Q624,"00"))</f>
        <v/>
      </c>
      <c r="S624" s="24">
        <f>IF($J624="","",INDEX(lista_dias,WEEKDAY($J624,2)))</f>
        <v/>
      </c>
      <c r="T624" s="24">
        <f>IF($J624="","",IFERROR(INDEX('CALENDARIO'!$C$15:$C$214,MATCH(TEXT($J624,"yyyy-mm-dd")&amp;"|"&amp;$Y624&amp;"|"&amp;$Z624,'CALENDARIO'!$G$15:$G$214,0)),IFERROR(INDEX('CALENDARIO'!$C$15:$C$214,MATCH(TEXT($J624,"yyyy-mm-dd")&amp;"|"&amp;$Y624&amp;"|",'CALENDARIO'!$G$15:$G$214,0)),IFERROR(INDEX('CALENDARIO'!$C$15:$C$214,MATCH(TEXT($J624,"yyyy-mm-dd")&amp;"||",'CALENDARIO'!$G$15:$G$214,0)),INDEX(patronHabil,WEEKDAY($J624,2))))))</f>
        <v/>
      </c>
      <c r="U624" s="24">
        <f>IF($I624="","",IFERROR(INDEX('CAT_TIPOS_OT'!$C$4:$C$23,MATCH($I624,'CAT_TIPOS_OT'!$A$4:$A$23,0)),"sin_clasificar"))</f>
        <v/>
      </c>
      <c r="V624" s="24">
        <f>IF($I624="","",IF(IFERROR(INDEX('CAT_TIPOS_OT'!$D$4:$D$23,MATCH($I624,'CAT_TIPOS_OT'!$A$4:$A$23,0)),"SIN CLASIFICAR")="","SIN CLASIFICAR",IFERROR(INDEX('CAT_TIPOS_OT'!$D$4:$D$23,MATCH($I624,'CAT_TIPOS_OT'!$A$4:$A$23,0)),"SIN CLASIFICAR")))</f>
        <v/>
      </c>
      <c r="W624" s="24">
        <f>IF($H624="","",IF(IFERROR(INDEX('CAT_ACTIVIDADES'!$F$4:$F$26,MATCH($H624,'CAT_ACTIVIDADES'!$A$4:$A$26,0)),"")=0,"",IFERROR(INDEX('CAT_ACTIVIDADES'!$F$4:$F$26,MATCH($H624,'CAT_ACTIVIDADES'!$A$4:$A$26,0)),"")))</f>
        <v/>
      </c>
      <c r="X624" s="24">
        <f>IF($F624="","",IFERROR(INDEX('CAT_CENTROS_COSTO'!$F$4:$F$28,MATCH($F624,'CAT_CENTROS_COSTO'!$A$4:$A$28,0)),"(sin catálogo)"))</f>
        <v/>
      </c>
      <c r="Y624" s="24">
        <f>IF($F624="","",IFERROR(INDEX('CAT_CENTROS_COSTO'!$D$4:$D$28,MATCH($F624,'CAT_CENTROS_COSTO'!$A$4:$A$28,0)),"(sin catálogo)"))</f>
        <v/>
      </c>
      <c r="Z624" s="24">
        <f>IF($F624="","",IF((IFERROR(INDEX('CAT_CENTROS_COSTO'!$E$4:$E$28,MATCH($F624,'CAT_CENTROS_COSTO'!$A$4:$A$28,0)),""))&lt;&gt;"",IFERROR(INDEX('CAT_CENTROS_COSTO'!$E$4:$E$28,MATCH($F624,'CAT_CENTROS_COSTO'!$A$4:$A$28,0)),""),$Y624))</f>
        <v/>
      </c>
      <c r="AA624" s="24">
        <f>IF($F624="","",IFERROR(INDEX('CAT_CENTROS_COSTO'!$G$4:$G$28,MATCH($F624,'CAT_CENTROS_COSTO'!$A$4:$A$28,0)),"(sin catálogo)"))</f>
        <v/>
      </c>
      <c r="AB624" s="24">
        <f>IF($G624="","",IFERROR(INDEX('CAT_PUESTOS'!$B$4:$B$23,MATCH($G624,'CAT_PUESTOS'!$A$4:$A$23,0)),"(sin catálogo)"))</f>
        <v/>
      </c>
      <c r="AC624" s="24">
        <f>IF($H624="","",IFERROR(INDEX('CAT_ACTIVIDADES'!$B$4:$B$26,MATCH($H624,'CAT_ACTIVIDADES'!$A$4:$A$26,0)),"(sin catálogo)"))</f>
        <v/>
      </c>
      <c r="AD624" s="26">
        <f>IF($J624="","",TODAY()-$J624)</f>
        <v/>
      </c>
      <c r="AE624" s="26">
        <f>IF($J624="","",IF($J624&lt;=TODAY(),COUNTIFS(cal_fechas,"&gt;="&amp;$J624,cal_fechas,"&lt;"&amp;TODAY(),cal_habil,"sí"),-COUNTIFS(cal_fechas,"&gt;="&amp;TODAY(),cal_fechas,"&lt;"&amp;$J624,cal_habil,"sí")))</f>
        <v/>
      </c>
      <c r="AF624" s="24">
        <f>IF($AE624="","",IF($AE624&lt;0,"FUTURO",IF($AE624&gt;p_dias_backlog_max,"BACKLOG","MES CORRIENTE")))</f>
        <v/>
      </c>
      <c r="AG624" s="24">
        <f>IF($AE624="",FALSE,AND($AE624&gt;p_dias_backlog_min,$AE624&lt;=p_dias_backlog_max))</f>
        <v/>
      </c>
      <c r="AH624" s="4" t="n"/>
      <c r="AI624" s="24">
        <f>IF($AH624="","",IF((IFERROR(INDEX('ASIGNACIONES'!$J$4:$J$451,MATCH($O624&amp;"|"&amp;$S624&amp;"|"&amp;$AH624,'ASIGNACIONES'!$N$4:$N$451,0)),""))=0,"",IFERROR(INDEX('ASIGNACIONES'!$J$4:$J$451,MATCH($O624&amp;"|"&amp;$S624&amp;"|"&amp;$AH624,'ASIGNACIONES'!$N$4:$N$451,0)),"")))</f>
        <v/>
      </c>
      <c r="AJ624" s="42">
        <f>IF($AH624="","",SUMIFS('ORDENES'!$M$4:$M$1203,'ORDENES'!$AH$4:$AH$1203,$AH624,'ORDENES'!$O$4:$O$1203,$O624,'ORDENES'!$S$4:$S$1203,$S624))</f>
        <v/>
      </c>
      <c r="AK624" s="42">
        <f>IF($AJ624="","",p_factor_productividad*IFERROR(INDEX('ASIGNACIONES'!$M$4:$M$451,MATCH($O624&amp;"|"&amp;$S624&amp;"|"&amp;$AH624,'ASIGNACIONES'!$N$4:$N$451,0)),0)-$AJ624)</f>
        <v/>
      </c>
      <c r="AL624" s="32">
        <f>IF($A624="","",IFERROR(INDEX('2_IMPORTAR_EJECUCION'!$F$9:$F$1208,MATCH($AU624,'2_IMPORTAR_EJECUCION'!$J$9:$J$1208,0)),0))</f>
        <v/>
      </c>
      <c r="AM624" s="32">
        <f>IF($A624="","",MAX(0,IFERROR(INDEX('2_IMPORTAR_EJECUCION'!$H$9:$H$1208,MATCH($AU624,'2_IMPORTAR_EJECUCION'!$J$9:$J$1208,0)),0)-$AL624))</f>
        <v/>
      </c>
      <c r="AN624" s="32">
        <f>IF($A624="","",$AL624+$AM624)</f>
        <v/>
      </c>
      <c r="AO624" s="24">
        <f>IF($A624="","",IF(OR((IFERROR(INDEX('CAT_ACTIVIDADES'!$D$4:$D$26,MATCH($H624,'CAT_ACTIVIDADES'!$A$4:$A$26,0)),""))=0,(IFERROR(INDEX('CAT_ACTIVIDADES'!$D$4:$D$26,MATCH($H624,'CAT_ACTIVIDADES'!$A$4:$A$26,0)),""))=""),"SIN CLASIFICAR",IFERROR(INDEX('CAT_ACTIVIDADES'!$D$4:$D$26,MATCH($H624,'CAT_ACTIVIDADES'!$A$4:$A$26,0)),"")))</f>
        <v/>
      </c>
      <c r="AP624" s="4" t="n"/>
      <c r="AQ624" s="4" t="n"/>
      <c r="AR624" s="4" t="n"/>
      <c r="AS624" s="24">
        <f>IF($AR624="","",HYPERLINK(p_ruta_base_checklists&amp;$AR624,"abrir"))</f>
        <v/>
      </c>
      <c r="AT624" s="4" t="n"/>
      <c r="AU624" s="24">
        <f>IF($A624="","",$A624&amp;IF($B624="","0010",$B624))</f>
        <v/>
      </c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41" t="n"/>
      <c r="K625" s="5" t="n"/>
      <c r="L625" s="18" t="n"/>
      <c r="M625" s="24">
        <f>IF($A625="","",IFERROR(INDEX('AJUSTES'!$B$4:$B$303,MATCH($AU625,'AJUSTES'!$A$4:$A$303,0)),IF($K625="","",$K625)))</f>
        <v/>
      </c>
      <c r="N625" s="24">
        <f>IF($A625="","",IFERROR(INDEX('CAT_ESTADOS_ERP'!$B$4:$B$22,MATCH(IFERROR(INDEX('2_IMPORTAR_EJECUCION'!$C$9:$C$1208,MATCH($AU625,'2_IMPORTAR_EJECUCION'!$J$9:$J$1208,0)),""),'CAT_ESTADOS_ERP'!$A$4:$A$22,0)),"Pendiente"))</f>
        <v/>
      </c>
      <c r="O625" s="24">
        <f>IF($J625="","",YEAR($J625+4-WEEKDAY($J625,2))&amp;"-S"&amp;TEXT(_xlfn.ISOWEEKNUM($J625),"00"))</f>
        <v/>
      </c>
      <c r="P625" s="24">
        <f>IF($J625="","",YEAR($J625))</f>
        <v/>
      </c>
      <c r="Q625" s="24">
        <f>IF($J625="","",MONTH($J625))</f>
        <v/>
      </c>
      <c r="R625" s="24">
        <f>IF($J625="","",$P625&amp;"-"&amp;TEXT($Q625,"00"))</f>
        <v/>
      </c>
      <c r="S625" s="24">
        <f>IF($J625="","",INDEX(lista_dias,WEEKDAY($J625,2)))</f>
        <v/>
      </c>
      <c r="T625" s="24">
        <f>IF($J625="","",IFERROR(INDEX('CALENDARIO'!$C$15:$C$214,MATCH(TEXT($J625,"yyyy-mm-dd")&amp;"|"&amp;$Y625&amp;"|"&amp;$Z625,'CALENDARIO'!$G$15:$G$214,0)),IFERROR(INDEX('CALENDARIO'!$C$15:$C$214,MATCH(TEXT($J625,"yyyy-mm-dd")&amp;"|"&amp;$Y625&amp;"|",'CALENDARIO'!$G$15:$G$214,0)),IFERROR(INDEX('CALENDARIO'!$C$15:$C$214,MATCH(TEXT($J625,"yyyy-mm-dd")&amp;"||",'CALENDARIO'!$G$15:$G$214,0)),INDEX(patronHabil,WEEKDAY($J625,2))))))</f>
        <v/>
      </c>
      <c r="U625" s="24">
        <f>IF($I625="","",IFERROR(INDEX('CAT_TIPOS_OT'!$C$4:$C$23,MATCH($I625,'CAT_TIPOS_OT'!$A$4:$A$23,0)),"sin_clasificar"))</f>
        <v/>
      </c>
      <c r="V625" s="24">
        <f>IF($I625="","",IF(IFERROR(INDEX('CAT_TIPOS_OT'!$D$4:$D$23,MATCH($I625,'CAT_TIPOS_OT'!$A$4:$A$23,0)),"SIN CLASIFICAR")="","SIN CLASIFICAR",IFERROR(INDEX('CAT_TIPOS_OT'!$D$4:$D$23,MATCH($I625,'CAT_TIPOS_OT'!$A$4:$A$23,0)),"SIN CLASIFICAR")))</f>
        <v/>
      </c>
      <c r="W625" s="24">
        <f>IF($H625="","",IF(IFERROR(INDEX('CAT_ACTIVIDADES'!$F$4:$F$26,MATCH($H625,'CAT_ACTIVIDADES'!$A$4:$A$26,0)),"")=0,"",IFERROR(INDEX('CAT_ACTIVIDADES'!$F$4:$F$26,MATCH($H625,'CAT_ACTIVIDADES'!$A$4:$A$26,0)),"")))</f>
        <v/>
      </c>
      <c r="X625" s="24">
        <f>IF($F625="","",IFERROR(INDEX('CAT_CENTROS_COSTO'!$F$4:$F$28,MATCH($F625,'CAT_CENTROS_COSTO'!$A$4:$A$28,0)),"(sin catálogo)"))</f>
        <v/>
      </c>
      <c r="Y625" s="24">
        <f>IF($F625="","",IFERROR(INDEX('CAT_CENTROS_COSTO'!$D$4:$D$28,MATCH($F625,'CAT_CENTROS_COSTO'!$A$4:$A$28,0)),"(sin catálogo)"))</f>
        <v/>
      </c>
      <c r="Z625" s="24">
        <f>IF($F625="","",IF((IFERROR(INDEX('CAT_CENTROS_COSTO'!$E$4:$E$28,MATCH($F625,'CAT_CENTROS_COSTO'!$A$4:$A$28,0)),""))&lt;&gt;"",IFERROR(INDEX('CAT_CENTROS_COSTO'!$E$4:$E$28,MATCH($F625,'CAT_CENTROS_COSTO'!$A$4:$A$28,0)),""),$Y625))</f>
        <v/>
      </c>
      <c r="AA625" s="24">
        <f>IF($F625="","",IFERROR(INDEX('CAT_CENTROS_COSTO'!$G$4:$G$28,MATCH($F625,'CAT_CENTROS_COSTO'!$A$4:$A$28,0)),"(sin catálogo)"))</f>
        <v/>
      </c>
      <c r="AB625" s="24">
        <f>IF($G625="","",IFERROR(INDEX('CAT_PUESTOS'!$B$4:$B$23,MATCH($G625,'CAT_PUESTOS'!$A$4:$A$23,0)),"(sin catálogo)"))</f>
        <v/>
      </c>
      <c r="AC625" s="24">
        <f>IF($H625="","",IFERROR(INDEX('CAT_ACTIVIDADES'!$B$4:$B$26,MATCH($H625,'CAT_ACTIVIDADES'!$A$4:$A$26,0)),"(sin catálogo)"))</f>
        <v/>
      </c>
      <c r="AD625" s="26">
        <f>IF($J625="","",TODAY()-$J625)</f>
        <v/>
      </c>
      <c r="AE625" s="26">
        <f>IF($J625="","",IF($J625&lt;=TODAY(),COUNTIFS(cal_fechas,"&gt;="&amp;$J625,cal_fechas,"&lt;"&amp;TODAY(),cal_habil,"sí"),-COUNTIFS(cal_fechas,"&gt;="&amp;TODAY(),cal_fechas,"&lt;"&amp;$J625,cal_habil,"sí")))</f>
        <v/>
      </c>
      <c r="AF625" s="24">
        <f>IF($AE625="","",IF($AE625&lt;0,"FUTURO",IF($AE625&gt;p_dias_backlog_max,"BACKLOG","MES CORRIENTE")))</f>
        <v/>
      </c>
      <c r="AG625" s="24">
        <f>IF($AE625="",FALSE,AND($AE625&gt;p_dias_backlog_min,$AE625&lt;=p_dias_backlog_max))</f>
        <v/>
      </c>
      <c r="AH625" s="4" t="n"/>
      <c r="AI625" s="24">
        <f>IF($AH625="","",IF((IFERROR(INDEX('ASIGNACIONES'!$J$4:$J$451,MATCH($O625&amp;"|"&amp;$S625&amp;"|"&amp;$AH625,'ASIGNACIONES'!$N$4:$N$451,0)),""))=0,"",IFERROR(INDEX('ASIGNACIONES'!$J$4:$J$451,MATCH($O625&amp;"|"&amp;$S625&amp;"|"&amp;$AH625,'ASIGNACIONES'!$N$4:$N$451,0)),"")))</f>
        <v/>
      </c>
      <c r="AJ625" s="42">
        <f>IF($AH625="","",SUMIFS('ORDENES'!$M$4:$M$1203,'ORDENES'!$AH$4:$AH$1203,$AH625,'ORDENES'!$O$4:$O$1203,$O625,'ORDENES'!$S$4:$S$1203,$S625))</f>
        <v/>
      </c>
      <c r="AK625" s="42">
        <f>IF($AJ625="","",p_factor_productividad*IFERROR(INDEX('ASIGNACIONES'!$M$4:$M$451,MATCH($O625&amp;"|"&amp;$S625&amp;"|"&amp;$AH625,'ASIGNACIONES'!$N$4:$N$451,0)),0)-$AJ625)</f>
        <v/>
      </c>
      <c r="AL625" s="32">
        <f>IF($A625="","",IFERROR(INDEX('2_IMPORTAR_EJECUCION'!$F$9:$F$1208,MATCH($AU625,'2_IMPORTAR_EJECUCION'!$J$9:$J$1208,0)),0))</f>
        <v/>
      </c>
      <c r="AM625" s="32">
        <f>IF($A625="","",MAX(0,IFERROR(INDEX('2_IMPORTAR_EJECUCION'!$H$9:$H$1208,MATCH($AU625,'2_IMPORTAR_EJECUCION'!$J$9:$J$1208,0)),0)-$AL625))</f>
        <v/>
      </c>
      <c r="AN625" s="32">
        <f>IF($A625="","",$AL625+$AM625)</f>
        <v/>
      </c>
      <c r="AO625" s="24">
        <f>IF($A625="","",IF(OR((IFERROR(INDEX('CAT_ACTIVIDADES'!$D$4:$D$26,MATCH($H625,'CAT_ACTIVIDADES'!$A$4:$A$26,0)),""))=0,(IFERROR(INDEX('CAT_ACTIVIDADES'!$D$4:$D$26,MATCH($H625,'CAT_ACTIVIDADES'!$A$4:$A$26,0)),""))=""),"SIN CLASIFICAR",IFERROR(INDEX('CAT_ACTIVIDADES'!$D$4:$D$26,MATCH($H625,'CAT_ACTIVIDADES'!$A$4:$A$26,0)),"")))</f>
        <v/>
      </c>
      <c r="AP625" s="4" t="n"/>
      <c r="AQ625" s="4" t="n"/>
      <c r="AR625" s="4" t="n"/>
      <c r="AS625" s="24">
        <f>IF($AR625="","",HYPERLINK(p_ruta_base_checklists&amp;$AR625,"abrir"))</f>
        <v/>
      </c>
      <c r="AT625" s="4" t="n"/>
      <c r="AU625" s="24">
        <f>IF($A625="","",$A625&amp;IF($B625="","0010",$B625))</f>
        <v/>
      </c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41" t="n"/>
      <c r="K626" s="5" t="n"/>
      <c r="L626" s="18" t="n"/>
      <c r="M626" s="24">
        <f>IF($A626="","",IFERROR(INDEX('AJUSTES'!$B$4:$B$303,MATCH($AU626,'AJUSTES'!$A$4:$A$303,0)),IF($K626="","",$K626)))</f>
        <v/>
      </c>
      <c r="N626" s="24">
        <f>IF($A626="","",IFERROR(INDEX('CAT_ESTADOS_ERP'!$B$4:$B$22,MATCH(IFERROR(INDEX('2_IMPORTAR_EJECUCION'!$C$9:$C$1208,MATCH($AU626,'2_IMPORTAR_EJECUCION'!$J$9:$J$1208,0)),""),'CAT_ESTADOS_ERP'!$A$4:$A$22,0)),"Pendiente"))</f>
        <v/>
      </c>
      <c r="O626" s="24">
        <f>IF($J626="","",YEAR($J626+4-WEEKDAY($J626,2))&amp;"-S"&amp;TEXT(_xlfn.ISOWEEKNUM($J626),"00"))</f>
        <v/>
      </c>
      <c r="P626" s="24">
        <f>IF($J626="","",YEAR($J626))</f>
        <v/>
      </c>
      <c r="Q626" s="24">
        <f>IF($J626="","",MONTH($J626))</f>
        <v/>
      </c>
      <c r="R626" s="24">
        <f>IF($J626="","",$P626&amp;"-"&amp;TEXT($Q626,"00"))</f>
        <v/>
      </c>
      <c r="S626" s="24">
        <f>IF($J626="","",INDEX(lista_dias,WEEKDAY($J626,2)))</f>
        <v/>
      </c>
      <c r="T626" s="24">
        <f>IF($J626="","",IFERROR(INDEX('CALENDARIO'!$C$15:$C$214,MATCH(TEXT($J626,"yyyy-mm-dd")&amp;"|"&amp;$Y626&amp;"|"&amp;$Z626,'CALENDARIO'!$G$15:$G$214,0)),IFERROR(INDEX('CALENDARIO'!$C$15:$C$214,MATCH(TEXT($J626,"yyyy-mm-dd")&amp;"|"&amp;$Y626&amp;"|",'CALENDARIO'!$G$15:$G$214,0)),IFERROR(INDEX('CALENDARIO'!$C$15:$C$214,MATCH(TEXT($J626,"yyyy-mm-dd")&amp;"||",'CALENDARIO'!$G$15:$G$214,0)),INDEX(patronHabil,WEEKDAY($J626,2))))))</f>
        <v/>
      </c>
      <c r="U626" s="24">
        <f>IF($I626="","",IFERROR(INDEX('CAT_TIPOS_OT'!$C$4:$C$23,MATCH($I626,'CAT_TIPOS_OT'!$A$4:$A$23,0)),"sin_clasificar"))</f>
        <v/>
      </c>
      <c r="V626" s="24">
        <f>IF($I626="","",IF(IFERROR(INDEX('CAT_TIPOS_OT'!$D$4:$D$23,MATCH($I626,'CAT_TIPOS_OT'!$A$4:$A$23,0)),"SIN CLASIFICAR")="","SIN CLASIFICAR",IFERROR(INDEX('CAT_TIPOS_OT'!$D$4:$D$23,MATCH($I626,'CAT_TIPOS_OT'!$A$4:$A$23,0)),"SIN CLASIFICAR")))</f>
        <v/>
      </c>
      <c r="W626" s="24">
        <f>IF($H626="","",IF(IFERROR(INDEX('CAT_ACTIVIDADES'!$F$4:$F$26,MATCH($H626,'CAT_ACTIVIDADES'!$A$4:$A$26,0)),"")=0,"",IFERROR(INDEX('CAT_ACTIVIDADES'!$F$4:$F$26,MATCH($H626,'CAT_ACTIVIDADES'!$A$4:$A$26,0)),"")))</f>
        <v/>
      </c>
      <c r="X626" s="24">
        <f>IF($F626="","",IFERROR(INDEX('CAT_CENTROS_COSTO'!$F$4:$F$28,MATCH($F626,'CAT_CENTROS_COSTO'!$A$4:$A$28,0)),"(sin catálogo)"))</f>
        <v/>
      </c>
      <c r="Y626" s="24">
        <f>IF($F626="","",IFERROR(INDEX('CAT_CENTROS_COSTO'!$D$4:$D$28,MATCH($F626,'CAT_CENTROS_COSTO'!$A$4:$A$28,0)),"(sin catálogo)"))</f>
        <v/>
      </c>
      <c r="Z626" s="24">
        <f>IF($F626="","",IF((IFERROR(INDEX('CAT_CENTROS_COSTO'!$E$4:$E$28,MATCH($F626,'CAT_CENTROS_COSTO'!$A$4:$A$28,0)),""))&lt;&gt;"",IFERROR(INDEX('CAT_CENTROS_COSTO'!$E$4:$E$28,MATCH($F626,'CAT_CENTROS_COSTO'!$A$4:$A$28,0)),""),$Y626))</f>
        <v/>
      </c>
      <c r="AA626" s="24">
        <f>IF($F626="","",IFERROR(INDEX('CAT_CENTROS_COSTO'!$G$4:$G$28,MATCH($F626,'CAT_CENTROS_COSTO'!$A$4:$A$28,0)),"(sin catálogo)"))</f>
        <v/>
      </c>
      <c r="AB626" s="24">
        <f>IF($G626="","",IFERROR(INDEX('CAT_PUESTOS'!$B$4:$B$23,MATCH($G626,'CAT_PUESTOS'!$A$4:$A$23,0)),"(sin catálogo)"))</f>
        <v/>
      </c>
      <c r="AC626" s="24">
        <f>IF($H626="","",IFERROR(INDEX('CAT_ACTIVIDADES'!$B$4:$B$26,MATCH($H626,'CAT_ACTIVIDADES'!$A$4:$A$26,0)),"(sin catálogo)"))</f>
        <v/>
      </c>
      <c r="AD626" s="26">
        <f>IF($J626="","",TODAY()-$J626)</f>
        <v/>
      </c>
      <c r="AE626" s="26">
        <f>IF($J626="","",IF($J626&lt;=TODAY(),COUNTIFS(cal_fechas,"&gt;="&amp;$J626,cal_fechas,"&lt;"&amp;TODAY(),cal_habil,"sí"),-COUNTIFS(cal_fechas,"&gt;="&amp;TODAY(),cal_fechas,"&lt;"&amp;$J626,cal_habil,"sí")))</f>
        <v/>
      </c>
      <c r="AF626" s="24">
        <f>IF($AE626="","",IF($AE626&lt;0,"FUTURO",IF($AE626&gt;p_dias_backlog_max,"BACKLOG","MES CORRIENTE")))</f>
        <v/>
      </c>
      <c r="AG626" s="24">
        <f>IF($AE626="",FALSE,AND($AE626&gt;p_dias_backlog_min,$AE626&lt;=p_dias_backlog_max))</f>
        <v/>
      </c>
      <c r="AH626" s="4" t="n"/>
      <c r="AI626" s="24">
        <f>IF($AH626="","",IF((IFERROR(INDEX('ASIGNACIONES'!$J$4:$J$451,MATCH($O626&amp;"|"&amp;$S626&amp;"|"&amp;$AH626,'ASIGNACIONES'!$N$4:$N$451,0)),""))=0,"",IFERROR(INDEX('ASIGNACIONES'!$J$4:$J$451,MATCH($O626&amp;"|"&amp;$S626&amp;"|"&amp;$AH626,'ASIGNACIONES'!$N$4:$N$451,0)),"")))</f>
        <v/>
      </c>
      <c r="AJ626" s="42">
        <f>IF($AH626="","",SUMIFS('ORDENES'!$M$4:$M$1203,'ORDENES'!$AH$4:$AH$1203,$AH626,'ORDENES'!$O$4:$O$1203,$O626,'ORDENES'!$S$4:$S$1203,$S626))</f>
        <v/>
      </c>
      <c r="AK626" s="42">
        <f>IF($AJ626="","",p_factor_productividad*IFERROR(INDEX('ASIGNACIONES'!$M$4:$M$451,MATCH($O626&amp;"|"&amp;$S626&amp;"|"&amp;$AH626,'ASIGNACIONES'!$N$4:$N$451,0)),0)-$AJ626)</f>
        <v/>
      </c>
      <c r="AL626" s="32">
        <f>IF($A626="","",IFERROR(INDEX('2_IMPORTAR_EJECUCION'!$F$9:$F$1208,MATCH($AU626,'2_IMPORTAR_EJECUCION'!$J$9:$J$1208,0)),0))</f>
        <v/>
      </c>
      <c r="AM626" s="32">
        <f>IF($A626="","",MAX(0,IFERROR(INDEX('2_IMPORTAR_EJECUCION'!$H$9:$H$1208,MATCH($AU626,'2_IMPORTAR_EJECUCION'!$J$9:$J$1208,0)),0)-$AL626))</f>
        <v/>
      </c>
      <c r="AN626" s="32">
        <f>IF($A626="","",$AL626+$AM626)</f>
        <v/>
      </c>
      <c r="AO626" s="24">
        <f>IF($A626="","",IF(OR((IFERROR(INDEX('CAT_ACTIVIDADES'!$D$4:$D$26,MATCH($H626,'CAT_ACTIVIDADES'!$A$4:$A$26,0)),""))=0,(IFERROR(INDEX('CAT_ACTIVIDADES'!$D$4:$D$26,MATCH($H626,'CAT_ACTIVIDADES'!$A$4:$A$26,0)),""))=""),"SIN CLASIFICAR",IFERROR(INDEX('CAT_ACTIVIDADES'!$D$4:$D$26,MATCH($H626,'CAT_ACTIVIDADES'!$A$4:$A$26,0)),"")))</f>
        <v/>
      </c>
      <c r="AP626" s="4" t="n"/>
      <c r="AQ626" s="4" t="n"/>
      <c r="AR626" s="4" t="n"/>
      <c r="AS626" s="24">
        <f>IF($AR626="","",HYPERLINK(p_ruta_base_checklists&amp;$AR626,"abrir"))</f>
        <v/>
      </c>
      <c r="AT626" s="4" t="n"/>
      <c r="AU626" s="24">
        <f>IF($A626="","",$A626&amp;IF($B626="","0010",$B626))</f>
        <v/>
      </c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41" t="n"/>
      <c r="K627" s="5" t="n"/>
      <c r="L627" s="18" t="n"/>
      <c r="M627" s="24">
        <f>IF($A627="","",IFERROR(INDEX('AJUSTES'!$B$4:$B$303,MATCH($AU627,'AJUSTES'!$A$4:$A$303,0)),IF($K627="","",$K627)))</f>
        <v/>
      </c>
      <c r="N627" s="24">
        <f>IF($A627="","",IFERROR(INDEX('CAT_ESTADOS_ERP'!$B$4:$B$22,MATCH(IFERROR(INDEX('2_IMPORTAR_EJECUCION'!$C$9:$C$1208,MATCH($AU627,'2_IMPORTAR_EJECUCION'!$J$9:$J$1208,0)),""),'CAT_ESTADOS_ERP'!$A$4:$A$22,0)),"Pendiente"))</f>
        <v/>
      </c>
      <c r="O627" s="24">
        <f>IF($J627="","",YEAR($J627+4-WEEKDAY($J627,2))&amp;"-S"&amp;TEXT(_xlfn.ISOWEEKNUM($J627),"00"))</f>
        <v/>
      </c>
      <c r="P627" s="24">
        <f>IF($J627="","",YEAR($J627))</f>
        <v/>
      </c>
      <c r="Q627" s="24">
        <f>IF($J627="","",MONTH($J627))</f>
        <v/>
      </c>
      <c r="R627" s="24">
        <f>IF($J627="","",$P627&amp;"-"&amp;TEXT($Q627,"00"))</f>
        <v/>
      </c>
      <c r="S627" s="24">
        <f>IF($J627="","",INDEX(lista_dias,WEEKDAY($J627,2)))</f>
        <v/>
      </c>
      <c r="T627" s="24">
        <f>IF($J627="","",IFERROR(INDEX('CALENDARIO'!$C$15:$C$214,MATCH(TEXT($J627,"yyyy-mm-dd")&amp;"|"&amp;$Y627&amp;"|"&amp;$Z627,'CALENDARIO'!$G$15:$G$214,0)),IFERROR(INDEX('CALENDARIO'!$C$15:$C$214,MATCH(TEXT($J627,"yyyy-mm-dd")&amp;"|"&amp;$Y627&amp;"|",'CALENDARIO'!$G$15:$G$214,0)),IFERROR(INDEX('CALENDARIO'!$C$15:$C$214,MATCH(TEXT($J627,"yyyy-mm-dd")&amp;"||",'CALENDARIO'!$G$15:$G$214,0)),INDEX(patronHabil,WEEKDAY($J627,2))))))</f>
        <v/>
      </c>
      <c r="U627" s="24">
        <f>IF($I627="","",IFERROR(INDEX('CAT_TIPOS_OT'!$C$4:$C$23,MATCH($I627,'CAT_TIPOS_OT'!$A$4:$A$23,0)),"sin_clasificar"))</f>
        <v/>
      </c>
      <c r="V627" s="24">
        <f>IF($I627="","",IF(IFERROR(INDEX('CAT_TIPOS_OT'!$D$4:$D$23,MATCH($I627,'CAT_TIPOS_OT'!$A$4:$A$23,0)),"SIN CLASIFICAR")="","SIN CLASIFICAR",IFERROR(INDEX('CAT_TIPOS_OT'!$D$4:$D$23,MATCH($I627,'CAT_TIPOS_OT'!$A$4:$A$23,0)),"SIN CLASIFICAR")))</f>
        <v/>
      </c>
      <c r="W627" s="24">
        <f>IF($H627="","",IF(IFERROR(INDEX('CAT_ACTIVIDADES'!$F$4:$F$26,MATCH($H627,'CAT_ACTIVIDADES'!$A$4:$A$26,0)),"")=0,"",IFERROR(INDEX('CAT_ACTIVIDADES'!$F$4:$F$26,MATCH($H627,'CAT_ACTIVIDADES'!$A$4:$A$26,0)),"")))</f>
        <v/>
      </c>
      <c r="X627" s="24">
        <f>IF($F627="","",IFERROR(INDEX('CAT_CENTROS_COSTO'!$F$4:$F$28,MATCH($F627,'CAT_CENTROS_COSTO'!$A$4:$A$28,0)),"(sin catálogo)"))</f>
        <v/>
      </c>
      <c r="Y627" s="24">
        <f>IF($F627="","",IFERROR(INDEX('CAT_CENTROS_COSTO'!$D$4:$D$28,MATCH($F627,'CAT_CENTROS_COSTO'!$A$4:$A$28,0)),"(sin catálogo)"))</f>
        <v/>
      </c>
      <c r="Z627" s="24">
        <f>IF($F627="","",IF((IFERROR(INDEX('CAT_CENTROS_COSTO'!$E$4:$E$28,MATCH($F627,'CAT_CENTROS_COSTO'!$A$4:$A$28,0)),""))&lt;&gt;"",IFERROR(INDEX('CAT_CENTROS_COSTO'!$E$4:$E$28,MATCH($F627,'CAT_CENTROS_COSTO'!$A$4:$A$28,0)),""),$Y627))</f>
        <v/>
      </c>
      <c r="AA627" s="24">
        <f>IF($F627="","",IFERROR(INDEX('CAT_CENTROS_COSTO'!$G$4:$G$28,MATCH($F627,'CAT_CENTROS_COSTO'!$A$4:$A$28,0)),"(sin catálogo)"))</f>
        <v/>
      </c>
      <c r="AB627" s="24">
        <f>IF($G627="","",IFERROR(INDEX('CAT_PUESTOS'!$B$4:$B$23,MATCH($G627,'CAT_PUESTOS'!$A$4:$A$23,0)),"(sin catálogo)"))</f>
        <v/>
      </c>
      <c r="AC627" s="24">
        <f>IF($H627="","",IFERROR(INDEX('CAT_ACTIVIDADES'!$B$4:$B$26,MATCH($H627,'CAT_ACTIVIDADES'!$A$4:$A$26,0)),"(sin catálogo)"))</f>
        <v/>
      </c>
      <c r="AD627" s="26">
        <f>IF($J627="","",TODAY()-$J627)</f>
        <v/>
      </c>
      <c r="AE627" s="26">
        <f>IF($J627="","",IF($J627&lt;=TODAY(),COUNTIFS(cal_fechas,"&gt;="&amp;$J627,cal_fechas,"&lt;"&amp;TODAY(),cal_habil,"sí"),-COUNTIFS(cal_fechas,"&gt;="&amp;TODAY(),cal_fechas,"&lt;"&amp;$J627,cal_habil,"sí")))</f>
        <v/>
      </c>
      <c r="AF627" s="24">
        <f>IF($AE627="","",IF($AE627&lt;0,"FUTURO",IF($AE627&gt;p_dias_backlog_max,"BACKLOG","MES CORRIENTE")))</f>
        <v/>
      </c>
      <c r="AG627" s="24">
        <f>IF($AE627="",FALSE,AND($AE627&gt;p_dias_backlog_min,$AE627&lt;=p_dias_backlog_max))</f>
        <v/>
      </c>
      <c r="AH627" s="4" t="n"/>
      <c r="AI627" s="24">
        <f>IF($AH627="","",IF((IFERROR(INDEX('ASIGNACIONES'!$J$4:$J$451,MATCH($O627&amp;"|"&amp;$S627&amp;"|"&amp;$AH627,'ASIGNACIONES'!$N$4:$N$451,0)),""))=0,"",IFERROR(INDEX('ASIGNACIONES'!$J$4:$J$451,MATCH($O627&amp;"|"&amp;$S627&amp;"|"&amp;$AH627,'ASIGNACIONES'!$N$4:$N$451,0)),"")))</f>
        <v/>
      </c>
      <c r="AJ627" s="42">
        <f>IF($AH627="","",SUMIFS('ORDENES'!$M$4:$M$1203,'ORDENES'!$AH$4:$AH$1203,$AH627,'ORDENES'!$O$4:$O$1203,$O627,'ORDENES'!$S$4:$S$1203,$S627))</f>
        <v/>
      </c>
      <c r="AK627" s="42">
        <f>IF($AJ627="","",p_factor_productividad*IFERROR(INDEX('ASIGNACIONES'!$M$4:$M$451,MATCH($O627&amp;"|"&amp;$S627&amp;"|"&amp;$AH627,'ASIGNACIONES'!$N$4:$N$451,0)),0)-$AJ627)</f>
        <v/>
      </c>
      <c r="AL627" s="32">
        <f>IF($A627="","",IFERROR(INDEX('2_IMPORTAR_EJECUCION'!$F$9:$F$1208,MATCH($AU627,'2_IMPORTAR_EJECUCION'!$J$9:$J$1208,0)),0))</f>
        <v/>
      </c>
      <c r="AM627" s="32">
        <f>IF($A627="","",MAX(0,IFERROR(INDEX('2_IMPORTAR_EJECUCION'!$H$9:$H$1208,MATCH($AU627,'2_IMPORTAR_EJECUCION'!$J$9:$J$1208,0)),0)-$AL627))</f>
        <v/>
      </c>
      <c r="AN627" s="32">
        <f>IF($A627="","",$AL627+$AM627)</f>
        <v/>
      </c>
      <c r="AO627" s="24">
        <f>IF($A627="","",IF(OR((IFERROR(INDEX('CAT_ACTIVIDADES'!$D$4:$D$26,MATCH($H627,'CAT_ACTIVIDADES'!$A$4:$A$26,0)),""))=0,(IFERROR(INDEX('CAT_ACTIVIDADES'!$D$4:$D$26,MATCH($H627,'CAT_ACTIVIDADES'!$A$4:$A$26,0)),""))=""),"SIN CLASIFICAR",IFERROR(INDEX('CAT_ACTIVIDADES'!$D$4:$D$26,MATCH($H627,'CAT_ACTIVIDADES'!$A$4:$A$26,0)),"")))</f>
        <v/>
      </c>
      <c r="AP627" s="4" t="n"/>
      <c r="AQ627" s="4" t="n"/>
      <c r="AR627" s="4" t="n"/>
      <c r="AS627" s="24">
        <f>IF($AR627="","",HYPERLINK(p_ruta_base_checklists&amp;$AR627,"abrir"))</f>
        <v/>
      </c>
      <c r="AT627" s="4" t="n"/>
      <c r="AU627" s="24">
        <f>IF($A627="","",$A627&amp;IF($B627="","0010",$B627))</f>
        <v/>
      </c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41" t="n"/>
      <c r="K628" s="5" t="n"/>
      <c r="L628" s="18" t="n"/>
      <c r="M628" s="24">
        <f>IF($A628="","",IFERROR(INDEX('AJUSTES'!$B$4:$B$303,MATCH($AU628,'AJUSTES'!$A$4:$A$303,0)),IF($K628="","",$K628)))</f>
        <v/>
      </c>
      <c r="N628" s="24">
        <f>IF($A628="","",IFERROR(INDEX('CAT_ESTADOS_ERP'!$B$4:$B$22,MATCH(IFERROR(INDEX('2_IMPORTAR_EJECUCION'!$C$9:$C$1208,MATCH($AU628,'2_IMPORTAR_EJECUCION'!$J$9:$J$1208,0)),""),'CAT_ESTADOS_ERP'!$A$4:$A$22,0)),"Pendiente"))</f>
        <v/>
      </c>
      <c r="O628" s="24">
        <f>IF($J628="","",YEAR($J628+4-WEEKDAY($J628,2))&amp;"-S"&amp;TEXT(_xlfn.ISOWEEKNUM($J628),"00"))</f>
        <v/>
      </c>
      <c r="P628" s="24">
        <f>IF($J628="","",YEAR($J628))</f>
        <v/>
      </c>
      <c r="Q628" s="24">
        <f>IF($J628="","",MONTH($J628))</f>
        <v/>
      </c>
      <c r="R628" s="24">
        <f>IF($J628="","",$P628&amp;"-"&amp;TEXT($Q628,"00"))</f>
        <v/>
      </c>
      <c r="S628" s="24">
        <f>IF($J628="","",INDEX(lista_dias,WEEKDAY($J628,2)))</f>
        <v/>
      </c>
      <c r="T628" s="24">
        <f>IF($J628="","",IFERROR(INDEX('CALENDARIO'!$C$15:$C$214,MATCH(TEXT($J628,"yyyy-mm-dd")&amp;"|"&amp;$Y628&amp;"|"&amp;$Z628,'CALENDARIO'!$G$15:$G$214,0)),IFERROR(INDEX('CALENDARIO'!$C$15:$C$214,MATCH(TEXT($J628,"yyyy-mm-dd")&amp;"|"&amp;$Y628&amp;"|",'CALENDARIO'!$G$15:$G$214,0)),IFERROR(INDEX('CALENDARIO'!$C$15:$C$214,MATCH(TEXT($J628,"yyyy-mm-dd")&amp;"||",'CALENDARIO'!$G$15:$G$214,0)),INDEX(patronHabil,WEEKDAY($J628,2))))))</f>
        <v/>
      </c>
      <c r="U628" s="24">
        <f>IF($I628="","",IFERROR(INDEX('CAT_TIPOS_OT'!$C$4:$C$23,MATCH($I628,'CAT_TIPOS_OT'!$A$4:$A$23,0)),"sin_clasificar"))</f>
        <v/>
      </c>
      <c r="V628" s="24">
        <f>IF($I628="","",IF(IFERROR(INDEX('CAT_TIPOS_OT'!$D$4:$D$23,MATCH($I628,'CAT_TIPOS_OT'!$A$4:$A$23,0)),"SIN CLASIFICAR")="","SIN CLASIFICAR",IFERROR(INDEX('CAT_TIPOS_OT'!$D$4:$D$23,MATCH($I628,'CAT_TIPOS_OT'!$A$4:$A$23,0)),"SIN CLASIFICAR")))</f>
        <v/>
      </c>
      <c r="W628" s="24">
        <f>IF($H628="","",IF(IFERROR(INDEX('CAT_ACTIVIDADES'!$F$4:$F$26,MATCH($H628,'CAT_ACTIVIDADES'!$A$4:$A$26,0)),"")=0,"",IFERROR(INDEX('CAT_ACTIVIDADES'!$F$4:$F$26,MATCH($H628,'CAT_ACTIVIDADES'!$A$4:$A$26,0)),"")))</f>
        <v/>
      </c>
      <c r="X628" s="24">
        <f>IF($F628="","",IFERROR(INDEX('CAT_CENTROS_COSTO'!$F$4:$F$28,MATCH($F628,'CAT_CENTROS_COSTO'!$A$4:$A$28,0)),"(sin catálogo)"))</f>
        <v/>
      </c>
      <c r="Y628" s="24">
        <f>IF($F628="","",IFERROR(INDEX('CAT_CENTROS_COSTO'!$D$4:$D$28,MATCH($F628,'CAT_CENTROS_COSTO'!$A$4:$A$28,0)),"(sin catálogo)"))</f>
        <v/>
      </c>
      <c r="Z628" s="24">
        <f>IF($F628="","",IF((IFERROR(INDEX('CAT_CENTROS_COSTO'!$E$4:$E$28,MATCH($F628,'CAT_CENTROS_COSTO'!$A$4:$A$28,0)),""))&lt;&gt;"",IFERROR(INDEX('CAT_CENTROS_COSTO'!$E$4:$E$28,MATCH($F628,'CAT_CENTROS_COSTO'!$A$4:$A$28,0)),""),$Y628))</f>
        <v/>
      </c>
      <c r="AA628" s="24">
        <f>IF($F628="","",IFERROR(INDEX('CAT_CENTROS_COSTO'!$G$4:$G$28,MATCH($F628,'CAT_CENTROS_COSTO'!$A$4:$A$28,0)),"(sin catálogo)"))</f>
        <v/>
      </c>
      <c r="AB628" s="24">
        <f>IF($G628="","",IFERROR(INDEX('CAT_PUESTOS'!$B$4:$B$23,MATCH($G628,'CAT_PUESTOS'!$A$4:$A$23,0)),"(sin catálogo)"))</f>
        <v/>
      </c>
      <c r="AC628" s="24">
        <f>IF($H628="","",IFERROR(INDEX('CAT_ACTIVIDADES'!$B$4:$B$26,MATCH($H628,'CAT_ACTIVIDADES'!$A$4:$A$26,0)),"(sin catálogo)"))</f>
        <v/>
      </c>
      <c r="AD628" s="26">
        <f>IF($J628="","",TODAY()-$J628)</f>
        <v/>
      </c>
      <c r="AE628" s="26">
        <f>IF($J628="","",IF($J628&lt;=TODAY(),COUNTIFS(cal_fechas,"&gt;="&amp;$J628,cal_fechas,"&lt;"&amp;TODAY(),cal_habil,"sí"),-COUNTIFS(cal_fechas,"&gt;="&amp;TODAY(),cal_fechas,"&lt;"&amp;$J628,cal_habil,"sí")))</f>
        <v/>
      </c>
      <c r="AF628" s="24">
        <f>IF($AE628="","",IF($AE628&lt;0,"FUTURO",IF($AE628&gt;p_dias_backlog_max,"BACKLOG","MES CORRIENTE")))</f>
        <v/>
      </c>
      <c r="AG628" s="24">
        <f>IF($AE628="",FALSE,AND($AE628&gt;p_dias_backlog_min,$AE628&lt;=p_dias_backlog_max))</f>
        <v/>
      </c>
      <c r="AH628" s="4" t="n"/>
      <c r="AI628" s="24">
        <f>IF($AH628="","",IF((IFERROR(INDEX('ASIGNACIONES'!$J$4:$J$451,MATCH($O628&amp;"|"&amp;$S628&amp;"|"&amp;$AH628,'ASIGNACIONES'!$N$4:$N$451,0)),""))=0,"",IFERROR(INDEX('ASIGNACIONES'!$J$4:$J$451,MATCH($O628&amp;"|"&amp;$S628&amp;"|"&amp;$AH628,'ASIGNACIONES'!$N$4:$N$451,0)),"")))</f>
        <v/>
      </c>
      <c r="AJ628" s="42">
        <f>IF($AH628="","",SUMIFS('ORDENES'!$M$4:$M$1203,'ORDENES'!$AH$4:$AH$1203,$AH628,'ORDENES'!$O$4:$O$1203,$O628,'ORDENES'!$S$4:$S$1203,$S628))</f>
        <v/>
      </c>
      <c r="AK628" s="42">
        <f>IF($AJ628="","",p_factor_productividad*IFERROR(INDEX('ASIGNACIONES'!$M$4:$M$451,MATCH($O628&amp;"|"&amp;$S628&amp;"|"&amp;$AH628,'ASIGNACIONES'!$N$4:$N$451,0)),0)-$AJ628)</f>
        <v/>
      </c>
      <c r="AL628" s="32">
        <f>IF($A628="","",IFERROR(INDEX('2_IMPORTAR_EJECUCION'!$F$9:$F$1208,MATCH($AU628,'2_IMPORTAR_EJECUCION'!$J$9:$J$1208,0)),0))</f>
        <v/>
      </c>
      <c r="AM628" s="32">
        <f>IF($A628="","",MAX(0,IFERROR(INDEX('2_IMPORTAR_EJECUCION'!$H$9:$H$1208,MATCH($AU628,'2_IMPORTAR_EJECUCION'!$J$9:$J$1208,0)),0)-$AL628))</f>
        <v/>
      </c>
      <c r="AN628" s="32">
        <f>IF($A628="","",$AL628+$AM628)</f>
        <v/>
      </c>
      <c r="AO628" s="24">
        <f>IF($A628="","",IF(OR((IFERROR(INDEX('CAT_ACTIVIDADES'!$D$4:$D$26,MATCH($H628,'CAT_ACTIVIDADES'!$A$4:$A$26,0)),""))=0,(IFERROR(INDEX('CAT_ACTIVIDADES'!$D$4:$D$26,MATCH($H628,'CAT_ACTIVIDADES'!$A$4:$A$26,0)),""))=""),"SIN CLASIFICAR",IFERROR(INDEX('CAT_ACTIVIDADES'!$D$4:$D$26,MATCH($H628,'CAT_ACTIVIDADES'!$A$4:$A$26,0)),"")))</f>
        <v/>
      </c>
      <c r="AP628" s="4" t="n"/>
      <c r="AQ628" s="4" t="n"/>
      <c r="AR628" s="4" t="n"/>
      <c r="AS628" s="24">
        <f>IF($AR628="","",HYPERLINK(p_ruta_base_checklists&amp;$AR628,"abrir"))</f>
        <v/>
      </c>
      <c r="AT628" s="4" t="n"/>
      <c r="AU628" s="24">
        <f>IF($A628="","",$A628&amp;IF($B628="","0010",$B628))</f>
        <v/>
      </c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41" t="n"/>
      <c r="K629" s="5" t="n"/>
      <c r="L629" s="18" t="n"/>
      <c r="M629" s="24">
        <f>IF($A629="","",IFERROR(INDEX('AJUSTES'!$B$4:$B$303,MATCH($AU629,'AJUSTES'!$A$4:$A$303,0)),IF($K629="","",$K629)))</f>
        <v/>
      </c>
      <c r="N629" s="24">
        <f>IF($A629="","",IFERROR(INDEX('CAT_ESTADOS_ERP'!$B$4:$B$22,MATCH(IFERROR(INDEX('2_IMPORTAR_EJECUCION'!$C$9:$C$1208,MATCH($AU629,'2_IMPORTAR_EJECUCION'!$J$9:$J$1208,0)),""),'CAT_ESTADOS_ERP'!$A$4:$A$22,0)),"Pendiente"))</f>
        <v/>
      </c>
      <c r="O629" s="24">
        <f>IF($J629="","",YEAR($J629+4-WEEKDAY($J629,2))&amp;"-S"&amp;TEXT(_xlfn.ISOWEEKNUM($J629),"00"))</f>
        <v/>
      </c>
      <c r="P629" s="24">
        <f>IF($J629="","",YEAR($J629))</f>
        <v/>
      </c>
      <c r="Q629" s="24">
        <f>IF($J629="","",MONTH($J629))</f>
        <v/>
      </c>
      <c r="R629" s="24">
        <f>IF($J629="","",$P629&amp;"-"&amp;TEXT($Q629,"00"))</f>
        <v/>
      </c>
      <c r="S629" s="24">
        <f>IF($J629="","",INDEX(lista_dias,WEEKDAY($J629,2)))</f>
        <v/>
      </c>
      <c r="T629" s="24">
        <f>IF($J629="","",IFERROR(INDEX('CALENDARIO'!$C$15:$C$214,MATCH(TEXT($J629,"yyyy-mm-dd")&amp;"|"&amp;$Y629&amp;"|"&amp;$Z629,'CALENDARIO'!$G$15:$G$214,0)),IFERROR(INDEX('CALENDARIO'!$C$15:$C$214,MATCH(TEXT($J629,"yyyy-mm-dd")&amp;"|"&amp;$Y629&amp;"|",'CALENDARIO'!$G$15:$G$214,0)),IFERROR(INDEX('CALENDARIO'!$C$15:$C$214,MATCH(TEXT($J629,"yyyy-mm-dd")&amp;"||",'CALENDARIO'!$G$15:$G$214,0)),INDEX(patronHabil,WEEKDAY($J629,2))))))</f>
        <v/>
      </c>
      <c r="U629" s="24">
        <f>IF($I629="","",IFERROR(INDEX('CAT_TIPOS_OT'!$C$4:$C$23,MATCH($I629,'CAT_TIPOS_OT'!$A$4:$A$23,0)),"sin_clasificar"))</f>
        <v/>
      </c>
      <c r="V629" s="24">
        <f>IF($I629="","",IF(IFERROR(INDEX('CAT_TIPOS_OT'!$D$4:$D$23,MATCH($I629,'CAT_TIPOS_OT'!$A$4:$A$23,0)),"SIN CLASIFICAR")="","SIN CLASIFICAR",IFERROR(INDEX('CAT_TIPOS_OT'!$D$4:$D$23,MATCH($I629,'CAT_TIPOS_OT'!$A$4:$A$23,0)),"SIN CLASIFICAR")))</f>
        <v/>
      </c>
      <c r="W629" s="24">
        <f>IF($H629="","",IF(IFERROR(INDEX('CAT_ACTIVIDADES'!$F$4:$F$26,MATCH($H629,'CAT_ACTIVIDADES'!$A$4:$A$26,0)),"")=0,"",IFERROR(INDEX('CAT_ACTIVIDADES'!$F$4:$F$26,MATCH($H629,'CAT_ACTIVIDADES'!$A$4:$A$26,0)),"")))</f>
        <v/>
      </c>
      <c r="X629" s="24">
        <f>IF($F629="","",IFERROR(INDEX('CAT_CENTROS_COSTO'!$F$4:$F$28,MATCH($F629,'CAT_CENTROS_COSTO'!$A$4:$A$28,0)),"(sin catálogo)"))</f>
        <v/>
      </c>
      <c r="Y629" s="24">
        <f>IF($F629="","",IFERROR(INDEX('CAT_CENTROS_COSTO'!$D$4:$D$28,MATCH($F629,'CAT_CENTROS_COSTO'!$A$4:$A$28,0)),"(sin catálogo)"))</f>
        <v/>
      </c>
      <c r="Z629" s="24">
        <f>IF($F629="","",IF((IFERROR(INDEX('CAT_CENTROS_COSTO'!$E$4:$E$28,MATCH($F629,'CAT_CENTROS_COSTO'!$A$4:$A$28,0)),""))&lt;&gt;"",IFERROR(INDEX('CAT_CENTROS_COSTO'!$E$4:$E$28,MATCH($F629,'CAT_CENTROS_COSTO'!$A$4:$A$28,0)),""),$Y629))</f>
        <v/>
      </c>
      <c r="AA629" s="24">
        <f>IF($F629="","",IFERROR(INDEX('CAT_CENTROS_COSTO'!$G$4:$G$28,MATCH($F629,'CAT_CENTROS_COSTO'!$A$4:$A$28,0)),"(sin catálogo)"))</f>
        <v/>
      </c>
      <c r="AB629" s="24">
        <f>IF($G629="","",IFERROR(INDEX('CAT_PUESTOS'!$B$4:$B$23,MATCH($G629,'CAT_PUESTOS'!$A$4:$A$23,0)),"(sin catálogo)"))</f>
        <v/>
      </c>
      <c r="AC629" s="24">
        <f>IF($H629="","",IFERROR(INDEX('CAT_ACTIVIDADES'!$B$4:$B$26,MATCH($H629,'CAT_ACTIVIDADES'!$A$4:$A$26,0)),"(sin catálogo)"))</f>
        <v/>
      </c>
      <c r="AD629" s="26">
        <f>IF($J629="","",TODAY()-$J629)</f>
        <v/>
      </c>
      <c r="AE629" s="26">
        <f>IF($J629="","",IF($J629&lt;=TODAY(),COUNTIFS(cal_fechas,"&gt;="&amp;$J629,cal_fechas,"&lt;"&amp;TODAY(),cal_habil,"sí"),-COUNTIFS(cal_fechas,"&gt;="&amp;TODAY(),cal_fechas,"&lt;"&amp;$J629,cal_habil,"sí")))</f>
        <v/>
      </c>
      <c r="AF629" s="24">
        <f>IF($AE629="","",IF($AE629&lt;0,"FUTURO",IF($AE629&gt;p_dias_backlog_max,"BACKLOG","MES CORRIENTE")))</f>
        <v/>
      </c>
      <c r="AG629" s="24">
        <f>IF($AE629="",FALSE,AND($AE629&gt;p_dias_backlog_min,$AE629&lt;=p_dias_backlog_max))</f>
        <v/>
      </c>
      <c r="AH629" s="4" t="n"/>
      <c r="AI629" s="24">
        <f>IF($AH629="","",IF((IFERROR(INDEX('ASIGNACIONES'!$J$4:$J$451,MATCH($O629&amp;"|"&amp;$S629&amp;"|"&amp;$AH629,'ASIGNACIONES'!$N$4:$N$451,0)),""))=0,"",IFERROR(INDEX('ASIGNACIONES'!$J$4:$J$451,MATCH($O629&amp;"|"&amp;$S629&amp;"|"&amp;$AH629,'ASIGNACIONES'!$N$4:$N$451,0)),"")))</f>
        <v/>
      </c>
      <c r="AJ629" s="42">
        <f>IF($AH629="","",SUMIFS('ORDENES'!$M$4:$M$1203,'ORDENES'!$AH$4:$AH$1203,$AH629,'ORDENES'!$O$4:$O$1203,$O629,'ORDENES'!$S$4:$S$1203,$S629))</f>
        <v/>
      </c>
      <c r="AK629" s="42">
        <f>IF($AJ629="","",p_factor_productividad*IFERROR(INDEX('ASIGNACIONES'!$M$4:$M$451,MATCH($O629&amp;"|"&amp;$S629&amp;"|"&amp;$AH629,'ASIGNACIONES'!$N$4:$N$451,0)),0)-$AJ629)</f>
        <v/>
      </c>
      <c r="AL629" s="32">
        <f>IF($A629="","",IFERROR(INDEX('2_IMPORTAR_EJECUCION'!$F$9:$F$1208,MATCH($AU629,'2_IMPORTAR_EJECUCION'!$J$9:$J$1208,0)),0))</f>
        <v/>
      </c>
      <c r="AM629" s="32">
        <f>IF($A629="","",MAX(0,IFERROR(INDEX('2_IMPORTAR_EJECUCION'!$H$9:$H$1208,MATCH($AU629,'2_IMPORTAR_EJECUCION'!$J$9:$J$1208,0)),0)-$AL629))</f>
        <v/>
      </c>
      <c r="AN629" s="32">
        <f>IF($A629="","",$AL629+$AM629)</f>
        <v/>
      </c>
      <c r="AO629" s="24">
        <f>IF($A629="","",IF(OR((IFERROR(INDEX('CAT_ACTIVIDADES'!$D$4:$D$26,MATCH($H629,'CAT_ACTIVIDADES'!$A$4:$A$26,0)),""))=0,(IFERROR(INDEX('CAT_ACTIVIDADES'!$D$4:$D$26,MATCH($H629,'CAT_ACTIVIDADES'!$A$4:$A$26,0)),""))=""),"SIN CLASIFICAR",IFERROR(INDEX('CAT_ACTIVIDADES'!$D$4:$D$26,MATCH($H629,'CAT_ACTIVIDADES'!$A$4:$A$26,0)),"")))</f>
        <v/>
      </c>
      <c r="AP629" s="4" t="n"/>
      <c r="AQ629" s="4" t="n"/>
      <c r="AR629" s="4" t="n"/>
      <c r="AS629" s="24">
        <f>IF($AR629="","",HYPERLINK(p_ruta_base_checklists&amp;$AR629,"abrir"))</f>
        <v/>
      </c>
      <c r="AT629" s="4" t="n"/>
      <c r="AU629" s="24">
        <f>IF($A629="","",$A629&amp;IF($B629="","0010",$B629))</f>
        <v/>
      </c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41" t="n"/>
      <c r="K630" s="5" t="n"/>
      <c r="L630" s="18" t="n"/>
      <c r="M630" s="24">
        <f>IF($A630="","",IFERROR(INDEX('AJUSTES'!$B$4:$B$303,MATCH($AU630,'AJUSTES'!$A$4:$A$303,0)),IF($K630="","",$K630)))</f>
        <v/>
      </c>
      <c r="N630" s="24">
        <f>IF($A630="","",IFERROR(INDEX('CAT_ESTADOS_ERP'!$B$4:$B$22,MATCH(IFERROR(INDEX('2_IMPORTAR_EJECUCION'!$C$9:$C$1208,MATCH($AU630,'2_IMPORTAR_EJECUCION'!$J$9:$J$1208,0)),""),'CAT_ESTADOS_ERP'!$A$4:$A$22,0)),"Pendiente"))</f>
        <v/>
      </c>
      <c r="O630" s="24">
        <f>IF($J630="","",YEAR($J630+4-WEEKDAY($J630,2))&amp;"-S"&amp;TEXT(_xlfn.ISOWEEKNUM($J630),"00"))</f>
        <v/>
      </c>
      <c r="P630" s="24">
        <f>IF($J630="","",YEAR($J630))</f>
        <v/>
      </c>
      <c r="Q630" s="24">
        <f>IF($J630="","",MONTH($J630))</f>
        <v/>
      </c>
      <c r="R630" s="24">
        <f>IF($J630="","",$P630&amp;"-"&amp;TEXT($Q630,"00"))</f>
        <v/>
      </c>
      <c r="S630" s="24">
        <f>IF($J630="","",INDEX(lista_dias,WEEKDAY($J630,2)))</f>
        <v/>
      </c>
      <c r="T630" s="24">
        <f>IF($J630="","",IFERROR(INDEX('CALENDARIO'!$C$15:$C$214,MATCH(TEXT($J630,"yyyy-mm-dd")&amp;"|"&amp;$Y630&amp;"|"&amp;$Z630,'CALENDARIO'!$G$15:$G$214,0)),IFERROR(INDEX('CALENDARIO'!$C$15:$C$214,MATCH(TEXT($J630,"yyyy-mm-dd")&amp;"|"&amp;$Y630&amp;"|",'CALENDARIO'!$G$15:$G$214,0)),IFERROR(INDEX('CALENDARIO'!$C$15:$C$214,MATCH(TEXT($J630,"yyyy-mm-dd")&amp;"||",'CALENDARIO'!$G$15:$G$214,0)),INDEX(patronHabil,WEEKDAY($J630,2))))))</f>
        <v/>
      </c>
      <c r="U630" s="24">
        <f>IF($I630="","",IFERROR(INDEX('CAT_TIPOS_OT'!$C$4:$C$23,MATCH($I630,'CAT_TIPOS_OT'!$A$4:$A$23,0)),"sin_clasificar"))</f>
        <v/>
      </c>
      <c r="V630" s="24">
        <f>IF($I630="","",IF(IFERROR(INDEX('CAT_TIPOS_OT'!$D$4:$D$23,MATCH($I630,'CAT_TIPOS_OT'!$A$4:$A$23,0)),"SIN CLASIFICAR")="","SIN CLASIFICAR",IFERROR(INDEX('CAT_TIPOS_OT'!$D$4:$D$23,MATCH($I630,'CAT_TIPOS_OT'!$A$4:$A$23,0)),"SIN CLASIFICAR")))</f>
        <v/>
      </c>
      <c r="W630" s="24">
        <f>IF($H630="","",IF(IFERROR(INDEX('CAT_ACTIVIDADES'!$F$4:$F$26,MATCH($H630,'CAT_ACTIVIDADES'!$A$4:$A$26,0)),"")=0,"",IFERROR(INDEX('CAT_ACTIVIDADES'!$F$4:$F$26,MATCH($H630,'CAT_ACTIVIDADES'!$A$4:$A$26,0)),"")))</f>
        <v/>
      </c>
      <c r="X630" s="24">
        <f>IF($F630="","",IFERROR(INDEX('CAT_CENTROS_COSTO'!$F$4:$F$28,MATCH($F630,'CAT_CENTROS_COSTO'!$A$4:$A$28,0)),"(sin catálogo)"))</f>
        <v/>
      </c>
      <c r="Y630" s="24">
        <f>IF($F630="","",IFERROR(INDEX('CAT_CENTROS_COSTO'!$D$4:$D$28,MATCH($F630,'CAT_CENTROS_COSTO'!$A$4:$A$28,0)),"(sin catálogo)"))</f>
        <v/>
      </c>
      <c r="Z630" s="24">
        <f>IF($F630="","",IF((IFERROR(INDEX('CAT_CENTROS_COSTO'!$E$4:$E$28,MATCH($F630,'CAT_CENTROS_COSTO'!$A$4:$A$28,0)),""))&lt;&gt;"",IFERROR(INDEX('CAT_CENTROS_COSTO'!$E$4:$E$28,MATCH($F630,'CAT_CENTROS_COSTO'!$A$4:$A$28,0)),""),$Y630))</f>
        <v/>
      </c>
      <c r="AA630" s="24">
        <f>IF($F630="","",IFERROR(INDEX('CAT_CENTROS_COSTO'!$G$4:$G$28,MATCH($F630,'CAT_CENTROS_COSTO'!$A$4:$A$28,0)),"(sin catálogo)"))</f>
        <v/>
      </c>
      <c r="AB630" s="24">
        <f>IF($G630="","",IFERROR(INDEX('CAT_PUESTOS'!$B$4:$B$23,MATCH($G630,'CAT_PUESTOS'!$A$4:$A$23,0)),"(sin catálogo)"))</f>
        <v/>
      </c>
      <c r="AC630" s="24">
        <f>IF($H630="","",IFERROR(INDEX('CAT_ACTIVIDADES'!$B$4:$B$26,MATCH($H630,'CAT_ACTIVIDADES'!$A$4:$A$26,0)),"(sin catálogo)"))</f>
        <v/>
      </c>
      <c r="AD630" s="26">
        <f>IF($J630="","",TODAY()-$J630)</f>
        <v/>
      </c>
      <c r="AE630" s="26">
        <f>IF($J630="","",IF($J630&lt;=TODAY(),COUNTIFS(cal_fechas,"&gt;="&amp;$J630,cal_fechas,"&lt;"&amp;TODAY(),cal_habil,"sí"),-COUNTIFS(cal_fechas,"&gt;="&amp;TODAY(),cal_fechas,"&lt;"&amp;$J630,cal_habil,"sí")))</f>
        <v/>
      </c>
      <c r="AF630" s="24">
        <f>IF($AE630="","",IF($AE630&lt;0,"FUTURO",IF($AE630&gt;p_dias_backlog_max,"BACKLOG","MES CORRIENTE")))</f>
        <v/>
      </c>
      <c r="AG630" s="24">
        <f>IF($AE630="",FALSE,AND($AE630&gt;p_dias_backlog_min,$AE630&lt;=p_dias_backlog_max))</f>
        <v/>
      </c>
      <c r="AH630" s="4" t="n"/>
      <c r="AI630" s="24">
        <f>IF($AH630="","",IF((IFERROR(INDEX('ASIGNACIONES'!$J$4:$J$451,MATCH($O630&amp;"|"&amp;$S630&amp;"|"&amp;$AH630,'ASIGNACIONES'!$N$4:$N$451,0)),""))=0,"",IFERROR(INDEX('ASIGNACIONES'!$J$4:$J$451,MATCH($O630&amp;"|"&amp;$S630&amp;"|"&amp;$AH630,'ASIGNACIONES'!$N$4:$N$451,0)),"")))</f>
        <v/>
      </c>
      <c r="AJ630" s="42">
        <f>IF($AH630="","",SUMIFS('ORDENES'!$M$4:$M$1203,'ORDENES'!$AH$4:$AH$1203,$AH630,'ORDENES'!$O$4:$O$1203,$O630,'ORDENES'!$S$4:$S$1203,$S630))</f>
        <v/>
      </c>
      <c r="AK630" s="42">
        <f>IF($AJ630="","",p_factor_productividad*IFERROR(INDEX('ASIGNACIONES'!$M$4:$M$451,MATCH($O630&amp;"|"&amp;$S630&amp;"|"&amp;$AH630,'ASIGNACIONES'!$N$4:$N$451,0)),0)-$AJ630)</f>
        <v/>
      </c>
      <c r="AL630" s="32">
        <f>IF($A630="","",IFERROR(INDEX('2_IMPORTAR_EJECUCION'!$F$9:$F$1208,MATCH($AU630,'2_IMPORTAR_EJECUCION'!$J$9:$J$1208,0)),0))</f>
        <v/>
      </c>
      <c r="AM630" s="32">
        <f>IF($A630="","",MAX(0,IFERROR(INDEX('2_IMPORTAR_EJECUCION'!$H$9:$H$1208,MATCH($AU630,'2_IMPORTAR_EJECUCION'!$J$9:$J$1208,0)),0)-$AL630))</f>
        <v/>
      </c>
      <c r="AN630" s="32">
        <f>IF($A630="","",$AL630+$AM630)</f>
        <v/>
      </c>
      <c r="AO630" s="24">
        <f>IF($A630="","",IF(OR((IFERROR(INDEX('CAT_ACTIVIDADES'!$D$4:$D$26,MATCH($H630,'CAT_ACTIVIDADES'!$A$4:$A$26,0)),""))=0,(IFERROR(INDEX('CAT_ACTIVIDADES'!$D$4:$D$26,MATCH($H630,'CAT_ACTIVIDADES'!$A$4:$A$26,0)),""))=""),"SIN CLASIFICAR",IFERROR(INDEX('CAT_ACTIVIDADES'!$D$4:$D$26,MATCH($H630,'CAT_ACTIVIDADES'!$A$4:$A$26,0)),"")))</f>
        <v/>
      </c>
      <c r="AP630" s="4" t="n"/>
      <c r="AQ630" s="4" t="n"/>
      <c r="AR630" s="4" t="n"/>
      <c r="AS630" s="24">
        <f>IF($AR630="","",HYPERLINK(p_ruta_base_checklists&amp;$AR630,"abrir"))</f>
        <v/>
      </c>
      <c r="AT630" s="4" t="n"/>
      <c r="AU630" s="24">
        <f>IF($A630="","",$A630&amp;IF($B630="","0010",$B630))</f>
        <v/>
      </c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41" t="n"/>
      <c r="K631" s="5" t="n"/>
      <c r="L631" s="18" t="n"/>
      <c r="M631" s="24">
        <f>IF($A631="","",IFERROR(INDEX('AJUSTES'!$B$4:$B$303,MATCH($AU631,'AJUSTES'!$A$4:$A$303,0)),IF($K631="","",$K631)))</f>
        <v/>
      </c>
      <c r="N631" s="24">
        <f>IF($A631="","",IFERROR(INDEX('CAT_ESTADOS_ERP'!$B$4:$B$22,MATCH(IFERROR(INDEX('2_IMPORTAR_EJECUCION'!$C$9:$C$1208,MATCH($AU631,'2_IMPORTAR_EJECUCION'!$J$9:$J$1208,0)),""),'CAT_ESTADOS_ERP'!$A$4:$A$22,0)),"Pendiente"))</f>
        <v/>
      </c>
      <c r="O631" s="24">
        <f>IF($J631="","",YEAR($J631+4-WEEKDAY($J631,2))&amp;"-S"&amp;TEXT(_xlfn.ISOWEEKNUM($J631),"00"))</f>
        <v/>
      </c>
      <c r="P631" s="24">
        <f>IF($J631="","",YEAR($J631))</f>
        <v/>
      </c>
      <c r="Q631" s="24">
        <f>IF($J631="","",MONTH($J631))</f>
        <v/>
      </c>
      <c r="R631" s="24">
        <f>IF($J631="","",$P631&amp;"-"&amp;TEXT($Q631,"00"))</f>
        <v/>
      </c>
      <c r="S631" s="24">
        <f>IF($J631="","",INDEX(lista_dias,WEEKDAY($J631,2)))</f>
        <v/>
      </c>
      <c r="T631" s="24">
        <f>IF($J631="","",IFERROR(INDEX('CALENDARIO'!$C$15:$C$214,MATCH(TEXT($J631,"yyyy-mm-dd")&amp;"|"&amp;$Y631&amp;"|"&amp;$Z631,'CALENDARIO'!$G$15:$G$214,0)),IFERROR(INDEX('CALENDARIO'!$C$15:$C$214,MATCH(TEXT($J631,"yyyy-mm-dd")&amp;"|"&amp;$Y631&amp;"|",'CALENDARIO'!$G$15:$G$214,0)),IFERROR(INDEX('CALENDARIO'!$C$15:$C$214,MATCH(TEXT($J631,"yyyy-mm-dd")&amp;"||",'CALENDARIO'!$G$15:$G$214,0)),INDEX(patronHabil,WEEKDAY($J631,2))))))</f>
        <v/>
      </c>
      <c r="U631" s="24">
        <f>IF($I631="","",IFERROR(INDEX('CAT_TIPOS_OT'!$C$4:$C$23,MATCH($I631,'CAT_TIPOS_OT'!$A$4:$A$23,0)),"sin_clasificar"))</f>
        <v/>
      </c>
      <c r="V631" s="24">
        <f>IF($I631="","",IF(IFERROR(INDEX('CAT_TIPOS_OT'!$D$4:$D$23,MATCH($I631,'CAT_TIPOS_OT'!$A$4:$A$23,0)),"SIN CLASIFICAR")="","SIN CLASIFICAR",IFERROR(INDEX('CAT_TIPOS_OT'!$D$4:$D$23,MATCH($I631,'CAT_TIPOS_OT'!$A$4:$A$23,0)),"SIN CLASIFICAR")))</f>
        <v/>
      </c>
      <c r="W631" s="24">
        <f>IF($H631="","",IF(IFERROR(INDEX('CAT_ACTIVIDADES'!$F$4:$F$26,MATCH($H631,'CAT_ACTIVIDADES'!$A$4:$A$26,0)),"")=0,"",IFERROR(INDEX('CAT_ACTIVIDADES'!$F$4:$F$26,MATCH($H631,'CAT_ACTIVIDADES'!$A$4:$A$26,0)),"")))</f>
        <v/>
      </c>
      <c r="X631" s="24">
        <f>IF($F631="","",IFERROR(INDEX('CAT_CENTROS_COSTO'!$F$4:$F$28,MATCH($F631,'CAT_CENTROS_COSTO'!$A$4:$A$28,0)),"(sin catálogo)"))</f>
        <v/>
      </c>
      <c r="Y631" s="24">
        <f>IF($F631="","",IFERROR(INDEX('CAT_CENTROS_COSTO'!$D$4:$D$28,MATCH($F631,'CAT_CENTROS_COSTO'!$A$4:$A$28,0)),"(sin catálogo)"))</f>
        <v/>
      </c>
      <c r="Z631" s="24">
        <f>IF($F631="","",IF((IFERROR(INDEX('CAT_CENTROS_COSTO'!$E$4:$E$28,MATCH($F631,'CAT_CENTROS_COSTO'!$A$4:$A$28,0)),""))&lt;&gt;"",IFERROR(INDEX('CAT_CENTROS_COSTO'!$E$4:$E$28,MATCH($F631,'CAT_CENTROS_COSTO'!$A$4:$A$28,0)),""),$Y631))</f>
        <v/>
      </c>
      <c r="AA631" s="24">
        <f>IF($F631="","",IFERROR(INDEX('CAT_CENTROS_COSTO'!$G$4:$G$28,MATCH($F631,'CAT_CENTROS_COSTO'!$A$4:$A$28,0)),"(sin catálogo)"))</f>
        <v/>
      </c>
      <c r="AB631" s="24">
        <f>IF($G631="","",IFERROR(INDEX('CAT_PUESTOS'!$B$4:$B$23,MATCH($G631,'CAT_PUESTOS'!$A$4:$A$23,0)),"(sin catálogo)"))</f>
        <v/>
      </c>
      <c r="AC631" s="24">
        <f>IF($H631="","",IFERROR(INDEX('CAT_ACTIVIDADES'!$B$4:$B$26,MATCH($H631,'CAT_ACTIVIDADES'!$A$4:$A$26,0)),"(sin catálogo)"))</f>
        <v/>
      </c>
      <c r="AD631" s="26">
        <f>IF($J631="","",TODAY()-$J631)</f>
        <v/>
      </c>
      <c r="AE631" s="26">
        <f>IF($J631="","",IF($J631&lt;=TODAY(),COUNTIFS(cal_fechas,"&gt;="&amp;$J631,cal_fechas,"&lt;"&amp;TODAY(),cal_habil,"sí"),-COUNTIFS(cal_fechas,"&gt;="&amp;TODAY(),cal_fechas,"&lt;"&amp;$J631,cal_habil,"sí")))</f>
        <v/>
      </c>
      <c r="AF631" s="24">
        <f>IF($AE631="","",IF($AE631&lt;0,"FUTURO",IF($AE631&gt;p_dias_backlog_max,"BACKLOG","MES CORRIENTE")))</f>
        <v/>
      </c>
      <c r="AG631" s="24">
        <f>IF($AE631="",FALSE,AND($AE631&gt;p_dias_backlog_min,$AE631&lt;=p_dias_backlog_max))</f>
        <v/>
      </c>
      <c r="AH631" s="4" t="n"/>
      <c r="AI631" s="24">
        <f>IF($AH631="","",IF((IFERROR(INDEX('ASIGNACIONES'!$J$4:$J$451,MATCH($O631&amp;"|"&amp;$S631&amp;"|"&amp;$AH631,'ASIGNACIONES'!$N$4:$N$451,0)),""))=0,"",IFERROR(INDEX('ASIGNACIONES'!$J$4:$J$451,MATCH($O631&amp;"|"&amp;$S631&amp;"|"&amp;$AH631,'ASIGNACIONES'!$N$4:$N$451,0)),"")))</f>
        <v/>
      </c>
      <c r="AJ631" s="42">
        <f>IF($AH631="","",SUMIFS('ORDENES'!$M$4:$M$1203,'ORDENES'!$AH$4:$AH$1203,$AH631,'ORDENES'!$O$4:$O$1203,$O631,'ORDENES'!$S$4:$S$1203,$S631))</f>
        <v/>
      </c>
      <c r="AK631" s="42">
        <f>IF($AJ631="","",p_factor_productividad*IFERROR(INDEX('ASIGNACIONES'!$M$4:$M$451,MATCH($O631&amp;"|"&amp;$S631&amp;"|"&amp;$AH631,'ASIGNACIONES'!$N$4:$N$451,0)),0)-$AJ631)</f>
        <v/>
      </c>
      <c r="AL631" s="32">
        <f>IF($A631="","",IFERROR(INDEX('2_IMPORTAR_EJECUCION'!$F$9:$F$1208,MATCH($AU631,'2_IMPORTAR_EJECUCION'!$J$9:$J$1208,0)),0))</f>
        <v/>
      </c>
      <c r="AM631" s="32">
        <f>IF($A631="","",MAX(0,IFERROR(INDEX('2_IMPORTAR_EJECUCION'!$H$9:$H$1208,MATCH($AU631,'2_IMPORTAR_EJECUCION'!$J$9:$J$1208,0)),0)-$AL631))</f>
        <v/>
      </c>
      <c r="AN631" s="32">
        <f>IF($A631="","",$AL631+$AM631)</f>
        <v/>
      </c>
      <c r="AO631" s="24">
        <f>IF($A631="","",IF(OR((IFERROR(INDEX('CAT_ACTIVIDADES'!$D$4:$D$26,MATCH($H631,'CAT_ACTIVIDADES'!$A$4:$A$26,0)),""))=0,(IFERROR(INDEX('CAT_ACTIVIDADES'!$D$4:$D$26,MATCH($H631,'CAT_ACTIVIDADES'!$A$4:$A$26,0)),""))=""),"SIN CLASIFICAR",IFERROR(INDEX('CAT_ACTIVIDADES'!$D$4:$D$26,MATCH($H631,'CAT_ACTIVIDADES'!$A$4:$A$26,0)),"")))</f>
        <v/>
      </c>
      <c r="AP631" s="4" t="n"/>
      <c r="AQ631" s="4" t="n"/>
      <c r="AR631" s="4" t="n"/>
      <c r="AS631" s="24">
        <f>IF($AR631="","",HYPERLINK(p_ruta_base_checklists&amp;$AR631,"abrir"))</f>
        <v/>
      </c>
      <c r="AT631" s="4" t="n"/>
      <c r="AU631" s="24">
        <f>IF($A631="","",$A631&amp;IF($B631="","0010",$B631))</f>
        <v/>
      </c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41" t="n"/>
      <c r="K632" s="5" t="n"/>
      <c r="L632" s="18" t="n"/>
      <c r="M632" s="24">
        <f>IF($A632="","",IFERROR(INDEX('AJUSTES'!$B$4:$B$303,MATCH($AU632,'AJUSTES'!$A$4:$A$303,0)),IF($K632="","",$K632)))</f>
        <v/>
      </c>
      <c r="N632" s="24">
        <f>IF($A632="","",IFERROR(INDEX('CAT_ESTADOS_ERP'!$B$4:$B$22,MATCH(IFERROR(INDEX('2_IMPORTAR_EJECUCION'!$C$9:$C$1208,MATCH($AU632,'2_IMPORTAR_EJECUCION'!$J$9:$J$1208,0)),""),'CAT_ESTADOS_ERP'!$A$4:$A$22,0)),"Pendiente"))</f>
        <v/>
      </c>
      <c r="O632" s="24">
        <f>IF($J632="","",YEAR($J632+4-WEEKDAY($J632,2))&amp;"-S"&amp;TEXT(_xlfn.ISOWEEKNUM($J632),"00"))</f>
        <v/>
      </c>
      <c r="P632" s="24">
        <f>IF($J632="","",YEAR($J632))</f>
        <v/>
      </c>
      <c r="Q632" s="24">
        <f>IF($J632="","",MONTH($J632))</f>
        <v/>
      </c>
      <c r="R632" s="24">
        <f>IF($J632="","",$P632&amp;"-"&amp;TEXT($Q632,"00"))</f>
        <v/>
      </c>
      <c r="S632" s="24">
        <f>IF($J632="","",INDEX(lista_dias,WEEKDAY($J632,2)))</f>
        <v/>
      </c>
      <c r="T632" s="24">
        <f>IF($J632="","",IFERROR(INDEX('CALENDARIO'!$C$15:$C$214,MATCH(TEXT($J632,"yyyy-mm-dd")&amp;"|"&amp;$Y632&amp;"|"&amp;$Z632,'CALENDARIO'!$G$15:$G$214,0)),IFERROR(INDEX('CALENDARIO'!$C$15:$C$214,MATCH(TEXT($J632,"yyyy-mm-dd")&amp;"|"&amp;$Y632&amp;"|",'CALENDARIO'!$G$15:$G$214,0)),IFERROR(INDEX('CALENDARIO'!$C$15:$C$214,MATCH(TEXT($J632,"yyyy-mm-dd")&amp;"||",'CALENDARIO'!$G$15:$G$214,0)),INDEX(patronHabil,WEEKDAY($J632,2))))))</f>
        <v/>
      </c>
      <c r="U632" s="24">
        <f>IF($I632="","",IFERROR(INDEX('CAT_TIPOS_OT'!$C$4:$C$23,MATCH($I632,'CAT_TIPOS_OT'!$A$4:$A$23,0)),"sin_clasificar"))</f>
        <v/>
      </c>
      <c r="V632" s="24">
        <f>IF($I632="","",IF(IFERROR(INDEX('CAT_TIPOS_OT'!$D$4:$D$23,MATCH($I632,'CAT_TIPOS_OT'!$A$4:$A$23,0)),"SIN CLASIFICAR")="","SIN CLASIFICAR",IFERROR(INDEX('CAT_TIPOS_OT'!$D$4:$D$23,MATCH($I632,'CAT_TIPOS_OT'!$A$4:$A$23,0)),"SIN CLASIFICAR")))</f>
        <v/>
      </c>
      <c r="W632" s="24">
        <f>IF($H632="","",IF(IFERROR(INDEX('CAT_ACTIVIDADES'!$F$4:$F$26,MATCH($H632,'CAT_ACTIVIDADES'!$A$4:$A$26,0)),"")=0,"",IFERROR(INDEX('CAT_ACTIVIDADES'!$F$4:$F$26,MATCH($H632,'CAT_ACTIVIDADES'!$A$4:$A$26,0)),"")))</f>
        <v/>
      </c>
      <c r="X632" s="24">
        <f>IF($F632="","",IFERROR(INDEX('CAT_CENTROS_COSTO'!$F$4:$F$28,MATCH($F632,'CAT_CENTROS_COSTO'!$A$4:$A$28,0)),"(sin catálogo)"))</f>
        <v/>
      </c>
      <c r="Y632" s="24">
        <f>IF($F632="","",IFERROR(INDEX('CAT_CENTROS_COSTO'!$D$4:$D$28,MATCH($F632,'CAT_CENTROS_COSTO'!$A$4:$A$28,0)),"(sin catálogo)"))</f>
        <v/>
      </c>
      <c r="Z632" s="24">
        <f>IF($F632="","",IF((IFERROR(INDEX('CAT_CENTROS_COSTO'!$E$4:$E$28,MATCH($F632,'CAT_CENTROS_COSTO'!$A$4:$A$28,0)),""))&lt;&gt;"",IFERROR(INDEX('CAT_CENTROS_COSTO'!$E$4:$E$28,MATCH($F632,'CAT_CENTROS_COSTO'!$A$4:$A$28,0)),""),$Y632))</f>
        <v/>
      </c>
      <c r="AA632" s="24">
        <f>IF($F632="","",IFERROR(INDEX('CAT_CENTROS_COSTO'!$G$4:$G$28,MATCH($F632,'CAT_CENTROS_COSTO'!$A$4:$A$28,0)),"(sin catálogo)"))</f>
        <v/>
      </c>
      <c r="AB632" s="24">
        <f>IF($G632="","",IFERROR(INDEX('CAT_PUESTOS'!$B$4:$B$23,MATCH($G632,'CAT_PUESTOS'!$A$4:$A$23,0)),"(sin catálogo)"))</f>
        <v/>
      </c>
      <c r="AC632" s="24">
        <f>IF($H632="","",IFERROR(INDEX('CAT_ACTIVIDADES'!$B$4:$B$26,MATCH($H632,'CAT_ACTIVIDADES'!$A$4:$A$26,0)),"(sin catálogo)"))</f>
        <v/>
      </c>
      <c r="AD632" s="26">
        <f>IF($J632="","",TODAY()-$J632)</f>
        <v/>
      </c>
      <c r="AE632" s="26">
        <f>IF($J632="","",IF($J632&lt;=TODAY(),COUNTIFS(cal_fechas,"&gt;="&amp;$J632,cal_fechas,"&lt;"&amp;TODAY(),cal_habil,"sí"),-COUNTIFS(cal_fechas,"&gt;="&amp;TODAY(),cal_fechas,"&lt;"&amp;$J632,cal_habil,"sí")))</f>
        <v/>
      </c>
      <c r="AF632" s="24">
        <f>IF($AE632="","",IF($AE632&lt;0,"FUTURO",IF($AE632&gt;p_dias_backlog_max,"BACKLOG","MES CORRIENTE")))</f>
        <v/>
      </c>
      <c r="AG632" s="24">
        <f>IF($AE632="",FALSE,AND($AE632&gt;p_dias_backlog_min,$AE632&lt;=p_dias_backlog_max))</f>
        <v/>
      </c>
      <c r="AH632" s="4" t="n"/>
      <c r="AI632" s="24">
        <f>IF($AH632="","",IF((IFERROR(INDEX('ASIGNACIONES'!$J$4:$J$451,MATCH($O632&amp;"|"&amp;$S632&amp;"|"&amp;$AH632,'ASIGNACIONES'!$N$4:$N$451,0)),""))=0,"",IFERROR(INDEX('ASIGNACIONES'!$J$4:$J$451,MATCH($O632&amp;"|"&amp;$S632&amp;"|"&amp;$AH632,'ASIGNACIONES'!$N$4:$N$451,0)),"")))</f>
        <v/>
      </c>
      <c r="AJ632" s="42">
        <f>IF($AH632="","",SUMIFS('ORDENES'!$M$4:$M$1203,'ORDENES'!$AH$4:$AH$1203,$AH632,'ORDENES'!$O$4:$O$1203,$O632,'ORDENES'!$S$4:$S$1203,$S632))</f>
        <v/>
      </c>
      <c r="AK632" s="42">
        <f>IF($AJ632="","",p_factor_productividad*IFERROR(INDEX('ASIGNACIONES'!$M$4:$M$451,MATCH($O632&amp;"|"&amp;$S632&amp;"|"&amp;$AH632,'ASIGNACIONES'!$N$4:$N$451,0)),0)-$AJ632)</f>
        <v/>
      </c>
      <c r="AL632" s="32">
        <f>IF($A632="","",IFERROR(INDEX('2_IMPORTAR_EJECUCION'!$F$9:$F$1208,MATCH($AU632,'2_IMPORTAR_EJECUCION'!$J$9:$J$1208,0)),0))</f>
        <v/>
      </c>
      <c r="AM632" s="32">
        <f>IF($A632="","",MAX(0,IFERROR(INDEX('2_IMPORTAR_EJECUCION'!$H$9:$H$1208,MATCH($AU632,'2_IMPORTAR_EJECUCION'!$J$9:$J$1208,0)),0)-$AL632))</f>
        <v/>
      </c>
      <c r="AN632" s="32">
        <f>IF($A632="","",$AL632+$AM632)</f>
        <v/>
      </c>
      <c r="AO632" s="24">
        <f>IF($A632="","",IF(OR((IFERROR(INDEX('CAT_ACTIVIDADES'!$D$4:$D$26,MATCH($H632,'CAT_ACTIVIDADES'!$A$4:$A$26,0)),""))=0,(IFERROR(INDEX('CAT_ACTIVIDADES'!$D$4:$D$26,MATCH($H632,'CAT_ACTIVIDADES'!$A$4:$A$26,0)),""))=""),"SIN CLASIFICAR",IFERROR(INDEX('CAT_ACTIVIDADES'!$D$4:$D$26,MATCH($H632,'CAT_ACTIVIDADES'!$A$4:$A$26,0)),"")))</f>
        <v/>
      </c>
      <c r="AP632" s="4" t="n"/>
      <c r="AQ632" s="4" t="n"/>
      <c r="AR632" s="4" t="n"/>
      <c r="AS632" s="24">
        <f>IF($AR632="","",HYPERLINK(p_ruta_base_checklists&amp;$AR632,"abrir"))</f>
        <v/>
      </c>
      <c r="AT632" s="4" t="n"/>
      <c r="AU632" s="24">
        <f>IF($A632="","",$A632&amp;IF($B632="","0010",$B632))</f>
        <v/>
      </c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41" t="n"/>
      <c r="K633" s="5" t="n"/>
      <c r="L633" s="18" t="n"/>
      <c r="M633" s="24">
        <f>IF($A633="","",IFERROR(INDEX('AJUSTES'!$B$4:$B$303,MATCH($AU633,'AJUSTES'!$A$4:$A$303,0)),IF($K633="","",$K633)))</f>
        <v/>
      </c>
      <c r="N633" s="24">
        <f>IF($A633="","",IFERROR(INDEX('CAT_ESTADOS_ERP'!$B$4:$B$22,MATCH(IFERROR(INDEX('2_IMPORTAR_EJECUCION'!$C$9:$C$1208,MATCH($AU633,'2_IMPORTAR_EJECUCION'!$J$9:$J$1208,0)),""),'CAT_ESTADOS_ERP'!$A$4:$A$22,0)),"Pendiente"))</f>
        <v/>
      </c>
      <c r="O633" s="24">
        <f>IF($J633="","",YEAR($J633+4-WEEKDAY($J633,2))&amp;"-S"&amp;TEXT(_xlfn.ISOWEEKNUM($J633),"00"))</f>
        <v/>
      </c>
      <c r="P633" s="24">
        <f>IF($J633="","",YEAR($J633))</f>
        <v/>
      </c>
      <c r="Q633" s="24">
        <f>IF($J633="","",MONTH($J633))</f>
        <v/>
      </c>
      <c r="R633" s="24">
        <f>IF($J633="","",$P633&amp;"-"&amp;TEXT($Q633,"00"))</f>
        <v/>
      </c>
      <c r="S633" s="24">
        <f>IF($J633="","",INDEX(lista_dias,WEEKDAY($J633,2)))</f>
        <v/>
      </c>
      <c r="T633" s="24">
        <f>IF($J633="","",IFERROR(INDEX('CALENDARIO'!$C$15:$C$214,MATCH(TEXT($J633,"yyyy-mm-dd")&amp;"|"&amp;$Y633&amp;"|"&amp;$Z633,'CALENDARIO'!$G$15:$G$214,0)),IFERROR(INDEX('CALENDARIO'!$C$15:$C$214,MATCH(TEXT($J633,"yyyy-mm-dd")&amp;"|"&amp;$Y633&amp;"|",'CALENDARIO'!$G$15:$G$214,0)),IFERROR(INDEX('CALENDARIO'!$C$15:$C$214,MATCH(TEXT($J633,"yyyy-mm-dd")&amp;"||",'CALENDARIO'!$G$15:$G$214,0)),INDEX(patronHabil,WEEKDAY($J633,2))))))</f>
        <v/>
      </c>
      <c r="U633" s="24">
        <f>IF($I633="","",IFERROR(INDEX('CAT_TIPOS_OT'!$C$4:$C$23,MATCH($I633,'CAT_TIPOS_OT'!$A$4:$A$23,0)),"sin_clasificar"))</f>
        <v/>
      </c>
      <c r="V633" s="24">
        <f>IF($I633="","",IF(IFERROR(INDEX('CAT_TIPOS_OT'!$D$4:$D$23,MATCH($I633,'CAT_TIPOS_OT'!$A$4:$A$23,0)),"SIN CLASIFICAR")="","SIN CLASIFICAR",IFERROR(INDEX('CAT_TIPOS_OT'!$D$4:$D$23,MATCH($I633,'CAT_TIPOS_OT'!$A$4:$A$23,0)),"SIN CLASIFICAR")))</f>
        <v/>
      </c>
      <c r="W633" s="24">
        <f>IF($H633="","",IF(IFERROR(INDEX('CAT_ACTIVIDADES'!$F$4:$F$26,MATCH($H633,'CAT_ACTIVIDADES'!$A$4:$A$26,0)),"")=0,"",IFERROR(INDEX('CAT_ACTIVIDADES'!$F$4:$F$26,MATCH($H633,'CAT_ACTIVIDADES'!$A$4:$A$26,0)),"")))</f>
        <v/>
      </c>
      <c r="X633" s="24">
        <f>IF($F633="","",IFERROR(INDEX('CAT_CENTROS_COSTO'!$F$4:$F$28,MATCH($F633,'CAT_CENTROS_COSTO'!$A$4:$A$28,0)),"(sin catálogo)"))</f>
        <v/>
      </c>
      <c r="Y633" s="24">
        <f>IF($F633="","",IFERROR(INDEX('CAT_CENTROS_COSTO'!$D$4:$D$28,MATCH($F633,'CAT_CENTROS_COSTO'!$A$4:$A$28,0)),"(sin catálogo)"))</f>
        <v/>
      </c>
      <c r="Z633" s="24">
        <f>IF($F633="","",IF((IFERROR(INDEX('CAT_CENTROS_COSTO'!$E$4:$E$28,MATCH($F633,'CAT_CENTROS_COSTO'!$A$4:$A$28,0)),""))&lt;&gt;"",IFERROR(INDEX('CAT_CENTROS_COSTO'!$E$4:$E$28,MATCH($F633,'CAT_CENTROS_COSTO'!$A$4:$A$28,0)),""),$Y633))</f>
        <v/>
      </c>
      <c r="AA633" s="24">
        <f>IF($F633="","",IFERROR(INDEX('CAT_CENTROS_COSTO'!$G$4:$G$28,MATCH($F633,'CAT_CENTROS_COSTO'!$A$4:$A$28,0)),"(sin catálogo)"))</f>
        <v/>
      </c>
      <c r="AB633" s="24">
        <f>IF($G633="","",IFERROR(INDEX('CAT_PUESTOS'!$B$4:$B$23,MATCH($G633,'CAT_PUESTOS'!$A$4:$A$23,0)),"(sin catálogo)"))</f>
        <v/>
      </c>
      <c r="AC633" s="24">
        <f>IF($H633="","",IFERROR(INDEX('CAT_ACTIVIDADES'!$B$4:$B$26,MATCH($H633,'CAT_ACTIVIDADES'!$A$4:$A$26,0)),"(sin catálogo)"))</f>
        <v/>
      </c>
      <c r="AD633" s="26">
        <f>IF($J633="","",TODAY()-$J633)</f>
        <v/>
      </c>
      <c r="AE633" s="26">
        <f>IF($J633="","",IF($J633&lt;=TODAY(),COUNTIFS(cal_fechas,"&gt;="&amp;$J633,cal_fechas,"&lt;"&amp;TODAY(),cal_habil,"sí"),-COUNTIFS(cal_fechas,"&gt;="&amp;TODAY(),cal_fechas,"&lt;"&amp;$J633,cal_habil,"sí")))</f>
        <v/>
      </c>
      <c r="AF633" s="24">
        <f>IF($AE633="","",IF($AE633&lt;0,"FUTURO",IF($AE633&gt;p_dias_backlog_max,"BACKLOG","MES CORRIENTE")))</f>
        <v/>
      </c>
      <c r="AG633" s="24">
        <f>IF($AE633="",FALSE,AND($AE633&gt;p_dias_backlog_min,$AE633&lt;=p_dias_backlog_max))</f>
        <v/>
      </c>
      <c r="AH633" s="4" t="n"/>
      <c r="AI633" s="24">
        <f>IF($AH633="","",IF((IFERROR(INDEX('ASIGNACIONES'!$J$4:$J$451,MATCH($O633&amp;"|"&amp;$S633&amp;"|"&amp;$AH633,'ASIGNACIONES'!$N$4:$N$451,0)),""))=0,"",IFERROR(INDEX('ASIGNACIONES'!$J$4:$J$451,MATCH($O633&amp;"|"&amp;$S633&amp;"|"&amp;$AH633,'ASIGNACIONES'!$N$4:$N$451,0)),"")))</f>
        <v/>
      </c>
      <c r="AJ633" s="42">
        <f>IF($AH633="","",SUMIFS('ORDENES'!$M$4:$M$1203,'ORDENES'!$AH$4:$AH$1203,$AH633,'ORDENES'!$O$4:$O$1203,$O633,'ORDENES'!$S$4:$S$1203,$S633))</f>
        <v/>
      </c>
      <c r="AK633" s="42">
        <f>IF($AJ633="","",p_factor_productividad*IFERROR(INDEX('ASIGNACIONES'!$M$4:$M$451,MATCH($O633&amp;"|"&amp;$S633&amp;"|"&amp;$AH633,'ASIGNACIONES'!$N$4:$N$451,0)),0)-$AJ633)</f>
        <v/>
      </c>
      <c r="AL633" s="32">
        <f>IF($A633="","",IFERROR(INDEX('2_IMPORTAR_EJECUCION'!$F$9:$F$1208,MATCH($AU633,'2_IMPORTAR_EJECUCION'!$J$9:$J$1208,0)),0))</f>
        <v/>
      </c>
      <c r="AM633" s="32">
        <f>IF($A633="","",MAX(0,IFERROR(INDEX('2_IMPORTAR_EJECUCION'!$H$9:$H$1208,MATCH($AU633,'2_IMPORTAR_EJECUCION'!$J$9:$J$1208,0)),0)-$AL633))</f>
        <v/>
      </c>
      <c r="AN633" s="32">
        <f>IF($A633="","",$AL633+$AM633)</f>
        <v/>
      </c>
      <c r="AO633" s="24">
        <f>IF($A633="","",IF(OR((IFERROR(INDEX('CAT_ACTIVIDADES'!$D$4:$D$26,MATCH($H633,'CAT_ACTIVIDADES'!$A$4:$A$26,0)),""))=0,(IFERROR(INDEX('CAT_ACTIVIDADES'!$D$4:$D$26,MATCH($H633,'CAT_ACTIVIDADES'!$A$4:$A$26,0)),""))=""),"SIN CLASIFICAR",IFERROR(INDEX('CAT_ACTIVIDADES'!$D$4:$D$26,MATCH($H633,'CAT_ACTIVIDADES'!$A$4:$A$26,0)),"")))</f>
        <v/>
      </c>
      <c r="AP633" s="4" t="n"/>
      <c r="AQ633" s="4" t="n"/>
      <c r="AR633" s="4" t="n"/>
      <c r="AS633" s="24">
        <f>IF($AR633="","",HYPERLINK(p_ruta_base_checklists&amp;$AR633,"abrir"))</f>
        <v/>
      </c>
      <c r="AT633" s="4" t="n"/>
      <c r="AU633" s="24">
        <f>IF($A633="","",$A633&amp;IF($B633="","0010",$B633))</f>
        <v/>
      </c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41" t="n"/>
      <c r="K634" s="5" t="n"/>
      <c r="L634" s="18" t="n"/>
      <c r="M634" s="24">
        <f>IF($A634="","",IFERROR(INDEX('AJUSTES'!$B$4:$B$303,MATCH($AU634,'AJUSTES'!$A$4:$A$303,0)),IF($K634="","",$K634)))</f>
        <v/>
      </c>
      <c r="N634" s="24">
        <f>IF($A634="","",IFERROR(INDEX('CAT_ESTADOS_ERP'!$B$4:$B$22,MATCH(IFERROR(INDEX('2_IMPORTAR_EJECUCION'!$C$9:$C$1208,MATCH($AU634,'2_IMPORTAR_EJECUCION'!$J$9:$J$1208,0)),""),'CAT_ESTADOS_ERP'!$A$4:$A$22,0)),"Pendiente"))</f>
        <v/>
      </c>
      <c r="O634" s="24">
        <f>IF($J634="","",YEAR($J634+4-WEEKDAY($J634,2))&amp;"-S"&amp;TEXT(_xlfn.ISOWEEKNUM($J634),"00"))</f>
        <v/>
      </c>
      <c r="P634" s="24">
        <f>IF($J634="","",YEAR($J634))</f>
        <v/>
      </c>
      <c r="Q634" s="24">
        <f>IF($J634="","",MONTH($J634))</f>
        <v/>
      </c>
      <c r="R634" s="24">
        <f>IF($J634="","",$P634&amp;"-"&amp;TEXT($Q634,"00"))</f>
        <v/>
      </c>
      <c r="S634" s="24">
        <f>IF($J634="","",INDEX(lista_dias,WEEKDAY($J634,2)))</f>
        <v/>
      </c>
      <c r="T634" s="24">
        <f>IF($J634="","",IFERROR(INDEX('CALENDARIO'!$C$15:$C$214,MATCH(TEXT($J634,"yyyy-mm-dd")&amp;"|"&amp;$Y634&amp;"|"&amp;$Z634,'CALENDARIO'!$G$15:$G$214,0)),IFERROR(INDEX('CALENDARIO'!$C$15:$C$214,MATCH(TEXT($J634,"yyyy-mm-dd")&amp;"|"&amp;$Y634&amp;"|",'CALENDARIO'!$G$15:$G$214,0)),IFERROR(INDEX('CALENDARIO'!$C$15:$C$214,MATCH(TEXT($J634,"yyyy-mm-dd")&amp;"||",'CALENDARIO'!$G$15:$G$214,0)),INDEX(patronHabil,WEEKDAY($J634,2))))))</f>
        <v/>
      </c>
      <c r="U634" s="24">
        <f>IF($I634="","",IFERROR(INDEX('CAT_TIPOS_OT'!$C$4:$C$23,MATCH($I634,'CAT_TIPOS_OT'!$A$4:$A$23,0)),"sin_clasificar"))</f>
        <v/>
      </c>
      <c r="V634" s="24">
        <f>IF($I634="","",IF(IFERROR(INDEX('CAT_TIPOS_OT'!$D$4:$D$23,MATCH($I634,'CAT_TIPOS_OT'!$A$4:$A$23,0)),"SIN CLASIFICAR")="","SIN CLASIFICAR",IFERROR(INDEX('CAT_TIPOS_OT'!$D$4:$D$23,MATCH($I634,'CAT_TIPOS_OT'!$A$4:$A$23,0)),"SIN CLASIFICAR")))</f>
        <v/>
      </c>
      <c r="W634" s="24">
        <f>IF($H634="","",IF(IFERROR(INDEX('CAT_ACTIVIDADES'!$F$4:$F$26,MATCH($H634,'CAT_ACTIVIDADES'!$A$4:$A$26,0)),"")=0,"",IFERROR(INDEX('CAT_ACTIVIDADES'!$F$4:$F$26,MATCH($H634,'CAT_ACTIVIDADES'!$A$4:$A$26,0)),"")))</f>
        <v/>
      </c>
      <c r="X634" s="24">
        <f>IF($F634="","",IFERROR(INDEX('CAT_CENTROS_COSTO'!$F$4:$F$28,MATCH($F634,'CAT_CENTROS_COSTO'!$A$4:$A$28,0)),"(sin catálogo)"))</f>
        <v/>
      </c>
      <c r="Y634" s="24">
        <f>IF($F634="","",IFERROR(INDEX('CAT_CENTROS_COSTO'!$D$4:$D$28,MATCH($F634,'CAT_CENTROS_COSTO'!$A$4:$A$28,0)),"(sin catálogo)"))</f>
        <v/>
      </c>
      <c r="Z634" s="24">
        <f>IF($F634="","",IF((IFERROR(INDEX('CAT_CENTROS_COSTO'!$E$4:$E$28,MATCH($F634,'CAT_CENTROS_COSTO'!$A$4:$A$28,0)),""))&lt;&gt;"",IFERROR(INDEX('CAT_CENTROS_COSTO'!$E$4:$E$28,MATCH($F634,'CAT_CENTROS_COSTO'!$A$4:$A$28,0)),""),$Y634))</f>
        <v/>
      </c>
      <c r="AA634" s="24">
        <f>IF($F634="","",IFERROR(INDEX('CAT_CENTROS_COSTO'!$G$4:$G$28,MATCH($F634,'CAT_CENTROS_COSTO'!$A$4:$A$28,0)),"(sin catálogo)"))</f>
        <v/>
      </c>
      <c r="AB634" s="24">
        <f>IF($G634="","",IFERROR(INDEX('CAT_PUESTOS'!$B$4:$B$23,MATCH($G634,'CAT_PUESTOS'!$A$4:$A$23,0)),"(sin catálogo)"))</f>
        <v/>
      </c>
      <c r="AC634" s="24">
        <f>IF($H634="","",IFERROR(INDEX('CAT_ACTIVIDADES'!$B$4:$B$26,MATCH($H634,'CAT_ACTIVIDADES'!$A$4:$A$26,0)),"(sin catálogo)"))</f>
        <v/>
      </c>
      <c r="AD634" s="26">
        <f>IF($J634="","",TODAY()-$J634)</f>
        <v/>
      </c>
      <c r="AE634" s="26">
        <f>IF($J634="","",IF($J634&lt;=TODAY(),COUNTIFS(cal_fechas,"&gt;="&amp;$J634,cal_fechas,"&lt;"&amp;TODAY(),cal_habil,"sí"),-COUNTIFS(cal_fechas,"&gt;="&amp;TODAY(),cal_fechas,"&lt;"&amp;$J634,cal_habil,"sí")))</f>
        <v/>
      </c>
      <c r="AF634" s="24">
        <f>IF($AE634="","",IF($AE634&lt;0,"FUTURO",IF($AE634&gt;p_dias_backlog_max,"BACKLOG","MES CORRIENTE")))</f>
        <v/>
      </c>
      <c r="AG634" s="24">
        <f>IF($AE634="",FALSE,AND($AE634&gt;p_dias_backlog_min,$AE634&lt;=p_dias_backlog_max))</f>
        <v/>
      </c>
      <c r="AH634" s="4" t="n"/>
      <c r="AI634" s="24">
        <f>IF($AH634="","",IF((IFERROR(INDEX('ASIGNACIONES'!$J$4:$J$451,MATCH($O634&amp;"|"&amp;$S634&amp;"|"&amp;$AH634,'ASIGNACIONES'!$N$4:$N$451,0)),""))=0,"",IFERROR(INDEX('ASIGNACIONES'!$J$4:$J$451,MATCH($O634&amp;"|"&amp;$S634&amp;"|"&amp;$AH634,'ASIGNACIONES'!$N$4:$N$451,0)),"")))</f>
        <v/>
      </c>
      <c r="AJ634" s="42">
        <f>IF($AH634="","",SUMIFS('ORDENES'!$M$4:$M$1203,'ORDENES'!$AH$4:$AH$1203,$AH634,'ORDENES'!$O$4:$O$1203,$O634,'ORDENES'!$S$4:$S$1203,$S634))</f>
        <v/>
      </c>
      <c r="AK634" s="42">
        <f>IF($AJ634="","",p_factor_productividad*IFERROR(INDEX('ASIGNACIONES'!$M$4:$M$451,MATCH($O634&amp;"|"&amp;$S634&amp;"|"&amp;$AH634,'ASIGNACIONES'!$N$4:$N$451,0)),0)-$AJ634)</f>
        <v/>
      </c>
      <c r="AL634" s="32">
        <f>IF($A634="","",IFERROR(INDEX('2_IMPORTAR_EJECUCION'!$F$9:$F$1208,MATCH($AU634,'2_IMPORTAR_EJECUCION'!$J$9:$J$1208,0)),0))</f>
        <v/>
      </c>
      <c r="AM634" s="32">
        <f>IF($A634="","",MAX(0,IFERROR(INDEX('2_IMPORTAR_EJECUCION'!$H$9:$H$1208,MATCH($AU634,'2_IMPORTAR_EJECUCION'!$J$9:$J$1208,0)),0)-$AL634))</f>
        <v/>
      </c>
      <c r="AN634" s="32">
        <f>IF($A634="","",$AL634+$AM634)</f>
        <v/>
      </c>
      <c r="AO634" s="24">
        <f>IF($A634="","",IF(OR((IFERROR(INDEX('CAT_ACTIVIDADES'!$D$4:$D$26,MATCH($H634,'CAT_ACTIVIDADES'!$A$4:$A$26,0)),""))=0,(IFERROR(INDEX('CAT_ACTIVIDADES'!$D$4:$D$26,MATCH($H634,'CAT_ACTIVIDADES'!$A$4:$A$26,0)),""))=""),"SIN CLASIFICAR",IFERROR(INDEX('CAT_ACTIVIDADES'!$D$4:$D$26,MATCH($H634,'CAT_ACTIVIDADES'!$A$4:$A$26,0)),"")))</f>
        <v/>
      </c>
      <c r="AP634" s="4" t="n"/>
      <c r="AQ634" s="4" t="n"/>
      <c r="AR634" s="4" t="n"/>
      <c r="AS634" s="24">
        <f>IF($AR634="","",HYPERLINK(p_ruta_base_checklists&amp;$AR634,"abrir"))</f>
        <v/>
      </c>
      <c r="AT634" s="4" t="n"/>
      <c r="AU634" s="24">
        <f>IF($A634="","",$A634&amp;IF($B634="","0010",$B634))</f>
        <v/>
      </c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41" t="n"/>
      <c r="K635" s="5" t="n"/>
      <c r="L635" s="18" t="n"/>
      <c r="M635" s="24">
        <f>IF($A635="","",IFERROR(INDEX('AJUSTES'!$B$4:$B$303,MATCH($AU635,'AJUSTES'!$A$4:$A$303,0)),IF($K635="","",$K635)))</f>
        <v/>
      </c>
      <c r="N635" s="24">
        <f>IF($A635="","",IFERROR(INDEX('CAT_ESTADOS_ERP'!$B$4:$B$22,MATCH(IFERROR(INDEX('2_IMPORTAR_EJECUCION'!$C$9:$C$1208,MATCH($AU635,'2_IMPORTAR_EJECUCION'!$J$9:$J$1208,0)),""),'CAT_ESTADOS_ERP'!$A$4:$A$22,0)),"Pendiente"))</f>
        <v/>
      </c>
      <c r="O635" s="24">
        <f>IF($J635="","",YEAR($J635+4-WEEKDAY($J635,2))&amp;"-S"&amp;TEXT(_xlfn.ISOWEEKNUM($J635),"00"))</f>
        <v/>
      </c>
      <c r="P635" s="24">
        <f>IF($J635="","",YEAR($J635))</f>
        <v/>
      </c>
      <c r="Q635" s="24">
        <f>IF($J635="","",MONTH($J635))</f>
        <v/>
      </c>
      <c r="R635" s="24">
        <f>IF($J635="","",$P635&amp;"-"&amp;TEXT($Q635,"00"))</f>
        <v/>
      </c>
      <c r="S635" s="24">
        <f>IF($J635="","",INDEX(lista_dias,WEEKDAY($J635,2)))</f>
        <v/>
      </c>
      <c r="T635" s="24">
        <f>IF($J635="","",IFERROR(INDEX('CALENDARIO'!$C$15:$C$214,MATCH(TEXT($J635,"yyyy-mm-dd")&amp;"|"&amp;$Y635&amp;"|"&amp;$Z635,'CALENDARIO'!$G$15:$G$214,0)),IFERROR(INDEX('CALENDARIO'!$C$15:$C$214,MATCH(TEXT($J635,"yyyy-mm-dd")&amp;"|"&amp;$Y635&amp;"|",'CALENDARIO'!$G$15:$G$214,0)),IFERROR(INDEX('CALENDARIO'!$C$15:$C$214,MATCH(TEXT($J635,"yyyy-mm-dd")&amp;"||",'CALENDARIO'!$G$15:$G$214,0)),INDEX(patronHabil,WEEKDAY($J635,2))))))</f>
        <v/>
      </c>
      <c r="U635" s="24">
        <f>IF($I635="","",IFERROR(INDEX('CAT_TIPOS_OT'!$C$4:$C$23,MATCH($I635,'CAT_TIPOS_OT'!$A$4:$A$23,0)),"sin_clasificar"))</f>
        <v/>
      </c>
      <c r="V635" s="24">
        <f>IF($I635="","",IF(IFERROR(INDEX('CAT_TIPOS_OT'!$D$4:$D$23,MATCH($I635,'CAT_TIPOS_OT'!$A$4:$A$23,0)),"SIN CLASIFICAR")="","SIN CLASIFICAR",IFERROR(INDEX('CAT_TIPOS_OT'!$D$4:$D$23,MATCH($I635,'CAT_TIPOS_OT'!$A$4:$A$23,0)),"SIN CLASIFICAR")))</f>
        <v/>
      </c>
      <c r="W635" s="24">
        <f>IF($H635="","",IF(IFERROR(INDEX('CAT_ACTIVIDADES'!$F$4:$F$26,MATCH($H635,'CAT_ACTIVIDADES'!$A$4:$A$26,0)),"")=0,"",IFERROR(INDEX('CAT_ACTIVIDADES'!$F$4:$F$26,MATCH($H635,'CAT_ACTIVIDADES'!$A$4:$A$26,0)),"")))</f>
        <v/>
      </c>
      <c r="X635" s="24">
        <f>IF($F635="","",IFERROR(INDEX('CAT_CENTROS_COSTO'!$F$4:$F$28,MATCH($F635,'CAT_CENTROS_COSTO'!$A$4:$A$28,0)),"(sin catálogo)"))</f>
        <v/>
      </c>
      <c r="Y635" s="24">
        <f>IF($F635="","",IFERROR(INDEX('CAT_CENTROS_COSTO'!$D$4:$D$28,MATCH($F635,'CAT_CENTROS_COSTO'!$A$4:$A$28,0)),"(sin catálogo)"))</f>
        <v/>
      </c>
      <c r="Z635" s="24">
        <f>IF($F635="","",IF((IFERROR(INDEX('CAT_CENTROS_COSTO'!$E$4:$E$28,MATCH($F635,'CAT_CENTROS_COSTO'!$A$4:$A$28,0)),""))&lt;&gt;"",IFERROR(INDEX('CAT_CENTROS_COSTO'!$E$4:$E$28,MATCH($F635,'CAT_CENTROS_COSTO'!$A$4:$A$28,0)),""),$Y635))</f>
        <v/>
      </c>
      <c r="AA635" s="24">
        <f>IF($F635="","",IFERROR(INDEX('CAT_CENTROS_COSTO'!$G$4:$G$28,MATCH($F635,'CAT_CENTROS_COSTO'!$A$4:$A$28,0)),"(sin catálogo)"))</f>
        <v/>
      </c>
      <c r="AB635" s="24">
        <f>IF($G635="","",IFERROR(INDEX('CAT_PUESTOS'!$B$4:$B$23,MATCH($G635,'CAT_PUESTOS'!$A$4:$A$23,0)),"(sin catálogo)"))</f>
        <v/>
      </c>
      <c r="AC635" s="24">
        <f>IF($H635="","",IFERROR(INDEX('CAT_ACTIVIDADES'!$B$4:$B$26,MATCH($H635,'CAT_ACTIVIDADES'!$A$4:$A$26,0)),"(sin catálogo)"))</f>
        <v/>
      </c>
      <c r="AD635" s="26">
        <f>IF($J635="","",TODAY()-$J635)</f>
        <v/>
      </c>
      <c r="AE635" s="26">
        <f>IF($J635="","",IF($J635&lt;=TODAY(),COUNTIFS(cal_fechas,"&gt;="&amp;$J635,cal_fechas,"&lt;"&amp;TODAY(),cal_habil,"sí"),-COUNTIFS(cal_fechas,"&gt;="&amp;TODAY(),cal_fechas,"&lt;"&amp;$J635,cal_habil,"sí")))</f>
        <v/>
      </c>
      <c r="AF635" s="24">
        <f>IF($AE635="","",IF($AE635&lt;0,"FUTURO",IF($AE635&gt;p_dias_backlog_max,"BACKLOG","MES CORRIENTE")))</f>
        <v/>
      </c>
      <c r="AG635" s="24">
        <f>IF($AE635="",FALSE,AND($AE635&gt;p_dias_backlog_min,$AE635&lt;=p_dias_backlog_max))</f>
        <v/>
      </c>
      <c r="AH635" s="4" t="n"/>
      <c r="AI635" s="24">
        <f>IF($AH635="","",IF((IFERROR(INDEX('ASIGNACIONES'!$J$4:$J$451,MATCH($O635&amp;"|"&amp;$S635&amp;"|"&amp;$AH635,'ASIGNACIONES'!$N$4:$N$451,0)),""))=0,"",IFERROR(INDEX('ASIGNACIONES'!$J$4:$J$451,MATCH($O635&amp;"|"&amp;$S635&amp;"|"&amp;$AH635,'ASIGNACIONES'!$N$4:$N$451,0)),"")))</f>
        <v/>
      </c>
      <c r="AJ635" s="42">
        <f>IF($AH635="","",SUMIFS('ORDENES'!$M$4:$M$1203,'ORDENES'!$AH$4:$AH$1203,$AH635,'ORDENES'!$O$4:$O$1203,$O635,'ORDENES'!$S$4:$S$1203,$S635))</f>
        <v/>
      </c>
      <c r="AK635" s="42">
        <f>IF($AJ635="","",p_factor_productividad*IFERROR(INDEX('ASIGNACIONES'!$M$4:$M$451,MATCH($O635&amp;"|"&amp;$S635&amp;"|"&amp;$AH635,'ASIGNACIONES'!$N$4:$N$451,0)),0)-$AJ635)</f>
        <v/>
      </c>
      <c r="AL635" s="32">
        <f>IF($A635="","",IFERROR(INDEX('2_IMPORTAR_EJECUCION'!$F$9:$F$1208,MATCH($AU635,'2_IMPORTAR_EJECUCION'!$J$9:$J$1208,0)),0))</f>
        <v/>
      </c>
      <c r="AM635" s="32">
        <f>IF($A635="","",MAX(0,IFERROR(INDEX('2_IMPORTAR_EJECUCION'!$H$9:$H$1208,MATCH($AU635,'2_IMPORTAR_EJECUCION'!$J$9:$J$1208,0)),0)-$AL635))</f>
        <v/>
      </c>
      <c r="AN635" s="32">
        <f>IF($A635="","",$AL635+$AM635)</f>
        <v/>
      </c>
      <c r="AO635" s="24">
        <f>IF($A635="","",IF(OR((IFERROR(INDEX('CAT_ACTIVIDADES'!$D$4:$D$26,MATCH($H635,'CAT_ACTIVIDADES'!$A$4:$A$26,0)),""))=0,(IFERROR(INDEX('CAT_ACTIVIDADES'!$D$4:$D$26,MATCH($H635,'CAT_ACTIVIDADES'!$A$4:$A$26,0)),""))=""),"SIN CLASIFICAR",IFERROR(INDEX('CAT_ACTIVIDADES'!$D$4:$D$26,MATCH($H635,'CAT_ACTIVIDADES'!$A$4:$A$26,0)),"")))</f>
        <v/>
      </c>
      <c r="AP635" s="4" t="n"/>
      <c r="AQ635" s="4" t="n"/>
      <c r="AR635" s="4" t="n"/>
      <c r="AS635" s="24">
        <f>IF($AR635="","",HYPERLINK(p_ruta_base_checklists&amp;$AR635,"abrir"))</f>
        <v/>
      </c>
      <c r="AT635" s="4" t="n"/>
      <c r="AU635" s="24">
        <f>IF($A635="","",$A635&amp;IF($B635="","0010",$B635))</f>
        <v/>
      </c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41" t="n"/>
      <c r="K636" s="5" t="n"/>
      <c r="L636" s="18" t="n"/>
      <c r="M636" s="24">
        <f>IF($A636="","",IFERROR(INDEX('AJUSTES'!$B$4:$B$303,MATCH($AU636,'AJUSTES'!$A$4:$A$303,0)),IF($K636="","",$K636)))</f>
        <v/>
      </c>
      <c r="N636" s="24">
        <f>IF($A636="","",IFERROR(INDEX('CAT_ESTADOS_ERP'!$B$4:$B$22,MATCH(IFERROR(INDEX('2_IMPORTAR_EJECUCION'!$C$9:$C$1208,MATCH($AU636,'2_IMPORTAR_EJECUCION'!$J$9:$J$1208,0)),""),'CAT_ESTADOS_ERP'!$A$4:$A$22,0)),"Pendiente"))</f>
        <v/>
      </c>
      <c r="O636" s="24">
        <f>IF($J636="","",YEAR($J636+4-WEEKDAY($J636,2))&amp;"-S"&amp;TEXT(_xlfn.ISOWEEKNUM($J636),"00"))</f>
        <v/>
      </c>
      <c r="P636" s="24">
        <f>IF($J636="","",YEAR($J636))</f>
        <v/>
      </c>
      <c r="Q636" s="24">
        <f>IF($J636="","",MONTH($J636))</f>
        <v/>
      </c>
      <c r="R636" s="24">
        <f>IF($J636="","",$P636&amp;"-"&amp;TEXT($Q636,"00"))</f>
        <v/>
      </c>
      <c r="S636" s="24">
        <f>IF($J636="","",INDEX(lista_dias,WEEKDAY($J636,2)))</f>
        <v/>
      </c>
      <c r="T636" s="24">
        <f>IF($J636="","",IFERROR(INDEX('CALENDARIO'!$C$15:$C$214,MATCH(TEXT($J636,"yyyy-mm-dd")&amp;"|"&amp;$Y636&amp;"|"&amp;$Z636,'CALENDARIO'!$G$15:$G$214,0)),IFERROR(INDEX('CALENDARIO'!$C$15:$C$214,MATCH(TEXT($J636,"yyyy-mm-dd")&amp;"|"&amp;$Y636&amp;"|",'CALENDARIO'!$G$15:$G$214,0)),IFERROR(INDEX('CALENDARIO'!$C$15:$C$214,MATCH(TEXT($J636,"yyyy-mm-dd")&amp;"||",'CALENDARIO'!$G$15:$G$214,0)),INDEX(patronHabil,WEEKDAY($J636,2))))))</f>
        <v/>
      </c>
      <c r="U636" s="24">
        <f>IF($I636="","",IFERROR(INDEX('CAT_TIPOS_OT'!$C$4:$C$23,MATCH($I636,'CAT_TIPOS_OT'!$A$4:$A$23,0)),"sin_clasificar"))</f>
        <v/>
      </c>
      <c r="V636" s="24">
        <f>IF($I636="","",IF(IFERROR(INDEX('CAT_TIPOS_OT'!$D$4:$D$23,MATCH($I636,'CAT_TIPOS_OT'!$A$4:$A$23,0)),"SIN CLASIFICAR")="","SIN CLASIFICAR",IFERROR(INDEX('CAT_TIPOS_OT'!$D$4:$D$23,MATCH($I636,'CAT_TIPOS_OT'!$A$4:$A$23,0)),"SIN CLASIFICAR")))</f>
        <v/>
      </c>
      <c r="W636" s="24">
        <f>IF($H636="","",IF(IFERROR(INDEX('CAT_ACTIVIDADES'!$F$4:$F$26,MATCH($H636,'CAT_ACTIVIDADES'!$A$4:$A$26,0)),"")=0,"",IFERROR(INDEX('CAT_ACTIVIDADES'!$F$4:$F$26,MATCH($H636,'CAT_ACTIVIDADES'!$A$4:$A$26,0)),"")))</f>
        <v/>
      </c>
      <c r="X636" s="24">
        <f>IF($F636="","",IFERROR(INDEX('CAT_CENTROS_COSTO'!$F$4:$F$28,MATCH($F636,'CAT_CENTROS_COSTO'!$A$4:$A$28,0)),"(sin catálogo)"))</f>
        <v/>
      </c>
      <c r="Y636" s="24">
        <f>IF($F636="","",IFERROR(INDEX('CAT_CENTROS_COSTO'!$D$4:$D$28,MATCH($F636,'CAT_CENTROS_COSTO'!$A$4:$A$28,0)),"(sin catálogo)"))</f>
        <v/>
      </c>
      <c r="Z636" s="24">
        <f>IF($F636="","",IF((IFERROR(INDEX('CAT_CENTROS_COSTO'!$E$4:$E$28,MATCH($F636,'CAT_CENTROS_COSTO'!$A$4:$A$28,0)),""))&lt;&gt;"",IFERROR(INDEX('CAT_CENTROS_COSTO'!$E$4:$E$28,MATCH($F636,'CAT_CENTROS_COSTO'!$A$4:$A$28,0)),""),$Y636))</f>
        <v/>
      </c>
      <c r="AA636" s="24">
        <f>IF($F636="","",IFERROR(INDEX('CAT_CENTROS_COSTO'!$G$4:$G$28,MATCH($F636,'CAT_CENTROS_COSTO'!$A$4:$A$28,0)),"(sin catálogo)"))</f>
        <v/>
      </c>
      <c r="AB636" s="24">
        <f>IF($G636="","",IFERROR(INDEX('CAT_PUESTOS'!$B$4:$B$23,MATCH($G636,'CAT_PUESTOS'!$A$4:$A$23,0)),"(sin catálogo)"))</f>
        <v/>
      </c>
      <c r="AC636" s="24">
        <f>IF($H636="","",IFERROR(INDEX('CAT_ACTIVIDADES'!$B$4:$B$26,MATCH($H636,'CAT_ACTIVIDADES'!$A$4:$A$26,0)),"(sin catálogo)"))</f>
        <v/>
      </c>
      <c r="AD636" s="26">
        <f>IF($J636="","",TODAY()-$J636)</f>
        <v/>
      </c>
      <c r="AE636" s="26">
        <f>IF($J636="","",IF($J636&lt;=TODAY(),COUNTIFS(cal_fechas,"&gt;="&amp;$J636,cal_fechas,"&lt;"&amp;TODAY(),cal_habil,"sí"),-COUNTIFS(cal_fechas,"&gt;="&amp;TODAY(),cal_fechas,"&lt;"&amp;$J636,cal_habil,"sí")))</f>
        <v/>
      </c>
      <c r="AF636" s="24">
        <f>IF($AE636="","",IF($AE636&lt;0,"FUTURO",IF($AE636&gt;p_dias_backlog_max,"BACKLOG","MES CORRIENTE")))</f>
        <v/>
      </c>
      <c r="AG636" s="24">
        <f>IF($AE636="",FALSE,AND($AE636&gt;p_dias_backlog_min,$AE636&lt;=p_dias_backlog_max))</f>
        <v/>
      </c>
      <c r="AH636" s="4" t="n"/>
      <c r="AI636" s="24">
        <f>IF($AH636="","",IF((IFERROR(INDEX('ASIGNACIONES'!$J$4:$J$451,MATCH($O636&amp;"|"&amp;$S636&amp;"|"&amp;$AH636,'ASIGNACIONES'!$N$4:$N$451,0)),""))=0,"",IFERROR(INDEX('ASIGNACIONES'!$J$4:$J$451,MATCH($O636&amp;"|"&amp;$S636&amp;"|"&amp;$AH636,'ASIGNACIONES'!$N$4:$N$451,0)),"")))</f>
        <v/>
      </c>
      <c r="AJ636" s="42">
        <f>IF($AH636="","",SUMIFS('ORDENES'!$M$4:$M$1203,'ORDENES'!$AH$4:$AH$1203,$AH636,'ORDENES'!$O$4:$O$1203,$O636,'ORDENES'!$S$4:$S$1203,$S636))</f>
        <v/>
      </c>
      <c r="AK636" s="42">
        <f>IF($AJ636="","",p_factor_productividad*IFERROR(INDEX('ASIGNACIONES'!$M$4:$M$451,MATCH($O636&amp;"|"&amp;$S636&amp;"|"&amp;$AH636,'ASIGNACIONES'!$N$4:$N$451,0)),0)-$AJ636)</f>
        <v/>
      </c>
      <c r="AL636" s="32">
        <f>IF($A636="","",IFERROR(INDEX('2_IMPORTAR_EJECUCION'!$F$9:$F$1208,MATCH($AU636,'2_IMPORTAR_EJECUCION'!$J$9:$J$1208,0)),0))</f>
        <v/>
      </c>
      <c r="AM636" s="32">
        <f>IF($A636="","",MAX(0,IFERROR(INDEX('2_IMPORTAR_EJECUCION'!$H$9:$H$1208,MATCH($AU636,'2_IMPORTAR_EJECUCION'!$J$9:$J$1208,0)),0)-$AL636))</f>
        <v/>
      </c>
      <c r="AN636" s="32">
        <f>IF($A636="","",$AL636+$AM636)</f>
        <v/>
      </c>
      <c r="AO636" s="24">
        <f>IF($A636="","",IF(OR((IFERROR(INDEX('CAT_ACTIVIDADES'!$D$4:$D$26,MATCH($H636,'CAT_ACTIVIDADES'!$A$4:$A$26,0)),""))=0,(IFERROR(INDEX('CAT_ACTIVIDADES'!$D$4:$D$26,MATCH($H636,'CAT_ACTIVIDADES'!$A$4:$A$26,0)),""))=""),"SIN CLASIFICAR",IFERROR(INDEX('CAT_ACTIVIDADES'!$D$4:$D$26,MATCH($H636,'CAT_ACTIVIDADES'!$A$4:$A$26,0)),"")))</f>
        <v/>
      </c>
      <c r="AP636" s="4" t="n"/>
      <c r="AQ636" s="4" t="n"/>
      <c r="AR636" s="4" t="n"/>
      <c r="AS636" s="24">
        <f>IF($AR636="","",HYPERLINK(p_ruta_base_checklists&amp;$AR636,"abrir"))</f>
        <v/>
      </c>
      <c r="AT636" s="4" t="n"/>
      <c r="AU636" s="24">
        <f>IF($A636="","",$A636&amp;IF($B636="","0010",$B636))</f>
        <v/>
      </c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41" t="n"/>
      <c r="K637" s="5" t="n"/>
      <c r="L637" s="18" t="n"/>
      <c r="M637" s="24">
        <f>IF($A637="","",IFERROR(INDEX('AJUSTES'!$B$4:$B$303,MATCH($AU637,'AJUSTES'!$A$4:$A$303,0)),IF($K637="","",$K637)))</f>
        <v/>
      </c>
      <c r="N637" s="24">
        <f>IF($A637="","",IFERROR(INDEX('CAT_ESTADOS_ERP'!$B$4:$B$22,MATCH(IFERROR(INDEX('2_IMPORTAR_EJECUCION'!$C$9:$C$1208,MATCH($AU637,'2_IMPORTAR_EJECUCION'!$J$9:$J$1208,0)),""),'CAT_ESTADOS_ERP'!$A$4:$A$22,0)),"Pendiente"))</f>
        <v/>
      </c>
      <c r="O637" s="24">
        <f>IF($J637="","",YEAR($J637+4-WEEKDAY($J637,2))&amp;"-S"&amp;TEXT(_xlfn.ISOWEEKNUM($J637),"00"))</f>
        <v/>
      </c>
      <c r="P637" s="24">
        <f>IF($J637="","",YEAR($J637))</f>
        <v/>
      </c>
      <c r="Q637" s="24">
        <f>IF($J637="","",MONTH($J637))</f>
        <v/>
      </c>
      <c r="R637" s="24">
        <f>IF($J637="","",$P637&amp;"-"&amp;TEXT($Q637,"00"))</f>
        <v/>
      </c>
      <c r="S637" s="24">
        <f>IF($J637="","",INDEX(lista_dias,WEEKDAY($J637,2)))</f>
        <v/>
      </c>
      <c r="T637" s="24">
        <f>IF($J637="","",IFERROR(INDEX('CALENDARIO'!$C$15:$C$214,MATCH(TEXT($J637,"yyyy-mm-dd")&amp;"|"&amp;$Y637&amp;"|"&amp;$Z637,'CALENDARIO'!$G$15:$G$214,0)),IFERROR(INDEX('CALENDARIO'!$C$15:$C$214,MATCH(TEXT($J637,"yyyy-mm-dd")&amp;"|"&amp;$Y637&amp;"|",'CALENDARIO'!$G$15:$G$214,0)),IFERROR(INDEX('CALENDARIO'!$C$15:$C$214,MATCH(TEXT($J637,"yyyy-mm-dd")&amp;"||",'CALENDARIO'!$G$15:$G$214,0)),INDEX(patronHabil,WEEKDAY($J637,2))))))</f>
        <v/>
      </c>
      <c r="U637" s="24">
        <f>IF($I637="","",IFERROR(INDEX('CAT_TIPOS_OT'!$C$4:$C$23,MATCH($I637,'CAT_TIPOS_OT'!$A$4:$A$23,0)),"sin_clasificar"))</f>
        <v/>
      </c>
      <c r="V637" s="24">
        <f>IF($I637="","",IF(IFERROR(INDEX('CAT_TIPOS_OT'!$D$4:$D$23,MATCH($I637,'CAT_TIPOS_OT'!$A$4:$A$23,0)),"SIN CLASIFICAR")="","SIN CLASIFICAR",IFERROR(INDEX('CAT_TIPOS_OT'!$D$4:$D$23,MATCH($I637,'CAT_TIPOS_OT'!$A$4:$A$23,0)),"SIN CLASIFICAR")))</f>
        <v/>
      </c>
      <c r="W637" s="24">
        <f>IF($H637="","",IF(IFERROR(INDEX('CAT_ACTIVIDADES'!$F$4:$F$26,MATCH($H637,'CAT_ACTIVIDADES'!$A$4:$A$26,0)),"")=0,"",IFERROR(INDEX('CAT_ACTIVIDADES'!$F$4:$F$26,MATCH($H637,'CAT_ACTIVIDADES'!$A$4:$A$26,0)),"")))</f>
        <v/>
      </c>
      <c r="X637" s="24">
        <f>IF($F637="","",IFERROR(INDEX('CAT_CENTROS_COSTO'!$F$4:$F$28,MATCH($F637,'CAT_CENTROS_COSTO'!$A$4:$A$28,0)),"(sin catálogo)"))</f>
        <v/>
      </c>
      <c r="Y637" s="24">
        <f>IF($F637="","",IFERROR(INDEX('CAT_CENTROS_COSTO'!$D$4:$D$28,MATCH($F637,'CAT_CENTROS_COSTO'!$A$4:$A$28,0)),"(sin catálogo)"))</f>
        <v/>
      </c>
      <c r="Z637" s="24">
        <f>IF($F637="","",IF((IFERROR(INDEX('CAT_CENTROS_COSTO'!$E$4:$E$28,MATCH($F637,'CAT_CENTROS_COSTO'!$A$4:$A$28,0)),""))&lt;&gt;"",IFERROR(INDEX('CAT_CENTROS_COSTO'!$E$4:$E$28,MATCH($F637,'CAT_CENTROS_COSTO'!$A$4:$A$28,0)),""),$Y637))</f>
        <v/>
      </c>
      <c r="AA637" s="24">
        <f>IF($F637="","",IFERROR(INDEX('CAT_CENTROS_COSTO'!$G$4:$G$28,MATCH($F637,'CAT_CENTROS_COSTO'!$A$4:$A$28,0)),"(sin catálogo)"))</f>
        <v/>
      </c>
      <c r="AB637" s="24">
        <f>IF($G637="","",IFERROR(INDEX('CAT_PUESTOS'!$B$4:$B$23,MATCH($G637,'CAT_PUESTOS'!$A$4:$A$23,0)),"(sin catálogo)"))</f>
        <v/>
      </c>
      <c r="AC637" s="24">
        <f>IF($H637="","",IFERROR(INDEX('CAT_ACTIVIDADES'!$B$4:$B$26,MATCH($H637,'CAT_ACTIVIDADES'!$A$4:$A$26,0)),"(sin catálogo)"))</f>
        <v/>
      </c>
      <c r="AD637" s="26">
        <f>IF($J637="","",TODAY()-$J637)</f>
        <v/>
      </c>
      <c r="AE637" s="26">
        <f>IF($J637="","",IF($J637&lt;=TODAY(),COUNTIFS(cal_fechas,"&gt;="&amp;$J637,cal_fechas,"&lt;"&amp;TODAY(),cal_habil,"sí"),-COUNTIFS(cal_fechas,"&gt;="&amp;TODAY(),cal_fechas,"&lt;"&amp;$J637,cal_habil,"sí")))</f>
        <v/>
      </c>
      <c r="AF637" s="24">
        <f>IF($AE637="","",IF($AE637&lt;0,"FUTURO",IF($AE637&gt;p_dias_backlog_max,"BACKLOG","MES CORRIENTE")))</f>
        <v/>
      </c>
      <c r="AG637" s="24">
        <f>IF($AE637="",FALSE,AND($AE637&gt;p_dias_backlog_min,$AE637&lt;=p_dias_backlog_max))</f>
        <v/>
      </c>
      <c r="AH637" s="4" t="n"/>
      <c r="AI637" s="24">
        <f>IF($AH637="","",IF((IFERROR(INDEX('ASIGNACIONES'!$J$4:$J$451,MATCH($O637&amp;"|"&amp;$S637&amp;"|"&amp;$AH637,'ASIGNACIONES'!$N$4:$N$451,0)),""))=0,"",IFERROR(INDEX('ASIGNACIONES'!$J$4:$J$451,MATCH($O637&amp;"|"&amp;$S637&amp;"|"&amp;$AH637,'ASIGNACIONES'!$N$4:$N$451,0)),"")))</f>
        <v/>
      </c>
      <c r="AJ637" s="42">
        <f>IF($AH637="","",SUMIFS('ORDENES'!$M$4:$M$1203,'ORDENES'!$AH$4:$AH$1203,$AH637,'ORDENES'!$O$4:$O$1203,$O637,'ORDENES'!$S$4:$S$1203,$S637))</f>
        <v/>
      </c>
      <c r="AK637" s="42">
        <f>IF($AJ637="","",p_factor_productividad*IFERROR(INDEX('ASIGNACIONES'!$M$4:$M$451,MATCH($O637&amp;"|"&amp;$S637&amp;"|"&amp;$AH637,'ASIGNACIONES'!$N$4:$N$451,0)),0)-$AJ637)</f>
        <v/>
      </c>
      <c r="AL637" s="32">
        <f>IF($A637="","",IFERROR(INDEX('2_IMPORTAR_EJECUCION'!$F$9:$F$1208,MATCH($AU637,'2_IMPORTAR_EJECUCION'!$J$9:$J$1208,0)),0))</f>
        <v/>
      </c>
      <c r="AM637" s="32">
        <f>IF($A637="","",MAX(0,IFERROR(INDEX('2_IMPORTAR_EJECUCION'!$H$9:$H$1208,MATCH($AU637,'2_IMPORTAR_EJECUCION'!$J$9:$J$1208,0)),0)-$AL637))</f>
        <v/>
      </c>
      <c r="AN637" s="32">
        <f>IF($A637="","",$AL637+$AM637)</f>
        <v/>
      </c>
      <c r="AO637" s="24">
        <f>IF($A637="","",IF(OR((IFERROR(INDEX('CAT_ACTIVIDADES'!$D$4:$D$26,MATCH($H637,'CAT_ACTIVIDADES'!$A$4:$A$26,0)),""))=0,(IFERROR(INDEX('CAT_ACTIVIDADES'!$D$4:$D$26,MATCH($H637,'CAT_ACTIVIDADES'!$A$4:$A$26,0)),""))=""),"SIN CLASIFICAR",IFERROR(INDEX('CAT_ACTIVIDADES'!$D$4:$D$26,MATCH($H637,'CAT_ACTIVIDADES'!$A$4:$A$26,0)),"")))</f>
        <v/>
      </c>
      <c r="AP637" s="4" t="n"/>
      <c r="AQ637" s="4" t="n"/>
      <c r="AR637" s="4" t="n"/>
      <c r="AS637" s="24">
        <f>IF($AR637="","",HYPERLINK(p_ruta_base_checklists&amp;$AR637,"abrir"))</f>
        <v/>
      </c>
      <c r="AT637" s="4" t="n"/>
      <c r="AU637" s="24">
        <f>IF($A637="","",$A637&amp;IF($B637="","0010",$B637))</f>
        <v/>
      </c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41" t="n"/>
      <c r="K638" s="5" t="n"/>
      <c r="L638" s="18" t="n"/>
      <c r="M638" s="24">
        <f>IF($A638="","",IFERROR(INDEX('AJUSTES'!$B$4:$B$303,MATCH($AU638,'AJUSTES'!$A$4:$A$303,0)),IF($K638="","",$K638)))</f>
        <v/>
      </c>
      <c r="N638" s="24">
        <f>IF($A638="","",IFERROR(INDEX('CAT_ESTADOS_ERP'!$B$4:$B$22,MATCH(IFERROR(INDEX('2_IMPORTAR_EJECUCION'!$C$9:$C$1208,MATCH($AU638,'2_IMPORTAR_EJECUCION'!$J$9:$J$1208,0)),""),'CAT_ESTADOS_ERP'!$A$4:$A$22,0)),"Pendiente"))</f>
        <v/>
      </c>
      <c r="O638" s="24">
        <f>IF($J638="","",YEAR($J638+4-WEEKDAY($J638,2))&amp;"-S"&amp;TEXT(_xlfn.ISOWEEKNUM($J638),"00"))</f>
        <v/>
      </c>
      <c r="P638" s="24">
        <f>IF($J638="","",YEAR($J638))</f>
        <v/>
      </c>
      <c r="Q638" s="24">
        <f>IF($J638="","",MONTH($J638))</f>
        <v/>
      </c>
      <c r="R638" s="24">
        <f>IF($J638="","",$P638&amp;"-"&amp;TEXT($Q638,"00"))</f>
        <v/>
      </c>
      <c r="S638" s="24">
        <f>IF($J638="","",INDEX(lista_dias,WEEKDAY($J638,2)))</f>
        <v/>
      </c>
      <c r="T638" s="24">
        <f>IF($J638="","",IFERROR(INDEX('CALENDARIO'!$C$15:$C$214,MATCH(TEXT($J638,"yyyy-mm-dd")&amp;"|"&amp;$Y638&amp;"|"&amp;$Z638,'CALENDARIO'!$G$15:$G$214,0)),IFERROR(INDEX('CALENDARIO'!$C$15:$C$214,MATCH(TEXT($J638,"yyyy-mm-dd")&amp;"|"&amp;$Y638&amp;"|",'CALENDARIO'!$G$15:$G$214,0)),IFERROR(INDEX('CALENDARIO'!$C$15:$C$214,MATCH(TEXT($J638,"yyyy-mm-dd")&amp;"||",'CALENDARIO'!$G$15:$G$214,0)),INDEX(patronHabil,WEEKDAY($J638,2))))))</f>
        <v/>
      </c>
      <c r="U638" s="24">
        <f>IF($I638="","",IFERROR(INDEX('CAT_TIPOS_OT'!$C$4:$C$23,MATCH($I638,'CAT_TIPOS_OT'!$A$4:$A$23,0)),"sin_clasificar"))</f>
        <v/>
      </c>
      <c r="V638" s="24">
        <f>IF($I638="","",IF(IFERROR(INDEX('CAT_TIPOS_OT'!$D$4:$D$23,MATCH($I638,'CAT_TIPOS_OT'!$A$4:$A$23,0)),"SIN CLASIFICAR")="","SIN CLASIFICAR",IFERROR(INDEX('CAT_TIPOS_OT'!$D$4:$D$23,MATCH($I638,'CAT_TIPOS_OT'!$A$4:$A$23,0)),"SIN CLASIFICAR")))</f>
        <v/>
      </c>
      <c r="W638" s="24">
        <f>IF($H638="","",IF(IFERROR(INDEX('CAT_ACTIVIDADES'!$F$4:$F$26,MATCH($H638,'CAT_ACTIVIDADES'!$A$4:$A$26,0)),"")=0,"",IFERROR(INDEX('CAT_ACTIVIDADES'!$F$4:$F$26,MATCH($H638,'CAT_ACTIVIDADES'!$A$4:$A$26,0)),"")))</f>
        <v/>
      </c>
      <c r="X638" s="24">
        <f>IF($F638="","",IFERROR(INDEX('CAT_CENTROS_COSTO'!$F$4:$F$28,MATCH($F638,'CAT_CENTROS_COSTO'!$A$4:$A$28,0)),"(sin catálogo)"))</f>
        <v/>
      </c>
      <c r="Y638" s="24">
        <f>IF($F638="","",IFERROR(INDEX('CAT_CENTROS_COSTO'!$D$4:$D$28,MATCH($F638,'CAT_CENTROS_COSTO'!$A$4:$A$28,0)),"(sin catálogo)"))</f>
        <v/>
      </c>
      <c r="Z638" s="24">
        <f>IF($F638="","",IF((IFERROR(INDEX('CAT_CENTROS_COSTO'!$E$4:$E$28,MATCH($F638,'CAT_CENTROS_COSTO'!$A$4:$A$28,0)),""))&lt;&gt;"",IFERROR(INDEX('CAT_CENTROS_COSTO'!$E$4:$E$28,MATCH($F638,'CAT_CENTROS_COSTO'!$A$4:$A$28,0)),""),$Y638))</f>
        <v/>
      </c>
      <c r="AA638" s="24">
        <f>IF($F638="","",IFERROR(INDEX('CAT_CENTROS_COSTO'!$G$4:$G$28,MATCH($F638,'CAT_CENTROS_COSTO'!$A$4:$A$28,0)),"(sin catálogo)"))</f>
        <v/>
      </c>
      <c r="AB638" s="24">
        <f>IF($G638="","",IFERROR(INDEX('CAT_PUESTOS'!$B$4:$B$23,MATCH($G638,'CAT_PUESTOS'!$A$4:$A$23,0)),"(sin catálogo)"))</f>
        <v/>
      </c>
      <c r="AC638" s="24">
        <f>IF($H638="","",IFERROR(INDEX('CAT_ACTIVIDADES'!$B$4:$B$26,MATCH($H638,'CAT_ACTIVIDADES'!$A$4:$A$26,0)),"(sin catálogo)"))</f>
        <v/>
      </c>
      <c r="AD638" s="26">
        <f>IF($J638="","",TODAY()-$J638)</f>
        <v/>
      </c>
      <c r="AE638" s="26">
        <f>IF($J638="","",IF($J638&lt;=TODAY(),COUNTIFS(cal_fechas,"&gt;="&amp;$J638,cal_fechas,"&lt;"&amp;TODAY(),cal_habil,"sí"),-COUNTIFS(cal_fechas,"&gt;="&amp;TODAY(),cal_fechas,"&lt;"&amp;$J638,cal_habil,"sí")))</f>
        <v/>
      </c>
      <c r="AF638" s="24">
        <f>IF($AE638="","",IF($AE638&lt;0,"FUTURO",IF($AE638&gt;p_dias_backlog_max,"BACKLOG","MES CORRIENTE")))</f>
        <v/>
      </c>
      <c r="AG638" s="24">
        <f>IF($AE638="",FALSE,AND($AE638&gt;p_dias_backlog_min,$AE638&lt;=p_dias_backlog_max))</f>
        <v/>
      </c>
      <c r="AH638" s="4" t="n"/>
      <c r="AI638" s="24">
        <f>IF($AH638="","",IF((IFERROR(INDEX('ASIGNACIONES'!$J$4:$J$451,MATCH($O638&amp;"|"&amp;$S638&amp;"|"&amp;$AH638,'ASIGNACIONES'!$N$4:$N$451,0)),""))=0,"",IFERROR(INDEX('ASIGNACIONES'!$J$4:$J$451,MATCH($O638&amp;"|"&amp;$S638&amp;"|"&amp;$AH638,'ASIGNACIONES'!$N$4:$N$451,0)),"")))</f>
        <v/>
      </c>
      <c r="AJ638" s="42">
        <f>IF($AH638="","",SUMIFS('ORDENES'!$M$4:$M$1203,'ORDENES'!$AH$4:$AH$1203,$AH638,'ORDENES'!$O$4:$O$1203,$O638,'ORDENES'!$S$4:$S$1203,$S638))</f>
        <v/>
      </c>
      <c r="AK638" s="42">
        <f>IF($AJ638="","",p_factor_productividad*IFERROR(INDEX('ASIGNACIONES'!$M$4:$M$451,MATCH($O638&amp;"|"&amp;$S638&amp;"|"&amp;$AH638,'ASIGNACIONES'!$N$4:$N$451,0)),0)-$AJ638)</f>
        <v/>
      </c>
      <c r="AL638" s="32">
        <f>IF($A638="","",IFERROR(INDEX('2_IMPORTAR_EJECUCION'!$F$9:$F$1208,MATCH($AU638,'2_IMPORTAR_EJECUCION'!$J$9:$J$1208,0)),0))</f>
        <v/>
      </c>
      <c r="AM638" s="32">
        <f>IF($A638="","",MAX(0,IFERROR(INDEX('2_IMPORTAR_EJECUCION'!$H$9:$H$1208,MATCH($AU638,'2_IMPORTAR_EJECUCION'!$J$9:$J$1208,0)),0)-$AL638))</f>
        <v/>
      </c>
      <c r="AN638" s="32">
        <f>IF($A638="","",$AL638+$AM638)</f>
        <v/>
      </c>
      <c r="AO638" s="24">
        <f>IF($A638="","",IF(OR((IFERROR(INDEX('CAT_ACTIVIDADES'!$D$4:$D$26,MATCH($H638,'CAT_ACTIVIDADES'!$A$4:$A$26,0)),""))=0,(IFERROR(INDEX('CAT_ACTIVIDADES'!$D$4:$D$26,MATCH($H638,'CAT_ACTIVIDADES'!$A$4:$A$26,0)),""))=""),"SIN CLASIFICAR",IFERROR(INDEX('CAT_ACTIVIDADES'!$D$4:$D$26,MATCH($H638,'CAT_ACTIVIDADES'!$A$4:$A$26,0)),"")))</f>
        <v/>
      </c>
      <c r="AP638" s="4" t="n"/>
      <c r="AQ638" s="4" t="n"/>
      <c r="AR638" s="4" t="n"/>
      <c r="AS638" s="24">
        <f>IF($AR638="","",HYPERLINK(p_ruta_base_checklists&amp;$AR638,"abrir"))</f>
        <v/>
      </c>
      <c r="AT638" s="4" t="n"/>
      <c r="AU638" s="24">
        <f>IF($A638="","",$A638&amp;IF($B638="","0010",$B638))</f>
        <v/>
      </c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41" t="n"/>
      <c r="K639" s="5" t="n"/>
      <c r="L639" s="18" t="n"/>
      <c r="M639" s="24">
        <f>IF($A639="","",IFERROR(INDEX('AJUSTES'!$B$4:$B$303,MATCH($AU639,'AJUSTES'!$A$4:$A$303,0)),IF($K639="","",$K639)))</f>
        <v/>
      </c>
      <c r="N639" s="24">
        <f>IF($A639="","",IFERROR(INDEX('CAT_ESTADOS_ERP'!$B$4:$B$22,MATCH(IFERROR(INDEX('2_IMPORTAR_EJECUCION'!$C$9:$C$1208,MATCH($AU639,'2_IMPORTAR_EJECUCION'!$J$9:$J$1208,0)),""),'CAT_ESTADOS_ERP'!$A$4:$A$22,0)),"Pendiente"))</f>
        <v/>
      </c>
      <c r="O639" s="24">
        <f>IF($J639="","",YEAR($J639+4-WEEKDAY($J639,2))&amp;"-S"&amp;TEXT(_xlfn.ISOWEEKNUM($J639),"00"))</f>
        <v/>
      </c>
      <c r="P639" s="24">
        <f>IF($J639="","",YEAR($J639))</f>
        <v/>
      </c>
      <c r="Q639" s="24">
        <f>IF($J639="","",MONTH($J639))</f>
        <v/>
      </c>
      <c r="R639" s="24">
        <f>IF($J639="","",$P639&amp;"-"&amp;TEXT($Q639,"00"))</f>
        <v/>
      </c>
      <c r="S639" s="24">
        <f>IF($J639="","",INDEX(lista_dias,WEEKDAY($J639,2)))</f>
        <v/>
      </c>
      <c r="T639" s="24">
        <f>IF($J639="","",IFERROR(INDEX('CALENDARIO'!$C$15:$C$214,MATCH(TEXT($J639,"yyyy-mm-dd")&amp;"|"&amp;$Y639&amp;"|"&amp;$Z639,'CALENDARIO'!$G$15:$G$214,0)),IFERROR(INDEX('CALENDARIO'!$C$15:$C$214,MATCH(TEXT($J639,"yyyy-mm-dd")&amp;"|"&amp;$Y639&amp;"|",'CALENDARIO'!$G$15:$G$214,0)),IFERROR(INDEX('CALENDARIO'!$C$15:$C$214,MATCH(TEXT($J639,"yyyy-mm-dd")&amp;"||",'CALENDARIO'!$G$15:$G$214,0)),INDEX(patronHabil,WEEKDAY($J639,2))))))</f>
        <v/>
      </c>
      <c r="U639" s="24">
        <f>IF($I639="","",IFERROR(INDEX('CAT_TIPOS_OT'!$C$4:$C$23,MATCH($I639,'CAT_TIPOS_OT'!$A$4:$A$23,0)),"sin_clasificar"))</f>
        <v/>
      </c>
      <c r="V639" s="24">
        <f>IF($I639="","",IF(IFERROR(INDEX('CAT_TIPOS_OT'!$D$4:$D$23,MATCH($I639,'CAT_TIPOS_OT'!$A$4:$A$23,0)),"SIN CLASIFICAR")="","SIN CLASIFICAR",IFERROR(INDEX('CAT_TIPOS_OT'!$D$4:$D$23,MATCH($I639,'CAT_TIPOS_OT'!$A$4:$A$23,0)),"SIN CLASIFICAR")))</f>
        <v/>
      </c>
      <c r="W639" s="24">
        <f>IF($H639="","",IF(IFERROR(INDEX('CAT_ACTIVIDADES'!$F$4:$F$26,MATCH($H639,'CAT_ACTIVIDADES'!$A$4:$A$26,0)),"")=0,"",IFERROR(INDEX('CAT_ACTIVIDADES'!$F$4:$F$26,MATCH($H639,'CAT_ACTIVIDADES'!$A$4:$A$26,0)),"")))</f>
        <v/>
      </c>
      <c r="X639" s="24">
        <f>IF($F639="","",IFERROR(INDEX('CAT_CENTROS_COSTO'!$F$4:$F$28,MATCH($F639,'CAT_CENTROS_COSTO'!$A$4:$A$28,0)),"(sin catálogo)"))</f>
        <v/>
      </c>
      <c r="Y639" s="24">
        <f>IF($F639="","",IFERROR(INDEX('CAT_CENTROS_COSTO'!$D$4:$D$28,MATCH($F639,'CAT_CENTROS_COSTO'!$A$4:$A$28,0)),"(sin catálogo)"))</f>
        <v/>
      </c>
      <c r="Z639" s="24">
        <f>IF($F639="","",IF((IFERROR(INDEX('CAT_CENTROS_COSTO'!$E$4:$E$28,MATCH($F639,'CAT_CENTROS_COSTO'!$A$4:$A$28,0)),""))&lt;&gt;"",IFERROR(INDEX('CAT_CENTROS_COSTO'!$E$4:$E$28,MATCH($F639,'CAT_CENTROS_COSTO'!$A$4:$A$28,0)),""),$Y639))</f>
        <v/>
      </c>
      <c r="AA639" s="24">
        <f>IF($F639="","",IFERROR(INDEX('CAT_CENTROS_COSTO'!$G$4:$G$28,MATCH($F639,'CAT_CENTROS_COSTO'!$A$4:$A$28,0)),"(sin catálogo)"))</f>
        <v/>
      </c>
      <c r="AB639" s="24">
        <f>IF($G639="","",IFERROR(INDEX('CAT_PUESTOS'!$B$4:$B$23,MATCH($G639,'CAT_PUESTOS'!$A$4:$A$23,0)),"(sin catálogo)"))</f>
        <v/>
      </c>
      <c r="AC639" s="24">
        <f>IF($H639="","",IFERROR(INDEX('CAT_ACTIVIDADES'!$B$4:$B$26,MATCH($H639,'CAT_ACTIVIDADES'!$A$4:$A$26,0)),"(sin catálogo)"))</f>
        <v/>
      </c>
      <c r="AD639" s="26">
        <f>IF($J639="","",TODAY()-$J639)</f>
        <v/>
      </c>
      <c r="AE639" s="26">
        <f>IF($J639="","",IF($J639&lt;=TODAY(),COUNTIFS(cal_fechas,"&gt;="&amp;$J639,cal_fechas,"&lt;"&amp;TODAY(),cal_habil,"sí"),-COUNTIFS(cal_fechas,"&gt;="&amp;TODAY(),cal_fechas,"&lt;"&amp;$J639,cal_habil,"sí")))</f>
        <v/>
      </c>
      <c r="AF639" s="24">
        <f>IF($AE639="","",IF($AE639&lt;0,"FUTURO",IF($AE639&gt;p_dias_backlog_max,"BACKLOG","MES CORRIENTE")))</f>
        <v/>
      </c>
      <c r="AG639" s="24">
        <f>IF($AE639="",FALSE,AND($AE639&gt;p_dias_backlog_min,$AE639&lt;=p_dias_backlog_max))</f>
        <v/>
      </c>
      <c r="AH639" s="4" t="n"/>
      <c r="AI639" s="24">
        <f>IF($AH639="","",IF((IFERROR(INDEX('ASIGNACIONES'!$J$4:$J$451,MATCH($O639&amp;"|"&amp;$S639&amp;"|"&amp;$AH639,'ASIGNACIONES'!$N$4:$N$451,0)),""))=0,"",IFERROR(INDEX('ASIGNACIONES'!$J$4:$J$451,MATCH($O639&amp;"|"&amp;$S639&amp;"|"&amp;$AH639,'ASIGNACIONES'!$N$4:$N$451,0)),"")))</f>
        <v/>
      </c>
      <c r="AJ639" s="42">
        <f>IF($AH639="","",SUMIFS('ORDENES'!$M$4:$M$1203,'ORDENES'!$AH$4:$AH$1203,$AH639,'ORDENES'!$O$4:$O$1203,$O639,'ORDENES'!$S$4:$S$1203,$S639))</f>
        <v/>
      </c>
      <c r="AK639" s="42">
        <f>IF($AJ639="","",p_factor_productividad*IFERROR(INDEX('ASIGNACIONES'!$M$4:$M$451,MATCH($O639&amp;"|"&amp;$S639&amp;"|"&amp;$AH639,'ASIGNACIONES'!$N$4:$N$451,0)),0)-$AJ639)</f>
        <v/>
      </c>
      <c r="AL639" s="32">
        <f>IF($A639="","",IFERROR(INDEX('2_IMPORTAR_EJECUCION'!$F$9:$F$1208,MATCH($AU639,'2_IMPORTAR_EJECUCION'!$J$9:$J$1208,0)),0))</f>
        <v/>
      </c>
      <c r="AM639" s="32">
        <f>IF($A639="","",MAX(0,IFERROR(INDEX('2_IMPORTAR_EJECUCION'!$H$9:$H$1208,MATCH($AU639,'2_IMPORTAR_EJECUCION'!$J$9:$J$1208,0)),0)-$AL639))</f>
        <v/>
      </c>
      <c r="AN639" s="32">
        <f>IF($A639="","",$AL639+$AM639)</f>
        <v/>
      </c>
      <c r="AO639" s="24">
        <f>IF($A639="","",IF(OR((IFERROR(INDEX('CAT_ACTIVIDADES'!$D$4:$D$26,MATCH($H639,'CAT_ACTIVIDADES'!$A$4:$A$26,0)),""))=0,(IFERROR(INDEX('CAT_ACTIVIDADES'!$D$4:$D$26,MATCH($H639,'CAT_ACTIVIDADES'!$A$4:$A$26,0)),""))=""),"SIN CLASIFICAR",IFERROR(INDEX('CAT_ACTIVIDADES'!$D$4:$D$26,MATCH($H639,'CAT_ACTIVIDADES'!$A$4:$A$26,0)),"")))</f>
        <v/>
      </c>
      <c r="AP639" s="4" t="n"/>
      <c r="AQ639" s="4" t="n"/>
      <c r="AR639" s="4" t="n"/>
      <c r="AS639" s="24">
        <f>IF($AR639="","",HYPERLINK(p_ruta_base_checklists&amp;$AR639,"abrir"))</f>
        <v/>
      </c>
      <c r="AT639" s="4" t="n"/>
      <c r="AU639" s="24">
        <f>IF($A639="","",$A639&amp;IF($B639="","0010",$B639))</f>
        <v/>
      </c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41" t="n"/>
      <c r="K640" s="5" t="n"/>
      <c r="L640" s="18" t="n"/>
      <c r="M640" s="24">
        <f>IF($A640="","",IFERROR(INDEX('AJUSTES'!$B$4:$B$303,MATCH($AU640,'AJUSTES'!$A$4:$A$303,0)),IF($K640="","",$K640)))</f>
        <v/>
      </c>
      <c r="N640" s="24">
        <f>IF($A640="","",IFERROR(INDEX('CAT_ESTADOS_ERP'!$B$4:$B$22,MATCH(IFERROR(INDEX('2_IMPORTAR_EJECUCION'!$C$9:$C$1208,MATCH($AU640,'2_IMPORTAR_EJECUCION'!$J$9:$J$1208,0)),""),'CAT_ESTADOS_ERP'!$A$4:$A$22,0)),"Pendiente"))</f>
        <v/>
      </c>
      <c r="O640" s="24">
        <f>IF($J640="","",YEAR($J640+4-WEEKDAY($J640,2))&amp;"-S"&amp;TEXT(_xlfn.ISOWEEKNUM($J640),"00"))</f>
        <v/>
      </c>
      <c r="P640" s="24">
        <f>IF($J640="","",YEAR($J640))</f>
        <v/>
      </c>
      <c r="Q640" s="24">
        <f>IF($J640="","",MONTH($J640))</f>
        <v/>
      </c>
      <c r="R640" s="24">
        <f>IF($J640="","",$P640&amp;"-"&amp;TEXT($Q640,"00"))</f>
        <v/>
      </c>
      <c r="S640" s="24">
        <f>IF($J640="","",INDEX(lista_dias,WEEKDAY($J640,2)))</f>
        <v/>
      </c>
      <c r="T640" s="24">
        <f>IF($J640="","",IFERROR(INDEX('CALENDARIO'!$C$15:$C$214,MATCH(TEXT($J640,"yyyy-mm-dd")&amp;"|"&amp;$Y640&amp;"|"&amp;$Z640,'CALENDARIO'!$G$15:$G$214,0)),IFERROR(INDEX('CALENDARIO'!$C$15:$C$214,MATCH(TEXT($J640,"yyyy-mm-dd")&amp;"|"&amp;$Y640&amp;"|",'CALENDARIO'!$G$15:$G$214,0)),IFERROR(INDEX('CALENDARIO'!$C$15:$C$214,MATCH(TEXT($J640,"yyyy-mm-dd")&amp;"||",'CALENDARIO'!$G$15:$G$214,0)),INDEX(patronHabil,WEEKDAY($J640,2))))))</f>
        <v/>
      </c>
      <c r="U640" s="24">
        <f>IF($I640="","",IFERROR(INDEX('CAT_TIPOS_OT'!$C$4:$C$23,MATCH($I640,'CAT_TIPOS_OT'!$A$4:$A$23,0)),"sin_clasificar"))</f>
        <v/>
      </c>
      <c r="V640" s="24">
        <f>IF($I640="","",IF(IFERROR(INDEX('CAT_TIPOS_OT'!$D$4:$D$23,MATCH($I640,'CAT_TIPOS_OT'!$A$4:$A$23,0)),"SIN CLASIFICAR")="","SIN CLASIFICAR",IFERROR(INDEX('CAT_TIPOS_OT'!$D$4:$D$23,MATCH($I640,'CAT_TIPOS_OT'!$A$4:$A$23,0)),"SIN CLASIFICAR")))</f>
        <v/>
      </c>
      <c r="W640" s="24">
        <f>IF($H640="","",IF(IFERROR(INDEX('CAT_ACTIVIDADES'!$F$4:$F$26,MATCH($H640,'CAT_ACTIVIDADES'!$A$4:$A$26,0)),"")=0,"",IFERROR(INDEX('CAT_ACTIVIDADES'!$F$4:$F$26,MATCH($H640,'CAT_ACTIVIDADES'!$A$4:$A$26,0)),"")))</f>
        <v/>
      </c>
      <c r="X640" s="24">
        <f>IF($F640="","",IFERROR(INDEX('CAT_CENTROS_COSTO'!$F$4:$F$28,MATCH($F640,'CAT_CENTROS_COSTO'!$A$4:$A$28,0)),"(sin catálogo)"))</f>
        <v/>
      </c>
      <c r="Y640" s="24">
        <f>IF($F640="","",IFERROR(INDEX('CAT_CENTROS_COSTO'!$D$4:$D$28,MATCH($F640,'CAT_CENTROS_COSTO'!$A$4:$A$28,0)),"(sin catálogo)"))</f>
        <v/>
      </c>
      <c r="Z640" s="24">
        <f>IF($F640="","",IF((IFERROR(INDEX('CAT_CENTROS_COSTO'!$E$4:$E$28,MATCH($F640,'CAT_CENTROS_COSTO'!$A$4:$A$28,0)),""))&lt;&gt;"",IFERROR(INDEX('CAT_CENTROS_COSTO'!$E$4:$E$28,MATCH($F640,'CAT_CENTROS_COSTO'!$A$4:$A$28,0)),""),$Y640))</f>
        <v/>
      </c>
      <c r="AA640" s="24">
        <f>IF($F640="","",IFERROR(INDEX('CAT_CENTROS_COSTO'!$G$4:$G$28,MATCH($F640,'CAT_CENTROS_COSTO'!$A$4:$A$28,0)),"(sin catálogo)"))</f>
        <v/>
      </c>
      <c r="AB640" s="24">
        <f>IF($G640="","",IFERROR(INDEX('CAT_PUESTOS'!$B$4:$B$23,MATCH($G640,'CAT_PUESTOS'!$A$4:$A$23,0)),"(sin catálogo)"))</f>
        <v/>
      </c>
      <c r="AC640" s="24">
        <f>IF($H640="","",IFERROR(INDEX('CAT_ACTIVIDADES'!$B$4:$B$26,MATCH($H640,'CAT_ACTIVIDADES'!$A$4:$A$26,0)),"(sin catálogo)"))</f>
        <v/>
      </c>
      <c r="AD640" s="26">
        <f>IF($J640="","",TODAY()-$J640)</f>
        <v/>
      </c>
      <c r="AE640" s="26">
        <f>IF($J640="","",IF($J640&lt;=TODAY(),COUNTIFS(cal_fechas,"&gt;="&amp;$J640,cal_fechas,"&lt;"&amp;TODAY(),cal_habil,"sí"),-COUNTIFS(cal_fechas,"&gt;="&amp;TODAY(),cal_fechas,"&lt;"&amp;$J640,cal_habil,"sí")))</f>
        <v/>
      </c>
      <c r="AF640" s="24">
        <f>IF($AE640="","",IF($AE640&lt;0,"FUTURO",IF($AE640&gt;p_dias_backlog_max,"BACKLOG","MES CORRIENTE")))</f>
        <v/>
      </c>
      <c r="AG640" s="24">
        <f>IF($AE640="",FALSE,AND($AE640&gt;p_dias_backlog_min,$AE640&lt;=p_dias_backlog_max))</f>
        <v/>
      </c>
      <c r="AH640" s="4" t="n"/>
      <c r="AI640" s="24">
        <f>IF($AH640="","",IF((IFERROR(INDEX('ASIGNACIONES'!$J$4:$J$451,MATCH($O640&amp;"|"&amp;$S640&amp;"|"&amp;$AH640,'ASIGNACIONES'!$N$4:$N$451,0)),""))=0,"",IFERROR(INDEX('ASIGNACIONES'!$J$4:$J$451,MATCH($O640&amp;"|"&amp;$S640&amp;"|"&amp;$AH640,'ASIGNACIONES'!$N$4:$N$451,0)),"")))</f>
        <v/>
      </c>
      <c r="AJ640" s="42">
        <f>IF($AH640="","",SUMIFS('ORDENES'!$M$4:$M$1203,'ORDENES'!$AH$4:$AH$1203,$AH640,'ORDENES'!$O$4:$O$1203,$O640,'ORDENES'!$S$4:$S$1203,$S640))</f>
        <v/>
      </c>
      <c r="AK640" s="42">
        <f>IF($AJ640="","",p_factor_productividad*IFERROR(INDEX('ASIGNACIONES'!$M$4:$M$451,MATCH($O640&amp;"|"&amp;$S640&amp;"|"&amp;$AH640,'ASIGNACIONES'!$N$4:$N$451,0)),0)-$AJ640)</f>
        <v/>
      </c>
      <c r="AL640" s="32">
        <f>IF($A640="","",IFERROR(INDEX('2_IMPORTAR_EJECUCION'!$F$9:$F$1208,MATCH($AU640,'2_IMPORTAR_EJECUCION'!$J$9:$J$1208,0)),0))</f>
        <v/>
      </c>
      <c r="AM640" s="32">
        <f>IF($A640="","",MAX(0,IFERROR(INDEX('2_IMPORTAR_EJECUCION'!$H$9:$H$1208,MATCH($AU640,'2_IMPORTAR_EJECUCION'!$J$9:$J$1208,0)),0)-$AL640))</f>
        <v/>
      </c>
      <c r="AN640" s="32">
        <f>IF($A640="","",$AL640+$AM640)</f>
        <v/>
      </c>
      <c r="AO640" s="24">
        <f>IF($A640="","",IF(OR((IFERROR(INDEX('CAT_ACTIVIDADES'!$D$4:$D$26,MATCH($H640,'CAT_ACTIVIDADES'!$A$4:$A$26,0)),""))=0,(IFERROR(INDEX('CAT_ACTIVIDADES'!$D$4:$D$26,MATCH($H640,'CAT_ACTIVIDADES'!$A$4:$A$26,0)),""))=""),"SIN CLASIFICAR",IFERROR(INDEX('CAT_ACTIVIDADES'!$D$4:$D$26,MATCH($H640,'CAT_ACTIVIDADES'!$A$4:$A$26,0)),"")))</f>
        <v/>
      </c>
      <c r="AP640" s="4" t="n"/>
      <c r="AQ640" s="4" t="n"/>
      <c r="AR640" s="4" t="n"/>
      <c r="AS640" s="24">
        <f>IF($AR640="","",HYPERLINK(p_ruta_base_checklists&amp;$AR640,"abrir"))</f>
        <v/>
      </c>
      <c r="AT640" s="4" t="n"/>
      <c r="AU640" s="24">
        <f>IF($A640="","",$A640&amp;IF($B640="","0010",$B640))</f>
        <v/>
      </c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41" t="n"/>
      <c r="K641" s="5" t="n"/>
      <c r="L641" s="18" t="n"/>
      <c r="M641" s="24">
        <f>IF($A641="","",IFERROR(INDEX('AJUSTES'!$B$4:$B$303,MATCH($AU641,'AJUSTES'!$A$4:$A$303,0)),IF($K641="","",$K641)))</f>
        <v/>
      </c>
      <c r="N641" s="24">
        <f>IF($A641="","",IFERROR(INDEX('CAT_ESTADOS_ERP'!$B$4:$B$22,MATCH(IFERROR(INDEX('2_IMPORTAR_EJECUCION'!$C$9:$C$1208,MATCH($AU641,'2_IMPORTAR_EJECUCION'!$J$9:$J$1208,0)),""),'CAT_ESTADOS_ERP'!$A$4:$A$22,0)),"Pendiente"))</f>
        <v/>
      </c>
      <c r="O641" s="24">
        <f>IF($J641="","",YEAR($J641+4-WEEKDAY($J641,2))&amp;"-S"&amp;TEXT(_xlfn.ISOWEEKNUM($J641),"00"))</f>
        <v/>
      </c>
      <c r="P641" s="24">
        <f>IF($J641="","",YEAR($J641))</f>
        <v/>
      </c>
      <c r="Q641" s="24">
        <f>IF($J641="","",MONTH($J641))</f>
        <v/>
      </c>
      <c r="R641" s="24">
        <f>IF($J641="","",$P641&amp;"-"&amp;TEXT($Q641,"00"))</f>
        <v/>
      </c>
      <c r="S641" s="24">
        <f>IF($J641="","",INDEX(lista_dias,WEEKDAY($J641,2)))</f>
        <v/>
      </c>
      <c r="T641" s="24">
        <f>IF($J641="","",IFERROR(INDEX('CALENDARIO'!$C$15:$C$214,MATCH(TEXT($J641,"yyyy-mm-dd")&amp;"|"&amp;$Y641&amp;"|"&amp;$Z641,'CALENDARIO'!$G$15:$G$214,0)),IFERROR(INDEX('CALENDARIO'!$C$15:$C$214,MATCH(TEXT($J641,"yyyy-mm-dd")&amp;"|"&amp;$Y641&amp;"|",'CALENDARIO'!$G$15:$G$214,0)),IFERROR(INDEX('CALENDARIO'!$C$15:$C$214,MATCH(TEXT($J641,"yyyy-mm-dd")&amp;"||",'CALENDARIO'!$G$15:$G$214,0)),INDEX(patronHabil,WEEKDAY($J641,2))))))</f>
        <v/>
      </c>
      <c r="U641" s="24">
        <f>IF($I641="","",IFERROR(INDEX('CAT_TIPOS_OT'!$C$4:$C$23,MATCH($I641,'CAT_TIPOS_OT'!$A$4:$A$23,0)),"sin_clasificar"))</f>
        <v/>
      </c>
      <c r="V641" s="24">
        <f>IF($I641="","",IF(IFERROR(INDEX('CAT_TIPOS_OT'!$D$4:$D$23,MATCH($I641,'CAT_TIPOS_OT'!$A$4:$A$23,0)),"SIN CLASIFICAR")="","SIN CLASIFICAR",IFERROR(INDEX('CAT_TIPOS_OT'!$D$4:$D$23,MATCH($I641,'CAT_TIPOS_OT'!$A$4:$A$23,0)),"SIN CLASIFICAR")))</f>
        <v/>
      </c>
      <c r="W641" s="24">
        <f>IF($H641="","",IF(IFERROR(INDEX('CAT_ACTIVIDADES'!$F$4:$F$26,MATCH($H641,'CAT_ACTIVIDADES'!$A$4:$A$26,0)),"")=0,"",IFERROR(INDEX('CAT_ACTIVIDADES'!$F$4:$F$26,MATCH($H641,'CAT_ACTIVIDADES'!$A$4:$A$26,0)),"")))</f>
        <v/>
      </c>
      <c r="X641" s="24">
        <f>IF($F641="","",IFERROR(INDEX('CAT_CENTROS_COSTO'!$F$4:$F$28,MATCH($F641,'CAT_CENTROS_COSTO'!$A$4:$A$28,0)),"(sin catálogo)"))</f>
        <v/>
      </c>
      <c r="Y641" s="24">
        <f>IF($F641="","",IFERROR(INDEX('CAT_CENTROS_COSTO'!$D$4:$D$28,MATCH($F641,'CAT_CENTROS_COSTO'!$A$4:$A$28,0)),"(sin catálogo)"))</f>
        <v/>
      </c>
      <c r="Z641" s="24">
        <f>IF($F641="","",IF((IFERROR(INDEX('CAT_CENTROS_COSTO'!$E$4:$E$28,MATCH($F641,'CAT_CENTROS_COSTO'!$A$4:$A$28,0)),""))&lt;&gt;"",IFERROR(INDEX('CAT_CENTROS_COSTO'!$E$4:$E$28,MATCH($F641,'CAT_CENTROS_COSTO'!$A$4:$A$28,0)),""),$Y641))</f>
        <v/>
      </c>
      <c r="AA641" s="24">
        <f>IF($F641="","",IFERROR(INDEX('CAT_CENTROS_COSTO'!$G$4:$G$28,MATCH($F641,'CAT_CENTROS_COSTO'!$A$4:$A$28,0)),"(sin catálogo)"))</f>
        <v/>
      </c>
      <c r="AB641" s="24">
        <f>IF($G641="","",IFERROR(INDEX('CAT_PUESTOS'!$B$4:$B$23,MATCH($G641,'CAT_PUESTOS'!$A$4:$A$23,0)),"(sin catálogo)"))</f>
        <v/>
      </c>
      <c r="AC641" s="24">
        <f>IF($H641="","",IFERROR(INDEX('CAT_ACTIVIDADES'!$B$4:$B$26,MATCH($H641,'CAT_ACTIVIDADES'!$A$4:$A$26,0)),"(sin catálogo)"))</f>
        <v/>
      </c>
      <c r="AD641" s="26">
        <f>IF($J641="","",TODAY()-$J641)</f>
        <v/>
      </c>
      <c r="AE641" s="26">
        <f>IF($J641="","",IF($J641&lt;=TODAY(),COUNTIFS(cal_fechas,"&gt;="&amp;$J641,cal_fechas,"&lt;"&amp;TODAY(),cal_habil,"sí"),-COUNTIFS(cal_fechas,"&gt;="&amp;TODAY(),cal_fechas,"&lt;"&amp;$J641,cal_habil,"sí")))</f>
        <v/>
      </c>
      <c r="AF641" s="24">
        <f>IF($AE641="","",IF($AE641&lt;0,"FUTURO",IF($AE641&gt;p_dias_backlog_max,"BACKLOG","MES CORRIENTE")))</f>
        <v/>
      </c>
      <c r="AG641" s="24">
        <f>IF($AE641="",FALSE,AND($AE641&gt;p_dias_backlog_min,$AE641&lt;=p_dias_backlog_max))</f>
        <v/>
      </c>
      <c r="AH641" s="4" t="n"/>
      <c r="AI641" s="24">
        <f>IF($AH641="","",IF((IFERROR(INDEX('ASIGNACIONES'!$J$4:$J$451,MATCH($O641&amp;"|"&amp;$S641&amp;"|"&amp;$AH641,'ASIGNACIONES'!$N$4:$N$451,0)),""))=0,"",IFERROR(INDEX('ASIGNACIONES'!$J$4:$J$451,MATCH($O641&amp;"|"&amp;$S641&amp;"|"&amp;$AH641,'ASIGNACIONES'!$N$4:$N$451,0)),"")))</f>
        <v/>
      </c>
      <c r="AJ641" s="42">
        <f>IF($AH641="","",SUMIFS('ORDENES'!$M$4:$M$1203,'ORDENES'!$AH$4:$AH$1203,$AH641,'ORDENES'!$O$4:$O$1203,$O641,'ORDENES'!$S$4:$S$1203,$S641))</f>
        <v/>
      </c>
      <c r="AK641" s="42">
        <f>IF($AJ641="","",p_factor_productividad*IFERROR(INDEX('ASIGNACIONES'!$M$4:$M$451,MATCH($O641&amp;"|"&amp;$S641&amp;"|"&amp;$AH641,'ASIGNACIONES'!$N$4:$N$451,0)),0)-$AJ641)</f>
        <v/>
      </c>
      <c r="AL641" s="32">
        <f>IF($A641="","",IFERROR(INDEX('2_IMPORTAR_EJECUCION'!$F$9:$F$1208,MATCH($AU641,'2_IMPORTAR_EJECUCION'!$J$9:$J$1208,0)),0))</f>
        <v/>
      </c>
      <c r="AM641" s="32">
        <f>IF($A641="","",MAX(0,IFERROR(INDEX('2_IMPORTAR_EJECUCION'!$H$9:$H$1208,MATCH($AU641,'2_IMPORTAR_EJECUCION'!$J$9:$J$1208,0)),0)-$AL641))</f>
        <v/>
      </c>
      <c r="AN641" s="32">
        <f>IF($A641="","",$AL641+$AM641)</f>
        <v/>
      </c>
      <c r="AO641" s="24">
        <f>IF($A641="","",IF(OR((IFERROR(INDEX('CAT_ACTIVIDADES'!$D$4:$D$26,MATCH($H641,'CAT_ACTIVIDADES'!$A$4:$A$26,0)),""))=0,(IFERROR(INDEX('CAT_ACTIVIDADES'!$D$4:$D$26,MATCH($H641,'CAT_ACTIVIDADES'!$A$4:$A$26,0)),""))=""),"SIN CLASIFICAR",IFERROR(INDEX('CAT_ACTIVIDADES'!$D$4:$D$26,MATCH($H641,'CAT_ACTIVIDADES'!$A$4:$A$26,0)),"")))</f>
        <v/>
      </c>
      <c r="AP641" s="4" t="n"/>
      <c r="AQ641" s="4" t="n"/>
      <c r="AR641" s="4" t="n"/>
      <c r="AS641" s="24">
        <f>IF($AR641="","",HYPERLINK(p_ruta_base_checklists&amp;$AR641,"abrir"))</f>
        <v/>
      </c>
      <c r="AT641" s="4" t="n"/>
      <c r="AU641" s="24">
        <f>IF($A641="","",$A641&amp;IF($B641="","0010",$B641))</f>
        <v/>
      </c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41" t="n"/>
      <c r="K642" s="5" t="n"/>
      <c r="L642" s="18" t="n"/>
      <c r="M642" s="24">
        <f>IF($A642="","",IFERROR(INDEX('AJUSTES'!$B$4:$B$303,MATCH($AU642,'AJUSTES'!$A$4:$A$303,0)),IF($K642="","",$K642)))</f>
        <v/>
      </c>
      <c r="N642" s="24">
        <f>IF($A642="","",IFERROR(INDEX('CAT_ESTADOS_ERP'!$B$4:$B$22,MATCH(IFERROR(INDEX('2_IMPORTAR_EJECUCION'!$C$9:$C$1208,MATCH($AU642,'2_IMPORTAR_EJECUCION'!$J$9:$J$1208,0)),""),'CAT_ESTADOS_ERP'!$A$4:$A$22,0)),"Pendiente"))</f>
        <v/>
      </c>
      <c r="O642" s="24">
        <f>IF($J642="","",YEAR($J642+4-WEEKDAY($J642,2))&amp;"-S"&amp;TEXT(_xlfn.ISOWEEKNUM($J642),"00"))</f>
        <v/>
      </c>
      <c r="P642" s="24">
        <f>IF($J642="","",YEAR($J642))</f>
        <v/>
      </c>
      <c r="Q642" s="24">
        <f>IF($J642="","",MONTH($J642))</f>
        <v/>
      </c>
      <c r="R642" s="24">
        <f>IF($J642="","",$P642&amp;"-"&amp;TEXT($Q642,"00"))</f>
        <v/>
      </c>
      <c r="S642" s="24">
        <f>IF($J642="","",INDEX(lista_dias,WEEKDAY($J642,2)))</f>
        <v/>
      </c>
      <c r="T642" s="24">
        <f>IF($J642="","",IFERROR(INDEX('CALENDARIO'!$C$15:$C$214,MATCH(TEXT($J642,"yyyy-mm-dd")&amp;"|"&amp;$Y642&amp;"|"&amp;$Z642,'CALENDARIO'!$G$15:$G$214,0)),IFERROR(INDEX('CALENDARIO'!$C$15:$C$214,MATCH(TEXT($J642,"yyyy-mm-dd")&amp;"|"&amp;$Y642&amp;"|",'CALENDARIO'!$G$15:$G$214,0)),IFERROR(INDEX('CALENDARIO'!$C$15:$C$214,MATCH(TEXT($J642,"yyyy-mm-dd")&amp;"||",'CALENDARIO'!$G$15:$G$214,0)),INDEX(patronHabil,WEEKDAY($J642,2))))))</f>
        <v/>
      </c>
      <c r="U642" s="24">
        <f>IF($I642="","",IFERROR(INDEX('CAT_TIPOS_OT'!$C$4:$C$23,MATCH($I642,'CAT_TIPOS_OT'!$A$4:$A$23,0)),"sin_clasificar"))</f>
        <v/>
      </c>
      <c r="V642" s="24">
        <f>IF($I642="","",IF(IFERROR(INDEX('CAT_TIPOS_OT'!$D$4:$D$23,MATCH($I642,'CAT_TIPOS_OT'!$A$4:$A$23,0)),"SIN CLASIFICAR")="","SIN CLASIFICAR",IFERROR(INDEX('CAT_TIPOS_OT'!$D$4:$D$23,MATCH($I642,'CAT_TIPOS_OT'!$A$4:$A$23,0)),"SIN CLASIFICAR")))</f>
        <v/>
      </c>
      <c r="W642" s="24">
        <f>IF($H642="","",IF(IFERROR(INDEX('CAT_ACTIVIDADES'!$F$4:$F$26,MATCH($H642,'CAT_ACTIVIDADES'!$A$4:$A$26,0)),"")=0,"",IFERROR(INDEX('CAT_ACTIVIDADES'!$F$4:$F$26,MATCH($H642,'CAT_ACTIVIDADES'!$A$4:$A$26,0)),"")))</f>
        <v/>
      </c>
      <c r="X642" s="24">
        <f>IF($F642="","",IFERROR(INDEX('CAT_CENTROS_COSTO'!$F$4:$F$28,MATCH($F642,'CAT_CENTROS_COSTO'!$A$4:$A$28,0)),"(sin catálogo)"))</f>
        <v/>
      </c>
      <c r="Y642" s="24">
        <f>IF($F642="","",IFERROR(INDEX('CAT_CENTROS_COSTO'!$D$4:$D$28,MATCH($F642,'CAT_CENTROS_COSTO'!$A$4:$A$28,0)),"(sin catálogo)"))</f>
        <v/>
      </c>
      <c r="Z642" s="24">
        <f>IF($F642="","",IF((IFERROR(INDEX('CAT_CENTROS_COSTO'!$E$4:$E$28,MATCH($F642,'CAT_CENTROS_COSTO'!$A$4:$A$28,0)),""))&lt;&gt;"",IFERROR(INDEX('CAT_CENTROS_COSTO'!$E$4:$E$28,MATCH($F642,'CAT_CENTROS_COSTO'!$A$4:$A$28,0)),""),$Y642))</f>
        <v/>
      </c>
      <c r="AA642" s="24">
        <f>IF($F642="","",IFERROR(INDEX('CAT_CENTROS_COSTO'!$G$4:$G$28,MATCH($F642,'CAT_CENTROS_COSTO'!$A$4:$A$28,0)),"(sin catálogo)"))</f>
        <v/>
      </c>
      <c r="AB642" s="24">
        <f>IF($G642="","",IFERROR(INDEX('CAT_PUESTOS'!$B$4:$B$23,MATCH($G642,'CAT_PUESTOS'!$A$4:$A$23,0)),"(sin catálogo)"))</f>
        <v/>
      </c>
      <c r="AC642" s="24">
        <f>IF($H642="","",IFERROR(INDEX('CAT_ACTIVIDADES'!$B$4:$B$26,MATCH($H642,'CAT_ACTIVIDADES'!$A$4:$A$26,0)),"(sin catálogo)"))</f>
        <v/>
      </c>
      <c r="AD642" s="26">
        <f>IF($J642="","",TODAY()-$J642)</f>
        <v/>
      </c>
      <c r="AE642" s="26">
        <f>IF($J642="","",IF($J642&lt;=TODAY(),COUNTIFS(cal_fechas,"&gt;="&amp;$J642,cal_fechas,"&lt;"&amp;TODAY(),cal_habil,"sí"),-COUNTIFS(cal_fechas,"&gt;="&amp;TODAY(),cal_fechas,"&lt;"&amp;$J642,cal_habil,"sí")))</f>
        <v/>
      </c>
      <c r="AF642" s="24">
        <f>IF($AE642="","",IF($AE642&lt;0,"FUTURO",IF($AE642&gt;p_dias_backlog_max,"BACKLOG","MES CORRIENTE")))</f>
        <v/>
      </c>
      <c r="AG642" s="24">
        <f>IF($AE642="",FALSE,AND($AE642&gt;p_dias_backlog_min,$AE642&lt;=p_dias_backlog_max))</f>
        <v/>
      </c>
      <c r="AH642" s="4" t="n"/>
      <c r="AI642" s="24">
        <f>IF($AH642="","",IF((IFERROR(INDEX('ASIGNACIONES'!$J$4:$J$451,MATCH($O642&amp;"|"&amp;$S642&amp;"|"&amp;$AH642,'ASIGNACIONES'!$N$4:$N$451,0)),""))=0,"",IFERROR(INDEX('ASIGNACIONES'!$J$4:$J$451,MATCH($O642&amp;"|"&amp;$S642&amp;"|"&amp;$AH642,'ASIGNACIONES'!$N$4:$N$451,0)),"")))</f>
        <v/>
      </c>
      <c r="AJ642" s="42">
        <f>IF($AH642="","",SUMIFS('ORDENES'!$M$4:$M$1203,'ORDENES'!$AH$4:$AH$1203,$AH642,'ORDENES'!$O$4:$O$1203,$O642,'ORDENES'!$S$4:$S$1203,$S642))</f>
        <v/>
      </c>
      <c r="AK642" s="42">
        <f>IF($AJ642="","",p_factor_productividad*IFERROR(INDEX('ASIGNACIONES'!$M$4:$M$451,MATCH($O642&amp;"|"&amp;$S642&amp;"|"&amp;$AH642,'ASIGNACIONES'!$N$4:$N$451,0)),0)-$AJ642)</f>
        <v/>
      </c>
      <c r="AL642" s="32">
        <f>IF($A642="","",IFERROR(INDEX('2_IMPORTAR_EJECUCION'!$F$9:$F$1208,MATCH($AU642,'2_IMPORTAR_EJECUCION'!$J$9:$J$1208,0)),0))</f>
        <v/>
      </c>
      <c r="AM642" s="32">
        <f>IF($A642="","",MAX(0,IFERROR(INDEX('2_IMPORTAR_EJECUCION'!$H$9:$H$1208,MATCH($AU642,'2_IMPORTAR_EJECUCION'!$J$9:$J$1208,0)),0)-$AL642))</f>
        <v/>
      </c>
      <c r="AN642" s="32">
        <f>IF($A642="","",$AL642+$AM642)</f>
        <v/>
      </c>
      <c r="AO642" s="24">
        <f>IF($A642="","",IF(OR((IFERROR(INDEX('CAT_ACTIVIDADES'!$D$4:$D$26,MATCH($H642,'CAT_ACTIVIDADES'!$A$4:$A$26,0)),""))=0,(IFERROR(INDEX('CAT_ACTIVIDADES'!$D$4:$D$26,MATCH($H642,'CAT_ACTIVIDADES'!$A$4:$A$26,0)),""))=""),"SIN CLASIFICAR",IFERROR(INDEX('CAT_ACTIVIDADES'!$D$4:$D$26,MATCH($H642,'CAT_ACTIVIDADES'!$A$4:$A$26,0)),"")))</f>
        <v/>
      </c>
      <c r="AP642" s="4" t="n"/>
      <c r="AQ642" s="4" t="n"/>
      <c r="AR642" s="4" t="n"/>
      <c r="AS642" s="24">
        <f>IF($AR642="","",HYPERLINK(p_ruta_base_checklists&amp;$AR642,"abrir"))</f>
        <v/>
      </c>
      <c r="AT642" s="4" t="n"/>
      <c r="AU642" s="24">
        <f>IF($A642="","",$A642&amp;IF($B642="","0010",$B642))</f>
        <v/>
      </c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41" t="n"/>
      <c r="K643" s="5" t="n"/>
      <c r="L643" s="18" t="n"/>
      <c r="M643" s="24">
        <f>IF($A643="","",IFERROR(INDEX('AJUSTES'!$B$4:$B$303,MATCH($AU643,'AJUSTES'!$A$4:$A$303,0)),IF($K643="","",$K643)))</f>
        <v/>
      </c>
      <c r="N643" s="24">
        <f>IF($A643="","",IFERROR(INDEX('CAT_ESTADOS_ERP'!$B$4:$B$22,MATCH(IFERROR(INDEX('2_IMPORTAR_EJECUCION'!$C$9:$C$1208,MATCH($AU643,'2_IMPORTAR_EJECUCION'!$J$9:$J$1208,0)),""),'CAT_ESTADOS_ERP'!$A$4:$A$22,0)),"Pendiente"))</f>
        <v/>
      </c>
      <c r="O643" s="24">
        <f>IF($J643="","",YEAR($J643+4-WEEKDAY($J643,2))&amp;"-S"&amp;TEXT(_xlfn.ISOWEEKNUM($J643),"00"))</f>
        <v/>
      </c>
      <c r="P643" s="24">
        <f>IF($J643="","",YEAR($J643))</f>
        <v/>
      </c>
      <c r="Q643" s="24">
        <f>IF($J643="","",MONTH($J643))</f>
        <v/>
      </c>
      <c r="R643" s="24">
        <f>IF($J643="","",$P643&amp;"-"&amp;TEXT($Q643,"00"))</f>
        <v/>
      </c>
      <c r="S643" s="24">
        <f>IF($J643="","",INDEX(lista_dias,WEEKDAY($J643,2)))</f>
        <v/>
      </c>
      <c r="T643" s="24">
        <f>IF($J643="","",IFERROR(INDEX('CALENDARIO'!$C$15:$C$214,MATCH(TEXT($J643,"yyyy-mm-dd")&amp;"|"&amp;$Y643&amp;"|"&amp;$Z643,'CALENDARIO'!$G$15:$G$214,0)),IFERROR(INDEX('CALENDARIO'!$C$15:$C$214,MATCH(TEXT($J643,"yyyy-mm-dd")&amp;"|"&amp;$Y643&amp;"|",'CALENDARIO'!$G$15:$G$214,0)),IFERROR(INDEX('CALENDARIO'!$C$15:$C$214,MATCH(TEXT($J643,"yyyy-mm-dd")&amp;"||",'CALENDARIO'!$G$15:$G$214,0)),INDEX(patronHabil,WEEKDAY($J643,2))))))</f>
        <v/>
      </c>
      <c r="U643" s="24">
        <f>IF($I643="","",IFERROR(INDEX('CAT_TIPOS_OT'!$C$4:$C$23,MATCH($I643,'CAT_TIPOS_OT'!$A$4:$A$23,0)),"sin_clasificar"))</f>
        <v/>
      </c>
      <c r="V643" s="24">
        <f>IF($I643="","",IF(IFERROR(INDEX('CAT_TIPOS_OT'!$D$4:$D$23,MATCH($I643,'CAT_TIPOS_OT'!$A$4:$A$23,0)),"SIN CLASIFICAR")="","SIN CLASIFICAR",IFERROR(INDEX('CAT_TIPOS_OT'!$D$4:$D$23,MATCH($I643,'CAT_TIPOS_OT'!$A$4:$A$23,0)),"SIN CLASIFICAR")))</f>
        <v/>
      </c>
      <c r="W643" s="24">
        <f>IF($H643="","",IF(IFERROR(INDEX('CAT_ACTIVIDADES'!$F$4:$F$26,MATCH($H643,'CAT_ACTIVIDADES'!$A$4:$A$26,0)),"")=0,"",IFERROR(INDEX('CAT_ACTIVIDADES'!$F$4:$F$26,MATCH($H643,'CAT_ACTIVIDADES'!$A$4:$A$26,0)),"")))</f>
        <v/>
      </c>
      <c r="X643" s="24">
        <f>IF($F643="","",IFERROR(INDEX('CAT_CENTROS_COSTO'!$F$4:$F$28,MATCH($F643,'CAT_CENTROS_COSTO'!$A$4:$A$28,0)),"(sin catálogo)"))</f>
        <v/>
      </c>
      <c r="Y643" s="24">
        <f>IF($F643="","",IFERROR(INDEX('CAT_CENTROS_COSTO'!$D$4:$D$28,MATCH($F643,'CAT_CENTROS_COSTO'!$A$4:$A$28,0)),"(sin catálogo)"))</f>
        <v/>
      </c>
      <c r="Z643" s="24">
        <f>IF($F643="","",IF((IFERROR(INDEX('CAT_CENTROS_COSTO'!$E$4:$E$28,MATCH($F643,'CAT_CENTROS_COSTO'!$A$4:$A$28,0)),""))&lt;&gt;"",IFERROR(INDEX('CAT_CENTROS_COSTO'!$E$4:$E$28,MATCH($F643,'CAT_CENTROS_COSTO'!$A$4:$A$28,0)),""),$Y643))</f>
        <v/>
      </c>
      <c r="AA643" s="24">
        <f>IF($F643="","",IFERROR(INDEX('CAT_CENTROS_COSTO'!$G$4:$G$28,MATCH($F643,'CAT_CENTROS_COSTO'!$A$4:$A$28,0)),"(sin catálogo)"))</f>
        <v/>
      </c>
      <c r="AB643" s="24">
        <f>IF($G643="","",IFERROR(INDEX('CAT_PUESTOS'!$B$4:$B$23,MATCH($G643,'CAT_PUESTOS'!$A$4:$A$23,0)),"(sin catálogo)"))</f>
        <v/>
      </c>
      <c r="AC643" s="24">
        <f>IF($H643="","",IFERROR(INDEX('CAT_ACTIVIDADES'!$B$4:$B$26,MATCH($H643,'CAT_ACTIVIDADES'!$A$4:$A$26,0)),"(sin catálogo)"))</f>
        <v/>
      </c>
      <c r="AD643" s="26">
        <f>IF($J643="","",TODAY()-$J643)</f>
        <v/>
      </c>
      <c r="AE643" s="26">
        <f>IF($J643="","",IF($J643&lt;=TODAY(),COUNTIFS(cal_fechas,"&gt;="&amp;$J643,cal_fechas,"&lt;"&amp;TODAY(),cal_habil,"sí"),-COUNTIFS(cal_fechas,"&gt;="&amp;TODAY(),cal_fechas,"&lt;"&amp;$J643,cal_habil,"sí")))</f>
        <v/>
      </c>
      <c r="AF643" s="24">
        <f>IF($AE643="","",IF($AE643&lt;0,"FUTURO",IF($AE643&gt;p_dias_backlog_max,"BACKLOG","MES CORRIENTE")))</f>
        <v/>
      </c>
      <c r="AG643" s="24">
        <f>IF($AE643="",FALSE,AND($AE643&gt;p_dias_backlog_min,$AE643&lt;=p_dias_backlog_max))</f>
        <v/>
      </c>
      <c r="AH643" s="4" t="n"/>
      <c r="AI643" s="24">
        <f>IF($AH643="","",IF((IFERROR(INDEX('ASIGNACIONES'!$J$4:$J$451,MATCH($O643&amp;"|"&amp;$S643&amp;"|"&amp;$AH643,'ASIGNACIONES'!$N$4:$N$451,0)),""))=0,"",IFERROR(INDEX('ASIGNACIONES'!$J$4:$J$451,MATCH($O643&amp;"|"&amp;$S643&amp;"|"&amp;$AH643,'ASIGNACIONES'!$N$4:$N$451,0)),"")))</f>
        <v/>
      </c>
      <c r="AJ643" s="42">
        <f>IF($AH643="","",SUMIFS('ORDENES'!$M$4:$M$1203,'ORDENES'!$AH$4:$AH$1203,$AH643,'ORDENES'!$O$4:$O$1203,$O643,'ORDENES'!$S$4:$S$1203,$S643))</f>
        <v/>
      </c>
      <c r="AK643" s="42">
        <f>IF($AJ643="","",p_factor_productividad*IFERROR(INDEX('ASIGNACIONES'!$M$4:$M$451,MATCH($O643&amp;"|"&amp;$S643&amp;"|"&amp;$AH643,'ASIGNACIONES'!$N$4:$N$451,0)),0)-$AJ643)</f>
        <v/>
      </c>
      <c r="AL643" s="32">
        <f>IF($A643="","",IFERROR(INDEX('2_IMPORTAR_EJECUCION'!$F$9:$F$1208,MATCH($AU643,'2_IMPORTAR_EJECUCION'!$J$9:$J$1208,0)),0))</f>
        <v/>
      </c>
      <c r="AM643" s="32">
        <f>IF($A643="","",MAX(0,IFERROR(INDEX('2_IMPORTAR_EJECUCION'!$H$9:$H$1208,MATCH($AU643,'2_IMPORTAR_EJECUCION'!$J$9:$J$1208,0)),0)-$AL643))</f>
        <v/>
      </c>
      <c r="AN643" s="32">
        <f>IF($A643="","",$AL643+$AM643)</f>
        <v/>
      </c>
      <c r="AO643" s="24">
        <f>IF($A643="","",IF(OR((IFERROR(INDEX('CAT_ACTIVIDADES'!$D$4:$D$26,MATCH($H643,'CAT_ACTIVIDADES'!$A$4:$A$26,0)),""))=0,(IFERROR(INDEX('CAT_ACTIVIDADES'!$D$4:$D$26,MATCH($H643,'CAT_ACTIVIDADES'!$A$4:$A$26,0)),""))=""),"SIN CLASIFICAR",IFERROR(INDEX('CAT_ACTIVIDADES'!$D$4:$D$26,MATCH($H643,'CAT_ACTIVIDADES'!$A$4:$A$26,0)),"")))</f>
        <v/>
      </c>
      <c r="AP643" s="4" t="n"/>
      <c r="AQ643" s="4" t="n"/>
      <c r="AR643" s="4" t="n"/>
      <c r="AS643" s="24">
        <f>IF($AR643="","",HYPERLINK(p_ruta_base_checklists&amp;$AR643,"abrir"))</f>
        <v/>
      </c>
      <c r="AT643" s="4" t="n"/>
      <c r="AU643" s="24">
        <f>IF($A643="","",$A643&amp;IF($B643="","0010",$B643))</f>
        <v/>
      </c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41" t="n"/>
      <c r="K644" s="5" t="n"/>
      <c r="L644" s="18" t="n"/>
      <c r="M644" s="24">
        <f>IF($A644="","",IFERROR(INDEX('AJUSTES'!$B$4:$B$303,MATCH($AU644,'AJUSTES'!$A$4:$A$303,0)),IF($K644="","",$K644)))</f>
        <v/>
      </c>
      <c r="N644" s="24">
        <f>IF($A644="","",IFERROR(INDEX('CAT_ESTADOS_ERP'!$B$4:$B$22,MATCH(IFERROR(INDEX('2_IMPORTAR_EJECUCION'!$C$9:$C$1208,MATCH($AU644,'2_IMPORTAR_EJECUCION'!$J$9:$J$1208,0)),""),'CAT_ESTADOS_ERP'!$A$4:$A$22,0)),"Pendiente"))</f>
        <v/>
      </c>
      <c r="O644" s="24">
        <f>IF($J644="","",YEAR($J644+4-WEEKDAY($J644,2))&amp;"-S"&amp;TEXT(_xlfn.ISOWEEKNUM($J644),"00"))</f>
        <v/>
      </c>
      <c r="P644" s="24">
        <f>IF($J644="","",YEAR($J644))</f>
        <v/>
      </c>
      <c r="Q644" s="24">
        <f>IF($J644="","",MONTH($J644))</f>
        <v/>
      </c>
      <c r="R644" s="24">
        <f>IF($J644="","",$P644&amp;"-"&amp;TEXT($Q644,"00"))</f>
        <v/>
      </c>
      <c r="S644" s="24">
        <f>IF($J644="","",INDEX(lista_dias,WEEKDAY($J644,2)))</f>
        <v/>
      </c>
      <c r="T644" s="24">
        <f>IF($J644="","",IFERROR(INDEX('CALENDARIO'!$C$15:$C$214,MATCH(TEXT($J644,"yyyy-mm-dd")&amp;"|"&amp;$Y644&amp;"|"&amp;$Z644,'CALENDARIO'!$G$15:$G$214,0)),IFERROR(INDEX('CALENDARIO'!$C$15:$C$214,MATCH(TEXT($J644,"yyyy-mm-dd")&amp;"|"&amp;$Y644&amp;"|",'CALENDARIO'!$G$15:$G$214,0)),IFERROR(INDEX('CALENDARIO'!$C$15:$C$214,MATCH(TEXT($J644,"yyyy-mm-dd")&amp;"||",'CALENDARIO'!$G$15:$G$214,0)),INDEX(patronHabil,WEEKDAY($J644,2))))))</f>
        <v/>
      </c>
      <c r="U644" s="24">
        <f>IF($I644="","",IFERROR(INDEX('CAT_TIPOS_OT'!$C$4:$C$23,MATCH($I644,'CAT_TIPOS_OT'!$A$4:$A$23,0)),"sin_clasificar"))</f>
        <v/>
      </c>
      <c r="V644" s="24">
        <f>IF($I644="","",IF(IFERROR(INDEX('CAT_TIPOS_OT'!$D$4:$D$23,MATCH($I644,'CAT_TIPOS_OT'!$A$4:$A$23,0)),"SIN CLASIFICAR")="","SIN CLASIFICAR",IFERROR(INDEX('CAT_TIPOS_OT'!$D$4:$D$23,MATCH($I644,'CAT_TIPOS_OT'!$A$4:$A$23,0)),"SIN CLASIFICAR")))</f>
        <v/>
      </c>
      <c r="W644" s="24">
        <f>IF($H644="","",IF(IFERROR(INDEX('CAT_ACTIVIDADES'!$F$4:$F$26,MATCH($H644,'CAT_ACTIVIDADES'!$A$4:$A$26,0)),"")=0,"",IFERROR(INDEX('CAT_ACTIVIDADES'!$F$4:$F$26,MATCH($H644,'CAT_ACTIVIDADES'!$A$4:$A$26,0)),"")))</f>
        <v/>
      </c>
      <c r="X644" s="24">
        <f>IF($F644="","",IFERROR(INDEX('CAT_CENTROS_COSTO'!$F$4:$F$28,MATCH($F644,'CAT_CENTROS_COSTO'!$A$4:$A$28,0)),"(sin catálogo)"))</f>
        <v/>
      </c>
      <c r="Y644" s="24">
        <f>IF($F644="","",IFERROR(INDEX('CAT_CENTROS_COSTO'!$D$4:$D$28,MATCH($F644,'CAT_CENTROS_COSTO'!$A$4:$A$28,0)),"(sin catálogo)"))</f>
        <v/>
      </c>
      <c r="Z644" s="24">
        <f>IF($F644="","",IF((IFERROR(INDEX('CAT_CENTROS_COSTO'!$E$4:$E$28,MATCH($F644,'CAT_CENTROS_COSTO'!$A$4:$A$28,0)),""))&lt;&gt;"",IFERROR(INDEX('CAT_CENTROS_COSTO'!$E$4:$E$28,MATCH($F644,'CAT_CENTROS_COSTO'!$A$4:$A$28,0)),""),$Y644))</f>
        <v/>
      </c>
      <c r="AA644" s="24">
        <f>IF($F644="","",IFERROR(INDEX('CAT_CENTROS_COSTO'!$G$4:$G$28,MATCH($F644,'CAT_CENTROS_COSTO'!$A$4:$A$28,0)),"(sin catálogo)"))</f>
        <v/>
      </c>
      <c r="AB644" s="24">
        <f>IF($G644="","",IFERROR(INDEX('CAT_PUESTOS'!$B$4:$B$23,MATCH($G644,'CAT_PUESTOS'!$A$4:$A$23,0)),"(sin catálogo)"))</f>
        <v/>
      </c>
      <c r="AC644" s="24">
        <f>IF($H644="","",IFERROR(INDEX('CAT_ACTIVIDADES'!$B$4:$B$26,MATCH($H644,'CAT_ACTIVIDADES'!$A$4:$A$26,0)),"(sin catálogo)"))</f>
        <v/>
      </c>
      <c r="AD644" s="26">
        <f>IF($J644="","",TODAY()-$J644)</f>
        <v/>
      </c>
      <c r="AE644" s="26">
        <f>IF($J644="","",IF($J644&lt;=TODAY(),COUNTIFS(cal_fechas,"&gt;="&amp;$J644,cal_fechas,"&lt;"&amp;TODAY(),cal_habil,"sí"),-COUNTIFS(cal_fechas,"&gt;="&amp;TODAY(),cal_fechas,"&lt;"&amp;$J644,cal_habil,"sí")))</f>
        <v/>
      </c>
      <c r="AF644" s="24">
        <f>IF($AE644="","",IF($AE644&lt;0,"FUTURO",IF($AE644&gt;p_dias_backlog_max,"BACKLOG","MES CORRIENTE")))</f>
        <v/>
      </c>
      <c r="AG644" s="24">
        <f>IF($AE644="",FALSE,AND($AE644&gt;p_dias_backlog_min,$AE644&lt;=p_dias_backlog_max))</f>
        <v/>
      </c>
      <c r="AH644" s="4" t="n"/>
      <c r="AI644" s="24">
        <f>IF($AH644="","",IF((IFERROR(INDEX('ASIGNACIONES'!$J$4:$J$451,MATCH($O644&amp;"|"&amp;$S644&amp;"|"&amp;$AH644,'ASIGNACIONES'!$N$4:$N$451,0)),""))=0,"",IFERROR(INDEX('ASIGNACIONES'!$J$4:$J$451,MATCH($O644&amp;"|"&amp;$S644&amp;"|"&amp;$AH644,'ASIGNACIONES'!$N$4:$N$451,0)),"")))</f>
        <v/>
      </c>
      <c r="AJ644" s="42">
        <f>IF($AH644="","",SUMIFS('ORDENES'!$M$4:$M$1203,'ORDENES'!$AH$4:$AH$1203,$AH644,'ORDENES'!$O$4:$O$1203,$O644,'ORDENES'!$S$4:$S$1203,$S644))</f>
        <v/>
      </c>
      <c r="AK644" s="42">
        <f>IF($AJ644="","",p_factor_productividad*IFERROR(INDEX('ASIGNACIONES'!$M$4:$M$451,MATCH($O644&amp;"|"&amp;$S644&amp;"|"&amp;$AH644,'ASIGNACIONES'!$N$4:$N$451,0)),0)-$AJ644)</f>
        <v/>
      </c>
      <c r="AL644" s="32">
        <f>IF($A644="","",IFERROR(INDEX('2_IMPORTAR_EJECUCION'!$F$9:$F$1208,MATCH($AU644,'2_IMPORTAR_EJECUCION'!$J$9:$J$1208,0)),0))</f>
        <v/>
      </c>
      <c r="AM644" s="32">
        <f>IF($A644="","",MAX(0,IFERROR(INDEX('2_IMPORTAR_EJECUCION'!$H$9:$H$1208,MATCH($AU644,'2_IMPORTAR_EJECUCION'!$J$9:$J$1208,0)),0)-$AL644))</f>
        <v/>
      </c>
      <c r="AN644" s="32">
        <f>IF($A644="","",$AL644+$AM644)</f>
        <v/>
      </c>
      <c r="AO644" s="24">
        <f>IF($A644="","",IF(OR((IFERROR(INDEX('CAT_ACTIVIDADES'!$D$4:$D$26,MATCH($H644,'CAT_ACTIVIDADES'!$A$4:$A$26,0)),""))=0,(IFERROR(INDEX('CAT_ACTIVIDADES'!$D$4:$D$26,MATCH($H644,'CAT_ACTIVIDADES'!$A$4:$A$26,0)),""))=""),"SIN CLASIFICAR",IFERROR(INDEX('CAT_ACTIVIDADES'!$D$4:$D$26,MATCH($H644,'CAT_ACTIVIDADES'!$A$4:$A$26,0)),"")))</f>
        <v/>
      </c>
      <c r="AP644" s="4" t="n"/>
      <c r="AQ644" s="4" t="n"/>
      <c r="AR644" s="4" t="n"/>
      <c r="AS644" s="24">
        <f>IF($AR644="","",HYPERLINK(p_ruta_base_checklists&amp;$AR644,"abrir"))</f>
        <v/>
      </c>
      <c r="AT644" s="4" t="n"/>
      <c r="AU644" s="24">
        <f>IF($A644="","",$A644&amp;IF($B644="","0010",$B644))</f>
        <v/>
      </c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41" t="n"/>
      <c r="K645" s="5" t="n"/>
      <c r="L645" s="18" t="n"/>
      <c r="M645" s="24">
        <f>IF($A645="","",IFERROR(INDEX('AJUSTES'!$B$4:$B$303,MATCH($AU645,'AJUSTES'!$A$4:$A$303,0)),IF($K645="","",$K645)))</f>
        <v/>
      </c>
      <c r="N645" s="24">
        <f>IF($A645="","",IFERROR(INDEX('CAT_ESTADOS_ERP'!$B$4:$B$22,MATCH(IFERROR(INDEX('2_IMPORTAR_EJECUCION'!$C$9:$C$1208,MATCH($AU645,'2_IMPORTAR_EJECUCION'!$J$9:$J$1208,0)),""),'CAT_ESTADOS_ERP'!$A$4:$A$22,0)),"Pendiente"))</f>
        <v/>
      </c>
      <c r="O645" s="24">
        <f>IF($J645="","",YEAR($J645+4-WEEKDAY($J645,2))&amp;"-S"&amp;TEXT(_xlfn.ISOWEEKNUM($J645),"00"))</f>
        <v/>
      </c>
      <c r="P645" s="24">
        <f>IF($J645="","",YEAR($J645))</f>
        <v/>
      </c>
      <c r="Q645" s="24">
        <f>IF($J645="","",MONTH($J645))</f>
        <v/>
      </c>
      <c r="R645" s="24">
        <f>IF($J645="","",$P645&amp;"-"&amp;TEXT($Q645,"00"))</f>
        <v/>
      </c>
      <c r="S645" s="24">
        <f>IF($J645="","",INDEX(lista_dias,WEEKDAY($J645,2)))</f>
        <v/>
      </c>
      <c r="T645" s="24">
        <f>IF($J645="","",IFERROR(INDEX('CALENDARIO'!$C$15:$C$214,MATCH(TEXT($J645,"yyyy-mm-dd")&amp;"|"&amp;$Y645&amp;"|"&amp;$Z645,'CALENDARIO'!$G$15:$G$214,0)),IFERROR(INDEX('CALENDARIO'!$C$15:$C$214,MATCH(TEXT($J645,"yyyy-mm-dd")&amp;"|"&amp;$Y645&amp;"|",'CALENDARIO'!$G$15:$G$214,0)),IFERROR(INDEX('CALENDARIO'!$C$15:$C$214,MATCH(TEXT($J645,"yyyy-mm-dd")&amp;"||",'CALENDARIO'!$G$15:$G$214,0)),INDEX(patronHabil,WEEKDAY($J645,2))))))</f>
        <v/>
      </c>
      <c r="U645" s="24">
        <f>IF($I645="","",IFERROR(INDEX('CAT_TIPOS_OT'!$C$4:$C$23,MATCH($I645,'CAT_TIPOS_OT'!$A$4:$A$23,0)),"sin_clasificar"))</f>
        <v/>
      </c>
      <c r="V645" s="24">
        <f>IF($I645="","",IF(IFERROR(INDEX('CAT_TIPOS_OT'!$D$4:$D$23,MATCH($I645,'CAT_TIPOS_OT'!$A$4:$A$23,0)),"SIN CLASIFICAR")="","SIN CLASIFICAR",IFERROR(INDEX('CAT_TIPOS_OT'!$D$4:$D$23,MATCH($I645,'CAT_TIPOS_OT'!$A$4:$A$23,0)),"SIN CLASIFICAR")))</f>
        <v/>
      </c>
      <c r="W645" s="24">
        <f>IF($H645="","",IF(IFERROR(INDEX('CAT_ACTIVIDADES'!$F$4:$F$26,MATCH($H645,'CAT_ACTIVIDADES'!$A$4:$A$26,0)),"")=0,"",IFERROR(INDEX('CAT_ACTIVIDADES'!$F$4:$F$26,MATCH($H645,'CAT_ACTIVIDADES'!$A$4:$A$26,0)),"")))</f>
        <v/>
      </c>
      <c r="X645" s="24">
        <f>IF($F645="","",IFERROR(INDEX('CAT_CENTROS_COSTO'!$F$4:$F$28,MATCH($F645,'CAT_CENTROS_COSTO'!$A$4:$A$28,0)),"(sin catálogo)"))</f>
        <v/>
      </c>
      <c r="Y645" s="24">
        <f>IF($F645="","",IFERROR(INDEX('CAT_CENTROS_COSTO'!$D$4:$D$28,MATCH($F645,'CAT_CENTROS_COSTO'!$A$4:$A$28,0)),"(sin catálogo)"))</f>
        <v/>
      </c>
      <c r="Z645" s="24">
        <f>IF($F645="","",IF((IFERROR(INDEX('CAT_CENTROS_COSTO'!$E$4:$E$28,MATCH($F645,'CAT_CENTROS_COSTO'!$A$4:$A$28,0)),""))&lt;&gt;"",IFERROR(INDEX('CAT_CENTROS_COSTO'!$E$4:$E$28,MATCH($F645,'CAT_CENTROS_COSTO'!$A$4:$A$28,0)),""),$Y645))</f>
        <v/>
      </c>
      <c r="AA645" s="24">
        <f>IF($F645="","",IFERROR(INDEX('CAT_CENTROS_COSTO'!$G$4:$G$28,MATCH($F645,'CAT_CENTROS_COSTO'!$A$4:$A$28,0)),"(sin catálogo)"))</f>
        <v/>
      </c>
      <c r="AB645" s="24">
        <f>IF($G645="","",IFERROR(INDEX('CAT_PUESTOS'!$B$4:$B$23,MATCH($G645,'CAT_PUESTOS'!$A$4:$A$23,0)),"(sin catálogo)"))</f>
        <v/>
      </c>
      <c r="AC645" s="24">
        <f>IF($H645="","",IFERROR(INDEX('CAT_ACTIVIDADES'!$B$4:$B$26,MATCH($H645,'CAT_ACTIVIDADES'!$A$4:$A$26,0)),"(sin catálogo)"))</f>
        <v/>
      </c>
      <c r="AD645" s="26">
        <f>IF($J645="","",TODAY()-$J645)</f>
        <v/>
      </c>
      <c r="AE645" s="26">
        <f>IF($J645="","",IF($J645&lt;=TODAY(),COUNTIFS(cal_fechas,"&gt;="&amp;$J645,cal_fechas,"&lt;"&amp;TODAY(),cal_habil,"sí"),-COUNTIFS(cal_fechas,"&gt;="&amp;TODAY(),cal_fechas,"&lt;"&amp;$J645,cal_habil,"sí")))</f>
        <v/>
      </c>
      <c r="AF645" s="24">
        <f>IF($AE645="","",IF($AE645&lt;0,"FUTURO",IF($AE645&gt;p_dias_backlog_max,"BACKLOG","MES CORRIENTE")))</f>
        <v/>
      </c>
      <c r="AG645" s="24">
        <f>IF($AE645="",FALSE,AND($AE645&gt;p_dias_backlog_min,$AE645&lt;=p_dias_backlog_max))</f>
        <v/>
      </c>
      <c r="AH645" s="4" t="n"/>
      <c r="AI645" s="24">
        <f>IF($AH645="","",IF((IFERROR(INDEX('ASIGNACIONES'!$J$4:$J$451,MATCH($O645&amp;"|"&amp;$S645&amp;"|"&amp;$AH645,'ASIGNACIONES'!$N$4:$N$451,0)),""))=0,"",IFERROR(INDEX('ASIGNACIONES'!$J$4:$J$451,MATCH($O645&amp;"|"&amp;$S645&amp;"|"&amp;$AH645,'ASIGNACIONES'!$N$4:$N$451,0)),"")))</f>
        <v/>
      </c>
      <c r="AJ645" s="42">
        <f>IF($AH645="","",SUMIFS('ORDENES'!$M$4:$M$1203,'ORDENES'!$AH$4:$AH$1203,$AH645,'ORDENES'!$O$4:$O$1203,$O645,'ORDENES'!$S$4:$S$1203,$S645))</f>
        <v/>
      </c>
      <c r="AK645" s="42">
        <f>IF($AJ645="","",p_factor_productividad*IFERROR(INDEX('ASIGNACIONES'!$M$4:$M$451,MATCH($O645&amp;"|"&amp;$S645&amp;"|"&amp;$AH645,'ASIGNACIONES'!$N$4:$N$451,0)),0)-$AJ645)</f>
        <v/>
      </c>
      <c r="AL645" s="32">
        <f>IF($A645="","",IFERROR(INDEX('2_IMPORTAR_EJECUCION'!$F$9:$F$1208,MATCH($AU645,'2_IMPORTAR_EJECUCION'!$J$9:$J$1208,0)),0))</f>
        <v/>
      </c>
      <c r="AM645" s="32">
        <f>IF($A645="","",MAX(0,IFERROR(INDEX('2_IMPORTAR_EJECUCION'!$H$9:$H$1208,MATCH($AU645,'2_IMPORTAR_EJECUCION'!$J$9:$J$1208,0)),0)-$AL645))</f>
        <v/>
      </c>
      <c r="AN645" s="32">
        <f>IF($A645="","",$AL645+$AM645)</f>
        <v/>
      </c>
      <c r="AO645" s="24">
        <f>IF($A645="","",IF(OR((IFERROR(INDEX('CAT_ACTIVIDADES'!$D$4:$D$26,MATCH($H645,'CAT_ACTIVIDADES'!$A$4:$A$26,0)),""))=0,(IFERROR(INDEX('CAT_ACTIVIDADES'!$D$4:$D$26,MATCH($H645,'CAT_ACTIVIDADES'!$A$4:$A$26,0)),""))=""),"SIN CLASIFICAR",IFERROR(INDEX('CAT_ACTIVIDADES'!$D$4:$D$26,MATCH($H645,'CAT_ACTIVIDADES'!$A$4:$A$26,0)),"")))</f>
        <v/>
      </c>
      <c r="AP645" s="4" t="n"/>
      <c r="AQ645" s="4" t="n"/>
      <c r="AR645" s="4" t="n"/>
      <c r="AS645" s="24">
        <f>IF($AR645="","",HYPERLINK(p_ruta_base_checklists&amp;$AR645,"abrir"))</f>
        <v/>
      </c>
      <c r="AT645" s="4" t="n"/>
      <c r="AU645" s="24">
        <f>IF($A645="","",$A645&amp;IF($B645="","0010",$B645))</f>
        <v/>
      </c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41" t="n"/>
      <c r="K646" s="5" t="n"/>
      <c r="L646" s="18" t="n"/>
      <c r="M646" s="24">
        <f>IF($A646="","",IFERROR(INDEX('AJUSTES'!$B$4:$B$303,MATCH($AU646,'AJUSTES'!$A$4:$A$303,0)),IF($K646="","",$K646)))</f>
        <v/>
      </c>
      <c r="N646" s="24">
        <f>IF($A646="","",IFERROR(INDEX('CAT_ESTADOS_ERP'!$B$4:$B$22,MATCH(IFERROR(INDEX('2_IMPORTAR_EJECUCION'!$C$9:$C$1208,MATCH($AU646,'2_IMPORTAR_EJECUCION'!$J$9:$J$1208,0)),""),'CAT_ESTADOS_ERP'!$A$4:$A$22,0)),"Pendiente"))</f>
        <v/>
      </c>
      <c r="O646" s="24">
        <f>IF($J646="","",YEAR($J646+4-WEEKDAY($J646,2))&amp;"-S"&amp;TEXT(_xlfn.ISOWEEKNUM($J646),"00"))</f>
        <v/>
      </c>
      <c r="P646" s="24">
        <f>IF($J646="","",YEAR($J646))</f>
        <v/>
      </c>
      <c r="Q646" s="24">
        <f>IF($J646="","",MONTH($J646))</f>
        <v/>
      </c>
      <c r="R646" s="24">
        <f>IF($J646="","",$P646&amp;"-"&amp;TEXT($Q646,"00"))</f>
        <v/>
      </c>
      <c r="S646" s="24">
        <f>IF($J646="","",INDEX(lista_dias,WEEKDAY($J646,2)))</f>
        <v/>
      </c>
      <c r="T646" s="24">
        <f>IF($J646="","",IFERROR(INDEX('CALENDARIO'!$C$15:$C$214,MATCH(TEXT($J646,"yyyy-mm-dd")&amp;"|"&amp;$Y646&amp;"|"&amp;$Z646,'CALENDARIO'!$G$15:$G$214,0)),IFERROR(INDEX('CALENDARIO'!$C$15:$C$214,MATCH(TEXT($J646,"yyyy-mm-dd")&amp;"|"&amp;$Y646&amp;"|",'CALENDARIO'!$G$15:$G$214,0)),IFERROR(INDEX('CALENDARIO'!$C$15:$C$214,MATCH(TEXT($J646,"yyyy-mm-dd")&amp;"||",'CALENDARIO'!$G$15:$G$214,0)),INDEX(patronHabil,WEEKDAY($J646,2))))))</f>
        <v/>
      </c>
      <c r="U646" s="24">
        <f>IF($I646="","",IFERROR(INDEX('CAT_TIPOS_OT'!$C$4:$C$23,MATCH($I646,'CAT_TIPOS_OT'!$A$4:$A$23,0)),"sin_clasificar"))</f>
        <v/>
      </c>
      <c r="V646" s="24">
        <f>IF($I646="","",IF(IFERROR(INDEX('CAT_TIPOS_OT'!$D$4:$D$23,MATCH($I646,'CAT_TIPOS_OT'!$A$4:$A$23,0)),"SIN CLASIFICAR")="","SIN CLASIFICAR",IFERROR(INDEX('CAT_TIPOS_OT'!$D$4:$D$23,MATCH($I646,'CAT_TIPOS_OT'!$A$4:$A$23,0)),"SIN CLASIFICAR")))</f>
        <v/>
      </c>
      <c r="W646" s="24">
        <f>IF($H646="","",IF(IFERROR(INDEX('CAT_ACTIVIDADES'!$F$4:$F$26,MATCH($H646,'CAT_ACTIVIDADES'!$A$4:$A$26,0)),"")=0,"",IFERROR(INDEX('CAT_ACTIVIDADES'!$F$4:$F$26,MATCH($H646,'CAT_ACTIVIDADES'!$A$4:$A$26,0)),"")))</f>
        <v/>
      </c>
      <c r="X646" s="24">
        <f>IF($F646="","",IFERROR(INDEX('CAT_CENTROS_COSTO'!$F$4:$F$28,MATCH($F646,'CAT_CENTROS_COSTO'!$A$4:$A$28,0)),"(sin catálogo)"))</f>
        <v/>
      </c>
      <c r="Y646" s="24">
        <f>IF($F646="","",IFERROR(INDEX('CAT_CENTROS_COSTO'!$D$4:$D$28,MATCH($F646,'CAT_CENTROS_COSTO'!$A$4:$A$28,0)),"(sin catálogo)"))</f>
        <v/>
      </c>
      <c r="Z646" s="24">
        <f>IF($F646="","",IF((IFERROR(INDEX('CAT_CENTROS_COSTO'!$E$4:$E$28,MATCH($F646,'CAT_CENTROS_COSTO'!$A$4:$A$28,0)),""))&lt;&gt;"",IFERROR(INDEX('CAT_CENTROS_COSTO'!$E$4:$E$28,MATCH($F646,'CAT_CENTROS_COSTO'!$A$4:$A$28,0)),""),$Y646))</f>
        <v/>
      </c>
      <c r="AA646" s="24">
        <f>IF($F646="","",IFERROR(INDEX('CAT_CENTROS_COSTO'!$G$4:$G$28,MATCH($F646,'CAT_CENTROS_COSTO'!$A$4:$A$28,0)),"(sin catálogo)"))</f>
        <v/>
      </c>
      <c r="AB646" s="24">
        <f>IF($G646="","",IFERROR(INDEX('CAT_PUESTOS'!$B$4:$B$23,MATCH($G646,'CAT_PUESTOS'!$A$4:$A$23,0)),"(sin catálogo)"))</f>
        <v/>
      </c>
      <c r="AC646" s="24">
        <f>IF($H646="","",IFERROR(INDEX('CAT_ACTIVIDADES'!$B$4:$B$26,MATCH($H646,'CAT_ACTIVIDADES'!$A$4:$A$26,0)),"(sin catálogo)"))</f>
        <v/>
      </c>
      <c r="AD646" s="26">
        <f>IF($J646="","",TODAY()-$J646)</f>
        <v/>
      </c>
      <c r="AE646" s="26">
        <f>IF($J646="","",IF($J646&lt;=TODAY(),COUNTIFS(cal_fechas,"&gt;="&amp;$J646,cal_fechas,"&lt;"&amp;TODAY(),cal_habil,"sí"),-COUNTIFS(cal_fechas,"&gt;="&amp;TODAY(),cal_fechas,"&lt;"&amp;$J646,cal_habil,"sí")))</f>
        <v/>
      </c>
      <c r="AF646" s="24">
        <f>IF($AE646="","",IF($AE646&lt;0,"FUTURO",IF($AE646&gt;p_dias_backlog_max,"BACKLOG","MES CORRIENTE")))</f>
        <v/>
      </c>
      <c r="AG646" s="24">
        <f>IF($AE646="",FALSE,AND($AE646&gt;p_dias_backlog_min,$AE646&lt;=p_dias_backlog_max))</f>
        <v/>
      </c>
      <c r="AH646" s="4" t="n"/>
      <c r="AI646" s="24">
        <f>IF($AH646="","",IF((IFERROR(INDEX('ASIGNACIONES'!$J$4:$J$451,MATCH($O646&amp;"|"&amp;$S646&amp;"|"&amp;$AH646,'ASIGNACIONES'!$N$4:$N$451,0)),""))=0,"",IFERROR(INDEX('ASIGNACIONES'!$J$4:$J$451,MATCH($O646&amp;"|"&amp;$S646&amp;"|"&amp;$AH646,'ASIGNACIONES'!$N$4:$N$451,0)),"")))</f>
        <v/>
      </c>
      <c r="AJ646" s="42">
        <f>IF($AH646="","",SUMIFS('ORDENES'!$M$4:$M$1203,'ORDENES'!$AH$4:$AH$1203,$AH646,'ORDENES'!$O$4:$O$1203,$O646,'ORDENES'!$S$4:$S$1203,$S646))</f>
        <v/>
      </c>
      <c r="AK646" s="42">
        <f>IF($AJ646="","",p_factor_productividad*IFERROR(INDEX('ASIGNACIONES'!$M$4:$M$451,MATCH($O646&amp;"|"&amp;$S646&amp;"|"&amp;$AH646,'ASIGNACIONES'!$N$4:$N$451,0)),0)-$AJ646)</f>
        <v/>
      </c>
      <c r="AL646" s="32">
        <f>IF($A646="","",IFERROR(INDEX('2_IMPORTAR_EJECUCION'!$F$9:$F$1208,MATCH($AU646,'2_IMPORTAR_EJECUCION'!$J$9:$J$1208,0)),0))</f>
        <v/>
      </c>
      <c r="AM646" s="32">
        <f>IF($A646="","",MAX(0,IFERROR(INDEX('2_IMPORTAR_EJECUCION'!$H$9:$H$1208,MATCH($AU646,'2_IMPORTAR_EJECUCION'!$J$9:$J$1208,0)),0)-$AL646))</f>
        <v/>
      </c>
      <c r="AN646" s="32">
        <f>IF($A646="","",$AL646+$AM646)</f>
        <v/>
      </c>
      <c r="AO646" s="24">
        <f>IF($A646="","",IF(OR((IFERROR(INDEX('CAT_ACTIVIDADES'!$D$4:$D$26,MATCH($H646,'CAT_ACTIVIDADES'!$A$4:$A$26,0)),""))=0,(IFERROR(INDEX('CAT_ACTIVIDADES'!$D$4:$D$26,MATCH($H646,'CAT_ACTIVIDADES'!$A$4:$A$26,0)),""))=""),"SIN CLASIFICAR",IFERROR(INDEX('CAT_ACTIVIDADES'!$D$4:$D$26,MATCH($H646,'CAT_ACTIVIDADES'!$A$4:$A$26,0)),"")))</f>
        <v/>
      </c>
      <c r="AP646" s="4" t="n"/>
      <c r="AQ646" s="4" t="n"/>
      <c r="AR646" s="4" t="n"/>
      <c r="AS646" s="24">
        <f>IF($AR646="","",HYPERLINK(p_ruta_base_checklists&amp;$AR646,"abrir"))</f>
        <v/>
      </c>
      <c r="AT646" s="4" t="n"/>
      <c r="AU646" s="24">
        <f>IF($A646="","",$A646&amp;IF($B646="","0010",$B646))</f>
        <v/>
      </c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41" t="n"/>
      <c r="K647" s="5" t="n"/>
      <c r="L647" s="18" t="n"/>
      <c r="M647" s="24">
        <f>IF($A647="","",IFERROR(INDEX('AJUSTES'!$B$4:$B$303,MATCH($AU647,'AJUSTES'!$A$4:$A$303,0)),IF($K647="","",$K647)))</f>
        <v/>
      </c>
      <c r="N647" s="24">
        <f>IF($A647="","",IFERROR(INDEX('CAT_ESTADOS_ERP'!$B$4:$B$22,MATCH(IFERROR(INDEX('2_IMPORTAR_EJECUCION'!$C$9:$C$1208,MATCH($AU647,'2_IMPORTAR_EJECUCION'!$J$9:$J$1208,0)),""),'CAT_ESTADOS_ERP'!$A$4:$A$22,0)),"Pendiente"))</f>
        <v/>
      </c>
      <c r="O647" s="24">
        <f>IF($J647="","",YEAR($J647+4-WEEKDAY($J647,2))&amp;"-S"&amp;TEXT(_xlfn.ISOWEEKNUM($J647),"00"))</f>
        <v/>
      </c>
      <c r="P647" s="24">
        <f>IF($J647="","",YEAR($J647))</f>
        <v/>
      </c>
      <c r="Q647" s="24">
        <f>IF($J647="","",MONTH($J647))</f>
        <v/>
      </c>
      <c r="R647" s="24">
        <f>IF($J647="","",$P647&amp;"-"&amp;TEXT($Q647,"00"))</f>
        <v/>
      </c>
      <c r="S647" s="24">
        <f>IF($J647="","",INDEX(lista_dias,WEEKDAY($J647,2)))</f>
        <v/>
      </c>
      <c r="T647" s="24">
        <f>IF($J647="","",IFERROR(INDEX('CALENDARIO'!$C$15:$C$214,MATCH(TEXT($J647,"yyyy-mm-dd")&amp;"|"&amp;$Y647&amp;"|"&amp;$Z647,'CALENDARIO'!$G$15:$G$214,0)),IFERROR(INDEX('CALENDARIO'!$C$15:$C$214,MATCH(TEXT($J647,"yyyy-mm-dd")&amp;"|"&amp;$Y647&amp;"|",'CALENDARIO'!$G$15:$G$214,0)),IFERROR(INDEX('CALENDARIO'!$C$15:$C$214,MATCH(TEXT($J647,"yyyy-mm-dd")&amp;"||",'CALENDARIO'!$G$15:$G$214,0)),INDEX(patronHabil,WEEKDAY($J647,2))))))</f>
        <v/>
      </c>
      <c r="U647" s="24">
        <f>IF($I647="","",IFERROR(INDEX('CAT_TIPOS_OT'!$C$4:$C$23,MATCH($I647,'CAT_TIPOS_OT'!$A$4:$A$23,0)),"sin_clasificar"))</f>
        <v/>
      </c>
      <c r="V647" s="24">
        <f>IF($I647="","",IF(IFERROR(INDEX('CAT_TIPOS_OT'!$D$4:$D$23,MATCH($I647,'CAT_TIPOS_OT'!$A$4:$A$23,0)),"SIN CLASIFICAR")="","SIN CLASIFICAR",IFERROR(INDEX('CAT_TIPOS_OT'!$D$4:$D$23,MATCH($I647,'CAT_TIPOS_OT'!$A$4:$A$23,0)),"SIN CLASIFICAR")))</f>
        <v/>
      </c>
      <c r="W647" s="24">
        <f>IF($H647="","",IF(IFERROR(INDEX('CAT_ACTIVIDADES'!$F$4:$F$26,MATCH($H647,'CAT_ACTIVIDADES'!$A$4:$A$26,0)),"")=0,"",IFERROR(INDEX('CAT_ACTIVIDADES'!$F$4:$F$26,MATCH($H647,'CAT_ACTIVIDADES'!$A$4:$A$26,0)),"")))</f>
        <v/>
      </c>
      <c r="X647" s="24">
        <f>IF($F647="","",IFERROR(INDEX('CAT_CENTROS_COSTO'!$F$4:$F$28,MATCH($F647,'CAT_CENTROS_COSTO'!$A$4:$A$28,0)),"(sin catálogo)"))</f>
        <v/>
      </c>
      <c r="Y647" s="24">
        <f>IF($F647="","",IFERROR(INDEX('CAT_CENTROS_COSTO'!$D$4:$D$28,MATCH($F647,'CAT_CENTROS_COSTO'!$A$4:$A$28,0)),"(sin catálogo)"))</f>
        <v/>
      </c>
      <c r="Z647" s="24">
        <f>IF($F647="","",IF((IFERROR(INDEX('CAT_CENTROS_COSTO'!$E$4:$E$28,MATCH($F647,'CAT_CENTROS_COSTO'!$A$4:$A$28,0)),""))&lt;&gt;"",IFERROR(INDEX('CAT_CENTROS_COSTO'!$E$4:$E$28,MATCH($F647,'CAT_CENTROS_COSTO'!$A$4:$A$28,0)),""),$Y647))</f>
        <v/>
      </c>
      <c r="AA647" s="24">
        <f>IF($F647="","",IFERROR(INDEX('CAT_CENTROS_COSTO'!$G$4:$G$28,MATCH($F647,'CAT_CENTROS_COSTO'!$A$4:$A$28,0)),"(sin catálogo)"))</f>
        <v/>
      </c>
      <c r="AB647" s="24">
        <f>IF($G647="","",IFERROR(INDEX('CAT_PUESTOS'!$B$4:$B$23,MATCH($G647,'CAT_PUESTOS'!$A$4:$A$23,0)),"(sin catálogo)"))</f>
        <v/>
      </c>
      <c r="AC647" s="24">
        <f>IF($H647="","",IFERROR(INDEX('CAT_ACTIVIDADES'!$B$4:$B$26,MATCH($H647,'CAT_ACTIVIDADES'!$A$4:$A$26,0)),"(sin catálogo)"))</f>
        <v/>
      </c>
      <c r="AD647" s="26">
        <f>IF($J647="","",TODAY()-$J647)</f>
        <v/>
      </c>
      <c r="AE647" s="26">
        <f>IF($J647="","",IF($J647&lt;=TODAY(),COUNTIFS(cal_fechas,"&gt;="&amp;$J647,cal_fechas,"&lt;"&amp;TODAY(),cal_habil,"sí"),-COUNTIFS(cal_fechas,"&gt;="&amp;TODAY(),cal_fechas,"&lt;"&amp;$J647,cal_habil,"sí")))</f>
        <v/>
      </c>
      <c r="AF647" s="24">
        <f>IF($AE647="","",IF($AE647&lt;0,"FUTURO",IF($AE647&gt;p_dias_backlog_max,"BACKLOG","MES CORRIENTE")))</f>
        <v/>
      </c>
      <c r="AG647" s="24">
        <f>IF($AE647="",FALSE,AND($AE647&gt;p_dias_backlog_min,$AE647&lt;=p_dias_backlog_max))</f>
        <v/>
      </c>
      <c r="AH647" s="4" t="n"/>
      <c r="AI647" s="24">
        <f>IF($AH647="","",IF((IFERROR(INDEX('ASIGNACIONES'!$J$4:$J$451,MATCH($O647&amp;"|"&amp;$S647&amp;"|"&amp;$AH647,'ASIGNACIONES'!$N$4:$N$451,0)),""))=0,"",IFERROR(INDEX('ASIGNACIONES'!$J$4:$J$451,MATCH($O647&amp;"|"&amp;$S647&amp;"|"&amp;$AH647,'ASIGNACIONES'!$N$4:$N$451,0)),"")))</f>
        <v/>
      </c>
      <c r="AJ647" s="42">
        <f>IF($AH647="","",SUMIFS('ORDENES'!$M$4:$M$1203,'ORDENES'!$AH$4:$AH$1203,$AH647,'ORDENES'!$O$4:$O$1203,$O647,'ORDENES'!$S$4:$S$1203,$S647))</f>
        <v/>
      </c>
      <c r="AK647" s="42">
        <f>IF($AJ647="","",p_factor_productividad*IFERROR(INDEX('ASIGNACIONES'!$M$4:$M$451,MATCH($O647&amp;"|"&amp;$S647&amp;"|"&amp;$AH647,'ASIGNACIONES'!$N$4:$N$451,0)),0)-$AJ647)</f>
        <v/>
      </c>
      <c r="AL647" s="32">
        <f>IF($A647="","",IFERROR(INDEX('2_IMPORTAR_EJECUCION'!$F$9:$F$1208,MATCH($AU647,'2_IMPORTAR_EJECUCION'!$J$9:$J$1208,0)),0))</f>
        <v/>
      </c>
      <c r="AM647" s="32">
        <f>IF($A647="","",MAX(0,IFERROR(INDEX('2_IMPORTAR_EJECUCION'!$H$9:$H$1208,MATCH($AU647,'2_IMPORTAR_EJECUCION'!$J$9:$J$1208,0)),0)-$AL647))</f>
        <v/>
      </c>
      <c r="AN647" s="32">
        <f>IF($A647="","",$AL647+$AM647)</f>
        <v/>
      </c>
      <c r="AO647" s="24">
        <f>IF($A647="","",IF(OR((IFERROR(INDEX('CAT_ACTIVIDADES'!$D$4:$D$26,MATCH($H647,'CAT_ACTIVIDADES'!$A$4:$A$26,0)),""))=0,(IFERROR(INDEX('CAT_ACTIVIDADES'!$D$4:$D$26,MATCH($H647,'CAT_ACTIVIDADES'!$A$4:$A$26,0)),""))=""),"SIN CLASIFICAR",IFERROR(INDEX('CAT_ACTIVIDADES'!$D$4:$D$26,MATCH($H647,'CAT_ACTIVIDADES'!$A$4:$A$26,0)),"")))</f>
        <v/>
      </c>
      <c r="AP647" s="4" t="n"/>
      <c r="AQ647" s="4" t="n"/>
      <c r="AR647" s="4" t="n"/>
      <c r="AS647" s="24">
        <f>IF($AR647="","",HYPERLINK(p_ruta_base_checklists&amp;$AR647,"abrir"))</f>
        <v/>
      </c>
      <c r="AT647" s="4" t="n"/>
      <c r="AU647" s="24">
        <f>IF($A647="","",$A647&amp;IF($B647="","0010",$B647))</f>
        <v/>
      </c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41" t="n"/>
      <c r="K648" s="5" t="n"/>
      <c r="L648" s="18" t="n"/>
      <c r="M648" s="24">
        <f>IF($A648="","",IFERROR(INDEX('AJUSTES'!$B$4:$B$303,MATCH($AU648,'AJUSTES'!$A$4:$A$303,0)),IF($K648="","",$K648)))</f>
        <v/>
      </c>
      <c r="N648" s="24">
        <f>IF($A648="","",IFERROR(INDEX('CAT_ESTADOS_ERP'!$B$4:$B$22,MATCH(IFERROR(INDEX('2_IMPORTAR_EJECUCION'!$C$9:$C$1208,MATCH($AU648,'2_IMPORTAR_EJECUCION'!$J$9:$J$1208,0)),""),'CAT_ESTADOS_ERP'!$A$4:$A$22,0)),"Pendiente"))</f>
        <v/>
      </c>
      <c r="O648" s="24">
        <f>IF($J648="","",YEAR($J648+4-WEEKDAY($J648,2))&amp;"-S"&amp;TEXT(_xlfn.ISOWEEKNUM($J648),"00"))</f>
        <v/>
      </c>
      <c r="P648" s="24">
        <f>IF($J648="","",YEAR($J648))</f>
        <v/>
      </c>
      <c r="Q648" s="24">
        <f>IF($J648="","",MONTH($J648))</f>
        <v/>
      </c>
      <c r="R648" s="24">
        <f>IF($J648="","",$P648&amp;"-"&amp;TEXT($Q648,"00"))</f>
        <v/>
      </c>
      <c r="S648" s="24">
        <f>IF($J648="","",INDEX(lista_dias,WEEKDAY($J648,2)))</f>
        <v/>
      </c>
      <c r="T648" s="24">
        <f>IF($J648="","",IFERROR(INDEX('CALENDARIO'!$C$15:$C$214,MATCH(TEXT($J648,"yyyy-mm-dd")&amp;"|"&amp;$Y648&amp;"|"&amp;$Z648,'CALENDARIO'!$G$15:$G$214,0)),IFERROR(INDEX('CALENDARIO'!$C$15:$C$214,MATCH(TEXT($J648,"yyyy-mm-dd")&amp;"|"&amp;$Y648&amp;"|",'CALENDARIO'!$G$15:$G$214,0)),IFERROR(INDEX('CALENDARIO'!$C$15:$C$214,MATCH(TEXT($J648,"yyyy-mm-dd")&amp;"||",'CALENDARIO'!$G$15:$G$214,0)),INDEX(patronHabil,WEEKDAY($J648,2))))))</f>
        <v/>
      </c>
      <c r="U648" s="24">
        <f>IF($I648="","",IFERROR(INDEX('CAT_TIPOS_OT'!$C$4:$C$23,MATCH($I648,'CAT_TIPOS_OT'!$A$4:$A$23,0)),"sin_clasificar"))</f>
        <v/>
      </c>
      <c r="V648" s="24">
        <f>IF($I648="","",IF(IFERROR(INDEX('CAT_TIPOS_OT'!$D$4:$D$23,MATCH($I648,'CAT_TIPOS_OT'!$A$4:$A$23,0)),"SIN CLASIFICAR")="","SIN CLASIFICAR",IFERROR(INDEX('CAT_TIPOS_OT'!$D$4:$D$23,MATCH($I648,'CAT_TIPOS_OT'!$A$4:$A$23,0)),"SIN CLASIFICAR")))</f>
        <v/>
      </c>
      <c r="W648" s="24">
        <f>IF($H648="","",IF(IFERROR(INDEX('CAT_ACTIVIDADES'!$F$4:$F$26,MATCH($H648,'CAT_ACTIVIDADES'!$A$4:$A$26,0)),"")=0,"",IFERROR(INDEX('CAT_ACTIVIDADES'!$F$4:$F$26,MATCH($H648,'CAT_ACTIVIDADES'!$A$4:$A$26,0)),"")))</f>
        <v/>
      </c>
      <c r="X648" s="24">
        <f>IF($F648="","",IFERROR(INDEX('CAT_CENTROS_COSTO'!$F$4:$F$28,MATCH($F648,'CAT_CENTROS_COSTO'!$A$4:$A$28,0)),"(sin catálogo)"))</f>
        <v/>
      </c>
      <c r="Y648" s="24">
        <f>IF($F648="","",IFERROR(INDEX('CAT_CENTROS_COSTO'!$D$4:$D$28,MATCH($F648,'CAT_CENTROS_COSTO'!$A$4:$A$28,0)),"(sin catálogo)"))</f>
        <v/>
      </c>
      <c r="Z648" s="24">
        <f>IF($F648="","",IF((IFERROR(INDEX('CAT_CENTROS_COSTO'!$E$4:$E$28,MATCH($F648,'CAT_CENTROS_COSTO'!$A$4:$A$28,0)),""))&lt;&gt;"",IFERROR(INDEX('CAT_CENTROS_COSTO'!$E$4:$E$28,MATCH($F648,'CAT_CENTROS_COSTO'!$A$4:$A$28,0)),""),$Y648))</f>
        <v/>
      </c>
      <c r="AA648" s="24">
        <f>IF($F648="","",IFERROR(INDEX('CAT_CENTROS_COSTO'!$G$4:$G$28,MATCH($F648,'CAT_CENTROS_COSTO'!$A$4:$A$28,0)),"(sin catálogo)"))</f>
        <v/>
      </c>
      <c r="AB648" s="24">
        <f>IF($G648="","",IFERROR(INDEX('CAT_PUESTOS'!$B$4:$B$23,MATCH($G648,'CAT_PUESTOS'!$A$4:$A$23,0)),"(sin catálogo)"))</f>
        <v/>
      </c>
      <c r="AC648" s="24">
        <f>IF($H648="","",IFERROR(INDEX('CAT_ACTIVIDADES'!$B$4:$B$26,MATCH($H648,'CAT_ACTIVIDADES'!$A$4:$A$26,0)),"(sin catálogo)"))</f>
        <v/>
      </c>
      <c r="AD648" s="26">
        <f>IF($J648="","",TODAY()-$J648)</f>
        <v/>
      </c>
      <c r="AE648" s="26">
        <f>IF($J648="","",IF($J648&lt;=TODAY(),COUNTIFS(cal_fechas,"&gt;="&amp;$J648,cal_fechas,"&lt;"&amp;TODAY(),cal_habil,"sí"),-COUNTIFS(cal_fechas,"&gt;="&amp;TODAY(),cal_fechas,"&lt;"&amp;$J648,cal_habil,"sí")))</f>
        <v/>
      </c>
      <c r="AF648" s="24">
        <f>IF($AE648="","",IF($AE648&lt;0,"FUTURO",IF($AE648&gt;p_dias_backlog_max,"BACKLOG","MES CORRIENTE")))</f>
        <v/>
      </c>
      <c r="AG648" s="24">
        <f>IF($AE648="",FALSE,AND($AE648&gt;p_dias_backlog_min,$AE648&lt;=p_dias_backlog_max))</f>
        <v/>
      </c>
      <c r="AH648" s="4" t="n"/>
      <c r="AI648" s="24">
        <f>IF($AH648="","",IF((IFERROR(INDEX('ASIGNACIONES'!$J$4:$J$451,MATCH($O648&amp;"|"&amp;$S648&amp;"|"&amp;$AH648,'ASIGNACIONES'!$N$4:$N$451,0)),""))=0,"",IFERROR(INDEX('ASIGNACIONES'!$J$4:$J$451,MATCH($O648&amp;"|"&amp;$S648&amp;"|"&amp;$AH648,'ASIGNACIONES'!$N$4:$N$451,0)),"")))</f>
        <v/>
      </c>
      <c r="AJ648" s="42">
        <f>IF($AH648="","",SUMIFS('ORDENES'!$M$4:$M$1203,'ORDENES'!$AH$4:$AH$1203,$AH648,'ORDENES'!$O$4:$O$1203,$O648,'ORDENES'!$S$4:$S$1203,$S648))</f>
        <v/>
      </c>
      <c r="AK648" s="42">
        <f>IF($AJ648="","",p_factor_productividad*IFERROR(INDEX('ASIGNACIONES'!$M$4:$M$451,MATCH($O648&amp;"|"&amp;$S648&amp;"|"&amp;$AH648,'ASIGNACIONES'!$N$4:$N$451,0)),0)-$AJ648)</f>
        <v/>
      </c>
      <c r="AL648" s="32">
        <f>IF($A648="","",IFERROR(INDEX('2_IMPORTAR_EJECUCION'!$F$9:$F$1208,MATCH($AU648,'2_IMPORTAR_EJECUCION'!$J$9:$J$1208,0)),0))</f>
        <v/>
      </c>
      <c r="AM648" s="32">
        <f>IF($A648="","",MAX(0,IFERROR(INDEX('2_IMPORTAR_EJECUCION'!$H$9:$H$1208,MATCH($AU648,'2_IMPORTAR_EJECUCION'!$J$9:$J$1208,0)),0)-$AL648))</f>
        <v/>
      </c>
      <c r="AN648" s="32">
        <f>IF($A648="","",$AL648+$AM648)</f>
        <v/>
      </c>
      <c r="AO648" s="24">
        <f>IF($A648="","",IF(OR((IFERROR(INDEX('CAT_ACTIVIDADES'!$D$4:$D$26,MATCH($H648,'CAT_ACTIVIDADES'!$A$4:$A$26,0)),""))=0,(IFERROR(INDEX('CAT_ACTIVIDADES'!$D$4:$D$26,MATCH($H648,'CAT_ACTIVIDADES'!$A$4:$A$26,0)),""))=""),"SIN CLASIFICAR",IFERROR(INDEX('CAT_ACTIVIDADES'!$D$4:$D$26,MATCH($H648,'CAT_ACTIVIDADES'!$A$4:$A$26,0)),"")))</f>
        <v/>
      </c>
      <c r="AP648" s="4" t="n"/>
      <c r="AQ648" s="4" t="n"/>
      <c r="AR648" s="4" t="n"/>
      <c r="AS648" s="24">
        <f>IF($AR648="","",HYPERLINK(p_ruta_base_checklists&amp;$AR648,"abrir"))</f>
        <v/>
      </c>
      <c r="AT648" s="4" t="n"/>
      <c r="AU648" s="24">
        <f>IF($A648="","",$A648&amp;IF($B648="","0010",$B648))</f>
        <v/>
      </c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41" t="n"/>
      <c r="K649" s="5" t="n"/>
      <c r="L649" s="18" t="n"/>
      <c r="M649" s="24">
        <f>IF($A649="","",IFERROR(INDEX('AJUSTES'!$B$4:$B$303,MATCH($AU649,'AJUSTES'!$A$4:$A$303,0)),IF($K649="","",$K649)))</f>
        <v/>
      </c>
      <c r="N649" s="24">
        <f>IF($A649="","",IFERROR(INDEX('CAT_ESTADOS_ERP'!$B$4:$B$22,MATCH(IFERROR(INDEX('2_IMPORTAR_EJECUCION'!$C$9:$C$1208,MATCH($AU649,'2_IMPORTAR_EJECUCION'!$J$9:$J$1208,0)),""),'CAT_ESTADOS_ERP'!$A$4:$A$22,0)),"Pendiente"))</f>
        <v/>
      </c>
      <c r="O649" s="24">
        <f>IF($J649="","",YEAR($J649+4-WEEKDAY($J649,2))&amp;"-S"&amp;TEXT(_xlfn.ISOWEEKNUM($J649),"00"))</f>
        <v/>
      </c>
      <c r="P649" s="24">
        <f>IF($J649="","",YEAR($J649))</f>
        <v/>
      </c>
      <c r="Q649" s="24">
        <f>IF($J649="","",MONTH($J649))</f>
        <v/>
      </c>
      <c r="R649" s="24">
        <f>IF($J649="","",$P649&amp;"-"&amp;TEXT($Q649,"00"))</f>
        <v/>
      </c>
      <c r="S649" s="24">
        <f>IF($J649="","",INDEX(lista_dias,WEEKDAY($J649,2)))</f>
        <v/>
      </c>
      <c r="T649" s="24">
        <f>IF($J649="","",IFERROR(INDEX('CALENDARIO'!$C$15:$C$214,MATCH(TEXT($J649,"yyyy-mm-dd")&amp;"|"&amp;$Y649&amp;"|"&amp;$Z649,'CALENDARIO'!$G$15:$G$214,0)),IFERROR(INDEX('CALENDARIO'!$C$15:$C$214,MATCH(TEXT($J649,"yyyy-mm-dd")&amp;"|"&amp;$Y649&amp;"|",'CALENDARIO'!$G$15:$G$214,0)),IFERROR(INDEX('CALENDARIO'!$C$15:$C$214,MATCH(TEXT($J649,"yyyy-mm-dd")&amp;"||",'CALENDARIO'!$G$15:$G$214,0)),INDEX(patronHabil,WEEKDAY($J649,2))))))</f>
        <v/>
      </c>
      <c r="U649" s="24">
        <f>IF($I649="","",IFERROR(INDEX('CAT_TIPOS_OT'!$C$4:$C$23,MATCH($I649,'CAT_TIPOS_OT'!$A$4:$A$23,0)),"sin_clasificar"))</f>
        <v/>
      </c>
      <c r="V649" s="24">
        <f>IF($I649="","",IF(IFERROR(INDEX('CAT_TIPOS_OT'!$D$4:$D$23,MATCH($I649,'CAT_TIPOS_OT'!$A$4:$A$23,0)),"SIN CLASIFICAR")="","SIN CLASIFICAR",IFERROR(INDEX('CAT_TIPOS_OT'!$D$4:$D$23,MATCH($I649,'CAT_TIPOS_OT'!$A$4:$A$23,0)),"SIN CLASIFICAR")))</f>
        <v/>
      </c>
      <c r="W649" s="24">
        <f>IF($H649="","",IF(IFERROR(INDEX('CAT_ACTIVIDADES'!$F$4:$F$26,MATCH($H649,'CAT_ACTIVIDADES'!$A$4:$A$26,0)),"")=0,"",IFERROR(INDEX('CAT_ACTIVIDADES'!$F$4:$F$26,MATCH($H649,'CAT_ACTIVIDADES'!$A$4:$A$26,0)),"")))</f>
        <v/>
      </c>
      <c r="X649" s="24">
        <f>IF($F649="","",IFERROR(INDEX('CAT_CENTROS_COSTO'!$F$4:$F$28,MATCH($F649,'CAT_CENTROS_COSTO'!$A$4:$A$28,0)),"(sin catálogo)"))</f>
        <v/>
      </c>
      <c r="Y649" s="24">
        <f>IF($F649="","",IFERROR(INDEX('CAT_CENTROS_COSTO'!$D$4:$D$28,MATCH($F649,'CAT_CENTROS_COSTO'!$A$4:$A$28,0)),"(sin catálogo)"))</f>
        <v/>
      </c>
      <c r="Z649" s="24">
        <f>IF($F649="","",IF((IFERROR(INDEX('CAT_CENTROS_COSTO'!$E$4:$E$28,MATCH($F649,'CAT_CENTROS_COSTO'!$A$4:$A$28,0)),""))&lt;&gt;"",IFERROR(INDEX('CAT_CENTROS_COSTO'!$E$4:$E$28,MATCH($F649,'CAT_CENTROS_COSTO'!$A$4:$A$28,0)),""),$Y649))</f>
        <v/>
      </c>
      <c r="AA649" s="24">
        <f>IF($F649="","",IFERROR(INDEX('CAT_CENTROS_COSTO'!$G$4:$G$28,MATCH($F649,'CAT_CENTROS_COSTO'!$A$4:$A$28,0)),"(sin catálogo)"))</f>
        <v/>
      </c>
      <c r="AB649" s="24">
        <f>IF($G649="","",IFERROR(INDEX('CAT_PUESTOS'!$B$4:$B$23,MATCH($G649,'CAT_PUESTOS'!$A$4:$A$23,0)),"(sin catálogo)"))</f>
        <v/>
      </c>
      <c r="AC649" s="24">
        <f>IF($H649="","",IFERROR(INDEX('CAT_ACTIVIDADES'!$B$4:$B$26,MATCH($H649,'CAT_ACTIVIDADES'!$A$4:$A$26,0)),"(sin catálogo)"))</f>
        <v/>
      </c>
      <c r="AD649" s="26">
        <f>IF($J649="","",TODAY()-$J649)</f>
        <v/>
      </c>
      <c r="AE649" s="26">
        <f>IF($J649="","",IF($J649&lt;=TODAY(),COUNTIFS(cal_fechas,"&gt;="&amp;$J649,cal_fechas,"&lt;"&amp;TODAY(),cal_habil,"sí"),-COUNTIFS(cal_fechas,"&gt;="&amp;TODAY(),cal_fechas,"&lt;"&amp;$J649,cal_habil,"sí")))</f>
        <v/>
      </c>
      <c r="AF649" s="24">
        <f>IF($AE649="","",IF($AE649&lt;0,"FUTURO",IF($AE649&gt;p_dias_backlog_max,"BACKLOG","MES CORRIENTE")))</f>
        <v/>
      </c>
      <c r="AG649" s="24">
        <f>IF($AE649="",FALSE,AND($AE649&gt;p_dias_backlog_min,$AE649&lt;=p_dias_backlog_max))</f>
        <v/>
      </c>
      <c r="AH649" s="4" t="n"/>
      <c r="AI649" s="24">
        <f>IF($AH649="","",IF((IFERROR(INDEX('ASIGNACIONES'!$J$4:$J$451,MATCH($O649&amp;"|"&amp;$S649&amp;"|"&amp;$AH649,'ASIGNACIONES'!$N$4:$N$451,0)),""))=0,"",IFERROR(INDEX('ASIGNACIONES'!$J$4:$J$451,MATCH($O649&amp;"|"&amp;$S649&amp;"|"&amp;$AH649,'ASIGNACIONES'!$N$4:$N$451,0)),"")))</f>
        <v/>
      </c>
      <c r="AJ649" s="42">
        <f>IF($AH649="","",SUMIFS('ORDENES'!$M$4:$M$1203,'ORDENES'!$AH$4:$AH$1203,$AH649,'ORDENES'!$O$4:$O$1203,$O649,'ORDENES'!$S$4:$S$1203,$S649))</f>
        <v/>
      </c>
      <c r="AK649" s="42">
        <f>IF($AJ649="","",p_factor_productividad*IFERROR(INDEX('ASIGNACIONES'!$M$4:$M$451,MATCH($O649&amp;"|"&amp;$S649&amp;"|"&amp;$AH649,'ASIGNACIONES'!$N$4:$N$451,0)),0)-$AJ649)</f>
        <v/>
      </c>
      <c r="AL649" s="32">
        <f>IF($A649="","",IFERROR(INDEX('2_IMPORTAR_EJECUCION'!$F$9:$F$1208,MATCH($AU649,'2_IMPORTAR_EJECUCION'!$J$9:$J$1208,0)),0))</f>
        <v/>
      </c>
      <c r="AM649" s="32">
        <f>IF($A649="","",MAX(0,IFERROR(INDEX('2_IMPORTAR_EJECUCION'!$H$9:$H$1208,MATCH($AU649,'2_IMPORTAR_EJECUCION'!$J$9:$J$1208,0)),0)-$AL649))</f>
        <v/>
      </c>
      <c r="AN649" s="32">
        <f>IF($A649="","",$AL649+$AM649)</f>
        <v/>
      </c>
      <c r="AO649" s="24">
        <f>IF($A649="","",IF(OR((IFERROR(INDEX('CAT_ACTIVIDADES'!$D$4:$D$26,MATCH($H649,'CAT_ACTIVIDADES'!$A$4:$A$26,0)),""))=0,(IFERROR(INDEX('CAT_ACTIVIDADES'!$D$4:$D$26,MATCH($H649,'CAT_ACTIVIDADES'!$A$4:$A$26,0)),""))=""),"SIN CLASIFICAR",IFERROR(INDEX('CAT_ACTIVIDADES'!$D$4:$D$26,MATCH($H649,'CAT_ACTIVIDADES'!$A$4:$A$26,0)),"")))</f>
        <v/>
      </c>
      <c r="AP649" s="4" t="n"/>
      <c r="AQ649" s="4" t="n"/>
      <c r="AR649" s="4" t="n"/>
      <c r="AS649" s="24">
        <f>IF($AR649="","",HYPERLINK(p_ruta_base_checklists&amp;$AR649,"abrir"))</f>
        <v/>
      </c>
      <c r="AT649" s="4" t="n"/>
      <c r="AU649" s="24">
        <f>IF($A649="","",$A649&amp;IF($B649="","0010",$B649))</f>
        <v/>
      </c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41" t="n"/>
      <c r="K650" s="5" t="n"/>
      <c r="L650" s="18" t="n"/>
      <c r="M650" s="24">
        <f>IF($A650="","",IFERROR(INDEX('AJUSTES'!$B$4:$B$303,MATCH($AU650,'AJUSTES'!$A$4:$A$303,0)),IF($K650="","",$K650)))</f>
        <v/>
      </c>
      <c r="N650" s="24">
        <f>IF($A650="","",IFERROR(INDEX('CAT_ESTADOS_ERP'!$B$4:$B$22,MATCH(IFERROR(INDEX('2_IMPORTAR_EJECUCION'!$C$9:$C$1208,MATCH($AU650,'2_IMPORTAR_EJECUCION'!$J$9:$J$1208,0)),""),'CAT_ESTADOS_ERP'!$A$4:$A$22,0)),"Pendiente"))</f>
        <v/>
      </c>
      <c r="O650" s="24">
        <f>IF($J650="","",YEAR($J650+4-WEEKDAY($J650,2))&amp;"-S"&amp;TEXT(_xlfn.ISOWEEKNUM($J650),"00"))</f>
        <v/>
      </c>
      <c r="P650" s="24">
        <f>IF($J650="","",YEAR($J650))</f>
        <v/>
      </c>
      <c r="Q650" s="24">
        <f>IF($J650="","",MONTH($J650))</f>
        <v/>
      </c>
      <c r="R650" s="24">
        <f>IF($J650="","",$P650&amp;"-"&amp;TEXT($Q650,"00"))</f>
        <v/>
      </c>
      <c r="S650" s="24">
        <f>IF($J650="","",INDEX(lista_dias,WEEKDAY($J650,2)))</f>
        <v/>
      </c>
      <c r="T650" s="24">
        <f>IF($J650="","",IFERROR(INDEX('CALENDARIO'!$C$15:$C$214,MATCH(TEXT($J650,"yyyy-mm-dd")&amp;"|"&amp;$Y650&amp;"|"&amp;$Z650,'CALENDARIO'!$G$15:$G$214,0)),IFERROR(INDEX('CALENDARIO'!$C$15:$C$214,MATCH(TEXT($J650,"yyyy-mm-dd")&amp;"|"&amp;$Y650&amp;"|",'CALENDARIO'!$G$15:$G$214,0)),IFERROR(INDEX('CALENDARIO'!$C$15:$C$214,MATCH(TEXT($J650,"yyyy-mm-dd")&amp;"||",'CALENDARIO'!$G$15:$G$214,0)),INDEX(patronHabil,WEEKDAY($J650,2))))))</f>
        <v/>
      </c>
      <c r="U650" s="24">
        <f>IF($I650="","",IFERROR(INDEX('CAT_TIPOS_OT'!$C$4:$C$23,MATCH($I650,'CAT_TIPOS_OT'!$A$4:$A$23,0)),"sin_clasificar"))</f>
        <v/>
      </c>
      <c r="V650" s="24">
        <f>IF($I650="","",IF(IFERROR(INDEX('CAT_TIPOS_OT'!$D$4:$D$23,MATCH($I650,'CAT_TIPOS_OT'!$A$4:$A$23,0)),"SIN CLASIFICAR")="","SIN CLASIFICAR",IFERROR(INDEX('CAT_TIPOS_OT'!$D$4:$D$23,MATCH($I650,'CAT_TIPOS_OT'!$A$4:$A$23,0)),"SIN CLASIFICAR")))</f>
        <v/>
      </c>
      <c r="W650" s="24">
        <f>IF($H650="","",IF(IFERROR(INDEX('CAT_ACTIVIDADES'!$F$4:$F$26,MATCH($H650,'CAT_ACTIVIDADES'!$A$4:$A$26,0)),"")=0,"",IFERROR(INDEX('CAT_ACTIVIDADES'!$F$4:$F$26,MATCH($H650,'CAT_ACTIVIDADES'!$A$4:$A$26,0)),"")))</f>
        <v/>
      </c>
      <c r="X650" s="24">
        <f>IF($F650="","",IFERROR(INDEX('CAT_CENTROS_COSTO'!$F$4:$F$28,MATCH($F650,'CAT_CENTROS_COSTO'!$A$4:$A$28,0)),"(sin catálogo)"))</f>
        <v/>
      </c>
      <c r="Y650" s="24">
        <f>IF($F650="","",IFERROR(INDEX('CAT_CENTROS_COSTO'!$D$4:$D$28,MATCH($F650,'CAT_CENTROS_COSTO'!$A$4:$A$28,0)),"(sin catálogo)"))</f>
        <v/>
      </c>
      <c r="Z650" s="24">
        <f>IF($F650="","",IF((IFERROR(INDEX('CAT_CENTROS_COSTO'!$E$4:$E$28,MATCH($F650,'CAT_CENTROS_COSTO'!$A$4:$A$28,0)),""))&lt;&gt;"",IFERROR(INDEX('CAT_CENTROS_COSTO'!$E$4:$E$28,MATCH($F650,'CAT_CENTROS_COSTO'!$A$4:$A$28,0)),""),$Y650))</f>
        <v/>
      </c>
      <c r="AA650" s="24">
        <f>IF($F650="","",IFERROR(INDEX('CAT_CENTROS_COSTO'!$G$4:$G$28,MATCH($F650,'CAT_CENTROS_COSTO'!$A$4:$A$28,0)),"(sin catálogo)"))</f>
        <v/>
      </c>
      <c r="AB650" s="24">
        <f>IF($G650="","",IFERROR(INDEX('CAT_PUESTOS'!$B$4:$B$23,MATCH($G650,'CAT_PUESTOS'!$A$4:$A$23,0)),"(sin catálogo)"))</f>
        <v/>
      </c>
      <c r="AC650" s="24">
        <f>IF($H650="","",IFERROR(INDEX('CAT_ACTIVIDADES'!$B$4:$B$26,MATCH($H650,'CAT_ACTIVIDADES'!$A$4:$A$26,0)),"(sin catálogo)"))</f>
        <v/>
      </c>
      <c r="AD650" s="26">
        <f>IF($J650="","",TODAY()-$J650)</f>
        <v/>
      </c>
      <c r="AE650" s="26">
        <f>IF($J650="","",IF($J650&lt;=TODAY(),COUNTIFS(cal_fechas,"&gt;="&amp;$J650,cal_fechas,"&lt;"&amp;TODAY(),cal_habil,"sí"),-COUNTIFS(cal_fechas,"&gt;="&amp;TODAY(),cal_fechas,"&lt;"&amp;$J650,cal_habil,"sí")))</f>
        <v/>
      </c>
      <c r="AF650" s="24">
        <f>IF($AE650="","",IF($AE650&lt;0,"FUTURO",IF($AE650&gt;p_dias_backlog_max,"BACKLOG","MES CORRIENTE")))</f>
        <v/>
      </c>
      <c r="AG650" s="24">
        <f>IF($AE650="",FALSE,AND($AE650&gt;p_dias_backlog_min,$AE650&lt;=p_dias_backlog_max))</f>
        <v/>
      </c>
      <c r="AH650" s="4" t="n"/>
      <c r="AI650" s="24">
        <f>IF($AH650="","",IF((IFERROR(INDEX('ASIGNACIONES'!$J$4:$J$451,MATCH($O650&amp;"|"&amp;$S650&amp;"|"&amp;$AH650,'ASIGNACIONES'!$N$4:$N$451,0)),""))=0,"",IFERROR(INDEX('ASIGNACIONES'!$J$4:$J$451,MATCH($O650&amp;"|"&amp;$S650&amp;"|"&amp;$AH650,'ASIGNACIONES'!$N$4:$N$451,0)),"")))</f>
        <v/>
      </c>
      <c r="AJ650" s="42">
        <f>IF($AH650="","",SUMIFS('ORDENES'!$M$4:$M$1203,'ORDENES'!$AH$4:$AH$1203,$AH650,'ORDENES'!$O$4:$O$1203,$O650,'ORDENES'!$S$4:$S$1203,$S650))</f>
        <v/>
      </c>
      <c r="AK650" s="42">
        <f>IF($AJ650="","",p_factor_productividad*IFERROR(INDEX('ASIGNACIONES'!$M$4:$M$451,MATCH($O650&amp;"|"&amp;$S650&amp;"|"&amp;$AH650,'ASIGNACIONES'!$N$4:$N$451,0)),0)-$AJ650)</f>
        <v/>
      </c>
      <c r="AL650" s="32">
        <f>IF($A650="","",IFERROR(INDEX('2_IMPORTAR_EJECUCION'!$F$9:$F$1208,MATCH($AU650,'2_IMPORTAR_EJECUCION'!$J$9:$J$1208,0)),0))</f>
        <v/>
      </c>
      <c r="AM650" s="32">
        <f>IF($A650="","",MAX(0,IFERROR(INDEX('2_IMPORTAR_EJECUCION'!$H$9:$H$1208,MATCH($AU650,'2_IMPORTAR_EJECUCION'!$J$9:$J$1208,0)),0)-$AL650))</f>
        <v/>
      </c>
      <c r="AN650" s="32">
        <f>IF($A650="","",$AL650+$AM650)</f>
        <v/>
      </c>
      <c r="AO650" s="24">
        <f>IF($A650="","",IF(OR((IFERROR(INDEX('CAT_ACTIVIDADES'!$D$4:$D$26,MATCH($H650,'CAT_ACTIVIDADES'!$A$4:$A$26,0)),""))=0,(IFERROR(INDEX('CAT_ACTIVIDADES'!$D$4:$D$26,MATCH($H650,'CAT_ACTIVIDADES'!$A$4:$A$26,0)),""))=""),"SIN CLASIFICAR",IFERROR(INDEX('CAT_ACTIVIDADES'!$D$4:$D$26,MATCH($H650,'CAT_ACTIVIDADES'!$A$4:$A$26,0)),"")))</f>
        <v/>
      </c>
      <c r="AP650" s="4" t="n"/>
      <c r="AQ650" s="4" t="n"/>
      <c r="AR650" s="4" t="n"/>
      <c r="AS650" s="24">
        <f>IF($AR650="","",HYPERLINK(p_ruta_base_checklists&amp;$AR650,"abrir"))</f>
        <v/>
      </c>
      <c r="AT650" s="4" t="n"/>
      <c r="AU650" s="24">
        <f>IF($A650="","",$A650&amp;IF($B650="","0010",$B650))</f>
        <v/>
      </c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41" t="n"/>
      <c r="K651" s="5" t="n"/>
      <c r="L651" s="18" t="n"/>
      <c r="M651" s="24">
        <f>IF($A651="","",IFERROR(INDEX('AJUSTES'!$B$4:$B$303,MATCH($AU651,'AJUSTES'!$A$4:$A$303,0)),IF($K651="","",$K651)))</f>
        <v/>
      </c>
      <c r="N651" s="24">
        <f>IF($A651="","",IFERROR(INDEX('CAT_ESTADOS_ERP'!$B$4:$B$22,MATCH(IFERROR(INDEX('2_IMPORTAR_EJECUCION'!$C$9:$C$1208,MATCH($AU651,'2_IMPORTAR_EJECUCION'!$J$9:$J$1208,0)),""),'CAT_ESTADOS_ERP'!$A$4:$A$22,0)),"Pendiente"))</f>
        <v/>
      </c>
      <c r="O651" s="24">
        <f>IF($J651="","",YEAR($J651+4-WEEKDAY($J651,2))&amp;"-S"&amp;TEXT(_xlfn.ISOWEEKNUM($J651),"00"))</f>
        <v/>
      </c>
      <c r="P651" s="24">
        <f>IF($J651="","",YEAR($J651))</f>
        <v/>
      </c>
      <c r="Q651" s="24">
        <f>IF($J651="","",MONTH($J651))</f>
        <v/>
      </c>
      <c r="R651" s="24">
        <f>IF($J651="","",$P651&amp;"-"&amp;TEXT($Q651,"00"))</f>
        <v/>
      </c>
      <c r="S651" s="24">
        <f>IF($J651="","",INDEX(lista_dias,WEEKDAY($J651,2)))</f>
        <v/>
      </c>
      <c r="T651" s="24">
        <f>IF($J651="","",IFERROR(INDEX('CALENDARIO'!$C$15:$C$214,MATCH(TEXT($J651,"yyyy-mm-dd")&amp;"|"&amp;$Y651&amp;"|"&amp;$Z651,'CALENDARIO'!$G$15:$G$214,0)),IFERROR(INDEX('CALENDARIO'!$C$15:$C$214,MATCH(TEXT($J651,"yyyy-mm-dd")&amp;"|"&amp;$Y651&amp;"|",'CALENDARIO'!$G$15:$G$214,0)),IFERROR(INDEX('CALENDARIO'!$C$15:$C$214,MATCH(TEXT($J651,"yyyy-mm-dd")&amp;"||",'CALENDARIO'!$G$15:$G$214,0)),INDEX(patronHabil,WEEKDAY($J651,2))))))</f>
        <v/>
      </c>
      <c r="U651" s="24">
        <f>IF($I651="","",IFERROR(INDEX('CAT_TIPOS_OT'!$C$4:$C$23,MATCH($I651,'CAT_TIPOS_OT'!$A$4:$A$23,0)),"sin_clasificar"))</f>
        <v/>
      </c>
      <c r="V651" s="24">
        <f>IF($I651="","",IF(IFERROR(INDEX('CAT_TIPOS_OT'!$D$4:$D$23,MATCH($I651,'CAT_TIPOS_OT'!$A$4:$A$23,0)),"SIN CLASIFICAR")="","SIN CLASIFICAR",IFERROR(INDEX('CAT_TIPOS_OT'!$D$4:$D$23,MATCH($I651,'CAT_TIPOS_OT'!$A$4:$A$23,0)),"SIN CLASIFICAR")))</f>
        <v/>
      </c>
      <c r="W651" s="24">
        <f>IF($H651="","",IF(IFERROR(INDEX('CAT_ACTIVIDADES'!$F$4:$F$26,MATCH($H651,'CAT_ACTIVIDADES'!$A$4:$A$26,0)),"")=0,"",IFERROR(INDEX('CAT_ACTIVIDADES'!$F$4:$F$26,MATCH($H651,'CAT_ACTIVIDADES'!$A$4:$A$26,0)),"")))</f>
        <v/>
      </c>
      <c r="X651" s="24">
        <f>IF($F651="","",IFERROR(INDEX('CAT_CENTROS_COSTO'!$F$4:$F$28,MATCH($F651,'CAT_CENTROS_COSTO'!$A$4:$A$28,0)),"(sin catálogo)"))</f>
        <v/>
      </c>
      <c r="Y651" s="24">
        <f>IF($F651="","",IFERROR(INDEX('CAT_CENTROS_COSTO'!$D$4:$D$28,MATCH($F651,'CAT_CENTROS_COSTO'!$A$4:$A$28,0)),"(sin catálogo)"))</f>
        <v/>
      </c>
      <c r="Z651" s="24">
        <f>IF($F651="","",IF((IFERROR(INDEX('CAT_CENTROS_COSTO'!$E$4:$E$28,MATCH($F651,'CAT_CENTROS_COSTO'!$A$4:$A$28,0)),""))&lt;&gt;"",IFERROR(INDEX('CAT_CENTROS_COSTO'!$E$4:$E$28,MATCH($F651,'CAT_CENTROS_COSTO'!$A$4:$A$28,0)),""),$Y651))</f>
        <v/>
      </c>
      <c r="AA651" s="24">
        <f>IF($F651="","",IFERROR(INDEX('CAT_CENTROS_COSTO'!$G$4:$G$28,MATCH($F651,'CAT_CENTROS_COSTO'!$A$4:$A$28,0)),"(sin catálogo)"))</f>
        <v/>
      </c>
      <c r="AB651" s="24">
        <f>IF($G651="","",IFERROR(INDEX('CAT_PUESTOS'!$B$4:$B$23,MATCH($G651,'CAT_PUESTOS'!$A$4:$A$23,0)),"(sin catálogo)"))</f>
        <v/>
      </c>
      <c r="AC651" s="24">
        <f>IF($H651="","",IFERROR(INDEX('CAT_ACTIVIDADES'!$B$4:$B$26,MATCH($H651,'CAT_ACTIVIDADES'!$A$4:$A$26,0)),"(sin catálogo)"))</f>
        <v/>
      </c>
      <c r="AD651" s="26">
        <f>IF($J651="","",TODAY()-$J651)</f>
        <v/>
      </c>
      <c r="AE651" s="26">
        <f>IF($J651="","",IF($J651&lt;=TODAY(),COUNTIFS(cal_fechas,"&gt;="&amp;$J651,cal_fechas,"&lt;"&amp;TODAY(),cal_habil,"sí"),-COUNTIFS(cal_fechas,"&gt;="&amp;TODAY(),cal_fechas,"&lt;"&amp;$J651,cal_habil,"sí")))</f>
        <v/>
      </c>
      <c r="AF651" s="24">
        <f>IF($AE651="","",IF($AE651&lt;0,"FUTURO",IF($AE651&gt;p_dias_backlog_max,"BACKLOG","MES CORRIENTE")))</f>
        <v/>
      </c>
      <c r="AG651" s="24">
        <f>IF($AE651="",FALSE,AND($AE651&gt;p_dias_backlog_min,$AE651&lt;=p_dias_backlog_max))</f>
        <v/>
      </c>
      <c r="AH651" s="4" t="n"/>
      <c r="AI651" s="24">
        <f>IF($AH651="","",IF((IFERROR(INDEX('ASIGNACIONES'!$J$4:$J$451,MATCH($O651&amp;"|"&amp;$S651&amp;"|"&amp;$AH651,'ASIGNACIONES'!$N$4:$N$451,0)),""))=0,"",IFERROR(INDEX('ASIGNACIONES'!$J$4:$J$451,MATCH($O651&amp;"|"&amp;$S651&amp;"|"&amp;$AH651,'ASIGNACIONES'!$N$4:$N$451,0)),"")))</f>
        <v/>
      </c>
      <c r="AJ651" s="42">
        <f>IF($AH651="","",SUMIFS('ORDENES'!$M$4:$M$1203,'ORDENES'!$AH$4:$AH$1203,$AH651,'ORDENES'!$O$4:$O$1203,$O651,'ORDENES'!$S$4:$S$1203,$S651))</f>
        <v/>
      </c>
      <c r="AK651" s="42">
        <f>IF($AJ651="","",p_factor_productividad*IFERROR(INDEX('ASIGNACIONES'!$M$4:$M$451,MATCH($O651&amp;"|"&amp;$S651&amp;"|"&amp;$AH651,'ASIGNACIONES'!$N$4:$N$451,0)),0)-$AJ651)</f>
        <v/>
      </c>
      <c r="AL651" s="32">
        <f>IF($A651="","",IFERROR(INDEX('2_IMPORTAR_EJECUCION'!$F$9:$F$1208,MATCH($AU651,'2_IMPORTAR_EJECUCION'!$J$9:$J$1208,0)),0))</f>
        <v/>
      </c>
      <c r="AM651" s="32">
        <f>IF($A651="","",MAX(0,IFERROR(INDEX('2_IMPORTAR_EJECUCION'!$H$9:$H$1208,MATCH($AU651,'2_IMPORTAR_EJECUCION'!$J$9:$J$1208,0)),0)-$AL651))</f>
        <v/>
      </c>
      <c r="AN651" s="32">
        <f>IF($A651="","",$AL651+$AM651)</f>
        <v/>
      </c>
      <c r="AO651" s="24">
        <f>IF($A651="","",IF(OR((IFERROR(INDEX('CAT_ACTIVIDADES'!$D$4:$D$26,MATCH($H651,'CAT_ACTIVIDADES'!$A$4:$A$26,0)),""))=0,(IFERROR(INDEX('CAT_ACTIVIDADES'!$D$4:$D$26,MATCH($H651,'CAT_ACTIVIDADES'!$A$4:$A$26,0)),""))=""),"SIN CLASIFICAR",IFERROR(INDEX('CAT_ACTIVIDADES'!$D$4:$D$26,MATCH($H651,'CAT_ACTIVIDADES'!$A$4:$A$26,0)),"")))</f>
        <v/>
      </c>
      <c r="AP651" s="4" t="n"/>
      <c r="AQ651" s="4" t="n"/>
      <c r="AR651" s="4" t="n"/>
      <c r="AS651" s="24">
        <f>IF($AR651="","",HYPERLINK(p_ruta_base_checklists&amp;$AR651,"abrir"))</f>
        <v/>
      </c>
      <c r="AT651" s="4" t="n"/>
      <c r="AU651" s="24">
        <f>IF($A651="","",$A651&amp;IF($B651="","0010",$B651))</f>
        <v/>
      </c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41" t="n"/>
      <c r="K652" s="5" t="n"/>
      <c r="L652" s="18" t="n"/>
      <c r="M652" s="24">
        <f>IF($A652="","",IFERROR(INDEX('AJUSTES'!$B$4:$B$303,MATCH($AU652,'AJUSTES'!$A$4:$A$303,0)),IF($K652="","",$K652)))</f>
        <v/>
      </c>
      <c r="N652" s="24">
        <f>IF($A652="","",IFERROR(INDEX('CAT_ESTADOS_ERP'!$B$4:$B$22,MATCH(IFERROR(INDEX('2_IMPORTAR_EJECUCION'!$C$9:$C$1208,MATCH($AU652,'2_IMPORTAR_EJECUCION'!$J$9:$J$1208,0)),""),'CAT_ESTADOS_ERP'!$A$4:$A$22,0)),"Pendiente"))</f>
        <v/>
      </c>
      <c r="O652" s="24">
        <f>IF($J652="","",YEAR($J652+4-WEEKDAY($J652,2))&amp;"-S"&amp;TEXT(_xlfn.ISOWEEKNUM($J652),"00"))</f>
        <v/>
      </c>
      <c r="P652" s="24">
        <f>IF($J652="","",YEAR($J652))</f>
        <v/>
      </c>
      <c r="Q652" s="24">
        <f>IF($J652="","",MONTH($J652))</f>
        <v/>
      </c>
      <c r="R652" s="24">
        <f>IF($J652="","",$P652&amp;"-"&amp;TEXT($Q652,"00"))</f>
        <v/>
      </c>
      <c r="S652" s="24">
        <f>IF($J652="","",INDEX(lista_dias,WEEKDAY($J652,2)))</f>
        <v/>
      </c>
      <c r="T652" s="24">
        <f>IF($J652="","",IFERROR(INDEX('CALENDARIO'!$C$15:$C$214,MATCH(TEXT($J652,"yyyy-mm-dd")&amp;"|"&amp;$Y652&amp;"|"&amp;$Z652,'CALENDARIO'!$G$15:$G$214,0)),IFERROR(INDEX('CALENDARIO'!$C$15:$C$214,MATCH(TEXT($J652,"yyyy-mm-dd")&amp;"|"&amp;$Y652&amp;"|",'CALENDARIO'!$G$15:$G$214,0)),IFERROR(INDEX('CALENDARIO'!$C$15:$C$214,MATCH(TEXT($J652,"yyyy-mm-dd")&amp;"||",'CALENDARIO'!$G$15:$G$214,0)),INDEX(patronHabil,WEEKDAY($J652,2))))))</f>
        <v/>
      </c>
      <c r="U652" s="24">
        <f>IF($I652="","",IFERROR(INDEX('CAT_TIPOS_OT'!$C$4:$C$23,MATCH($I652,'CAT_TIPOS_OT'!$A$4:$A$23,0)),"sin_clasificar"))</f>
        <v/>
      </c>
      <c r="V652" s="24">
        <f>IF($I652="","",IF(IFERROR(INDEX('CAT_TIPOS_OT'!$D$4:$D$23,MATCH($I652,'CAT_TIPOS_OT'!$A$4:$A$23,0)),"SIN CLASIFICAR")="","SIN CLASIFICAR",IFERROR(INDEX('CAT_TIPOS_OT'!$D$4:$D$23,MATCH($I652,'CAT_TIPOS_OT'!$A$4:$A$23,0)),"SIN CLASIFICAR")))</f>
        <v/>
      </c>
      <c r="W652" s="24">
        <f>IF($H652="","",IF(IFERROR(INDEX('CAT_ACTIVIDADES'!$F$4:$F$26,MATCH($H652,'CAT_ACTIVIDADES'!$A$4:$A$26,0)),"")=0,"",IFERROR(INDEX('CAT_ACTIVIDADES'!$F$4:$F$26,MATCH($H652,'CAT_ACTIVIDADES'!$A$4:$A$26,0)),"")))</f>
        <v/>
      </c>
      <c r="X652" s="24">
        <f>IF($F652="","",IFERROR(INDEX('CAT_CENTROS_COSTO'!$F$4:$F$28,MATCH($F652,'CAT_CENTROS_COSTO'!$A$4:$A$28,0)),"(sin catálogo)"))</f>
        <v/>
      </c>
      <c r="Y652" s="24">
        <f>IF($F652="","",IFERROR(INDEX('CAT_CENTROS_COSTO'!$D$4:$D$28,MATCH($F652,'CAT_CENTROS_COSTO'!$A$4:$A$28,0)),"(sin catálogo)"))</f>
        <v/>
      </c>
      <c r="Z652" s="24">
        <f>IF($F652="","",IF((IFERROR(INDEX('CAT_CENTROS_COSTO'!$E$4:$E$28,MATCH($F652,'CAT_CENTROS_COSTO'!$A$4:$A$28,0)),""))&lt;&gt;"",IFERROR(INDEX('CAT_CENTROS_COSTO'!$E$4:$E$28,MATCH($F652,'CAT_CENTROS_COSTO'!$A$4:$A$28,0)),""),$Y652))</f>
        <v/>
      </c>
      <c r="AA652" s="24">
        <f>IF($F652="","",IFERROR(INDEX('CAT_CENTROS_COSTO'!$G$4:$G$28,MATCH($F652,'CAT_CENTROS_COSTO'!$A$4:$A$28,0)),"(sin catálogo)"))</f>
        <v/>
      </c>
      <c r="AB652" s="24">
        <f>IF($G652="","",IFERROR(INDEX('CAT_PUESTOS'!$B$4:$B$23,MATCH($G652,'CAT_PUESTOS'!$A$4:$A$23,0)),"(sin catálogo)"))</f>
        <v/>
      </c>
      <c r="AC652" s="24">
        <f>IF($H652="","",IFERROR(INDEX('CAT_ACTIVIDADES'!$B$4:$B$26,MATCH($H652,'CAT_ACTIVIDADES'!$A$4:$A$26,0)),"(sin catálogo)"))</f>
        <v/>
      </c>
      <c r="AD652" s="26">
        <f>IF($J652="","",TODAY()-$J652)</f>
        <v/>
      </c>
      <c r="AE652" s="26">
        <f>IF($J652="","",IF($J652&lt;=TODAY(),COUNTIFS(cal_fechas,"&gt;="&amp;$J652,cal_fechas,"&lt;"&amp;TODAY(),cal_habil,"sí"),-COUNTIFS(cal_fechas,"&gt;="&amp;TODAY(),cal_fechas,"&lt;"&amp;$J652,cal_habil,"sí")))</f>
        <v/>
      </c>
      <c r="AF652" s="24">
        <f>IF($AE652="","",IF($AE652&lt;0,"FUTURO",IF($AE652&gt;p_dias_backlog_max,"BACKLOG","MES CORRIENTE")))</f>
        <v/>
      </c>
      <c r="AG652" s="24">
        <f>IF($AE652="",FALSE,AND($AE652&gt;p_dias_backlog_min,$AE652&lt;=p_dias_backlog_max))</f>
        <v/>
      </c>
      <c r="AH652" s="4" t="n"/>
      <c r="AI652" s="24">
        <f>IF($AH652="","",IF((IFERROR(INDEX('ASIGNACIONES'!$J$4:$J$451,MATCH($O652&amp;"|"&amp;$S652&amp;"|"&amp;$AH652,'ASIGNACIONES'!$N$4:$N$451,0)),""))=0,"",IFERROR(INDEX('ASIGNACIONES'!$J$4:$J$451,MATCH($O652&amp;"|"&amp;$S652&amp;"|"&amp;$AH652,'ASIGNACIONES'!$N$4:$N$451,0)),"")))</f>
        <v/>
      </c>
      <c r="AJ652" s="42">
        <f>IF($AH652="","",SUMIFS('ORDENES'!$M$4:$M$1203,'ORDENES'!$AH$4:$AH$1203,$AH652,'ORDENES'!$O$4:$O$1203,$O652,'ORDENES'!$S$4:$S$1203,$S652))</f>
        <v/>
      </c>
      <c r="AK652" s="42">
        <f>IF($AJ652="","",p_factor_productividad*IFERROR(INDEX('ASIGNACIONES'!$M$4:$M$451,MATCH($O652&amp;"|"&amp;$S652&amp;"|"&amp;$AH652,'ASIGNACIONES'!$N$4:$N$451,0)),0)-$AJ652)</f>
        <v/>
      </c>
      <c r="AL652" s="32">
        <f>IF($A652="","",IFERROR(INDEX('2_IMPORTAR_EJECUCION'!$F$9:$F$1208,MATCH($AU652,'2_IMPORTAR_EJECUCION'!$J$9:$J$1208,0)),0))</f>
        <v/>
      </c>
      <c r="AM652" s="32">
        <f>IF($A652="","",MAX(0,IFERROR(INDEX('2_IMPORTAR_EJECUCION'!$H$9:$H$1208,MATCH($AU652,'2_IMPORTAR_EJECUCION'!$J$9:$J$1208,0)),0)-$AL652))</f>
        <v/>
      </c>
      <c r="AN652" s="32">
        <f>IF($A652="","",$AL652+$AM652)</f>
        <v/>
      </c>
      <c r="AO652" s="24">
        <f>IF($A652="","",IF(OR((IFERROR(INDEX('CAT_ACTIVIDADES'!$D$4:$D$26,MATCH($H652,'CAT_ACTIVIDADES'!$A$4:$A$26,0)),""))=0,(IFERROR(INDEX('CAT_ACTIVIDADES'!$D$4:$D$26,MATCH($H652,'CAT_ACTIVIDADES'!$A$4:$A$26,0)),""))=""),"SIN CLASIFICAR",IFERROR(INDEX('CAT_ACTIVIDADES'!$D$4:$D$26,MATCH($H652,'CAT_ACTIVIDADES'!$A$4:$A$26,0)),"")))</f>
        <v/>
      </c>
      <c r="AP652" s="4" t="n"/>
      <c r="AQ652" s="4" t="n"/>
      <c r="AR652" s="4" t="n"/>
      <c r="AS652" s="24">
        <f>IF($AR652="","",HYPERLINK(p_ruta_base_checklists&amp;$AR652,"abrir"))</f>
        <v/>
      </c>
      <c r="AT652" s="4" t="n"/>
      <c r="AU652" s="24">
        <f>IF($A652="","",$A652&amp;IF($B652="","0010",$B652))</f>
        <v/>
      </c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41" t="n"/>
      <c r="K653" s="5" t="n"/>
      <c r="L653" s="18" t="n"/>
      <c r="M653" s="24">
        <f>IF($A653="","",IFERROR(INDEX('AJUSTES'!$B$4:$B$303,MATCH($AU653,'AJUSTES'!$A$4:$A$303,0)),IF($K653="","",$K653)))</f>
        <v/>
      </c>
      <c r="N653" s="24">
        <f>IF($A653="","",IFERROR(INDEX('CAT_ESTADOS_ERP'!$B$4:$B$22,MATCH(IFERROR(INDEX('2_IMPORTAR_EJECUCION'!$C$9:$C$1208,MATCH($AU653,'2_IMPORTAR_EJECUCION'!$J$9:$J$1208,0)),""),'CAT_ESTADOS_ERP'!$A$4:$A$22,0)),"Pendiente"))</f>
        <v/>
      </c>
      <c r="O653" s="24">
        <f>IF($J653="","",YEAR($J653+4-WEEKDAY($J653,2))&amp;"-S"&amp;TEXT(_xlfn.ISOWEEKNUM($J653),"00"))</f>
        <v/>
      </c>
      <c r="P653" s="24">
        <f>IF($J653="","",YEAR($J653))</f>
        <v/>
      </c>
      <c r="Q653" s="24">
        <f>IF($J653="","",MONTH($J653))</f>
        <v/>
      </c>
      <c r="R653" s="24">
        <f>IF($J653="","",$P653&amp;"-"&amp;TEXT($Q653,"00"))</f>
        <v/>
      </c>
      <c r="S653" s="24">
        <f>IF($J653="","",INDEX(lista_dias,WEEKDAY($J653,2)))</f>
        <v/>
      </c>
      <c r="T653" s="24">
        <f>IF($J653="","",IFERROR(INDEX('CALENDARIO'!$C$15:$C$214,MATCH(TEXT($J653,"yyyy-mm-dd")&amp;"|"&amp;$Y653&amp;"|"&amp;$Z653,'CALENDARIO'!$G$15:$G$214,0)),IFERROR(INDEX('CALENDARIO'!$C$15:$C$214,MATCH(TEXT($J653,"yyyy-mm-dd")&amp;"|"&amp;$Y653&amp;"|",'CALENDARIO'!$G$15:$G$214,0)),IFERROR(INDEX('CALENDARIO'!$C$15:$C$214,MATCH(TEXT($J653,"yyyy-mm-dd")&amp;"||",'CALENDARIO'!$G$15:$G$214,0)),INDEX(patronHabil,WEEKDAY($J653,2))))))</f>
        <v/>
      </c>
      <c r="U653" s="24">
        <f>IF($I653="","",IFERROR(INDEX('CAT_TIPOS_OT'!$C$4:$C$23,MATCH($I653,'CAT_TIPOS_OT'!$A$4:$A$23,0)),"sin_clasificar"))</f>
        <v/>
      </c>
      <c r="V653" s="24">
        <f>IF($I653="","",IF(IFERROR(INDEX('CAT_TIPOS_OT'!$D$4:$D$23,MATCH($I653,'CAT_TIPOS_OT'!$A$4:$A$23,0)),"SIN CLASIFICAR")="","SIN CLASIFICAR",IFERROR(INDEX('CAT_TIPOS_OT'!$D$4:$D$23,MATCH($I653,'CAT_TIPOS_OT'!$A$4:$A$23,0)),"SIN CLASIFICAR")))</f>
        <v/>
      </c>
      <c r="W653" s="24">
        <f>IF($H653="","",IF(IFERROR(INDEX('CAT_ACTIVIDADES'!$F$4:$F$26,MATCH($H653,'CAT_ACTIVIDADES'!$A$4:$A$26,0)),"")=0,"",IFERROR(INDEX('CAT_ACTIVIDADES'!$F$4:$F$26,MATCH($H653,'CAT_ACTIVIDADES'!$A$4:$A$26,0)),"")))</f>
        <v/>
      </c>
      <c r="X653" s="24">
        <f>IF($F653="","",IFERROR(INDEX('CAT_CENTROS_COSTO'!$F$4:$F$28,MATCH($F653,'CAT_CENTROS_COSTO'!$A$4:$A$28,0)),"(sin catálogo)"))</f>
        <v/>
      </c>
      <c r="Y653" s="24">
        <f>IF($F653="","",IFERROR(INDEX('CAT_CENTROS_COSTO'!$D$4:$D$28,MATCH($F653,'CAT_CENTROS_COSTO'!$A$4:$A$28,0)),"(sin catálogo)"))</f>
        <v/>
      </c>
      <c r="Z653" s="24">
        <f>IF($F653="","",IF((IFERROR(INDEX('CAT_CENTROS_COSTO'!$E$4:$E$28,MATCH($F653,'CAT_CENTROS_COSTO'!$A$4:$A$28,0)),""))&lt;&gt;"",IFERROR(INDEX('CAT_CENTROS_COSTO'!$E$4:$E$28,MATCH($F653,'CAT_CENTROS_COSTO'!$A$4:$A$28,0)),""),$Y653))</f>
        <v/>
      </c>
      <c r="AA653" s="24">
        <f>IF($F653="","",IFERROR(INDEX('CAT_CENTROS_COSTO'!$G$4:$G$28,MATCH($F653,'CAT_CENTROS_COSTO'!$A$4:$A$28,0)),"(sin catálogo)"))</f>
        <v/>
      </c>
      <c r="AB653" s="24">
        <f>IF($G653="","",IFERROR(INDEX('CAT_PUESTOS'!$B$4:$B$23,MATCH($G653,'CAT_PUESTOS'!$A$4:$A$23,0)),"(sin catálogo)"))</f>
        <v/>
      </c>
      <c r="AC653" s="24">
        <f>IF($H653="","",IFERROR(INDEX('CAT_ACTIVIDADES'!$B$4:$B$26,MATCH($H653,'CAT_ACTIVIDADES'!$A$4:$A$26,0)),"(sin catálogo)"))</f>
        <v/>
      </c>
      <c r="AD653" s="26">
        <f>IF($J653="","",TODAY()-$J653)</f>
        <v/>
      </c>
      <c r="AE653" s="26">
        <f>IF($J653="","",IF($J653&lt;=TODAY(),COUNTIFS(cal_fechas,"&gt;="&amp;$J653,cal_fechas,"&lt;"&amp;TODAY(),cal_habil,"sí"),-COUNTIFS(cal_fechas,"&gt;="&amp;TODAY(),cal_fechas,"&lt;"&amp;$J653,cal_habil,"sí")))</f>
        <v/>
      </c>
      <c r="AF653" s="24">
        <f>IF($AE653="","",IF($AE653&lt;0,"FUTURO",IF($AE653&gt;p_dias_backlog_max,"BACKLOG","MES CORRIENTE")))</f>
        <v/>
      </c>
      <c r="AG653" s="24">
        <f>IF($AE653="",FALSE,AND($AE653&gt;p_dias_backlog_min,$AE653&lt;=p_dias_backlog_max))</f>
        <v/>
      </c>
      <c r="AH653" s="4" t="n"/>
      <c r="AI653" s="24">
        <f>IF($AH653="","",IF((IFERROR(INDEX('ASIGNACIONES'!$J$4:$J$451,MATCH($O653&amp;"|"&amp;$S653&amp;"|"&amp;$AH653,'ASIGNACIONES'!$N$4:$N$451,0)),""))=0,"",IFERROR(INDEX('ASIGNACIONES'!$J$4:$J$451,MATCH($O653&amp;"|"&amp;$S653&amp;"|"&amp;$AH653,'ASIGNACIONES'!$N$4:$N$451,0)),"")))</f>
        <v/>
      </c>
      <c r="AJ653" s="42">
        <f>IF($AH653="","",SUMIFS('ORDENES'!$M$4:$M$1203,'ORDENES'!$AH$4:$AH$1203,$AH653,'ORDENES'!$O$4:$O$1203,$O653,'ORDENES'!$S$4:$S$1203,$S653))</f>
        <v/>
      </c>
      <c r="AK653" s="42">
        <f>IF($AJ653="","",p_factor_productividad*IFERROR(INDEX('ASIGNACIONES'!$M$4:$M$451,MATCH($O653&amp;"|"&amp;$S653&amp;"|"&amp;$AH653,'ASIGNACIONES'!$N$4:$N$451,0)),0)-$AJ653)</f>
        <v/>
      </c>
      <c r="AL653" s="32">
        <f>IF($A653="","",IFERROR(INDEX('2_IMPORTAR_EJECUCION'!$F$9:$F$1208,MATCH($AU653,'2_IMPORTAR_EJECUCION'!$J$9:$J$1208,0)),0))</f>
        <v/>
      </c>
      <c r="AM653" s="32">
        <f>IF($A653="","",MAX(0,IFERROR(INDEX('2_IMPORTAR_EJECUCION'!$H$9:$H$1208,MATCH($AU653,'2_IMPORTAR_EJECUCION'!$J$9:$J$1208,0)),0)-$AL653))</f>
        <v/>
      </c>
      <c r="AN653" s="32">
        <f>IF($A653="","",$AL653+$AM653)</f>
        <v/>
      </c>
      <c r="AO653" s="24">
        <f>IF($A653="","",IF(OR((IFERROR(INDEX('CAT_ACTIVIDADES'!$D$4:$D$26,MATCH($H653,'CAT_ACTIVIDADES'!$A$4:$A$26,0)),""))=0,(IFERROR(INDEX('CAT_ACTIVIDADES'!$D$4:$D$26,MATCH($H653,'CAT_ACTIVIDADES'!$A$4:$A$26,0)),""))=""),"SIN CLASIFICAR",IFERROR(INDEX('CAT_ACTIVIDADES'!$D$4:$D$26,MATCH($H653,'CAT_ACTIVIDADES'!$A$4:$A$26,0)),"")))</f>
        <v/>
      </c>
      <c r="AP653" s="4" t="n"/>
      <c r="AQ653" s="4" t="n"/>
      <c r="AR653" s="4" t="n"/>
      <c r="AS653" s="24">
        <f>IF($AR653="","",HYPERLINK(p_ruta_base_checklists&amp;$AR653,"abrir"))</f>
        <v/>
      </c>
      <c r="AT653" s="4" t="n"/>
      <c r="AU653" s="24">
        <f>IF($A653="","",$A653&amp;IF($B653="","0010",$B653))</f>
        <v/>
      </c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41" t="n"/>
      <c r="K654" s="5" t="n"/>
      <c r="L654" s="18" t="n"/>
      <c r="M654" s="24">
        <f>IF($A654="","",IFERROR(INDEX('AJUSTES'!$B$4:$B$303,MATCH($AU654,'AJUSTES'!$A$4:$A$303,0)),IF($K654="","",$K654)))</f>
        <v/>
      </c>
      <c r="N654" s="24">
        <f>IF($A654="","",IFERROR(INDEX('CAT_ESTADOS_ERP'!$B$4:$B$22,MATCH(IFERROR(INDEX('2_IMPORTAR_EJECUCION'!$C$9:$C$1208,MATCH($AU654,'2_IMPORTAR_EJECUCION'!$J$9:$J$1208,0)),""),'CAT_ESTADOS_ERP'!$A$4:$A$22,0)),"Pendiente"))</f>
        <v/>
      </c>
      <c r="O654" s="24">
        <f>IF($J654="","",YEAR($J654+4-WEEKDAY($J654,2))&amp;"-S"&amp;TEXT(_xlfn.ISOWEEKNUM($J654),"00"))</f>
        <v/>
      </c>
      <c r="P654" s="24">
        <f>IF($J654="","",YEAR($J654))</f>
        <v/>
      </c>
      <c r="Q654" s="24">
        <f>IF($J654="","",MONTH($J654))</f>
        <v/>
      </c>
      <c r="R654" s="24">
        <f>IF($J654="","",$P654&amp;"-"&amp;TEXT($Q654,"00"))</f>
        <v/>
      </c>
      <c r="S654" s="24">
        <f>IF($J654="","",INDEX(lista_dias,WEEKDAY($J654,2)))</f>
        <v/>
      </c>
      <c r="T654" s="24">
        <f>IF($J654="","",IFERROR(INDEX('CALENDARIO'!$C$15:$C$214,MATCH(TEXT($J654,"yyyy-mm-dd")&amp;"|"&amp;$Y654&amp;"|"&amp;$Z654,'CALENDARIO'!$G$15:$G$214,0)),IFERROR(INDEX('CALENDARIO'!$C$15:$C$214,MATCH(TEXT($J654,"yyyy-mm-dd")&amp;"|"&amp;$Y654&amp;"|",'CALENDARIO'!$G$15:$G$214,0)),IFERROR(INDEX('CALENDARIO'!$C$15:$C$214,MATCH(TEXT($J654,"yyyy-mm-dd")&amp;"||",'CALENDARIO'!$G$15:$G$214,0)),INDEX(patronHabil,WEEKDAY($J654,2))))))</f>
        <v/>
      </c>
      <c r="U654" s="24">
        <f>IF($I654="","",IFERROR(INDEX('CAT_TIPOS_OT'!$C$4:$C$23,MATCH($I654,'CAT_TIPOS_OT'!$A$4:$A$23,0)),"sin_clasificar"))</f>
        <v/>
      </c>
      <c r="V654" s="24">
        <f>IF($I654="","",IF(IFERROR(INDEX('CAT_TIPOS_OT'!$D$4:$D$23,MATCH($I654,'CAT_TIPOS_OT'!$A$4:$A$23,0)),"SIN CLASIFICAR")="","SIN CLASIFICAR",IFERROR(INDEX('CAT_TIPOS_OT'!$D$4:$D$23,MATCH($I654,'CAT_TIPOS_OT'!$A$4:$A$23,0)),"SIN CLASIFICAR")))</f>
        <v/>
      </c>
      <c r="W654" s="24">
        <f>IF($H654="","",IF(IFERROR(INDEX('CAT_ACTIVIDADES'!$F$4:$F$26,MATCH($H654,'CAT_ACTIVIDADES'!$A$4:$A$26,0)),"")=0,"",IFERROR(INDEX('CAT_ACTIVIDADES'!$F$4:$F$26,MATCH($H654,'CAT_ACTIVIDADES'!$A$4:$A$26,0)),"")))</f>
        <v/>
      </c>
      <c r="X654" s="24">
        <f>IF($F654="","",IFERROR(INDEX('CAT_CENTROS_COSTO'!$F$4:$F$28,MATCH($F654,'CAT_CENTROS_COSTO'!$A$4:$A$28,0)),"(sin catálogo)"))</f>
        <v/>
      </c>
      <c r="Y654" s="24">
        <f>IF($F654="","",IFERROR(INDEX('CAT_CENTROS_COSTO'!$D$4:$D$28,MATCH($F654,'CAT_CENTROS_COSTO'!$A$4:$A$28,0)),"(sin catálogo)"))</f>
        <v/>
      </c>
      <c r="Z654" s="24">
        <f>IF($F654="","",IF((IFERROR(INDEX('CAT_CENTROS_COSTO'!$E$4:$E$28,MATCH($F654,'CAT_CENTROS_COSTO'!$A$4:$A$28,0)),""))&lt;&gt;"",IFERROR(INDEX('CAT_CENTROS_COSTO'!$E$4:$E$28,MATCH($F654,'CAT_CENTROS_COSTO'!$A$4:$A$28,0)),""),$Y654))</f>
        <v/>
      </c>
      <c r="AA654" s="24">
        <f>IF($F654="","",IFERROR(INDEX('CAT_CENTROS_COSTO'!$G$4:$G$28,MATCH($F654,'CAT_CENTROS_COSTO'!$A$4:$A$28,0)),"(sin catálogo)"))</f>
        <v/>
      </c>
      <c r="AB654" s="24">
        <f>IF($G654="","",IFERROR(INDEX('CAT_PUESTOS'!$B$4:$B$23,MATCH($G654,'CAT_PUESTOS'!$A$4:$A$23,0)),"(sin catálogo)"))</f>
        <v/>
      </c>
      <c r="AC654" s="24">
        <f>IF($H654="","",IFERROR(INDEX('CAT_ACTIVIDADES'!$B$4:$B$26,MATCH($H654,'CAT_ACTIVIDADES'!$A$4:$A$26,0)),"(sin catálogo)"))</f>
        <v/>
      </c>
      <c r="AD654" s="26">
        <f>IF($J654="","",TODAY()-$J654)</f>
        <v/>
      </c>
      <c r="AE654" s="26">
        <f>IF($J654="","",IF($J654&lt;=TODAY(),COUNTIFS(cal_fechas,"&gt;="&amp;$J654,cal_fechas,"&lt;"&amp;TODAY(),cal_habil,"sí"),-COUNTIFS(cal_fechas,"&gt;="&amp;TODAY(),cal_fechas,"&lt;"&amp;$J654,cal_habil,"sí")))</f>
        <v/>
      </c>
      <c r="AF654" s="24">
        <f>IF($AE654="","",IF($AE654&lt;0,"FUTURO",IF($AE654&gt;p_dias_backlog_max,"BACKLOG","MES CORRIENTE")))</f>
        <v/>
      </c>
      <c r="AG654" s="24">
        <f>IF($AE654="",FALSE,AND($AE654&gt;p_dias_backlog_min,$AE654&lt;=p_dias_backlog_max))</f>
        <v/>
      </c>
      <c r="AH654" s="4" t="n"/>
      <c r="AI654" s="24">
        <f>IF($AH654="","",IF((IFERROR(INDEX('ASIGNACIONES'!$J$4:$J$451,MATCH($O654&amp;"|"&amp;$S654&amp;"|"&amp;$AH654,'ASIGNACIONES'!$N$4:$N$451,0)),""))=0,"",IFERROR(INDEX('ASIGNACIONES'!$J$4:$J$451,MATCH($O654&amp;"|"&amp;$S654&amp;"|"&amp;$AH654,'ASIGNACIONES'!$N$4:$N$451,0)),"")))</f>
        <v/>
      </c>
      <c r="AJ654" s="42">
        <f>IF($AH654="","",SUMIFS('ORDENES'!$M$4:$M$1203,'ORDENES'!$AH$4:$AH$1203,$AH654,'ORDENES'!$O$4:$O$1203,$O654,'ORDENES'!$S$4:$S$1203,$S654))</f>
        <v/>
      </c>
      <c r="AK654" s="42">
        <f>IF($AJ654="","",p_factor_productividad*IFERROR(INDEX('ASIGNACIONES'!$M$4:$M$451,MATCH($O654&amp;"|"&amp;$S654&amp;"|"&amp;$AH654,'ASIGNACIONES'!$N$4:$N$451,0)),0)-$AJ654)</f>
        <v/>
      </c>
      <c r="AL654" s="32">
        <f>IF($A654="","",IFERROR(INDEX('2_IMPORTAR_EJECUCION'!$F$9:$F$1208,MATCH($AU654,'2_IMPORTAR_EJECUCION'!$J$9:$J$1208,0)),0))</f>
        <v/>
      </c>
      <c r="AM654" s="32">
        <f>IF($A654="","",MAX(0,IFERROR(INDEX('2_IMPORTAR_EJECUCION'!$H$9:$H$1208,MATCH($AU654,'2_IMPORTAR_EJECUCION'!$J$9:$J$1208,0)),0)-$AL654))</f>
        <v/>
      </c>
      <c r="AN654" s="32">
        <f>IF($A654="","",$AL654+$AM654)</f>
        <v/>
      </c>
      <c r="AO654" s="24">
        <f>IF($A654="","",IF(OR((IFERROR(INDEX('CAT_ACTIVIDADES'!$D$4:$D$26,MATCH($H654,'CAT_ACTIVIDADES'!$A$4:$A$26,0)),""))=0,(IFERROR(INDEX('CAT_ACTIVIDADES'!$D$4:$D$26,MATCH($H654,'CAT_ACTIVIDADES'!$A$4:$A$26,0)),""))=""),"SIN CLASIFICAR",IFERROR(INDEX('CAT_ACTIVIDADES'!$D$4:$D$26,MATCH($H654,'CAT_ACTIVIDADES'!$A$4:$A$26,0)),"")))</f>
        <v/>
      </c>
      <c r="AP654" s="4" t="n"/>
      <c r="AQ654" s="4" t="n"/>
      <c r="AR654" s="4" t="n"/>
      <c r="AS654" s="24">
        <f>IF($AR654="","",HYPERLINK(p_ruta_base_checklists&amp;$AR654,"abrir"))</f>
        <v/>
      </c>
      <c r="AT654" s="4" t="n"/>
      <c r="AU654" s="24">
        <f>IF($A654="","",$A654&amp;IF($B654="","0010",$B654))</f>
        <v/>
      </c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41" t="n"/>
      <c r="K655" s="5" t="n"/>
      <c r="L655" s="18" t="n"/>
      <c r="M655" s="24">
        <f>IF($A655="","",IFERROR(INDEX('AJUSTES'!$B$4:$B$303,MATCH($AU655,'AJUSTES'!$A$4:$A$303,0)),IF($K655="","",$K655)))</f>
        <v/>
      </c>
      <c r="N655" s="24">
        <f>IF($A655="","",IFERROR(INDEX('CAT_ESTADOS_ERP'!$B$4:$B$22,MATCH(IFERROR(INDEX('2_IMPORTAR_EJECUCION'!$C$9:$C$1208,MATCH($AU655,'2_IMPORTAR_EJECUCION'!$J$9:$J$1208,0)),""),'CAT_ESTADOS_ERP'!$A$4:$A$22,0)),"Pendiente"))</f>
        <v/>
      </c>
      <c r="O655" s="24">
        <f>IF($J655="","",YEAR($J655+4-WEEKDAY($J655,2))&amp;"-S"&amp;TEXT(_xlfn.ISOWEEKNUM($J655),"00"))</f>
        <v/>
      </c>
      <c r="P655" s="24">
        <f>IF($J655="","",YEAR($J655))</f>
        <v/>
      </c>
      <c r="Q655" s="24">
        <f>IF($J655="","",MONTH($J655))</f>
        <v/>
      </c>
      <c r="R655" s="24">
        <f>IF($J655="","",$P655&amp;"-"&amp;TEXT($Q655,"00"))</f>
        <v/>
      </c>
      <c r="S655" s="24">
        <f>IF($J655="","",INDEX(lista_dias,WEEKDAY($J655,2)))</f>
        <v/>
      </c>
      <c r="T655" s="24">
        <f>IF($J655="","",IFERROR(INDEX('CALENDARIO'!$C$15:$C$214,MATCH(TEXT($J655,"yyyy-mm-dd")&amp;"|"&amp;$Y655&amp;"|"&amp;$Z655,'CALENDARIO'!$G$15:$G$214,0)),IFERROR(INDEX('CALENDARIO'!$C$15:$C$214,MATCH(TEXT($J655,"yyyy-mm-dd")&amp;"|"&amp;$Y655&amp;"|",'CALENDARIO'!$G$15:$G$214,0)),IFERROR(INDEX('CALENDARIO'!$C$15:$C$214,MATCH(TEXT($J655,"yyyy-mm-dd")&amp;"||",'CALENDARIO'!$G$15:$G$214,0)),INDEX(patronHabil,WEEKDAY($J655,2))))))</f>
        <v/>
      </c>
      <c r="U655" s="24">
        <f>IF($I655="","",IFERROR(INDEX('CAT_TIPOS_OT'!$C$4:$C$23,MATCH($I655,'CAT_TIPOS_OT'!$A$4:$A$23,0)),"sin_clasificar"))</f>
        <v/>
      </c>
      <c r="V655" s="24">
        <f>IF($I655="","",IF(IFERROR(INDEX('CAT_TIPOS_OT'!$D$4:$D$23,MATCH($I655,'CAT_TIPOS_OT'!$A$4:$A$23,0)),"SIN CLASIFICAR")="","SIN CLASIFICAR",IFERROR(INDEX('CAT_TIPOS_OT'!$D$4:$D$23,MATCH($I655,'CAT_TIPOS_OT'!$A$4:$A$23,0)),"SIN CLASIFICAR")))</f>
        <v/>
      </c>
      <c r="W655" s="24">
        <f>IF($H655="","",IF(IFERROR(INDEX('CAT_ACTIVIDADES'!$F$4:$F$26,MATCH($H655,'CAT_ACTIVIDADES'!$A$4:$A$26,0)),"")=0,"",IFERROR(INDEX('CAT_ACTIVIDADES'!$F$4:$F$26,MATCH($H655,'CAT_ACTIVIDADES'!$A$4:$A$26,0)),"")))</f>
        <v/>
      </c>
      <c r="X655" s="24">
        <f>IF($F655="","",IFERROR(INDEX('CAT_CENTROS_COSTO'!$F$4:$F$28,MATCH($F655,'CAT_CENTROS_COSTO'!$A$4:$A$28,0)),"(sin catálogo)"))</f>
        <v/>
      </c>
      <c r="Y655" s="24">
        <f>IF($F655="","",IFERROR(INDEX('CAT_CENTROS_COSTO'!$D$4:$D$28,MATCH($F655,'CAT_CENTROS_COSTO'!$A$4:$A$28,0)),"(sin catálogo)"))</f>
        <v/>
      </c>
      <c r="Z655" s="24">
        <f>IF($F655="","",IF((IFERROR(INDEX('CAT_CENTROS_COSTO'!$E$4:$E$28,MATCH($F655,'CAT_CENTROS_COSTO'!$A$4:$A$28,0)),""))&lt;&gt;"",IFERROR(INDEX('CAT_CENTROS_COSTO'!$E$4:$E$28,MATCH($F655,'CAT_CENTROS_COSTO'!$A$4:$A$28,0)),""),$Y655))</f>
        <v/>
      </c>
      <c r="AA655" s="24">
        <f>IF($F655="","",IFERROR(INDEX('CAT_CENTROS_COSTO'!$G$4:$G$28,MATCH($F655,'CAT_CENTROS_COSTO'!$A$4:$A$28,0)),"(sin catálogo)"))</f>
        <v/>
      </c>
      <c r="AB655" s="24">
        <f>IF($G655="","",IFERROR(INDEX('CAT_PUESTOS'!$B$4:$B$23,MATCH($G655,'CAT_PUESTOS'!$A$4:$A$23,0)),"(sin catálogo)"))</f>
        <v/>
      </c>
      <c r="AC655" s="24">
        <f>IF($H655="","",IFERROR(INDEX('CAT_ACTIVIDADES'!$B$4:$B$26,MATCH($H655,'CAT_ACTIVIDADES'!$A$4:$A$26,0)),"(sin catálogo)"))</f>
        <v/>
      </c>
      <c r="AD655" s="26">
        <f>IF($J655="","",TODAY()-$J655)</f>
        <v/>
      </c>
      <c r="AE655" s="26">
        <f>IF($J655="","",IF($J655&lt;=TODAY(),COUNTIFS(cal_fechas,"&gt;="&amp;$J655,cal_fechas,"&lt;"&amp;TODAY(),cal_habil,"sí"),-COUNTIFS(cal_fechas,"&gt;="&amp;TODAY(),cal_fechas,"&lt;"&amp;$J655,cal_habil,"sí")))</f>
        <v/>
      </c>
      <c r="AF655" s="24">
        <f>IF($AE655="","",IF($AE655&lt;0,"FUTURO",IF($AE655&gt;p_dias_backlog_max,"BACKLOG","MES CORRIENTE")))</f>
        <v/>
      </c>
      <c r="AG655" s="24">
        <f>IF($AE655="",FALSE,AND($AE655&gt;p_dias_backlog_min,$AE655&lt;=p_dias_backlog_max))</f>
        <v/>
      </c>
      <c r="AH655" s="4" t="n"/>
      <c r="AI655" s="24">
        <f>IF($AH655="","",IF((IFERROR(INDEX('ASIGNACIONES'!$J$4:$J$451,MATCH($O655&amp;"|"&amp;$S655&amp;"|"&amp;$AH655,'ASIGNACIONES'!$N$4:$N$451,0)),""))=0,"",IFERROR(INDEX('ASIGNACIONES'!$J$4:$J$451,MATCH($O655&amp;"|"&amp;$S655&amp;"|"&amp;$AH655,'ASIGNACIONES'!$N$4:$N$451,0)),"")))</f>
        <v/>
      </c>
      <c r="AJ655" s="42">
        <f>IF($AH655="","",SUMIFS('ORDENES'!$M$4:$M$1203,'ORDENES'!$AH$4:$AH$1203,$AH655,'ORDENES'!$O$4:$O$1203,$O655,'ORDENES'!$S$4:$S$1203,$S655))</f>
        <v/>
      </c>
      <c r="AK655" s="42">
        <f>IF($AJ655="","",p_factor_productividad*IFERROR(INDEX('ASIGNACIONES'!$M$4:$M$451,MATCH($O655&amp;"|"&amp;$S655&amp;"|"&amp;$AH655,'ASIGNACIONES'!$N$4:$N$451,0)),0)-$AJ655)</f>
        <v/>
      </c>
      <c r="AL655" s="32">
        <f>IF($A655="","",IFERROR(INDEX('2_IMPORTAR_EJECUCION'!$F$9:$F$1208,MATCH($AU655,'2_IMPORTAR_EJECUCION'!$J$9:$J$1208,0)),0))</f>
        <v/>
      </c>
      <c r="AM655" s="32">
        <f>IF($A655="","",MAX(0,IFERROR(INDEX('2_IMPORTAR_EJECUCION'!$H$9:$H$1208,MATCH($AU655,'2_IMPORTAR_EJECUCION'!$J$9:$J$1208,0)),0)-$AL655))</f>
        <v/>
      </c>
      <c r="AN655" s="32">
        <f>IF($A655="","",$AL655+$AM655)</f>
        <v/>
      </c>
      <c r="AO655" s="24">
        <f>IF($A655="","",IF(OR((IFERROR(INDEX('CAT_ACTIVIDADES'!$D$4:$D$26,MATCH($H655,'CAT_ACTIVIDADES'!$A$4:$A$26,0)),""))=0,(IFERROR(INDEX('CAT_ACTIVIDADES'!$D$4:$D$26,MATCH($H655,'CAT_ACTIVIDADES'!$A$4:$A$26,0)),""))=""),"SIN CLASIFICAR",IFERROR(INDEX('CAT_ACTIVIDADES'!$D$4:$D$26,MATCH($H655,'CAT_ACTIVIDADES'!$A$4:$A$26,0)),"")))</f>
        <v/>
      </c>
      <c r="AP655" s="4" t="n"/>
      <c r="AQ655" s="4" t="n"/>
      <c r="AR655" s="4" t="n"/>
      <c r="AS655" s="24">
        <f>IF($AR655="","",HYPERLINK(p_ruta_base_checklists&amp;$AR655,"abrir"))</f>
        <v/>
      </c>
      <c r="AT655" s="4" t="n"/>
      <c r="AU655" s="24">
        <f>IF($A655="","",$A655&amp;IF($B655="","0010",$B655))</f>
        <v/>
      </c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41" t="n"/>
      <c r="K656" s="5" t="n"/>
      <c r="L656" s="18" t="n"/>
      <c r="M656" s="24">
        <f>IF($A656="","",IFERROR(INDEX('AJUSTES'!$B$4:$B$303,MATCH($AU656,'AJUSTES'!$A$4:$A$303,0)),IF($K656="","",$K656)))</f>
        <v/>
      </c>
      <c r="N656" s="24">
        <f>IF($A656="","",IFERROR(INDEX('CAT_ESTADOS_ERP'!$B$4:$B$22,MATCH(IFERROR(INDEX('2_IMPORTAR_EJECUCION'!$C$9:$C$1208,MATCH($AU656,'2_IMPORTAR_EJECUCION'!$J$9:$J$1208,0)),""),'CAT_ESTADOS_ERP'!$A$4:$A$22,0)),"Pendiente"))</f>
        <v/>
      </c>
      <c r="O656" s="24">
        <f>IF($J656="","",YEAR($J656+4-WEEKDAY($J656,2))&amp;"-S"&amp;TEXT(_xlfn.ISOWEEKNUM($J656),"00"))</f>
        <v/>
      </c>
      <c r="P656" s="24">
        <f>IF($J656="","",YEAR($J656))</f>
        <v/>
      </c>
      <c r="Q656" s="24">
        <f>IF($J656="","",MONTH($J656))</f>
        <v/>
      </c>
      <c r="R656" s="24">
        <f>IF($J656="","",$P656&amp;"-"&amp;TEXT($Q656,"00"))</f>
        <v/>
      </c>
      <c r="S656" s="24">
        <f>IF($J656="","",INDEX(lista_dias,WEEKDAY($J656,2)))</f>
        <v/>
      </c>
      <c r="T656" s="24">
        <f>IF($J656="","",IFERROR(INDEX('CALENDARIO'!$C$15:$C$214,MATCH(TEXT($J656,"yyyy-mm-dd")&amp;"|"&amp;$Y656&amp;"|"&amp;$Z656,'CALENDARIO'!$G$15:$G$214,0)),IFERROR(INDEX('CALENDARIO'!$C$15:$C$214,MATCH(TEXT($J656,"yyyy-mm-dd")&amp;"|"&amp;$Y656&amp;"|",'CALENDARIO'!$G$15:$G$214,0)),IFERROR(INDEX('CALENDARIO'!$C$15:$C$214,MATCH(TEXT($J656,"yyyy-mm-dd")&amp;"||",'CALENDARIO'!$G$15:$G$214,0)),INDEX(patronHabil,WEEKDAY($J656,2))))))</f>
        <v/>
      </c>
      <c r="U656" s="24">
        <f>IF($I656="","",IFERROR(INDEX('CAT_TIPOS_OT'!$C$4:$C$23,MATCH($I656,'CAT_TIPOS_OT'!$A$4:$A$23,0)),"sin_clasificar"))</f>
        <v/>
      </c>
      <c r="V656" s="24">
        <f>IF($I656="","",IF(IFERROR(INDEX('CAT_TIPOS_OT'!$D$4:$D$23,MATCH($I656,'CAT_TIPOS_OT'!$A$4:$A$23,0)),"SIN CLASIFICAR")="","SIN CLASIFICAR",IFERROR(INDEX('CAT_TIPOS_OT'!$D$4:$D$23,MATCH($I656,'CAT_TIPOS_OT'!$A$4:$A$23,0)),"SIN CLASIFICAR")))</f>
        <v/>
      </c>
      <c r="W656" s="24">
        <f>IF($H656="","",IF(IFERROR(INDEX('CAT_ACTIVIDADES'!$F$4:$F$26,MATCH($H656,'CAT_ACTIVIDADES'!$A$4:$A$26,0)),"")=0,"",IFERROR(INDEX('CAT_ACTIVIDADES'!$F$4:$F$26,MATCH($H656,'CAT_ACTIVIDADES'!$A$4:$A$26,0)),"")))</f>
        <v/>
      </c>
      <c r="X656" s="24">
        <f>IF($F656="","",IFERROR(INDEX('CAT_CENTROS_COSTO'!$F$4:$F$28,MATCH($F656,'CAT_CENTROS_COSTO'!$A$4:$A$28,0)),"(sin catálogo)"))</f>
        <v/>
      </c>
      <c r="Y656" s="24">
        <f>IF($F656="","",IFERROR(INDEX('CAT_CENTROS_COSTO'!$D$4:$D$28,MATCH($F656,'CAT_CENTROS_COSTO'!$A$4:$A$28,0)),"(sin catálogo)"))</f>
        <v/>
      </c>
      <c r="Z656" s="24">
        <f>IF($F656="","",IF((IFERROR(INDEX('CAT_CENTROS_COSTO'!$E$4:$E$28,MATCH($F656,'CAT_CENTROS_COSTO'!$A$4:$A$28,0)),""))&lt;&gt;"",IFERROR(INDEX('CAT_CENTROS_COSTO'!$E$4:$E$28,MATCH($F656,'CAT_CENTROS_COSTO'!$A$4:$A$28,0)),""),$Y656))</f>
        <v/>
      </c>
      <c r="AA656" s="24">
        <f>IF($F656="","",IFERROR(INDEX('CAT_CENTROS_COSTO'!$G$4:$G$28,MATCH($F656,'CAT_CENTROS_COSTO'!$A$4:$A$28,0)),"(sin catálogo)"))</f>
        <v/>
      </c>
      <c r="AB656" s="24">
        <f>IF($G656="","",IFERROR(INDEX('CAT_PUESTOS'!$B$4:$B$23,MATCH($G656,'CAT_PUESTOS'!$A$4:$A$23,0)),"(sin catálogo)"))</f>
        <v/>
      </c>
      <c r="AC656" s="24">
        <f>IF($H656="","",IFERROR(INDEX('CAT_ACTIVIDADES'!$B$4:$B$26,MATCH($H656,'CAT_ACTIVIDADES'!$A$4:$A$26,0)),"(sin catálogo)"))</f>
        <v/>
      </c>
      <c r="AD656" s="26">
        <f>IF($J656="","",TODAY()-$J656)</f>
        <v/>
      </c>
      <c r="AE656" s="26">
        <f>IF($J656="","",IF($J656&lt;=TODAY(),COUNTIFS(cal_fechas,"&gt;="&amp;$J656,cal_fechas,"&lt;"&amp;TODAY(),cal_habil,"sí"),-COUNTIFS(cal_fechas,"&gt;="&amp;TODAY(),cal_fechas,"&lt;"&amp;$J656,cal_habil,"sí")))</f>
        <v/>
      </c>
      <c r="AF656" s="24">
        <f>IF($AE656="","",IF($AE656&lt;0,"FUTURO",IF($AE656&gt;p_dias_backlog_max,"BACKLOG","MES CORRIENTE")))</f>
        <v/>
      </c>
      <c r="AG656" s="24">
        <f>IF($AE656="",FALSE,AND($AE656&gt;p_dias_backlog_min,$AE656&lt;=p_dias_backlog_max))</f>
        <v/>
      </c>
      <c r="AH656" s="4" t="n"/>
      <c r="AI656" s="24">
        <f>IF($AH656="","",IF((IFERROR(INDEX('ASIGNACIONES'!$J$4:$J$451,MATCH($O656&amp;"|"&amp;$S656&amp;"|"&amp;$AH656,'ASIGNACIONES'!$N$4:$N$451,0)),""))=0,"",IFERROR(INDEX('ASIGNACIONES'!$J$4:$J$451,MATCH($O656&amp;"|"&amp;$S656&amp;"|"&amp;$AH656,'ASIGNACIONES'!$N$4:$N$451,0)),"")))</f>
        <v/>
      </c>
      <c r="AJ656" s="42">
        <f>IF($AH656="","",SUMIFS('ORDENES'!$M$4:$M$1203,'ORDENES'!$AH$4:$AH$1203,$AH656,'ORDENES'!$O$4:$O$1203,$O656,'ORDENES'!$S$4:$S$1203,$S656))</f>
        <v/>
      </c>
      <c r="AK656" s="42">
        <f>IF($AJ656="","",p_factor_productividad*IFERROR(INDEX('ASIGNACIONES'!$M$4:$M$451,MATCH($O656&amp;"|"&amp;$S656&amp;"|"&amp;$AH656,'ASIGNACIONES'!$N$4:$N$451,0)),0)-$AJ656)</f>
        <v/>
      </c>
      <c r="AL656" s="32">
        <f>IF($A656="","",IFERROR(INDEX('2_IMPORTAR_EJECUCION'!$F$9:$F$1208,MATCH($AU656,'2_IMPORTAR_EJECUCION'!$J$9:$J$1208,0)),0))</f>
        <v/>
      </c>
      <c r="AM656" s="32">
        <f>IF($A656="","",MAX(0,IFERROR(INDEX('2_IMPORTAR_EJECUCION'!$H$9:$H$1208,MATCH($AU656,'2_IMPORTAR_EJECUCION'!$J$9:$J$1208,0)),0)-$AL656))</f>
        <v/>
      </c>
      <c r="AN656" s="32">
        <f>IF($A656="","",$AL656+$AM656)</f>
        <v/>
      </c>
      <c r="AO656" s="24">
        <f>IF($A656="","",IF(OR((IFERROR(INDEX('CAT_ACTIVIDADES'!$D$4:$D$26,MATCH($H656,'CAT_ACTIVIDADES'!$A$4:$A$26,0)),""))=0,(IFERROR(INDEX('CAT_ACTIVIDADES'!$D$4:$D$26,MATCH($H656,'CAT_ACTIVIDADES'!$A$4:$A$26,0)),""))=""),"SIN CLASIFICAR",IFERROR(INDEX('CAT_ACTIVIDADES'!$D$4:$D$26,MATCH($H656,'CAT_ACTIVIDADES'!$A$4:$A$26,0)),"")))</f>
        <v/>
      </c>
      <c r="AP656" s="4" t="n"/>
      <c r="AQ656" s="4" t="n"/>
      <c r="AR656" s="4" t="n"/>
      <c r="AS656" s="24">
        <f>IF($AR656="","",HYPERLINK(p_ruta_base_checklists&amp;$AR656,"abrir"))</f>
        <v/>
      </c>
      <c r="AT656" s="4" t="n"/>
      <c r="AU656" s="24">
        <f>IF($A656="","",$A656&amp;IF($B656="","0010",$B656))</f>
        <v/>
      </c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41" t="n"/>
      <c r="K657" s="5" t="n"/>
      <c r="L657" s="18" t="n"/>
      <c r="M657" s="24">
        <f>IF($A657="","",IFERROR(INDEX('AJUSTES'!$B$4:$B$303,MATCH($AU657,'AJUSTES'!$A$4:$A$303,0)),IF($K657="","",$K657)))</f>
        <v/>
      </c>
      <c r="N657" s="24">
        <f>IF($A657="","",IFERROR(INDEX('CAT_ESTADOS_ERP'!$B$4:$B$22,MATCH(IFERROR(INDEX('2_IMPORTAR_EJECUCION'!$C$9:$C$1208,MATCH($AU657,'2_IMPORTAR_EJECUCION'!$J$9:$J$1208,0)),""),'CAT_ESTADOS_ERP'!$A$4:$A$22,0)),"Pendiente"))</f>
        <v/>
      </c>
      <c r="O657" s="24">
        <f>IF($J657="","",YEAR($J657+4-WEEKDAY($J657,2))&amp;"-S"&amp;TEXT(_xlfn.ISOWEEKNUM($J657),"00"))</f>
        <v/>
      </c>
      <c r="P657" s="24">
        <f>IF($J657="","",YEAR($J657))</f>
        <v/>
      </c>
      <c r="Q657" s="24">
        <f>IF($J657="","",MONTH($J657))</f>
        <v/>
      </c>
      <c r="R657" s="24">
        <f>IF($J657="","",$P657&amp;"-"&amp;TEXT($Q657,"00"))</f>
        <v/>
      </c>
      <c r="S657" s="24">
        <f>IF($J657="","",INDEX(lista_dias,WEEKDAY($J657,2)))</f>
        <v/>
      </c>
      <c r="T657" s="24">
        <f>IF($J657="","",IFERROR(INDEX('CALENDARIO'!$C$15:$C$214,MATCH(TEXT($J657,"yyyy-mm-dd")&amp;"|"&amp;$Y657&amp;"|"&amp;$Z657,'CALENDARIO'!$G$15:$G$214,0)),IFERROR(INDEX('CALENDARIO'!$C$15:$C$214,MATCH(TEXT($J657,"yyyy-mm-dd")&amp;"|"&amp;$Y657&amp;"|",'CALENDARIO'!$G$15:$G$214,0)),IFERROR(INDEX('CALENDARIO'!$C$15:$C$214,MATCH(TEXT($J657,"yyyy-mm-dd")&amp;"||",'CALENDARIO'!$G$15:$G$214,0)),INDEX(patronHabil,WEEKDAY($J657,2))))))</f>
        <v/>
      </c>
      <c r="U657" s="24">
        <f>IF($I657="","",IFERROR(INDEX('CAT_TIPOS_OT'!$C$4:$C$23,MATCH($I657,'CAT_TIPOS_OT'!$A$4:$A$23,0)),"sin_clasificar"))</f>
        <v/>
      </c>
      <c r="V657" s="24">
        <f>IF($I657="","",IF(IFERROR(INDEX('CAT_TIPOS_OT'!$D$4:$D$23,MATCH($I657,'CAT_TIPOS_OT'!$A$4:$A$23,0)),"SIN CLASIFICAR")="","SIN CLASIFICAR",IFERROR(INDEX('CAT_TIPOS_OT'!$D$4:$D$23,MATCH($I657,'CAT_TIPOS_OT'!$A$4:$A$23,0)),"SIN CLASIFICAR")))</f>
        <v/>
      </c>
      <c r="W657" s="24">
        <f>IF($H657="","",IF(IFERROR(INDEX('CAT_ACTIVIDADES'!$F$4:$F$26,MATCH($H657,'CAT_ACTIVIDADES'!$A$4:$A$26,0)),"")=0,"",IFERROR(INDEX('CAT_ACTIVIDADES'!$F$4:$F$26,MATCH($H657,'CAT_ACTIVIDADES'!$A$4:$A$26,0)),"")))</f>
        <v/>
      </c>
      <c r="X657" s="24">
        <f>IF($F657="","",IFERROR(INDEX('CAT_CENTROS_COSTO'!$F$4:$F$28,MATCH($F657,'CAT_CENTROS_COSTO'!$A$4:$A$28,0)),"(sin catálogo)"))</f>
        <v/>
      </c>
      <c r="Y657" s="24">
        <f>IF($F657="","",IFERROR(INDEX('CAT_CENTROS_COSTO'!$D$4:$D$28,MATCH($F657,'CAT_CENTROS_COSTO'!$A$4:$A$28,0)),"(sin catálogo)"))</f>
        <v/>
      </c>
      <c r="Z657" s="24">
        <f>IF($F657="","",IF((IFERROR(INDEX('CAT_CENTROS_COSTO'!$E$4:$E$28,MATCH($F657,'CAT_CENTROS_COSTO'!$A$4:$A$28,0)),""))&lt;&gt;"",IFERROR(INDEX('CAT_CENTROS_COSTO'!$E$4:$E$28,MATCH($F657,'CAT_CENTROS_COSTO'!$A$4:$A$28,0)),""),$Y657))</f>
        <v/>
      </c>
      <c r="AA657" s="24">
        <f>IF($F657="","",IFERROR(INDEX('CAT_CENTROS_COSTO'!$G$4:$G$28,MATCH($F657,'CAT_CENTROS_COSTO'!$A$4:$A$28,0)),"(sin catálogo)"))</f>
        <v/>
      </c>
      <c r="AB657" s="24">
        <f>IF($G657="","",IFERROR(INDEX('CAT_PUESTOS'!$B$4:$B$23,MATCH($G657,'CAT_PUESTOS'!$A$4:$A$23,0)),"(sin catálogo)"))</f>
        <v/>
      </c>
      <c r="AC657" s="24">
        <f>IF($H657="","",IFERROR(INDEX('CAT_ACTIVIDADES'!$B$4:$B$26,MATCH($H657,'CAT_ACTIVIDADES'!$A$4:$A$26,0)),"(sin catálogo)"))</f>
        <v/>
      </c>
      <c r="AD657" s="26">
        <f>IF($J657="","",TODAY()-$J657)</f>
        <v/>
      </c>
      <c r="AE657" s="26">
        <f>IF($J657="","",IF($J657&lt;=TODAY(),COUNTIFS(cal_fechas,"&gt;="&amp;$J657,cal_fechas,"&lt;"&amp;TODAY(),cal_habil,"sí"),-COUNTIFS(cal_fechas,"&gt;="&amp;TODAY(),cal_fechas,"&lt;"&amp;$J657,cal_habil,"sí")))</f>
        <v/>
      </c>
      <c r="AF657" s="24">
        <f>IF($AE657="","",IF($AE657&lt;0,"FUTURO",IF($AE657&gt;p_dias_backlog_max,"BACKLOG","MES CORRIENTE")))</f>
        <v/>
      </c>
      <c r="AG657" s="24">
        <f>IF($AE657="",FALSE,AND($AE657&gt;p_dias_backlog_min,$AE657&lt;=p_dias_backlog_max))</f>
        <v/>
      </c>
      <c r="AH657" s="4" t="n"/>
      <c r="AI657" s="24">
        <f>IF($AH657="","",IF((IFERROR(INDEX('ASIGNACIONES'!$J$4:$J$451,MATCH($O657&amp;"|"&amp;$S657&amp;"|"&amp;$AH657,'ASIGNACIONES'!$N$4:$N$451,0)),""))=0,"",IFERROR(INDEX('ASIGNACIONES'!$J$4:$J$451,MATCH($O657&amp;"|"&amp;$S657&amp;"|"&amp;$AH657,'ASIGNACIONES'!$N$4:$N$451,0)),"")))</f>
        <v/>
      </c>
      <c r="AJ657" s="42">
        <f>IF($AH657="","",SUMIFS('ORDENES'!$M$4:$M$1203,'ORDENES'!$AH$4:$AH$1203,$AH657,'ORDENES'!$O$4:$O$1203,$O657,'ORDENES'!$S$4:$S$1203,$S657))</f>
        <v/>
      </c>
      <c r="AK657" s="42">
        <f>IF($AJ657="","",p_factor_productividad*IFERROR(INDEX('ASIGNACIONES'!$M$4:$M$451,MATCH($O657&amp;"|"&amp;$S657&amp;"|"&amp;$AH657,'ASIGNACIONES'!$N$4:$N$451,0)),0)-$AJ657)</f>
        <v/>
      </c>
      <c r="AL657" s="32">
        <f>IF($A657="","",IFERROR(INDEX('2_IMPORTAR_EJECUCION'!$F$9:$F$1208,MATCH($AU657,'2_IMPORTAR_EJECUCION'!$J$9:$J$1208,0)),0))</f>
        <v/>
      </c>
      <c r="AM657" s="32">
        <f>IF($A657="","",MAX(0,IFERROR(INDEX('2_IMPORTAR_EJECUCION'!$H$9:$H$1208,MATCH($AU657,'2_IMPORTAR_EJECUCION'!$J$9:$J$1208,0)),0)-$AL657))</f>
        <v/>
      </c>
      <c r="AN657" s="32">
        <f>IF($A657="","",$AL657+$AM657)</f>
        <v/>
      </c>
      <c r="AO657" s="24">
        <f>IF($A657="","",IF(OR((IFERROR(INDEX('CAT_ACTIVIDADES'!$D$4:$D$26,MATCH($H657,'CAT_ACTIVIDADES'!$A$4:$A$26,0)),""))=0,(IFERROR(INDEX('CAT_ACTIVIDADES'!$D$4:$D$26,MATCH($H657,'CAT_ACTIVIDADES'!$A$4:$A$26,0)),""))=""),"SIN CLASIFICAR",IFERROR(INDEX('CAT_ACTIVIDADES'!$D$4:$D$26,MATCH($H657,'CAT_ACTIVIDADES'!$A$4:$A$26,0)),"")))</f>
        <v/>
      </c>
      <c r="AP657" s="4" t="n"/>
      <c r="AQ657" s="4" t="n"/>
      <c r="AR657" s="4" t="n"/>
      <c r="AS657" s="24">
        <f>IF($AR657="","",HYPERLINK(p_ruta_base_checklists&amp;$AR657,"abrir"))</f>
        <v/>
      </c>
      <c r="AT657" s="4" t="n"/>
      <c r="AU657" s="24">
        <f>IF($A657="","",$A657&amp;IF($B657="","0010",$B657))</f>
        <v/>
      </c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41" t="n"/>
      <c r="K658" s="5" t="n"/>
      <c r="L658" s="18" t="n"/>
      <c r="M658" s="24">
        <f>IF($A658="","",IFERROR(INDEX('AJUSTES'!$B$4:$B$303,MATCH($AU658,'AJUSTES'!$A$4:$A$303,0)),IF($K658="","",$K658)))</f>
        <v/>
      </c>
      <c r="N658" s="24">
        <f>IF($A658="","",IFERROR(INDEX('CAT_ESTADOS_ERP'!$B$4:$B$22,MATCH(IFERROR(INDEX('2_IMPORTAR_EJECUCION'!$C$9:$C$1208,MATCH($AU658,'2_IMPORTAR_EJECUCION'!$J$9:$J$1208,0)),""),'CAT_ESTADOS_ERP'!$A$4:$A$22,0)),"Pendiente"))</f>
        <v/>
      </c>
      <c r="O658" s="24">
        <f>IF($J658="","",YEAR($J658+4-WEEKDAY($J658,2))&amp;"-S"&amp;TEXT(_xlfn.ISOWEEKNUM($J658),"00"))</f>
        <v/>
      </c>
      <c r="P658" s="24">
        <f>IF($J658="","",YEAR($J658))</f>
        <v/>
      </c>
      <c r="Q658" s="24">
        <f>IF($J658="","",MONTH($J658))</f>
        <v/>
      </c>
      <c r="R658" s="24">
        <f>IF($J658="","",$P658&amp;"-"&amp;TEXT($Q658,"00"))</f>
        <v/>
      </c>
      <c r="S658" s="24">
        <f>IF($J658="","",INDEX(lista_dias,WEEKDAY($J658,2)))</f>
        <v/>
      </c>
      <c r="T658" s="24">
        <f>IF($J658="","",IFERROR(INDEX('CALENDARIO'!$C$15:$C$214,MATCH(TEXT($J658,"yyyy-mm-dd")&amp;"|"&amp;$Y658&amp;"|"&amp;$Z658,'CALENDARIO'!$G$15:$G$214,0)),IFERROR(INDEX('CALENDARIO'!$C$15:$C$214,MATCH(TEXT($J658,"yyyy-mm-dd")&amp;"|"&amp;$Y658&amp;"|",'CALENDARIO'!$G$15:$G$214,0)),IFERROR(INDEX('CALENDARIO'!$C$15:$C$214,MATCH(TEXT($J658,"yyyy-mm-dd")&amp;"||",'CALENDARIO'!$G$15:$G$214,0)),INDEX(patronHabil,WEEKDAY($J658,2))))))</f>
        <v/>
      </c>
      <c r="U658" s="24">
        <f>IF($I658="","",IFERROR(INDEX('CAT_TIPOS_OT'!$C$4:$C$23,MATCH($I658,'CAT_TIPOS_OT'!$A$4:$A$23,0)),"sin_clasificar"))</f>
        <v/>
      </c>
      <c r="V658" s="24">
        <f>IF($I658="","",IF(IFERROR(INDEX('CAT_TIPOS_OT'!$D$4:$D$23,MATCH($I658,'CAT_TIPOS_OT'!$A$4:$A$23,0)),"SIN CLASIFICAR")="","SIN CLASIFICAR",IFERROR(INDEX('CAT_TIPOS_OT'!$D$4:$D$23,MATCH($I658,'CAT_TIPOS_OT'!$A$4:$A$23,0)),"SIN CLASIFICAR")))</f>
        <v/>
      </c>
      <c r="W658" s="24">
        <f>IF($H658="","",IF(IFERROR(INDEX('CAT_ACTIVIDADES'!$F$4:$F$26,MATCH($H658,'CAT_ACTIVIDADES'!$A$4:$A$26,0)),"")=0,"",IFERROR(INDEX('CAT_ACTIVIDADES'!$F$4:$F$26,MATCH($H658,'CAT_ACTIVIDADES'!$A$4:$A$26,0)),"")))</f>
        <v/>
      </c>
      <c r="X658" s="24">
        <f>IF($F658="","",IFERROR(INDEX('CAT_CENTROS_COSTO'!$F$4:$F$28,MATCH($F658,'CAT_CENTROS_COSTO'!$A$4:$A$28,0)),"(sin catálogo)"))</f>
        <v/>
      </c>
      <c r="Y658" s="24">
        <f>IF($F658="","",IFERROR(INDEX('CAT_CENTROS_COSTO'!$D$4:$D$28,MATCH($F658,'CAT_CENTROS_COSTO'!$A$4:$A$28,0)),"(sin catálogo)"))</f>
        <v/>
      </c>
      <c r="Z658" s="24">
        <f>IF($F658="","",IF((IFERROR(INDEX('CAT_CENTROS_COSTO'!$E$4:$E$28,MATCH($F658,'CAT_CENTROS_COSTO'!$A$4:$A$28,0)),""))&lt;&gt;"",IFERROR(INDEX('CAT_CENTROS_COSTO'!$E$4:$E$28,MATCH($F658,'CAT_CENTROS_COSTO'!$A$4:$A$28,0)),""),$Y658))</f>
        <v/>
      </c>
      <c r="AA658" s="24">
        <f>IF($F658="","",IFERROR(INDEX('CAT_CENTROS_COSTO'!$G$4:$G$28,MATCH($F658,'CAT_CENTROS_COSTO'!$A$4:$A$28,0)),"(sin catálogo)"))</f>
        <v/>
      </c>
      <c r="AB658" s="24">
        <f>IF($G658="","",IFERROR(INDEX('CAT_PUESTOS'!$B$4:$B$23,MATCH($G658,'CAT_PUESTOS'!$A$4:$A$23,0)),"(sin catálogo)"))</f>
        <v/>
      </c>
      <c r="AC658" s="24">
        <f>IF($H658="","",IFERROR(INDEX('CAT_ACTIVIDADES'!$B$4:$B$26,MATCH($H658,'CAT_ACTIVIDADES'!$A$4:$A$26,0)),"(sin catálogo)"))</f>
        <v/>
      </c>
      <c r="AD658" s="26">
        <f>IF($J658="","",TODAY()-$J658)</f>
        <v/>
      </c>
      <c r="AE658" s="26">
        <f>IF($J658="","",IF($J658&lt;=TODAY(),COUNTIFS(cal_fechas,"&gt;="&amp;$J658,cal_fechas,"&lt;"&amp;TODAY(),cal_habil,"sí"),-COUNTIFS(cal_fechas,"&gt;="&amp;TODAY(),cal_fechas,"&lt;"&amp;$J658,cal_habil,"sí")))</f>
        <v/>
      </c>
      <c r="AF658" s="24">
        <f>IF($AE658="","",IF($AE658&lt;0,"FUTURO",IF($AE658&gt;p_dias_backlog_max,"BACKLOG","MES CORRIENTE")))</f>
        <v/>
      </c>
      <c r="AG658" s="24">
        <f>IF($AE658="",FALSE,AND($AE658&gt;p_dias_backlog_min,$AE658&lt;=p_dias_backlog_max))</f>
        <v/>
      </c>
      <c r="AH658" s="4" t="n"/>
      <c r="AI658" s="24">
        <f>IF($AH658="","",IF((IFERROR(INDEX('ASIGNACIONES'!$J$4:$J$451,MATCH($O658&amp;"|"&amp;$S658&amp;"|"&amp;$AH658,'ASIGNACIONES'!$N$4:$N$451,0)),""))=0,"",IFERROR(INDEX('ASIGNACIONES'!$J$4:$J$451,MATCH($O658&amp;"|"&amp;$S658&amp;"|"&amp;$AH658,'ASIGNACIONES'!$N$4:$N$451,0)),"")))</f>
        <v/>
      </c>
      <c r="AJ658" s="42">
        <f>IF($AH658="","",SUMIFS('ORDENES'!$M$4:$M$1203,'ORDENES'!$AH$4:$AH$1203,$AH658,'ORDENES'!$O$4:$O$1203,$O658,'ORDENES'!$S$4:$S$1203,$S658))</f>
        <v/>
      </c>
      <c r="AK658" s="42">
        <f>IF($AJ658="","",p_factor_productividad*IFERROR(INDEX('ASIGNACIONES'!$M$4:$M$451,MATCH($O658&amp;"|"&amp;$S658&amp;"|"&amp;$AH658,'ASIGNACIONES'!$N$4:$N$451,0)),0)-$AJ658)</f>
        <v/>
      </c>
      <c r="AL658" s="32">
        <f>IF($A658="","",IFERROR(INDEX('2_IMPORTAR_EJECUCION'!$F$9:$F$1208,MATCH($AU658,'2_IMPORTAR_EJECUCION'!$J$9:$J$1208,0)),0))</f>
        <v/>
      </c>
      <c r="AM658" s="32">
        <f>IF($A658="","",MAX(0,IFERROR(INDEX('2_IMPORTAR_EJECUCION'!$H$9:$H$1208,MATCH($AU658,'2_IMPORTAR_EJECUCION'!$J$9:$J$1208,0)),0)-$AL658))</f>
        <v/>
      </c>
      <c r="AN658" s="32">
        <f>IF($A658="","",$AL658+$AM658)</f>
        <v/>
      </c>
      <c r="AO658" s="24">
        <f>IF($A658="","",IF(OR((IFERROR(INDEX('CAT_ACTIVIDADES'!$D$4:$D$26,MATCH($H658,'CAT_ACTIVIDADES'!$A$4:$A$26,0)),""))=0,(IFERROR(INDEX('CAT_ACTIVIDADES'!$D$4:$D$26,MATCH($H658,'CAT_ACTIVIDADES'!$A$4:$A$26,0)),""))=""),"SIN CLASIFICAR",IFERROR(INDEX('CAT_ACTIVIDADES'!$D$4:$D$26,MATCH($H658,'CAT_ACTIVIDADES'!$A$4:$A$26,0)),"")))</f>
        <v/>
      </c>
      <c r="AP658" s="4" t="n"/>
      <c r="AQ658" s="4" t="n"/>
      <c r="AR658" s="4" t="n"/>
      <c r="AS658" s="24">
        <f>IF($AR658="","",HYPERLINK(p_ruta_base_checklists&amp;$AR658,"abrir"))</f>
        <v/>
      </c>
      <c r="AT658" s="4" t="n"/>
      <c r="AU658" s="24">
        <f>IF($A658="","",$A658&amp;IF($B658="","0010",$B658))</f>
        <v/>
      </c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41" t="n"/>
      <c r="K659" s="5" t="n"/>
      <c r="L659" s="18" t="n"/>
      <c r="M659" s="24">
        <f>IF($A659="","",IFERROR(INDEX('AJUSTES'!$B$4:$B$303,MATCH($AU659,'AJUSTES'!$A$4:$A$303,0)),IF($K659="","",$K659)))</f>
        <v/>
      </c>
      <c r="N659" s="24">
        <f>IF($A659="","",IFERROR(INDEX('CAT_ESTADOS_ERP'!$B$4:$B$22,MATCH(IFERROR(INDEX('2_IMPORTAR_EJECUCION'!$C$9:$C$1208,MATCH($AU659,'2_IMPORTAR_EJECUCION'!$J$9:$J$1208,0)),""),'CAT_ESTADOS_ERP'!$A$4:$A$22,0)),"Pendiente"))</f>
        <v/>
      </c>
      <c r="O659" s="24">
        <f>IF($J659="","",YEAR($J659+4-WEEKDAY($J659,2))&amp;"-S"&amp;TEXT(_xlfn.ISOWEEKNUM($J659),"00"))</f>
        <v/>
      </c>
      <c r="P659" s="24">
        <f>IF($J659="","",YEAR($J659))</f>
        <v/>
      </c>
      <c r="Q659" s="24">
        <f>IF($J659="","",MONTH($J659))</f>
        <v/>
      </c>
      <c r="R659" s="24">
        <f>IF($J659="","",$P659&amp;"-"&amp;TEXT($Q659,"00"))</f>
        <v/>
      </c>
      <c r="S659" s="24">
        <f>IF($J659="","",INDEX(lista_dias,WEEKDAY($J659,2)))</f>
        <v/>
      </c>
      <c r="T659" s="24">
        <f>IF($J659="","",IFERROR(INDEX('CALENDARIO'!$C$15:$C$214,MATCH(TEXT($J659,"yyyy-mm-dd")&amp;"|"&amp;$Y659&amp;"|"&amp;$Z659,'CALENDARIO'!$G$15:$G$214,0)),IFERROR(INDEX('CALENDARIO'!$C$15:$C$214,MATCH(TEXT($J659,"yyyy-mm-dd")&amp;"|"&amp;$Y659&amp;"|",'CALENDARIO'!$G$15:$G$214,0)),IFERROR(INDEX('CALENDARIO'!$C$15:$C$214,MATCH(TEXT($J659,"yyyy-mm-dd")&amp;"||",'CALENDARIO'!$G$15:$G$214,0)),INDEX(patronHabil,WEEKDAY($J659,2))))))</f>
        <v/>
      </c>
      <c r="U659" s="24">
        <f>IF($I659="","",IFERROR(INDEX('CAT_TIPOS_OT'!$C$4:$C$23,MATCH($I659,'CAT_TIPOS_OT'!$A$4:$A$23,0)),"sin_clasificar"))</f>
        <v/>
      </c>
      <c r="V659" s="24">
        <f>IF($I659="","",IF(IFERROR(INDEX('CAT_TIPOS_OT'!$D$4:$D$23,MATCH($I659,'CAT_TIPOS_OT'!$A$4:$A$23,0)),"SIN CLASIFICAR")="","SIN CLASIFICAR",IFERROR(INDEX('CAT_TIPOS_OT'!$D$4:$D$23,MATCH($I659,'CAT_TIPOS_OT'!$A$4:$A$23,0)),"SIN CLASIFICAR")))</f>
        <v/>
      </c>
      <c r="W659" s="24">
        <f>IF($H659="","",IF(IFERROR(INDEX('CAT_ACTIVIDADES'!$F$4:$F$26,MATCH($H659,'CAT_ACTIVIDADES'!$A$4:$A$26,0)),"")=0,"",IFERROR(INDEX('CAT_ACTIVIDADES'!$F$4:$F$26,MATCH($H659,'CAT_ACTIVIDADES'!$A$4:$A$26,0)),"")))</f>
        <v/>
      </c>
      <c r="X659" s="24">
        <f>IF($F659="","",IFERROR(INDEX('CAT_CENTROS_COSTO'!$F$4:$F$28,MATCH($F659,'CAT_CENTROS_COSTO'!$A$4:$A$28,0)),"(sin catálogo)"))</f>
        <v/>
      </c>
      <c r="Y659" s="24">
        <f>IF($F659="","",IFERROR(INDEX('CAT_CENTROS_COSTO'!$D$4:$D$28,MATCH($F659,'CAT_CENTROS_COSTO'!$A$4:$A$28,0)),"(sin catálogo)"))</f>
        <v/>
      </c>
      <c r="Z659" s="24">
        <f>IF($F659="","",IF((IFERROR(INDEX('CAT_CENTROS_COSTO'!$E$4:$E$28,MATCH($F659,'CAT_CENTROS_COSTO'!$A$4:$A$28,0)),""))&lt;&gt;"",IFERROR(INDEX('CAT_CENTROS_COSTO'!$E$4:$E$28,MATCH($F659,'CAT_CENTROS_COSTO'!$A$4:$A$28,0)),""),$Y659))</f>
        <v/>
      </c>
      <c r="AA659" s="24">
        <f>IF($F659="","",IFERROR(INDEX('CAT_CENTROS_COSTO'!$G$4:$G$28,MATCH($F659,'CAT_CENTROS_COSTO'!$A$4:$A$28,0)),"(sin catálogo)"))</f>
        <v/>
      </c>
      <c r="AB659" s="24">
        <f>IF($G659="","",IFERROR(INDEX('CAT_PUESTOS'!$B$4:$B$23,MATCH($G659,'CAT_PUESTOS'!$A$4:$A$23,0)),"(sin catálogo)"))</f>
        <v/>
      </c>
      <c r="AC659" s="24">
        <f>IF($H659="","",IFERROR(INDEX('CAT_ACTIVIDADES'!$B$4:$B$26,MATCH($H659,'CAT_ACTIVIDADES'!$A$4:$A$26,0)),"(sin catálogo)"))</f>
        <v/>
      </c>
      <c r="AD659" s="26">
        <f>IF($J659="","",TODAY()-$J659)</f>
        <v/>
      </c>
      <c r="AE659" s="26">
        <f>IF($J659="","",IF($J659&lt;=TODAY(),COUNTIFS(cal_fechas,"&gt;="&amp;$J659,cal_fechas,"&lt;"&amp;TODAY(),cal_habil,"sí"),-COUNTIFS(cal_fechas,"&gt;="&amp;TODAY(),cal_fechas,"&lt;"&amp;$J659,cal_habil,"sí")))</f>
        <v/>
      </c>
      <c r="AF659" s="24">
        <f>IF($AE659="","",IF($AE659&lt;0,"FUTURO",IF($AE659&gt;p_dias_backlog_max,"BACKLOG","MES CORRIENTE")))</f>
        <v/>
      </c>
      <c r="AG659" s="24">
        <f>IF($AE659="",FALSE,AND($AE659&gt;p_dias_backlog_min,$AE659&lt;=p_dias_backlog_max))</f>
        <v/>
      </c>
      <c r="AH659" s="4" t="n"/>
      <c r="AI659" s="24">
        <f>IF($AH659="","",IF((IFERROR(INDEX('ASIGNACIONES'!$J$4:$J$451,MATCH($O659&amp;"|"&amp;$S659&amp;"|"&amp;$AH659,'ASIGNACIONES'!$N$4:$N$451,0)),""))=0,"",IFERROR(INDEX('ASIGNACIONES'!$J$4:$J$451,MATCH($O659&amp;"|"&amp;$S659&amp;"|"&amp;$AH659,'ASIGNACIONES'!$N$4:$N$451,0)),"")))</f>
        <v/>
      </c>
      <c r="AJ659" s="42">
        <f>IF($AH659="","",SUMIFS('ORDENES'!$M$4:$M$1203,'ORDENES'!$AH$4:$AH$1203,$AH659,'ORDENES'!$O$4:$O$1203,$O659,'ORDENES'!$S$4:$S$1203,$S659))</f>
        <v/>
      </c>
      <c r="AK659" s="42">
        <f>IF($AJ659="","",p_factor_productividad*IFERROR(INDEX('ASIGNACIONES'!$M$4:$M$451,MATCH($O659&amp;"|"&amp;$S659&amp;"|"&amp;$AH659,'ASIGNACIONES'!$N$4:$N$451,0)),0)-$AJ659)</f>
        <v/>
      </c>
      <c r="AL659" s="32">
        <f>IF($A659="","",IFERROR(INDEX('2_IMPORTAR_EJECUCION'!$F$9:$F$1208,MATCH($AU659,'2_IMPORTAR_EJECUCION'!$J$9:$J$1208,0)),0))</f>
        <v/>
      </c>
      <c r="AM659" s="32">
        <f>IF($A659="","",MAX(0,IFERROR(INDEX('2_IMPORTAR_EJECUCION'!$H$9:$H$1208,MATCH($AU659,'2_IMPORTAR_EJECUCION'!$J$9:$J$1208,0)),0)-$AL659))</f>
        <v/>
      </c>
      <c r="AN659" s="32">
        <f>IF($A659="","",$AL659+$AM659)</f>
        <v/>
      </c>
      <c r="AO659" s="24">
        <f>IF($A659="","",IF(OR((IFERROR(INDEX('CAT_ACTIVIDADES'!$D$4:$D$26,MATCH($H659,'CAT_ACTIVIDADES'!$A$4:$A$26,0)),""))=0,(IFERROR(INDEX('CAT_ACTIVIDADES'!$D$4:$D$26,MATCH($H659,'CAT_ACTIVIDADES'!$A$4:$A$26,0)),""))=""),"SIN CLASIFICAR",IFERROR(INDEX('CAT_ACTIVIDADES'!$D$4:$D$26,MATCH($H659,'CAT_ACTIVIDADES'!$A$4:$A$26,0)),"")))</f>
        <v/>
      </c>
      <c r="AP659" s="4" t="n"/>
      <c r="AQ659" s="4" t="n"/>
      <c r="AR659" s="4" t="n"/>
      <c r="AS659" s="24">
        <f>IF($AR659="","",HYPERLINK(p_ruta_base_checklists&amp;$AR659,"abrir"))</f>
        <v/>
      </c>
      <c r="AT659" s="4" t="n"/>
      <c r="AU659" s="24">
        <f>IF($A659="","",$A659&amp;IF($B659="","0010",$B659))</f>
        <v/>
      </c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41" t="n"/>
      <c r="K660" s="5" t="n"/>
      <c r="L660" s="18" t="n"/>
      <c r="M660" s="24">
        <f>IF($A660="","",IFERROR(INDEX('AJUSTES'!$B$4:$B$303,MATCH($AU660,'AJUSTES'!$A$4:$A$303,0)),IF($K660="","",$K660)))</f>
        <v/>
      </c>
      <c r="N660" s="24">
        <f>IF($A660="","",IFERROR(INDEX('CAT_ESTADOS_ERP'!$B$4:$B$22,MATCH(IFERROR(INDEX('2_IMPORTAR_EJECUCION'!$C$9:$C$1208,MATCH($AU660,'2_IMPORTAR_EJECUCION'!$J$9:$J$1208,0)),""),'CAT_ESTADOS_ERP'!$A$4:$A$22,0)),"Pendiente"))</f>
        <v/>
      </c>
      <c r="O660" s="24">
        <f>IF($J660="","",YEAR($J660+4-WEEKDAY($J660,2))&amp;"-S"&amp;TEXT(_xlfn.ISOWEEKNUM($J660),"00"))</f>
        <v/>
      </c>
      <c r="P660" s="24">
        <f>IF($J660="","",YEAR($J660))</f>
        <v/>
      </c>
      <c r="Q660" s="24">
        <f>IF($J660="","",MONTH($J660))</f>
        <v/>
      </c>
      <c r="R660" s="24">
        <f>IF($J660="","",$P660&amp;"-"&amp;TEXT($Q660,"00"))</f>
        <v/>
      </c>
      <c r="S660" s="24">
        <f>IF($J660="","",INDEX(lista_dias,WEEKDAY($J660,2)))</f>
        <v/>
      </c>
      <c r="T660" s="24">
        <f>IF($J660="","",IFERROR(INDEX('CALENDARIO'!$C$15:$C$214,MATCH(TEXT($J660,"yyyy-mm-dd")&amp;"|"&amp;$Y660&amp;"|"&amp;$Z660,'CALENDARIO'!$G$15:$G$214,0)),IFERROR(INDEX('CALENDARIO'!$C$15:$C$214,MATCH(TEXT($J660,"yyyy-mm-dd")&amp;"|"&amp;$Y660&amp;"|",'CALENDARIO'!$G$15:$G$214,0)),IFERROR(INDEX('CALENDARIO'!$C$15:$C$214,MATCH(TEXT($J660,"yyyy-mm-dd")&amp;"||",'CALENDARIO'!$G$15:$G$214,0)),INDEX(patronHabil,WEEKDAY($J660,2))))))</f>
        <v/>
      </c>
      <c r="U660" s="24">
        <f>IF($I660="","",IFERROR(INDEX('CAT_TIPOS_OT'!$C$4:$C$23,MATCH($I660,'CAT_TIPOS_OT'!$A$4:$A$23,0)),"sin_clasificar"))</f>
        <v/>
      </c>
      <c r="V660" s="24">
        <f>IF($I660="","",IF(IFERROR(INDEX('CAT_TIPOS_OT'!$D$4:$D$23,MATCH($I660,'CAT_TIPOS_OT'!$A$4:$A$23,0)),"SIN CLASIFICAR")="","SIN CLASIFICAR",IFERROR(INDEX('CAT_TIPOS_OT'!$D$4:$D$23,MATCH($I660,'CAT_TIPOS_OT'!$A$4:$A$23,0)),"SIN CLASIFICAR")))</f>
        <v/>
      </c>
      <c r="W660" s="24">
        <f>IF($H660="","",IF(IFERROR(INDEX('CAT_ACTIVIDADES'!$F$4:$F$26,MATCH($H660,'CAT_ACTIVIDADES'!$A$4:$A$26,0)),"")=0,"",IFERROR(INDEX('CAT_ACTIVIDADES'!$F$4:$F$26,MATCH($H660,'CAT_ACTIVIDADES'!$A$4:$A$26,0)),"")))</f>
        <v/>
      </c>
      <c r="X660" s="24">
        <f>IF($F660="","",IFERROR(INDEX('CAT_CENTROS_COSTO'!$F$4:$F$28,MATCH($F660,'CAT_CENTROS_COSTO'!$A$4:$A$28,0)),"(sin catálogo)"))</f>
        <v/>
      </c>
      <c r="Y660" s="24">
        <f>IF($F660="","",IFERROR(INDEX('CAT_CENTROS_COSTO'!$D$4:$D$28,MATCH($F660,'CAT_CENTROS_COSTO'!$A$4:$A$28,0)),"(sin catálogo)"))</f>
        <v/>
      </c>
      <c r="Z660" s="24">
        <f>IF($F660="","",IF((IFERROR(INDEX('CAT_CENTROS_COSTO'!$E$4:$E$28,MATCH($F660,'CAT_CENTROS_COSTO'!$A$4:$A$28,0)),""))&lt;&gt;"",IFERROR(INDEX('CAT_CENTROS_COSTO'!$E$4:$E$28,MATCH($F660,'CAT_CENTROS_COSTO'!$A$4:$A$28,0)),""),$Y660))</f>
        <v/>
      </c>
      <c r="AA660" s="24">
        <f>IF($F660="","",IFERROR(INDEX('CAT_CENTROS_COSTO'!$G$4:$G$28,MATCH($F660,'CAT_CENTROS_COSTO'!$A$4:$A$28,0)),"(sin catálogo)"))</f>
        <v/>
      </c>
      <c r="AB660" s="24">
        <f>IF($G660="","",IFERROR(INDEX('CAT_PUESTOS'!$B$4:$B$23,MATCH($G660,'CAT_PUESTOS'!$A$4:$A$23,0)),"(sin catálogo)"))</f>
        <v/>
      </c>
      <c r="AC660" s="24">
        <f>IF($H660="","",IFERROR(INDEX('CAT_ACTIVIDADES'!$B$4:$B$26,MATCH($H660,'CAT_ACTIVIDADES'!$A$4:$A$26,0)),"(sin catálogo)"))</f>
        <v/>
      </c>
      <c r="AD660" s="26">
        <f>IF($J660="","",TODAY()-$J660)</f>
        <v/>
      </c>
      <c r="AE660" s="26">
        <f>IF($J660="","",IF($J660&lt;=TODAY(),COUNTIFS(cal_fechas,"&gt;="&amp;$J660,cal_fechas,"&lt;"&amp;TODAY(),cal_habil,"sí"),-COUNTIFS(cal_fechas,"&gt;="&amp;TODAY(),cal_fechas,"&lt;"&amp;$J660,cal_habil,"sí")))</f>
        <v/>
      </c>
      <c r="AF660" s="24">
        <f>IF($AE660="","",IF($AE660&lt;0,"FUTURO",IF($AE660&gt;p_dias_backlog_max,"BACKLOG","MES CORRIENTE")))</f>
        <v/>
      </c>
      <c r="AG660" s="24">
        <f>IF($AE660="",FALSE,AND($AE660&gt;p_dias_backlog_min,$AE660&lt;=p_dias_backlog_max))</f>
        <v/>
      </c>
      <c r="AH660" s="4" t="n"/>
      <c r="AI660" s="24">
        <f>IF($AH660="","",IF((IFERROR(INDEX('ASIGNACIONES'!$J$4:$J$451,MATCH($O660&amp;"|"&amp;$S660&amp;"|"&amp;$AH660,'ASIGNACIONES'!$N$4:$N$451,0)),""))=0,"",IFERROR(INDEX('ASIGNACIONES'!$J$4:$J$451,MATCH($O660&amp;"|"&amp;$S660&amp;"|"&amp;$AH660,'ASIGNACIONES'!$N$4:$N$451,0)),"")))</f>
        <v/>
      </c>
      <c r="AJ660" s="42">
        <f>IF($AH660="","",SUMIFS('ORDENES'!$M$4:$M$1203,'ORDENES'!$AH$4:$AH$1203,$AH660,'ORDENES'!$O$4:$O$1203,$O660,'ORDENES'!$S$4:$S$1203,$S660))</f>
        <v/>
      </c>
      <c r="AK660" s="42">
        <f>IF($AJ660="","",p_factor_productividad*IFERROR(INDEX('ASIGNACIONES'!$M$4:$M$451,MATCH($O660&amp;"|"&amp;$S660&amp;"|"&amp;$AH660,'ASIGNACIONES'!$N$4:$N$451,0)),0)-$AJ660)</f>
        <v/>
      </c>
      <c r="AL660" s="32">
        <f>IF($A660="","",IFERROR(INDEX('2_IMPORTAR_EJECUCION'!$F$9:$F$1208,MATCH($AU660,'2_IMPORTAR_EJECUCION'!$J$9:$J$1208,0)),0))</f>
        <v/>
      </c>
      <c r="AM660" s="32">
        <f>IF($A660="","",MAX(0,IFERROR(INDEX('2_IMPORTAR_EJECUCION'!$H$9:$H$1208,MATCH($AU660,'2_IMPORTAR_EJECUCION'!$J$9:$J$1208,0)),0)-$AL660))</f>
        <v/>
      </c>
      <c r="AN660" s="32">
        <f>IF($A660="","",$AL660+$AM660)</f>
        <v/>
      </c>
      <c r="AO660" s="24">
        <f>IF($A660="","",IF(OR((IFERROR(INDEX('CAT_ACTIVIDADES'!$D$4:$D$26,MATCH($H660,'CAT_ACTIVIDADES'!$A$4:$A$26,0)),""))=0,(IFERROR(INDEX('CAT_ACTIVIDADES'!$D$4:$D$26,MATCH($H660,'CAT_ACTIVIDADES'!$A$4:$A$26,0)),""))=""),"SIN CLASIFICAR",IFERROR(INDEX('CAT_ACTIVIDADES'!$D$4:$D$26,MATCH($H660,'CAT_ACTIVIDADES'!$A$4:$A$26,0)),"")))</f>
        <v/>
      </c>
      <c r="AP660" s="4" t="n"/>
      <c r="AQ660" s="4" t="n"/>
      <c r="AR660" s="4" t="n"/>
      <c r="AS660" s="24">
        <f>IF($AR660="","",HYPERLINK(p_ruta_base_checklists&amp;$AR660,"abrir"))</f>
        <v/>
      </c>
      <c r="AT660" s="4" t="n"/>
      <c r="AU660" s="24">
        <f>IF($A660="","",$A660&amp;IF($B660="","0010",$B660))</f>
        <v/>
      </c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41" t="n"/>
      <c r="K661" s="5" t="n"/>
      <c r="L661" s="18" t="n"/>
      <c r="M661" s="24">
        <f>IF($A661="","",IFERROR(INDEX('AJUSTES'!$B$4:$B$303,MATCH($AU661,'AJUSTES'!$A$4:$A$303,0)),IF($K661="","",$K661)))</f>
        <v/>
      </c>
      <c r="N661" s="24">
        <f>IF($A661="","",IFERROR(INDEX('CAT_ESTADOS_ERP'!$B$4:$B$22,MATCH(IFERROR(INDEX('2_IMPORTAR_EJECUCION'!$C$9:$C$1208,MATCH($AU661,'2_IMPORTAR_EJECUCION'!$J$9:$J$1208,0)),""),'CAT_ESTADOS_ERP'!$A$4:$A$22,0)),"Pendiente"))</f>
        <v/>
      </c>
      <c r="O661" s="24">
        <f>IF($J661="","",YEAR($J661+4-WEEKDAY($J661,2))&amp;"-S"&amp;TEXT(_xlfn.ISOWEEKNUM($J661),"00"))</f>
        <v/>
      </c>
      <c r="P661" s="24">
        <f>IF($J661="","",YEAR($J661))</f>
        <v/>
      </c>
      <c r="Q661" s="24">
        <f>IF($J661="","",MONTH($J661))</f>
        <v/>
      </c>
      <c r="R661" s="24">
        <f>IF($J661="","",$P661&amp;"-"&amp;TEXT($Q661,"00"))</f>
        <v/>
      </c>
      <c r="S661" s="24">
        <f>IF($J661="","",INDEX(lista_dias,WEEKDAY($J661,2)))</f>
        <v/>
      </c>
      <c r="T661" s="24">
        <f>IF($J661="","",IFERROR(INDEX('CALENDARIO'!$C$15:$C$214,MATCH(TEXT($J661,"yyyy-mm-dd")&amp;"|"&amp;$Y661&amp;"|"&amp;$Z661,'CALENDARIO'!$G$15:$G$214,0)),IFERROR(INDEX('CALENDARIO'!$C$15:$C$214,MATCH(TEXT($J661,"yyyy-mm-dd")&amp;"|"&amp;$Y661&amp;"|",'CALENDARIO'!$G$15:$G$214,0)),IFERROR(INDEX('CALENDARIO'!$C$15:$C$214,MATCH(TEXT($J661,"yyyy-mm-dd")&amp;"||",'CALENDARIO'!$G$15:$G$214,0)),INDEX(patronHabil,WEEKDAY($J661,2))))))</f>
        <v/>
      </c>
      <c r="U661" s="24">
        <f>IF($I661="","",IFERROR(INDEX('CAT_TIPOS_OT'!$C$4:$C$23,MATCH($I661,'CAT_TIPOS_OT'!$A$4:$A$23,0)),"sin_clasificar"))</f>
        <v/>
      </c>
      <c r="V661" s="24">
        <f>IF($I661="","",IF(IFERROR(INDEX('CAT_TIPOS_OT'!$D$4:$D$23,MATCH($I661,'CAT_TIPOS_OT'!$A$4:$A$23,0)),"SIN CLASIFICAR")="","SIN CLASIFICAR",IFERROR(INDEX('CAT_TIPOS_OT'!$D$4:$D$23,MATCH($I661,'CAT_TIPOS_OT'!$A$4:$A$23,0)),"SIN CLASIFICAR")))</f>
        <v/>
      </c>
      <c r="W661" s="24">
        <f>IF($H661="","",IF(IFERROR(INDEX('CAT_ACTIVIDADES'!$F$4:$F$26,MATCH($H661,'CAT_ACTIVIDADES'!$A$4:$A$26,0)),"")=0,"",IFERROR(INDEX('CAT_ACTIVIDADES'!$F$4:$F$26,MATCH($H661,'CAT_ACTIVIDADES'!$A$4:$A$26,0)),"")))</f>
        <v/>
      </c>
      <c r="X661" s="24">
        <f>IF($F661="","",IFERROR(INDEX('CAT_CENTROS_COSTO'!$F$4:$F$28,MATCH($F661,'CAT_CENTROS_COSTO'!$A$4:$A$28,0)),"(sin catálogo)"))</f>
        <v/>
      </c>
      <c r="Y661" s="24">
        <f>IF($F661="","",IFERROR(INDEX('CAT_CENTROS_COSTO'!$D$4:$D$28,MATCH($F661,'CAT_CENTROS_COSTO'!$A$4:$A$28,0)),"(sin catálogo)"))</f>
        <v/>
      </c>
      <c r="Z661" s="24">
        <f>IF($F661="","",IF((IFERROR(INDEX('CAT_CENTROS_COSTO'!$E$4:$E$28,MATCH($F661,'CAT_CENTROS_COSTO'!$A$4:$A$28,0)),""))&lt;&gt;"",IFERROR(INDEX('CAT_CENTROS_COSTO'!$E$4:$E$28,MATCH($F661,'CAT_CENTROS_COSTO'!$A$4:$A$28,0)),""),$Y661))</f>
        <v/>
      </c>
      <c r="AA661" s="24">
        <f>IF($F661="","",IFERROR(INDEX('CAT_CENTROS_COSTO'!$G$4:$G$28,MATCH($F661,'CAT_CENTROS_COSTO'!$A$4:$A$28,0)),"(sin catálogo)"))</f>
        <v/>
      </c>
      <c r="AB661" s="24">
        <f>IF($G661="","",IFERROR(INDEX('CAT_PUESTOS'!$B$4:$B$23,MATCH($G661,'CAT_PUESTOS'!$A$4:$A$23,0)),"(sin catálogo)"))</f>
        <v/>
      </c>
      <c r="AC661" s="24">
        <f>IF($H661="","",IFERROR(INDEX('CAT_ACTIVIDADES'!$B$4:$B$26,MATCH($H661,'CAT_ACTIVIDADES'!$A$4:$A$26,0)),"(sin catálogo)"))</f>
        <v/>
      </c>
      <c r="AD661" s="26">
        <f>IF($J661="","",TODAY()-$J661)</f>
        <v/>
      </c>
      <c r="AE661" s="26">
        <f>IF($J661="","",IF($J661&lt;=TODAY(),COUNTIFS(cal_fechas,"&gt;="&amp;$J661,cal_fechas,"&lt;"&amp;TODAY(),cal_habil,"sí"),-COUNTIFS(cal_fechas,"&gt;="&amp;TODAY(),cal_fechas,"&lt;"&amp;$J661,cal_habil,"sí")))</f>
        <v/>
      </c>
      <c r="AF661" s="24">
        <f>IF($AE661="","",IF($AE661&lt;0,"FUTURO",IF($AE661&gt;p_dias_backlog_max,"BACKLOG","MES CORRIENTE")))</f>
        <v/>
      </c>
      <c r="AG661" s="24">
        <f>IF($AE661="",FALSE,AND($AE661&gt;p_dias_backlog_min,$AE661&lt;=p_dias_backlog_max))</f>
        <v/>
      </c>
      <c r="AH661" s="4" t="n"/>
      <c r="AI661" s="24">
        <f>IF($AH661="","",IF((IFERROR(INDEX('ASIGNACIONES'!$J$4:$J$451,MATCH($O661&amp;"|"&amp;$S661&amp;"|"&amp;$AH661,'ASIGNACIONES'!$N$4:$N$451,0)),""))=0,"",IFERROR(INDEX('ASIGNACIONES'!$J$4:$J$451,MATCH($O661&amp;"|"&amp;$S661&amp;"|"&amp;$AH661,'ASIGNACIONES'!$N$4:$N$451,0)),"")))</f>
        <v/>
      </c>
      <c r="AJ661" s="42">
        <f>IF($AH661="","",SUMIFS('ORDENES'!$M$4:$M$1203,'ORDENES'!$AH$4:$AH$1203,$AH661,'ORDENES'!$O$4:$O$1203,$O661,'ORDENES'!$S$4:$S$1203,$S661))</f>
        <v/>
      </c>
      <c r="AK661" s="42">
        <f>IF($AJ661="","",p_factor_productividad*IFERROR(INDEX('ASIGNACIONES'!$M$4:$M$451,MATCH($O661&amp;"|"&amp;$S661&amp;"|"&amp;$AH661,'ASIGNACIONES'!$N$4:$N$451,0)),0)-$AJ661)</f>
        <v/>
      </c>
      <c r="AL661" s="32">
        <f>IF($A661="","",IFERROR(INDEX('2_IMPORTAR_EJECUCION'!$F$9:$F$1208,MATCH($AU661,'2_IMPORTAR_EJECUCION'!$J$9:$J$1208,0)),0))</f>
        <v/>
      </c>
      <c r="AM661" s="32">
        <f>IF($A661="","",MAX(0,IFERROR(INDEX('2_IMPORTAR_EJECUCION'!$H$9:$H$1208,MATCH($AU661,'2_IMPORTAR_EJECUCION'!$J$9:$J$1208,0)),0)-$AL661))</f>
        <v/>
      </c>
      <c r="AN661" s="32">
        <f>IF($A661="","",$AL661+$AM661)</f>
        <v/>
      </c>
      <c r="AO661" s="24">
        <f>IF($A661="","",IF(OR((IFERROR(INDEX('CAT_ACTIVIDADES'!$D$4:$D$26,MATCH($H661,'CAT_ACTIVIDADES'!$A$4:$A$26,0)),""))=0,(IFERROR(INDEX('CAT_ACTIVIDADES'!$D$4:$D$26,MATCH($H661,'CAT_ACTIVIDADES'!$A$4:$A$26,0)),""))=""),"SIN CLASIFICAR",IFERROR(INDEX('CAT_ACTIVIDADES'!$D$4:$D$26,MATCH($H661,'CAT_ACTIVIDADES'!$A$4:$A$26,0)),"")))</f>
        <v/>
      </c>
      <c r="AP661" s="4" t="n"/>
      <c r="AQ661" s="4" t="n"/>
      <c r="AR661" s="4" t="n"/>
      <c r="AS661" s="24">
        <f>IF($AR661="","",HYPERLINK(p_ruta_base_checklists&amp;$AR661,"abrir"))</f>
        <v/>
      </c>
      <c r="AT661" s="4" t="n"/>
      <c r="AU661" s="24">
        <f>IF($A661="","",$A661&amp;IF($B661="","0010",$B661))</f>
        <v/>
      </c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41" t="n"/>
      <c r="K662" s="5" t="n"/>
      <c r="L662" s="18" t="n"/>
      <c r="M662" s="24">
        <f>IF($A662="","",IFERROR(INDEX('AJUSTES'!$B$4:$B$303,MATCH($AU662,'AJUSTES'!$A$4:$A$303,0)),IF($K662="","",$K662)))</f>
        <v/>
      </c>
      <c r="N662" s="24">
        <f>IF($A662="","",IFERROR(INDEX('CAT_ESTADOS_ERP'!$B$4:$B$22,MATCH(IFERROR(INDEX('2_IMPORTAR_EJECUCION'!$C$9:$C$1208,MATCH($AU662,'2_IMPORTAR_EJECUCION'!$J$9:$J$1208,0)),""),'CAT_ESTADOS_ERP'!$A$4:$A$22,0)),"Pendiente"))</f>
        <v/>
      </c>
      <c r="O662" s="24">
        <f>IF($J662="","",YEAR($J662+4-WEEKDAY($J662,2))&amp;"-S"&amp;TEXT(_xlfn.ISOWEEKNUM($J662),"00"))</f>
        <v/>
      </c>
      <c r="P662" s="24">
        <f>IF($J662="","",YEAR($J662))</f>
        <v/>
      </c>
      <c r="Q662" s="24">
        <f>IF($J662="","",MONTH($J662))</f>
        <v/>
      </c>
      <c r="R662" s="24">
        <f>IF($J662="","",$P662&amp;"-"&amp;TEXT($Q662,"00"))</f>
        <v/>
      </c>
      <c r="S662" s="24">
        <f>IF($J662="","",INDEX(lista_dias,WEEKDAY($J662,2)))</f>
        <v/>
      </c>
      <c r="T662" s="24">
        <f>IF($J662="","",IFERROR(INDEX('CALENDARIO'!$C$15:$C$214,MATCH(TEXT($J662,"yyyy-mm-dd")&amp;"|"&amp;$Y662&amp;"|"&amp;$Z662,'CALENDARIO'!$G$15:$G$214,0)),IFERROR(INDEX('CALENDARIO'!$C$15:$C$214,MATCH(TEXT($J662,"yyyy-mm-dd")&amp;"|"&amp;$Y662&amp;"|",'CALENDARIO'!$G$15:$G$214,0)),IFERROR(INDEX('CALENDARIO'!$C$15:$C$214,MATCH(TEXT($J662,"yyyy-mm-dd")&amp;"||",'CALENDARIO'!$G$15:$G$214,0)),INDEX(patronHabil,WEEKDAY($J662,2))))))</f>
        <v/>
      </c>
      <c r="U662" s="24">
        <f>IF($I662="","",IFERROR(INDEX('CAT_TIPOS_OT'!$C$4:$C$23,MATCH($I662,'CAT_TIPOS_OT'!$A$4:$A$23,0)),"sin_clasificar"))</f>
        <v/>
      </c>
      <c r="V662" s="24">
        <f>IF($I662="","",IF(IFERROR(INDEX('CAT_TIPOS_OT'!$D$4:$D$23,MATCH($I662,'CAT_TIPOS_OT'!$A$4:$A$23,0)),"SIN CLASIFICAR")="","SIN CLASIFICAR",IFERROR(INDEX('CAT_TIPOS_OT'!$D$4:$D$23,MATCH($I662,'CAT_TIPOS_OT'!$A$4:$A$23,0)),"SIN CLASIFICAR")))</f>
        <v/>
      </c>
      <c r="W662" s="24">
        <f>IF($H662="","",IF(IFERROR(INDEX('CAT_ACTIVIDADES'!$F$4:$F$26,MATCH($H662,'CAT_ACTIVIDADES'!$A$4:$A$26,0)),"")=0,"",IFERROR(INDEX('CAT_ACTIVIDADES'!$F$4:$F$26,MATCH($H662,'CAT_ACTIVIDADES'!$A$4:$A$26,0)),"")))</f>
        <v/>
      </c>
      <c r="X662" s="24">
        <f>IF($F662="","",IFERROR(INDEX('CAT_CENTROS_COSTO'!$F$4:$F$28,MATCH($F662,'CAT_CENTROS_COSTO'!$A$4:$A$28,0)),"(sin catálogo)"))</f>
        <v/>
      </c>
      <c r="Y662" s="24">
        <f>IF($F662="","",IFERROR(INDEX('CAT_CENTROS_COSTO'!$D$4:$D$28,MATCH($F662,'CAT_CENTROS_COSTO'!$A$4:$A$28,0)),"(sin catálogo)"))</f>
        <v/>
      </c>
      <c r="Z662" s="24">
        <f>IF($F662="","",IF((IFERROR(INDEX('CAT_CENTROS_COSTO'!$E$4:$E$28,MATCH($F662,'CAT_CENTROS_COSTO'!$A$4:$A$28,0)),""))&lt;&gt;"",IFERROR(INDEX('CAT_CENTROS_COSTO'!$E$4:$E$28,MATCH($F662,'CAT_CENTROS_COSTO'!$A$4:$A$28,0)),""),$Y662))</f>
        <v/>
      </c>
      <c r="AA662" s="24">
        <f>IF($F662="","",IFERROR(INDEX('CAT_CENTROS_COSTO'!$G$4:$G$28,MATCH($F662,'CAT_CENTROS_COSTO'!$A$4:$A$28,0)),"(sin catálogo)"))</f>
        <v/>
      </c>
      <c r="AB662" s="24">
        <f>IF($G662="","",IFERROR(INDEX('CAT_PUESTOS'!$B$4:$B$23,MATCH($G662,'CAT_PUESTOS'!$A$4:$A$23,0)),"(sin catálogo)"))</f>
        <v/>
      </c>
      <c r="AC662" s="24">
        <f>IF($H662="","",IFERROR(INDEX('CAT_ACTIVIDADES'!$B$4:$B$26,MATCH($H662,'CAT_ACTIVIDADES'!$A$4:$A$26,0)),"(sin catálogo)"))</f>
        <v/>
      </c>
      <c r="AD662" s="26">
        <f>IF($J662="","",TODAY()-$J662)</f>
        <v/>
      </c>
      <c r="AE662" s="26">
        <f>IF($J662="","",IF($J662&lt;=TODAY(),COUNTIFS(cal_fechas,"&gt;="&amp;$J662,cal_fechas,"&lt;"&amp;TODAY(),cal_habil,"sí"),-COUNTIFS(cal_fechas,"&gt;="&amp;TODAY(),cal_fechas,"&lt;"&amp;$J662,cal_habil,"sí")))</f>
        <v/>
      </c>
      <c r="AF662" s="24">
        <f>IF($AE662="","",IF($AE662&lt;0,"FUTURO",IF($AE662&gt;p_dias_backlog_max,"BACKLOG","MES CORRIENTE")))</f>
        <v/>
      </c>
      <c r="AG662" s="24">
        <f>IF($AE662="",FALSE,AND($AE662&gt;p_dias_backlog_min,$AE662&lt;=p_dias_backlog_max))</f>
        <v/>
      </c>
      <c r="AH662" s="4" t="n"/>
      <c r="AI662" s="24">
        <f>IF($AH662="","",IF((IFERROR(INDEX('ASIGNACIONES'!$J$4:$J$451,MATCH($O662&amp;"|"&amp;$S662&amp;"|"&amp;$AH662,'ASIGNACIONES'!$N$4:$N$451,0)),""))=0,"",IFERROR(INDEX('ASIGNACIONES'!$J$4:$J$451,MATCH($O662&amp;"|"&amp;$S662&amp;"|"&amp;$AH662,'ASIGNACIONES'!$N$4:$N$451,0)),"")))</f>
        <v/>
      </c>
      <c r="AJ662" s="42">
        <f>IF($AH662="","",SUMIFS('ORDENES'!$M$4:$M$1203,'ORDENES'!$AH$4:$AH$1203,$AH662,'ORDENES'!$O$4:$O$1203,$O662,'ORDENES'!$S$4:$S$1203,$S662))</f>
        <v/>
      </c>
      <c r="AK662" s="42">
        <f>IF($AJ662="","",p_factor_productividad*IFERROR(INDEX('ASIGNACIONES'!$M$4:$M$451,MATCH($O662&amp;"|"&amp;$S662&amp;"|"&amp;$AH662,'ASIGNACIONES'!$N$4:$N$451,0)),0)-$AJ662)</f>
        <v/>
      </c>
      <c r="AL662" s="32">
        <f>IF($A662="","",IFERROR(INDEX('2_IMPORTAR_EJECUCION'!$F$9:$F$1208,MATCH($AU662,'2_IMPORTAR_EJECUCION'!$J$9:$J$1208,0)),0))</f>
        <v/>
      </c>
      <c r="AM662" s="32">
        <f>IF($A662="","",MAX(0,IFERROR(INDEX('2_IMPORTAR_EJECUCION'!$H$9:$H$1208,MATCH($AU662,'2_IMPORTAR_EJECUCION'!$J$9:$J$1208,0)),0)-$AL662))</f>
        <v/>
      </c>
      <c r="AN662" s="32">
        <f>IF($A662="","",$AL662+$AM662)</f>
        <v/>
      </c>
      <c r="AO662" s="24">
        <f>IF($A662="","",IF(OR((IFERROR(INDEX('CAT_ACTIVIDADES'!$D$4:$D$26,MATCH($H662,'CAT_ACTIVIDADES'!$A$4:$A$26,0)),""))=0,(IFERROR(INDEX('CAT_ACTIVIDADES'!$D$4:$D$26,MATCH($H662,'CAT_ACTIVIDADES'!$A$4:$A$26,0)),""))=""),"SIN CLASIFICAR",IFERROR(INDEX('CAT_ACTIVIDADES'!$D$4:$D$26,MATCH($H662,'CAT_ACTIVIDADES'!$A$4:$A$26,0)),"")))</f>
        <v/>
      </c>
      <c r="AP662" s="4" t="n"/>
      <c r="AQ662" s="4" t="n"/>
      <c r="AR662" s="4" t="n"/>
      <c r="AS662" s="24">
        <f>IF($AR662="","",HYPERLINK(p_ruta_base_checklists&amp;$AR662,"abrir"))</f>
        <v/>
      </c>
      <c r="AT662" s="4" t="n"/>
      <c r="AU662" s="24">
        <f>IF($A662="","",$A662&amp;IF($B662="","0010",$B662))</f>
        <v/>
      </c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41" t="n"/>
      <c r="K663" s="5" t="n"/>
      <c r="L663" s="18" t="n"/>
      <c r="M663" s="24">
        <f>IF($A663="","",IFERROR(INDEX('AJUSTES'!$B$4:$B$303,MATCH($AU663,'AJUSTES'!$A$4:$A$303,0)),IF($K663="","",$K663)))</f>
        <v/>
      </c>
      <c r="N663" s="24">
        <f>IF($A663="","",IFERROR(INDEX('CAT_ESTADOS_ERP'!$B$4:$B$22,MATCH(IFERROR(INDEX('2_IMPORTAR_EJECUCION'!$C$9:$C$1208,MATCH($AU663,'2_IMPORTAR_EJECUCION'!$J$9:$J$1208,0)),""),'CAT_ESTADOS_ERP'!$A$4:$A$22,0)),"Pendiente"))</f>
        <v/>
      </c>
      <c r="O663" s="24">
        <f>IF($J663="","",YEAR($J663+4-WEEKDAY($J663,2))&amp;"-S"&amp;TEXT(_xlfn.ISOWEEKNUM($J663),"00"))</f>
        <v/>
      </c>
      <c r="P663" s="24">
        <f>IF($J663="","",YEAR($J663))</f>
        <v/>
      </c>
      <c r="Q663" s="24">
        <f>IF($J663="","",MONTH($J663))</f>
        <v/>
      </c>
      <c r="R663" s="24">
        <f>IF($J663="","",$P663&amp;"-"&amp;TEXT($Q663,"00"))</f>
        <v/>
      </c>
      <c r="S663" s="24">
        <f>IF($J663="","",INDEX(lista_dias,WEEKDAY($J663,2)))</f>
        <v/>
      </c>
      <c r="T663" s="24">
        <f>IF($J663="","",IFERROR(INDEX('CALENDARIO'!$C$15:$C$214,MATCH(TEXT($J663,"yyyy-mm-dd")&amp;"|"&amp;$Y663&amp;"|"&amp;$Z663,'CALENDARIO'!$G$15:$G$214,0)),IFERROR(INDEX('CALENDARIO'!$C$15:$C$214,MATCH(TEXT($J663,"yyyy-mm-dd")&amp;"|"&amp;$Y663&amp;"|",'CALENDARIO'!$G$15:$G$214,0)),IFERROR(INDEX('CALENDARIO'!$C$15:$C$214,MATCH(TEXT($J663,"yyyy-mm-dd")&amp;"||",'CALENDARIO'!$G$15:$G$214,0)),INDEX(patronHabil,WEEKDAY($J663,2))))))</f>
        <v/>
      </c>
      <c r="U663" s="24">
        <f>IF($I663="","",IFERROR(INDEX('CAT_TIPOS_OT'!$C$4:$C$23,MATCH($I663,'CAT_TIPOS_OT'!$A$4:$A$23,0)),"sin_clasificar"))</f>
        <v/>
      </c>
      <c r="V663" s="24">
        <f>IF($I663="","",IF(IFERROR(INDEX('CAT_TIPOS_OT'!$D$4:$D$23,MATCH($I663,'CAT_TIPOS_OT'!$A$4:$A$23,0)),"SIN CLASIFICAR")="","SIN CLASIFICAR",IFERROR(INDEX('CAT_TIPOS_OT'!$D$4:$D$23,MATCH($I663,'CAT_TIPOS_OT'!$A$4:$A$23,0)),"SIN CLASIFICAR")))</f>
        <v/>
      </c>
      <c r="W663" s="24">
        <f>IF($H663="","",IF(IFERROR(INDEX('CAT_ACTIVIDADES'!$F$4:$F$26,MATCH($H663,'CAT_ACTIVIDADES'!$A$4:$A$26,0)),"")=0,"",IFERROR(INDEX('CAT_ACTIVIDADES'!$F$4:$F$26,MATCH($H663,'CAT_ACTIVIDADES'!$A$4:$A$26,0)),"")))</f>
        <v/>
      </c>
      <c r="X663" s="24">
        <f>IF($F663="","",IFERROR(INDEX('CAT_CENTROS_COSTO'!$F$4:$F$28,MATCH($F663,'CAT_CENTROS_COSTO'!$A$4:$A$28,0)),"(sin catálogo)"))</f>
        <v/>
      </c>
      <c r="Y663" s="24">
        <f>IF($F663="","",IFERROR(INDEX('CAT_CENTROS_COSTO'!$D$4:$D$28,MATCH($F663,'CAT_CENTROS_COSTO'!$A$4:$A$28,0)),"(sin catálogo)"))</f>
        <v/>
      </c>
      <c r="Z663" s="24">
        <f>IF($F663="","",IF((IFERROR(INDEX('CAT_CENTROS_COSTO'!$E$4:$E$28,MATCH($F663,'CAT_CENTROS_COSTO'!$A$4:$A$28,0)),""))&lt;&gt;"",IFERROR(INDEX('CAT_CENTROS_COSTO'!$E$4:$E$28,MATCH($F663,'CAT_CENTROS_COSTO'!$A$4:$A$28,0)),""),$Y663))</f>
        <v/>
      </c>
      <c r="AA663" s="24">
        <f>IF($F663="","",IFERROR(INDEX('CAT_CENTROS_COSTO'!$G$4:$G$28,MATCH($F663,'CAT_CENTROS_COSTO'!$A$4:$A$28,0)),"(sin catálogo)"))</f>
        <v/>
      </c>
      <c r="AB663" s="24">
        <f>IF($G663="","",IFERROR(INDEX('CAT_PUESTOS'!$B$4:$B$23,MATCH($G663,'CAT_PUESTOS'!$A$4:$A$23,0)),"(sin catálogo)"))</f>
        <v/>
      </c>
      <c r="AC663" s="24">
        <f>IF($H663="","",IFERROR(INDEX('CAT_ACTIVIDADES'!$B$4:$B$26,MATCH($H663,'CAT_ACTIVIDADES'!$A$4:$A$26,0)),"(sin catálogo)"))</f>
        <v/>
      </c>
      <c r="AD663" s="26">
        <f>IF($J663="","",TODAY()-$J663)</f>
        <v/>
      </c>
      <c r="AE663" s="26">
        <f>IF($J663="","",IF($J663&lt;=TODAY(),COUNTIFS(cal_fechas,"&gt;="&amp;$J663,cal_fechas,"&lt;"&amp;TODAY(),cal_habil,"sí"),-COUNTIFS(cal_fechas,"&gt;="&amp;TODAY(),cal_fechas,"&lt;"&amp;$J663,cal_habil,"sí")))</f>
        <v/>
      </c>
      <c r="AF663" s="24">
        <f>IF($AE663="","",IF($AE663&lt;0,"FUTURO",IF($AE663&gt;p_dias_backlog_max,"BACKLOG","MES CORRIENTE")))</f>
        <v/>
      </c>
      <c r="AG663" s="24">
        <f>IF($AE663="",FALSE,AND($AE663&gt;p_dias_backlog_min,$AE663&lt;=p_dias_backlog_max))</f>
        <v/>
      </c>
      <c r="AH663" s="4" t="n"/>
      <c r="AI663" s="24">
        <f>IF($AH663="","",IF((IFERROR(INDEX('ASIGNACIONES'!$J$4:$J$451,MATCH($O663&amp;"|"&amp;$S663&amp;"|"&amp;$AH663,'ASIGNACIONES'!$N$4:$N$451,0)),""))=0,"",IFERROR(INDEX('ASIGNACIONES'!$J$4:$J$451,MATCH($O663&amp;"|"&amp;$S663&amp;"|"&amp;$AH663,'ASIGNACIONES'!$N$4:$N$451,0)),"")))</f>
        <v/>
      </c>
      <c r="AJ663" s="42">
        <f>IF($AH663="","",SUMIFS('ORDENES'!$M$4:$M$1203,'ORDENES'!$AH$4:$AH$1203,$AH663,'ORDENES'!$O$4:$O$1203,$O663,'ORDENES'!$S$4:$S$1203,$S663))</f>
        <v/>
      </c>
      <c r="AK663" s="42">
        <f>IF($AJ663="","",p_factor_productividad*IFERROR(INDEX('ASIGNACIONES'!$M$4:$M$451,MATCH($O663&amp;"|"&amp;$S663&amp;"|"&amp;$AH663,'ASIGNACIONES'!$N$4:$N$451,0)),0)-$AJ663)</f>
        <v/>
      </c>
      <c r="AL663" s="32">
        <f>IF($A663="","",IFERROR(INDEX('2_IMPORTAR_EJECUCION'!$F$9:$F$1208,MATCH($AU663,'2_IMPORTAR_EJECUCION'!$J$9:$J$1208,0)),0))</f>
        <v/>
      </c>
      <c r="AM663" s="32">
        <f>IF($A663="","",MAX(0,IFERROR(INDEX('2_IMPORTAR_EJECUCION'!$H$9:$H$1208,MATCH($AU663,'2_IMPORTAR_EJECUCION'!$J$9:$J$1208,0)),0)-$AL663))</f>
        <v/>
      </c>
      <c r="AN663" s="32">
        <f>IF($A663="","",$AL663+$AM663)</f>
        <v/>
      </c>
      <c r="AO663" s="24">
        <f>IF($A663="","",IF(OR((IFERROR(INDEX('CAT_ACTIVIDADES'!$D$4:$D$26,MATCH($H663,'CAT_ACTIVIDADES'!$A$4:$A$26,0)),""))=0,(IFERROR(INDEX('CAT_ACTIVIDADES'!$D$4:$D$26,MATCH($H663,'CAT_ACTIVIDADES'!$A$4:$A$26,0)),""))=""),"SIN CLASIFICAR",IFERROR(INDEX('CAT_ACTIVIDADES'!$D$4:$D$26,MATCH($H663,'CAT_ACTIVIDADES'!$A$4:$A$26,0)),"")))</f>
        <v/>
      </c>
      <c r="AP663" s="4" t="n"/>
      <c r="AQ663" s="4" t="n"/>
      <c r="AR663" s="4" t="n"/>
      <c r="AS663" s="24">
        <f>IF($AR663="","",HYPERLINK(p_ruta_base_checklists&amp;$AR663,"abrir"))</f>
        <v/>
      </c>
      <c r="AT663" s="4" t="n"/>
      <c r="AU663" s="24">
        <f>IF($A663="","",$A663&amp;IF($B663="","0010",$B663))</f>
        <v/>
      </c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41" t="n"/>
      <c r="K664" s="5" t="n"/>
      <c r="L664" s="18" t="n"/>
      <c r="M664" s="24">
        <f>IF($A664="","",IFERROR(INDEX('AJUSTES'!$B$4:$B$303,MATCH($AU664,'AJUSTES'!$A$4:$A$303,0)),IF($K664="","",$K664)))</f>
        <v/>
      </c>
      <c r="N664" s="24">
        <f>IF($A664="","",IFERROR(INDEX('CAT_ESTADOS_ERP'!$B$4:$B$22,MATCH(IFERROR(INDEX('2_IMPORTAR_EJECUCION'!$C$9:$C$1208,MATCH($AU664,'2_IMPORTAR_EJECUCION'!$J$9:$J$1208,0)),""),'CAT_ESTADOS_ERP'!$A$4:$A$22,0)),"Pendiente"))</f>
        <v/>
      </c>
      <c r="O664" s="24">
        <f>IF($J664="","",YEAR($J664+4-WEEKDAY($J664,2))&amp;"-S"&amp;TEXT(_xlfn.ISOWEEKNUM($J664),"00"))</f>
        <v/>
      </c>
      <c r="P664" s="24">
        <f>IF($J664="","",YEAR($J664))</f>
        <v/>
      </c>
      <c r="Q664" s="24">
        <f>IF($J664="","",MONTH($J664))</f>
        <v/>
      </c>
      <c r="R664" s="24">
        <f>IF($J664="","",$P664&amp;"-"&amp;TEXT($Q664,"00"))</f>
        <v/>
      </c>
      <c r="S664" s="24">
        <f>IF($J664="","",INDEX(lista_dias,WEEKDAY($J664,2)))</f>
        <v/>
      </c>
      <c r="T664" s="24">
        <f>IF($J664="","",IFERROR(INDEX('CALENDARIO'!$C$15:$C$214,MATCH(TEXT($J664,"yyyy-mm-dd")&amp;"|"&amp;$Y664&amp;"|"&amp;$Z664,'CALENDARIO'!$G$15:$G$214,0)),IFERROR(INDEX('CALENDARIO'!$C$15:$C$214,MATCH(TEXT($J664,"yyyy-mm-dd")&amp;"|"&amp;$Y664&amp;"|",'CALENDARIO'!$G$15:$G$214,0)),IFERROR(INDEX('CALENDARIO'!$C$15:$C$214,MATCH(TEXT($J664,"yyyy-mm-dd")&amp;"||",'CALENDARIO'!$G$15:$G$214,0)),INDEX(patronHabil,WEEKDAY($J664,2))))))</f>
        <v/>
      </c>
      <c r="U664" s="24">
        <f>IF($I664="","",IFERROR(INDEX('CAT_TIPOS_OT'!$C$4:$C$23,MATCH($I664,'CAT_TIPOS_OT'!$A$4:$A$23,0)),"sin_clasificar"))</f>
        <v/>
      </c>
      <c r="V664" s="24">
        <f>IF($I664="","",IF(IFERROR(INDEX('CAT_TIPOS_OT'!$D$4:$D$23,MATCH($I664,'CAT_TIPOS_OT'!$A$4:$A$23,0)),"SIN CLASIFICAR")="","SIN CLASIFICAR",IFERROR(INDEX('CAT_TIPOS_OT'!$D$4:$D$23,MATCH($I664,'CAT_TIPOS_OT'!$A$4:$A$23,0)),"SIN CLASIFICAR")))</f>
        <v/>
      </c>
      <c r="W664" s="24">
        <f>IF($H664="","",IF(IFERROR(INDEX('CAT_ACTIVIDADES'!$F$4:$F$26,MATCH($H664,'CAT_ACTIVIDADES'!$A$4:$A$26,0)),"")=0,"",IFERROR(INDEX('CAT_ACTIVIDADES'!$F$4:$F$26,MATCH($H664,'CAT_ACTIVIDADES'!$A$4:$A$26,0)),"")))</f>
        <v/>
      </c>
      <c r="X664" s="24">
        <f>IF($F664="","",IFERROR(INDEX('CAT_CENTROS_COSTO'!$F$4:$F$28,MATCH($F664,'CAT_CENTROS_COSTO'!$A$4:$A$28,0)),"(sin catálogo)"))</f>
        <v/>
      </c>
      <c r="Y664" s="24">
        <f>IF($F664="","",IFERROR(INDEX('CAT_CENTROS_COSTO'!$D$4:$D$28,MATCH($F664,'CAT_CENTROS_COSTO'!$A$4:$A$28,0)),"(sin catálogo)"))</f>
        <v/>
      </c>
      <c r="Z664" s="24">
        <f>IF($F664="","",IF((IFERROR(INDEX('CAT_CENTROS_COSTO'!$E$4:$E$28,MATCH($F664,'CAT_CENTROS_COSTO'!$A$4:$A$28,0)),""))&lt;&gt;"",IFERROR(INDEX('CAT_CENTROS_COSTO'!$E$4:$E$28,MATCH($F664,'CAT_CENTROS_COSTO'!$A$4:$A$28,0)),""),$Y664))</f>
        <v/>
      </c>
      <c r="AA664" s="24">
        <f>IF($F664="","",IFERROR(INDEX('CAT_CENTROS_COSTO'!$G$4:$G$28,MATCH($F664,'CAT_CENTROS_COSTO'!$A$4:$A$28,0)),"(sin catálogo)"))</f>
        <v/>
      </c>
      <c r="AB664" s="24">
        <f>IF($G664="","",IFERROR(INDEX('CAT_PUESTOS'!$B$4:$B$23,MATCH($G664,'CAT_PUESTOS'!$A$4:$A$23,0)),"(sin catálogo)"))</f>
        <v/>
      </c>
      <c r="AC664" s="24">
        <f>IF($H664="","",IFERROR(INDEX('CAT_ACTIVIDADES'!$B$4:$B$26,MATCH($H664,'CAT_ACTIVIDADES'!$A$4:$A$26,0)),"(sin catálogo)"))</f>
        <v/>
      </c>
      <c r="AD664" s="26">
        <f>IF($J664="","",TODAY()-$J664)</f>
        <v/>
      </c>
      <c r="AE664" s="26">
        <f>IF($J664="","",IF($J664&lt;=TODAY(),COUNTIFS(cal_fechas,"&gt;="&amp;$J664,cal_fechas,"&lt;"&amp;TODAY(),cal_habil,"sí"),-COUNTIFS(cal_fechas,"&gt;="&amp;TODAY(),cal_fechas,"&lt;"&amp;$J664,cal_habil,"sí")))</f>
        <v/>
      </c>
      <c r="AF664" s="24">
        <f>IF($AE664="","",IF($AE664&lt;0,"FUTURO",IF($AE664&gt;p_dias_backlog_max,"BACKLOG","MES CORRIENTE")))</f>
        <v/>
      </c>
      <c r="AG664" s="24">
        <f>IF($AE664="",FALSE,AND($AE664&gt;p_dias_backlog_min,$AE664&lt;=p_dias_backlog_max))</f>
        <v/>
      </c>
      <c r="AH664" s="4" t="n"/>
      <c r="AI664" s="24">
        <f>IF($AH664="","",IF((IFERROR(INDEX('ASIGNACIONES'!$J$4:$J$451,MATCH($O664&amp;"|"&amp;$S664&amp;"|"&amp;$AH664,'ASIGNACIONES'!$N$4:$N$451,0)),""))=0,"",IFERROR(INDEX('ASIGNACIONES'!$J$4:$J$451,MATCH($O664&amp;"|"&amp;$S664&amp;"|"&amp;$AH664,'ASIGNACIONES'!$N$4:$N$451,0)),"")))</f>
        <v/>
      </c>
      <c r="AJ664" s="42">
        <f>IF($AH664="","",SUMIFS('ORDENES'!$M$4:$M$1203,'ORDENES'!$AH$4:$AH$1203,$AH664,'ORDENES'!$O$4:$O$1203,$O664,'ORDENES'!$S$4:$S$1203,$S664))</f>
        <v/>
      </c>
      <c r="AK664" s="42">
        <f>IF($AJ664="","",p_factor_productividad*IFERROR(INDEX('ASIGNACIONES'!$M$4:$M$451,MATCH($O664&amp;"|"&amp;$S664&amp;"|"&amp;$AH664,'ASIGNACIONES'!$N$4:$N$451,0)),0)-$AJ664)</f>
        <v/>
      </c>
      <c r="AL664" s="32">
        <f>IF($A664="","",IFERROR(INDEX('2_IMPORTAR_EJECUCION'!$F$9:$F$1208,MATCH($AU664,'2_IMPORTAR_EJECUCION'!$J$9:$J$1208,0)),0))</f>
        <v/>
      </c>
      <c r="AM664" s="32">
        <f>IF($A664="","",MAX(0,IFERROR(INDEX('2_IMPORTAR_EJECUCION'!$H$9:$H$1208,MATCH($AU664,'2_IMPORTAR_EJECUCION'!$J$9:$J$1208,0)),0)-$AL664))</f>
        <v/>
      </c>
      <c r="AN664" s="32">
        <f>IF($A664="","",$AL664+$AM664)</f>
        <v/>
      </c>
      <c r="AO664" s="24">
        <f>IF($A664="","",IF(OR((IFERROR(INDEX('CAT_ACTIVIDADES'!$D$4:$D$26,MATCH($H664,'CAT_ACTIVIDADES'!$A$4:$A$26,0)),""))=0,(IFERROR(INDEX('CAT_ACTIVIDADES'!$D$4:$D$26,MATCH($H664,'CAT_ACTIVIDADES'!$A$4:$A$26,0)),""))=""),"SIN CLASIFICAR",IFERROR(INDEX('CAT_ACTIVIDADES'!$D$4:$D$26,MATCH($H664,'CAT_ACTIVIDADES'!$A$4:$A$26,0)),"")))</f>
        <v/>
      </c>
      <c r="AP664" s="4" t="n"/>
      <c r="AQ664" s="4" t="n"/>
      <c r="AR664" s="4" t="n"/>
      <c r="AS664" s="24">
        <f>IF($AR664="","",HYPERLINK(p_ruta_base_checklists&amp;$AR664,"abrir"))</f>
        <v/>
      </c>
      <c r="AT664" s="4" t="n"/>
      <c r="AU664" s="24">
        <f>IF($A664="","",$A664&amp;IF($B664="","0010",$B664))</f>
        <v/>
      </c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41" t="n"/>
      <c r="K665" s="5" t="n"/>
      <c r="L665" s="18" t="n"/>
      <c r="M665" s="24">
        <f>IF($A665="","",IFERROR(INDEX('AJUSTES'!$B$4:$B$303,MATCH($AU665,'AJUSTES'!$A$4:$A$303,0)),IF($K665="","",$K665)))</f>
        <v/>
      </c>
      <c r="N665" s="24">
        <f>IF($A665="","",IFERROR(INDEX('CAT_ESTADOS_ERP'!$B$4:$B$22,MATCH(IFERROR(INDEX('2_IMPORTAR_EJECUCION'!$C$9:$C$1208,MATCH($AU665,'2_IMPORTAR_EJECUCION'!$J$9:$J$1208,0)),""),'CAT_ESTADOS_ERP'!$A$4:$A$22,0)),"Pendiente"))</f>
        <v/>
      </c>
      <c r="O665" s="24">
        <f>IF($J665="","",YEAR($J665+4-WEEKDAY($J665,2))&amp;"-S"&amp;TEXT(_xlfn.ISOWEEKNUM($J665),"00"))</f>
        <v/>
      </c>
      <c r="P665" s="24">
        <f>IF($J665="","",YEAR($J665))</f>
        <v/>
      </c>
      <c r="Q665" s="24">
        <f>IF($J665="","",MONTH($J665))</f>
        <v/>
      </c>
      <c r="R665" s="24">
        <f>IF($J665="","",$P665&amp;"-"&amp;TEXT($Q665,"00"))</f>
        <v/>
      </c>
      <c r="S665" s="24">
        <f>IF($J665="","",INDEX(lista_dias,WEEKDAY($J665,2)))</f>
        <v/>
      </c>
      <c r="T665" s="24">
        <f>IF($J665="","",IFERROR(INDEX('CALENDARIO'!$C$15:$C$214,MATCH(TEXT($J665,"yyyy-mm-dd")&amp;"|"&amp;$Y665&amp;"|"&amp;$Z665,'CALENDARIO'!$G$15:$G$214,0)),IFERROR(INDEX('CALENDARIO'!$C$15:$C$214,MATCH(TEXT($J665,"yyyy-mm-dd")&amp;"|"&amp;$Y665&amp;"|",'CALENDARIO'!$G$15:$G$214,0)),IFERROR(INDEX('CALENDARIO'!$C$15:$C$214,MATCH(TEXT($J665,"yyyy-mm-dd")&amp;"||",'CALENDARIO'!$G$15:$G$214,0)),INDEX(patronHabil,WEEKDAY($J665,2))))))</f>
        <v/>
      </c>
      <c r="U665" s="24">
        <f>IF($I665="","",IFERROR(INDEX('CAT_TIPOS_OT'!$C$4:$C$23,MATCH($I665,'CAT_TIPOS_OT'!$A$4:$A$23,0)),"sin_clasificar"))</f>
        <v/>
      </c>
      <c r="V665" s="24">
        <f>IF($I665="","",IF(IFERROR(INDEX('CAT_TIPOS_OT'!$D$4:$D$23,MATCH($I665,'CAT_TIPOS_OT'!$A$4:$A$23,0)),"SIN CLASIFICAR")="","SIN CLASIFICAR",IFERROR(INDEX('CAT_TIPOS_OT'!$D$4:$D$23,MATCH($I665,'CAT_TIPOS_OT'!$A$4:$A$23,0)),"SIN CLASIFICAR")))</f>
        <v/>
      </c>
      <c r="W665" s="24">
        <f>IF($H665="","",IF(IFERROR(INDEX('CAT_ACTIVIDADES'!$F$4:$F$26,MATCH($H665,'CAT_ACTIVIDADES'!$A$4:$A$26,0)),"")=0,"",IFERROR(INDEX('CAT_ACTIVIDADES'!$F$4:$F$26,MATCH($H665,'CAT_ACTIVIDADES'!$A$4:$A$26,0)),"")))</f>
        <v/>
      </c>
      <c r="X665" s="24">
        <f>IF($F665="","",IFERROR(INDEX('CAT_CENTROS_COSTO'!$F$4:$F$28,MATCH($F665,'CAT_CENTROS_COSTO'!$A$4:$A$28,0)),"(sin catálogo)"))</f>
        <v/>
      </c>
      <c r="Y665" s="24">
        <f>IF($F665="","",IFERROR(INDEX('CAT_CENTROS_COSTO'!$D$4:$D$28,MATCH($F665,'CAT_CENTROS_COSTO'!$A$4:$A$28,0)),"(sin catálogo)"))</f>
        <v/>
      </c>
      <c r="Z665" s="24">
        <f>IF($F665="","",IF((IFERROR(INDEX('CAT_CENTROS_COSTO'!$E$4:$E$28,MATCH($F665,'CAT_CENTROS_COSTO'!$A$4:$A$28,0)),""))&lt;&gt;"",IFERROR(INDEX('CAT_CENTROS_COSTO'!$E$4:$E$28,MATCH($F665,'CAT_CENTROS_COSTO'!$A$4:$A$28,0)),""),$Y665))</f>
        <v/>
      </c>
      <c r="AA665" s="24">
        <f>IF($F665="","",IFERROR(INDEX('CAT_CENTROS_COSTO'!$G$4:$G$28,MATCH($F665,'CAT_CENTROS_COSTO'!$A$4:$A$28,0)),"(sin catálogo)"))</f>
        <v/>
      </c>
      <c r="AB665" s="24">
        <f>IF($G665="","",IFERROR(INDEX('CAT_PUESTOS'!$B$4:$B$23,MATCH($G665,'CAT_PUESTOS'!$A$4:$A$23,0)),"(sin catálogo)"))</f>
        <v/>
      </c>
      <c r="AC665" s="24">
        <f>IF($H665="","",IFERROR(INDEX('CAT_ACTIVIDADES'!$B$4:$B$26,MATCH($H665,'CAT_ACTIVIDADES'!$A$4:$A$26,0)),"(sin catálogo)"))</f>
        <v/>
      </c>
      <c r="AD665" s="26">
        <f>IF($J665="","",TODAY()-$J665)</f>
        <v/>
      </c>
      <c r="AE665" s="26">
        <f>IF($J665="","",IF($J665&lt;=TODAY(),COUNTIFS(cal_fechas,"&gt;="&amp;$J665,cal_fechas,"&lt;"&amp;TODAY(),cal_habil,"sí"),-COUNTIFS(cal_fechas,"&gt;="&amp;TODAY(),cal_fechas,"&lt;"&amp;$J665,cal_habil,"sí")))</f>
        <v/>
      </c>
      <c r="AF665" s="24">
        <f>IF($AE665="","",IF($AE665&lt;0,"FUTURO",IF($AE665&gt;p_dias_backlog_max,"BACKLOG","MES CORRIENTE")))</f>
        <v/>
      </c>
      <c r="AG665" s="24">
        <f>IF($AE665="",FALSE,AND($AE665&gt;p_dias_backlog_min,$AE665&lt;=p_dias_backlog_max))</f>
        <v/>
      </c>
      <c r="AH665" s="4" t="n"/>
      <c r="AI665" s="24">
        <f>IF($AH665="","",IF((IFERROR(INDEX('ASIGNACIONES'!$J$4:$J$451,MATCH($O665&amp;"|"&amp;$S665&amp;"|"&amp;$AH665,'ASIGNACIONES'!$N$4:$N$451,0)),""))=0,"",IFERROR(INDEX('ASIGNACIONES'!$J$4:$J$451,MATCH($O665&amp;"|"&amp;$S665&amp;"|"&amp;$AH665,'ASIGNACIONES'!$N$4:$N$451,0)),"")))</f>
        <v/>
      </c>
      <c r="AJ665" s="42">
        <f>IF($AH665="","",SUMIFS('ORDENES'!$M$4:$M$1203,'ORDENES'!$AH$4:$AH$1203,$AH665,'ORDENES'!$O$4:$O$1203,$O665,'ORDENES'!$S$4:$S$1203,$S665))</f>
        <v/>
      </c>
      <c r="AK665" s="42">
        <f>IF($AJ665="","",p_factor_productividad*IFERROR(INDEX('ASIGNACIONES'!$M$4:$M$451,MATCH($O665&amp;"|"&amp;$S665&amp;"|"&amp;$AH665,'ASIGNACIONES'!$N$4:$N$451,0)),0)-$AJ665)</f>
        <v/>
      </c>
      <c r="AL665" s="32">
        <f>IF($A665="","",IFERROR(INDEX('2_IMPORTAR_EJECUCION'!$F$9:$F$1208,MATCH($AU665,'2_IMPORTAR_EJECUCION'!$J$9:$J$1208,0)),0))</f>
        <v/>
      </c>
      <c r="AM665" s="32">
        <f>IF($A665="","",MAX(0,IFERROR(INDEX('2_IMPORTAR_EJECUCION'!$H$9:$H$1208,MATCH($AU665,'2_IMPORTAR_EJECUCION'!$J$9:$J$1208,0)),0)-$AL665))</f>
        <v/>
      </c>
      <c r="AN665" s="32">
        <f>IF($A665="","",$AL665+$AM665)</f>
        <v/>
      </c>
      <c r="AO665" s="24">
        <f>IF($A665="","",IF(OR((IFERROR(INDEX('CAT_ACTIVIDADES'!$D$4:$D$26,MATCH($H665,'CAT_ACTIVIDADES'!$A$4:$A$26,0)),""))=0,(IFERROR(INDEX('CAT_ACTIVIDADES'!$D$4:$D$26,MATCH($H665,'CAT_ACTIVIDADES'!$A$4:$A$26,0)),""))=""),"SIN CLASIFICAR",IFERROR(INDEX('CAT_ACTIVIDADES'!$D$4:$D$26,MATCH($H665,'CAT_ACTIVIDADES'!$A$4:$A$26,0)),"")))</f>
        <v/>
      </c>
      <c r="AP665" s="4" t="n"/>
      <c r="AQ665" s="4" t="n"/>
      <c r="AR665" s="4" t="n"/>
      <c r="AS665" s="24">
        <f>IF($AR665="","",HYPERLINK(p_ruta_base_checklists&amp;$AR665,"abrir"))</f>
        <v/>
      </c>
      <c r="AT665" s="4" t="n"/>
      <c r="AU665" s="24">
        <f>IF($A665="","",$A665&amp;IF($B665="","0010",$B665))</f>
        <v/>
      </c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41" t="n"/>
      <c r="K666" s="5" t="n"/>
      <c r="L666" s="18" t="n"/>
      <c r="M666" s="24">
        <f>IF($A666="","",IFERROR(INDEX('AJUSTES'!$B$4:$B$303,MATCH($AU666,'AJUSTES'!$A$4:$A$303,0)),IF($K666="","",$K666)))</f>
        <v/>
      </c>
      <c r="N666" s="24">
        <f>IF($A666="","",IFERROR(INDEX('CAT_ESTADOS_ERP'!$B$4:$B$22,MATCH(IFERROR(INDEX('2_IMPORTAR_EJECUCION'!$C$9:$C$1208,MATCH($AU666,'2_IMPORTAR_EJECUCION'!$J$9:$J$1208,0)),""),'CAT_ESTADOS_ERP'!$A$4:$A$22,0)),"Pendiente"))</f>
        <v/>
      </c>
      <c r="O666" s="24">
        <f>IF($J666="","",YEAR($J666+4-WEEKDAY($J666,2))&amp;"-S"&amp;TEXT(_xlfn.ISOWEEKNUM($J666),"00"))</f>
        <v/>
      </c>
      <c r="P666" s="24">
        <f>IF($J666="","",YEAR($J666))</f>
        <v/>
      </c>
      <c r="Q666" s="24">
        <f>IF($J666="","",MONTH($J666))</f>
        <v/>
      </c>
      <c r="R666" s="24">
        <f>IF($J666="","",$P666&amp;"-"&amp;TEXT($Q666,"00"))</f>
        <v/>
      </c>
      <c r="S666" s="24">
        <f>IF($J666="","",INDEX(lista_dias,WEEKDAY($J666,2)))</f>
        <v/>
      </c>
      <c r="T666" s="24">
        <f>IF($J666="","",IFERROR(INDEX('CALENDARIO'!$C$15:$C$214,MATCH(TEXT($J666,"yyyy-mm-dd")&amp;"|"&amp;$Y666&amp;"|"&amp;$Z666,'CALENDARIO'!$G$15:$G$214,0)),IFERROR(INDEX('CALENDARIO'!$C$15:$C$214,MATCH(TEXT($J666,"yyyy-mm-dd")&amp;"|"&amp;$Y666&amp;"|",'CALENDARIO'!$G$15:$G$214,0)),IFERROR(INDEX('CALENDARIO'!$C$15:$C$214,MATCH(TEXT($J666,"yyyy-mm-dd")&amp;"||",'CALENDARIO'!$G$15:$G$214,0)),INDEX(patronHabil,WEEKDAY($J666,2))))))</f>
        <v/>
      </c>
      <c r="U666" s="24">
        <f>IF($I666="","",IFERROR(INDEX('CAT_TIPOS_OT'!$C$4:$C$23,MATCH($I666,'CAT_TIPOS_OT'!$A$4:$A$23,0)),"sin_clasificar"))</f>
        <v/>
      </c>
      <c r="V666" s="24">
        <f>IF($I666="","",IF(IFERROR(INDEX('CAT_TIPOS_OT'!$D$4:$D$23,MATCH($I666,'CAT_TIPOS_OT'!$A$4:$A$23,0)),"SIN CLASIFICAR")="","SIN CLASIFICAR",IFERROR(INDEX('CAT_TIPOS_OT'!$D$4:$D$23,MATCH($I666,'CAT_TIPOS_OT'!$A$4:$A$23,0)),"SIN CLASIFICAR")))</f>
        <v/>
      </c>
      <c r="W666" s="24">
        <f>IF($H666="","",IF(IFERROR(INDEX('CAT_ACTIVIDADES'!$F$4:$F$26,MATCH($H666,'CAT_ACTIVIDADES'!$A$4:$A$26,0)),"")=0,"",IFERROR(INDEX('CAT_ACTIVIDADES'!$F$4:$F$26,MATCH($H666,'CAT_ACTIVIDADES'!$A$4:$A$26,0)),"")))</f>
        <v/>
      </c>
      <c r="X666" s="24">
        <f>IF($F666="","",IFERROR(INDEX('CAT_CENTROS_COSTO'!$F$4:$F$28,MATCH($F666,'CAT_CENTROS_COSTO'!$A$4:$A$28,0)),"(sin catálogo)"))</f>
        <v/>
      </c>
      <c r="Y666" s="24">
        <f>IF($F666="","",IFERROR(INDEX('CAT_CENTROS_COSTO'!$D$4:$D$28,MATCH($F666,'CAT_CENTROS_COSTO'!$A$4:$A$28,0)),"(sin catálogo)"))</f>
        <v/>
      </c>
      <c r="Z666" s="24">
        <f>IF($F666="","",IF((IFERROR(INDEX('CAT_CENTROS_COSTO'!$E$4:$E$28,MATCH($F666,'CAT_CENTROS_COSTO'!$A$4:$A$28,0)),""))&lt;&gt;"",IFERROR(INDEX('CAT_CENTROS_COSTO'!$E$4:$E$28,MATCH($F666,'CAT_CENTROS_COSTO'!$A$4:$A$28,0)),""),$Y666))</f>
        <v/>
      </c>
      <c r="AA666" s="24">
        <f>IF($F666="","",IFERROR(INDEX('CAT_CENTROS_COSTO'!$G$4:$G$28,MATCH($F666,'CAT_CENTROS_COSTO'!$A$4:$A$28,0)),"(sin catálogo)"))</f>
        <v/>
      </c>
      <c r="AB666" s="24">
        <f>IF($G666="","",IFERROR(INDEX('CAT_PUESTOS'!$B$4:$B$23,MATCH($G666,'CAT_PUESTOS'!$A$4:$A$23,0)),"(sin catálogo)"))</f>
        <v/>
      </c>
      <c r="AC666" s="24">
        <f>IF($H666="","",IFERROR(INDEX('CAT_ACTIVIDADES'!$B$4:$B$26,MATCH($H666,'CAT_ACTIVIDADES'!$A$4:$A$26,0)),"(sin catálogo)"))</f>
        <v/>
      </c>
      <c r="AD666" s="26">
        <f>IF($J666="","",TODAY()-$J666)</f>
        <v/>
      </c>
      <c r="AE666" s="26">
        <f>IF($J666="","",IF($J666&lt;=TODAY(),COUNTIFS(cal_fechas,"&gt;="&amp;$J666,cal_fechas,"&lt;"&amp;TODAY(),cal_habil,"sí"),-COUNTIFS(cal_fechas,"&gt;="&amp;TODAY(),cal_fechas,"&lt;"&amp;$J666,cal_habil,"sí")))</f>
        <v/>
      </c>
      <c r="AF666" s="24">
        <f>IF($AE666="","",IF($AE666&lt;0,"FUTURO",IF($AE666&gt;p_dias_backlog_max,"BACKLOG","MES CORRIENTE")))</f>
        <v/>
      </c>
      <c r="AG666" s="24">
        <f>IF($AE666="",FALSE,AND($AE666&gt;p_dias_backlog_min,$AE666&lt;=p_dias_backlog_max))</f>
        <v/>
      </c>
      <c r="AH666" s="4" t="n"/>
      <c r="AI666" s="24">
        <f>IF($AH666="","",IF((IFERROR(INDEX('ASIGNACIONES'!$J$4:$J$451,MATCH($O666&amp;"|"&amp;$S666&amp;"|"&amp;$AH666,'ASIGNACIONES'!$N$4:$N$451,0)),""))=0,"",IFERROR(INDEX('ASIGNACIONES'!$J$4:$J$451,MATCH($O666&amp;"|"&amp;$S666&amp;"|"&amp;$AH666,'ASIGNACIONES'!$N$4:$N$451,0)),"")))</f>
        <v/>
      </c>
      <c r="AJ666" s="42">
        <f>IF($AH666="","",SUMIFS('ORDENES'!$M$4:$M$1203,'ORDENES'!$AH$4:$AH$1203,$AH666,'ORDENES'!$O$4:$O$1203,$O666,'ORDENES'!$S$4:$S$1203,$S666))</f>
        <v/>
      </c>
      <c r="AK666" s="42">
        <f>IF($AJ666="","",p_factor_productividad*IFERROR(INDEX('ASIGNACIONES'!$M$4:$M$451,MATCH($O666&amp;"|"&amp;$S666&amp;"|"&amp;$AH666,'ASIGNACIONES'!$N$4:$N$451,0)),0)-$AJ666)</f>
        <v/>
      </c>
      <c r="AL666" s="32">
        <f>IF($A666="","",IFERROR(INDEX('2_IMPORTAR_EJECUCION'!$F$9:$F$1208,MATCH($AU666,'2_IMPORTAR_EJECUCION'!$J$9:$J$1208,0)),0))</f>
        <v/>
      </c>
      <c r="AM666" s="32">
        <f>IF($A666="","",MAX(0,IFERROR(INDEX('2_IMPORTAR_EJECUCION'!$H$9:$H$1208,MATCH($AU666,'2_IMPORTAR_EJECUCION'!$J$9:$J$1208,0)),0)-$AL666))</f>
        <v/>
      </c>
      <c r="AN666" s="32">
        <f>IF($A666="","",$AL666+$AM666)</f>
        <v/>
      </c>
      <c r="AO666" s="24">
        <f>IF($A666="","",IF(OR((IFERROR(INDEX('CAT_ACTIVIDADES'!$D$4:$D$26,MATCH($H666,'CAT_ACTIVIDADES'!$A$4:$A$26,0)),""))=0,(IFERROR(INDEX('CAT_ACTIVIDADES'!$D$4:$D$26,MATCH($H666,'CAT_ACTIVIDADES'!$A$4:$A$26,0)),""))=""),"SIN CLASIFICAR",IFERROR(INDEX('CAT_ACTIVIDADES'!$D$4:$D$26,MATCH($H666,'CAT_ACTIVIDADES'!$A$4:$A$26,0)),"")))</f>
        <v/>
      </c>
      <c r="AP666" s="4" t="n"/>
      <c r="AQ666" s="4" t="n"/>
      <c r="AR666" s="4" t="n"/>
      <c r="AS666" s="24">
        <f>IF($AR666="","",HYPERLINK(p_ruta_base_checklists&amp;$AR666,"abrir"))</f>
        <v/>
      </c>
      <c r="AT666" s="4" t="n"/>
      <c r="AU666" s="24">
        <f>IF($A666="","",$A666&amp;IF($B666="","0010",$B666))</f>
        <v/>
      </c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41" t="n"/>
      <c r="K667" s="5" t="n"/>
      <c r="L667" s="18" t="n"/>
      <c r="M667" s="24">
        <f>IF($A667="","",IFERROR(INDEX('AJUSTES'!$B$4:$B$303,MATCH($AU667,'AJUSTES'!$A$4:$A$303,0)),IF($K667="","",$K667)))</f>
        <v/>
      </c>
      <c r="N667" s="24">
        <f>IF($A667="","",IFERROR(INDEX('CAT_ESTADOS_ERP'!$B$4:$B$22,MATCH(IFERROR(INDEX('2_IMPORTAR_EJECUCION'!$C$9:$C$1208,MATCH($AU667,'2_IMPORTAR_EJECUCION'!$J$9:$J$1208,0)),""),'CAT_ESTADOS_ERP'!$A$4:$A$22,0)),"Pendiente"))</f>
        <v/>
      </c>
      <c r="O667" s="24">
        <f>IF($J667="","",YEAR($J667+4-WEEKDAY($J667,2))&amp;"-S"&amp;TEXT(_xlfn.ISOWEEKNUM($J667),"00"))</f>
        <v/>
      </c>
      <c r="P667" s="24">
        <f>IF($J667="","",YEAR($J667))</f>
        <v/>
      </c>
      <c r="Q667" s="24">
        <f>IF($J667="","",MONTH($J667))</f>
        <v/>
      </c>
      <c r="R667" s="24">
        <f>IF($J667="","",$P667&amp;"-"&amp;TEXT($Q667,"00"))</f>
        <v/>
      </c>
      <c r="S667" s="24">
        <f>IF($J667="","",INDEX(lista_dias,WEEKDAY($J667,2)))</f>
        <v/>
      </c>
      <c r="T667" s="24">
        <f>IF($J667="","",IFERROR(INDEX('CALENDARIO'!$C$15:$C$214,MATCH(TEXT($J667,"yyyy-mm-dd")&amp;"|"&amp;$Y667&amp;"|"&amp;$Z667,'CALENDARIO'!$G$15:$G$214,0)),IFERROR(INDEX('CALENDARIO'!$C$15:$C$214,MATCH(TEXT($J667,"yyyy-mm-dd")&amp;"|"&amp;$Y667&amp;"|",'CALENDARIO'!$G$15:$G$214,0)),IFERROR(INDEX('CALENDARIO'!$C$15:$C$214,MATCH(TEXT($J667,"yyyy-mm-dd")&amp;"||",'CALENDARIO'!$G$15:$G$214,0)),INDEX(patronHabil,WEEKDAY($J667,2))))))</f>
        <v/>
      </c>
      <c r="U667" s="24">
        <f>IF($I667="","",IFERROR(INDEX('CAT_TIPOS_OT'!$C$4:$C$23,MATCH($I667,'CAT_TIPOS_OT'!$A$4:$A$23,0)),"sin_clasificar"))</f>
        <v/>
      </c>
      <c r="V667" s="24">
        <f>IF($I667="","",IF(IFERROR(INDEX('CAT_TIPOS_OT'!$D$4:$D$23,MATCH($I667,'CAT_TIPOS_OT'!$A$4:$A$23,0)),"SIN CLASIFICAR")="","SIN CLASIFICAR",IFERROR(INDEX('CAT_TIPOS_OT'!$D$4:$D$23,MATCH($I667,'CAT_TIPOS_OT'!$A$4:$A$23,0)),"SIN CLASIFICAR")))</f>
        <v/>
      </c>
      <c r="W667" s="24">
        <f>IF($H667="","",IF(IFERROR(INDEX('CAT_ACTIVIDADES'!$F$4:$F$26,MATCH($H667,'CAT_ACTIVIDADES'!$A$4:$A$26,0)),"")=0,"",IFERROR(INDEX('CAT_ACTIVIDADES'!$F$4:$F$26,MATCH($H667,'CAT_ACTIVIDADES'!$A$4:$A$26,0)),"")))</f>
        <v/>
      </c>
      <c r="X667" s="24">
        <f>IF($F667="","",IFERROR(INDEX('CAT_CENTROS_COSTO'!$F$4:$F$28,MATCH($F667,'CAT_CENTROS_COSTO'!$A$4:$A$28,0)),"(sin catálogo)"))</f>
        <v/>
      </c>
      <c r="Y667" s="24">
        <f>IF($F667="","",IFERROR(INDEX('CAT_CENTROS_COSTO'!$D$4:$D$28,MATCH($F667,'CAT_CENTROS_COSTO'!$A$4:$A$28,0)),"(sin catálogo)"))</f>
        <v/>
      </c>
      <c r="Z667" s="24">
        <f>IF($F667="","",IF((IFERROR(INDEX('CAT_CENTROS_COSTO'!$E$4:$E$28,MATCH($F667,'CAT_CENTROS_COSTO'!$A$4:$A$28,0)),""))&lt;&gt;"",IFERROR(INDEX('CAT_CENTROS_COSTO'!$E$4:$E$28,MATCH($F667,'CAT_CENTROS_COSTO'!$A$4:$A$28,0)),""),$Y667))</f>
        <v/>
      </c>
      <c r="AA667" s="24">
        <f>IF($F667="","",IFERROR(INDEX('CAT_CENTROS_COSTO'!$G$4:$G$28,MATCH($F667,'CAT_CENTROS_COSTO'!$A$4:$A$28,0)),"(sin catálogo)"))</f>
        <v/>
      </c>
      <c r="AB667" s="24">
        <f>IF($G667="","",IFERROR(INDEX('CAT_PUESTOS'!$B$4:$B$23,MATCH($G667,'CAT_PUESTOS'!$A$4:$A$23,0)),"(sin catálogo)"))</f>
        <v/>
      </c>
      <c r="AC667" s="24">
        <f>IF($H667="","",IFERROR(INDEX('CAT_ACTIVIDADES'!$B$4:$B$26,MATCH($H667,'CAT_ACTIVIDADES'!$A$4:$A$26,0)),"(sin catálogo)"))</f>
        <v/>
      </c>
      <c r="AD667" s="26">
        <f>IF($J667="","",TODAY()-$J667)</f>
        <v/>
      </c>
      <c r="AE667" s="26">
        <f>IF($J667="","",IF($J667&lt;=TODAY(),COUNTIFS(cal_fechas,"&gt;="&amp;$J667,cal_fechas,"&lt;"&amp;TODAY(),cal_habil,"sí"),-COUNTIFS(cal_fechas,"&gt;="&amp;TODAY(),cal_fechas,"&lt;"&amp;$J667,cal_habil,"sí")))</f>
        <v/>
      </c>
      <c r="AF667" s="24">
        <f>IF($AE667="","",IF($AE667&lt;0,"FUTURO",IF($AE667&gt;p_dias_backlog_max,"BACKLOG","MES CORRIENTE")))</f>
        <v/>
      </c>
      <c r="AG667" s="24">
        <f>IF($AE667="",FALSE,AND($AE667&gt;p_dias_backlog_min,$AE667&lt;=p_dias_backlog_max))</f>
        <v/>
      </c>
      <c r="AH667" s="4" t="n"/>
      <c r="AI667" s="24">
        <f>IF($AH667="","",IF((IFERROR(INDEX('ASIGNACIONES'!$J$4:$J$451,MATCH($O667&amp;"|"&amp;$S667&amp;"|"&amp;$AH667,'ASIGNACIONES'!$N$4:$N$451,0)),""))=0,"",IFERROR(INDEX('ASIGNACIONES'!$J$4:$J$451,MATCH($O667&amp;"|"&amp;$S667&amp;"|"&amp;$AH667,'ASIGNACIONES'!$N$4:$N$451,0)),"")))</f>
        <v/>
      </c>
      <c r="AJ667" s="42">
        <f>IF($AH667="","",SUMIFS('ORDENES'!$M$4:$M$1203,'ORDENES'!$AH$4:$AH$1203,$AH667,'ORDENES'!$O$4:$O$1203,$O667,'ORDENES'!$S$4:$S$1203,$S667))</f>
        <v/>
      </c>
      <c r="AK667" s="42">
        <f>IF($AJ667="","",p_factor_productividad*IFERROR(INDEX('ASIGNACIONES'!$M$4:$M$451,MATCH($O667&amp;"|"&amp;$S667&amp;"|"&amp;$AH667,'ASIGNACIONES'!$N$4:$N$451,0)),0)-$AJ667)</f>
        <v/>
      </c>
      <c r="AL667" s="32">
        <f>IF($A667="","",IFERROR(INDEX('2_IMPORTAR_EJECUCION'!$F$9:$F$1208,MATCH($AU667,'2_IMPORTAR_EJECUCION'!$J$9:$J$1208,0)),0))</f>
        <v/>
      </c>
      <c r="AM667" s="32">
        <f>IF($A667="","",MAX(0,IFERROR(INDEX('2_IMPORTAR_EJECUCION'!$H$9:$H$1208,MATCH($AU667,'2_IMPORTAR_EJECUCION'!$J$9:$J$1208,0)),0)-$AL667))</f>
        <v/>
      </c>
      <c r="AN667" s="32">
        <f>IF($A667="","",$AL667+$AM667)</f>
        <v/>
      </c>
      <c r="AO667" s="24">
        <f>IF($A667="","",IF(OR((IFERROR(INDEX('CAT_ACTIVIDADES'!$D$4:$D$26,MATCH($H667,'CAT_ACTIVIDADES'!$A$4:$A$26,0)),""))=0,(IFERROR(INDEX('CAT_ACTIVIDADES'!$D$4:$D$26,MATCH($H667,'CAT_ACTIVIDADES'!$A$4:$A$26,0)),""))=""),"SIN CLASIFICAR",IFERROR(INDEX('CAT_ACTIVIDADES'!$D$4:$D$26,MATCH($H667,'CAT_ACTIVIDADES'!$A$4:$A$26,0)),"")))</f>
        <v/>
      </c>
      <c r="AP667" s="4" t="n"/>
      <c r="AQ667" s="4" t="n"/>
      <c r="AR667" s="4" t="n"/>
      <c r="AS667" s="24">
        <f>IF($AR667="","",HYPERLINK(p_ruta_base_checklists&amp;$AR667,"abrir"))</f>
        <v/>
      </c>
      <c r="AT667" s="4" t="n"/>
      <c r="AU667" s="24">
        <f>IF($A667="","",$A667&amp;IF($B667="","0010",$B667))</f>
        <v/>
      </c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41" t="n"/>
      <c r="K668" s="5" t="n"/>
      <c r="L668" s="18" t="n"/>
      <c r="M668" s="24">
        <f>IF($A668="","",IFERROR(INDEX('AJUSTES'!$B$4:$B$303,MATCH($AU668,'AJUSTES'!$A$4:$A$303,0)),IF($K668="","",$K668)))</f>
        <v/>
      </c>
      <c r="N668" s="24">
        <f>IF($A668="","",IFERROR(INDEX('CAT_ESTADOS_ERP'!$B$4:$B$22,MATCH(IFERROR(INDEX('2_IMPORTAR_EJECUCION'!$C$9:$C$1208,MATCH($AU668,'2_IMPORTAR_EJECUCION'!$J$9:$J$1208,0)),""),'CAT_ESTADOS_ERP'!$A$4:$A$22,0)),"Pendiente"))</f>
        <v/>
      </c>
      <c r="O668" s="24">
        <f>IF($J668="","",YEAR($J668+4-WEEKDAY($J668,2))&amp;"-S"&amp;TEXT(_xlfn.ISOWEEKNUM($J668),"00"))</f>
        <v/>
      </c>
      <c r="P668" s="24">
        <f>IF($J668="","",YEAR($J668))</f>
        <v/>
      </c>
      <c r="Q668" s="24">
        <f>IF($J668="","",MONTH($J668))</f>
        <v/>
      </c>
      <c r="R668" s="24">
        <f>IF($J668="","",$P668&amp;"-"&amp;TEXT($Q668,"00"))</f>
        <v/>
      </c>
      <c r="S668" s="24">
        <f>IF($J668="","",INDEX(lista_dias,WEEKDAY($J668,2)))</f>
        <v/>
      </c>
      <c r="T668" s="24">
        <f>IF($J668="","",IFERROR(INDEX('CALENDARIO'!$C$15:$C$214,MATCH(TEXT($J668,"yyyy-mm-dd")&amp;"|"&amp;$Y668&amp;"|"&amp;$Z668,'CALENDARIO'!$G$15:$G$214,0)),IFERROR(INDEX('CALENDARIO'!$C$15:$C$214,MATCH(TEXT($J668,"yyyy-mm-dd")&amp;"|"&amp;$Y668&amp;"|",'CALENDARIO'!$G$15:$G$214,0)),IFERROR(INDEX('CALENDARIO'!$C$15:$C$214,MATCH(TEXT($J668,"yyyy-mm-dd")&amp;"||",'CALENDARIO'!$G$15:$G$214,0)),INDEX(patronHabil,WEEKDAY($J668,2))))))</f>
        <v/>
      </c>
      <c r="U668" s="24">
        <f>IF($I668="","",IFERROR(INDEX('CAT_TIPOS_OT'!$C$4:$C$23,MATCH($I668,'CAT_TIPOS_OT'!$A$4:$A$23,0)),"sin_clasificar"))</f>
        <v/>
      </c>
      <c r="V668" s="24">
        <f>IF($I668="","",IF(IFERROR(INDEX('CAT_TIPOS_OT'!$D$4:$D$23,MATCH($I668,'CAT_TIPOS_OT'!$A$4:$A$23,0)),"SIN CLASIFICAR")="","SIN CLASIFICAR",IFERROR(INDEX('CAT_TIPOS_OT'!$D$4:$D$23,MATCH($I668,'CAT_TIPOS_OT'!$A$4:$A$23,0)),"SIN CLASIFICAR")))</f>
        <v/>
      </c>
      <c r="W668" s="24">
        <f>IF($H668="","",IF(IFERROR(INDEX('CAT_ACTIVIDADES'!$F$4:$F$26,MATCH($H668,'CAT_ACTIVIDADES'!$A$4:$A$26,0)),"")=0,"",IFERROR(INDEX('CAT_ACTIVIDADES'!$F$4:$F$26,MATCH($H668,'CAT_ACTIVIDADES'!$A$4:$A$26,0)),"")))</f>
        <v/>
      </c>
      <c r="X668" s="24">
        <f>IF($F668="","",IFERROR(INDEX('CAT_CENTROS_COSTO'!$F$4:$F$28,MATCH($F668,'CAT_CENTROS_COSTO'!$A$4:$A$28,0)),"(sin catálogo)"))</f>
        <v/>
      </c>
      <c r="Y668" s="24">
        <f>IF($F668="","",IFERROR(INDEX('CAT_CENTROS_COSTO'!$D$4:$D$28,MATCH($F668,'CAT_CENTROS_COSTO'!$A$4:$A$28,0)),"(sin catálogo)"))</f>
        <v/>
      </c>
      <c r="Z668" s="24">
        <f>IF($F668="","",IF((IFERROR(INDEX('CAT_CENTROS_COSTO'!$E$4:$E$28,MATCH($F668,'CAT_CENTROS_COSTO'!$A$4:$A$28,0)),""))&lt;&gt;"",IFERROR(INDEX('CAT_CENTROS_COSTO'!$E$4:$E$28,MATCH($F668,'CAT_CENTROS_COSTO'!$A$4:$A$28,0)),""),$Y668))</f>
        <v/>
      </c>
      <c r="AA668" s="24">
        <f>IF($F668="","",IFERROR(INDEX('CAT_CENTROS_COSTO'!$G$4:$G$28,MATCH($F668,'CAT_CENTROS_COSTO'!$A$4:$A$28,0)),"(sin catálogo)"))</f>
        <v/>
      </c>
      <c r="AB668" s="24">
        <f>IF($G668="","",IFERROR(INDEX('CAT_PUESTOS'!$B$4:$B$23,MATCH($G668,'CAT_PUESTOS'!$A$4:$A$23,0)),"(sin catálogo)"))</f>
        <v/>
      </c>
      <c r="AC668" s="24">
        <f>IF($H668="","",IFERROR(INDEX('CAT_ACTIVIDADES'!$B$4:$B$26,MATCH($H668,'CAT_ACTIVIDADES'!$A$4:$A$26,0)),"(sin catálogo)"))</f>
        <v/>
      </c>
      <c r="AD668" s="26">
        <f>IF($J668="","",TODAY()-$J668)</f>
        <v/>
      </c>
      <c r="AE668" s="26">
        <f>IF($J668="","",IF($J668&lt;=TODAY(),COUNTIFS(cal_fechas,"&gt;="&amp;$J668,cal_fechas,"&lt;"&amp;TODAY(),cal_habil,"sí"),-COUNTIFS(cal_fechas,"&gt;="&amp;TODAY(),cal_fechas,"&lt;"&amp;$J668,cal_habil,"sí")))</f>
        <v/>
      </c>
      <c r="AF668" s="24">
        <f>IF($AE668="","",IF($AE668&lt;0,"FUTURO",IF($AE668&gt;p_dias_backlog_max,"BACKLOG","MES CORRIENTE")))</f>
        <v/>
      </c>
      <c r="AG668" s="24">
        <f>IF($AE668="",FALSE,AND($AE668&gt;p_dias_backlog_min,$AE668&lt;=p_dias_backlog_max))</f>
        <v/>
      </c>
      <c r="AH668" s="4" t="n"/>
      <c r="AI668" s="24">
        <f>IF($AH668="","",IF((IFERROR(INDEX('ASIGNACIONES'!$J$4:$J$451,MATCH($O668&amp;"|"&amp;$S668&amp;"|"&amp;$AH668,'ASIGNACIONES'!$N$4:$N$451,0)),""))=0,"",IFERROR(INDEX('ASIGNACIONES'!$J$4:$J$451,MATCH($O668&amp;"|"&amp;$S668&amp;"|"&amp;$AH668,'ASIGNACIONES'!$N$4:$N$451,0)),"")))</f>
        <v/>
      </c>
      <c r="AJ668" s="42">
        <f>IF($AH668="","",SUMIFS('ORDENES'!$M$4:$M$1203,'ORDENES'!$AH$4:$AH$1203,$AH668,'ORDENES'!$O$4:$O$1203,$O668,'ORDENES'!$S$4:$S$1203,$S668))</f>
        <v/>
      </c>
      <c r="AK668" s="42">
        <f>IF($AJ668="","",p_factor_productividad*IFERROR(INDEX('ASIGNACIONES'!$M$4:$M$451,MATCH($O668&amp;"|"&amp;$S668&amp;"|"&amp;$AH668,'ASIGNACIONES'!$N$4:$N$451,0)),0)-$AJ668)</f>
        <v/>
      </c>
      <c r="AL668" s="32">
        <f>IF($A668="","",IFERROR(INDEX('2_IMPORTAR_EJECUCION'!$F$9:$F$1208,MATCH($AU668,'2_IMPORTAR_EJECUCION'!$J$9:$J$1208,0)),0))</f>
        <v/>
      </c>
      <c r="AM668" s="32">
        <f>IF($A668="","",MAX(0,IFERROR(INDEX('2_IMPORTAR_EJECUCION'!$H$9:$H$1208,MATCH($AU668,'2_IMPORTAR_EJECUCION'!$J$9:$J$1208,0)),0)-$AL668))</f>
        <v/>
      </c>
      <c r="AN668" s="32">
        <f>IF($A668="","",$AL668+$AM668)</f>
        <v/>
      </c>
      <c r="AO668" s="24">
        <f>IF($A668="","",IF(OR((IFERROR(INDEX('CAT_ACTIVIDADES'!$D$4:$D$26,MATCH($H668,'CAT_ACTIVIDADES'!$A$4:$A$26,0)),""))=0,(IFERROR(INDEX('CAT_ACTIVIDADES'!$D$4:$D$26,MATCH($H668,'CAT_ACTIVIDADES'!$A$4:$A$26,0)),""))=""),"SIN CLASIFICAR",IFERROR(INDEX('CAT_ACTIVIDADES'!$D$4:$D$26,MATCH($H668,'CAT_ACTIVIDADES'!$A$4:$A$26,0)),"")))</f>
        <v/>
      </c>
      <c r="AP668" s="4" t="n"/>
      <c r="AQ668" s="4" t="n"/>
      <c r="AR668" s="4" t="n"/>
      <c r="AS668" s="24">
        <f>IF($AR668="","",HYPERLINK(p_ruta_base_checklists&amp;$AR668,"abrir"))</f>
        <v/>
      </c>
      <c r="AT668" s="4" t="n"/>
      <c r="AU668" s="24">
        <f>IF($A668="","",$A668&amp;IF($B668="","0010",$B668))</f>
        <v/>
      </c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41" t="n"/>
      <c r="K669" s="5" t="n"/>
      <c r="L669" s="18" t="n"/>
      <c r="M669" s="24">
        <f>IF($A669="","",IFERROR(INDEX('AJUSTES'!$B$4:$B$303,MATCH($AU669,'AJUSTES'!$A$4:$A$303,0)),IF($K669="","",$K669)))</f>
        <v/>
      </c>
      <c r="N669" s="24">
        <f>IF($A669="","",IFERROR(INDEX('CAT_ESTADOS_ERP'!$B$4:$B$22,MATCH(IFERROR(INDEX('2_IMPORTAR_EJECUCION'!$C$9:$C$1208,MATCH($AU669,'2_IMPORTAR_EJECUCION'!$J$9:$J$1208,0)),""),'CAT_ESTADOS_ERP'!$A$4:$A$22,0)),"Pendiente"))</f>
        <v/>
      </c>
      <c r="O669" s="24">
        <f>IF($J669="","",YEAR($J669+4-WEEKDAY($J669,2))&amp;"-S"&amp;TEXT(_xlfn.ISOWEEKNUM($J669),"00"))</f>
        <v/>
      </c>
      <c r="P669" s="24">
        <f>IF($J669="","",YEAR($J669))</f>
        <v/>
      </c>
      <c r="Q669" s="24">
        <f>IF($J669="","",MONTH($J669))</f>
        <v/>
      </c>
      <c r="R669" s="24">
        <f>IF($J669="","",$P669&amp;"-"&amp;TEXT($Q669,"00"))</f>
        <v/>
      </c>
      <c r="S669" s="24">
        <f>IF($J669="","",INDEX(lista_dias,WEEKDAY($J669,2)))</f>
        <v/>
      </c>
      <c r="T669" s="24">
        <f>IF($J669="","",IFERROR(INDEX('CALENDARIO'!$C$15:$C$214,MATCH(TEXT($J669,"yyyy-mm-dd")&amp;"|"&amp;$Y669&amp;"|"&amp;$Z669,'CALENDARIO'!$G$15:$G$214,0)),IFERROR(INDEX('CALENDARIO'!$C$15:$C$214,MATCH(TEXT($J669,"yyyy-mm-dd")&amp;"|"&amp;$Y669&amp;"|",'CALENDARIO'!$G$15:$G$214,0)),IFERROR(INDEX('CALENDARIO'!$C$15:$C$214,MATCH(TEXT($J669,"yyyy-mm-dd")&amp;"||",'CALENDARIO'!$G$15:$G$214,0)),INDEX(patronHabil,WEEKDAY($J669,2))))))</f>
        <v/>
      </c>
      <c r="U669" s="24">
        <f>IF($I669="","",IFERROR(INDEX('CAT_TIPOS_OT'!$C$4:$C$23,MATCH($I669,'CAT_TIPOS_OT'!$A$4:$A$23,0)),"sin_clasificar"))</f>
        <v/>
      </c>
      <c r="V669" s="24">
        <f>IF($I669="","",IF(IFERROR(INDEX('CAT_TIPOS_OT'!$D$4:$D$23,MATCH($I669,'CAT_TIPOS_OT'!$A$4:$A$23,0)),"SIN CLASIFICAR")="","SIN CLASIFICAR",IFERROR(INDEX('CAT_TIPOS_OT'!$D$4:$D$23,MATCH($I669,'CAT_TIPOS_OT'!$A$4:$A$23,0)),"SIN CLASIFICAR")))</f>
        <v/>
      </c>
      <c r="W669" s="24">
        <f>IF($H669="","",IF(IFERROR(INDEX('CAT_ACTIVIDADES'!$F$4:$F$26,MATCH($H669,'CAT_ACTIVIDADES'!$A$4:$A$26,0)),"")=0,"",IFERROR(INDEX('CAT_ACTIVIDADES'!$F$4:$F$26,MATCH($H669,'CAT_ACTIVIDADES'!$A$4:$A$26,0)),"")))</f>
        <v/>
      </c>
      <c r="X669" s="24">
        <f>IF($F669="","",IFERROR(INDEX('CAT_CENTROS_COSTO'!$F$4:$F$28,MATCH($F669,'CAT_CENTROS_COSTO'!$A$4:$A$28,0)),"(sin catálogo)"))</f>
        <v/>
      </c>
      <c r="Y669" s="24">
        <f>IF($F669="","",IFERROR(INDEX('CAT_CENTROS_COSTO'!$D$4:$D$28,MATCH($F669,'CAT_CENTROS_COSTO'!$A$4:$A$28,0)),"(sin catálogo)"))</f>
        <v/>
      </c>
      <c r="Z669" s="24">
        <f>IF($F669="","",IF((IFERROR(INDEX('CAT_CENTROS_COSTO'!$E$4:$E$28,MATCH($F669,'CAT_CENTROS_COSTO'!$A$4:$A$28,0)),""))&lt;&gt;"",IFERROR(INDEX('CAT_CENTROS_COSTO'!$E$4:$E$28,MATCH($F669,'CAT_CENTROS_COSTO'!$A$4:$A$28,0)),""),$Y669))</f>
        <v/>
      </c>
      <c r="AA669" s="24">
        <f>IF($F669="","",IFERROR(INDEX('CAT_CENTROS_COSTO'!$G$4:$G$28,MATCH($F669,'CAT_CENTROS_COSTO'!$A$4:$A$28,0)),"(sin catálogo)"))</f>
        <v/>
      </c>
      <c r="AB669" s="24">
        <f>IF($G669="","",IFERROR(INDEX('CAT_PUESTOS'!$B$4:$B$23,MATCH($G669,'CAT_PUESTOS'!$A$4:$A$23,0)),"(sin catálogo)"))</f>
        <v/>
      </c>
      <c r="AC669" s="24">
        <f>IF($H669="","",IFERROR(INDEX('CAT_ACTIVIDADES'!$B$4:$B$26,MATCH($H669,'CAT_ACTIVIDADES'!$A$4:$A$26,0)),"(sin catálogo)"))</f>
        <v/>
      </c>
      <c r="AD669" s="26">
        <f>IF($J669="","",TODAY()-$J669)</f>
        <v/>
      </c>
      <c r="AE669" s="26">
        <f>IF($J669="","",IF($J669&lt;=TODAY(),COUNTIFS(cal_fechas,"&gt;="&amp;$J669,cal_fechas,"&lt;"&amp;TODAY(),cal_habil,"sí"),-COUNTIFS(cal_fechas,"&gt;="&amp;TODAY(),cal_fechas,"&lt;"&amp;$J669,cal_habil,"sí")))</f>
        <v/>
      </c>
      <c r="AF669" s="24">
        <f>IF($AE669="","",IF($AE669&lt;0,"FUTURO",IF($AE669&gt;p_dias_backlog_max,"BACKLOG","MES CORRIENTE")))</f>
        <v/>
      </c>
      <c r="AG669" s="24">
        <f>IF($AE669="",FALSE,AND($AE669&gt;p_dias_backlog_min,$AE669&lt;=p_dias_backlog_max))</f>
        <v/>
      </c>
      <c r="AH669" s="4" t="n"/>
      <c r="AI669" s="24">
        <f>IF($AH669="","",IF((IFERROR(INDEX('ASIGNACIONES'!$J$4:$J$451,MATCH($O669&amp;"|"&amp;$S669&amp;"|"&amp;$AH669,'ASIGNACIONES'!$N$4:$N$451,0)),""))=0,"",IFERROR(INDEX('ASIGNACIONES'!$J$4:$J$451,MATCH($O669&amp;"|"&amp;$S669&amp;"|"&amp;$AH669,'ASIGNACIONES'!$N$4:$N$451,0)),"")))</f>
        <v/>
      </c>
      <c r="AJ669" s="42">
        <f>IF($AH669="","",SUMIFS('ORDENES'!$M$4:$M$1203,'ORDENES'!$AH$4:$AH$1203,$AH669,'ORDENES'!$O$4:$O$1203,$O669,'ORDENES'!$S$4:$S$1203,$S669))</f>
        <v/>
      </c>
      <c r="AK669" s="42">
        <f>IF($AJ669="","",p_factor_productividad*IFERROR(INDEX('ASIGNACIONES'!$M$4:$M$451,MATCH($O669&amp;"|"&amp;$S669&amp;"|"&amp;$AH669,'ASIGNACIONES'!$N$4:$N$451,0)),0)-$AJ669)</f>
        <v/>
      </c>
      <c r="AL669" s="32">
        <f>IF($A669="","",IFERROR(INDEX('2_IMPORTAR_EJECUCION'!$F$9:$F$1208,MATCH($AU669,'2_IMPORTAR_EJECUCION'!$J$9:$J$1208,0)),0))</f>
        <v/>
      </c>
      <c r="AM669" s="32">
        <f>IF($A669="","",MAX(0,IFERROR(INDEX('2_IMPORTAR_EJECUCION'!$H$9:$H$1208,MATCH($AU669,'2_IMPORTAR_EJECUCION'!$J$9:$J$1208,0)),0)-$AL669))</f>
        <v/>
      </c>
      <c r="AN669" s="32">
        <f>IF($A669="","",$AL669+$AM669)</f>
        <v/>
      </c>
      <c r="AO669" s="24">
        <f>IF($A669="","",IF(OR((IFERROR(INDEX('CAT_ACTIVIDADES'!$D$4:$D$26,MATCH($H669,'CAT_ACTIVIDADES'!$A$4:$A$26,0)),""))=0,(IFERROR(INDEX('CAT_ACTIVIDADES'!$D$4:$D$26,MATCH($H669,'CAT_ACTIVIDADES'!$A$4:$A$26,0)),""))=""),"SIN CLASIFICAR",IFERROR(INDEX('CAT_ACTIVIDADES'!$D$4:$D$26,MATCH($H669,'CAT_ACTIVIDADES'!$A$4:$A$26,0)),"")))</f>
        <v/>
      </c>
      <c r="AP669" s="4" t="n"/>
      <c r="AQ669" s="4" t="n"/>
      <c r="AR669" s="4" t="n"/>
      <c r="AS669" s="24">
        <f>IF($AR669="","",HYPERLINK(p_ruta_base_checklists&amp;$AR669,"abrir"))</f>
        <v/>
      </c>
      <c r="AT669" s="4" t="n"/>
      <c r="AU669" s="24">
        <f>IF($A669="","",$A669&amp;IF($B669="","0010",$B669))</f>
        <v/>
      </c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41" t="n"/>
      <c r="K670" s="5" t="n"/>
      <c r="L670" s="18" t="n"/>
      <c r="M670" s="24">
        <f>IF($A670="","",IFERROR(INDEX('AJUSTES'!$B$4:$B$303,MATCH($AU670,'AJUSTES'!$A$4:$A$303,0)),IF($K670="","",$K670)))</f>
        <v/>
      </c>
      <c r="N670" s="24">
        <f>IF($A670="","",IFERROR(INDEX('CAT_ESTADOS_ERP'!$B$4:$B$22,MATCH(IFERROR(INDEX('2_IMPORTAR_EJECUCION'!$C$9:$C$1208,MATCH($AU670,'2_IMPORTAR_EJECUCION'!$J$9:$J$1208,0)),""),'CAT_ESTADOS_ERP'!$A$4:$A$22,0)),"Pendiente"))</f>
        <v/>
      </c>
      <c r="O670" s="24">
        <f>IF($J670="","",YEAR($J670+4-WEEKDAY($J670,2))&amp;"-S"&amp;TEXT(_xlfn.ISOWEEKNUM($J670),"00"))</f>
        <v/>
      </c>
      <c r="P670" s="24">
        <f>IF($J670="","",YEAR($J670))</f>
        <v/>
      </c>
      <c r="Q670" s="24">
        <f>IF($J670="","",MONTH($J670))</f>
        <v/>
      </c>
      <c r="R670" s="24">
        <f>IF($J670="","",$P670&amp;"-"&amp;TEXT($Q670,"00"))</f>
        <v/>
      </c>
      <c r="S670" s="24">
        <f>IF($J670="","",INDEX(lista_dias,WEEKDAY($J670,2)))</f>
        <v/>
      </c>
      <c r="T670" s="24">
        <f>IF($J670="","",IFERROR(INDEX('CALENDARIO'!$C$15:$C$214,MATCH(TEXT($J670,"yyyy-mm-dd")&amp;"|"&amp;$Y670&amp;"|"&amp;$Z670,'CALENDARIO'!$G$15:$G$214,0)),IFERROR(INDEX('CALENDARIO'!$C$15:$C$214,MATCH(TEXT($J670,"yyyy-mm-dd")&amp;"|"&amp;$Y670&amp;"|",'CALENDARIO'!$G$15:$G$214,0)),IFERROR(INDEX('CALENDARIO'!$C$15:$C$214,MATCH(TEXT($J670,"yyyy-mm-dd")&amp;"||",'CALENDARIO'!$G$15:$G$214,0)),INDEX(patronHabil,WEEKDAY($J670,2))))))</f>
        <v/>
      </c>
      <c r="U670" s="24">
        <f>IF($I670="","",IFERROR(INDEX('CAT_TIPOS_OT'!$C$4:$C$23,MATCH($I670,'CAT_TIPOS_OT'!$A$4:$A$23,0)),"sin_clasificar"))</f>
        <v/>
      </c>
      <c r="V670" s="24">
        <f>IF($I670="","",IF(IFERROR(INDEX('CAT_TIPOS_OT'!$D$4:$D$23,MATCH($I670,'CAT_TIPOS_OT'!$A$4:$A$23,0)),"SIN CLASIFICAR")="","SIN CLASIFICAR",IFERROR(INDEX('CAT_TIPOS_OT'!$D$4:$D$23,MATCH($I670,'CAT_TIPOS_OT'!$A$4:$A$23,0)),"SIN CLASIFICAR")))</f>
        <v/>
      </c>
      <c r="W670" s="24">
        <f>IF($H670="","",IF(IFERROR(INDEX('CAT_ACTIVIDADES'!$F$4:$F$26,MATCH($H670,'CAT_ACTIVIDADES'!$A$4:$A$26,0)),"")=0,"",IFERROR(INDEX('CAT_ACTIVIDADES'!$F$4:$F$26,MATCH($H670,'CAT_ACTIVIDADES'!$A$4:$A$26,0)),"")))</f>
        <v/>
      </c>
      <c r="X670" s="24">
        <f>IF($F670="","",IFERROR(INDEX('CAT_CENTROS_COSTO'!$F$4:$F$28,MATCH($F670,'CAT_CENTROS_COSTO'!$A$4:$A$28,0)),"(sin catálogo)"))</f>
        <v/>
      </c>
      <c r="Y670" s="24">
        <f>IF($F670="","",IFERROR(INDEX('CAT_CENTROS_COSTO'!$D$4:$D$28,MATCH($F670,'CAT_CENTROS_COSTO'!$A$4:$A$28,0)),"(sin catálogo)"))</f>
        <v/>
      </c>
      <c r="Z670" s="24">
        <f>IF($F670="","",IF((IFERROR(INDEX('CAT_CENTROS_COSTO'!$E$4:$E$28,MATCH($F670,'CAT_CENTROS_COSTO'!$A$4:$A$28,0)),""))&lt;&gt;"",IFERROR(INDEX('CAT_CENTROS_COSTO'!$E$4:$E$28,MATCH($F670,'CAT_CENTROS_COSTO'!$A$4:$A$28,0)),""),$Y670))</f>
        <v/>
      </c>
      <c r="AA670" s="24">
        <f>IF($F670="","",IFERROR(INDEX('CAT_CENTROS_COSTO'!$G$4:$G$28,MATCH($F670,'CAT_CENTROS_COSTO'!$A$4:$A$28,0)),"(sin catálogo)"))</f>
        <v/>
      </c>
      <c r="AB670" s="24">
        <f>IF($G670="","",IFERROR(INDEX('CAT_PUESTOS'!$B$4:$B$23,MATCH($G670,'CAT_PUESTOS'!$A$4:$A$23,0)),"(sin catálogo)"))</f>
        <v/>
      </c>
      <c r="AC670" s="24">
        <f>IF($H670="","",IFERROR(INDEX('CAT_ACTIVIDADES'!$B$4:$B$26,MATCH($H670,'CAT_ACTIVIDADES'!$A$4:$A$26,0)),"(sin catálogo)"))</f>
        <v/>
      </c>
      <c r="AD670" s="26">
        <f>IF($J670="","",TODAY()-$J670)</f>
        <v/>
      </c>
      <c r="AE670" s="26">
        <f>IF($J670="","",IF($J670&lt;=TODAY(),COUNTIFS(cal_fechas,"&gt;="&amp;$J670,cal_fechas,"&lt;"&amp;TODAY(),cal_habil,"sí"),-COUNTIFS(cal_fechas,"&gt;="&amp;TODAY(),cal_fechas,"&lt;"&amp;$J670,cal_habil,"sí")))</f>
        <v/>
      </c>
      <c r="AF670" s="24">
        <f>IF($AE670="","",IF($AE670&lt;0,"FUTURO",IF($AE670&gt;p_dias_backlog_max,"BACKLOG","MES CORRIENTE")))</f>
        <v/>
      </c>
      <c r="AG670" s="24">
        <f>IF($AE670="",FALSE,AND($AE670&gt;p_dias_backlog_min,$AE670&lt;=p_dias_backlog_max))</f>
        <v/>
      </c>
      <c r="AH670" s="4" t="n"/>
      <c r="AI670" s="24">
        <f>IF($AH670="","",IF((IFERROR(INDEX('ASIGNACIONES'!$J$4:$J$451,MATCH($O670&amp;"|"&amp;$S670&amp;"|"&amp;$AH670,'ASIGNACIONES'!$N$4:$N$451,0)),""))=0,"",IFERROR(INDEX('ASIGNACIONES'!$J$4:$J$451,MATCH($O670&amp;"|"&amp;$S670&amp;"|"&amp;$AH670,'ASIGNACIONES'!$N$4:$N$451,0)),"")))</f>
        <v/>
      </c>
      <c r="AJ670" s="42">
        <f>IF($AH670="","",SUMIFS('ORDENES'!$M$4:$M$1203,'ORDENES'!$AH$4:$AH$1203,$AH670,'ORDENES'!$O$4:$O$1203,$O670,'ORDENES'!$S$4:$S$1203,$S670))</f>
        <v/>
      </c>
      <c r="AK670" s="42">
        <f>IF($AJ670="","",p_factor_productividad*IFERROR(INDEX('ASIGNACIONES'!$M$4:$M$451,MATCH($O670&amp;"|"&amp;$S670&amp;"|"&amp;$AH670,'ASIGNACIONES'!$N$4:$N$451,0)),0)-$AJ670)</f>
        <v/>
      </c>
      <c r="AL670" s="32">
        <f>IF($A670="","",IFERROR(INDEX('2_IMPORTAR_EJECUCION'!$F$9:$F$1208,MATCH($AU670,'2_IMPORTAR_EJECUCION'!$J$9:$J$1208,0)),0))</f>
        <v/>
      </c>
      <c r="AM670" s="32">
        <f>IF($A670="","",MAX(0,IFERROR(INDEX('2_IMPORTAR_EJECUCION'!$H$9:$H$1208,MATCH($AU670,'2_IMPORTAR_EJECUCION'!$J$9:$J$1208,0)),0)-$AL670))</f>
        <v/>
      </c>
      <c r="AN670" s="32">
        <f>IF($A670="","",$AL670+$AM670)</f>
        <v/>
      </c>
      <c r="AO670" s="24">
        <f>IF($A670="","",IF(OR((IFERROR(INDEX('CAT_ACTIVIDADES'!$D$4:$D$26,MATCH($H670,'CAT_ACTIVIDADES'!$A$4:$A$26,0)),""))=0,(IFERROR(INDEX('CAT_ACTIVIDADES'!$D$4:$D$26,MATCH($H670,'CAT_ACTIVIDADES'!$A$4:$A$26,0)),""))=""),"SIN CLASIFICAR",IFERROR(INDEX('CAT_ACTIVIDADES'!$D$4:$D$26,MATCH($H670,'CAT_ACTIVIDADES'!$A$4:$A$26,0)),"")))</f>
        <v/>
      </c>
      <c r="AP670" s="4" t="n"/>
      <c r="AQ670" s="4" t="n"/>
      <c r="AR670" s="4" t="n"/>
      <c r="AS670" s="24">
        <f>IF($AR670="","",HYPERLINK(p_ruta_base_checklists&amp;$AR670,"abrir"))</f>
        <v/>
      </c>
      <c r="AT670" s="4" t="n"/>
      <c r="AU670" s="24">
        <f>IF($A670="","",$A670&amp;IF($B670="","0010",$B670))</f>
        <v/>
      </c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41" t="n"/>
      <c r="K671" s="5" t="n"/>
      <c r="L671" s="18" t="n"/>
      <c r="M671" s="24">
        <f>IF($A671="","",IFERROR(INDEX('AJUSTES'!$B$4:$B$303,MATCH($AU671,'AJUSTES'!$A$4:$A$303,0)),IF($K671="","",$K671)))</f>
        <v/>
      </c>
      <c r="N671" s="24">
        <f>IF($A671="","",IFERROR(INDEX('CAT_ESTADOS_ERP'!$B$4:$B$22,MATCH(IFERROR(INDEX('2_IMPORTAR_EJECUCION'!$C$9:$C$1208,MATCH($AU671,'2_IMPORTAR_EJECUCION'!$J$9:$J$1208,0)),""),'CAT_ESTADOS_ERP'!$A$4:$A$22,0)),"Pendiente"))</f>
        <v/>
      </c>
      <c r="O671" s="24">
        <f>IF($J671="","",YEAR($J671+4-WEEKDAY($J671,2))&amp;"-S"&amp;TEXT(_xlfn.ISOWEEKNUM($J671),"00"))</f>
        <v/>
      </c>
      <c r="P671" s="24">
        <f>IF($J671="","",YEAR($J671))</f>
        <v/>
      </c>
      <c r="Q671" s="24">
        <f>IF($J671="","",MONTH($J671))</f>
        <v/>
      </c>
      <c r="R671" s="24">
        <f>IF($J671="","",$P671&amp;"-"&amp;TEXT($Q671,"00"))</f>
        <v/>
      </c>
      <c r="S671" s="24">
        <f>IF($J671="","",INDEX(lista_dias,WEEKDAY($J671,2)))</f>
        <v/>
      </c>
      <c r="T671" s="24">
        <f>IF($J671="","",IFERROR(INDEX('CALENDARIO'!$C$15:$C$214,MATCH(TEXT($J671,"yyyy-mm-dd")&amp;"|"&amp;$Y671&amp;"|"&amp;$Z671,'CALENDARIO'!$G$15:$G$214,0)),IFERROR(INDEX('CALENDARIO'!$C$15:$C$214,MATCH(TEXT($J671,"yyyy-mm-dd")&amp;"|"&amp;$Y671&amp;"|",'CALENDARIO'!$G$15:$G$214,0)),IFERROR(INDEX('CALENDARIO'!$C$15:$C$214,MATCH(TEXT($J671,"yyyy-mm-dd")&amp;"||",'CALENDARIO'!$G$15:$G$214,0)),INDEX(patronHabil,WEEKDAY($J671,2))))))</f>
        <v/>
      </c>
      <c r="U671" s="24">
        <f>IF($I671="","",IFERROR(INDEX('CAT_TIPOS_OT'!$C$4:$C$23,MATCH($I671,'CAT_TIPOS_OT'!$A$4:$A$23,0)),"sin_clasificar"))</f>
        <v/>
      </c>
      <c r="V671" s="24">
        <f>IF($I671="","",IF(IFERROR(INDEX('CAT_TIPOS_OT'!$D$4:$D$23,MATCH($I671,'CAT_TIPOS_OT'!$A$4:$A$23,0)),"SIN CLASIFICAR")="","SIN CLASIFICAR",IFERROR(INDEX('CAT_TIPOS_OT'!$D$4:$D$23,MATCH($I671,'CAT_TIPOS_OT'!$A$4:$A$23,0)),"SIN CLASIFICAR")))</f>
        <v/>
      </c>
      <c r="W671" s="24">
        <f>IF($H671="","",IF(IFERROR(INDEX('CAT_ACTIVIDADES'!$F$4:$F$26,MATCH($H671,'CAT_ACTIVIDADES'!$A$4:$A$26,0)),"")=0,"",IFERROR(INDEX('CAT_ACTIVIDADES'!$F$4:$F$26,MATCH($H671,'CAT_ACTIVIDADES'!$A$4:$A$26,0)),"")))</f>
        <v/>
      </c>
      <c r="X671" s="24">
        <f>IF($F671="","",IFERROR(INDEX('CAT_CENTROS_COSTO'!$F$4:$F$28,MATCH($F671,'CAT_CENTROS_COSTO'!$A$4:$A$28,0)),"(sin catálogo)"))</f>
        <v/>
      </c>
      <c r="Y671" s="24">
        <f>IF($F671="","",IFERROR(INDEX('CAT_CENTROS_COSTO'!$D$4:$D$28,MATCH($F671,'CAT_CENTROS_COSTO'!$A$4:$A$28,0)),"(sin catálogo)"))</f>
        <v/>
      </c>
      <c r="Z671" s="24">
        <f>IF($F671="","",IF((IFERROR(INDEX('CAT_CENTROS_COSTO'!$E$4:$E$28,MATCH($F671,'CAT_CENTROS_COSTO'!$A$4:$A$28,0)),""))&lt;&gt;"",IFERROR(INDEX('CAT_CENTROS_COSTO'!$E$4:$E$28,MATCH($F671,'CAT_CENTROS_COSTO'!$A$4:$A$28,0)),""),$Y671))</f>
        <v/>
      </c>
      <c r="AA671" s="24">
        <f>IF($F671="","",IFERROR(INDEX('CAT_CENTROS_COSTO'!$G$4:$G$28,MATCH($F671,'CAT_CENTROS_COSTO'!$A$4:$A$28,0)),"(sin catálogo)"))</f>
        <v/>
      </c>
      <c r="AB671" s="24">
        <f>IF($G671="","",IFERROR(INDEX('CAT_PUESTOS'!$B$4:$B$23,MATCH($G671,'CAT_PUESTOS'!$A$4:$A$23,0)),"(sin catálogo)"))</f>
        <v/>
      </c>
      <c r="AC671" s="24">
        <f>IF($H671="","",IFERROR(INDEX('CAT_ACTIVIDADES'!$B$4:$B$26,MATCH($H671,'CAT_ACTIVIDADES'!$A$4:$A$26,0)),"(sin catálogo)"))</f>
        <v/>
      </c>
      <c r="AD671" s="26">
        <f>IF($J671="","",TODAY()-$J671)</f>
        <v/>
      </c>
      <c r="AE671" s="26">
        <f>IF($J671="","",IF($J671&lt;=TODAY(),COUNTIFS(cal_fechas,"&gt;="&amp;$J671,cal_fechas,"&lt;"&amp;TODAY(),cal_habil,"sí"),-COUNTIFS(cal_fechas,"&gt;="&amp;TODAY(),cal_fechas,"&lt;"&amp;$J671,cal_habil,"sí")))</f>
        <v/>
      </c>
      <c r="AF671" s="24">
        <f>IF($AE671="","",IF($AE671&lt;0,"FUTURO",IF($AE671&gt;p_dias_backlog_max,"BACKLOG","MES CORRIENTE")))</f>
        <v/>
      </c>
      <c r="AG671" s="24">
        <f>IF($AE671="",FALSE,AND($AE671&gt;p_dias_backlog_min,$AE671&lt;=p_dias_backlog_max))</f>
        <v/>
      </c>
      <c r="AH671" s="4" t="n"/>
      <c r="AI671" s="24">
        <f>IF($AH671="","",IF((IFERROR(INDEX('ASIGNACIONES'!$J$4:$J$451,MATCH($O671&amp;"|"&amp;$S671&amp;"|"&amp;$AH671,'ASIGNACIONES'!$N$4:$N$451,0)),""))=0,"",IFERROR(INDEX('ASIGNACIONES'!$J$4:$J$451,MATCH($O671&amp;"|"&amp;$S671&amp;"|"&amp;$AH671,'ASIGNACIONES'!$N$4:$N$451,0)),"")))</f>
        <v/>
      </c>
      <c r="AJ671" s="42">
        <f>IF($AH671="","",SUMIFS('ORDENES'!$M$4:$M$1203,'ORDENES'!$AH$4:$AH$1203,$AH671,'ORDENES'!$O$4:$O$1203,$O671,'ORDENES'!$S$4:$S$1203,$S671))</f>
        <v/>
      </c>
      <c r="AK671" s="42">
        <f>IF($AJ671="","",p_factor_productividad*IFERROR(INDEX('ASIGNACIONES'!$M$4:$M$451,MATCH($O671&amp;"|"&amp;$S671&amp;"|"&amp;$AH671,'ASIGNACIONES'!$N$4:$N$451,0)),0)-$AJ671)</f>
        <v/>
      </c>
      <c r="AL671" s="32">
        <f>IF($A671="","",IFERROR(INDEX('2_IMPORTAR_EJECUCION'!$F$9:$F$1208,MATCH($AU671,'2_IMPORTAR_EJECUCION'!$J$9:$J$1208,0)),0))</f>
        <v/>
      </c>
      <c r="AM671" s="32">
        <f>IF($A671="","",MAX(0,IFERROR(INDEX('2_IMPORTAR_EJECUCION'!$H$9:$H$1208,MATCH($AU671,'2_IMPORTAR_EJECUCION'!$J$9:$J$1208,0)),0)-$AL671))</f>
        <v/>
      </c>
      <c r="AN671" s="32">
        <f>IF($A671="","",$AL671+$AM671)</f>
        <v/>
      </c>
      <c r="AO671" s="24">
        <f>IF($A671="","",IF(OR((IFERROR(INDEX('CAT_ACTIVIDADES'!$D$4:$D$26,MATCH($H671,'CAT_ACTIVIDADES'!$A$4:$A$26,0)),""))=0,(IFERROR(INDEX('CAT_ACTIVIDADES'!$D$4:$D$26,MATCH($H671,'CAT_ACTIVIDADES'!$A$4:$A$26,0)),""))=""),"SIN CLASIFICAR",IFERROR(INDEX('CAT_ACTIVIDADES'!$D$4:$D$26,MATCH($H671,'CAT_ACTIVIDADES'!$A$4:$A$26,0)),"")))</f>
        <v/>
      </c>
      <c r="AP671" s="4" t="n"/>
      <c r="AQ671" s="4" t="n"/>
      <c r="AR671" s="4" t="n"/>
      <c r="AS671" s="24">
        <f>IF($AR671="","",HYPERLINK(p_ruta_base_checklists&amp;$AR671,"abrir"))</f>
        <v/>
      </c>
      <c r="AT671" s="4" t="n"/>
      <c r="AU671" s="24">
        <f>IF($A671="","",$A671&amp;IF($B671="","0010",$B671))</f>
        <v/>
      </c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41" t="n"/>
      <c r="K672" s="5" t="n"/>
      <c r="L672" s="18" t="n"/>
      <c r="M672" s="24">
        <f>IF($A672="","",IFERROR(INDEX('AJUSTES'!$B$4:$B$303,MATCH($AU672,'AJUSTES'!$A$4:$A$303,0)),IF($K672="","",$K672)))</f>
        <v/>
      </c>
      <c r="N672" s="24">
        <f>IF($A672="","",IFERROR(INDEX('CAT_ESTADOS_ERP'!$B$4:$B$22,MATCH(IFERROR(INDEX('2_IMPORTAR_EJECUCION'!$C$9:$C$1208,MATCH($AU672,'2_IMPORTAR_EJECUCION'!$J$9:$J$1208,0)),""),'CAT_ESTADOS_ERP'!$A$4:$A$22,0)),"Pendiente"))</f>
        <v/>
      </c>
      <c r="O672" s="24">
        <f>IF($J672="","",YEAR($J672+4-WEEKDAY($J672,2))&amp;"-S"&amp;TEXT(_xlfn.ISOWEEKNUM($J672),"00"))</f>
        <v/>
      </c>
      <c r="P672" s="24">
        <f>IF($J672="","",YEAR($J672))</f>
        <v/>
      </c>
      <c r="Q672" s="24">
        <f>IF($J672="","",MONTH($J672))</f>
        <v/>
      </c>
      <c r="R672" s="24">
        <f>IF($J672="","",$P672&amp;"-"&amp;TEXT($Q672,"00"))</f>
        <v/>
      </c>
      <c r="S672" s="24">
        <f>IF($J672="","",INDEX(lista_dias,WEEKDAY($J672,2)))</f>
        <v/>
      </c>
      <c r="T672" s="24">
        <f>IF($J672="","",IFERROR(INDEX('CALENDARIO'!$C$15:$C$214,MATCH(TEXT($J672,"yyyy-mm-dd")&amp;"|"&amp;$Y672&amp;"|"&amp;$Z672,'CALENDARIO'!$G$15:$G$214,0)),IFERROR(INDEX('CALENDARIO'!$C$15:$C$214,MATCH(TEXT($J672,"yyyy-mm-dd")&amp;"|"&amp;$Y672&amp;"|",'CALENDARIO'!$G$15:$G$214,0)),IFERROR(INDEX('CALENDARIO'!$C$15:$C$214,MATCH(TEXT($J672,"yyyy-mm-dd")&amp;"||",'CALENDARIO'!$G$15:$G$214,0)),INDEX(patronHabil,WEEKDAY($J672,2))))))</f>
        <v/>
      </c>
      <c r="U672" s="24">
        <f>IF($I672="","",IFERROR(INDEX('CAT_TIPOS_OT'!$C$4:$C$23,MATCH($I672,'CAT_TIPOS_OT'!$A$4:$A$23,0)),"sin_clasificar"))</f>
        <v/>
      </c>
      <c r="V672" s="24">
        <f>IF($I672="","",IF(IFERROR(INDEX('CAT_TIPOS_OT'!$D$4:$D$23,MATCH($I672,'CAT_TIPOS_OT'!$A$4:$A$23,0)),"SIN CLASIFICAR")="","SIN CLASIFICAR",IFERROR(INDEX('CAT_TIPOS_OT'!$D$4:$D$23,MATCH($I672,'CAT_TIPOS_OT'!$A$4:$A$23,0)),"SIN CLASIFICAR")))</f>
        <v/>
      </c>
      <c r="W672" s="24">
        <f>IF($H672="","",IF(IFERROR(INDEX('CAT_ACTIVIDADES'!$F$4:$F$26,MATCH($H672,'CAT_ACTIVIDADES'!$A$4:$A$26,0)),"")=0,"",IFERROR(INDEX('CAT_ACTIVIDADES'!$F$4:$F$26,MATCH($H672,'CAT_ACTIVIDADES'!$A$4:$A$26,0)),"")))</f>
        <v/>
      </c>
      <c r="X672" s="24">
        <f>IF($F672="","",IFERROR(INDEX('CAT_CENTROS_COSTO'!$F$4:$F$28,MATCH($F672,'CAT_CENTROS_COSTO'!$A$4:$A$28,0)),"(sin catálogo)"))</f>
        <v/>
      </c>
      <c r="Y672" s="24">
        <f>IF($F672="","",IFERROR(INDEX('CAT_CENTROS_COSTO'!$D$4:$D$28,MATCH($F672,'CAT_CENTROS_COSTO'!$A$4:$A$28,0)),"(sin catálogo)"))</f>
        <v/>
      </c>
      <c r="Z672" s="24">
        <f>IF($F672="","",IF((IFERROR(INDEX('CAT_CENTROS_COSTO'!$E$4:$E$28,MATCH($F672,'CAT_CENTROS_COSTO'!$A$4:$A$28,0)),""))&lt;&gt;"",IFERROR(INDEX('CAT_CENTROS_COSTO'!$E$4:$E$28,MATCH($F672,'CAT_CENTROS_COSTO'!$A$4:$A$28,0)),""),$Y672))</f>
        <v/>
      </c>
      <c r="AA672" s="24">
        <f>IF($F672="","",IFERROR(INDEX('CAT_CENTROS_COSTO'!$G$4:$G$28,MATCH($F672,'CAT_CENTROS_COSTO'!$A$4:$A$28,0)),"(sin catálogo)"))</f>
        <v/>
      </c>
      <c r="AB672" s="24">
        <f>IF($G672="","",IFERROR(INDEX('CAT_PUESTOS'!$B$4:$B$23,MATCH($G672,'CAT_PUESTOS'!$A$4:$A$23,0)),"(sin catálogo)"))</f>
        <v/>
      </c>
      <c r="AC672" s="24">
        <f>IF($H672="","",IFERROR(INDEX('CAT_ACTIVIDADES'!$B$4:$B$26,MATCH($H672,'CAT_ACTIVIDADES'!$A$4:$A$26,0)),"(sin catálogo)"))</f>
        <v/>
      </c>
      <c r="AD672" s="26">
        <f>IF($J672="","",TODAY()-$J672)</f>
        <v/>
      </c>
      <c r="AE672" s="26">
        <f>IF($J672="","",IF($J672&lt;=TODAY(),COUNTIFS(cal_fechas,"&gt;="&amp;$J672,cal_fechas,"&lt;"&amp;TODAY(),cal_habil,"sí"),-COUNTIFS(cal_fechas,"&gt;="&amp;TODAY(),cal_fechas,"&lt;"&amp;$J672,cal_habil,"sí")))</f>
        <v/>
      </c>
      <c r="AF672" s="24">
        <f>IF($AE672="","",IF($AE672&lt;0,"FUTURO",IF($AE672&gt;p_dias_backlog_max,"BACKLOG","MES CORRIENTE")))</f>
        <v/>
      </c>
      <c r="AG672" s="24">
        <f>IF($AE672="",FALSE,AND($AE672&gt;p_dias_backlog_min,$AE672&lt;=p_dias_backlog_max))</f>
        <v/>
      </c>
      <c r="AH672" s="4" t="n"/>
      <c r="AI672" s="24">
        <f>IF($AH672="","",IF((IFERROR(INDEX('ASIGNACIONES'!$J$4:$J$451,MATCH($O672&amp;"|"&amp;$S672&amp;"|"&amp;$AH672,'ASIGNACIONES'!$N$4:$N$451,0)),""))=0,"",IFERROR(INDEX('ASIGNACIONES'!$J$4:$J$451,MATCH($O672&amp;"|"&amp;$S672&amp;"|"&amp;$AH672,'ASIGNACIONES'!$N$4:$N$451,0)),"")))</f>
        <v/>
      </c>
      <c r="AJ672" s="42">
        <f>IF($AH672="","",SUMIFS('ORDENES'!$M$4:$M$1203,'ORDENES'!$AH$4:$AH$1203,$AH672,'ORDENES'!$O$4:$O$1203,$O672,'ORDENES'!$S$4:$S$1203,$S672))</f>
        <v/>
      </c>
      <c r="AK672" s="42">
        <f>IF($AJ672="","",p_factor_productividad*IFERROR(INDEX('ASIGNACIONES'!$M$4:$M$451,MATCH($O672&amp;"|"&amp;$S672&amp;"|"&amp;$AH672,'ASIGNACIONES'!$N$4:$N$451,0)),0)-$AJ672)</f>
        <v/>
      </c>
      <c r="AL672" s="32">
        <f>IF($A672="","",IFERROR(INDEX('2_IMPORTAR_EJECUCION'!$F$9:$F$1208,MATCH($AU672,'2_IMPORTAR_EJECUCION'!$J$9:$J$1208,0)),0))</f>
        <v/>
      </c>
      <c r="AM672" s="32">
        <f>IF($A672="","",MAX(0,IFERROR(INDEX('2_IMPORTAR_EJECUCION'!$H$9:$H$1208,MATCH($AU672,'2_IMPORTAR_EJECUCION'!$J$9:$J$1208,0)),0)-$AL672))</f>
        <v/>
      </c>
      <c r="AN672" s="32">
        <f>IF($A672="","",$AL672+$AM672)</f>
        <v/>
      </c>
      <c r="AO672" s="24">
        <f>IF($A672="","",IF(OR((IFERROR(INDEX('CAT_ACTIVIDADES'!$D$4:$D$26,MATCH($H672,'CAT_ACTIVIDADES'!$A$4:$A$26,0)),""))=0,(IFERROR(INDEX('CAT_ACTIVIDADES'!$D$4:$D$26,MATCH($H672,'CAT_ACTIVIDADES'!$A$4:$A$26,0)),""))=""),"SIN CLASIFICAR",IFERROR(INDEX('CAT_ACTIVIDADES'!$D$4:$D$26,MATCH($H672,'CAT_ACTIVIDADES'!$A$4:$A$26,0)),"")))</f>
        <v/>
      </c>
      <c r="AP672" s="4" t="n"/>
      <c r="AQ672" s="4" t="n"/>
      <c r="AR672" s="4" t="n"/>
      <c r="AS672" s="24">
        <f>IF($AR672="","",HYPERLINK(p_ruta_base_checklists&amp;$AR672,"abrir"))</f>
        <v/>
      </c>
      <c r="AT672" s="4" t="n"/>
      <c r="AU672" s="24">
        <f>IF($A672="","",$A672&amp;IF($B672="","0010",$B672))</f>
        <v/>
      </c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41" t="n"/>
      <c r="K673" s="5" t="n"/>
      <c r="L673" s="18" t="n"/>
      <c r="M673" s="24">
        <f>IF($A673="","",IFERROR(INDEX('AJUSTES'!$B$4:$B$303,MATCH($AU673,'AJUSTES'!$A$4:$A$303,0)),IF($K673="","",$K673)))</f>
        <v/>
      </c>
      <c r="N673" s="24">
        <f>IF($A673="","",IFERROR(INDEX('CAT_ESTADOS_ERP'!$B$4:$B$22,MATCH(IFERROR(INDEX('2_IMPORTAR_EJECUCION'!$C$9:$C$1208,MATCH($AU673,'2_IMPORTAR_EJECUCION'!$J$9:$J$1208,0)),""),'CAT_ESTADOS_ERP'!$A$4:$A$22,0)),"Pendiente"))</f>
        <v/>
      </c>
      <c r="O673" s="24">
        <f>IF($J673="","",YEAR($J673+4-WEEKDAY($J673,2))&amp;"-S"&amp;TEXT(_xlfn.ISOWEEKNUM($J673),"00"))</f>
        <v/>
      </c>
      <c r="P673" s="24">
        <f>IF($J673="","",YEAR($J673))</f>
        <v/>
      </c>
      <c r="Q673" s="24">
        <f>IF($J673="","",MONTH($J673))</f>
        <v/>
      </c>
      <c r="R673" s="24">
        <f>IF($J673="","",$P673&amp;"-"&amp;TEXT($Q673,"00"))</f>
        <v/>
      </c>
      <c r="S673" s="24">
        <f>IF($J673="","",INDEX(lista_dias,WEEKDAY($J673,2)))</f>
        <v/>
      </c>
      <c r="T673" s="24">
        <f>IF($J673="","",IFERROR(INDEX('CALENDARIO'!$C$15:$C$214,MATCH(TEXT($J673,"yyyy-mm-dd")&amp;"|"&amp;$Y673&amp;"|"&amp;$Z673,'CALENDARIO'!$G$15:$G$214,0)),IFERROR(INDEX('CALENDARIO'!$C$15:$C$214,MATCH(TEXT($J673,"yyyy-mm-dd")&amp;"|"&amp;$Y673&amp;"|",'CALENDARIO'!$G$15:$G$214,0)),IFERROR(INDEX('CALENDARIO'!$C$15:$C$214,MATCH(TEXT($J673,"yyyy-mm-dd")&amp;"||",'CALENDARIO'!$G$15:$G$214,0)),INDEX(patronHabil,WEEKDAY($J673,2))))))</f>
        <v/>
      </c>
      <c r="U673" s="24">
        <f>IF($I673="","",IFERROR(INDEX('CAT_TIPOS_OT'!$C$4:$C$23,MATCH($I673,'CAT_TIPOS_OT'!$A$4:$A$23,0)),"sin_clasificar"))</f>
        <v/>
      </c>
      <c r="V673" s="24">
        <f>IF($I673="","",IF(IFERROR(INDEX('CAT_TIPOS_OT'!$D$4:$D$23,MATCH($I673,'CAT_TIPOS_OT'!$A$4:$A$23,0)),"SIN CLASIFICAR")="","SIN CLASIFICAR",IFERROR(INDEX('CAT_TIPOS_OT'!$D$4:$D$23,MATCH($I673,'CAT_TIPOS_OT'!$A$4:$A$23,0)),"SIN CLASIFICAR")))</f>
        <v/>
      </c>
      <c r="W673" s="24">
        <f>IF($H673="","",IF(IFERROR(INDEX('CAT_ACTIVIDADES'!$F$4:$F$26,MATCH($H673,'CAT_ACTIVIDADES'!$A$4:$A$26,0)),"")=0,"",IFERROR(INDEX('CAT_ACTIVIDADES'!$F$4:$F$26,MATCH($H673,'CAT_ACTIVIDADES'!$A$4:$A$26,0)),"")))</f>
        <v/>
      </c>
      <c r="X673" s="24">
        <f>IF($F673="","",IFERROR(INDEX('CAT_CENTROS_COSTO'!$F$4:$F$28,MATCH($F673,'CAT_CENTROS_COSTO'!$A$4:$A$28,0)),"(sin catálogo)"))</f>
        <v/>
      </c>
      <c r="Y673" s="24">
        <f>IF($F673="","",IFERROR(INDEX('CAT_CENTROS_COSTO'!$D$4:$D$28,MATCH($F673,'CAT_CENTROS_COSTO'!$A$4:$A$28,0)),"(sin catálogo)"))</f>
        <v/>
      </c>
      <c r="Z673" s="24">
        <f>IF($F673="","",IF((IFERROR(INDEX('CAT_CENTROS_COSTO'!$E$4:$E$28,MATCH($F673,'CAT_CENTROS_COSTO'!$A$4:$A$28,0)),""))&lt;&gt;"",IFERROR(INDEX('CAT_CENTROS_COSTO'!$E$4:$E$28,MATCH($F673,'CAT_CENTROS_COSTO'!$A$4:$A$28,0)),""),$Y673))</f>
        <v/>
      </c>
      <c r="AA673" s="24">
        <f>IF($F673="","",IFERROR(INDEX('CAT_CENTROS_COSTO'!$G$4:$G$28,MATCH($F673,'CAT_CENTROS_COSTO'!$A$4:$A$28,0)),"(sin catálogo)"))</f>
        <v/>
      </c>
      <c r="AB673" s="24">
        <f>IF($G673="","",IFERROR(INDEX('CAT_PUESTOS'!$B$4:$B$23,MATCH($G673,'CAT_PUESTOS'!$A$4:$A$23,0)),"(sin catálogo)"))</f>
        <v/>
      </c>
      <c r="AC673" s="24">
        <f>IF($H673="","",IFERROR(INDEX('CAT_ACTIVIDADES'!$B$4:$B$26,MATCH($H673,'CAT_ACTIVIDADES'!$A$4:$A$26,0)),"(sin catálogo)"))</f>
        <v/>
      </c>
      <c r="AD673" s="26">
        <f>IF($J673="","",TODAY()-$J673)</f>
        <v/>
      </c>
      <c r="AE673" s="26">
        <f>IF($J673="","",IF($J673&lt;=TODAY(),COUNTIFS(cal_fechas,"&gt;="&amp;$J673,cal_fechas,"&lt;"&amp;TODAY(),cal_habil,"sí"),-COUNTIFS(cal_fechas,"&gt;="&amp;TODAY(),cal_fechas,"&lt;"&amp;$J673,cal_habil,"sí")))</f>
        <v/>
      </c>
      <c r="AF673" s="24">
        <f>IF($AE673="","",IF($AE673&lt;0,"FUTURO",IF($AE673&gt;p_dias_backlog_max,"BACKLOG","MES CORRIENTE")))</f>
        <v/>
      </c>
      <c r="AG673" s="24">
        <f>IF($AE673="",FALSE,AND($AE673&gt;p_dias_backlog_min,$AE673&lt;=p_dias_backlog_max))</f>
        <v/>
      </c>
      <c r="AH673" s="4" t="n"/>
      <c r="AI673" s="24">
        <f>IF($AH673="","",IF((IFERROR(INDEX('ASIGNACIONES'!$J$4:$J$451,MATCH($O673&amp;"|"&amp;$S673&amp;"|"&amp;$AH673,'ASIGNACIONES'!$N$4:$N$451,0)),""))=0,"",IFERROR(INDEX('ASIGNACIONES'!$J$4:$J$451,MATCH($O673&amp;"|"&amp;$S673&amp;"|"&amp;$AH673,'ASIGNACIONES'!$N$4:$N$451,0)),"")))</f>
        <v/>
      </c>
      <c r="AJ673" s="42">
        <f>IF($AH673="","",SUMIFS('ORDENES'!$M$4:$M$1203,'ORDENES'!$AH$4:$AH$1203,$AH673,'ORDENES'!$O$4:$O$1203,$O673,'ORDENES'!$S$4:$S$1203,$S673))</f>
        <v/>
      </c>
      <c r="AK673" s="42">
        <f>IF($AJ673="","",p_factor_productividad*IFERROR(INDEX('ASIGNACIONES'!$M$4:$M$451,MATCH($O673&amp;"|"&amp;$S673&amp;"|"&amp;$AH673,'ASIGNACIONES'!$N$4:$N$451,0)),0)-$AJ673)</f>
        <v/>
      </c>
      <c r="AL673" s="32">
        <f>IF($A673="","",IFERROR(INDEX('2_IMPORTAR_EJECUCION'!$F$9:$F$1208,MATCH($AU673,'2_IMPORTAR_EJECUCION'!$J$9:$J$1208,0)),0))</f>
        <v/>
      </c>
      <c r="AM673" s="32">
        <f>IF($A673="","",MAX(0,IFERROR(INDEX('2_IMPORTAR_EJECUCION'!$H$9:$H$1208,MATCH($AU673,'2_IMPORTAR_EJECUCION'!$J$9:$J$1208,0)),0)-$AL673))</f>
        <v/>
      </c>
      <c r="AN673" s="32">
        <f>IF($A673="","",$AL673+$AM673)</f>
        <v/>
      </c>
      <c r="AO673" s="24">
        <f>IF($A673="","",IF(OR((IFERROR(INDEX('CAT_ACTIVIDADES'!$D$4:$D$26,MATCH($H673,'CAT_ACTIVIDADES'!$A$4:$A$26,0)),""))=0,(IFERROR(INDEX('CAT_ACTIVIDADES'!$D$4:$D$26,MATCH($H673,'CAT_ACTIVIDADES'!$A$4:$A$26,0)),""))=""),"SIN CLASIFICAR",IFERROR(INDEX('CAT_ACTIVIDADES'!$D$4:$D$26,MATCH($H673,'CAT_ACTIVIDADES'!$A$4:$A$26,0)),"")))</f>
        <v/>
      </c>
      <c r="AP673" s="4" t="n"/>
      <c r="AQ673" s="4" t="n"/>
      <c r="AR673" s="4" t="n"/>
      <c r="AS673" s="24">
        <f>IF($AR673="","",HYPERLINK(p_ruta_base_checklists&amp;$AR673,"abrir"))</f>
        <v/>
      </c>
      <c r="AT673" s="4" t="n"/>
      <c r="AU673" s="24">
        <f>IF($A673="","",$A673&amp;IF($B673="","0010",$B673))</f>
        <v/>
      </c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41" t="n"/>
      <c r="K674" s="5" t="n"/>
      <c r="L674" s="18" t="n"/>
      <c r="M674" s="24">
        <f>IF($A674="","",IFERROR(INDEX('AJUSTES'!$B$4:$B$303,MATCH($AU674,'AJUSTES'!$A$4:$A$303,0)),IF($K674="","",$K674)))</f>
        <v/>
      </c>
      <c r="N674" s="24">
        <f>IF($A674="","",IFERROR(INDEX('CAT_ESTADOS_ERP'!$B$4:$B$22,MATCH(IFERROR(INDEX('2_IMPORTAR_EJECUCION'!$C$9:$C$1208,MATCH($AU674,'2_IMPORTAR_EJECUCION'!$J$9:$J$1208,0)),""),'CAT_ESTADOS_ERP'!$A$4:$A$22,0)),"Pendiente"))</f>
        <v/>
      </c>
      <c r="O674" s="24">
        <f>IF($J674="","",YEAR($J674+4-WEEKDAY($J674,2))&amp;"-S"&amp;TEXT(_xlfn.ISOWEEKNUM($J674),"00"))</f>
        <v/>
      </c>
      <c r="P674" s="24">
        <f>IF($J674="","",YEAR($J674))</f>
        <v/>
      </c>
      <c r="Q674" s="24">
        <f>IF($J674="","",MONTH($J674))</f>
        <v/>
      </c>
      <c r="R674" s="24">
        <f>IF($J674="","",$P674&amp;"-"&amp;TEXT($Q674,"00"))</f>
        <v/>
      </c>
      <c r="S674" s="24">
        <f>IF($J674="","",INDEX(lista_dias,WEEKDAY($J674,2)))</f>
        <v/>
      </c>
      <c r="T674" s="24">
        <f>IF($J674="","",IFERROR(INDEX('CALENDARIO'!$C$15:$C$214,MATCH(TEXT($J674,"yyyy-mm-dd")&amp;"|"&amp;$Y674&amp;"|"&amp;$Z674,'CALENDARIO'!$G$15:$G$214,0)),IFERROR(INDEX('CALENDARIO'!$C$15:$C$214,MATCH(TEXT($J674,"yyyy-mm-dd")&amp;"|"&amp;$Y674&amp;"|",'CALENDARIO'!$G$15:$G$214,0)),IFERROR(INDEX('CALENDARIO'!$C$15:$C$214,MATCH(TEXT($J674,"yyyy-mm-dd")&amp;"||",'CALENDARIO'!$G$15:$G$214,0)),INDEX(patronHabil,WEEKDAY($J674,2))))))</f>
        <v/>
      </c>
      <c r="U674" s="24">
        <f>IF($I674="","",IFERROR(INDEX('CAT_TIPOS_OT'!$C$4:$C$23,MATCH($I674,'CAT_TIPOS_OT'!$A$4:$A$23,0)),"sin_clasificar"))</f>
        <v/>
      </c>
      <c r="V674" s="24">
        <f>IF($I674="","",IF(IFERROR(INDEX('CAT_TIPOS_OT'!$D$4:$D$23,MATCH($I674,'CAT_TIPOS_OT'!$A$4:$A$23,0)),"SIN CLASIFICAR")="","SIN CLASIFICAR",IFERROR(INDEX('CAT_TIPOS_OT'!$D$4:$D$23,MATCH($I674,'CAT_TIPOS_OT'!$A$4:$A$23,0)),"SIN CLASIFICAR")))</f>
        <v/>
      </c>
      <c r="W674" s="24">
        <f>IF($H674="","",IF(IFERROR(INDEX('CAT_ACTIVIDADES'!$F$4:$F$26,MATCH($H674,'CAT_ACTIVIDADES'!$A$4:$A$26,0)),"")=0,"",IFERROR(INDEX('CAT_ACTIVIDADES'!$F$4:$F$26,MATCH($H674,'CAT_ACTIVIDADES'!$A$4:$A$26,0)),"")))</f>
        <v/>
      </c>
      <c r="X674" s="24">
        <f>IF($F674="","",IFERROR(INDEX('CAT_CENTROS_COSTO'!$F$4:$F$28,MATCH($F674,'CAT_CENTROS_COSTO'!$A$4:$A$28,0)),"(sin catálogo)"))</f>
        <v/>
      </c>
      <c r="Y674" s="24">
        <f>IF($F674="","",IFERROR(INDEX('CAT_CENTROS_COSTO'!$D$4:$D$28,MATCH($F674,'CAT_CENTROS_COSTO'!$A$4:$A$28,0)),"(sin catálogo)"))</f>
        <v/>
      </c>
      <c r="Z674" s="24">
        <f>IF($F674="","",IF((IFERROR(INDEX('CAT_CENTROS_COSTO'!$E$4:$E$28,MATCH($F674,'CAT_CENTROS_COSTO'!$A$4:$A$28,0)),""))&lt;&gt;"",IFERROR(INDEX('CAT_CENTROS_COSTO'!$E$4:$E$28,MATCH($F674,'CAT_CENTROS_COSTO'!$A$4:$A$28,0)),""),$Y674))</f>
        <v/>
      </c>
      <c r="AA674" s="24">
        <f>IF($F674="","",IFERROR(INDEX('CAT_CENTROS_COSTO'!$G$4:$G$28,MATCH($F674,'CAT_CENTROS_COSTO'!$A$4:$A$28,0)),"(sin catálogo)"))</f>
        <v/>
      </c>
      <c r="AB674" s="24">
        <f>IF($G674="","",IFERROR(INDEX('CAT_PUESTOS'!$B$4:$B$23,MATCH($G674,'CAT_PUESTOS'!$A$4:$A$23,0)),"(sin catálogo)"))</f>
        <v/>
      </c>
      <c r="AC674" s="24">
        <f>IF($H674="","",IFERROR(INDEX('CAT_ACTIVIDADES'!$B$4:$B$26,MATCH($H674,'CAT_ACTIVIDADES'!$A$4:$A$26,0)),"(sin catálogo)"))</f>
        <v/>
      </c>
      <c r="AD674" s="26">
        <f>IF($J674="","",TODAY()-$J674)</f>
        <v/>
      </c>
      <c r="AE674" s="26">
        <f>IF($J674="","",IF($J674&lt;=TODAY(),COUNTIFS(cal_fechas,"&gt;="&amp;$J674,cal_fechas,"&lt;"&amp;TODAY(),cal_habil,"sí"),-COUNTIFS(cal_fechas,"&gt;="&amp;TODAY(),cal_fechas,"&lt;"&amp;$J674,cal_habil,"sí")))</f>
        <v/>
      </c>
      <c r="AF674" s="24">
        <f>IF($AE674="","",IF($AE674&lt;0,"FUTURO",IF($AE674&gt;p_dias_backlog_max,"BACKLOG","MES CORRIENTE")))</f>
        <v/>
      </c>
      <c r="AG674" s="24">
        <f>IF($AE674="",FALSE,AND($AE674&gt;p_dias_backlog_min,$AE674&lt;=p_dias_backlog_max))</f>
        <v/>
      </c>
      <c r="AH674" s="4" t="n"/>
      <c r="AI674" s="24">
        <f>IF($AH674="","",IF((IFERROR(INDEX('ASIGNACIONES'!$J$4:$J$451,MATCH($O674&amp;"|"&amp;$S674&amp;"|"&amp;$AH674,'ASIGNACIONES'!$N$4:$N$451,0)),""))=0,"",IFERROR(INDEX('ASIGNACIONES'!$J$4:$J$451,MATCH($O674&amp;"|"&amp;$S674&amp;"|"&amp;$AH674,'ASIGNACIONES'!$N$4:$N$451,0)),"")))</f>
        <v/>
      </c>
      <c r="AJ674" s="42">
        <f>IF($AH674="","",SUMIFS('ORDENES'!$M$4:$M$1203,'ORDENES'!$AH$4:$AH$1203,$AH674,'ORDENES'!$O$4:$O$1203,$O674,'ORDENES'!$S$4:$S$1203,$S674))</f>
        <v/>
      </c>
      <c r="AK674" s="42">
        <f>IF($AJ674="","",p_factor_productividad*IFERROR(INDEX('ASIGNACIONES'!$M$4:$M$451,MATCH($O674&amp;"|"&amp;$S674&amp;"|"&amp;$AH674,'ASIGNACIONES'!$N$4:$N$451,0)),0)-$AJ674)</f>
        <v/>
      </c>
      <c r="AL674" s="32">
        <f>IF($A674="","",IFERROR(INDEX('2_IMPORTAR_EJECUCION'!$F$9:$F$1208,MATCH($AU674,'2_IMPORTAR_EJECUCION'!$J$9:$J$1208,0)),0))</f>
        <v/>
      </c>
      <c r="AM674" s="32">
        <f>IF($A674="","",MAX(0,IFERROR(INDEX('2_IMPORTAR_EJECUCION'!$H$9:$H$1208,MATCH($AU674,'2_IMPORTAR_EJECUCION'!$J$9:$J$1208,0)),0)-$AL674))</f>
        <v/>
      </c>
      <c r="AN674" s="32">
        <f>IF($A674="","",$AL674+$AM674)</f>
        <v/>
      </c>
      <c r="AO674" s="24">
        <f>IF($A674="","",IF(OR((IFERROR(INDEX('CAT_ACTIVIDADES'!$D$4:$D$26,MATCH($H674,'CAT_ACTIVIDADES'!$A$4:$A$26,0)),""))=0,(IFERROR(INDEX('CAT_ACTIVIDADES'!$D$4:$D$26,MATCH($H674,'CAT_ACTIVIDADES'!$A$4:$A$26,0)),""))=""),"SIN CLASIFICAR",IFERROR(INDEX('CAT_ACTIVIDADES'!$D$4:$D$26,MATCH($H674,'CAT_ACTIVIDADES'!$A$4:$A$26,0)),"")))</f>
        <v/>
      </c>
      <c r="AP674" s="4" t="n"/>
      <c r="AQ674" s="4" t="n"/>
      <c r="AR674" s="4" t="n"/>
      <c r="AS674" s="24">
        <f>IF($AR674="","",HYPERLINK(p_ruta_base_checklists&amp;$AR674,"abrir"))</f>
        <v/>
      </c>
      <c r="AT674" s="4" t="n"/>
      <c r="AU674" s="24">
        <f>IF($A674="","",$A674&amp;IF($B674="","0010",$B674))</f>
        <v/>
      </c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41" t="n"/>
      <c r="K675" s="5" t="n"/>
      <c r="L675" s="18" t="n"/>
      <c r="M675" s="24">
        <f>IF($A675="","",IFERROR(INDEX('AJUSTES'!$B$4:$B$303,MATCH($AU675,'AJUSTES'!$A$4:$A$303,0)),IF($K675="","",$K675)))</f>
        <v/>
      </c>
      <c r="N675" s="24">
        <f>IF($A675="","",IFERROR(INDEX('CAT_ESTADOS_ERP'!$B$4:$B$22,MATCH(IFERROR(INDEX('2_IMPORTAR_EJECUCION'!$C$9:$C$1208,MATCH($AU675,'2_IMPORTAR_EJECUCION'!$J$9:$J$1208,0)),""),'CAT_ESTADOS_ERP'!$A$4:$A$22,0)),"Pendiente"))</f>
        <v/>
      </c>
      <c r="O675" s="24">
        <f>IF($J675="","",YEAR($J675+4-WEEKDAY($J675,2))&amp;"-S"&amp;TEXT(_xlfn.ISOWEEKNUM($J675),"00"))</f>
        <v/>
      </c>
      <c r="P675" s="24">
        <f>IF($J675="","",YEAR($J675))</f>
        <v/>
      </c>
      <c r="Q675" s="24">
        <f>IF($J675="","",MONTH($J675))</f>
        <v/>
      </c>
      <c r="R675" s="24">
        <f>IF($J675="","",$P675&amp;"-"&amp;TEXT($Q675,"00"))</f>
        <v/>
      </c>
      <c r="S675" s="24">
        <f>IF($J675="","",INDEX(lista_dias,WEEKDAY($J675,2)))</f>
        <v/>
      </c>
      <c r="T675" s="24">
        <f>IF($J675="","",IFERROR(INDEX('CALENDARIO'!$C$15:$C$214,MATCH(TEXT($J675,"yyyy-mm-dd")&amp;"|"&amp;$Y675&amp;"|"&amp;$Z675,'CALENDARIO'!$G$15:$G$214,0)),IFERROR(INDEX('CALENDARIO'!$C$15:$C$214,MATCH(TEXT($J675,"yyyy-mm-dd")&amp;"|"&amp;$Y675&amp;"|",'CALENDARIO'!$G$15:$G$214,0)),IFERROR(INDEX('CALENDARIO'!$C$15:$C$214,MATCH(TEXT($J675,"yyyy-mm-dd")&amp;"||",'CALENDARIO'!$G$15:$G$214,0)),INDEX(patronHabil,WEEKDAY($J675,2))))))</f>
        <v/>
      </c>
      <c r="U675" s="24">
        <f>IF($I675="","",IFERROR(INDEX('CAT_TIPOS_OT'!$C$4:$C$23,MATCH($I675,'CAT_TIPOS_OT'!$A$4:$A$23,0)),"sin_clasificar"))</f>
        <v/>
      </c>
      <c r="V675" s="24">
        <f>IF($I675="","",IF(IFERROR(INDEX('CAT_TIPOS_OT'!$D$4:$D$23,MATCH($I675,'CAT_TIPOS_OT'!$A$4:$A$23,0)),"SIN CLASIFICAR")="","SIN CLASIFICAR",IFERROR(INDEX('CAT_TIPOS_OT'!$D$4:$D$23,MATCH($I675,'CAT_TIPOS_OT'!$A$4:$A$23,0)),"SIN CLASIFICAR")))</f>
        <v/>
      </c>
      <c r="W675" s="24">
        <f>IF($H675="","",IF(IFERROR(INDEX('CAT_ACTIVIDADES'!$F$4:$F$26,MATCH($H675,'CAT_ACTIVIDADES'!$A$4:$A$26,0)),"")=0,"",IFERROR(INDEX('CAT_ACTIVIDADES'!$F$4:$F$26,MATCH($H675,'CAT_ACTIVIDADES'!$A$4:$A$26,0)),"")))</f>
        <v/>
      </c>
      <c r="X675" s="24">
        <f>IF($F675="","",IFERROR(INDEX('CAT_CENTROS_COSTO'!$F$4:$F$28,MATCH($F675,'CAT_CENTROS_COSTO'!$A$4:$A$28,0)),"(sin catálogo)"))</f>
        <v/>
      </c>
      <c r="Y675" s="24">
        <f>IF($F675="","",IFERROR(INDEX('CAT_CENTROS_COSTO'!$D$4:$D$28,MATCH($F675,'CAT_CENTROS_COSTO'!$A$4:$A$28,0)),"(sin catálogo)"))</f>
        <v/>
      </c>
      <c r="Z675" s="24">
        <f>IF($F675="","",IF((IFERROR(INDEX('CAT_CENTROS_COSTO'!$E$4:$E$28,MATCH($F675,'CAT_CENTROS_COSTO'!$A$4:$A$28,0)),""))&lt;&gt;"",IFERROR(INDEX('CAT_CENTROS_COSTO'!$E$4:$E$28,MATCH($F675,'CAT_CENTROS_COSTO'!$A$4:$A$28,0)),""),$Y675))</f>
        <v/>
      </c>
      <c r="AA675" s="24">
        <f>IF($F675="","",IFERROR(INDEX('CAT_CENTROS_COSTO'!$G$4:$G$28,MATCH($F675,'CAT_CENTROS_COSTO'!$A$4:$A$28,0)),"(sin catálogo)"))</f>
        <v/>
      </c>
      <c r="AB675" s="24">
        <f>IF($G675="","",IFERROR(INDEX('CAT_PUESTOS'!$B$4:$B$23,MATCH($G675,'CAT_PUESTOS'!$A$4:$A$23,0)),"(sin catálogo)"))</f>
        <v/>
      </c>
      <c r="AC675" s="24">
        <f>IF($H675="","",IFERROR(INDEX('CAT_ACTIVIDADES'!$B$4:$B$26,MATCH($H675,'CAT_ACTIVIDADES'!$A$4:$A$26,0)),"(sin catálogo)"))</f>
        <v/>
      </c>
      <c r="AD675" s="26">
        <f>IF($J675="","",TODAY()-$J675)</f>
        <v/>
      </c>
      <c r="AE675" s="26">
        <f>IF($J675="","",IF($J675&lt;=TODAY(),COUNTIFS(cal_fechas,"&gt;="&amp;$J675,cal_fechas,"&lt;"&amp;TODAY(),cal_habil,"sí"),-COUNTIFS(cal_fechas,"&gt;="&amp;TODAY(),cal_fechas,"&lt;"&amp;$J675,cal_habil,"sí")))</f>
        <v/>
      </c>
      <c r="AF675" s="24">
        <f>IF($AE675="","",IF($AE675&lt;0,"FUTURO",IF($AE675&gt;p_dias_backlog_max,"BACKLOG","MES CORRIENTE")))</f>
        <v/>
      </c>
      <c r="AG675" s="24">
        <f>IF($AE675="",FALSE,AND($AE675&gt;p_dias_backlog_min,$AE675&lt;=p_dias_backlog_max))</f>
        <v/>
      </c>
      <c r="AH675" s="4" t="n"/>
      <c r="AI675" s="24">
        <f>IF($AH675="","",IF((IFERROR(INDEX('ASIGNACIONES'!$J$4:$J$451,MATCH($O675&amp;"|"&amp;$S675&amp;"|"&amp;$AH675,'ASIGNACIONES'!$N$4:$N$451,0)),""))=0,"",IFERROR(INDEX('ASIGNACIONES'!$J$4:$J$451,MATCH($O675&amp;"|"&amp;$S675&amp;"|"&amp;$AH675,'ASIGNACIONES'!$N$4:$N$451,0)),"")))</f>
        <v/>
      </c>
      <c r="AJ675" s="42">
        <f>IF($AH675="","",SUMIFS('ORDENES'!$M$4:$M$1203,'ORDENES'!$AH$4:$AH$1203,$AH675,'ORDENES'!$O$4:$O$1203,$O675,'ORDENES'!$S$4:$S$1203,$S675))</f>
        <v/>
      </c>
      <c r="AK675" s="42">
        <f>IF($AJ675="","",p_factor_productividad*IFERROR(INDEX('ASIGNACIONES'!$M$4:$M$451,MATCH($O675&amp;"|"&amp;$S675&amp;"|"&amp;$AH675,'ASIGNACIONES'!$N$4:$N$451,0)),0)-$AJ675)</f>
        <v/>
      </c>
      <c r="AL675" s="32">
        <f>IF($A675="","",IFERROR(INDEX('2_IMPORTAR_EJECUCION'!$F$9:$F$1208,MATCH($AU675,'2_IMPORTAR_EJECUCION'!$J$9:$J$1208,0)),0))</f>
        <v/>
      </c>
      <c r="AM675" s="32">
        <f>IF($A675="","",MAX(0,IFERROR(INDEX('2_IMPORTAR_EJECUCION'!$H$9:$H$1208,MATCH($AU675,'2_IMPORTAR_EJECUCION'!$J$9:$J$1208,0)),0)-$AL675))</f>
        <v/>
      </c>
      <c r="AN675" s="32">
        <f>IF($A675="","",$AL675+$AM675)</f>
        <v/>
      </c>
      <c r="AO675" s="24">
        <f>IF($A675="","",IF(OR((IFERROR(INDEX('CAT_ACTIVIDADES'!$D$4:$D$26,MATCH($H675,'CAT_ACTIVIDADES'!$A$4:$A$26,0)),""))=0,(IFERROR(INDEX('CAT_ACTIVIDADES'!$D$4:$D$26,MATCH($H675,'CAT_ACTIVIDADES'!$A$4:$A$26,0)),""))=""),"SIN CLASIFICAR",IFERROR(INDEX('CAT_ACTIVIDADES'!$D$4:$D$26,MATCH($H675,'CAT_ACTIVIDADES'!$A$4:$A$26,0)),"")))</f>
        <v/>
      </c>
      <c r="AP675" s="4" t="n"/>
      <c r="AQ675" s="4" t="n"/>
      <c r="AR675" s="4" t="n"/>
      <c r="AS675" s="24">
        <f>IF($AR675="","",HYPERLINK(p_ruta_base_checklists&amp;$AR675,"abrir"))</f>
        <v/>
      </c>
      <c r="AT675" s="4" t="n"/>
      <c r="AU675" s="24">
        <f>IF($A675="","",$A675&amp;IF($B675="","0010",$B675))</f>
        <v/>
      </c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41" t="n"/>
      <c r="K676" s="5" t="n"/>
      <c r="L676" s="18" t="n"/>
      <c r="M676" s="24">
        <f>IF($A676="","",IFERROR(INDEX('AJUSTES'!$B$4:$B$303,MATCH($AU676,'AJUSTES'!$A$4:$A$303,0)),IF($K676="","",$K676)))</f>
        <v/>
      </c>
      <c r="N676" s="24">
        <f>IF($A676="","",IFERROR(INDEX('CAT_ESTADOS_ERP'!$B$4:$B$22,MATCH(IFERROR(INDEX('2_IMPORTAR_EJECUCION'!$C$9:$C$1208,MATCH($AU676,'2_IMPORTAR_EJECUCION'!$J$9:$J$1208,0)),""),'CAT_ESTADOS_ERP'!$A$4:$A$22,0)),"Pendiente"))</f>
        <v/>
      </c>
      <c r="O676" s="24">
        <f>IF($J676="","",YEAR($J676+4-WEEKDAY($J676,2))&amp;"-S"&amp;TEXT(_xlfn.ISOWEEKNUM($J676),"00"))</f>
        <v/>
      </c>
      <c r="P676" s="24">
        <f>IF($J676="","",YEAR($J676))</f>
        <v/>
      </c>
      <c r="Q676" s="24">
        <f>IF($J676="","",MONTH($J676))</f>
        <v/>
      </c>
      <c r="R676" s="24">
        <f>IF($J676="","",$P676&amp;"-"&amp;TEXT($Q676,"00"))</f>
        <v/>
      </c>
      <c r="S676" s="24">
        <f>IF($J676="","",INDEX(lista_dias,WEEKDAY($J676,2)))</f>
        <v/>
      </c>
      <c r="T676" s="24">
        <f>IF($J676="","",IFERROR(INDEX('CALENDARIO'!$C$15:$C$214,MATCH(TEXT($J676,"yyyy-mm-dd")&amp;"|"&amp;$Y676&amp;"|"&amp;$Z676,'CALENDARIO'!$G$15:$G$214,0)),IFERROR(INDEX('CALENDARIO'!$C$15:$C$214,MATCH(TEXT($J676,"yyyy-mm-dd")&amp;"|"&amp;$Y676&amp;"|",'CALENDARIO'!$G$15:$G$214,0)),IFERROR(INDEX('CALENDARIO'!$C$15:$C$214,MATCH(TEXT($J676,"yyyy-mm-dd")&amp;"||",'CALENDARIO'!$G$15:$G$214,0)),INDEX(patronHabil,WEEKDAY($J676,2))))))</f>
        <v/>
      </c>
      <c r="U676" s="24">
        <f>IF($I676="","",IFERROR(INDEX('CAT_TIPOS_OT'!$C$4:$C$23,MATCH($I676,'CAT_TIPOS_OT'!$A$4:$A$23,0)),"sin_clasificar"))</f>
        <v/>
      </c>
      <c r="V676" s="24">
        <f>IF($I676="","",IF(IFERROR(INDEX('CAT_TIPOS_OT'!$D$4:$D$23,MATCH($I676,'CAT_TIPOS_OT'!$A$4:$A$23,0)),"SIN CLASIFICAR")="","SIN CLASIFICAR",IFERROR(INDEX('CAT_TIPOS_OT'!$D$4:$D$23,MATCH($I676,'CAT_TIPOS_OT'!$A$4:$A$23,0)),"SIN CLASIFICAR")))</f>
        <v/>
      </c>
      <c r="W676" s="24">
        <f>IF($H676="","",IF(IFERROR(INDEX('CAT_ACTIVIDADES'!$F$4:$F$26,MATCH($H676,'CAT_ACTIVIDADES'!$A$4:$A$26,0)),"")=0,"",IFERROR(INDEX('CAT_ACTIVIDADES'!$F$4:$F$26,MATCH($H676,'CAT_ACTIVIDADES'!$A$4:$A$26,0)),"")))</f>
        <v/>
      </c>
      <c r="X676" s="24">
        <f>IF($F676="","",IFERROR(INDEX('CAT_CENTROS_COSTO'!$F$4:$F$28,MATCH($F676,'CAT_CENTROS_COSTO'!$A$4:$A$28,0)),"(sin catálogo)"))</f>
        <v/>
      </c>
      <c r="Y676" s="24">
        <f>IF($F676="","",IFERROR(INDEX('CAT_CENTROS_COSTO'!$D$4:$D$28,MATCH($F676,'CAT_CENTROS_COSTO'!$A$4:$A$28,0)),"(sin catálogo)"))</f>
        <v/>
      </c>
      <c r="Z676" s="24">
        <f>IF($F676="","",IF((IFERROR(INDEX('CAT_CENTROS_COSTO'!$E$4:$E$28,MATCH($F676,'CAT_CENTROS_COSTO'!$A$4:$A$28,0)),""))&lt;&gt;"",IFERROR(INDEX('CAT_CENTROS_COSTO'!$E$4:$E$28,MATCH($F676,'CAT_CENTROS_COSTO'!$A$4:$A$28,0)),""),$Y676))</f>
        <v/>
      </c>
      <c r="AA676" s="24">
        <f>IF($F676="","",IFERROR(INDEX('CAT_CENTROS_COSTO'!$G$4:$G$28,MATCH($F676,'CAT_CENTROS_COSTO'!$A$4:$A$28,0)),"(sin catálogo)"))</f>
        <v/>
      </c>
      <c r="AB676" s="24">
        <f>IF($G676="","",IFERROR(INDEX('CAT_PUESTOS'!$B$4:$B$23,MATCH($G676,'CAT_PUESTOS'!$A$4:$A$23,0)),"(sin catálogo)"))</f>
        <v/>
      </c>
      <c r="AC676" s="24">
        <f>IF($H676="","",IFERROR(INDEX('CAT_ACTIVIDADES'!$B$4:$B$26,MATCH($H676,'CAT_ACTIVIDADES'!$A$4:$A$26,0)),"(sin catálogo)"))</f>
        <v/>
      </c>
      <c r="AD676" s="26">
        <f>IF($J676="","",TODAY()-$J676)</f>
        <v/>
      </c>
      <c r="AE676" s="26">
        <f>IF($J676="","",IF($J676&lt;=TODAY(),COUNTIFS(cal_fechas,"&gt;="&amp;$J676,cal_fechas,"&lt;"&amp;TODAY(),cal_habil,"sí"),-COUNTIFS(cal_fechas,"&gt;="&amp;TODAY(),cal_fechas,"&lt;"&amp;$J676,cal_habil,"sí")))</f>
        <v/>
      </c>
      <c r="AF676" s="24">
        <f>IF($AE676="","",IF($AE676&lt;0,"FUTURO",IF($AE676&gt;p_dias_backlog_max,"BACKLOG","MES CORRIENTE")))</f>
        <v/>
      </c>
      <c r="AG676" s="24">
        <f>IF($AE676="",FALSE,AND($AE676&gt;p_dias_backlog_min,$AE676&lt;=p_dias_backlog_max))</f>
        <v/>
      </c>
      <c r="AH676" s="4" t="n"/>
      <c r="AI676" s="24">
        <f>IF($AH676="","",IF((IFERROR(INDEX('ASIGNACIONES'!$J$4:$J$451,MATCH($O676&amp;"|"&amp;$S676&amp;"|"&amp;$AH676,'ASIGNACIONES'!$N$4:$N$451,0)),""))=0,"",IFERROR(INDEX('ASIGNACIONES'!$J$4:$J$451,MATCH($O676&amp;"|"&amp;$S676&amp;"|"&amp;$AH676,'ASIGNACIONES'!$N$4:$N$451,0)),"")))</f>
        <v/>
      </c>
      <c r="AJ676" s="42">
        <f>IF($AH676="","",SUMIFS('ORDENES'!$M$4:$M$1203,'ORDENES'!$AH$4:$AH$1203,$AH676,'ORDENES'!$O$4:$O$1203,$O676,'ORDENES'!$S$4:$S$1203,$S676))</f>
        <v/>
      </c>
      <c r="AK676" s="42">
        <f>IF($AJ676="","",p_factor_productividad*IFERROR(INDEX('ASIGNACIONES'!$M$4:$M$451,MATCH($O676&amp;"|"&amp;$S676&amp;"|"&amp;$AH676,'ASIGNACIONES'!$N$4:$N$451,0)),0)-$AJ676)</f>
        <v/>
      </c>
      <c r="AL676" s="32">
        <f>IF($A676="","",IFERROR(INDEX('2_IMPORTAR_EJECUCION'!$F$9:$F$1208,MATCH($AU676,'2_IMPORTAR_EJECUCION'!$J$9:$J$1208,0)),0))</f>
        <v/>
      </c>
      <c r="AM676" s="32">
        <f>IF($A676="","",MAX(0,IFERROR(INDEX('2_IMPORTAR_EJECUCION'!$H$9:$H$1208,MATCH($AU676,'2_IMPORTAR_EJECUCION'!$J$9:$J$1208,0)),0)-$AL676))</f>
        <v/>
      </c>
      <c r="AN676" s="32">
        <f>IF($A676="","",$AL676+$AM676)</f>
        <v/>
      </c>
      <c r="AO676" s="24">
        <f>IF($A676="","",IF(OR((IFERROR(INDEX('CAT_ACTIVIDADES'!$D$4:$D$26,MATCH($H676,'CAT_ACTIVIDADES'!$A$4:$A$26,0)),""))=0,(IFERROR(INDEX('CAT_ACTIVIDADES'!$D$4:$D$26,MATCH($H676,'CAT_ACTIVIDADES'!$A$4:$A$26,0)),""))=""),"SIN CLASIFICAR",IFERROR(INDEX('CAT_ACTIVIDADES'!$D$4:$D$26,MATCH($H676,'CAT_ACTIVIDADES'!$A$4:$A$26,0)),"")))</f>
        <v/>
      </c>
      <c r="AP676" s="4" t="n"/>
      <c r="AQ676" s="4" t="n"/>
      <c r="AR676" s="4" t="n"/>
      <c r="AS676" s="24">
        <f>IF($AR676="","",HYPERLINK(p_ruta_base_checklists&amp;$AR676,"abrir"))</f>
        <v/>
      </c>
      <c r="AT676" s="4" t="n"/>
      <c r="AU676" s="24">
        <f>IF($A676="","",$A676&amp;IF($B676="","0010",$B676))</f>
        <v/>
      </c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41" t="n"/>
      <c r="K677" s="5" t="n"/>
      <c r="L677" s="18" t="n"/>
      <c r="M677" s="24">
        <f>IF($A677="","",IFERROR(INDEX('AJUSTES'!$B$4:$B$303,MATCH($AU677,'AJUSTES'!$A$4:$A$303,0)),IF($K677="","",$K677)))</f>
        <v/>
      </c>
      <c r="N677" s="24">
        <f>IF($A677="","",IFERROR(INDEX('CAT_ESTADOS_ERP'!$B$4:$B$22,MATCH(IFERROR(INDEX('2_IMPORTAR_EJECUCION'!$C$9:$C$1208,MATCH($AU677,'2_IMPORTAR_EJECUCION'!$J$9:$J$1208,0)),""),'CAT_ESTADOS_ERP'!$A$4:$A$22,0)),"Pendiente"))</f>
        <v/>
      </c>
      <c r="O677" s="24">
        <f>IF($J677="","",YEAR($J677+4-WEEKDAY($J677,2))&amp;"-S"&amp;TEXT(_xlfn.ISOWEEKNUM($J677),"00"))</f>
        <v/>
      </c>
      <c r="P677" s="24">
        <f>IF($J677="","",YEAR($J677))</f>
        <v/>
      </c>
      <c r="Q677" s="24">
        <f>IF($J677="","",MONTH($J677))</f>
        <v/>
      </c>
      <c r="R677" s="24">
        <f>IF($J677="","",$P677&amp;"-"&amp;TEXT($Q677,"00"))</f>
        <v/>
      </c>
      <c r="S677" s="24">
        <f>IF($J677="","",INDEX(lista_dias,WEEKDAY($J677,2)))</f>
        <v/>
      </c>
      <c r="T677" s="24">
        <f>IF($J677="","",IFERROR(INDEX('CALENDARIO'!$C$15:$C$214,MATCH(TEXT($J677,"yyyy-mm-dd")&amp;"|"&amp;$Y677&amp;"|"&amp;$Z677,'CALENDARIO'!$G$15:$G$214,0)),IFERROR(INDEX('CALENDARIO'!$C$15:$C$214,MATCH(TEXT($J677,"yyyy-mm-dd")&amp;"|"&amp;$Y677&amp;"|",'CALENDARIO'!$G$15:$G$214,0)),IFERROR(INDEX('CALENDARIO'!$C$15:$C$214,MATCH(TEXT($J677,"yyyy-mm-dd")&amp;"||",'CALENDARIO'!$G$15:$G$214,0)),INDEX(patronHabil,WEEKDAY($J677,2))))))</f>
        <v/>
      </c>
      <c r="U677" s="24">
        <f>IF($I677="","",IFERROR(INDEX('CAT_TIPOS_OT'!$C$4:$C$23,MATCH($I677,'CAT_TIPOS_OT'!$A$4:$A$23,0)),"sin_clasificar"))</f>
        <v/>
      </c>
      <c r="V677" s="24">
        <f>IF($I677="","",IF(IFERROR(INDEX('CAT_TIPOS_OT'!$D$4:$D$23,MATCH($I677,'CAT_TIPOS_OT'!$A$4:$A$23,0)),"SIN CLASIFICAR")="","SIN CLASIFICAR",IFERROR(INDEX('CAT_TIPOS_OT'!$D$4:$D$23,MATCH($I677,'CAT_TIPOS_OT'!$A$4:$A$23,0)),"SIN CLASIFICAR")))</f>
        <v/>
      </c>
      <c r="W677" s="24">
        <f>IF($H677="","",IF(IFERROR(INDEX('CAT_ACTIVIDADES'!$F$4:$F$26,MATCH($H677,'CAT_ACTIVIDADES'!$A$4:$A$26,0)),"")=0,"",IFERROR(INDEX('CAT_ACTIVIDADES'!$F$4:$F$26,MATCH($H677,'CAT_ACTIVIDADES'!$A$4:$A$26,0)),"")))</f>
        <v/>
      </c>
      <c r="X677" s="24">
        <f>IF($F677="","",IFERROR(INDEX('CAT_CENTROS_COSTO'!$F$4:$F$28,MATCH($F677,'CAT_CENTROS_COSTO'!$A$4:$A$28,0)),"(sin catálogo)"))</f>
        <v/>
      </c>
      <c r="Y677" s="24">
        <f>IF($F677="","",IFERROR(INDEX('CAT_CENTROS_COSTO'!$D$4:$D$28,MATCH($F677,'CAT_CENTROS_COSTO'!$A$4:$A$28,0)),"(sin catálogo)"))</f>
        <v/>
      </c>
      <c r="Z677" s="24">
        <f>IF($F677="","",IF((IFERROR(INDEX('CAT_CENTROS_COSTO'!$E$4:$E$28,MATCH($F677,'CAT_CENTROS_COSTO'!$A$4:$A$28,0)),""))&lt;&gt;"",IFERROR(INDEX('CAT_CENTROS_COSTO'!$E$4:$E$28,MATCH($F677,'CAT_CENTROS_COSTO'!$A$4:$A$28,0)),""),$Y677))</f>
        <v/>
      </c>
      <c r="AA677" s="24">
        <f>IF($F677="","",IFERROR(INDEX('CAT_CENTROS_COSTO'!$G$4:$G$28,MATCH($F677,'CAT_CENTROS_COSTO'!$A$4:$A$28,0)),"(sin catálogo)"))</f>
        <v/>
      </c>
      <c r="AB677" s="24">
        <f>IF($G677="","",IFERROR(INDEX('CAT_PUESTOS'!$B$4:$B$23,MATCH($G677,'CAT_PUESTOS'!$A$4:$A$23,0)),"(sin catálogo)"))</f>
        <v/>
      </c>
      <c r="AC677" s="24">
        <f>IF($H677="","",IFERROR(INDEX('CAT_ACTIVIDADES'!$B$4:$B$26,MATCH($H677,'CAT_ACTIVIDADES'!$A$4:$A$26,0)),"(sin catálogo)"))</f>
        <v/>
      </c>
      <c r="AD677" s="26">
        <f>IF($J677="","",TODAY()-$J677)</f>
        <v/>
      </c>
      <c r="AE677" s="26">
        <f>IF($J677="","",IF($J677&lt;=TODAY(),COUNTIFS(cal_fechas,"&gt;="&amp;$J677,cal_fechas,"&lt;"&amp;TODAY(),cal_habil,"sí"),-COUNTIFS(cal_fechas,"&gt;="&amp;TODAY(),cal_fechas,"&lt;"&amp;$J677,cal_habil,"sí")))</f>
        <v/>
      </c>
      <c r="AF677" s="24">
        <f>IF($AE677="","",IF($AE677&lt;0,"FUTURO",IF($AE677&gt;p_dias_backlog_max,"BACKLOG","MES CORRIENTE")))</f>
        <v/>
      </c>
      <c r="AG677" s="24">
        <f>IF($AE677="",FALSE,AND($AE677&gt;p_dias_backlog_min,$AE677&lt;=p_dias_backlog_max))</f>
        <v/>
      </c>
      <c r="AH677" s="4" t="n"/>
      <c r="AI677" s="24">
        <f>IF($AH677="","",IF((IFERROR(INDEX('ASIGNACIONES'!$J$4:$J$451,MATCH($O677&amp;"|"&amp;$S677&amp;"|"&amp;$AH677,'ASIGNACIONES'!$N$4:$N$451,0)),""))=0,"",IFERROR(INDEX('ASIGNACIONES'!$J$4:$J$451,MATCH($O677&amp;"|"&amp;$S677&amp;"|"&amp;$AH677,'ASIGNACIONES'!$N$4:$N$451,0)),"")))</f>
        <v/>
      </c>
      <c r="AJ677" s="42">
        <f>IF($AH677="","",SUMIFS('ORDENES'!$M$4:$M$1203,'ORDENES'!$AH$4:$AH$1203,$AH677,'ORDENES'!$O$4:$O$1203,$O677,'ORDENES'!$S$4:$S$1203,$S677))</f>
        <v/>
      </c>
      <c r="AK677" s="42">
        <f>IF($AJ677="","",p_factor_productividad*IFERROR(INDEX('ASIGNACIONES'!$M$4:$M$451,MATCH($O677&amp;"|"&amp;$S677&amp;"|"&amp;$AH677,'ASIGNACIONES'!$N$4:$N$451,0)),0)-$AJ677)</f>
        <v/>
      </c>
      <c r="AL677" s="32">
        <f>IF($A677="","",IFERROR(INDEX('2_IMPORTAR_EJECUCION'!$F$9:$F$1208,MATCH($AU677,'2_IMPORTAR_EJECUCION'!$J$9:$J$1208,0)),0))</f>
        <v/>
      </c>
      <c r="AM677" s="32">
        <f>IF($A677="","",MAX(0,IFERROR(INDEX('2_IMPORTAR_EJECUCION'!$H$9:$H$1208,MATCH($AU677,'2_IMPORTAR_EJECUCION'!$J$9:$J$1208,0)),0)-$AL677))</f>
        <v/>
      </c>
      <c r="AN677" s="32">
        <f>IF($A677="","",$AL677+$AM677)</f>
        <v/>
      </c>
      <c r="AO677" s="24">
        <f>IF($A677="","",IF(OR((IFERROR(INDEX('CAT_ACTIVIDADES'!$D$4:$D$26,MATCH($H677,'CAT_ACTIVIDADES'!$A$4:$A$26,0)),""))=0,(IFERROR(INDEX('CAT_ACTIVIDADES'!$D$4:$D$26,MATCH($H677,'CAT_ACTIVIDADES'!$A$4:$A$26,0)),""))=""),"SIN CLASIFICAR",IFERROR(INDEX('CAT_ACTIVIDADES'!$D$4:$D$26,MATCH($H677,'CAT_ACTIVIDADES'!$A$4:$A$26,0)),"")))</f>
        <v/>
      </c>
      <c r="AP677" s="4" t="n"/>
      <c r="AQ677" s="4" t="n"/>
      <c r="AR677" s="4" t="n"/>
      <c r="AS677" s="24">
        <f>IF($AR677="","",HYPERLINK(p_ruta_base_checklists&amp;$AR677,"abrir"))</f>
        <v/>
      </c>
      <c r="AT677" s="4" t="n"/>
      <c r="AU677" s="24">
        <f>IF($A677="","",$A677&amp;IF($B677="","0010",$B677))</f>
        <v/>
      </c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41" t="n"/>
      <c r="K678" s="5" t="n"/>
      <c r="L678" s="18" t="n"/>
      <c r="M678" s="24">
        <f>IF($A678="","",IFERROR(INDEX('AJUSTES'!$B$4:$B$303,MATCH($AU678,'AJUSTES'!$A$4:$A$303,0)),IF($K678="","",$K678)))</f>
        <v/>
      </c>
      <c r="N678" s="24">
        <f>IF($A678="","",IFERROR(INDEX('CAT_ESTADOS_ERP'!$B$4:$B$22,MATCH(IFERROR(INDEX('2_IMPORTAR_EJECUCION'!$C$9:$C$1208,MATCH($AU678,'2_IMPORTAR_EJECUCION'!$J$9:$J$1208,0)),""),'CAT_ESTADOS_ERP'!$A$4:$A$22,0)),"Pendiente"))</f>
        <v/>
      </c>
      <c r="O678" s="24">
        <f>IF($J678="","",YEAR($J678+4-WEEKDAY($J678,2))&amp;"-S"&amp;TEXT(_xlfn.ISOWEEKNUM($J678),"00"))</f>
        <v/>
      </c>
      <c r="P678" s="24">
        <f>IF($J678="","",YEAR($J678))</f>
        <v/>
      </c>
      <c r="Q678" s="24">
        <f>IF($J678="","",MONTH($J678))</f>
        <v/>
      </c>
      <c r="R678" s="24">
        <f>IF($J678="","",$P678&amp;"-"&amp;TEXT($Q678,"00"))</f>
        <v/>
      </c>
      <c r="S678" s="24">
        <f>IF($J678="","",INDEX(lista_dias,WEEKDAY($J678,2)))</f>
        <v/>
      </c>
      <c r="T678" s="24">
        <f>IF($J678="","",IFERROR(INDEX('CALENDARIO'!$C$15:$C$214,MATCH(TEXT($J678,"yyyy-mm-dd")&amp;"|"&amp;$Y678&amp;"|"&amp;$Z678,'CALENDARIO'!$G$15:$G$214,0)),IFERROR(INDEX('CALENDARIO'!$C$15:$C$214,MATCH(TEXT($J678,"yyyy-mm-dd")&amp;"|"&amp;$Y678&amp;"|",'CALENDARIO'!$G$15:$G$214,0)),IFERROR(INDEX('CALENDARIO'!$C$15:$C$214,MATCH(TEXT($J678,"yyyy-mm-dd")&amp;"||",'CALENDARIO'!$G$15:$G$214,0)),INDEX(patronHabil,WEEKDAY($J678,2))))))</f>
        <v/>
      </c>
      <c r="U678" s="24">
        <f>IF($I678="","",IFERROR(INDEX('CAT_TIPOS_OT'!$C$4:$C$23,MATCH($I678,'CAT_TIPOS_OT'!$A$4:$A$23,0)),"sin_clasificar"))</f>
        <v/>
      </c>
      <c r="V678" s="24">
        <f>IF($I678="","",IF(IFERROR(INDEX('CAT_TIPOS_OT'!$D$4:$D$23,MATCH($I678,'CAT_TIPOS_OT'!$A$4:$A$23,0)),"SIN CLASIFICAR")="","SIN CLASIFICAR",IFERROR(INDEX('CAT_TIPOS_OT'!$D$4:$D$23,MATCH($I678,'CAT_TIPOS_OT'!$A$4:$A$23,0)),"SIN CLASIFICAR")))</f>
        <v/>
      </c>
      <c r="W678" s="24">
        <f>IF($H678="","",IF(IFERROR(INDEX('CAT_ACTIVIDADES'!$F$4:$F$26,MATCH($H678,'CAT_ACTIVIDADES'!$A$4:$A$26,0)),"")=0,"",IFERROR(INDEX('CAT_ACTIVIDADES'!$F$4:$F$26,MATCH($H678,'CAT_ACTIVIDADES'!$A$4:$A$26,0)),"")))</f>
        <v/>
      </c>
      <c r="X678" s="24">
        <f>IF($F678="","",IFERROR(INDEX('CAT_CENTROS_COSTO'!$F$4:$F$28,MATCH($F678,'CAT_CENTROS_COSTO'!$A$4:$A$28,0)),"(sin catálogo)"))</f>
        <v/>
      </c>
      <c r="Y678" s="24">
        <f>IF($F678="","",IFERROR(INDEX('CAT_CENTROS_COSTO'!$D$4:$D$28,MATCH($F678,'CAT_CENTROS_COSTO'!$A$4:$A$28,0)),"(sin catálogo)"))</f>
        <v/>
      </c>
      <c r="Z678" s="24">
        <f>IF($F678="","",IF((IFERROR(INDEX('CAT_CENTROS_COSTO'!$E$4:$E$28,MATCH($F678,'CAT_CENTROS_COSTO'!$A$4:$A$28,0)),""))&lt;&gt;"",IFERROR(INDEX('CAT_CENTROS_COSTO'!$E$4:$E$28,MATCH($F678,'CAT_CENTROS_COSTO'!$A$4:$A$28,0)),""),$Y678))</f>
        <v/>
      </c>
      <c r="AA678" s="24">
        <f>IF($F678="","",IFERROR(INDEX('CAT_CENTROS_COSTO'!$G$4:$G$28,MATCH($F678,'CAT_CENTROS_COSTO'!$A$4:$A$28,0)),"(sin catálogo)"))</f>
        <v/>
      </c>
      <c r="AB678" s="24">
        <f>IF($G678="","",IFERROR(INDEX('CAT_PUESTOS'!$B$4:$B$23,MATCH($G678,'CAT_PUESTOS'!$A$4:$A$23,0)),"(sin catálogo)"))</f>
        <v/>
      </c>
      <c r="AC678" s="24">
        <f>IF($H678="","",IFERROR(INDEX('CAT_ACTIVIDADES'!$B$4:$B$26,MATCH($H678,'CAT_ACTIVIDADES'!$A$4:$A$26,0)),"(sin catálogo)"))</f>
        <v/>
      </c>
      <c r="AD678" s="26">
        <f>IF($J678="","",TODAY()-$J678)</f>
        <v/>
      </c>
      <c r="AE678" s="26">
        <f>IF($J678="","",IF($J678&lt;=TODAY(),COUNTIFS(cal_fechas,"&gt;="&amp;$J678,cal_fechas,"&lt;"&amp;TODAY(),cal_habil,"sí"),-COUNTIFS(cal_fechas,"&gt;="&amp;TODAY(),cal_fechas,"&lt;"&amp;$J678,cal_habil,"sí")))</f>
        <v/>
      </c>
      <c r="AF678" s="24">
        <f>IF($AE678="","",IF($AE678&lt;0,"FUTURO",IF($AE678&gt;p_dias_backlog_max,"BACKLOG","MES CORRIENTE")))</f>
        <v/>
      </c>
      <c r="AG678" s="24">
        <f>IF($AE678="",FALSE,AND($AE678&gt;p_dias_backlog_min,$AE678&lt;=p_dias_backlog_max))</f>
        <v/>
      </c>
      <c r="AH678" s="4" t="n"/>
      <c r="AI678" s="24">
        <f>IF($AH678="","",IF((IFERROR(INDEX('ASIGNACIONES'!$J$4:$J$451,MATCH($O678&amp;"|"&amp;$S678&amp;"|"&amp;$AH678,'ASIGNACIONES'!$N$4:$N$451,0)),""))=0,"",IFERROR(INDEX('ASIGNACIONES'!$J$4:$J$451,MATCH($O678&amp;"|"&amp;$S678&amp;"|"&amp;$AH678,'ASIGNACIONES'!$N$4:$N$451,0)),"")))</f>
        <v/>
      </c>
      <c r="AJ678" s="42">
        <f>IF($AH678="","",SUMIFS('ORDENES'!$M$4:$M$1203,'ORDENES'!$AH$4:$AH$1203,$AH678,'ORDENES'!$O$4:$O$1203,$O678,'ORDENES'!$S$4:$S$1203,$S678))</f>
        <v/>
      </c>
      <c r="AK678" s="42">
        <f>IF($AJ678="","",p_factor_productividad*IFERROR(INDEX('ASIGNACIONES'!$M$4:$M$451,MATCH($O678&amp;"|"&amp;$S678&amp;"|"&amp;$AH678,'ASIGNACIONES'!$N$4:$N$451,0)),0)-$AJ678)</f>
        <v/>
      </c>
      <c r="AL678" s="32">
        <f>IF($A678="","",IFERROR(INDEX('2_IMPORTAR_EJECUCION'!$F$9:$F$1208,MATCH($AU678,'2_IMPORTAR_EJECUCION'!$J$9:$J$1208,0)),0))</f>
        <v/>
      </c>
      <c r="AM678" s="32">
        <f>IF($A678="","",MAX(0,IFERROR(INDEX('2_IMPORTAR_EJECUCION'!$H$9:$H$1208,MATCH($AU678,'2_IMPORTAR_EJECUCION'!$J$9:$J$1208,0)),0)-$AL678))</f>
        <v/>
      </c>
      <c r="AN678" s="32">
        <f>IF($A678="","",$AL678+$AM678)</f>
        <v/>
      </c>
      <c r="AO678" s="24">
        <f>IF($A678="","",IF(OR((IFERROR(INDEX('CAT_ACTIVIDADES'!$D$4:$D$26,MATCH($H678,'CAT_ACTIVIDADES'!$A$4:$A$26,0)),""))=0,(IFERROR(INDEX('CAT_ACTIVIDADES'!$D$4:$D$26,MATCH($H678,'CAT_ACTIVIDADES'!$A$4:$A$26,0)),""))=""),"SIN CLASIFICAR",IFERROR(INDEX('CAT_ACTIVIDADES'!$D$4:$D$26,MATCH($H678,'CAT_ACTIVIDADES'!$A$4:$A$26,0)),"")))</f>
        <v/>
      </c>
      <c r="AP678" s="4" t="n"/>
      <c r="AQ678" s="4" t="n"/>
      <c r="AR678" s="4" t="n"/>
      <c r="AS678" s="24">
        <f>IF($AR678="","",HYPERLINK(p_ruta_base_checklists&amp;$AR678,"abrir"))</f>
        <v/>
      </c>
      <c r="AT678" s="4" t="n"/>
      <c r="AU678" s="24">
        <f>IF($A678="","",$A678&amp;IF($B678="","0010",$B678))</f>
        <v/>
      </c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41" t="n"/>
      <c r="K679" s="5" t="n"/>
      <c r="L679" s="18" t="n"/>
      <c r="M679" s="24">
        <f>IF($A679="","",IFERROR(INDEX('AJUSTES'!$B$4:$B$303,MATCH($AU679,'AJUSTES'!$A$4:$A$303,0)),IF($K679="","",$K679)))</f>
        <v/>
      </c>
      <c r="N679" s="24">
        <f>IF($A679="","",IFERROR(INDEX('CAT_ESTADOS_ERP'!$B$4:$B$22,MATCH(IFERROR(INDEX('2_IMPORTAR_EJECUCION'!$C$9:$C$1208,MATCH($AU679,'2_IMPORTAR_EJECUCION'!$J$9:$J$1208,0)),""),'CAT_ESTADOS_ERP'!$A$4:$A$22,0)),"Pendiente"))</f>
        <v/>
      </c>
      <c r="O679" s="24">
        <f>IF($J679="","",YEAR($J679+4-WEEKDAY($J679,2))&amp;"-S"&amp;TEXT(_xlfn.ISOWEEKNUM($J679),"00"))</f>
        <v/>
      </c>
      <c r="P679" s="24">
        <f>IF($J679="","",YEAR($J679))</f>
        <v/>
      </c>
      <c r="Q679" s="24">
        <f>IF($J679="","",MONTH($J679))</f>
        <v/>
      </c>
      <c r="R679" s="24">
        <f>IF($J679="","",$P679&amp;"-"&amp;TEXT($Q679,"00"))</f>
        <v/>
      </c>
      <c r="S679" s="24">
        <f>IF($J679="","",INDEX(lista_dias,WEEKDAY($J679,2)))</f>
        <v/>
      </c>
      <c r="T679" s="24">
        <f>IF($J679="","",IFERROR(INDEX('CALENDARIO'!$C$15:$C$214,MATCH(TEXT($J679,"yyyy-mm-dd")&amp;"|"&amp;$Y679&amp;"|"&amp;$Z679,'CALENDARIO'!$G$15:$G$214,0)),IFERROR(INDEX('CALENDARIO'!$C$15:$C$214,MATCH(TEXT($J679,"yyyy-mm-dd")&amp;"|"&amp;$Y679&amp;"|",'CALENDARIO'!$G$15:$G$214,0)),IFERROR(INDEX('CALENDARIO'!$C$15:$C$214,MATCH(TEXT($J679,"yyyy-mm-dd")&amp;"||",'CALENDARIO'!$G$15:$G$214,0)),INDEX(patronHabil,WEEKDAY($J679,2))))))</f>
        <v/>
      </c>
      <c r="U679" s="24">
        <f>IF($I679="","",IFERROR(INDEX('CAT_TIPOS_OT'!$C$4:$C$23,MATCH($I679,'CAT_TIPOS_OT'!$A$4:$A$23,0)),"sin_clasificar"))</f>
        <v/>
      </c>
      <c r="V679" s="24">
        <f>IF($I679="","",IF(IFERROR(INDEX('CAT_TIPOS_OT'!$D$4:$D$23,MATCH($I679,'CAT_TIPOS_OT'!$A$4:$A$23,0)),"SIN CLASIFICAR")="","SIN CLASIFICAR",IFERROR(INDEX('CAT_TIPOS_OT'!$D$4:$D$23,MATCH($I679,'CAT_TIPOS_OT'!$A$4:$A$23,0)),"SIN CLASIFICAR")))</f>
        <v/>
      </c>
      <c r="W679" s="24">
        <f>IF($H679="","",IF(IFERROR(INDEX('CAT_ACTIVIDADES'!$F$4:$F$26,MATCH($H679,'CAT_ACTIVIDADES'!$A$4:$A$26,0)),"")=0,"",IFERROR(INDEX('CAT_ACTIVIDADES'!$F$4:$F$26,MATCH($H679,'CAT_ACTIVIDADES'!$A$4:$A$26,0)),"")))</f>
        <v/>
      </c>
      <c r="X679" s="24">
        <f>IF($F679="","",IFERROR(INDEX('CAT_CENTROS_COSTO'!$F$4:$F$28,MATCH($F679,'CAT_CENTROS_COSTO'!$A$4:$A$28,0)),"(sin catálogo)"))</f>
        <v/>
      </c>
      <c r="Y679" s="24">
        <f>IF($F679="","",IFERROR(INDEX('CAT_CENTROS_COSTO'!$D$4:$D$28,MATCH($F679,'CAT_CENTROS_COSTO'!$A$4:$A$28,0)),"(sin catálogo)"))</f>
        <v/>
      </c>
      <c r="Z679" s="24">
        <f>IF($F679="","",IF((IFERROR(INDEX('CAT_CENTROS_COSTO'!$E$4:$E$28,MATCH($F679,'CAT_CENTROS_COSTO'!$A$4:$A$28,0)),""))&lt;&gt;"",IFERROR(INDEX('CAT_CENTROS_COSTO'!$E$4:$E$28,MATCH($F679,'CAT_CENTROS_COSTO'!$A$4:$A$28,0)),""),$Y679))</f>
        <v/>
      </c>
      <c r="AA679" s="24">
        <f>IF($F679="","",IFERROR(INDEX('CAT_CENTROS_COSTO'!$G$4:$G$28,MATCH($F679,'CAT_CENTROS_COSTO'!$A$4:$A$28,0)),"(sin catálogo)"))</f>
        <v/>
      </c>
      <c r="AB679" s="24">
        <f>IF($G679="","",IFERROR(INDEX('CAT_PUESTOS'!$B$4:$B$23,MATCH($G679,'CAT_PUESTOS'!$A$4:$A$23,0)),"(sin catálogo)"))</f>
        <v/>
      </c>
      <c r="AC679" s="24">
        <f>IF($H679="","",IFERROR(INDEX('CAT_ACTIVIDADES'!$B$4:$B$26,MATCH($H679,'CAT_ACTIVIDADES'!$A$4:$A$26,0)),"(sin catálogo)"))</f>
        <v/>
      </c>
      <c r="AD679" s="26">
        <f>IF($J679="","",TODAY()-$J679)</f>
        <v/>
      </c>
      <c r="AE679" s="26">
        <f>IF($J679="","",IF($J679&lt;=TODAY(),COUNTIFS(cal_fechas,"&gt;="&amp;$J679,cal_fechas,"&lt;"&amp;TODAY(),cal_habil,"sí"),-COUNTIFS(cal_fechas,"&gt;="&amp;TODAY(),cal_fechas,"&lt;"&amp;$J679,cal_habil,"sí")))</f>
        <v/>
      </c>
      <c r="AF679" s="24">
        <f>IF($AE679="","",IF($AE679&lt;0,"FUTURO",IF($AE679&gt;p_dias_backlog_max,"BACKLOG","MES CORRIENTE")))</f>
        <v/>
      </c>
      <c r="AG679" s="24">
        <f>IF($AE679="",FALSE,AND($AE679&gt;p_dias_backlog_min,$AE679&lt;=p_dias_backlog_max))</f>
        <v/>
      </c>
      <c r="AH679" s="4" t="n"/>
      <c r="AI679" s="24">
        <f>IF($AH679="","",IF((IFERROR(INDEX('ASIGNACIONES'!$J$4:$J$451,MATCH($O679&amp;"|"&amp;$S679&amp;"|"&amp;$AH679,'ASIGNACIONES'!$N$4:$N$451,0)),""))=0,"",IFERROR(INDEX('ASIGNACIONES'!$J$4:$J$451,MATCH($O679&amp;"|"&amp;$S679&amp;"|"&amp;$AH679,'ASIGNACIONES'!$N$4:$N$451,0)),"")))</f>
        <v/>
      </c>
      <c r="AJ679" s="42">
        <f>IF($AH679="","",SUMIFS('ORDENES'!$M$4:$M$1203,'ORDENES'!$AH$4:$AH$1203,$AH679,'ORDENES'!$O$4:$O$1203,$O679,'ORDENES'!$S$4:$S$1203,$S679))</f>
        <v/>
      </c>
      <c r="AK679" s="42">
        <f>IF($AJ679="","",p_factor_productividad*IFERROR(INDEX('ASIGNACIONES'!$M$4:$M$451,MATCH($O679&amp;"|"&amp;$S679&amp;"|"&amp;$AH679,'ASIGNACIONES'!$N$4:$N$451,0)),0)-$AJ679)</f>
        <v/>
      </c>
      <c r="AL679" s="32">
        <f>IF($A679="","",IFERROR(INDEX('2_IMPORTAR_EJECUCION'!$F$9:$F$1208,MATCH($AU679,'2_IMPORTAR_EJECUCION'!$J$9:$J$1208,0)),0))</f>
        <v/>
      </c>
      <c r="AM679" s="32">
        <f>IF($A679="","",MAX(0,IFERROR(INDEX('2_IMPORTAR_EJECUCION'!$H$9:$H$1208,MATCH($AU679,'2_IMPORTAR_EJECUCION'!$J$9:$J$1208,0)),0)-$AL679))</f>
        <v/>
      </c>
      <c r="AN679" s="32">
        <f>IF($A679="","",$AL679+$AM679)</f>
        <v/>
      </c>
      <c r="AO679" s="24">
        <f>IF($A679="","",IF(OR((IFERROR(INDEX('CAT_ACTIVIDADES'!$D$4:$D$26,MATCH($H679,'CAT_ACTIVIDADES'!$A$4:$A$26,0)),""))=0,(IFERROR(INDEX('CAT_ACTIVIDADES'!$D$4:$D$26,MATCH($H679,'CAT_ACTIVIDADES'!$A$4:$A$26,0)),""))=""),"SIN CLASIFICAR",IFERROR(INDEX('CAT_ACTIVIDADES'!$D$4:$D$26,MATCH($H679,'CAT_ACTIVIDADES'!$A$4:$A$26,0)),"")))</f>
        <v/>
      </c>
      <c r="AP679" s="4" t="n"/>
      <c r="AQ679" s="4" t="n"/>
      <c r="AR679" s="4" t="n"/>
      <c r="AS679" s="24">
        <f>IF($AR679="","",HYPERLINK(p_ruta_base_checklists&amp;$AR679,"abrir"))</f>
        <v/>
      </c>
      <c r="AT679" s="4" t="n"/>
      <c r="AU679" s="24">
        <f>IF($A679="","",$A679&amp;IF($B679="","0010",$B679))</f>
        <v/>
      </c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41" t="n"/>
      <c r="K680" s="5" t="n"/>
      <c r="L680" s="18" t="n"/>
      <c r="M680" s="24">
        <f>IF($A680="","",IFERROR(INDEX('AJUSTES'!$B$4:$B$303,MATCH($AU680,'AJUSTES'!$A$4:$A$303,0)),IF($K680="","",$K680)))</f>
        <v/>
      </c>
      <c r="N680" s="24">
        <f>IF($A680="","",IFERROR(INDEX('CAT_ESTADOS_ERP'!$B$4:$B$22,MATCH(IFERROR(INDEX('2_IMPORTAR_EJECUCION'!$C$9:$C$1208,MATCH($AU680,'2_IMPORTAR_EJECUCION'!$J$9:$J$1208,0)),""),'CAT_ESTADOS_ERP'!$A$4:$A$22,0)),"Pendiente"))</f>
        <v/>
      </c>
      <c r="O680" s="24">
        <f>IF($J680="","",YEAR($J680+4-WEEKDAY($J680,2))&amp;"-S"&amp;TEXT(_xlfn.ISOWEEKNUM($J680),"00"))</f>
        <v/>
      </c>
      <c r="P680" s="24">
        <f>IF($J680="","",YEAR($J680))</f>
        <v/>
      </c>
      <c r="Q680" s="24">
        <f>IF($J680="","",MONTH($J680))</f>
        <v/>
      </c>
      <c r="R680" s="24">
        <f>IF($J680="","",$P680&amp;"-"&amp;TEXT($Q680,"00"))</f>
        <v/>
      </c>
      <c r="S680" s="24">
        <f>IF($J680="","",INDEX(lista_dias,WEEKDAY($J680,2)))</f>
        <v/>
      </c>
      <c r="T680" s="24">
        <f>IF($J680="","",IFERROR(INDEX('CALENDARIO'!$C$15:$C$214,MATCH(TEXT($J680,"yyyy-mm-dd")&amp;"|"&amp;$Y680&amp;"|"&amp;$Z680,'CALENDARIO'!$G$15:$G$214,0)),IFERROR(INDEX('CALENDARIO'!$C$15:$C$214,MATCH(TEXT($J680,"yyyy-mm-dd")&amp;"|"&amp;$Y680&amp;"|",'CALENDARIO'!$G$15:$G$214,0)),IFERROR(INDEX('CALENDARIO'!$C$15:$C$214,MATCH(TEXT($J680,"yyyy-mm-dd")&amp;"||",'CALENDARIO'!$G$15:$G$214,0)),INDEX(patronHabil,WEEKDAY($J680,2))))))</f>
        <v/>
      </c>
      <c r="U680" s="24">
        <f>IF($I680="","",IFERROR(INDEX('CAT_TIPOS_OT'!$C$4:$C$23,MATCH($I680,'CAT_TIPOS_OT'!$A$4:$A$23,0)),"sin_clasificar"))</f>
        <v/>
      </c>
      <c r="V680" s="24">
        <f>IF($I680="","",IF(IFERROR(INDEX('CAT_TIPOS_OT'!$D$4:$D$23,MATCH($I680,'CAT_TIPOS_OT'!$A$4:$A$23,0)),"SIN CLASIFICAR")="","SIN CLASIFICAR",IFERROR(INDEX('CAT_TIPOS_OT'!$D$4:$D$23,MATCH($I680,'CAT_TIPOS_OT'!$A$4:$A$23,0)),"SIN CLASIFICAR")))</f>
        <v/>
      </c>
      <c r="W680" s="24">
        <f>IF($H680="","",IF(IFERROR(INDEX('CAT_ACTIVIDADES'!$F$4:$F$26,MATCH($H680,'CAT_ACTIVIDADES'!$A$4:$A$26,0)),"")=0,"",IFERROR(INDEX('CAT_ACTIVIDADES'!$F$4:$F$26,MATCH($H680,'CAT_ACTIVIDADES'!$A$4:$A$26,0)),"")))</f>
        <v/>
      </c>
      <c r="X680" s="24">
        <f>IF($F680="","",IFERROR(INDEX('CAT_CENTROS_COSTO'!$F$4:$F$28,MATCH($F680,'CAT_CENTROS_COSTO'!$A$4:$A$28,0)),"(sin catálogo)"))</f>
        <v/>
      </c>
      <c r="Y680" s="24">
        <f>IF($F680="","",IFERROR(INDEX('CAT_CENTROS_COSTO'!$D$4:$D$28,MATCH($F680,'CAT_CENTROS_COSTO'!$A$4:$A$28,0)),"(sin catálogo)"))</f>
        <v/>
      </c>
      <c r="Z680" s="24">
        <f>IF($F680="","",IF((IFERROR(INDEX('CAT_CENTROS_COSTO'!$E$4:$E$28,MATCH($F680,'CAT_CENTROS_COSTO'!$A$4:$A$28,0)),""))&lt;&gt;"",IFERROR(INDEX('CAT_CENTROS_COSTO'!$E$4:$E$28,MATCH($F680,'CAT_CENTROS_COSTO'!$A$4:$A$28,0)),""),$Y680))</f>
        <v/>
      </c>
      <c r="AA680" s="24">
        <f>IF($F680="","",IFERROR(INDEX('CAT_CENTROS_COSTO'!$G$4:$G$28,MATCH($F680,'CAT_CENTROS_COSTO'!$A$4:$A$28,0)),"(sin catálogo)"))</f>
        <v/>
      </c>
      <c r="AB680" s="24">
        <f>IF($G680="","",IFERROR(INDEX('CAT_PUESTOS'!$B$4:$B$23,MATCH($G680,'CAT_PUESTOS'!$A$4:$A$23,0)),"(sin catálogo)"))</f>
        <v/>
      </c>
      <c r="AC680" s="24">
        <f>IF($H680="","",IFERROR(INDEX('CAT_ACTIVIDADES'!$B$4:$B$26,MATCH($H680,'CAT_ACTIVIDADES'!$A$4:$A$26,0)),"(sin catálogo)"))</f>
        <v/>
      </c>
      <c r="AD680" s="26">
        <f>IF($J680="","",TODAY()-$J680)</f>
        <v/>
      </c>
      <c r="AE680" s="26">
        <f>IF($J680="","",IF($J680&lt;=TODAY(),COUNTIFS(cal_fechas,"&gt;="&amp;$J680,cal_fechas,"&lt;"&amp;TODAY(),cal_habil,"sí"),-COUNTIFS(cal_fechas,"&gt;="&amp;TODAY(),cal_fechas,"&lt;"&amp;$J680,cal_habil,"sí")))</f>
        <v/>
      </c>
      <c r="AF680" s="24">
        <f>IF($AE680="","",IF($AE680&lt;0,"FUTURO",IF($AE680&gt;p_dias_backlog_max,"BACKLOG","MES CORRIENTE")))</f>
        <v/>
      </c>
      <c r="AG680" s="24">
        <f>IF($AE680="",FALSE,AND($AE680&gt;p_dias_backlog_min,$AE680&lt;=p_dias_backlog_max))</f>
        <v/>
      </c>
      <c r="AH680" s="4" t="n"/>
      <c r="AI680" s="24">
        <f>IF($AH680="","",IF((IFERROR(INDEX('ASIGNACIONES'!$J$4:$J$451,MATCH($O680&amp;"|"&amp;$S680&amp;"|"&amp;$AH680,'ASIGNACIONES'!$N$4:$N$451,0)),""))=0,"",IFERROR(INDEX('ASIGNACIONES'!$J$4:$J$451,MATCH($O680&amp;"|"&amp;$S680&amp;"|"&amp;$AH680,'ASIGNACIONES'!$N$4:$N$451,0)),"")))</f>
        <v/>
      </c>
      <c r="AJ680" s="42">
        <f>IF($AH680="","",SUMIFS('ORDENES'!$M$4:$M$1203,'ORDENES'!$AH$4:$AH$1203,$AH680,'ORDENES'!$O$4:$O$1203,$O680,'ORDENES'!$S$4:$S$1203,$S680))</f>
        <v/>
      </c>
      <c r="AK680" s="42">
        <f>IF($AJ680="","",p_factor_productividad*IFERROR(INDEX('ASIGNACIONES'!$M$4:$M$451,MATCH($O680&amp;"|"&amp;$S680&amp;"|"&amp;$AH680,'ASIGNACIONES'!$N$4:$N$451,0)),0)-$AJ680)</f>
        <v/>
      </c>
      <c r="AL680" s="32">
        <f>IF($A680="","",IFERROR(INDEX('2_IMPORTAR_EJECUCION'!$F$9:$F$1208,MATCH($AU680,'2_IMPORTAR_EJECUCION'!$J$9:$J$1208,0)),0))</f>
        <v/>
      </c>
      <c r="AM680" s="32">
        <f>IF($A680="","",MAX(0,IFERROR(INDEX('2_IMPORTAR_EJECUCION'!$H$9:$H$1208,MATCH($AU680,'2_IMPORTAR_EJECUCION'!$J$9:$J$1208,0)),0)-$AL680))</f>
        <v/>
      </c>
      <c r="AN680" s="32">
        <f>IF($A680="","",$AL680+$AM680)</f>
        <v/>
      </c>
      <c r="AO680" s="24">
        <f>IF($A680="","",IF(OR((IFERROR(INDEX('CAT_ACTIVIDADES'!$D$4:$D$26,MATCH($H680,'CAT_ACTIVIDADES'!$A$4:$A$26,0)),""))=0,(IFERROR(INDEX('CAT_ACTIVIDADES'!$D$4:$D$26,MATCH($H680,'CAT_ACTIVIDADES'!$A$4:$A$26,0)),""))=""),"SIN CLASIFICAR",IFERROR(INDEX('CAT_ACTIVIDADES'!$D$4:$D$26,MATCH($H680,'CAT_ACTIVIDADES'!$A$4:$A$26,0)),"")))</f>
        <v/>
      </c>
      <c r="AP680" s="4" t="n"/>
      <c r="AQ680" s="4" t="n"/>
      <c r="AR680" s="4" t="n"/>
      <c r="AS680" s="24">
        <f>IF($AR680="","",HYPERLINK(p_ruta_base_checklists&amp;$AR680,"abrir"))</f>
        <v/>
      </c>
      <c r="AT680" s="4" t="n"/>
      <c r="AU680" s="24">
        <f>IF($A680="","",$A680&amp;IF($B680="","0010",$B680))</f>
        <v/>
      </c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41" t="n"/>
      <c r="K681" s="5" t="n"/>
      <c r="L681" s="18" t="n"/>
      <c r="M681" s="24">
        <f>IF($A681="","",IFERROR(INDEX('AJUSTES'!$B$4:$B$303,MATCH($AU681,'AJUSTES'!$A$4:$A$303,0)),IF($K681="","",$K681)))</f>
        <v/>
      </c>
      <c r="N681" s="24">
        <f>IF($A681="","",IFERROR(INDEX('CAT_ESTADOS_ERP'!$B$4:$B$22,MATCH(IFERROR(INDEX('2_IMPORTAR_EJECUCION'!$C$9:$C$1208,MATCH($AU681,'2_IMPORTAR_EJECUCION'!$J$9:$J$1208,0)),""),'CAT_ESTADOS_ERP'!$A$4:$A$22,0)),"Pendiente"))</f>
        <v/>
      </c>
      <c r="O681" s="24">
        <f>IF($J681="","",YEAR($J681+4-WEEKDAY($J681,2))&amp;"-S"&amp;TEXT(_xlfn.ISOWEEKNUM($J681),"00"))</f>
        <v/>
      </c>
      <c r="P681" s="24">
        <f>IF($J681="","",YEAR($J681))</f>
        <v/>
      </c>
      <c r="Q681" s="24">
        <f>IF($J681="","",MONTH($J681))</f>
        <v/>
      </c>
      <c r="R681" s="24">
        <f>IF($J681="","",$P681&amp;"-"&amp;TEXT($Q681,"00"))</f>
        <v/>
      </c>
      <c r="S681" s="24">
        <f>IF($J681="","",INDEX(lista_dias,WEEKDAY($J681,2)))</f>
        <v/>
      </c>
      <c r="T681" s="24">
        <f>IF($J681="","",IFERROR(INDEX('CALENDARIO'!$C$15:$C$214,MATCH(TEXT($J681,"yyyy-mm-dd")&amp;"|"&amp;$Y681&amp;"|"&amp;$Z681,'CALENDARIO'!$G$15:$G$214,0)),IFERROR(INDEX('CALENDARIO'!$C$15:$C$214,MATCH(TEXT($J681,"yyyy-mm-dd")&amp;"|"&amp;$Y681&amp;"|",'CALENDARIO'!$G$15:$G$214,0)),IFERROR(INDEX('CALENDARIO'!$C$15:$C$214,MATCH(TEXT($J681,"yyyy-mm-dd")&amp;"||",'CALENDARIO'!$G$15:$G$214,0)),INDEX(patronHabil,WEEKDAY($J681,2))))))</f>
        <v/>
      </c>
      <c r="U681" s="24">
        <f>IF($I681="","",IFERROR(INDEX('CAT_TIPOS_OT'!$C$4:$C$23,MATCH($I681,'CAT_TIPOS_OT'!$A$4:$A$23,0)),"sin_clasificar"))</f>
        <v/>
      </c>
      <c r="V681" s="24">
        <f>IF($I681="","",IF(IFERROR(INDEX('CAT_TIPOS_OT'!$D$4:$D$23,MATCH($I681,'CAT_TIPOS_OT'!$A$4:$A$23,0)),"SIN CLASIFICAR")="","SIN CLASIFICAR",IFERROR(INDEX('CAT_TIPOS_OT'!$D$4:$D$23,MATCH($I681,'CAT_TIPOS_OT'!$A$4:$A$23,0)),"SIN CLASIFICAR")))</f>
        <v/>
      </c>
      <c r="W681" s="24">
        <f>IF($H681="","",IF(IFERROR(INDEX('CAT_ACTIVIDADES'!$F$4:$F$26,MATCH($H681,'CAT_ACTIVIDADES'!$A$4:$A$26,0)),"")=0,"",IFERROR(INDEX('CAT_ACTIVIDADES'!$F$4:$F$26,MATCH($H681,'CAT_ACTIVIDADES'!$A$4:$A$26,0)),"")))</f>
        <v/>
      </c>
      <c r="X681" s="24">
        <f>IF($F681="","",IFERROR(INDEX('CAT_CENTROS_COSTO'!$F$4:$F$28,MATCH($F681,'CAT_CENTROS_COSTO'!$A$4:$A$28,0)),"(sin catálogo)"))</f>
        <v/>
      </c>
      <c r="Y681" s="24">
        <f>IF($F681="","",IFERROR(INDEX('CAT_CENTROS_COSTO'!$D$4:$D$28,MATCH($F681,'CAT_CENTROS_COSTO'!$A$4:$A$28,0)),"(sin catálogo)"))</f>
        <v/>
      </c>
      <c r="Z681" s="24">
        <f>IF($F681="","",IF((IFERROR(INDEX('CAT_CENTROS_COSTO'!$E$4:$E$28,MATCH($F681,'CAT_CENTROS_COSTO'!$A$4:$A$28,0)),""))&lt;&gt;"",IFERROR(INDEX('CAT_CENTROS_COSTO'!$E$4:$E$28,MATCH($F681,'CAT_CENTROS_COSTO'!$A$4:$A$28,0)),""),$Y681))</f>
        <v/>
      </c>
      <c r="AA681" s="24">
        <f>IF($F681="","",IFERROR(INDEX('CAT_CENTROS_COSTO'!$G$4:$G$28,MATCH($F681,'CAT_CENTROS_COSTO'!$A$4:$A$28,0)),"(sin catálogo)"))</f>
        <v/>
      </c>
      <c r="AB681" s="24">
        <f>IF($G681="","",IFERROR(INDEX('CAT_PUESTOS'!$B$4:$B$23,MATCH($G681,'CAT_PUESTOS'!$A$4:$A$23,0)),"(sin catálogo)"))</f>
        <v/>
      </c>
      <c r="AC681" s="24">
        <f>IF($H681="","",IFERROR(INDEX('CAT_ACTIVIDADES'!$B$4:$B$26,MATCH($H681,'CAT_ACTIVIDADES'!$A$4:$A$26,0)),"(sin catálogo)"))</f>
        <v/>
      </c>
      <c r="AD681" s="26">
        <f>IF($J681="","",TODAY()-$J681)</f>
        <v/>
      </c>
      <c r="AE681" s="26">
        <f>IF($J681="","",IF($J681&lt;=TODAY(),COUNTIFS(cal_fechas,"&gt;="&amp;$J681,cal_fechas,"&lt;"&amp;TODAY(),cal_habil,"sí"),-COUNTIFS(cal_fechas,"&gt;="&amp;TODAY(),cal_fechas,"&lt;"&amp;$J681,cal_habil,"sí")))</f>
        <v/>
      </c>
      <c r="AF681" s="24">
        <f>IF($AE681="","",IF($AE681&lt;0,"FUTURO",IF($AE681&gt;p_dias_backlog_max,"BACKLOG","MES CORRIENTE")))</f>
        <v/>
      </c>
      <c r="AG681" s="24">
        <f>IF($AE681="",FALSE,AND($AE681&gt;p_dias_backlog_min,$AE681&lt;=p_dias_backlog_max))</f>
        <v/>
      </c>
      <c r="AH681" s="4" t="n"/>
      <c r="AI681" s="24">
        <f>IF($AH681="","",IF((IFERROR(INDEX('ASIGNACIONES'!$J$4:$J$451,MATCH($O681&amp;"|"&amp;$S681&amp;"|"&amp;$AH681,'ASIGNACIONES'!$N$4:$N$451,0)),""))=0,"",IFERROR(INDEX('ASIGNACIONES'!$J$4:$J$451,MATCH($O681&amp;"|"&amp;$S681&amp;"|"&amp;$AH681,'ASIGNACIONES'!$N$4:$N$451,0)),"")))</f>
        <v/>
      </c>
      <c r="AJ681" s="42">
        <f>IF($AH681="","",SUMIFS('ORDENES'!$M$4:$M$1203,'ORDENES'!$AH$4:$AH$1203,$AH681,'ORDENES'!$O$4:$O$1203,$O681,'ORDENES'!$S$4:$S$1203,$S681))</f>
        <v/>
      </c>
      <c r="AK681" s="42">
        <f>IF($AJ681="","",p_factor_productividad*IFERROR(INDEX('ASIGNACIONES'!$M$4:$M$451,MATCH($O681&amp;"|"&amp;$S681&amp;"|"&amp;$AH681,'ASIGNACIONES'!$N$4:$N$451,0)),0)-$AJ681)</f>
        <v/>
      </c>
      <c r="AL681" s="32">
        <f>IF($A681="","",IFERROR(INDEX('2_IMPORTAR_EJECUCION'!$F$9:$F$1208,MATCH($AU681,'2_IMPORTAR_EJECUCION'!$J$9:$J$1208,0)),0))</f>
        <v/>
      </c>
      <c r="AM681" s="32">
        <f>IF($A681="","",MAX(0,IFERROR(INDEX('2_IMPORTAR_EJECUCION'!$H$9:$H$1208,MATCH($AU681,'2_IMPORTAR_EJECUCION'!$J$9:$J$1208,0)),0)-$AL681))</f>
        <v/>
      </c>
      <c r="AN681" s="32">
        <f>IF($A681="","",$AL681+$AM681)</f>
        <v/>
      </c>
      <c r="AO681" s="24">
        <f>IF($A681="","",IF(OR((IFERROR(INDEX('CAT_ACTIVIDADES'!$D$4:$D$26,MATCH($H681,'CAT_ACTIVIDADES'!$A$4:$A$26,0)),""))=0,(IFERROR(INDEX('CAT_ACTIVIDADES'!$D$4:$D$26,MATCH($H681,'CAT_ACTIVIDADES'!$A$4:$A$26,0)),""))=""),"SIN CLASIFICAR",IFERROR(INDEX('CAT_ACTIVIDADES'!$D$4:$D$26,MATCH($H681,'CAT_ACTIVIDADES'!$A$4:$A$26,0)),"")))</f>
        <v/>
      </c>
      <c r="AP681" s="4" t="n"/>
      <c r="AQ681" s="4" t="n"/>
      <c r="AR681" s="4" t="n"/>
      <c r="AS681" s="24">
        <f>IF($AR681="","",HYPERLINK(p_ruta_base_checklists&amp;$AR681,"abrir"))</f>
        <v/>
      </c>
      <c r="AT681" s="4" t="n"/>
      <c r="AU681" s="24">
        <f>IF($A681="","",$A681&amp;IF($B681="","0010",$B681))</f>
        <v/>
      </c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41" t="n"/>
      <c r="K682" s="5" t="n"/>
      <c r="L682" s="18" t="n"/>
      <c r="M682" s="24">
        <f>IF($A682="","",IFERROR(INDEX('AJUSTES'!$B$4:$B$303,MATCH($AU682,'AJUSTES'!$A$4:$A$303,0)),IF($K682="","",$K682)))</f>
        <v/>
      </c>
      <c r="N682" s="24">
        <f>IF($A682="","",IFERROR(INDEX('CAT_ESTADOS_ERP'!$B$4:$B$22,MATCH(IFERROR(INDEX('2_IMPORTAR_EJECUCION'!$C$9:$C$1208,MATCH($AU682,'2_IMPORTAR_EJECUCION'!$J$9:$J$1208,0)),""),'CAT_ESTADOS_ERP'!$A$4:$A$22,0)),"Pendiente"))</f>
        <v/>
      </c>
      <c r="O682" s="24">
        <f>IF($J682="","",YEAR($J682+4-WEEKDAY($J682,2))&amp;"-S"&amp;TEXT(_xlfn.ISOWEEKNUM($J682),"00"))</f>
        <v/>
      </c>
      <c r="P682" s="24">
        <f>IF($J682="","",YEAR($J682))</f>
        <v/>
      </c>
      <c r="Q682" s="24">
        <f>IF($J682="","",MONTH($J682))</f>
        <v/>
      </c>
      <c r="R682" s="24">
        <f>IF($J682="","",$P682&amp;"-"&amp;TEXT($Q682,"00"))</f>
        <v/>
      </c>
      <c r="S682" s="24">
        <f>IF($J682="","",INDEX(lista_dias,WEEKDAY($J682,2)))</f>
        <v/>
      </c>
      <c r="T682" s="24">
        <f>IF($J682="","",IFERROR(INDEX('CALENDARIO'!$C$15:$C$214,MATCH(TEXT($J682,"yyyy-mm-dd")&amp;"|"&amp;$Y682&amp;"|"&amp;$Z682,'CALENDARIO'!$G$15:$G$214,0)),IFERROR(INDEX('CALENDARIO'!$C$15:$C$214,MATCH(TEXT($J682,"yyyy-mm-dd")&amp;"|"&amp;$Y682&amp;"|",'CALENDARIO'!$G$15:$G$214,0)),IFERROR(INDEX('CALENDARIO'!$C$15:$C$214,MATCH(TEXT($J682,"yyyy-mm-dd")&amp;"||",'CALENDARIO'!$G$15:$G$214,0)),INDEX(patronHabil,WEEKDAY($J682,2))))))</f>
        <v/>
      </c>
      <c r="U682" s="24">
        <f>IF($I682="","",IFERROR(INDEX('CAT_TIPOS_OT'!$C$4:$C$23,MATCH($I682,'CAT_TIPOS_OT'!$A$4:$A$23,0)),"sin_clasificar"))</f>
        <v/>
      </c>
      <c r="V682" s="24">
        <f>IF($I682="","",IF(IFERROR(INDEX('CAT_TIPOS_OT'!$D$4:$D$23,MATCH($I682,'CAT_TIPOS_OT'!$A$4:$A$23,0)),"SIN CLASIFICAR")="","SIN CLASIFICAR",IFERROR(INDEX('CAT_TIPOS_OT'!$D$4:$D$23,MATCH($I682,'CAT_TIPOS_OT'!$A$4:$A$23,0)),"SIN CLASIFICAR")))</f>
        <v/>
      </c>
      <c r="W682" s="24">
        <f>IF($H682="","",IF(IFERROR(INDEX('CAT_ACTIVIDADES'!$F$4:$F$26,MATCH($H682,'CAT_ACTIVIDADES'!$A$4:$A$26,0)),"")=0,"",IFERROR(INDEX('CAT_ACTIVIDADES'!$F$4:$F$26,MATCH($H682,'CAT_ACTIVIDADES'!$A$4:$A$26,0)),"")))</f>
        <v/>
      </c>
      <c r="X682" s="24">
        <f>IF($F682="","",IFERROR(INDEX('CAT_CENTROS_COSTO'!$F$4:$F$28,MATCH($F682,'CAT_CENTROS_COSTO'!$A$4:$A$28,0)),"(sin catálogo)"))</f>
        <v/>
      </c>
      <c r="Y682" s="24">
        <f>IF($F682="","",IFERROR(INDEX('CAT_CENTROS_COSTO'!$D$4:$D$28,MATCH($F682,'CAT_CENTROS_COSTO'!$A$4:$A$28,0)),"(sin catálogo)"))</f>
        <v/>
      </c>
      <c r="Z682" s="24">
        <f>IF($F682="","",IF((IFERROR(INDEX('CAT_CENTROS_COSTO'!$E$4:$E$28,MATCH($F682,'CAT_CENTROS_COSTO'!$A$4:$A$28,0)),""))&lt;&gt;"",IFERROR(INDEX('CAT_CENTROS_COSTO'!$E$4:$E$28,MATCH($F682,'CAT_CENTROS_COSTO'!$A$4:$A$28,0)),""),$Y682))</f>
        <v/>
      </c>
      <c r="AA682" s="24">
        <f>IF($F682="","",IFERROR(INDEX('CAT_CENTROS_COSTO'!$G$4:$G$28,MATCH($F682,'CAT_CENTROS_COSTO'!$A$4:$A$28,0)),"(sin catálogo)"))</f>
        <v/>
      </c>
      <c r="AB682" s="24">
        <f>IF($G682="","",IFERROR(INDEX('CAT_PUESTOS'!$B$4:$B$23,MATCH($G682,'CAT_PUESTOS'!$A$4:$A$23,0)),"(sin catálogo)"))</f>
        <v/>
      </c>
      <c r="AC682" s="24">
        <f>IF($H682="","",IFERROR(INDEX('CAT_ACTIVIDADES'!$B$4:$B$26,MATCH($H682,'CAT_ACTIVIDADES'!$A$4:$A$26,0)),"(sin catálogo)"))</f>
        <v/>
      </c>
      <c r="AD682" s="26">
        <f>IF($J682="","",TODAY()-$J682)</f>
        <v/>
      </c>
      <c r="AE682" s="26">
        <f>IF($J682="","",IF($J682&lt;=TODAY(),COUNTIFS(cal_fechas,"&gt;="&amp;$J682,cal_fechas,"&lt;"&amp;TODAY(),cal_habil,"sí"),-COUNTIFS(cal_fechas,"&gt;="&amp;TODAY(),cal_fechas,"&lt;"&amp;$J682,cal_habil,"sí")))</f>
        <v/>
      </c>
      <c r="AF682" s="24">
        <f>IF($AE682="","",IF($AE682&lt;0,"FUTURO",IF($AE682&gt;p_dias_backlog_max,"BACKLOG","MES CORRIENTE")))</f>
        <v/>
      </c>
      <c r="AG682" s="24">
        <f>IF($AE682="",FALSE,AND($AE682&gt;p_dias_backlog_min,$AE682&lt;=p_dias_backlog_max))</f>
        <v/>
      </c>
      <c r="AH682" s="4" t="n"/>
      <c r="AI682" s="24">
        <f>IF($AH682="","",IF((IFERROR(INDEX('ASIGNACIONES'!$J$4:$J$451,MATCH($O682&amp;"|"&amp;$S682&amp;"|"&amp;$AH682,'ASIGNACIONES'!$N$4:$N$451,0)),""))=0,"",IFERROR(INDEX('ASIGNACIONES'!$J$4:$J$451,MATCH($O682&amp;"|"&amp;$S682&amp;"|"&amp;$AH682,'ASIGNACIONES'!$N$4:$N$451,0)),"")))</f>
        <v/>
      </c>
      <c r="AJ682" s="42">
        <f>IF($AH682="","",SUMIFS('ORDENES'!$M$4:$M$1203,'ORDENES'!$AH$4:$AH$1203,$AH682,'ORDENES'!$O$4:$O$1203,$O682,'ORDENES'!$S$4:$S$1203,$S682))</f>
        <v/>
      </c>
      <c r="AK682" s="42">
        <f>IF($AJ682="","",p_factor_productividad*IFERROR(INDEX('ASIGNACIONES'!$M$4:$M$451,MATCH($O682&amp;"|"&amp;$S682&amp;"|"&amp;$AH682,'ASIGNACIONES'!$N$4:$N$451,0)),0)-$AJ682)</f>
        <v/>
      </c>
      <c r="AL682" s="32">
        <f>IF($A682="","",IFERROR(INDEX('2_IMPORTAR_EJECUCION'!$F$9:$F$1208,MATCH($AU682,'2_IMPORTAR_EJECUCION'!$J$9:$J$1208,0)),0))</f>
        <v/>
      </c>
      <c r="AM682" s="32">
        <f>IF($A682="","",MAX(0,IFERROR(INDEX('2_IMPORTAR_EJECUCION'!$H$9:$H$1208,MATCH($AU682,'2_IMPORTAR_EJECUCION'!$J$9:$J$1208,0)),0)-$AL682))</f>
        <v/>
      </c>
      <c r="AN682" s="32">
        <f>IF($A682="","",$AL682+$AM682)</f>
        <v/>
      </c>
      <c r="AO682" s="24">
        <f>IF($A682="","",IF(OR((IFERROR(INDEX('CAT_ACTIVIDADES'!$D$4:$D$26,MATCH($H682,'CAT_ACTIVIDADES'!$A$4:$A$26,0)),""))=0,(IFERROR(INDEX('CAT_ACTIVIDADES'!$D$4:$D$26,MATCH($H682,'CAT_ACTIVIDADES'!$A$4:$A$26,0)),""))=""),"SIN CLASIFICAR",IFERROR(INDEX('CAT_ACTIVIDADES'!$D$4:$D$26,MATCH($H682,'CAT_ACTIVIDADES'!$A$4:$A$26,0)),"")))</f>
        <v/>
      </c>
      <c r="AP682" s="4" t="n"/>
      <c r="AQ682" s="4" t="n"/>
      <c r="AR682" s="4" t="n"/>
      <c r="AS682" s="24">
        <f>IF($AR682="","",HYPERLINK(p_ruta_base_checklists&amp;$AR682,"abrir"))</f>
        <v/>
      </c>
      <c r="AT682" s="4" t="n"/>
      <c r="AU682" s="24">
        <f>IF($A682="","",$A682&amp;IF($B682="","0010",$B682))</f>
        <v/>
      </c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41" t="n"/>
      <c r="K683" s="5" t="n"/>
      <c r="L683" s="18" t="n"/>
      <c r="M683" s="24">
        <f>IF($A683="","",IFERROR(INDEX('AJUSTES'!$B$4:$B$303,MATCH($AU683,'AJUSTES'!$A$4:$A$303,0)),IF($K683="","",$K683)))</f>
        <v/>
      </c>
      <c r="N683" s="24">
        <f>IF($A683="","",IFERROR(INDEX('CAT_ESTADOS_ERP'!$B$4:$B$22,MATCH(IFERROR(INDEX('2_IMPORTAR_EJECUCION'!$C$9:$C$1208,MATCH($AU683,'2_IMPORTAR_EJECUCION'!$J$9:$J$1208,0)),""),'CAT_ESTADOS_ERP'!$A$4:$A$22,0)),"Pendiente"))</f>
        <v/>
      </c>
      <c r="O683" s="24">
        <f>IF($J683="","",YEAR($J683+4-WEEKDAY($J683,2))&amp;"-S"&amp;TEXT(_xlfn.ISOWEEKNUM($J683),"00"))</f>
        <v/>
      </c>
      <c r="P683" s="24">
        <f>IF($J683="","",YEAR($J683))</f>
        <v/>
      </c>
      <c r="Q683" s="24">
        <f>IF($J683="","",MONTH($J683))</f>
        <v/>
      </c>
      <c r="R683" s="24">
        <f>IF($J683="","",$P683&amp;"-"&amp;TEXT($Q683,"00"))</f>
        <v/>
      </c>
      <c r="S683" s="24">
        <f>IF($J683="","",INDEX(lista_dias,WEEKDAY($J683,2)))</f>
        <v/>
      </c>
      <c r="T683" s="24">
        <f>IF($J683="","",IFERROR(INDEX('CALENDARIO'!$C$15:$C$214,MATCH(TEXT($J683,"yyyy-mm-dd")&amp;"|"&amp;$Y683&amp;"|"&amp;$Z683,'CALENDARIO'!$G$15:$G$214,0)),IFERROR(INDEX('CALENDARIO'!$C$15:$C$214,MATCH(TEXT($J683,"yyyy-mm-dd")&amp;"|"&amp;$Y683&amp;"|",'CALENDARIO'!$G$15:$G$214,0)),IFERROR(INDEX('CALENDARIO'!$C$15:$C$214,MATCH(TEXT($J683,"yyyy-mm-dd")&amp;"||",'CALENDARIO'!$G$15:$G$214,0)),INDEX(patronHabil,WEEKDAY($J683,2))))))</f>
        <v/>
      </c>
      <c r="U683" s="24">
        <f>IF($I683="","",IFERROR(INDEX('CAT_TIPOS_OT'!$C$4:$C$23,MATCH($I683,'CAT_TIPOS_OT'!$A$4:$A$23,0)),"sin_clasificar"))</f>
        <v/>
      </c>
      <c r="V683" s="24">
        <f>IF($I683="","",IF(IFERROR(INDEX('CAT_TIPOS_OT'!$D$4:$D$23,MATCH($I683,'CAT_TIPOS_OT'!$A$4:$A$23,0)),"SIN CLASIFICAR")="","SIN CLASIFICAR",IFERROR(INDEX('CAT_TIPOS_OT'!$D$4:$D$23,MATCH($I683,'CAT_TIPOS_OT'!$A$4:$A$23,0)),"SIN CLASIFICAR")))</f>
        <v/>
      </c>
      <c r="W683" s="24">
        <f>IF($H683="","",IF(IFERROR(INDEX('CAT_ACTIVIDADES'!$F$4:$F$26,MATCH($H683,'CAT_ACTIVIDADES'!$A$4:$A$26,0)),"")=0,"",IFERROR(INDEX('CAT_ACTIVIDADES'!$F$4:$F$26,MATCH($H683,'CAT_ACTIVIDADES'!$A$4:$A$26,0)),"")))</f>
        <v/>
      </c>
      <c r="X683" s="24">
        <f>IF($F683="","",IFERROR(INDEX('CAT_CENTROS_COSTO'!$F$4:$F$28,MATCH($F683,'CAT_CENTROS_COSTO'!$A$4:$A$28,0)),"(sin catálogo)"))</f>
        <v/>
      </c>
      <c r="Y683" s="24">
        <f>IF($F683="","",IFERROR(INDEX('CAT_CENTROS_COSTO'!$D$4:$D$28,MATCH($F683,'CAT_CENTROS_COSTO'!$A$4:$A$28,0)),"(sin catálogo)"))</f>
        <v/>
      </c>
      <c r="Z683" s="24">
        <f>IF($F683="","",IF((IFERROR(INDEX('CAT_CENTROS_COSTO'!$E$4:$E$28,MATCH($F683,'CAT_CENTROS_COSTO'!$A$4:$A$28,0)),""))&lt;&gt;"",IFERROR(INDEX('CAT_CENTROS_COSTO'!$E$4:$E$28,MATCH($F683,'CAT_CENTROS_COSTO'!$A$4:$A$28,0)),""),$Y683))</f>
        <v/>
      </c>
      <c r="AA683" s="24">
        <f>IF($F683="","",IFERROR(INDEX('CAT_CENTROS_COSTO'!$G$4:$G$28,MATCH($F683,'CAT_CENTROS_COSTO'!$A$4:$A$28,0)),"(sin catálogo)"))</f>
        <v/>
      </c>
      <c r="AB683" s="24">
        <f>IF($G683="","",IFERROR(INDEX('CAT_PUESTOS'!$B$4:$B$23,MATCH($G683,'CAT_PUESTOS'!$A$4:$A$23,0)),"(sin catálogo)"))</f>
        <v/>
      </c>
      <c r="AC683" s="24">
        <f>IF($H683="","",IFERROR(INDEX('CAT_ACTIVIDADES'!$B$4:$B$26,MATCH($H683,'CAT_ACTIVIDADES'!$A$4:$A$26,0)),"(sin catálogo)"))</f>
        <v/>
      </c>
      <c r="AD683" s="26">
        <f>IF($J683="","",TODAY()-$J683)</f>
        <v/>
      </c>
      <c r="AE683" s="26">
        <f>IF($J683="","",IF($J683&lt;=TODAY(),COUNTIFS(cal_fechas,"&gt;="&amp;$J683,cal_fechas,"&lt;"&amp;TODAY(),cal_habil,"sí"),-COUNTIFS(cal_fechas,"&gt;="&amp;TODAY(),cal_fechas,"&lt;"&amp;$J683,cal_habil,"sí")))</f>
        <v/>
      </c>
      <c r="AF683" s="24">
        <f>IF($AE683="","",IF($AE683&lt;0,"FUTURO",IF($AE683&gt;p_dias_backlog_max,"BACKLOG","MES CORRIENTE")))</f>
        <v/>
      </c>
      <c r="AG683" s="24">
        <f>IF($AE683="",FALSE,AND($AE683&gt;p_dias_backlog_min,$AE683&lt;=p_dias_backlog_max))</f>
        <v/>
      </c>
      <c r="AH683" s="4" t="n"/>
      <c r="AI683" s="24">
        <f>IF($AH683="","",IF((IFERROR(INDEX('ASIGNACIONES'!$J$4:$J$451,MATCH($O683&amp;"|"&amp;$S683&amp;"|"&amp;$AH683,'ASIGNACIONES'!$N$4:$N$451,0)),""))=0,"",IFERROR(INDEX('ASIGNACIONES'!$J$4:$J$451,MATCH($O683&amp;"|"&amp;$S683&amp;"|"&amp;$AH683,'ASIGNACIONES'!$N$4:$N$451,0)),"")))</f>
        <v/>
      </c>
      <c r="AJ683" s="42">
        <f>IF($AH683="","",SUMIFS('ORDENES'!$M$4:$M$1203,'ORDENES'!$AH$4:$AH$1203,$AH683,'ORDENES'!$O$4:$O$1203,$O683,'ORDENES'!$S$4:$S$1203,$S683))</f>
        <v/>
      </c>
      <c r="AK683" s="42">
        <f>IF($AJ683="","",p_factor_productividad*IFERROR(INDEX('ASIGNACIONES'!$M$4:$M$451,MATCH($O683&amp;"|"&amp;$S683&amp;"|"&amp;$AH683,'ASIGNACIONES'!$N$4:$N$451,0)),0)-$AJ683)</f>
        <v/>
      </c>
      <c r="AL683" s="32">
        <f>IF($A683="","",IFERROR(INDEX('2_IMPORTAR_EJECUCION'!$F$9:$F$1208,MATCH($AU683,'2_IMPORTAR_EJECUCION'!$J$9:$J$1208,0)),0))</f>
        <v/>
      </c>
      <c r="AM683" s="32">
        <f>IF($A683="","",MAX(0,IFERROR(INDEX('2_IMPORTAR_EJECUCION'!$H$9:$H$1208,MATCH($AU683,'2_IMPORTAR_EJECUCION'!$J$9:$J$1208,0)),0)-$AL683))</f>
        <v/>
      </c>
      <c r="AN683" s="32">
        <f>IF($A683="","",$AL683+$AM683)</f>
        <v/>
      </c>
      <c r="AO683" s="24">
        <f>IF($A683="","",IF(OR((IFERROR(INDEX('CAT_ACTIVIDADES'!$D$4:$D$26,MATCH($H683,'CAT_ACTIVIDADES'!$A$4:$A$26,0)),""))=0,(IFERROR(INDEX('CAT_ACTIVIDADES'!$D$4:$D$26,MATCH($H683,'CAT_ACTIVIDADES'!$A$4:$A$26,0)),""))=""),"SIN CLASIFICAR",IFERROR(INDEX('CAT_ACTIVIDADES'!$D$4:$D$26,MATCH($H683,'CAT_ACTIVIDADES'!$A$4:$A$26,0)),"")))</f>
        <v/>
      </c>
      <c r="AP683" s="4" t="n"/>
      <c r="AQ683" s="4" t="n"/>
      <c r="AR683" s="4" t="n"/>
      <c r="AS683" s="24">
        <f>IF($AR683="","",HYPERLINK(p_ruta_base_checklists&amp;$AR683,"abrir"))</f>
        <v/>
      </c>
      <c r="AT683" s="4" t="n"/>
      <c r="AU683" s="24">
        <f>IF($A683="","",$A683&amp;IF($B683="","0010",$B683))</f>
        <v/>
      </c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41" t="n"/>
      <c r="K684" s="5" t="n"/>
      <c r="L684" s="18" t="n"/>
      <c r="M684" s="24">
        <f>IF($A684="","",IFERROR(INDEX('AJUSTES'!$B$4:$B$303,MATCH($AU684,'AJUSTES'!$A$4:$A$303,0)),IF($K684="","",$K684)))</f>
        <v/>
      </c>
      <c r="N684" s="24">
        <f>IF($A684="","",IFERROR(INDEX('CAT_ESTADOS_ERP'!$B$4:$B$22,MATCH(IFERROR(INDEX('2_IMPORTAR_EJECUCION'!$C$9:$C$1208,MATCH($AU684,'2_IMPORTAR_EJECUCION'!$J$9:$J$1208,0)),""),'CAT_ESTADOS_ERP'!$A$4:$A$22,0)),"Pendiente"))</f>
        <v/>
      </c>
      <c r="O684" s="24">
        <f>IF($J684="","",YEAR($J684+4-WEEKDAY($J684,2))&amp;"-S"&amp;TEXT(_xlfn.ISOWEEKNUM($J684),"00"))</f>
        <v/>
      </c>
      <c r="P684" s="24">
        <f>IF($J684="","",YEAR($J684))</f>
        <v/>
      </c>
      <c r="Q684" s="24">
        <f>IF($J684="","",MONTH($J684))</f>
        <v/>
      </c>
      <c r="R684" s="24">
        <f>IF($J684="","",$P684&amp;"-"&amp;TEXT($Q684,"00"))</f>
        <v/>
      </c>
      <c r="S684" s="24">
        <f>IF($J684="","",INDEX(lista_dias,WEEKDAY($J684,2)))</f>
        <v/>
      </c>
      <c r="T684" s="24">
        <f>IF($J684="","",IFERROR(INDEX('CALENDARIO'!$C$15:$C$214,MATCH(TEXT($J684,"yyyy-mm-dd")&amp;"|"&amp;$Y684&amp;"|"&amp;$Z684,'CALENDARIO'!$G$15:$G$214,0)),IFERROR(INDEX('CALENDARIO'!$C$15:$C$214,MATCH(TEXT($J684,"yyyy-mm-dd")&amp;"|"&amp;$Y684&amp;"|",'CALENDARIO'!$G$15:$G$214,0)),IFERROR(INDEX('CALENDARIO'!$C$15:$C$214,MATCH(TEXT($J684,"yyyy-mm-dd")&amp;"||",'CALENDARIO'!$G$15:$G$214,0)),INDEX(patronHabil,WEEKDAY($J684,2))))))</f>
        <v/>
      </c>
      <c r="U684" s="24">
        <f>IF($I684="","",IFERROR(INDEX('CAT_TIPOS_OT'!$C$4:$C$23,MATCH($I684,'CAT_TIPOS_OT'!$A$4:$A$23,0)),"sin_clasificar"))</f>
        <v/>
      </c>
      <c r="V684" s="24">
        <f>IF($I684="","",IF(IFERROR(INDEX('CAT_TIPOS_OT'!$D$4:$D$23,MATCH($I684,'CAT_TIPOS_OT'!$A$4:$A$23,0)),"SIN CLASIFICAR")="","SIN CLASIFICAR",IFERROR(INDEX('CAT_TIPOS_OT'!$D$4:$D$23,MATCH($I684,'CAT_TIPOS_OT'!$A$4:$A$23,0)),"SIN CLASIFICAR")))</f>
        <v/>
      </c>
      <c r="W684" s="24">
        <f>IF($H684="","",IF(IFERROR(INDEX('CAT_ACTIVIDADES'!$F$4:$F$26,MATCH($H684,'CAT_ACTIVIDADES'!$A$4:$A$26,0)),"")=0,"",IFERROR(INDEX('CAT_ACTIVIDADES'!$F$4:$F$26,MATCH($H684,'CAT_ACTIVIDADES'!$A$4:$A$26,0)),"")))</f>
        <v/>
      </c>
      <c r="X684" s="24">
        <f>IF($F684="","",IFERROR(INDEX('CAT_CENTROS_COSTO'!$F$4:$F$28,MATCH($F684,'CAT_CENTROS_COSTO'!$A$4:$A$28,0)),"(sin catálogo)"))</f>
        <v/>
      </c>
      <c r="Y684" s="24">
        <f>IF($F684="","",IFERROR(INDEX('CAT_CENTROS_COSTO'!$D$4:$D$28,MATCH($F684,'CAT_CENTROS_COSTO'!$A$4:$A$28,0)),"(sin catálogo)"))</f>
        <v/>
      </c>
      <c r="Z684" s="24">
        <f>IF($F684="","",IF((IFERROR(INDEX('CAT_CENTROS_COSTO'!$E$4:$E$28,MATCH($F684,'CAT_CENTROS_COSTO'!$A$4:$A$28,0)),""))&lt;&gt;"",IFERROR(INDEX('CAT_CENTROS_COSTO'!$E$4:$E$28,MATCH($F684,'CAT_CENTROS_COSTO'!$A$4:$A$28,0)),""),$Y684))</f>
        <v/>
      </c>
      <c r="AA684" s="24">
        <f>IF($F684="","",IFERROR(INDEX('CAT_CENTROS_COSTO'!$G$4:$G$28,MATCH($F684,'CAT_CENTROS_COSTO'!$A$4:$A$28,0)),"(sin catálogo)"))</f>
        <v/>
      </c>
      <c r="AB684" s="24">
        <f>IF($G684="","",IFERROR(INDEX('CAT_PUESTOS'!$B$4:$B$23,MATCH($G684,'CAT_PUESTOS'!$A$4:$A$23,0)),"(sin catálogo)"))</f>
        <v/>
      </c>
      <c r="AC684" s="24">
        <f>IF($H684="","",IFERROR(INDEX('CAT_ACTIVIDADES'!$B$4:$B$26,MATCH($H684,'CAT_ACTIVIDADES'!$A$4:$A$26,0)),"(sin catálogo)"))</f>
        <v/>
      </c>
      <c r="AD684" s="26">
        <f>IF($J684="","",TODAY()-$J684)</f>
        <v/>
      </c>
      <c r="AE684" s="26">
        <f>IF($J684="","",IF($J684&lt;=TODAY(),COUNTIFS(cal_fechas,"&gt;="&amp;$J684,cal_fechas,"&lt;"&amp;TODAY(),cal_habil,"sí"),-COUNTIFS(cal_fechas,"&gt;="&amp;TODAY(),cal_fechas,"&lt;"&amp;$J684,cal_habil,"sí")))</f>
        <v/>
      </c>
      <c r="AF684" s="24">
        <f>IF($AE684="","",IF($AE684&lt;0,"FUTURO",IF($AE684&gt;p_dias_backlog_max,"BACKLOG","MES CORRIENTE")))</f>
        <v/>
      </c>
      <c r="AG684" s="24">
        <f>IF($AE684="",FALSE,AND($AE684&gt;p_dias_backlog_min,$AE684&lt;=p_dias_backlog_max))</f>
        <v/>
      </c>
      <c r="AH684" s="4" t="n"/>
      <c r="AI684" s="24">
        <f>IF($AH684="","",IF((IFERROR(INDEX('ASIGNACIONES'!$J$4:$J$451,MATCH($O684&amp;"|"&amp;$S684&amp;"|"&amp;$AH684,'ASIGNACIONES'!$N$4:$N$451,0)),""))=0,"",IFERROR(INDEX('ASIGNACIONES'!$J$4:$J$451,MATCH($O684&amp;"|"&amp;$S684&amp;"|"&amp;$AH684,'ASIGNACIONES'!$N$4:$N$451,0)),"")))</f>
        <v/>
      </c>
      <c r="AJ684" s="42">
        <f>IF($AH684="","",SUMIFS('ORDENES'!$M$4:$M$1203,'ORDENES'!$AH$4:$AH$1203,$AH684,'ORDENES'!$O$4:$O$1203,$O684,'ORDENES'!$S$4:$S$1203,$S684))</f>
        <v/>
      </c>
      <c r="AK684" s="42">
        <f>IF($AJ684="","",p_factor_productividad*IFERROR(INDEX('ASIGNACIONES'!$M$4:$M$451,MATCH($O684&amp;"|"&amp;$S684&amp;"|"&amp;$AH684,'ASIGNACIONES'!$N$4:$N$451,0)),0)-$AJ684)</f>
        <v/>
      </c>
      <c r="AL684" s="32">
        <f>IF($A684="","",IFERROR(INDEX('2_IMPORTAR_EJECUCION'!$F$9:$F$1208,MATCH($AU684,'2_IMPORTAR_EJECUCION'!$J$9:$J$1208,0)),0))</f>
        <v/>
      </c>
      <c r="AM684" s="32">
        <f>IF($A684="","",MAX(0,IFERROR(INDEX('2_IMPORTAR_EJECUCION'!$H$9:$H$1208,MATCH($AU684,'2_IMPORTAR_EJECUCION'!$J$9:$J$1208,0)),0)-$AL684))</f>
        <v/>
      </c>
      <c r="AN684" s="32">
        <f>IF($A684="","",$AL684+$AM684)</f>
        <v/>
      </c>
      <c r="AO684" s="24">
        <f>IF($A684="","",IF(OR((IFERROR(INDEX('CAT_ACTIVIDADES'!$D$4:$D$26,MATCH($H684,'CAT_ACTIVIDADES'!$A$4:$A$26,0)),""))=0,(IFERROR(INDEX('CAT_ACTIVIDADES'!$D$4:$D$26,MATCH($H684,'CAT_ACTIVIDADES'!$A$4:$A$26,0)),""))=""),"SIN CLASIFICAR",IFERROR(INDEX('CAT_ACTIVIDADES'!$D$4:$D$26,MATCH($H684,'CAT_ACTIVIDADES'!$A$4:$A$26,0)),"")))</f>
        <v/>
      </c>
      <c r="AP684" s="4" t="n"/>
      <c r="AQ684" s="4" t="n"/>
      <c r="AR684" s="4" t="n"/>
      <c r="AS684" s="24">
        <f>IF($AR684="","",HYPERLINK(p_ruta_base_checklists&amp;$AR684,"abrir"))</f>
        <v/>
      </c>
      <c r="AT684" s="4" t="n"/>
      <c r="AU684" s="24">
        <f>IF($A684="","",$A684&amp;IF($B684="","0010",$B684))</f>
        <v/>
      </c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41" t="n"/>
      <c r="K685" s="5" t="n"/>
      <c r="L685" s="18" t="n"/>
      <c r="M685" s="24">
        <f>IF($A685="","",IFERROR(INDEX('AJUSTES'!$B$4:$B$303,MATCH($AU685,'AJUSTES'!$A$4:$A$303,0)),IF($K685="","",$K685)))</f>
        <v/>
      </c>
      <c r="N685" s="24">
        <f>IF($A685="","",IFERROR(INDEX('CAT_ESTADOS_ERP'!$B$4:$B$22,MATCH(IFERROR(INDEX('2_IMPORTAR_EJECUCION'!$C$9:$C$1208,MATCH($AU685,'2_IMPORTAR_EJECUCION'!$J$9:$J$1208,0)),""),'CAT_ESTADOS_ERP'!$A$4:$A$22,0)),"Pendiente"))</f>
        <v/>
      </c>
      <c r="O685" s="24">
        <f>IF($J685="","",YEAR($J685+4-WEEKDAY($J685,2))&amp;"-S"&amp;TEXT(_xlfn.ISOWEEKNUM($J685),"00"))</f>
        <v/>
      </c>
      <c r="P685" s="24">
        <f>IF($J685="","",YEAR($J685))</f>
        <v/>
      </c>
      <c r="Q685" s="24">
        <f>IF($J685="","",MONTH($J685))</f>
        <v/>
      </c>
      <c r="R685" s="24">
        <f>IF($J685="","",$P685&amp;"-"&amp;TEXT($Q685,"00"))</f>
        <v/>
      </c>
      <c r="S685" s="24">
        <f>IF($J685="","",INDEX(lista_dias,WEEKDAY($J685,2)))</f>
        <v/>
      </c>
      <c r="T685" s="24">
        <f>IF($J685="","",IFERROR(INDEX('CALENDARIO'!$C$15:$C$214,MATCH(TEXT($J685,"yyyy-mm-dd")&amp;"|"&amp;$Y685&amp;"|"&amp;$Z685,'CALENDARIO'!$G$15:$G$214,0)),IFERROR(INDEX('CALENDARIO'!$C$15:$C$214,MATCH(TEXT($J685,"yyyy-mm-dd")&amp;"|"&amp;$Y685&amp;"|",'CALENDARIO'!$G$15:$G$214,0)),IFERROR(INDEX('CALENDARIO'!$C$15:$C$214,MATCH(TEXT($J685,"yyyy-mm-dd")&amp;"||",'CALENDARIO'!$G$15:$G$214,0)),INDEX(patronHabil,WEEKDAY($J685,2))))))</f>
        <v/>
      </c>
      <c r="U685" s="24">
        <f>IF($I685="","",IFERROR(INDEX('CAT_TIPOS_OT'!$C$4:$C$23,MATCH($I685,'CAT_TIPOS_OT'!$A$4:$A$23,0)),"sin_clasificar"))</f>
        <v/>
      </c>
      <c r="V685" s="24">
        <f>IF($I685="","",IF(IFERROR(INDEX('CAT_TIPOS_OT'!$D$4:$D$23,MATCH($I685,'CAT_TIPOS_OT'!$A$4:$A$23,0)),"SIN CLASIFICAR")="","SIN CLASIFICAR",IFERROR(INDEX('CAT_TIPOS_OT'!$D$4:$D$23,MATCH($I685,'CAT_TIPOS_OT'!$A$4:$A$23,0)),"SIN CLASIFICAR")))</f>
        <v/>
      </c>
      <c r="W685" s="24">
        <f>IF($H685="","",IF(IFERROR(INDEX('CAT_ACTIVIDADES'!$F$4:$F$26,MATCH($H685,'CAT_ACTIVIDADES'!$A$4:$A$26,0)),"")=0,"",IFERROR(INDEX('CAT_ACTIVIDADES'!$F$4:$F$26,MATCH($H685,'CAT_ACTIVIDADES'!$A$4:$A$26,0)),"")))</f>
        <v/>
      </c>
      <c r="X685" s="24">
        <f>IF($F685="","",IFERROR(INDEX('CAT_CENTROS_COSTO'!$F$4:$F$28,MATCH($F685,'CAT_CENTROS_COSTO'!$A$4:$A$28,0)),"(sin catálogo)"))</f>
        <v/>
      </c>
      <c r="Y685" s="24">
        <f>IF($F685="","",IFERROR(INDEX('CAT_CENTROS_COSTO'!$D$4:$D$28,MATCH($F685,'CAT_CENTROS_COSTO'!$A$4:$A$28,0)),"(sin catálogo)"))</f>
        <v/>
      </c>
      <c r="Z685" s="24">
        <f>IF($F685="","",IF((IFERROR(INDEX('CAT_CENTROS_COSTO'!$E$4:$E$28,MATCH($F685,'CAT_CENTROS_COSTO'!$A$4:$A$28,0)),""))&lt;&gt;"",IFERROR(INDEX('CAT_CENTROS_COSTO'!$E$4:$E$28,MATCH($F685,'CAT_CENTROS_COSTO'!$A$4:$A$28,0)),""),$Y685))</f>
        <v/>
      </c>
      <c r="AA685" s="24">
        <f>IF($F685="","",IFERROR(INDEX('CAT_CENTROS_COSTO'!$G$4:$G$28,MATCH($F685,'CAT_CENTROS_COSTO'!$A$4:$A$28,0)),"(sin catálogo)"))</f>
        <v/>
      </c>
      <c r="AB685" s="24">
        <f>IF($G685="","",IFERROR(INDEX('CAT_PUESTOS'!$B$4:$B$23,MATCH($G685,'CAT_PUESTOS'!$A$4:$A$23,0)),"(sin catálogo)"))</f>
        <v/>
      </c>
      <c r="AC685" s="24">
        <f>IF($H685="","",IFERROR(INDEX('CAT_ACTIVIDADES'!$B$4:$B$26,MATCH($H685,'CAT_ACTIVIDADES'!$A$4:$A$26,0)),"(sin catálogo)"))</f>
        <v/>
      </c>
      <c r="AD685" s="26">
        <f>IF($J685="","",TODAY()-$J685)</f>
        <v/>
      </c>
      <c r="AE685" s="26">
        <f>IF($J685="","",IF($J685&lt;=TODAY(),COUNTIFS(cal_fechas,"&gt;="&amp;$J685,cal_fechas,"&lt;"&amp;TODAY(),cal_habil,"sí"),-COUNTIFS(cal_fechas,"&gt;="&amp;TODAY(),cal_fechas,"&lt;"&amp;$J685,cal_habil,"sí")))</f>
        <v/>
      </c>
      <c r="AF685" s="24">
        <f>IF($AE685="","",IF($AE685&lt;0,"FUTURO",IF($AE685&gt;p_dias_backlog_max,"BACKLOG","MES CORRIENTE")))</f>
        <v/>
      </c>
      <c r="AG685" s="24">
        <f>IF($AE685="",FALSE,AND($AE685&gt;p_dias_backlog_min,$AE685&lt;=p_dias_backlog_max))</f>
        <v/>
      </c>
      <c r="AH685" s="4" t="n"/>
      <c r="AI685" s="24">
        <f>IF($AH685="","",IF((IFERROR(INDEX('ASIGNACIONES'!$J$4:$J$451,MATCH($O685&amp;"|"&amp;$S685&amp;"|"&amp;$AH685,'ASIGNACIONES'!$N$4:$N$451,0)),""))=0,"",IFERROR(INDEX('ASIGNACIONES'!$J$4:$J$451,MATCH($O685&amp;"|"&amp;$S685&amp;"|"&amp;$AH685,'ASIGNACIONES'!$N$4:$N$451,0)),"")))</f>
        <v/>
      </c>
      <c r="AJ685" s="42">
        <f>IF($AH685="","",SUMIFS('ORDENES'!$M$4:$M$1203,'ORDENES'!$AH$4:$AH$1203,$AH685,'ORDENES'!$O$4:$O$1203,$O685,'ORDENES'!$S$4:$S$1203,$S685))</f>
        <v/>
      </c>
      <c r="AK685" s="42">
        <f>IF($AJ685="","",p_factor_productividad*IFERROR(INDEX('ASIGNACIONES'!$M$4:$M$451,MATCH($O685&amp;"|"&amp;$S685&amp;"|"&amp;$AH685,'ASIGNACIONES'!$N$4:$N$451,0)),0)-$AJ685)</f>
        <v/>
      </c>
      <c r="AL685" s="32">
        <f>IF($A685="","",IFERROR(INDEX('2_IMPORTAR_EJECUCION'!$F$9:$F$1208,MATCH($AU685,'2_IMPORTAR_EJECUCION'!$J$9:$J$1208,0)),0))</f>
        <v/>
      </c>
      <c r="AM685" s="32">
        <f>IF($A685="","",MAX(0,IFERROR(INDEX('2_IMPORTAR_EJECUCION'!$H$9:$H$1208,MATCH($AU685,'2_IMPORTAR_EJECUCION'!$J$9:$J$1208,0)),0)-$AL685))</f>
        <v/>
      </c>
      <c r="AN685" s="32">
        <f>IF($A685="","",$AL685+$AM685)</f>
        <v/>
      </c>
      <c r="AO685" s="24">
        <f>IF($A685="","",IF(OR((IFERROR(INDEX('CAT_ACTIVIDADES'!$D$4:$D$26,MATCH($H685,'CAT_ACTIVIDADES'!$A$4:$A$26,0)),""))=0,(IFERROR(INDEX('CAT_ACTIVIDADES'!$D$4:$D$26,MATCH($H685,'CAT_ACTIVIDADES'!$A$4:$A$26,0)),""))=""),"SIN CLASIFICAR",IFERROR(INDEX('CAT_ACTIVIDADES'!$D$4:$D$26,MATCH($H685,'CAT_ACTIVIDADES'!$A$4:$A$26,0)),"")))</f>
        <v/>
      </c>
      <c r="AP685" s="4" t="n"/>
      <c r="AQ685" s="4" t="n"/>
      <c r="AR685" s="4" t="n"/>
      <c r="AS685" s="24">
        <f>IF($AR685="","",HYPERLINK(p_ruta_base_checklists&amp;$AR685,"abrir"))</f>
        <v/>
      </c>
      <c r="AT685" s="4" t="n"/>
      <c r="AU685" s="24">
        <f>IF($A685="","",$A685&amp;IF($B685="","0010",$B685))</f>
        <v/>
      </c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41" t="n"/>
      <c r="K686" s="5" t="n"/>
      <c r="L686" s="18" t="n"/>
      <c r="M686" s="24">
        <f>IF($A686="","",IFERROR(INDEX('AJUSTES'!$B$4:$B$303,MATCH($AU686,'AJUSTES'!$A$4:$A$303,0)),IF($K686="","",$K686)))</f>
        <v/>
      </c>
      <c r="N686" s="24">
        <f>IF($A686="","",IFERROR(INDEX('CAT_ESTADOS_ERP'!$B$4:$B$22,MATCH(IFERROR(INDEX('2_IMPORTAR_EJECUCION'!$C$9:$C$1208,MATCH($AU686,'2_IMPORTAR_EJECUCION'!$J$9:$J$1208,0)),""),'CAT_ESTADOS_ERP'!$A$4:$A$22,0)),"Pendiente"))</f>
        <v/>
      </c>
      <c r="O686" s="24">
        <f>IF($J686="","",YEAR($J686+4-WEEKDAY($J686,2))&amp;"-S"&amp;TEXT(_xlfn.ISOWEEKNUM($J686),"00"))</f>
        <v/>
      </c>
      <c r="P686" s="24">
        <f>IF($J686="","",YEAR($J686))</f>
        <v/>
      </c>
      <c r="Q686" s="24">
        <f>IF($J686="","",MONTH($J686))</f>
        <v/>
      </c>
      <c r="R686" s="24">
        <f>IF($J686="","",$P686&amp;"-"&amp;TEXT($Q686,"00"))</f>
        <v/>
      </c>
      <c r="S686" s="24">
        <f>IF($J686="","",INDEX(lista_dias,WEEKDAY($J686,2)))</f>
        <v/>
      </c>
      <c r="T686" s="24">
        <f>IF($J686="","",IFERROR(INDEX('CALENDARIO'!$C$15:$C$214,MATCH(TEXT($J686,"yyyy-mm-dd")&amp;"|"&amp;$Y686&amp;"|"&amp;$Z686,'CALENDARIO'!$G$15:$G$214,0)),IFERROR(INDEX('CALENDARIO'!$C$15:$C$214,MATCH(TEXT($J686,"yyyy-mm-dd")&amp;"|"&amp;$Y686&amp;"|",'CALENDARIO'!$G$15:$G$214,0)),IFERROR(INDEX('CALENDARIO'!$C$15:$C$214,MATCH(TEXT($J686,"yyyy-mm-dd")&amp;"||",'CALENDARIO'!$G$15:$G$214,0)),INDEX(patronHabil,WEEKDAY($J686,2))))))</f>
        <v/>
      </c>
      <c r="U686" s="24">
        <f>IF($I686="","",IFERROR(INDEX('CAT_TIPOS_OT'!$C$4:$C$23,MATCH($I686,'CAT_TIPOS_OT'!$A$4:$A$23,0)),"sin_clasificar"))</f>
        <v/>
      </c>
      <c r="V686" s="24">
        <f>IF($I686="","",IF(IFERROR(INDEX('CAT_TIPOS_OT'!$D$4:$D$23,MATCH($I686,'CAT_TIPOS_OT'!$A$4:$A$23,0)),"SIN CLASIFICAR")="","SIN CLASIFICAR",IFERROR(INDEX('CAT_TIPOS_OT'!$D$4:$D$23,MATCH($I686,'CAT_TIPOS_OT'!$A$4:$A$23,0)),"SIN CLASIFICAR")))</f>
        <v/>
      </c>
      <c r="W686" s="24">
        <f>IF($H686="","",IF(IFERROR(INDEX('CAT_ACTIVIDADES'!$F$4:$F$26,MATCH($H686,'CAT_ACTIVIDADES'!$A$4:$A$26,0)),"")=0,"",IFERROR(INDEX('CAT_ACTIVIDADES'!$F$4:$F$26,MATCH($H686,'CAT_ACTIVIDADES'!$A$4:$A$26,0)),"")))</f>
        <v/>
      </c>
      <c r="X686" s="24">
        <f>IF($F686="","",IFERROR(INDEX('CAT_CENTROS_COSTO'!$F$4:$F$28,MATCH($F686,'CAT_CENTROS_COSTO'!$A$4:$A$28,0)),"(sin catálogo)"))</f>
        <v/>
      </c>
      <c r="Y686" s="24">
        <f>IF($F686="","",IFERROR(INDEX('CAT_CENTROS_COSTO'!$D$4:$D$28,MATCH($F686,'CAT_CENTROS_COSTO'!$A$4:$A$28,0)),"(sin catálogo)"))</f>
        <v/>
      </c>
      <c r="Z686" s="24">
        <f>IF($F686="","",IF((IFERROR(INDEX('CAT_CENTROS_COSTO'!$E$4:$E$28,MATCH($F686,'CAT_CENTROS_COSTO'!$A$4:$A$28,0)),""))&lt;&gt;"",IFERROR(INDEX('CAT_CENTROS_COSTO'!$E$4:$E$28,MATCH($F686,'CAT_CENTROS_COSTO'!$A$4:$A$28,0)),""),$Y686))</f>
        <v/>
      </c>
      <c r="AA686" s="24">
        <f>IF($F686="","",IFERROR(INDEX('CAT_CENTROS_COSTO'!$G$4:$G$28,MATCH($F686,'CAT_CENTROS_COSTO'!$A$4:$A$28,0)),"(sin catálogo)"))</f>
        <v/>
      </c>
      <c r="AB686" s="24">
        <f>IF($G686="","",IFERROR(INDEX('CAT_PUESTOS'!$B$4:$B$23,MATCH($G686,'CAT_PUESTOS'!$A$4:$A$23,0)),"(sin catálogo)"))</f>
        <v/>
      </c>
      <c r="AC686" s="24">
        <f>IF($H686="","",IFERROR(INDEX('CAT_ACTIVIDADES'!$B$4:$B$26,MATCH($H686,'CAT_ACTIVIDADES'!$A$4:$A$26,0)),"(sin catálogo)"))</f>
        <v/>
      </c>
      <c r="AD686" s="26">
        <f>IF($J686="","",TODAY()-$J686)</f>
        <v/>
      </c>
      <c r="AE686" s="26">
        <f>IF($J686="","",IF($J686&lt;=TODAY(),COUNTIFS(cal_fechas,"&gt;="&amp;$J686,cal_fechas,"&lt;"&amp;TODAY(),cal_habil,"sí"),-COUNTIFS(cal_fechas,"&gt;="&amp;TODAY(),cal_fechas,"&lt;"&amp;$J686,cal_habil,"sí")))</f>
        <v/>
      </c>
      <c r="AF686" s="24">
        <f>IF($AE686="","",IF($AE686&lt;0,"FUTURO",IF($AE686&gt;p_dias_backlog_max,"BACKLOG","MES CORRIENTE")))</f>
        <v/>
      </c>
      <c r="AG686" s="24">
        <f>IF($AE686="",FALSE,AND($AE686&gt;p_dias_backlog_min,$AE686&lt;=p_dias_backlog_max))</f>
        <v/>
      </c>
      <c r="AH686" s="4" t="n"/>
      <c r="AI686" s="24">
        <f>IF($AH686="","",IF((IFERROR(INDEX('ASIGNACIONES'!$J$4:$J$451,MATCH($O686&amp;"|"&amp;$S686&amp;"|"&amp;$AH686,'ASIGNACIONES'!$N$4:$N$451,0)),""))=0,"",IFERROR(INDEX('ASIGNACIONES'!$J$4:$J$451,MATCH($O686&amp;"|"&amp;$S686&amp;"|"&amp;$AH686,'ASIGNACIONES'!$N$4:$N$451,0)),"")))</f>
        <v/>
      </c>
      <c r="AJ686" s="42">
        <f>IF($AH686="","",SUMIFS('ORDENES'!$M$4:$M$1203,'ORDENES'!$AH$4:$AH$1203,$AH686,'ORDENES'!$O$4:$O$1203,$O686,'ORDENES'!$S$4:$S$1203,$S686))</f>
        <v/>
      </c>
      <c r="AK686" s="42">
        <f>IF($AJ686="","",p_factor_productividad*IFERROR(INDEX('ASIGNACIONES'!$M$4:$M$451,MATCH($O686&amp;"|"&amp;$S686&amp;"|"&amp;$AH686,'ASIGNACIONES'!$N$4:$N$451,0)),0)-$AJ686)</f>
        <v/>
      </c>
      <c r="AL686" s="32">
        <f>IF($A686="","",IFERROR(INDEX('2_IMPORTAR_EJECUCION'!$F$9:$F$1208,MATCH($AU686,'2_IMPORTAR_EJECUCION'!$J$9:$J$1208,0)),0))</f>
        <v/>
      </c>
      <c r="AM686" s="32">
        <f>IF($A686="","",MAX(0,IFERROR(INDEX('2_IMPORTAR_EJECUCION'!$H$9:$H$1208,MATCH($AU686,'2_IMPORTAR_EJECUCION'!$J$9:$J$1208,0)),0)-$AL686))</f>
        <v/>
      </c>
      <c r="AN686" s="32">
        <f>IF($A686="","",$AL686+$AM686)</f>
        <v/>
      </c>
      <c r="AO686" s="24">
        <f>IF($A686="","",IF(OR((IFERROR(INDEX('CAT_ACTIVIDADES'!$D$4:$D$26,MATCH($H686,'CAT_ACTIVIDADES'!$A$4:$A$26,0)),""))=0,(IFERROR(INDEX('CAT_ACTIVIDADES'!$D$4:$D$26,MATCH($H686,'CAT_ACTIVIDADES'!$A$4:$A$26,0)),""))=""),"SIN CLASIFICAR",IFERROR(INDEX('CAT_ACTIVIDADES'!$D$4:$D$26,MATCH($H686,'CAT_ACTIVIDADES'!$A$4:$A$26,0)),"")))</f>
        <v/>
      </c>
      <c r="AP686" s="4" t="n"/>
      <c r="AQ686" s="4" t="n"/>
      <c r="AR686" s="4" t="n"/>
      <c r="AS686" s="24">
        <f>IF($AR686="","",HYPERLINK(p_ruta_base_checklists&amp;$AR686,"abrir"))</f>
        <v/>
      </c>
      <c r="AT686" s="4" t="n"/>
      <c r="AU686" s="24">
        <f>IF($A686="","",$A686&amp;IF($B686="","0010",$B686))</f>
        <v/>
      </c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41" t="n"/>
      <c r="K687" s="5" t="n"/>
      <c r="L687" s="18" t="n"/>
      <c r="M687" s="24">
        <f>IF($A687="","",IFERROR(INDEX('AJUSTES'!$B$4:$B$303,MATCH($AU687,'AJUSTES'!$A$4:$A$303,0)),IF($K687="","",$K687)))</f>
        <v/>
      </c>
      <c r="N687" s="24">
        <f>IF($A687="","",IFERROR(INDEX('CAT_ESTADOS_ERP'!$B$4:$B$22,MATCH(IFERROR(INDEX('2_IMPORTAR_EJECUCION'!$C$9:$C$1208,MATCH($AU687,'2_IMPORTAR_EJECUCION'!$J$9:$J$1208,0)),""),'CAT_ESTADOS_ERP'!$A$4:$A$22,0)),"Pendiente"))</f>
        <v/>
      </c>
      <c r="O687" s="24">
        <f>IF($J687="","",YEAR($J687+4-WEEKDAY($J687,2))&amp;"-S"&amp;TEXT(_xlfn.ISOWEEKNUM($J687),"00"))</f>
        <v/>
      </c>
      <c r="P687" s="24">
        <f>IF($J687="","",YEAR($J687))</f>
        <v/>
      </c>
      <c r="Q687" s="24">
        <f>IF($J687="","",MONTH($J687))</f>
        <v/>
      </c>
      <c r="R687" s="24">
        <f>IF($J687="","",$P687&amp;"-"&amp;TEXT($Q687,"00"))</f>
        <v/>
      </c>
      <c r="S687" s="24">
        <f>IF($J687="","",INDEX(lista_dias,WEEKDAY($J687,2)))</f>
        <v/>
      </c>
      <c r="T687" s="24">
        <f>IF($J687="","",IFERROR(INDEX('CALENDARIO'!$C$15:$C$214,MATCH(TEXT($J687,"yyyy-mm-dd")&amp;"|"&amp;$Y687&amp;"|"&amp;$Z687,'CALENDARIO'!$G$15:$G$214,0)),IFERROR(INDEX('CALENDARIO'!$C$15:$C$214,MATCH(TEXT($J687,"yyyy-mm-dd")&amp;"|"&amp;$Y687&amp;"|",'CALENDARIO'!$G$15:$G$214,0)),IFERROR(INDEX('CALENDARIO'!$C$15:$C$214,MATCH(TEXT($J687,"yyyy-mm-dd")&amp;"||",'CALENDARIO'!$G$15:$G$214,0)),INDEX(patronHabil,WEEKDAY($J687,2))))))</f>
        <v/>
      </c>
      <c r="U687" s="24">
        <f>IF($I687="","",IFERROR(INDEX('CAT_TIPOS_OT'!$C$4:$C$23,MATCH($I687,'CAT_TIPOS_OT'!$A$4:$A$23,0)),"sin_clasificar"))</f>
        <v/>
      </c>
      <c r="V687" s="24">
        <f>IF($I687="","",IF(IFERROR(INDEX('CAT_TIPOS_OT'!$D$4:$D$23,MATCH($I687,'CAT_TIPOS_OT'!$A$4:$A$23,0)),"SIN CLASIFICAR")="","SIN CLASIFICAR",IFERROR(INDEX('CAT_TIPOS_OT'!$D$4:$D$23,MATCH($I687,'CAT_TIPOS_OT'!$A$4:$A$23,0)),"SIN CLASIFICAR")))</f>
        <v/>
      </c>
      <c r="W687" s="24">
        <f>IF($H687="","",IF(IFERROR(INDEX('CAT_ACTIVIDADES'!$F$4:$F$26,MATCH($H687,'CAT_ACTIVIDADES'!$A$4:$A$26,0)),"")=0,"",IFERROR(INDEX('CAT_ACTIVIDADES'!$F$4:$F$26,MATCH($H687,'CAT_ACTIVIDADES'!$A$4:$A$26,0)),"")))</f>
        <v/>
      </c>
      <c r="X687" s="24">
        <f>IF($F687="","",IFERROR(INDEX('CAT_CENTROS_COSTO'!$F$4:$F$28,MATCH($F687,'CAT_CENTROS_COSTO'!$A$4:$A$28,0)),"(sin catálogo)"))</f>
        <v/>
      </c>
      <c r="Y687" s="24">
        <f>IF($F687="","",IFERROR(INDEX('CAT_CENTROS_COSTO'!$D$4:$D$28,MATCH($F687,'CAT_CENTROS_COSTO'!$A$4:$A$28,0)),"(sin catálogo)"))</f>
        <v/>
      </c>
      <c r="Z687" s="24">
        <f>IF($F687="","",IF((IFERROR(INDEX('CAT_CENTROS_COSTO'!$E$4:$E$28,MATCH($F687,'CAT_CENTROS_COSTO'!$A$4:$A$28,0)),""))&lt;&gt;"",IFERROR(INDEX('CAT_CENTROS_COSTO'!$E$4:$E$28,MATCH($F687,'CAT_CENTROS_COSTO'!$A$4:$A$28,0)),""),$Y687))</f>
        <v/>
      </c>
      <c r="AA687" s="24">
        <f>IF($F687="","",IFERROR(INDEX('CAT_CENTROS_COSTO'!$G$4:$G$28,MATCH($F687,'CAT_CENTROS_COSTO'!$A$4:$A$28,0)),"(sin catálogo)"))</f>
        <v/>
      </c>
      <c r="AB687" s="24">
        <f>IF($G687="","",IFERROR(INDEX('CAT_PUESTOS'!$B$4:$B$23,MATCH($G687,'CAT_PUESTOS'!$A$4:$A$23,0)),"(sin catálogo)"))</f>
        <v/>
      </c>
      <c r="AC687" s="24">
        <f>IF($H687="","",IFERROR(INDEX('CAT_ACTIVIDADES'!$B$4:$B$26,MATCH($H687,'CAT_ACTIVIDADES'!$A$4:$A$26,0)),"(sin catálogo)"))</f>
        <v/>
      </c>
      <c r="AD687" s="26">
        <f>IF($J687="","",TODAY()-$J687)</f>
        <v/>
      </c>
      <c r="AE687" s="26">
        <f>IF($J687="","",IF($J687&lt;=TODAY(),COUNTIFS(cal_fechas,"&gt;="&amp;$J687,cal_fechas,"&lt;"&amp;TODAY(),cal_habil,"sí"),-COUNTIFS(cal_fechas,"&gt;="&amp;TODAY(),cal_fechas,"&lt;"&amp;$J687,cal_habil,"sí")))</f>
        <v/>
      </c>
      <c r="AF687" s="24">
        <f>IF($AE687="","",IF($AE687&lt;0,"FUTURO",IF($AE687&gt;p_dias_backlog_max,"BACKLOG","MES CORRIENTE")))</f>
        <v/>
      </c>
      <c r="AG687" s="24">
        <f>IF($AE687="",FALSE,AND($AE687&gt;p_dias_backlog_min,$AE687&lt;=p_dias_backlog_max))</f>
        <v/>
      </c>
      <c r="AH687" s="4" t="n"/>
      <c r="AI687" s="24">
        <f>IF($AH687="","",IF((IFERROR(INDEX('ASIGNACIONES'!$J$4:$J$451,MATCH($O687&amp;"|"&amp;$S687&amp;"|"&amp;$AH687,'ASIGNACIONES'!$N$4:$N$451,0)),""))=0,"",IFERROR(INDEX('ASIGNACIONES'!$J$4:$J$451,MATCH($O687&amp;"|"&amp;$S687&amp;"|"&amp;$AH687,'ASIGNACIONES'!$N$4:$N$451,0)),"")))</f>
        <v/>
      </c>
      <c r="AJ687" s="42">
        <f>IF($AH687="","",SUMIFS('ORDENES'!$M$4:$M$1203,'ORDENES'!$AH$4:$AH$1203,$AH687,'ORDENES'!$O$4:$O$1203,$O687,'ORDENES'!$S$4:$S$1203,$S687))</f>
        <v/>
      </c>
      <c r="AK687" s="42">
        <f>IF($AJ687="","",p_factor_productividad*IFERROR(INDEX('ASIGNACIONES'!$M$4:$M$451,MATCH($O687&amp;"|"&amp;$S687&amp;"|"&amp;$AH687,'ASIGNACIONES'!$N$4:$N$451,0)),0)-$AJ687)</f>
        <v/>
      </c>
      <c r="AL687" s="32">
        <f>IF($A687="","",IFERROR(INDEX('2_IMPORTAR_EJECUCION'!$F$9:$F$1208,MATCH($AU687,'2_IMPORTAR_EJECUCION'!$J$9:$J$1208,0)),0))</f>
        <v/>
      </c>
      <c r="AM687" s="32">
        <f>IF($A687="","",MAX(0,IFERROR(INDEX('2_IMPORTAR_EJECUCION'!$H$9:$H$1208,MATCH($AU687,'2_IMPORTAR_EJECUCION'!$J$9:$J$1208,0)),0)-$AL687))</f>
        <v/>
      </c>
      <c r="AN687" s="32">
        <f>IF($A687="","",$AL687+$AM687)</f>
        <v/>
      </c>
      <c r="AO687" s="24">
        <f>IF($A687="","",IF(OR((IFERROR(INDEX('CAT_ACTIVIDADES'!$D$4:$D$26,MATCH($H687,'CAT_ACTIVIDADES'!$A$4:$A$26,0)),""))=0,(IFERROR(INDEX('CAT_ACTIVIDADES'!$D$4:$D$26,MATCH($H687,'CAT_ACTIVIDADES'!$A$4:$A$26,0)),""))=""),"SIN CLASIFICAR",IFERROR(INDEX('CAT_ACTIVIDADES'!$D$4:$D$26,MATCH($H687,'CAT_ACTIVIDADES'!$A$4:$A$26,0)),"")))</f>
        <v/>
      </c>
      <c r="AP687" s="4" t="n"/>
      <c r="AQ687" s="4" t="n"/>
      <c r="AR687" s="4" t="n"/>
      <c r="AS687" s="24">
        <f>IF($AR687="","",HYPERLINK(p_ruta_base_checklists&amp;$AR687,"abrir"))</f>
        <v/>
      </c>
      <c r="AT687" s="4" t="n"/>
      <c r="AU687" s="24">
        <f>IF($A687="","",$A687&amp;IF($B687="","0010",$B687))</f>
        <v/>
      </c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41" t="n"/>
      <c r="K688" s="5" t="n"/>
      <c r="L688" s="18" t="n"/>
      <c r="M688" s="24">
        <f>IF($A688="","",IFERROR(INDEX('AJUSTES'!$B$4:$B$303,MATCH($AU688,'AJUSTES'!$A$4:$A$303,0)),IF($K688="","",$K688)))</f>
        <v/>
      </c>
      <c r="N688" s="24">
        <f>IF($A688="","",IFERROR(INDEX('CAT_ESTADOS_ERP'!$B$4:$B$22,MATCH(IFERROR(INDEX('2_IMPORTAR_EJECUCION'!$C$9:$C$1208,MATCH($AU688,'2_IMPORTAR_EJECUCION'!$J$9:$J$1208,0)),""),'CAT_ESTADOS_ERP'!$A$4:$A$22,0)),"Pendiente"))</f>
        <v/>
      </c>
      <c r="O688" s="24">
        <f>IF($J688="","",YEAR($J688+4-WEEKDAY($J688,2))&amp;"-S"&amp;TEXT(_xlfn.ISOWEEKNUM($J688),"00"))</f>
        <v/>
      </c>
      <c r="P688" s="24">
        <f>IF($J688="","",YEAR($J688))</f>
        <v/>
      </c>
      <c r="Q688" s="24">
        <f>IF($J688="","",MONTH($J688))</f>
        <v/>
      </c>
      <c r="R688" s="24">
        <f>IF($J688="","",$P688&amp;"-"&amp;TEXT($Q688,"00"))</f>
        <v/>
      </c>
      <c r="S688" s="24">
        <f>IF($J688="","",INDEX(lista_dias,WEEKDAY($J688,2)))</f>
        <v/>
      </c>
      <c r="T688" s="24">
        <f>IF($J688="","",IFERROR(INDEX('CALENDARIO'!$C$15:$C$214,MATCH(TEXT($J688,"yyyy-mm-dd")&amp;"|"&amp;$Y688&amp;"|"&amp;$Z688,'CALENDARIO'!$G$15:$G$214,0)),IFERROR(INDEX('CALENDARIO'!$C$15:$C$214,MATCH(TEXT($J688,"yyyy-mm-dd")&amp;"|"&amp;$Y688&amp;"|",'CALENDARIO'!$G$15:$G$214,0)),IFERROR(INDEX('CALENDARIO'!$C$15:$C$214,MATCH(TEXT($J688,"yyyy-mm-dd")&amp;"||",'CALENDARIO'!$G$15:$G$214,0)),INDEX(patronHabil,WEEKDAY($J688,2))))))</f>
        <v/>
      </c>
      <c r="U688" s="24">
        <f>IF($I688="","",IFERROR(INDEX('CAT_TIPOS_OT'!$C$4:$C$23,MATCH($I688,'CAT_TIPOS_OT'!$A$4:$A$23,0)),"sin_clasificar"))</f>
        <v/>
      </c>
      <c r="V688" s="24">
        <f>IF($I688="","",IF(IFERROR(INDEX('CAT_TIPOS_OT'!$D$4:$D$23,MATCH($I688,'CAT_TIPOS_OT'!$A$4:$A$23,0)),"SIN CLASIFICAR")="","SIN CLASIFICAR",IFERROR(INDEX('CAT_TIPOS_OT'!$D$4:$D$23,MATCH($I688,'CAT_TIPOS_OT'!$A$4:$A$23,0)),"SIN CLASIFICAR")))</f>
        <v/>
      </c>
      <c r="W688" s="24">
        <f>IF($H688="","",IF(IFERROR(INDEX('CAT_ACTIVIDADES'!$F$4:$F$26,MATCH($H688,'CAT_ACTIVIDADES'!$A$4:$A$26,0)),"")=0,"",IFERROR(INDEX('CAT_ACTIVIDADES'!$F$4:$F$26,MATCH($H688,'CAT_ACTIVIDADES'!$A$4:$A$26,0)),"")))</f>
        <v/>
      </c>
      <c r="X688" s="24">
        <f>IF($F688="","",IFERROR(INDEX('CAT_CENTROS_COSTO'!$F$4:$F$28,MATCH($F688,'CAT_CENTROS_COSTO'!$A$4:$A$28,0)),"(sin catálogo)"))</f>
        <v/>
      </c>
      <c r="Y688" s="24">
        <f>IF($F688="","",IFERROR(INDEX('CAT_CENTROS_COSTO'!$D$4:$D$28,MATCH($F688,'CAT_CENTROS_COSTO'!$A$4:$A$28,0)),"(sin catálogo)"))</f>
        <v/>
      </c>
      <c r="Z688" s="24">
        <f>IF($F688="","",IF((IFERROR(INDEX('CAT_CENTROS_COSTO'!$E$4:$E$28,MATCH($F688,'CAT_CENTROS_COSTO'!$A$4:$A$28,0)),""))&lt;&gt;"",IFERROR(INDEX('CAT_CENTROS_COSTO'!$E$4:$E$28,MATCH($F688,'CAT_CENTROS_COSTO'!$A$4:$A$28,0)),""),$Y688))</f>
        <v/>
      </c>
      <c r="AA688" s="24">
        <f>IF($F688="","",IFERROR(INDEX('CAT_CENTROS_COSTO'!$G$4:$G$28,MATCH($F688,'CAT_CENTROS_COSTO'!$A$4:$A$28,0)),"(sin catálogo)"))</f>
        <v/>
      </c>
      <c r="AB688" s="24">
        <f>IF($G688="","",IFERROR(INDEX('CAT_PUESTOS'!$B$4:$B$23,MATCH($G688,'CAT_PUESTOS'!$A$4:$A$23,0)),"(sin catálogo)"))</f>
        <v/>
      </c>
      <c r="AC688" s="24">
        <f>IF($H688="","",IFERROR(INDEX('CAT_ACTIVIDADES'!$B$4:$B$26,MATCH($H688,'CAT_ACTIVIDADES'!$A$4:$A$26,0)),"(sin catálogo)"))</f>
        <v/>
      </c>
      <c r="AD688" s="26">
        <f>IF($J688="","",TODAY()-$J688)</f>
        <v/>
      </c>
      <c r="AE688" s="26">
        <f>IF($J688="","",IF($J688&lt;=TODAY(),COUNTIFS(cal_fechas,"&gt;="&amp;$J688,cal_fechas,"&lt;"&amp;TODAY(),cal_habil,"sí"),-COUNTIFS(cal_fechas,"&gt;="&amp;TODAY(),cal_fechas,"&lt;"&amp;$J688,cal_habil,"sí")))</f>
        <v/>
      </c>
      <c r="AF688" s="24">
        <f>IF($AE688="","",IF($AE688&lt;0,"FUTURO",IF($AE688&gt;p_dias_backlog_max,"BACKLOG","MES CORRIENTE")))</f>
        <v/>
      </c>
      <c r="AG688" s="24">
        <f>IF($AE688="",FALSE,AND($AE688&gt;p_dias_backlog_min,$AE688&lt;=p_dias_backlog_max))</f>
        <v/>
      </c>
      <c r="AH688" s="4" t="n"/>
      <c r="AI688" s="24">
        <f>IF($AH688="","",IF((IFERROR(INDEX('ASIGNACIONES'!$J$4:$J$451,MATCH($O688&amp;"|"&amp;$S688&amp;"|"&amp;$AH688,'ASIGNACIONES'!$N$4:$N$451,0)),""))=0,"",IFERROR(INDEX('ASIGNACIONES'!$J$4:$J$451,MATCH($O688&amp;"|"&amp;$S688&amp;"|"&amp;$AH688,'ASIGNACIONES'!$N$4:$N$451,0)),"")))</f>
        <v/>
      </c>
      <c r="AJ688" s="42">
        <f>IF($AH688="","",SUMIFS('ORDENES'!$M$4:$M$1203,'ORDENES'!$AH$4:$AH$1203,$AH688,'ORDENES'!$O$4:$O$1203,$O688,'ORDENES'!$S$4:$S$1203,$S688))</f>
        <v/>
      </c>
      <c r="AK688" s="42">
        <f>IF($AJ688="","",p_factor_productividad*IFERROR(INDEX('ASIGNACIONES'!$M$4:$M$451,MATCH($O688&amp;"|"&amp;$S688&amp;"|"&amp;$AH688,'ASIGNACIONES'!$N$4:$N$451,0)),0)-$AJ688)</f>
        <v/>
      </c>
      <c r="AL688" s="32">
        <f>IF($A688="","",IFERROR(INDEX('2_IMPORTAR_EJECUCION'!$F$9:$F$1208,MATCH($AU688,'2_IMPORTAR_EJECUCION'!$J$9:$J$1208,0)),0))</f>
        <v/>
      </c>
      <c r="AM688" s="32">
        <f>IF($A688="","",MAX(0,IFERROR(INDEX('2_IMPORTAR_EJECUCION'!$H$9:$H$1208,MATCH($AU688,'2_IMPORTAR_EJECUCION'!$J$9:$J$1208,0)),0)-$AL688))</f>
        <v/>
      </c>
      <c r="AN688" s="32">
        <f>IF($A688="","",$AL688+$AM688)</f>
        <v/>
      </c>
      <c r="AO688" s="24">
        <f>IF($A688="","",IF(OR((IFERROR(INDEX('CAT_ACTIVIDADES'!$D$4:$D$26,MATCH($H688,'CAT_ACTIVIDADES'!$A$4:$A$26,0)),""))=0,(IFERROR(INDEX('CAT_ACTIVIDADES'!$D$4:$D$26,MATCH($H688,'CAT_ACTIVIDADES'!$A$4:$A$26,0)),""))=""),"SIN CLASIFICAR",IFERROR(INDEX('CAT_ACTIVIDADES'!$D$4:$D$26,MATCH($H688,'CAT_ACTIVIDADES'!$A$4:$A$26,0)),"")))</f>
        <v/>
      </c>
      <c r="AP688" s="4" t="n"/>
      <c r="AQ688" s="4" t="n"/>
      <c r="AR688" s="4" t="n"/>
      <c r="AS688" s="24">
        <f>IF($AR688="","",HYPERLINK(p_ruta_base_checklists&amp;$AR688,"abrir"))</f>
        <v/>
      </c>
      <c r="AT688" s="4" t="n"/>
      <c r="AU688" s="24">
        <f>IF($A688="","",$A688&amp;IF($B688="","0010",$B688))</f>
        <v/>
      </c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41" t="n"/>
      <c r="K689" s="5" t="n"/>
      <c r="L689" s="18" t="n"/>
      <c r="M689" s="24">
        <f>IF($A689="","",IFERROR(INDEX('AJUSTES'!$B$4:$B$303,MATCH($AU689,'AJUSTES'!$A$4:$A$303,0)),IF($K689="","",$K689)))</f>
        <v/>
      </c>
      <c r="N689" s="24">
        <f>IF($A689="","",IFERROR(INDEX('CAT_ESTADOS_ERP'!$B$4:$B$22,MATCH(IFERROR(INDEX('2_IMPORTAR_EJECUCION'!$C$9:$C$1208,MATCH($AU689,'2_IMPORTAR_EJECUCION'!$J$9:$J$1208,0)),""),'CAT_ESTADOS_ERP'!$A$4:$A$22,0)),"Pendiente"))</f>
        <v/>
      </c>
      <c r="O689" s="24">
        <f>IF($J689="","",YEAR($J689+4-WEEKDAY($J689,2))&amp;"-S"&amp;TEXT(_xlfn.ISOWEEKNUM($J689),"00"))</f>
        <v/>
      </c>
      <c r="P689" s="24">
        <f>IF($J689="","",YEAR($J689))</f>
        <v/>
      </c>
      <c r="Q689" s="24">
        <f>IF($J689="","",MONTH($J689))</f>
        <v/>
      </c>
      <c r="R689" s="24">
        <f>IF($J689="","",$P689&amp;"-"&amp;TEXT($Q689,"00"))</f>
        <v/>
      </c>
      <c r="S689" s="24">
        <f>IF($J689="","",INDEX(lista_dias,WEEKDAY($J689,2)))</f>
        <v/>
      </c>
      <c r="T689" s="24">
        <f>IF($J689="","",IFERROR(INDEX('CALENDARIO'!$C$15:$C$214,MATCH(TEXT($J689,"yyyy-mm-dd")&amp;"|"&amp;$Y689&amp;"|"&amp;$Z689,'CALENDARIO'!$G$15:$G$214,0)),IFERROR(INDEX('CALENDARIO'!$C$15:$C$214,MATCH(TEXT($J689,"yyyy-mm-dd")&amp;"|"&amp;$Y689&amp;"|",'CALENDARIO'!$G$15:$G$214,0)),IFERROR(INDEX('CALENDARIO'!$C$15:$C$214,MATCH(TEXT($J689,"yyyy-mm-dd")&amp;"||",'CALENDARIO'!$G$15:$G$214,0)),INDEX(patronHabil,WEEKDAY($J689,2))))))</f>
        <v/>
      </c>
      <c r="U689" s="24">
        <f>IF($I689="","",IFERROR(INDEX('CAT_TIPOS_OT'!$C$4:$C$23,MATCH($I689,'CAT_TIPOS_OT'!$A$4:$A$23,0)),"sin_clasificar"))</f>
        <v/>
      </c>
      <c r="V689" s="24">
        <f>IF($I689="","",IF(IFERROR(INDEX('CAT_TIPOS_OT'!$D$4:$D$23,MATCH($I689,'CAT_TIPOS_OT'!$A$4:$A$23,0)),"SIN CLASIFICAR")="","SIN CLASIFICAR",IFERROR(INDEX('CAT_TIPOS_OT'!$D$4:$D$23,MATCH($I689,'CAT_TIPOS_OT'!$A$4:$A$23,0)),"SIN CLASIFICAR")))</f>
        <v/>
      </c>
      <c r="W689" s="24">
        <f>IF($H689="","",IF(IFERROR(INDEX('CAT_ACTIVIDADES'!$F$4:$F$26,MATCH($H689,'CAT_ACTIVIDADES'!$A$4:$A$26,0)),"")=0,"",IFERROR(INDEX('CAT_ACTIVIDADES'!$F$4:$F$26,MATCH($H689,'CAT_ACTIVIDADES'!$A$4:$A$26,0)),"")))</f>
        <v/>
      </c>
      <c r="X689" s="24">
        <f>IF($F689="","",IFERROR(INDEX('CAT_CENTROS_COSTO'!$F$4:$F$28,MATCH($F689,'CAT_CENTROS_COSTO'!$A$4:$A$28,0)),"(sin catálogo)"))</f>
        <v/>
      </c>
      <c r="Y689" s="24">
        <f>IF($F689="","",IFERROR(INDEX('CAT_CENTROS_COSTO'!$D$4:$D$28,MATCH($F689,'CAT_CENTROS_COSTO'!$A$4:$A$28,0)),"(sin catálogo)"))</f>
        <v/>
      </c>
      <c r="Z689" s="24">
        <f>IF($F689="","",IF((IFERROR(INDEX('CAT_CENTROS_COSTO'!$E$4:$E$28,MATCH($F689,'CAT_CENTROS_COSTO'!$A$4:$A$28,0)),""))&lt;&gt;"",IFERROR(INDEX('CAT_CENTROS_COSTO'!$E$4:$E$28,MATCH($F689,'CAT_CENTROS_COSTO'!$A$4:$A$28,0)),""),$Y689))</f>
        <v/>
      </c>
      <c r="AA689" s="24">
        <f>IF($F689="","",IFERROR(INDEX('CAT_CENTROS_COSTO'!$G$4:$G$28,MATCH($F689,'CAT_CENTROS_COSTO'!$A$4:$A$28,0)),"(sin catálogo)"))</f>
        <v/>
      </c>
      <c r="AB689" s="24">
        <f>IF($G689="","",IFERROR(INDEX('CAT_PUESTOS'!$B$4:$B$23,MATCH($G689,'CAT_PUESTOS'!$A$4:$A$23,0)),"(sin catálogo)"))</f>
        <v/>
      </c>
      <c r="AC689" s="24">
        <f>IF($H689="","",IFERROR(INDEX('CAT_ACTIVIDADES'!$B$4:$B$26,MATCH($H689,'CAT_ACTIVIDADES'!$A$4:$A$26,0)),"(sin catálogo)"))</f>
        <v/>
      </c>
      <c r="AD689" s="26">
        <f>IF($J689="","",TODAY()-$J689)</f>
        <v/>
      </c>
      <c r="AE689" s="26">
        <f>IF($J689="","",IF($J689&lt;=TODAY(),COUNTIFS(cal_fechas,"&gt;="&amp;$J689,cal_fechas,"&lt;"&amp;TODAY(),cal_habil,"sí"),-COUNTIFS(cal_fechas,"&gt;="&amp;TODAY(),cal_fechas,"&lt;"&amp;$J689,cal_habil,"sí")))</f>
        <v/>
      </c>
      <c r="AF689" s="24">
        <f>IF($AE689="","",IF($AE689&lt;0,"FUTURO",IF($AE689&gt;p_dias_backlog_max,"BACKLOG","MES CORRIENTE")))</f>
        <v/>
      </c>
      <c r="AG689" s="24">
        <f>IF($AE689="",FALSE,AND($AE689&gt;p_dias_backlog_min,$AE689&lt;=p_dias_backlog_max))</f>
        <v/>
      </c>
      <c r="AH689" s="4" t="n"/>
      <c r="AI689" s="24">
        <f>IF($AH689="","",IF((IFERROR(INDEX('ASIGNACIONES'!$J$4:$J$451,MATCH($O689&amp;"|"&amp;$S689&amp;"|"&amp;$AH689,'ASIGNACIONES'!$N$4:$N$451,0)),""))=0,"",IFERROR(INDEX('ASIGNACIONES'!$J$4:$J$451,MATCH($O689&amp;"|"&amp;$S689&amp;"|"&amp;$AH689,'ASIGNACIONES'!$N$4:$N$451,0)),"")))</f>
        <v/>
      </c>
      <c r="AJ689" s="42">
        <f>IF($AH689="","",SUMIFS('ORDENES'!$M$4:$M$1203,'ORDENES'!$AH$4:$AH$1203,$AH689,'ORDENES'!$O$4:$O$1203,$O689,'ORDENES'!$S$4:$S$1203,$S689))</f>
        <v/>
      </c>
      <c r="AK689" s="42">
        <f>IF($AJ689="","",p_factor_productividad*IFERROR(INDEX('ASIGNACIONES'!$M$4:$M$451,MATCH($O689&amp;"|"&amp;$S689&amp;"|"&amp;$AH689,'ASIGNACIONES'!$N$4:$N$451,0)),0)-$AJ689)</f>
        <v/>
      </c>
      <c r="AL689" s="32">
        <f>IF($A689="","",IFERROR(INDEX('2_IMPORTAR_EJECUCION'!$F$9:$F$1208,MATCH($AU689,'2_IMPORTAR_EJECUCION'!$J$9:$J$1208,0)),0))</f>
        <v/>
      </c>
      <c r="AM689" s="32">
        <f>IF($A689="","",MAX(0,IFERROR(INDEX('2_IMPORTAR_EJECUCION'!$H$9:$H$1208,MATCH($AU689,'2_IMPORTAR_EJECUCION'!$J$9:$J$1208,0)),0)-$AL689))</f>
        <v/>
      </c>
      <c r="AN689" s="32">
        <f>IF($A689="","",$AL689+$AM689)</f>
        <v/>
      </c>
      <c r="AO689" s="24">
        <f>IF($A689="","",IF(OR((IFERROR(INDEX('CAT_ACTIVIDADES'!$D$4:$D$26,MATCH($H689,'CAT_ACTIVIDADES'!$A$4:$A$26,0)),""))=0,(IFERROR(INDEX('CAT_ACTIVIDADES'!$D$4:$D$26,MATCH($H689,'CAT_ACTIVIDADES'!$A$4:$A$26,0)),""))=""),"SIN CLASIFICAR",IFERROR(INDEX('CAT_ACTIVIDADES'!$D$4:$D$26,MATCH($H689,'CAT_ACTIVIDADES'!$A$4:$A$26,0)),"")))</f>
        <v/>
      </c>
      <c r="AP689" s="4" t="n"/>
      <c r="AQ689" s="4" t="n"/>
      <c r="AR689" s="4" t="n"/>
      <c r="AS689" s="24">
        <f>IF($AR689="","",HYPERLINK(p_ruta_base_checklists&amp;$AR689,"abrir"))</f>
        <v/>
      </c>
      <c r="AT689" s="4" t="n"/>
      <c r="AU689" s="24">
        <f>IF($A689="","",$A689&amp;IF($B689="","0010",$B689))</f>
        <v/>
      </c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41" t="n"/>
      <c r="K690" s="5" t="n"/>
      <c r="L690" s="18" t="n"/>
      <c r="M690" s="24">
        <f>IF($A690="","",IFERROR(INDEX('AJUSTES'!$B$4:$B$303,MATCH($AU690,'AJUSTES'!$A$4:$A$303,0)),IF($K690="","",$K690)))</f>
        <v/>
      </c>
      <c r="N690" s="24">
        <f>IF($A690="","",IFERROR(INDEX('CAT_ESTADOS_ERP'!$B$4:$B$22,MATCH(IFERROR(INDEX('2_IMPORTAR_EJECUCION'!$C$9:$C$1208,MATCH($AU690,'2_IMPORTAR_EJECUCION'!$J$9:$J$1208,0)),""),'CAT_ESTADOS_ERP'!$A$4:$A$22,0)),"Pendiente"))</f>
        <v/>
      </c>
      <c r="O690" s="24">
        <f>IF($J690="","",YEAR($J690+4-WEEKDAY($J690,2))&amp;"-S"&amp;TEXT(_xlfn.ISOWEEKNUM($J690),"00"))</f>
        <v/>
      </c>
      <c r="P690" s="24">
        <f>IF($J690="","",YEAR($J690))</f>
        <v/>
      </c>
      <c r="Q690" s="24">
        <f>IF($J690="","",MONTH($J690))</f>
        <v/>
      </c>
      <c r="R690" s="24">
        <f>IF($J690="","",$P690&amp;"-"&amp;TEXT($Q690,"00"))</f>
        <v/>
      </c>
      <c r="S690" s="24">
        <f>IF($J690="","",INDEX(lista_dias,WEEKDAY($J690,2)))</f>
        <v/>
      </c>
      <c r="T690" s="24">
        <f>IF($J690="","",IFERROR(INDEX('CALENDARIO'!$C$15:$C$214,MATCH(TEXT($J690,"yyyy-mm-dd")&amp;"|"&amp;$Y690&amp;"|"&amp;$Z690,'CALENDARIO'!$G$15:$G$214,0)),IFERROR(INDEX('CALENDARIO'!$C$15:$C$214,MATCH(TEXT($J690,"yyyy-mm-dd")&amp;"|"&amp;$Y690&amp;"|",'CALENDARIO'!$G$15:$G$214,0)),IFERROR(INDEX('CALENDARIO'!$C$15:$C$214,MATCH(TEXT($J690,"yyyy-mm-dd")&amp;"||",'CALENDARIO'!$G$15:$G$214,0)),INDEX(patronHabil,WEEKDAY($J690,2))))))</f>
        <v/>
      </c>
      <c r="U690" s="24">
        <f>IF($I690="","",IFERROR(INDEX('CAT_TIPOS_OT'!$C$4:$C$23,MATCH($I690,'CAT_TIPOS_OT'!$A$4:$A$23,0)),"sin_clasificar"))</f>
        <v/>
      </c>
      <c r="V690" s="24">
        <f>IF($I690="","",IF(IFERROR(INDEX('CAT_TIPOS_OT'!$D$4:$D$23,MATCH($I690,'CAT_TIPOS_OT'!$A$4:$A$23,0)),"SIN CLASIFICAR")="","SIN CLASIFICAR",IFERROR(INDEX('CAT_TIPOS_OT'!$D$4:$D$23,MATCH($I690,'CAT_TIPOS_OT'!$A$4:$A$23,0)),"SIN CLASIFICAR")))</f>
        <v/>
      </c>
      <c r="W690" s="24">
        <f>IF($H690="","",IF(IFERROR(INDEX('CAT_ACTIVIDADES'!$F$4:$F$26,MATCH($H690,'CAT_ACTIVIDADES'!$A$4:$A$26,0)),"")=0,"",IFERROR(INDEX('CAT_ACTIVIDADES'!$F$4:$F$26,MATCH($H690,'CAT_ACTIVIDADES'!$A$4:$A$26,0)),"")))</f>
        <v/>
      </c>
      <c r="X690" s="24">
        <f>IF($F690="","",IFERROR(INDEX('CAT_CENTROS_COSTO'!$F$4:$F$28,MATCH($F690,'CAT_CENTROS_COSTO'!$A$4:$A$28,0)),"(sin catálogo)"))</f>
        <v/>
      </c>
      <c r="Y690" s="24">
        <f>IF($F690="","",IFERROR(INDEX('CAT_CENTROS_COSTO'!$D$4:$D$28,MATCH($F690,'CAT_CENTROS_COSTO'!$A$4:$A$28,0)),"(sin catálogo)"))</f>
        <v/>
      </c>
      <c r="Z690" s="24">
        <f>IF($F690="","",IF((IFERROR(INDEX('CAT_CENTROS_COSTO'!$E$4:$E$28,MATCH($F690,'CAT_CENTROS_COSTO'!$A$4:$A$28,0)),""))&lt;&gt;"",IFERROR(INDEX('CAT_CENTROS_COSTO'!$E$4:$E$28,MATCH($F690,'CAT_CENTROS_COSTO'!$A$4:$A$28,0)),""),$Y690))</f>
        <v/>
      </c>
      <c r="AA690" s="24">
        <f>IF($F690="","",IFERROR(INDEX('CAT_CENTROS_COSTO'!$G$4:$G$28,MATCH($F690,'CAT_CENTROS_COSTO'!$A$4:$A$28,0)),"(sin catálogo)"))</f>
        <v/>
      </c>
      <c r="AB690" s="24">
        <f>IF($G690="","",IFERROR(INDEX('CAT_PUESTOS'!$B$4:$B$23,MATCH($G690,'CAT_PUESTOS'!$A$4:$A$23,0)),"(sin catálogo)"))</f>
        <v/>
      </c>
      <c r="AC690" s="24">
        <f>IF($H690="","",IFERROR(INDEX('CAT_ACTIVIDADES'!$B$4:$B$26,MATCH($H690,'CAT_ACTIVIDADES'!$A$4:$A$26,0)),"(sin catálogo)"))</f>
        <v/>
      </c>
      <c r="AD690" s="26">
        <f>IF($J690="","",TODAY()-$J690)</f>
        <v/>
      </c>
      <c r="AE690" s="26">
        <f>IF($J690="","",IF($J690&lt;=TODAY(),COUNTIFS(cal_fechas,"&gt;="&amp;$J690,cal_fechas,"&lt;"&amp;TODAY(),cal_habil,"sí"),-COUNTIFS(cal_fechas,"&gt;="&amp;TODAY(),cal_fechas,"&lt;"&amp;$J690,cal_habil,"sí")))</f>
        <v/>
      </c>
      <c r="AF690" s="24">
        <f>IF($AE690="","",IF($AE690&lt;0,"FUTURO",IF($AE690&gt;p_dias_backlog_max,"BACKLOG","MES CORRIENTE")))</f>
        <v/>
      </c>
      <c r="AG690" s="24">
        <f>IF($AE690="",FALSE,AND($AE690&gt;p_dias_backlog_min,$AE690&lt;=p_dias_backlog_max))</f>
        <v/>
      </c>
      <c r="AH690" s="4" t="n"/>
      <c r="AI690" s="24">
        <f>IF($AH690="","",IF((IFERROR(INDEX('ASIGNACIONES'!$J$4:$J$451,MATCH($O690&amp;"|"&amp;$S690&amp;"|"&amp;$AH690,'ASIGNACIONES'!$N$4:$N$451,0)),""))=0,"",IFERROR(INDEX('ASIGNACIONES'!$J$4:$J$451,MATCH($O690&amp;"|"&amp;$S690&amp;"|"&amp;$AH690,'ASIGNACIONES'!$N$4:$N$451,0)),"")))</f>
        <v/>
      </c>
      <c r="AJ690" s="42">
        <f>IF($AH690="","",SUMIFS('ORDENES'!$M$4:$M$1203,'ORDENES'!$AH$4:$AH$1203,$AH690,'ORDENES'!$O$4:$O$1203,$O690,'ORDENES'!$S$4:$S$1203,$S690))</f>
        <v/>
      </c>
      <c r="AK690" s="42">
        <f>IF($AJ690="","",p_factor_productividad*IFERROR(INDEX('ASIGNACIONES'!$M$4:$M$451,MATCH($O690&amp;"|"&amp;$S690&amp;"|"&amp;$AH690,'ASIGNACIONES'!$N$4:$N$451,0)),0)-$AJ690)</f>
        <v/>
      </c>
      <c r="AL690" s="32">
        <f>IF($A690="","",IFERROR(INDEX('2_IMPORTAR_EJECUCION'!$F$9:$F$1208,MATCH($AU690,'2_IMPORTAR_EJECUCION'!$J$9:$J$1208,0)),0))</f>
        <v/>
      </c>
      <c r="AM690" s="32">
        <f>IF($A690="","",MAX(0,IFERROR(INDEX('2_IMPORTAR_EJECUCION'!$H$9:$H$1208,MATCH($AU690,'2_IMPORTAR_EJECUCION'!$J$9:$J$1208,0)),0)-$AL690))</f>
        <v/>
      </c>
      <c r="AN690" s="32">
        <f>IF($A690="","",$AL690+$AM690)</f>
        <v/>
      </c>
      <c r="AO690" s="24">
        <f>IF($A690="","",IF(OR((IFERROR(INDEX('CAT_ACTIVIDADES'!$D$4:$D$26,MATCH($H690,'CAT_ACTIVIDADES'!$A$4:$A$26,0)),""))=0,(IFERROR(INDEX('CAT_ACTIVIDADES'!$D$4:$D$26,MATCH($H690,'CAT_ACTIVIDADES'!$A$4:$A$26,0)),""))=""),"SIN CLASIFICAR",IFERROR(INDEX('CAT_ACTIVIDADES'!$D$4:$D$26,MATCH($H690,'CAT_ACTIVIDADES'!$A$4:$A$26,0)),"")))</f>
        <v/>
      </c>
      <c r="AP690" s="4" t="n"/>
      <c r="AQ690" s="4" t="n"/>
      <c r="AR690" s="4" t="n"/>
      <c r="AS690" s="24">
        <f>IF($AR690="","",HYPERLINK(p_ruta_base_checklists&amp;$AR690,"abrir"))</f>
        <v/>
      </c>
      <c r="AT690" s="4" t="n"/>
      <c r="AU690" s="24">
        <f>IF($A690="","",$A690&amp;IF($B690="","0010",$B690))</f>
        <v/>
      </c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41" t="n"/>
      <c r="K691" s="5" t="n"/>
      <c r="L691" s="18" t="n"/>
      <c r="M691" s="24">
        <f>IF($A691="","",IFERROR(INDEX('AJUSTES'!$B$4:$B$303,MATCH($AU691,'AJUSTES'!$A$4:$A$303,0)),IF($K691="","",$K691)))</f>
        <v/>
      </c>
      <c r="N691" s="24">
        <f>IF($A691="","",IFERROR(INDEX('CAT_ESTADOS_ERP'!$B$4:$B$22,MATCH(IFERROR(INDEX('2_IMPORTAR_EJECUCION'!$C$9:$C$1208,MATCH($AU691,'2_IMPORTAR_EJECUCION'!$J$9:$J$1208,0)),""),'CAT_ESTADOS_ERP'!$A$4:$A$22,0)),"Pendiente"))</f>
        <v/>
      </c>
      <c r="O691" s="24">
        <f>IF($J691="","",YEAR($J691+4-WEEKDAY($J691,2))&amp;"-S"&amp;TEXT(_xlfn.ISOWEEKNUM($J691),"00"))</f>
        <v/>
      </c>
      <c r="P691" s="24">
        <f>IF($J691="","",YEAR($J691))</f>
        <v/>
      </c>
      <c r="Q691" s="24">
        <f>IF($J691="","",MONTH($J691))</f>
        <v/>
      </c>
      <c r="R691" s="24">
        <f>IF($J691="","",$P691&amp;"-"&amp;TEXT($Q691,"00"))</f>
        <v/>
      </c>
      <c r="S691" s="24">
        <f>IF($J691="","",INDEX(lista_dias,WEEKDAY($J691,2)))</f>
        <v/>
      </c>
      <c r="T691" s="24">
        <f>IF($J691="","",IFERROR(INDEX('CALENDARIO'!$C$15:$C$214,MATCH(TEXT($J691,"yyyy-mm-dd")&amp;"|"&amp;$Y691&amp;"|"&amp;$Z691,'CALENDARIO'!$G$15:$G$214,0)),IFERROR(INDEX('CALENDARIO'!$C$15:$C$214,MATCH(TEXT($J691,"yyyy-mm-dd")&amp;"|"&amp;$Y691&amp;"|",'CALENDARIO'!$G$15:$G$214,0)),IFERROR(INDEX('CALENDARIO'!$C$15:$C$214,MATCH(TEXT($J691,"yyyy-mm-dd")&amp;"||",'CALENDARIO'!$G$15:$G$214,0)),INDEX(patronHabil,WEEKDAY($J691,2))))))</f>
        <v/>
      </c>
      <c r="U691" s="24">
        <f>IF($I691="","",IFERROR(INDEX('CAT_TIPOS_OT'!$C$4:$C$23,MATCH($I691,'CAT_TIPOS_OT'!$A$4:$A$23,0)),"sin_clasificar"))</f>
        <v/>
      </c>
      <c r="V691" s="24">
        <f>IF($I691="","",IF(IFERROR(INDEX('CAT_TIPOS_OT'!$D$4:$D$23,MATCH($I691,'CAT_TIPOS_OT'!$A$4:$A$23,0)),"SIN CLASIFICAR")="","SIN CLASIFICAR",IFERROR(INDEX('CAT_TIPOS_OT'!$D$4:$D$23,MATCH($I691,'CAT_TIPOS_OT'!$A$4:$A$23,0)),"SIN CLASIFICAR")))</f>
        <v/>
      </c>
      <c r="W691" s="24">
        <f>IF($H691="","",IF(IFERROR(INDEX('CAT_ACTIVIDADES'!$F$4:$F$26,MATCH($H691,'CAT_ACTIVIDADES'!$A$4:$A$26,0)),"")=0,"",IFERROR(INDEX('CAT_ACTIVIDADES'!$F$4:$F$26,MATCH($H691,'CAT_ACTIVIDADES'!$A$4:$A$26,0)),"")))</f>
        <v/>
      </c>
      <c r="X691" s="24">
        <f>IF($F691="","",IFERROR(INDEX('CAT_CENTROS_COSTO'!$F$4:$F$28,MATCH($F691,'CAT_CENTROS_COSTO'!$A$4:$A$28,0)),"(sin catálogo)"))</f>
        <v/>
      </c>
      <c r="Y691" s="24">
        <f>IF($F691="","",IFERROR(INDEX('CAT_CENTROS_COSTO'!$D$4:$D$28,MATCH($F691,'CAT_CENTROS_COSTO'!$A$4:$A$28,0)),"(sin catálogo)"))</f>
        <v/>
      </c>
      <c r="Z691" s="24">
        <f>IF($F691="","",IF((IFERROR(INDEX('CAT_CENTROS_COSTO'!$E$4:$E$28,MATCH($F691,'CAT_CENTROS_COSTO'!$A$4:$A$28,0)),""))&lt;&gt;"",IFERROR(INDEX('CAT_CENTROS_COSTO'!$E$4:$E$28,MATCH($F691,'CAT_CENTROS_COSTO'!$A$4:$A$28,0)),""),$Y691))</f>
        <v/>
      </c>
      <c r="AA691" s="24">
        <f>IF($F691="","",IFERROR(INDEX('CAT_CENTROS_COSTO'!$G$4:$G$28,MATCH($F691,'CAT_CENTROS_COSTO'!$A$4:$A$28,0)),"(sin catálogo)"))</f>
        <v/>
      </c>
      <c r="AB691" s="24">
        <f>IF($G691="","",IFERROR(INDEX('CAT_PUESTOS'!$B$4:$B$23,MATCH($G691,'CAT_PUESTOS'!$A$4:$A$23,0)),"(sin catálogo)"))</f>
        <v/>
      </c>
      <c r="AC691" s="24">
        <f>IF($H691="","",IFERROR(INDEX('CAT_ACTIVIDADES'!$B$4:$B$26,MATCH($H691,'CAT_ACTIVIDADES'!$A$4:$A$26,0)),"(sin catálogo)"))</f>
        <v/>
      </c>
      <c r="AD691" s="26">
        <f>IF($J691="","",TODAY()-$J691)</f>
        <v/>
      </c>
      <c r="AE691" s="26">
        <f>IF($J691="","",IF($J691&lt;=TODAY(),COUNTIFS(cal_fechas,"&gt;="&amp;$J691,cal_fechas,"&lt;"&amp;TODAY(),cal_habil,"sí"),-COUNTIFS(cal_fechas,"&gt;="&amp;TODAY(),cal_fechas,"&lt;"&amp;$J691,cal_habil,"sí")))</f>
        <v/>
      </c>
      <c r="AF691" s="24">
        <f>IF($AE691="","",IF($AE691&lt;0,"FUTURO",IF($AE691&gt;p_dias_backlog_max,"BACKLOG","MES CORRIENTE")))</f>
        <v/>
      </c>
      <c r="AG691" s="24">
        <f>IF($AE691="",FALSE,AND($AE691&gt;p_dias_backlog_min,$AE691&lt;=p_dias_backlog_max))</f>
        <v/>
      </c>
      <c r="AH691" s="4" t="n"/>
      <c r="AI691" s="24">
        <f>IF($AH691="","",IF((IFERROR(INDEX('ASIGNACIONES'!$J$4:$J$451,MATCH($O691&amp;"|"&amp;$S691&amp;"|"&amp;$AH691,'ASIGNACIONES'!$N$4:$N$451,0)),""))=0,"",IFERROR(INDEX('ASIGNACIONES'!$J$4:$J$451,MATCH($O691&amp;"|"&amp;$S691&amp;"|"&amp;$AH691,'ASIGNACIONES'!$N$4:$N$451,0)),"")))</f>
        <v/>
      </c>
      <c r="AJ691" s="42">
        <f>IF($AH691="","",SUMIFS('ORDENES'!$M$4:$M$1203,'ORDENES'!$AH$4:$AH$1203,$AH691,'ORDENES'!$O$4:$O$1203,$O691,'ORDENES'!$S$4:$S$1203,$S691))</f>
        <v/>
      </c>
      <c r="AK691" s="42">
        <f>IF($AJ691="","",p_factor_productividad*IFERROR(INDEX('ASIGNACIONES'!$M$4:$M$451,MATCH($O691&amp;"|"&amp;$S691&amp;"|"&amp;$AH691,'ASIGNACIONES'!$N$4:$N$451,0)),0)-$AJ691)</f>
        <v/>
      </c>
      <c r="AL691" s="32">
        <f>IF($A691="","",IFERROR(INDEX('2_IMPORTAR_EJECUCION'!$F$9:$F$1208,MATCH($AU691,'2_IMPORTAR_EJECUCION'!$J$9:$J$1208,0)),0))</f>
        <v/>
      </c>
      <c r="AM691" s="32">
        <f>IF($A691="","",MAX(0,IFERROR(INDEX('2_IMPORTAR_EJECUCION'!$H$9:$H$1208,MATCH($AU691,'2_IMPORTAR_EJECUCION'!$J$9:$J$1208,0)),0)-$AL691))</f>
        <v/>
      </c>
      <c r="AN691" s="32">
        <f>IF($A691="","",$AL691+$AM691)</f>
        <v/>
      </c>
      <c r="AO691" s="24">
        <f>IF($A691="","",IF(OR((IFERROR(INDEX('CAT_ACTIVIDADES'!$D$4:$D$26,MATCH($H691,'CAT_ACTIVIDADES'!$A$4:$A$26,0)),""))=0,(IFERROR(INDEX('CAT_ACTIVIDADES'!$D$4:$D$26,MATCH($H691,'CAT_ACTIVIDADES'!$A$4:$A$26,0)),""))=""),"SIN CLASIFICAR",IFERROR(INDEX('CAT_ACTIVIDADES'!$D$4:$D$26,MATCH($H691,'CAT_ACTIVIDADES'!$A$4:$A$26,0)),"")))</f>
        <v/>
      </c>
      <c r="AP691" s="4" t="n"/>
      <c r="AQ691" s="4" t="n"/>
      <c r="AR691" s="4" t="n"/>
      <c r="AS691" s="24">
        <f>IF($AR691="","",HYPERLINK(p_ruta_base_checklists&amp;$AR691,"abrir"))</f>
        <v/>
      </c>
      <c r="AT691" s="4" t="n"/>
      <c r="AU691" s="24">
        <f>IF($A691="","",$A691&amp;IF($B691="","0010",$B691))</f>
        <v/>
      </c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41" t="n"/>
      <c r="K692" s="5" t="n"/>
      <c r="L692" s="18" t="n"/>
      <c r="M692" s="24">
        <f>IF($A692="","",IFERROR(INDEX('AJUSTES'!$B$4:$B$303,MATCH($AU692,'AJUSTES'!$A$4:$A$303,0)),IF($K692="","",$K692)))</f>
        <v/>
      </c>
      <c r="N692" s="24">
        <f>IF($A692="","",IFERROR(INDEX('CAT_ESTADOS_ERP'!$B$4:$B$22,MATCH(IFERROR(INDEX('2_IMPORTAR_EJECUCION'!$C$9:$C$1208,MATCH($AU692,'2_IMPORTAR_EJECUCION'!$J$9:$J$1208,0)),""),'CAT_ESTADOS_ERP'!$A$4:$A$22,0)),"Pendiente"))</f>
        <v/>
      </c>
      <c r="O692" s="24">
        <f>IF($J692="","",YEAR($J692+4-WEEKDAY($J692,2))&amp;"-S"&amp;TEXT(_xlfn.ISOWEEKNUM($J692),"00"))</f>
        <v/>
      </c>
      <c r="P692" s="24">
        <f>IF($J692="","",YEAR($J692))</f>
        <v/>
      </c>
      <c r="Q692" s="24">
        <f>IF($J692="","",MONTH($J692))</f>
        <v/>
      </c>
      <c r="R692" s="24">
        <f>IF($J692="","",$P692&amp;"-"&amp;TEXT($Q692,"00"))</f>
        <v/>
      </c>
      <c r="S692" s="24">
        <f>IF($J692="","",INDEX(lista_dias,WEEKDAY($J692,2)))</f>
        <v/>
      </c>
      <c r="T692" s="24">
        <f>IF($J692="","",IFERROR(INDEX('CALENDARIO'!$C$15:$C$214,MATCH(TEXT($J692,"yyyy-mm-dd")&amp;"|"&amp;$Y692&amp;"|"&amp;$Z692,'CALENDARIO'!$G$15:$G$214,0)),IFERROR(INDEX('CALENDARIO'!$C$15:$C$214,MATCH(TEXT($J692,"yyyy-mm-dd")&amp;"|"&amp;$Y692&amp;"|",'CALENDARIO'!$G$15:$G$214,0)),IFERROR(INDEX('CALENDARIO'!$C$15:$C$214,MATCH(TEXT($J692,"yyyy-mm-dd")&amp;"||",'CALENDARIO'!$G$15:$G$214,0)),INDEX(patronHabil,WEEKDAY($J692,2))))))</f>
        <v/>
      </c>
      <c r="U692" s="24">
        <f>IF($I692="","",IFERROR(INDEX('CAT_TIPOS_OT'!$C$4:$C$23,MATCH($I692,'CAT_TIPOS_OT'!$A$4:$A$23,0)),"sin_clasificar"))</f>
        <v/>
      </c>
      <c r="V692" s="24">
        <f>IF($I692="","",IF(IFERROR(INDEX('CAT_TIPOS_OT'!$D$4:$D$23,MATCH($I692,'CAT_TIPOS_OT'!$A$4:$A$23,0)),"SIN CLASIFICAR")="","SIN CLASIFICAR",IFERROR(INDEX('CAT_TIPOS_OT'!$D$4:$D$23,MATCH($I692,'CAT_TIPOS_OT'!$A$4:$A$23,0)),"SIN CLASIFICAR")))</f>
        <v/>
      </c>
      <c r="W692" s="24">
        <f>IF($H692="","",IF(IFERROR(INDEX('CAT_ACTIVIDADES'!$F$4:$F$26,MATCH($H692,'CAT_ACTIVIDADES'!$A$4:$A$26,0)),"")=0,"",IFERROR(INDEX('CAT_ACTIVIDADES'!$F$4:$F$26,MATCH($H692,'CAT_ACTIVIDADES'!$A$4:$A$26,0)),"")))</f>
        <v/>
      </c>
      <c r="X692" s="24">
        <f>IF($F692="","",IFERROR(INDEX('CAT_CENTROS_COSTO'!$F$4:$F$28,MATCH($F692,'CAT_CENTROS_COSTO'!$A$4:$A$28,0)),"(sin catálogo)"))</f>
        <v/>
      </c>
      <c r="Y692" s="24">
        <f>IF($F692="","",IFERROR(INDEX('CAT_CENTROS_COSTO'!$D$4:$D$28,MATCH($F692,'CAT_CENTROS_COSTO'!$A$4:$A$28,0)),"(sin catálogo)"))</f>
        <v/>
      </c>
      <c r="Z692" s="24">
        <f>IF($F692="","",IF((IFERROR(INDEX('CAT_CENTROS_COSTO'!$E$4:$E$28,MATCH($F692,'CAT_CENTROS_COSTO'!$A$4:$A$28,0)),""))&lt;&gt;"",IFERROR(INDEX('CAT_CENTROS_COSTO'!$E$4:$E$28,MATCH($F692,'CAT_CENTROS_COSTO'!$A$4:$A$28,0)),""),$Y692))</f>
        <v/>
      </c>
      <c r="AA692" s="24">
        <f>IF($F692="","",IFERROR(INDEX('CAT_CENTROS_COSTO'!$G$4:$G$28,MATCH($F692,'CAT_CENTROS_COSTO'!$A$4:$A$28,0)),"(sin catálogo)"))</f>
        <v/>
      </c>
      <c r="AB692" s="24">
        <f>IF($G692="","",IFERROR(INDEX('CAT_PUESTOS'!$B$4:$B$23,MATCH($G692,'CAT_PUESTOS'!$A$4:$A$23,0)),"(sin catálogo)"))</f>
        <v/>
      </c>
      <c r="AC692" s="24">
        <f>IF($H692="","",IFERROR(INDEX('CAT_ACTIVIDADES'!$B$4:$B$26,MATCH($H692,'CAT_ACTIVIDADES'!$A$4:$A$26,0)),"(sin catálogo)"))</f>
        <v/>
      </c>
      <c r="AD692" s="26">
        <f>IF($J692="","",TODAY()-$J692)</f>
        <v/>
      </c>
      <c r="AE692" s="26">
        <f>IF($J692="","",IF($J692&lt;=TODAY(),COUNTIFS(cal_fechas,"&gt;="&amp;$J692,cal_fechas,"&lt;"&amp;TODAY(),cal_habil,"sí"),-COUNTIFS(cal_fechas,"&gt;="&amp;TODAY(),cal_fechas,"&lt;"&amp;$J692,cal_habil,"sí")))</f>
        <v/>
      </c>
      <c r="AF692" s="24">
        <f>IF($AE692="","",IF($AE692&lt;0,"FUTURO",IF($AE692&gt;p_dias_backlog_max,"BACKLOG","MES CORRIENTE")))</f>
        <v/>
      </c>
      <c r="AG692" s="24">
        <f>IF($AE692="",FALSE,AND($AE692&gt;p_dias_backlog_min,$AE692&lt;=p_dias_backlog_max))</f>
        <v/>
      </c>
      <c r="AH692" s="4" t="n"/>
      <c r="AI692" s="24">
        <f>IF($AH692="","",IF((IFERROR(INDEX('ASIGNACIONES'!$J$4:$J$451,MATCH($O692&amp;"|"&amp;$S692&amp;"|"&amp;$AH692,'ASIGNACIONES'!$N$4:$N$451,0)),""))=0,"",IFERROR(INDEX('ASIGNACIONES'!$J$4:$J$451,MATCH($O692&amp;"|"&amp;$S692&amp;"|"&amp;$AH692,'ASIGNACIONES'!$N$4:$N$451,0)),"")))</f>
        <v/>
      </c>
      <c r="AJ692" s="42">
        <f>IF($AH692="","",SUMIFS('ORDENES'!$M$4:$M$1203,'ORDENES'!$AH$4:$AH$1203,$AH692,'ORDENES'!$O$4:$O$1203,$O692,'ORDENES'!$S$4:$S$1203,$S692))</f>
        <v/>
      </c>
      <c r="AK692" s="42">
        <f>IF($AJ692="","",p_factor_productividad*IFERROR(INDEX('ASIGNACIONES'!$M$4:$M$451,MATCH($O692&amp;"|"&amp;$S692&amp;"|"&amp;$AH692,'ASIGNACIONES'!$N$4:$N$451,0)),0)-$AJ692)</f>
        <v/>
      </c>
      <c r="AL692" s="32">
        <f>IF($A692="","",IFERROR(INDEX('2_IMPORTAR_EJECUCION'!$F$9:$F$1208,MATCH($AU692,'2_IMPORTAR_EJECUCION'!$J$9:$J$1208,0)),0))</f>
        <v/>
      </c>
      <c r="AM692" s="32">
        <f>IF($A692="","",MAX(0,IFERROR(INDEX('2_IMPORTAR_EJECUCION'!$H$9:$H$1208,MATCH($AU692,'2_IMPORTAR_EJECUCION'!$J$9:$J$1208,0)),0)-$AL692))</f>
        <v/>
      </c>
      <c r="AN692" s="32">
        <f>IF($A692="","",$AL692+$AM692)</f>
        <v/>
      </c>
      <c r="AO692" s="24">
        <f>IF($A692="","",IF(OR((IFERROR(INDEX('CAT_ACTIVIDADES'!$D$4:$D$26,MATCH($H692,'CAT_ACTIVIDADES'!$A$4:$A$26,0)),""))=0,(IFERROR(INDEX('CAT_ACTIVIDADES'!$D$4:$D$26,MATCH($H692,'CAT_ACTIVIDADES'!$A$4:$A$26,0)),""))=""),"SIN CLASIFICAR",IFERROR(INDEX('CAT_ACTIVIDADES'!$D$4:$D$26,MATCH($H692,'CAT_ACTIVIDADES'!$A$4:$A$26,0)),"")))</f>
        <v/>
      </c>
      <c r="AP692" s="4" t="n"/>
      <c r="AQ692" s="4" t="n"/>
      <c r="AR692" s="4" t="n"/>
      <c r="AS692" s="24">
        <f>IF($AR692="","",HYPERLINK(p_ruta_base_checklists&amp;$AR692,"abrir"))</f>
        <v/>
      </c>
      <c r="AT692" s="4" t="n"/>
      <c r="AU692" s="24">
        <f>IF($A692="","",$A692&amp;IF($B692="","0010",$B692))</f>
        <v/>
      </c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41" t="n"/>
      <c r="K693" s="5" t="n"/>
      <c r="L693" s="18" t="n"/>
      <c r="M693" s="24">
        <f>IF($A693="","",IFERROR(INDEX('AJUSTES'!$B$4:$B$303,MATCH($AU693,'AJUSTES'!$A$4:$A$303,0)),IF($K693="","",$K693)))</f>
        <v/>
      </c>
      <c r="N693" s="24">
        <f>IF($A693="","",IFERROR(INDEX('CAT_ESTADOS_ERP'!$B$4:$B$22,MATCH(IFERROR(INDEX('2_IMPORTAR_EJECUCION'!$C$9:$C$1208,MATCH($AU693,'2_IMPORTAR_EJECUCION'!$J$9:$J$1208,0)),""),'CAT_ESTADOS_ERP'!$A$4:$A$22,0)),"Pendiente"))</f>
        <v/>
      </c>
      <c r="O693" s="24">
        <f>IF($J693="","",YEAR($J693+4-WEEKDAY($J693,2))&amp;"-S"&amp;TEXT(_xlfn.ISOWEEKNUM($J693),"00"))</f>
        <v/>
      </c>
      <c r="P693" s="24">
        <f>IF($J693="","",YEAR($J693))</f>
        <v/>
      </c>
      <c r="Q693" s="24">
        <f>IF($J693="","",MONTH($J693))</f>
        <v/>
      </c>
      <c r="R693" s="24">
        <f>IF($J693="","",$P693&amp;"-"&amp;TEXT($Q693,"00"))</f>
        <v/>
      </c>
      <c r="S693" s="24">
        <f>IF($J693="","",INDEX(lista_dias,WEEKDAY($J693,2)))</f>
        <v/>
      </c>
      <c r="T693" s="24">
        <f>IF($J693="","",IFERROR(INDEX('CALENDARIO'!$C$15:$C$214,MATCH(TEXT($J693,"yyyy-mm-dd")&amp;"|"&amp;$Y693&amp;"|"&amp;$Z693,'CALENDARIO'!$G$15:$G$214,0)),IFERROR(INDEX('CALENDARIO'!$C$15:$C$214,MATCH(TEXT($J693,"yyyy-mm-dd")&amp;"|"&amp;$Y693&amp;"|",'CALENDARIO'!$G$15:$G$214,0)),IFERROR(INDEX('CALENDARIO'!$C$15:$C$214,MATCH(TEXT($J693,"yyyy-mm-dd")&amp;"||",'CALENDARIO'!$G$15:$G$214,0)),INDEX(patronHabil,WEEKDAY($J693,2))))))</f>
        <v/>
      </c>
      <c r="U693" s="24">
        <f>IF($I693="","",IFERROR(INDEX('CAT_TIPOS_OT'!$C$4:$C$23,MATCH($I693,'CAT_TIPOS_OT'!$A$4:$A$23,0)),"sin_clasificar"))</f>
        <v/>
      </c>
      <c r="V693" s="24">
        <f>IF($I693="","",IF(IFERROR(INDEX('CAT_TIPOS_OT'!$D$4:$D$23,MATCH($I693,'CAT_TIPOS_OT'!$A$4:$A$23,0)),"SIN CLASIFICAR")="","SIN CLASIFICAR",IFERROR(INDEX('CAT_TIPOS_OT'!$D$4:$D$23,MATCH($I693,'CAT_TIPOS_OT'!$A$4:$A$23,0)),"SIN CLASIFICAR")))</f>
        <v/>
      </c>
      <c r="W693" s="24">
        <f>IF($H693="","",IF(IFERROR(INDEX('CAT_ACTIVIDADES'!$F$4:$F$26,MATCH($H693,'CAT_ACTIVIDADES'!$A$4:$A$26,0)),"")=0,"",IFERROR(INDEX('CAT_ACTIVIDADES'!$F$4:$F$26,MATCH($H693,'CAT_ACTIVIDADES'!$A$4:$A$26,0)),"")))</f>
        <v/>
      </c>
      <c r="X693" s="24">
        <f>IF($F693="","",IFERROR(INDEX('CAT_CENTROS_COSTO'!$F$4:$F$28,MATCH($F693,'CAT_CENTROS_COSTO'!$A$4:$A$28,0)),"(sin catálogo)"))</f>
        <v/>
      </c>
      <c r="Y693" s="24">
        <f>IF($F693="","",IFERROR(INDEX('CAT_CENTROS_COSTO'!$D$4:$D$28,MATCH($F693,'CAT_CENTROS_COSTO'!$A$4:$A$28,0)),"(sin catálogo)"))</f>
        <v/>
      </c>
      <c r="Z693" s="24">
        <f>IF($F693="","",IF((IFERROR(INDEX('CAT_CENTROS_COSTO'!$E$4:$E$28,MATCH($F693,'CAT_CENTROS_COSTO'!$A$4:$A$28,0)),""))&lt;&gt;"",IFERROR(INDEX('CAT_CENTROS_COSTO'!$E$4:$E$28,MATCH($F693,'CAT_CENTROS_COSTO'!$A$4:$A$28,0)),""),$Y693))</f>
        <v/>
      </c>
      <c r="AA693" s="24">
        <f>IF($F693="","",IFERROR(INDEX('CAT_CENTROS_COSTO'!$G$4:$G$28,MATCH($F693,'CAT_CENTROS_COSTO'!$A$4:$A$28,0)),"(sin catálogo)"))</f>
        <v/>
      </c>
      <c r="AB693" s="24">
        <f>IF($G693="","",IFERROR(INDEX('CAT_PUESTOS'!$B$4:$B$23,MATCH($G693,'CAT_PUESTOS'!$A$4:$A$23,0)),"(sin catálogo)"))</f>
        <v/>
      </c>
      <c r="AC693" s="24">
        <f>IF($H693="","",IFERROR(INDEX('CAT_ACTIVIDADES'!$B$4:$B$26,MATCH($H693,'CAT_ACTIVIDADES'!$A$4:$A$26,0)),"(sin catálogo)"))</f>
        <v/>
      </c>
      <c r="AD693" s="26">
        <f>IF($J693="","",TODAY()-$J693)</f>
        <v/>
      </c>
      <c r="AE693" s="26">
        <f>IF($J693="","",IF($J693&lt;=TODAY(),COUNTIFS(cal_fechas,"&gt;="&amp;$J693,cal_fechas,"&lt;"&amp;TODAY(),cal_habil,"sí"),-COUNTIFS(cal_fechas,"&gt;="&amp;TODAY(),cal_fechas,"&lt;"&amp;$J693,cal_habil,"sí")))</f>
        <v/>
      </c>
      <c r="AF693" s="24">
        <f>IF($AE693="","",IF($AE693&lt;0,"FUTURO",IF($AE693&gt;p_dias_backlog_max,"BACKLOG","MES CORRIENTE")))</f>
        <v/>
      </c>
      <c r="AG693" s="24">
        <f>IF($AE693="",FALSE,AND($AE693&gt;p_dias_backlog_min,$AE693&lt;=p_dias_backlog_max))</f>
        <v/>
      </c>
      <c r="AH693" s="4" t="n"/>
      <c r="AI693" s="24">
        <f>IF($AH693="","",IF((IFERROR(INDEX('ASIGNACIONES'!$J$4:$J$451,MATCH($O693&amp;"|"&amp;$S693&amp;"|"&amp;$AH693,'ASIGNACIONES'!$N$4:$N$451,0)),""))=0,"",IFERROR(INDEX('ASIGNACIONES'!$J$4:$J$451,MATCH($O693&amp;"|"&amp;$S693&amp;"|"&amp;$AH693,'ASIGNACIONES'!$N$4:$N$451,0)),"")))</f>
        <v/>
      </c>
      <c r="AJ693" s="42">
        <f>IF($AH693="","",SUMIFS('ORDENES'!$M$4:$M$1203,'ORDENES'!$AH$4:$AH$1203,$AH693,'ORDENES'!$O$4:$O$1203,$O693,'ORDENES'!$S$4:$S$1203,$S693))</f>
        <v/>
      </c>
      <c r="AK693" s="42">
        <f>IF($AJ693="","",p_factor_productividad*IFERROR(INDEX('ASIGNACIONES'!$M$4:$M$451,MATCH($O693&amp;"|"&amp;$S693&amp;"|"&amp;$AH693,'ASIGNACIONES'!$N$4:$N$451,0)),0)-$AJ693)</f>
        <v/>
      </c>
      <c r="AL693" s="32">
        <f>IF($A693="","",IFERROR(INDEX('2_IMPORTAR_EJECUCION'!$F$9:$F$1208,MATCH($AU693,'2_IMPORTAR_EJECUCION'!$J$9:$J$1208,0)),0))</f>
        <v/>
      </c>
      <c r="AM693" s="32">
        <f>IF($A693="","",MAX(0,IFERROR(INDEX('2_IMPORTAR_EJECUCION'!$H$9:$H$1208,MATCH($AU693,'2_IMPORTAR_EJECUCION'!$J$9:$J$1208,0)),0)-$AL693))</f>
        <v/>
      </c>
      <c r="AN693" s="32">
        <f>IF($A693="","",$AL693+$AM693)</f>
        <v/>
      </c>
      <c r="AO693" s="24">
        <f>IF($A693="","",IF(OR((IFERROR(INDEX('CAT_ACTIVIDADES'!$D$4:$D$26,MATCH($H693,'CAT_ACTIVIDADES'!$A$4:$A$26,0)),""))=0,(IFERROR(INDEX('CAT_ACTIVIDADES'!$D$4:$D$26,MATCH($H693,'CAT_ACTIVIDADES'!$A$4:$A$26,0)),""))=""),"SIN CLASIFICAR",IFERROR(INDEX('CAT_ACTIVIDADES'!$D$4:$D$26,MATCH($H693,'CAT_ACTIVIDADES'!$A$4:$A$26,0)),"")))</f>
        <v/>
      </c>
      <c r="AP693" s="4" t="n"/>
      <c r="AQ693" s="4" t="n"/>
      <c r="AR693" s="4" t="n"/>
      <c r="AS693" s="24">
        <f>IF($AR693="","",HYPERLINK(p_ruta_base_checklists&amp;$AR693,"abrir"))</f>
        <v/>
      </c>
      <c r="AT693" s="4" t="n"/>
      <c r="AU693" s="24">
        <f>IF($A693="","",$A693&amp;IF($B693="","0010",$B693))</f>
        <v/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41" t="n"/>
      <c r="K694" s="5" t="n"/>
      <c r="L694" s="18" t="n"/>
      <c r="M694" s="24">
        <f>IF($A694="","",IFERROR(INDEX('AJUSTES'!$B$4:$B$303,MATCH($AU694,'AJUSTES'!$A$4:$A$303,0)),IF($K694="","",$K694)))</f>
        <v/>
      </c>
      <c r="N694" s="24">
        <f>IF($A694="","",IFERROR(INDEX('CAT_ESTADOS_ERP'!$B$4:$B$22,MATCH(IFERROR(INDEX('2_IMPORTAR_EJECUCION'!$C$9:$C$1208,MATCH($AU694,'2_IMPORTAR_EJECUCION'!$J$9:$J$1208,0)),""),'CAT_ESTADOS_ERP'!$A$4:$A$22,0)),"Pendiente"))</f>
        <v/>
      </c>
      <c r="O694" s="24">
        <f>IF($J694="","",YEAR($J694+4-WEEKDAY($J694,2))&amp;"-S"&amp;TEXT(_xlfn.ISOWEEKNUM($J694),"00"))</f>
        <v/>
      </c>
      <c r="P694" s="24">
        <f>IF($J694="","",YEAR($J694))</f>
        <v/>
      </c>
      <c r="Q694" s="24">
        <f>IF($J694="","",MONTH($J694))</f>
        <v/>
      </c>
      <c r="R694" s="24">
        <f>IF($J694="","",$P694&amp;"-"&amp;TEXT($Q694,"00"))</f>
        <v/>
      </c>
      <c r="S694" s="24">
        <f>IF($J694="","",INDEX(lista_dias,WEEKDAY($J694,2)))</f>
        <v/>
      </c>
      <c r="T694" s="24">
        <f>IF($J694="","",IFERROR(INDEX('CALENDARIO'!$C$15:$C$214,MATCH(TEXT($J694,"yyyy-mm-dd")&amp;"|"&amp;$Y694&amp;"|"&amp;$Z694,'CALENDARIO'!$G$15:$G$214,0)),IFERROR(INDEX('CALENDARIO'!$C$15:$C$214,MATCH(TEXT($J694,"yyyy-mm-dd")&amp;"|"&amp;$Y694&amp;"|",'CALENDARIO'!$G$15:$G$214,0)),IFERROR(INDEX('CALENDARIO'!$C$15:$C$214,MATCH(TEXT($J694,"yyyy-mm-dd")&amp;"||",'CALENDARIO'!$G$15:$G$214,0)),INDEX(patronHabil,WEEKDAY($J694,2))))))</f>
        <v/>
      </c>
      <c r="U694" s="24">
        <f>IF($I694="","",IFERROR(INDEX('CAT_TIPOS_OT'!$C$4:$C$23,MATCH($I694,'CAT_TIPOS_OT'!$A$4:$A$23,0)),"sin_clasificar"))</f>
        <v/>
      </c>
      <c r="V694" s="24">
        <f>IF($I694="","",IF(IFERROR(INDEX('CAT_TIPOS_OT'!$D$4:$D$23,MATCH($I694,'CAT_TIPOS_OT'!$A$4:$A$23,0)),"SIN CLASIFICAR")="","SIN CLASIFICAR",IFERROR(INDEX('CAT_TIPOS_OT'!$D$4:$D$23,MATCH($I694,'CAT_TIPOS_OT'!$A$4:$A$23,0)),"SIN CLASIFICAR")))</f>
        <v/>
      </c>
      <c r="W694" s="24">
        <f>IF($H694="","",IF(IFERROR(INDEX('CAT_ACTIVIDADES'!$F$4:$F$26,MATCH($H694,'CAT_ACTIVIDADES'!$A$4:$A$26,0)),"")=0,"",IFERROR(INDEX('CAT_ACTIVIDADES'!$F$4:$F$26,MATCH($H694,'CAT_ACTIVIDADES'!$A$4:$A$26,0)),"")))</f>
        <v/>
      </c>
      <c r="X694" s="24">
        <f>IF($F694="","",IFERROR(INDEX('CAT_CENTROS_COSTO'!$F$4:$F$28,MATCH($F694,'CAT_CENTROS_COSTO'!$A$4:$A$28,0)),"(sin catálogo)"))</f>
        <v/>
      </c>
      <c r="Y694" s="24">
        <f>IF($F694="","",IFERROR(INDEX('CAT_CENTROS_COSTO'!$D$4:$D$28,MATCH($F694,'CAT_CENTROS_COSTO'!$A$4:$A$28,0)),"(sin catálogo)"))</f>
        <v/>
      </c>
      <c r="Z694" s="24">
        <f>IF($F694="","",IF((IFERROR(INDEX('CAT_CENTROS_COSTO'!$E$4:$E$28,MATCH($F694,'CAT_CENTROS_COSTO'!$A$4:$A$28,0)),""))&lt;&gt;"",IFERROR(INDEX('CAT_CENTROS_COSTO'!$E$4:$E$28,MATCH($F694,'CAT_CENTROS_COSTO'!$A$4:$A$28,0)),""),$Y694))</f>
        <v/>
      </c>
      <c r="AA694" s="24">
        <f>IF($F694="","",IFERROR(INDEX('CAT_CENTROS_COSTO'!$G$4:$G$28,MATCH($F694,'CAT_CENTROS_COSTO'!$A$4:$A$28,0)),"(sin catálogo)"))</f>
        <v/>
      </c>
      <c r="AB694" s="24">
        <f>IF($G694="","",IFERROR(INDEX('CAT_PUESTOS'!$B$4:$B$23,MATCH($G694,'CAT_PUESTOS'!$A$4:$A$23,0)),"(sin catálogo)"))</f>
        <v/>
      </c>
      <c r="AC694" s="24">
        <f>IF($H694="","",IFERROR(INDEX('CAT_ACTIVIDADES'!$B$4:$B$26,MATCH($H694,'CAT_ACTIVIDADES'!$A$4:$A$26,0)),"(sin catálogo)"))</f>
        <v/>
      </c>
      <c r="AD694" s="26">
        <f>IF($J694="","",TODAY()-$J694)</f>
        <v/>
      </c>
      <c r="AE694" s="26">
        <f>IF($J694="","",IF($J694&lt;=TODAY(),COUNTIFS(cal_fechas,"&gt;="&amp;$J694,cal_fechas,"&lt;"&amp;TODAY(),cal_habil,"sí"),-COUNTIFS(cal_fechas,"&gt;="&amp;TODAY(),cal_fechas,"&lt;"&amp;$J694,cal_habil,"sí")))</f>
        <v/>
      </c>
      <c r="AF694" s="24">
        <f>IF($AE694="","",IF($AE694&lt;0,"FUTURO",IF($AE694&gt;p_dias_backlog_max,"BACKLOG","MES CORRIENTE")))</f>
        <v/>
      </c>
      <c r="AG694" s="24">
        <f>IF($AE694="",FALSE,AND($AE694&gt;p_dias_backlog_min,$AE694&lt;=p_dias_backlog_max))</f>
        <v/>
      </c>
      <c r="AH694" s="4" t="n"/>
      <c r="AI694" s="24">
        <f>IF($AH694="","",IF((IFERROR(INDEX('ASIGNACIONES'!$J$4:$J$451,MATCH($O694&amp;"|"&amp;$S694&amp;"|"&amp;$AH694,'ASIGNACIONES'!$N$4:$N$451,0)),""))=0,"",IFERROR(INDEX('ASIGNACIONES'!$J$4:$J$451,MATCH($O694&amp;"|"&amp;$S694&amp;"|"&amp;$AH694,'ASIGNACIONES'!$N$4:$N$451,0)),"")))</f>
        <v/>
      </c>
      <c r="AJ694" s="42">
        <f>IF($AH694="","",SUMIFS('ORDENES'!$M$4:$M$1203,'ORDENES'!$AH$4:$AH$1203,$AH694,'ORDENES'!$O$4:$O$1203,$O694,'ORDENES'!$S$4:$S$1203,$S694))</f>
        <v/>
      </c>
      <c r="AK694" s="42">
        <f>IF($AJ694="","",p_factor_productividad*IFERROR(INDEX('ASIGNACIONES'!$M$4:$M$451,MATCH($O694&amp;"|"&amp;$S694&amp;"|"&amp;$AH694,'ASIGNACIONES'!$N$4:$N$451,0)),0)-$AJ694)</f>
        <v/>
      </c>
      <c r="AL694" s="32">
        <f>IF($A694="","",IFERROR(INDEX('2_IMPORTAR_EJECUCION'!$F$9:$F$1208,MATCH($AU694,'2_IMPORTAR_EJECUCION'!$J$9:$J$1208,0)),0))</f>
        <v/>
      </c>
      <c r="AM694" s="32">
        <f>IF($A694="","",MAX(0,IFERROR(INDEX('2_IMPORTAR_EJECUCION'!$H$9:$H$1208,MATCH($AU694,'2_IMPORTAR_EJECUCION'!$J$9:$J$1208,0)),0)-$AL694))</f>
        <v/>
      </c>
      <c r="AN694" s="32">
        <f>IF($A694="","",$AL694+$AM694)</f>
        <v/>
      </c>
      <c r="AO694" s="24">
        <f>IF($A694="","",IF(OR((IFERROR(INDEX('CAT_ACTIVIDADES'!$D$4:$D$26,MATCH($H694,'CAT_ACTIVIDADES'!$A$4:$A$26,0)),""))=0,(IFERROR(INDEX('CAT_ACTIVIDADES'!$D$4:$D$26,MATCH($H694,'CAT_ACTIVIDADES'!$A$4:$A$26,0)),""))=""),"SIN CLASIFICAR",IFERROR(INDEX('CAT_ACTIVIDADES'!$D$4:$D$26,MATCH($H694,'CAT_ACTIVIDADES'!$A$4:$A$26,0)),"")))</f>
        <v/>
      </c>
      <c r="AP694" s="4" t="n"/>
      <c r="AQ694" s="4" t="n"/>
      <c r="AR694" s="4" t="n"/>
      <c r="AS694" s="24">
        <f>IF($AR694="","",HYPERLINK(p_ruta_base_checklists&amp;$AR694,"abrir"))</f>
        <v/>
      </c>
      <c r="AT694" s="4" t="n"/>
      <c r="AU694" s="24">
        <f>IF($A694="","",$A694&amp;IF($B694="","0010",$B694))</f>
        <v/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41" t="n"/>
      <c r="K695" s="5" t="n"/>
      <c r="L695" s="18" t="n"/>
      <c r="M695" s="24">
        <f>IF($A695="","",IFERROR(INDEX('AJUSTES'!$B$4:$B$303,MATCH($AU695,'AJUSTES'!$A$4:$A$303,0)),IF($K695="","",$K695)))</f>
        <v/>
      </c>
      <c r="N695" s="24">
        <f>IF($A695="","",IFERROR(INDEX('CAT_ESTADOS_ERP'!$B$4:$B$22,MATCH(IFERROR(INDEX('2_IMPORTAR_EJECUCION'!$C$9:$C$1208,MATCH($AU695,'2_IMPORTAR_EJECUCION'!$J$9:$J$1208,0)),""),'CAT_ESTADOS_ERP'!$A$4:$A$22,0)),"Pendiente"))</f>
        <v/>
      </c>
      <c r="O695" s="24">
        <f>IF($J695="","",YEAR($J695+4-WEEKDAY($J695,2))&amp;"-S"&amp;TEXT(_xlfn.ISOWEEKNUM($J695),"00"))</f>
        <v/>
      </c>
      <c r="P695" s="24">
        <f>IF($J695="","",YEAR($J695))</f>
        <v/>
      </c>
      <c r="Q695" s="24">
        <f>IF($J695="","",MONTH($J695))</f>
        <v/>
      </c>
      <c r="R695" s="24">
        <f>IF($J695="","",$P695&amp;"-"&amp;TEXT($Q695,"00"))</f>
        <v/>
      </c>
      <c r="S695" s="24">
        <f>IF($J695="","",INDEX(lista_dias,WEEKDAY($J695,2)))</f>
        <v/>
      </c>
      <c r="T695" s="24">
        <f>IF($J695="","",IFERROR(INDEX('CALENDARIO'!$C$15:$C$214,MATCH(TEXT($J695,"yyyy-mm-dd")&amp;"|"&amp;$Y695&amp;"|"&amp;$Z695,'CALENDARIO'!$G$15:$G$214,0)),IFERROR(INDEX('CALENDARIO'!$C$15:$C$214,MATCH(TEXT($J695,"yyyy-mm-dd")&amp;"|"&amp;$Y695&amp;"|",'CALENDARIO'!$G$15:$G$214,0)),IFERROR(INDEX('CALENDARIO'!$C$15:$C$214,MATCH(TEXT($J695,"yyyy-mm-dd")&amp;"||",'CALENDARIO'!$G$15:$G$214,0)),INDEX(patronHabil,WEEKDAY($J695,2))))))</f>
        <v/>
      </c>
      <c r="U695" s="24">
        <f>IF($I695="","",IFERROR(INDEX('CAT_TIPOS_OT'!$C$4:$C$23,MATCH($I695,'CAT_TIPOS_OT'!$A$4:$A$23,0)),"sin_clasificar"))</f>
        <v/>
      </c>
      <c r="V695" s="24">
        <f>IF($I695="","",IF(IFERROR(INDEX('CAT_TIPOS_OT'!$D$4:$D$23,MATCH($I695,'CAT_TIPOS_OT'!$A$4:$A$23,0)),"SIN CLASIFICAR")="","SIN CLASIFICAR",IFERROR(INDEX('CAT_TIPOS_OT'!$D$4:$D$23,MATCH($I695,'CAT_TIPOS_OT'!$A$4:$A$23,0)),"SIN CLASIFICAR")))</f>
        <v/>
      </c>
      <c r="W695" s="24">
        <f>IF($H695="","",IF(IFERROR(INDEX('CAT_ACTIVIDADES'!$F$4:$F$26,MATCH($H695,'CAT_ACTIVIDADES'!$A$4:$A$26,0)),"")=0,"",IFERROR(INDEX('CAT_ACTIVIDADES'!$F$4:$F$26,MATCH($H695,'CAT_ACTIVIDADES'!$A$4:$A$26,0)),"")))</f>
        <v/>
      </c>
      <c r="X695" s="24">
        <f>IF($F695="","",IFERROR(INDEX('CAT_CENTROS_COSTO'!$F$4:$F$28,MATCH($F695,'CAT_CENTROS_COSTO'!$A$4:$A$28,0)),"(sin catálogo)"))</f>
        <v/>
      </c>
      <c r="Y695" s="24">
        <f>IF($F695="","",IFERROR(INDEX('CAT_CENTROS_COSTO'!$D$4:$D$28,MATCH($F695,'CAT_CENTROS_COSTO'!$A$4:$A$28,0)),"(sin catálogo)"))</f>
        <v/>
      </c>
      <c r="Z695" s="24">
        <f>IF($F695="","",IF((IFERROR(INDEX('CAT_CENTROS_COSTO'!$E$4:$E$28,MATCH($F695,'CAT_CENTROS_COSTO'!$A$4:$A$28,0)),""))&lt;&gt;"",IFERROR(INDEX('CAT_CENTROS_COSTO'!$E$4:$E$28,MATCH($F695,'CAT_CENTROS_COSTO'!$A$4:$A$28,0)),""),$Y695))</f>
        <v/>
      </c>
      <c r="AA695" s="24">
        <f>IF($F695="","",IFERROR(INDEX('CAT_CENTROS_COSTO'!$G$4:$G$28,MATCH($F695,'CAT_CENTROS_COSTO'!$A$4:$A$28,0)),"(sin catálogo)"))</f>
        <v/>
      </c>
      <c r="AB695" s="24">
        <f>IF($G695="","",IFERROR(INDEX('CAT_PUESTOS'!$B$4:$B$23,MATCH($G695,'CAT_PUESTOS'!$A$4:$A$23,0)),"(sin catálogo)"))</f>
        <v/>
      </c>
      <c r="AC695" s="24">
        <f>IF($H695="","",IFERROR(INDEX('CAT_ACTIVIDADES'!$B$4:$B$26,MATCH($H695,'CAT_ACTIVIDADES'!$A$4:$A$26,0)),"(sin catálogo)"))</f>
        <v/>
      </c>
      <c r="AD695" s="26">
        <f>IF($J695="","",TODAY()-$J695)</f>
        <v/>
      </c>
      <c r="AE695" s="26">
        <f>IF($J695="","",IF($J695&lt;=TODAY(),COUNTIFS(cal_fechas,"&gt;="&amp;$J695,cal_fechas,"&lt;"&amp;TODAY(),cal_habil,"sí"),-COUNTIFS(cal_fechas,"&gt;="&amp;TODAY(),cal_fechas,"&lt;"&amp;$J695,cal_habil,"sí")))</f>
        <v/>
      </c>
      <c r="AF695" s="24">
        <f>IF($AE695="","",IF($AE695&lt;0,"FUTURO",IF($AE695&gt;p_dias_backlog_max,"BACKLOG","MES CORRIENTE")))</f>
        <v/>
      </c>
      <c r="AG695" s="24">
        <f>IF($AE695="",FALSE,AND($AE695&gt;p_dias_backlog_min,$AE695&lt;=p_dias_backlog_max))</f>
        <v/>
      </c>
      <c r="AH695" s="4" t="n"/>
      <c r="AI695" s="24">
        <f>IF($AH695="","",IF((IFERROR(INDEX('ASIGNACIONES'!$J$4:$J$451,MATCH($O695&amp;"|"&amp;$S695&amp;"|"&amp;$AH695,'ASIGNACIONES'!$N$4:$N$451,0)),""))=0,"",IFERROR(INDEX('ASIGNACIONES'!$J$4:$J$451,MATCH($O695&amp;"|"&amp;$S695&amp;"|"&amp;$AH695,'ASIGNACIONES'!$N$4:$N$451,0)),"")))</f>
        <v/>
      </c>
      <c r="AJ695" s="42">
        <f>IF($AH695="","",SUMIFS('ORDENES'!$M$4:$M$1203,'ORDENES'!$AH$4:$AH$1203,$AH695,'ORDENES'!$O$4:$O$1203,$O695,'ORDENES'!$S$4:$S$1203,$S695))</f>
        <v/>
      </c>
      <c r="AK695" s="42">
        <f>IF($AJ695="","",p_factor_productividad*IFERROR(INDEX('ASIGNACIONES'!$M$4:$M$451,MATCH($O695&amp;"|"&amp;$S695&amp;"|"&amp;$AH695,'ASIGNACIONES'!$N$4:$N$451,0)),0)-$AJ695)</f>
        <v/>
      </c>
      <c r="AL695" s="32">
        <f>IF($A695="","",IFERROR(INDEX('2_IMPORTAR_EJECUCION'!$F$9:$F$1208,MATCH($AU695,'2_IMPORTAR_EJECUCION'!$J$9:$J$1208,0)),0))</f>
        <v/>
      </c>
      <c r="AM695" s="32">
        <f>IF($A695="","",MAX(0,IFERROR(INDEX('2_IMPORTAR_EJECUCION'!$H$9:$H$1208,MATCH($AU695,'2_IMPORTAR_EJECUCION'!$J$9:$J$1208,0)),0)-$AL695))</f>
        <v/>
      </c>
      <c r="AN695" s="32">
        <f>IF($A695="","",$AL695+$AM695)</f>
        <v/>
      </c>
      <c r="AO695" s="24">
        <f>IF($A695="","",IF(OR((IFERROR(INDEX('CAT_ACTIVIDADES'!$D$4:$D$26,MATCH($H695,'CAT_ACTIVIDADES'!$A$4:$A$26,0)),""))=0,(IFERROR(INDEX('CAT_ACTIVIDADES'!$D$4:$D$26,MATCH($H695,'CAT_ACTIVIDADES'!$A$4:$A$26,0)),""))=""),"SIN CLASIFICAR",IFERROR(INDEX('CAT_ACTIVIDADES'!$D$4:$D$26,MATCH($H695,'CAT_ACTIVIDADES'!$A$4:$A$26,0)),"")))</f>
        <v/>
      </c>
      <c r="AP695" s="4" t="n"/>
      <c r="AQ695" s="4" t="n"/>
      <c r="AR695" s="4" t="n"/>
      <c r="AS695" s="24">
        <f>IF($AR695="","",HYPERLINK(p_ruta_base_checklists&amp;$AR695,"abrir"))</f>
        <v/>
      </c>
      <c r="AT695" s="4" t="n"/>
      <c r="AU695" s="24">
        <f>IF($A695="","",$A695&amp;IF($B695="","0010",$B695))</f>
        <v/>
      </c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41" t="n"/>
      <c r="K696" s="5" t="n"/>
      <c r="L696" s="18" t="n"/>
      <c r="M696" s="24">
        <f>IF($A696="","",IFERROR(INDEX('AJUSTES'!$B$4:$B$303,MATCH($AU696,'AJUSTES'!$A$4:$A$303,0)),IF($K696="","",$K696)))</f>
        <v/>
      </c>
      <c r="N696" s="24">
        <f>IF($A696="","",IFERROR(INDEX('CAT_ESTADOS_ERP'!$B$4:$B$22,MATCH(IFERROR(INDEX('2_IMPORTAR_EJECUCION'!$C$9:$C$1208,MATCH($AU696,'2_IMPORTAR_EJECUCION'!$J$9:$J$1208,0)),""),'CAT_ESTADOS_ERP'!$A$4:$A$22,0)),"Pendiente"))</f>
        <v/>
      </c>
      <c r="O696" s="24">
        <f>IF($J696="","",YEAR($J696+4-WEEKDAY($J696,2))&amp;"-S"&amp;TEXT(_xlfn.ISOWEEKNUM($J696),"00"))</f>
        <v/>
      </c>
      <c r="P696" s="24">
        <f>IF($J696="","",YEAR($J696))</f>
        <v/>
      </c>
      <c r="Q696" s="24">
        <f>IF($J696="","",MONTH($J696))</f>
        <v/>
      </c>
      <c r="R696" s="24">
        <f>IF($J696="","",$P696&amp;"-"&amp;TEXT($Q696,"00"))</f>
        <v/>
      </c>
      <c r="S696" s="24">
        <f>IF($J696="","",INDEX(lista_dias,WEEKDAY($J696,2)))</f>
        <v/>
      </c>
      <c r="T696" s="24">
        <f>IF($J696="","",IFERROR(INDEX('CALENDARIO'!$C$15:$C$214,MATCH(TEXT($J696,"yyyy-mm-dd")&amp;"|"&amp;$Y696&amp;"|"&amp;$Z696,'CALENDARIO'!$G$15:$G$214,0)),IFERROR(INDEX('CALENDARIO'!$C$15:$C$214,MATCH(TEXT($J696,"yyyy-mm-dd")&amp;"|"&amp;$Y696&amp;"|",'CALENDARIO'!$G$15:$G$214,0)),IFERROR(INDEX('CALENDARIO'!$C$15:$C$214,MATCH(TEXT($J696,"yyyy-mm-dd")&amp;"||",'CALENDARIO'!$G$15:$G$214,0)),INDEX(patronHabil,WEEKDAY($J696,2))))))</f>
        <v/>
      </c>
      <c r="U696" s="24">
        <f>IF($I696="","",IFERROR(INDEX('CAT_TIPOS_OT'!$C$4:$C$23,MATCH($I696,'CAT_TIPOS_OT'!$A$4:$A$23,0)),"sin_clasificar"))</f>
        <v/>
      </c>
      <c r="V696" s="24">
        <f>IF($I696="","",IF(IFERROR(INDEX('CAT_TIPOS_OT'!$D$4:$D$23,MATCH($I696,'CAT_TIPOS_OT'!$A$4:$A$23,0)),"SIN CLASIFICAR")="","SIN CLASIFICAR",IFERROR(INDEX('CAT_TIPOS_OT'!$D$4:$D$23,MATCH($I696,'CAT_TIPOS_OT'!$A$4:$A$23,0)),"SIN CLASIFICAR")))</f>
        <v/>
      </c>
      <c r="W696" s="24">
        <f>IF($H696="","",IF(IFERROR(INDEX('CAT_ACTIVIDADES'!$F$4:$F$26,MATCH($H696,'CAT_ACTIVIDADES'!$A$4:$A$26,0)),"")=0,"",IFERROR(INDEX('CAT_ACTIVIDADES'!$F$4:$F$26,MATCH($H696,'CAT_ACTIVIDADES'!$A$4:$A$26,0)),"")))</f>
        <v/>
      </c>
      <c r="X696" s="24">
        <f>IF($F696="","",IFERROR(INDEX('CAT_CENTROS_COSTO'!$F$4:$F$28,MATCH($F696,'CAT_CENTROS_COSTO'!$A$4:$A$28,0)),"(sin catálogo)"))</f>
        <v/>
      </c>
      <c r="Y696" s="24">
        <f>IF($F696="","",IFERROR(INDEX('CAT_CENTROS_COSTO'!$D$4:$D$28,MATCH($F696,'CAT_CENTROS_COSTO'!$A$4:$A$28,0)),"(sin catálogo)"))</f>
        <v/>
      </c>
      <c r="Z696" s="24">
        <f>IF($F696="","",IF((IFERROR(INDEX('CAT_CENTROS_COSTO'!$E$4:$E$28,MATCH($F696,'CAT_CENTROS_COSTO'!$A$4:$A$28,0)),""))&lt;&gt;"",IFERROR(INDEX('CAT_CENTROS_COSTO'!$E$4:$E$28,MATCH($F696,'CAT_CENTROS_COSTO'!$A$4:$A$28,0)),""),$Y696))</f>
        <v/>
      </c>
      <c r="AA696" s="24">
        <f>IF($F696="","",IFERROR(INDEX('CAT_CENTROS_COSTO'!$G$4:$G$28,MATCH($F696,'CAT_CENTROS_COSTO'!$A$4:$A$28,0)),"(sin catálogo)"))</f>
        <v/>
      </c>
      <c r="AB696" s="24">
        <f>IF($G696="","",IFERROR(INDEX('CAT_PUESTOS'!$B$4:$B$23,MATCH($G696,'CAT_PUESTOS'!$A$4:$A$23,0)),"(sin catálogo)"))</f>
        <v/>
      </c>
      <c r="AC696" s="24">
        <f>IF($H696="","",IFERROR(INDEX('CAT_ACTIVIDADES'!$B$4:$B$26,MATCH($H696,'CAT_ACTIVIDADES'!$A$4:$A$26,0)),"(sin catálogo)"))</f>
        <v/>
      </c>
      <c r="AD696" s="26">
        <f>IF($J696="","",TODAY()-$J696)</f>
        <v/>
      </c>
      <c r="AE696" s="26">
        <f>IF($J696="","",IF($J696&lt;=TODAY(),COUNTIFS(cal_fechas,"&gt;="&amp;$J696,cal_fechas,"&lt;"&amp;TODAY(),cal_habil,"sí"),-COUNTIFS(cal_fechas,"&gt;="&amp;TODAY(),cal_fechas,"&lt;"&amp;$J696,cal_habil,"sí")))</f>
        <v/>
      </c>
      <c r="AF696" s="24">
        <f>IF($AE696="","",IF($AE696&lt;0,"FUTURO",IF($AE696&gt;p_dias_backlog_max,"BACKLOG","MES CORRIENTE")))</f>
        <v/>
      </c>
      <c r="AG696" s="24">
        <f>IF($AE696="",FALSE,AND($AE696&gt;p_dias_backlog_min,$AE696&lt;=p_dias_backlog_max))</f>
        <v/>
      </c>
      <c r="AH696" s="4" t="n"/>
      <c r="AI696" s="24">
        <f>IF($AH696="","",IF((IFERROR(INDEX('ASIGNACIONES'!$J$4:$J$451,MATCH($O696&amp;"|"&amp;$S696&amp;"|"&amp;$AH696,'ASIGNACIONES'!$N$4:$N$451,0)),""))=0,"",IFERROR(INDEX('ASIGNACIONES'!$J$4:$J$451,MATCH($O696&amp;"|"&amp;$S696&amp;"|"&amp;$AH696,'ASIGNACIONES'!$N$4:$N$451,0)),"")))</f>
        <v/>
      </c>
      <c r="AJ696" s="42">
        <f>IF($AH696="","",SUMIFS('ORDENES'!$M$4:$M$1203,'ORDENES'!$AH$4:$AH$1203,$AH696,'ORDENES'!$O$4:$O$1203,$O696,'ORDENES'!$S$4:$S$1203,$S696))</f>
        <v/>
      </c>
      <c r="AK696" s="42">
        <f>IF($AJ696="","",p_factor_productividad*IFERROR(INDEX('ASIGNACIONES'!$M$4:$M$451,MATCH($O696&amp;"|"&amp;$S696&amp;"|"&amp;$AH696,'ASIGNACIONES'!$N$4:$N$451,0)),0)-$AJ696)</f>
        <v/>
      </c>
      <c r="AL696" s="32">
        <f>IF($A696="","",IFERROR(INDEX('2_IMPORTAR_EJECUCION'!$F$9:$F$1208,MATCH($AU696,'2_IMPORTAR_EJECUCION'!$J$9:$J$1208,0)),0))</f>
        <v/>
      </c>
      <c r="AM696" s="32">
        <f>IF($A696="","",MAX(0,IFERROR(INDEX('2_IMPORTAR_EJECUCION'!$H$9:$H$1208,MATCH($AU696,'2_IMPORTAR_EJECUCION'!$J$9:$J$1208,0)),0)-$AL696))</f>
        <v/>
      </c>
      <c r="AN696" s="32">
        <f>IF($A696="","",$AL696+$AM696)</f>
        <v/>
      </c>
      <c r="AO696" s="24">
        <f>IF($A696="","",IF(OR((IFERROR(INDEX('CAT_ACTIVIDADES'!$D$4:$D$26,MATCH($H696,'CAT_ACTIVIDADES'!$A$4:$A$26,0)),""))=0,(IFERROR(INDEX('CAT_ACTIVIDADES'!$D$4:$D$26,MATCH($H696,'CAT_ACTIVIDADES'!$A$4:$A$26,0)),""))=""),"SIN CLASIFICAR",IFERROR(INDEX('CAT_ACTIVIDADES'!$D$4:$D$26,MATCH($H696,'CAT_ACTIVIDADES'!$A$4:$A$26,0)),"")))</f>
        <v/>
      </c>
      <c r="AP696" s="4" t="n"/>
      <c r="AQ696" s="4" t="n"/>
      <c r="AR696" s="4" t="n"/>
      <c r="AS696" s="24">
        <f>IF($AR696="","",HYPERLINK(p_ruta_base_checklists&amp;$AR696,"abrir"))</f>
        <v/>
      </c>
      <c r="AT696" s="4" t="n"/>
      <c r="AU696" s="24">
        <f>IF($A696="","",$A696&amp;IF($B696="","0010",$B696))</f>
        <v/>
      </c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41" t="n"/>
      <c r="K697" s="5" t="n"/>
      <c r="L697" s="18" t="n"/>
      <c r="M697" s="24">
        <f>IF($A697="","",IFERROR(INDEX('AJUSTES'!$B$4:$B$303,MATCH($AU697,'AJUSTES'!$A$4:$A$303,0)),IF($K697="","",$K697)))</f>
        <v/>
      </c>
      <c r="N697" s="24">
        <f>IF($A697="","",IFERROR(INDEX('CAT_ESTADOS_ERP'!$B$4:$B$22,MATCH(IFERROR(INDEX('2_IMPORTAR_EJECUCION'!$C$9:$C$1208,MATCH($AU697,'2_IMPORTAR_EJECUCION'!$J$9:$J$1208,0)),""),'CAT_ESTADOS_ERP'!$A$4:$A$22,0)),"Pendiente"))</f>
        <v/>
      </c>
      <c r="O697" s="24">
        <f>IF($J697="","",YEAR($J697+4-WEEKDAY($J697,2))&amp;"-S"&amp;TEXT(_xlfn.ISOWEEKNUM($J697),"00"))</f>
        <v/>
      </c>
      <c r="P697" s="24">
        <f>IF($J697="","",YEAR($J697))</f>
        <v/>
      </c>
      <c r="Q697" s="24">
        <f>IF($J697="","",MONTH($J697))</f>
        <v/>
      </c>
      <c r="R697" s="24">
        <f>IF($J697="","",$P697&amp;"-"&amp;TEXT($Q697,"00"))</f>
        <v/>
      </c>
      <c r="S697" s="24">
        <f>IF($J697="","",INDEX(lista_dias,WEEKDAY($J697,2)))</f>
        <v/>
      </c>
      <c r="T697" s="24">
        <f>IF($J697="","",IFERROR(INDEX('CALENDARIO'!$C$15:$C$214,MATCH(TEXT($J697,"yyyy-mm-dd")&amp;"|"&amp;$Y697&amp;"|"&amp;$Z697,'CALENDARIO'!$G$15:$G$214,0)),IFERROR(INDEX('CALENDARIO'!$C$15:$C$214,MATCH(TEXT($J697,"yyyy-mm-dd")&amp;"|"&amp;$Y697&amp;"|",'CALENDARIO'!$G$15:$G$214,0)),IFERROR(INDEX('CALENDARIO'!$C$15:$C$214,MATCH(TEXT($J697,"yyyy-mm-dd")&amp;"||",'CALENDARIO'!$G$15:$G$214,0)),INDEX(patronHabil,WEEKDAY($J697,2))))))</f>
        <v/>
      </c>
      <c r="U697" s="24">
        <f>IF($I697="","",IFERROR(INDEX('CAT_TIPOS_OT'!$C$4:$C$23,MATCH($I697,'CAT_TIPOS_OT'!$A$4:$A$23,0)),"sin_clasificar"))</f>
        <v/>
      </c>
      <c r="V697" s="24">
        <f>IF($I697="","",IF(IFERROR(INDEX('CAT_TIPOS_OT'!$D$4:$D$23,MATCH($I697,'CAT_TIPOS_OT'!$A$4:$A$23,0)),"SIN CLASIFICAR")="","SIN CLASIFICAR",IFERROR(INDEX('CAT_TIPOS_OT'!$D$4:$D$23,MATCH($I697,'CAT_TIPOS_OT'!$A$4:$A$23,0)),"SIN CLASIFICAR")))</f>
        <v/>
      </c>
      <c r="W697" s="24">
        <f>IF($H697="","",IF(IFERROR(INDEX('CAT_ACTIVIDADES'!$F$4:$F$26,MATCH($H697,'CAT_ACTIVIDADES'!$A$4:$A$26,0)),"")=0,"",IFERROR(INDEX('CAT_ACTIVIDADES'!$F$4:$F$26,MATCH($H697,'CAT_ACTIVIDADES'!$A$4:$A$26,0)),"")))</f>
        <v/>
      </c>
      <c r="X697" s="24">
        <f>IF($F697="","",IFERROR(INDEX('CAT_CENTROS_COSTO'!$F$4:$F$28,MATCH($F697,'CAT_CENTROS_COSTO'!$A$4:$A$28,0)),"(sin catálogo)"))</f>
        <v/>
      </c>
      <c r="Y697" s="24">
        <f>IF($F697="","",IFERROR(INDEX('CAT_CENTROS_COSTO'!$D$4:$D$28,MATCH($F697,'CAT_CENTROS_COSTO'!$A$4:$A$28,0)),"(sin catálogo)"))</f>
        <v/>
      </c>
      <c r="Z697" s="24">
        <f>IF($F697="","",IF((IFERROR(INDEX('CAT_CENTROS_COSTO'!$E$4:$E$28,MATCH($F697,'CAT_CENTROS_COSTO'!$A$4:$A$28,0)),""))&lt;&gt;"",IFERROR(INDEX('CAT_CENTROS_COSTO'!$E$4:$E$28,MATCH($F697,'CAT_CENTROS_COSTO'!$A$4:$A$28,0)),""),$Y697))</f>
        <v/>
      </c>
      <c r="AA697" s="24">
        <f>IF($F697="","",IFERROR(INDEX('CAT_CENTROS_COSTO'!$G$4:$G$28,MATCH($F697,'CAT_CENTROS_COSTO'!$A$4:$A$28,0)),"(sin catálogo)"))</f>
        <v/>
      </c>
      <c r="AB697" s="24">
        <f>IF($G697="","",IFERROR(INDEX('CAT_PUESTOS'!$B$4:$B$23,MATCH($G697,'CAT_PUESTOS'!$A$4:$A$23,0)),"(sin catálogo)"))</f>
        <v/>
      </c>
      <c r="AC697" s="24">
        <f>IF($H697="","",IFERROR(INDEX('CAT_ACTIVIDADES'!$B$4:$B$26,MATCH($H697,'CAT_ACTIVIDADES'!$A$4:$A$26,0)),"(sin catálogo)"))</f>
        <v/>
      </c>
      <c r="AD697" s="26">
        <f>IF($J697="","",TODAY()-$J697)</f>
        <v/>
      </c>
      <c r="AE697" s="26">
        <f>IF($J697="","",IF($J697&lt;=TODAY(),COUNTIFS(cal_fechas,"&gt;="&amp;$J697,cal_fechas,"&lt;"&amp;TODAY(),cal_habil,"sí"),-COUNTIFS(cal_fechas,"&gt;="&amp;TODAY(),cal_fechas,"&lt;"&amp;$J697,cal_habil,"sí")))</f>
        <v/>
      </c>
      <c r="AF697" s="24">
        <f>IF($AE697="","",IF($AE697&lt;0,"FUTURO",IF($AE697&gt;p_dias_backlog_max,"BACKLOG","MES CORRIENTE")))</f>
        <v/>
      </c>
      <c r="AG697" s="24">
        <f>IF($AE697="",FALSE,AND($AE697&gt;p_dias_backlog_min,$AE697&lt;=p_dias_backlog_max))</f>
        <v/>
      </c>
      <c r="AH697" s="4" t="n"/>
      <c r="AI697" s="24">
        <f>IF($AH697="","",IF((IFERROR(INDEX('ASIGNACIONES'!$J$4:$J$451,MATCH($O697&amp;"|"&amp;$S697&amp;"|"&amp;$AH697,'ASIGNACIONES'!$N$4:$N$451,0)),""))=0,"",IFERROR(INDEX('ASIGNACIONES'!$J$4:$J$451,MATCH($O697&amp;"|"&amp;$S697&amp;"|"&amp;$AH697,'ASIGNACIONES'!$N$4:$N$451,0)),"")))</f>
        <v/>
      </c>
      <c r="AJ697" s="42">
        <f>IF($AH697="","",SUMIFS('ORDENES'!$M$4:$M$1203,'ORDENES'!$AH$4:$AH$1203,$AH697,'ORDENES'!$O$4:$O$1203,$O697,'ORDENES'!$S$4:$S$1203,$S697))</f>
        <v/>
      </c>
      <c r="AK697" s="42">
        <f>IF($AJ697="","",p_factor_productividad*IFERROR(INDEX('ASIGNACIONES'!$M$4:$M$451,MATCH($O697&amp;"|"&amp;$S697&amp;"|"&amp;$AH697,'ASIGNACIONES'!$N$4:$N$451,0)),0)-$AJ697)</f>
        <v/>
      </c>
      <c r="AL697" s="32">
        <f>IF($A697="","",IFERROR(INDEX('2_IMPORTAR_EJECUCION'!$F$9:$F$1208,MATCH($AU697,'2_IMPORTAR_EJECUCION'!$J$9:$J$1208,0)),0))</f>
        <v/>
      </c>
      <c r="AM697" s="32">
        <f>IF($A697="","",MAX(0,IFERROR(INDEX('2_IMPORTAR_EJECUCION'!$H$9:$H$1208,MATCH($AU697,'2_IMPORTAR_EJECUCION'!$J$9:$J$1208,0)),0)-$AL697))</f>
        <v/>
      </c>
      <c r="AN697" s="32">
        <f>IF($A697="","",$AL697+$AM697)</f>
        <v/>
      </c>
      <c r="AO697" s="24">
        <f>IF($A697="","",IF(OR((IFERROR(INDEX('CAT_ACTIVIDADES'!$D$4:$D$26,MATCH($H697,'CAT_ACTIVIDADES'!$A$4:$A$26,0)),""))=0,(IFERROR(INDEX('CAT_ACTIVIDADES'!$D$4:$D$26,MATCH($H697,'CAT_ACTIVIDADES'!$A$4:$A$26,0)),""))=""),"SIN CLASIFICAR",IFERROR(INDEX('CAT_ACTIVIDADES'!$D$4:$D$26,MATCH($H697,'CAT_ACTIVIDADES'!$A$4:$A$26,0)),"")))</f>
        <v/>
      </c>
      <c r="AP697" s="4" t="n"/>
      <c r="AQ697" s="4" t="n"/>
      <c r="AR697" s="4" t="n"/>
      <c r="AS697" s="24">
        <f>IF($AR697="","",HYPERLINK(p_ruta_base_checklists&amp;$AR697,"abrir"))</f>
        <v/>
      </c>
      <c r="AT697" s="4" t="n"/>
      <c r="AU697" s="24">
        <f>IF($A697="","",$A697&amp;IF($B697="","0010",$B697))</f>
        <v/>
      </c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41" t="n"/>
      <c r="K698" s="5" t="n"/>
      <c r="L698" s="18" t="n"/>
      <c r="M698" s="24">
        <f>IF($A698="","",IFERROR(INDEX('AJUSTES'!$B$4:$B$303,MATCH($AU698,'AJUSTES'!$A$4:$A$303,0)),IF($K698="","",$K698)))</f>
        <v/>
      </c>
      <c r="N698" s="24">
        <f>IF($A698="","",IFERROR(INDEX('CAT_ESTADOS_ERP'!$B$4:$B$22,MATCH(IFERROR(INDEX('2_IMPORTAR_EJECUCION'!$C$9:$C$1208,MATCH($AU698,'2_IMPORTAR_EJECUCION'!$J$9:$J$1208,0)),""),'CAT_ESTADOS_ERP'!$A$4:$A$22,0)),"Pendiente"))</f>
        <v/>
      </c>
      <c r="O698" s="24">
        <f>IF($J698="","",YEAR($J698+4-WEEKDAY($J698,2))&amp;"-S"&amp;TEXT(_xlfn.ISOWEEKNUM($J698),"00"))</f>
        <v/>
      </c>
      <c r="P698" s="24">
        <f>IF($J698="","",YEAR($J698))</f>
        <v/>
      </c>
      <c r="Q698" s="24">
        <f>IF($J698="","",MONTH($J698))</f>
        <v/>
      </c>
      <c r="R698" s="24">
        <f>IF($J698="","",$P698&amp;"-"&amp;TEXT($Q698,"00"))</f>
        <v/>
      </c>
      <c r="S698" s="24">
        <f>IF($J698="","",INDEX(lista_dias,WEEKDAY($J698,2)))</f>
        <v/>
      </c>
      <c r="T698" s="24">
        <f>IF($J698="","",IFERROR(INDEX('CALENDARIO'!$C$15:$C$214,MATCH(TEXT($J698,"yyyy-mm-dd")&amp;"|"&amp;$Y698&amp;"|"&amp;$Z698,'CALENDARIO'!$G$15:$G$214,0)),IFERROR(INDEX('CALENDARIO'!$C$15:$C$214,MATCH(TEXT($J698,"yyyy-mm-dd")&amp;"|"&amp;$Y698&amp;"|",'CALENDARIO'!$G$15:$G$214,0)),IFERROR(INDEX('CALENDARIO'!$C$15:$C$214,MATCH(TEXT($J698,"yyyy-mm-dd")&amp;"||",'CALENDARIO'!$G$15:$G$214,0)),INDEX(patronHabil,WEEKDAY($J698,2))))))</f>
        <v/>
      </c>
      <c r="U698" s="24">
        <f>IF($I698="","",IFERROR(INDEX('CAT_TIPOS_OT'!$C$4:$C$23,MATCH($I698,'CAT_TIPOS_OT'!$A$4:$A$23,0)),"sin_clasificar"))</f>
        <v/>
      </c>
      <c r="V698" s="24">
        <f>IF($I698="","",IF(IFERROR(INDEX('CAT_TIPOS_OT'!$D$4:$D$23,MATCH($I698,'CAT_TIPOS_OT'!$A$4:$A$23,0)),"SIN CLASIFICAR")="","SIN CLASIFICAR",IFERROR(INDEX('CAT_TIPOS_OT'!$D$4:$D$23,MATCH($I698,'CAT_TIPOS_OT'!$A$4:$A$23,0)),"SIN CLASIFICAR")))</f>
        <v/>
      </c>
      <c r="W698" s="24">
        <f>IF($H698="","",IF(IFERROR(INDEX('CAT_ACTIVIDADES'!$F$4:$F$26,MATCH($H698,'CAT_ACTIVIDADES'!$A$4:$A$26,0)),"")=0,"",IFERROR(INDEX('CAT_ACTIVIDADES'!$F$4:$F$26,MATCH($H698,'CAT_ACTIVIDADES'!$A$4:$A$26,0)),"")))</f>
        <v/>
      </c>
      <c r="X698" s="24">
        <f>IF($F698="","",IFERROR(INDEX('CAT_CENTROS_COSTO'!$F$4:$F$28,MATCH($F698,'CAT_CENTROS_COSTO'!$A$4:$A$28,0)),"(sin catálogo)"))</f>
        <v/>
      </c>
      <c r="Y698" s="24">
        <f>IF($F698="","",IFERROR(INDEX('CAT_CENTROS_COSTO'!$D$4:$D$28,MATCH($F698,'CAT_CENTROS_COSTO'!$A$4:$A$28,0)),"(sin catálogo)"))</f>
        <v/>
      </c>
      <c r="Z698" s="24">
        <f>IF($F698="","",IF((IFERROR(INDEX('CAT_CENTROS_COSTO'!$E$4:$E$28,MATCH($F698,'CAT_CENTROS_COSTO'!$A$4:$A$28,0)),""))&lt;&gt;"",IFERROR(INDEX('CAT_CENTROS_COSTO'!$E$4:$E$28,MATCH($F698,'CAT_CENTROS_COSTO'!$A$4:$A$28,0)),""),$Y698))</f>
        <v/>
      </c>
      <c r="AA698" s="24">
        <f>IF($F698="","",IFERROR(INDEX('CAT_CENTROS_COSTO'!$G$4:$G$28,MATCH($F698,'CAT_CENTROS_COSTO'!$A$4:$A$28,0)),"(sin catálogo)"))</f>
        <v/>
      </c>
      <c r="AB698" s="24">
        <f>IF($G698="","",IFERROR(INDEX('CAT_PUESTOS'!$B$4:$B$23,MATCH($G698,'CAT_PUESTOS'!$A$4:$A$23,0)),"(sin catálogo)"))</f>
        <v/>
      </c>
      <c r="AC698" s="24">
        <f>IF($H698="","",IFERROR(INDEX('CAT_ACTIVIDADES'!$B$4:$B$26,MATCH($H698,'CAT_ACTIVIDADES'!$A$4:$A$26,0)),"(sin catálogo)"))</f>
        <v/>
      </c>
      <c r="AD698" s="26">
        <f>IF($J698="","",TODAY()-$J698)</f>
        <v/>
      </c>
      <c r="AE698" s="26">
        <f>IF($J698="","",IF($J698&lt;=TODAY(),COUNTIFS(cal_fechas,"&gt;="&amp;$J698,cal_fechas,"&lt;"&amp;TODAY(),cal_habil,"sí"),-COUNTIFS(cal_fechas,"&gt;="&amp;TODAY(),cal_fechas,"&lt;"&amp;$J698,cal_habil,"sí")))</f>
        <v/>
      </c>
      <c r="AF698" s="24">
        <f>IF($AE698="","",IF($AE698&lt;0,"FUTURO",IF($AE698&gt;p_dias_backlog_max,"BACKLOG","MES CORRIENTE")))</f>
        <v/>
      </c>
      <c r="AG698" s="24">
        <f>IF($AE698="",FALSE,AND($AE698&gt;p_dias_backlog_min,$AE698&lt;=p_dias_backlog_max))</f>
        <v/>
      </c>
      <c r="AH698" s="4" t="n"/>
      <c r="AI698" s="24">
        <f>IF($AH698="","",IF((IFERROR(INDEX('ASIGNACIONES'!$J$4:$J$451,MATCH($O698&amp;"|"&amp;$S698&amp;"|"&amp;$AH698,'ASIGNACIONES'!$N$4:$N$451,0)),""))=0,"",IFERROR(INDEX('ASIGNACIONES'!$J$4:$J$451,MATCH($O698&amp;"|"&amp;$S698&amp;"|"&amp;$AH698,'ASIGNACIONES'!$N$4:$N$451,0)),"")))</f>
        <v/>
      </c>
      <c r="AJ698" s="42">
        <f>IF($AH698="","",SUMIFS('ORDENES'!$M$4:$M$1203,'ORDENES'!$AH$4:$AH$1203,$AH698,'ORDENES'!$O$4:$O$1203,$O698,'ORDENES'!$S$4:$S$1203,$S698))</f>
        <v/>
      </c>
      <c r="AK698" s="42">
        <f>IF($AJ698="","",p_factor_productividad*IFERROR(INDEX('ASIGNACIONES'!$M$4:$M$451,MATCH($O698&amp;"|"&amp;$S698&amp;"|"&amp;$AH698,'ASIGNACIONES'!$N$4:$N$451,0)),0)-$AJ698)</f>
        <v/>
      </c>
      <c r="AL698" s="32">
        <f>IF($A698="","",IFERROR(INDEX('2_IMPORTAR_EJECUCION'!$F$9:$F$1208,MATCH($AU698,'2_IMPORTAR_EJECUCION'!$J$9:$J$1208,0)),0))</f>
        <v/>
      </c>
      <c r="AM698" s="32">
        <f>IF($A698="","",MAX(0,IFERROR(INDEX('2_IMPORTAR_EJECUCION'!$H$9:$H$1208,MATCH($AU698,'2_IMPORTAR_EJECUCION'!$J$9:$J$1208,0)),0)-$AL698))</f>
        <v/>
      </c>
      <c r="AN698" s="32">
        <f>IF($A698="","",$AL698+$AM698)</f>
        <v/>
      </c>
      <c r="AO698" s="24">
        <f>IF($A698="","",IF(OR((IFERROR(INDEX('CAT_ACTIVIDADES'!$D$4:$D$26,MATCH($H698,'CAT_ACTIVIDADES'!$A$4:$A$26,0)),""))=0,(IFERROR(INDEX('CAT_ACTIVIDADES'!$D$4:$D$26,MATCH($H698,'CAT_ACTIVIDADES'!$A$4:$A$26,0)),""))=""),"SIN CLASIFICAR",IFERROR(INDEX('CAT_ACTIVIDADES'!$D$4:$D$26,MATCH($H698,'CAT_ACTIVIDADES'!$A$4:$A$26,0)),"")))</f>
        <v/>
      </c>
      <c r="AP698" s="4" t="n"/>
      <c r="AQ698" s="4" t="n"/>
      <c r="AR698" s="4" t="n"/>
      <c r="AS698" s="24">
        <f>IF($AR698="","",HYPERLINK(p_ruta_base_checklists&amp;$AR698,"abrir"))</f>
        <v/>
      </c>
      <c r="AT698" s="4" t="n"/>
      <c r="AU698" s="24">
        <f>IF($A698="","",$A698&amp;IF($B698="","0010",$B698))</f>
        <v/>
      </c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41" t="n"/>
      <c r="K699" s="5" t="n"/>
      <c r="L699" s="18" t="n"/>
      <c r="M699" s="24">
        <f>IF($A699="","",IFERROR(INDEX('AJUSTES'!$B$4:$B$303,MATCH($AU699,'AJUSTES'!$A$4:$A$303,0)),IF($K699="","",$K699)))</f>
        <v/>
      </c>
      <c r="N699" s="24">
        <f>IF($A699="","",IFERROR(INDEX('CAT_ESTADOS_ERP'!$B$4:$B$22,MATCH(IFERROR(INDEX('2_IMPORTAR_EJECUCION'!$C$9:$C$1208,MATCH($AU699,'2_IMPORTAR_EJECUCION'!$J$9:$J$1208,0)),""),'CAT_ESTADOS_ERP'!$A$4:$A$22,0)),"Pendiente"))</f>
        <v/>
      </c>
      <c r="O699" s="24">
        <f>IF($J699="","",YEAR($J699+4-WEEKDAY($J699,2))&amp;"-S"&amp;TEXT(_xlfn.ISOWEEKNUM($J699),"00"))</f>
        <v/>
      </c>
      <c r="P699" s="24">
        <f>IF($J699="","",YEAR($J699))</f>
        <v/>
      </c>
      <c r="Q699" s="24">
        <f>IF($J699="","",MONTH($J699))</f>
        <v/>
      </c>
      <c r="R699" s="24">
        <f>IF($J699="","",$P699&amp;"-"&amp;TEXT($Q699,"00"))</f>
        <v/>
      </c>
      <c r="S699" s="24">
        <f>IF($J699="","",INDEX(lista_dias,WEEKDAY($J699,2)))</f>
        <v/>
      </c>
      <c r="T699" s="24">
        <f>IF($J699="","",IFERROR(INDEX('CALENDARIO'!$C$15:$C$214,MATCH(TEXT($J699,"yyyy-mm-dd")&amp;"|"&amp;$Y699&amp;"|"&amp;$Z699,'CALENDARIO'!$G$15:$G$214,0)),IFERROR(INDEX('CALENDARIO'!$C$15:$C$214,MATCH(TEXT($J699,"yyyy-mm-dd")&amp;"|"&amp;$Y699&amp;"|",'CALENDARIO'!$G$15:$G$214,0)),IFERROR(INDEX('CALENDARIO'!$C$15:$C$214,MATCH(TEXT($J699,"yyyy-mm-dd")&amp;"||",'CALENDARIO'!$G$15:$G$214,0)),INDEX(patronHabil,WEEKDAY($J699,2))))))</f>
        <v/>
      </c>
      <c r="U699" s="24">
        <f>IF($I699="","",IFERROR(INDEX('CAT_TIPOS_OT'!$C$4:$C$23,MATCH($I699,'CAT_TIPOS_OT'!$A$4:$A$23,0)),"sin_clasificar"))</f>
        <v/>
      </c>
      <c r="V699" s="24">
        <f>IF($I699="","",IF(IFERROR(INDEX('CAT_TIPOS_OT'!$D$4:$D$23,MATCH($I699,'CAT_TIPOS_OT'!$A$4:$A$23,0)),"SIN CLASIFICAR")="","SIN CLASIFICAR",IFERROR(INDEX('CAT_TIPOS_OT'!$D$4:$D$23,MATCH($I699,'CAT_TIPOS_OT'!$A$4:$A$23,0)),"SIN CLASIFICAR")))</f>
        <v/>
      </c>
      <c r="W699" s="24">
        <f>IF($H699="","",IF(IFERROR(INDEX('CAT_ACTIVIDADES'!$F$4:$F$26,MATCH($H699,'CAT_ACTIVIDADES'!$A$4:$A$26,0)),"")=0,"",IFERROR(INDEX('CAT_ACTIVIDADES'!$F$4:$F$26,MATCH($H699,'CAT_ACTIVIDADES'!$A$4:$A$26,0)),"")))</f>
        <v/>
      </c>
      <c r="X699" s="24">
        <f>IF($F699="","",IFERROR(INDEX('CAT_CENTROS_COSTO'!$F$4:$F$28,MATCH($F699,'CAT_CENTROS_COSTO'!$A$4:$A$28,0)),"(sin catálogo)"))</f>
        <v/>
      </c>
      <c r="Y699" s="24">
        <f>IF($F699="","",IFERROR(INDEX('CAT_CENTROS_COSTO'!$D$4:$D$28,MATCH($F699,'CAT_CENTROS_COSTO'!$A$4:$A$28,0)),"(sin catálogo)"))</f>
        <v/>
      </c>
      <c r="Z699" s="24">
        <f>IF($F699="","",IF((IFERROR(INDEX('CAT_CENTROS_COSTO'!$E$4:$E$28,MATCH($F699,'CAT_CENTROS_COSTO'!$A$4:$A$28,0)),""))&lt;&gt;"",IFERROR(INDEX('CAT_CENTROS_COSTO'!$E$4:$E$28,MATCH($F699,'CAT_CENTROS_COSTO'!$A$4:$A$28,0)),""),$Y699))</f>
        <v/>
      </c>
      <c r="AA699" s="24">
        <f>IF($F699="","",IFERROR(INDEX('CAT_CENTROS_COSTO'!$G$4:$G$28,MATCH($F699,'CAT_CENTROS_COSTO'!$A$4:$A$28,0)),"(sin catálogo)"))</f>
        <v/>
      </c>
      <c r="AB699" s="24">
        <f>IF($G699="","",IFERROR(INDEX('CAT_PUESTOS'!$B$4:$B$23,MATCH($G699,'CAT_PUESTOS'!$A$4:$A$23,0)),"(sin catálogo)"))</f>
        <v/>
      </c>
      <c r="AC699" s="24">
        <f>IF($H699="","",IFERROR(INDEX('CAT_ACTIVIDADES'!$B$4:$B$26,MATCH($H699,'CAT_ACTIVIDADES'!$A$4:$A$26,0)),"(sin catálogo)"))</f>
        <v/>
      </c>
      <c r="AD699" s="26">
        <f>IF($J699="","",TODAY()-$J699)</f>
        <v/>
      </c>
      <c r="AE699" s="26">
        <f>IF($J699="","",IF($J699&lt;=TODAY(),COUNTIFS(cal_fechas,"&gt;="&amp;$J699,cal_fechas,"&lt;"&amp;TODAY(),cal_habil,"sí"),-COUNTIFS(cal_fechas,"&gt;="&amp;TODAY(),cal_fechas,"&lt;"&amp;$J699,cal_habil,"sí")))</f>
        <v/>
      </c>
      <c r="AF699" s="24">
        <f>IF($AE699="","",IF($AE699&lt;0,"FUTURO",IF($AE699&gt;p_dias_backlog_max,"BACKLOG","MES CORRIENTE")))</f>
        <v/>
      </c>
      <c r="AG699" s="24">
        <f>IF($AE699="",FALSE,AND($AE699&gt;p_dias_backlog_min,$AE699&lt;=p_dias_backlog_max))</f>
        <v/>
      </c>
      <c r="AH699" s="4" t="n"/>
      <c r="AI699" s="24">
        <f>IF($AH699="","",IF((IFERROR(INDEX('ASIGNACIONES'!$J$4:$J$451,MATCH($O699&amp;"|"&amp;$S699&amp;"|"&amp;$AH699,'ASIGNACIONES'!$N$4:$N$451,0)),""))=0,"",IFERROR(INDEX('ASIGNACIONES'!$J$4:$J$451,MATCH($O699&amp;"|"&amp;$S699&amp;"|"&amp;$AH699,'ASIGNACIONES'!$N$4:$N$451,0)),"")))</f>
        <v/>
      </c>
      <c r="AJ699" s="42">
        <f>IF($AH699="","",SUMIFS('ORDENES'!$M$4:$M$1203,'ORDENES'!$AH$4:$AH$1203,$AH699,'ORDENES'!$O$4:$O$1203,$O699,'ORDENES'!$S$4:$S$1203,$S699))</f>
        <v/>
      </c>
      <c r="AK699" s="42">
        <f>IF($AJ699="","",p_factor_productividad*IFERROR(INDEX('ASIGNACIONES'!$M$4:$M$451,MATCH($O699&amp;"|"&amp;$S699&amp;"|"&amp;$AH699,'ASIGNACIONES'!$N$4:$N$451,0)),0)-$AJ699)</f>
        <v/>
      </c>
      <c r="AL699" s="32">
        <f>IF($A699="","",IFERROR(INDEX('2_IMPORTAR_EJECUCION'!$F$9:$F$1208,MATCH($AU699,'2_IMPORTAR_EJECUCION'!$J$9:$J$1208,0)),0))</f>
        <v/>
      </c>
      <c r="AM699" s="32">
        <f>IF($A699="","",MAX(0,IFERROR(INDEX('2_IMPORTAR_EJECUCION'!$H$9:$H$1208,MATCH($AU699,'2_IMPORTAR_EJECUCION'!$J$9:$J$1208,0)),0)-$AL699))</f>
        <v/>
      </c>
      <c r="AN699" s="32">
        <f>IF($A699="","",$AL699+$AM699)</f>
        <v/>
      </c>
      <c r="AO699" s="24">
        <f>IF($A699="","",IF(OR((IFERROR(INDEX('CAT_ACTIVIDADES'!$D$4:$D$26,MATCH($H699,'CAT_ACTIVIDADES'!$A$4:$A$26,0)),""))=0,(IFERROR(INDEX('CAT_ACTIVIDADES'!$D$4:$D$26,MATCH($H699,'CAT_ACTIVIDADES'!$A$4:$A$26,0)),""))=""),"SIN CLASIFICAR",IFERROR(INDEX('CAT_ACTIVIDADES'!$D$4:$D$26,MATCH($H699,'CAT_ACTIVIDADES'!$A$4:$A$26,0)),"")))</f>
        <v/>
      </c>
      <c r="AP699" s="4" t="n"/>
      <c r="AQ699" s="4" t="n"/>
      <c r="AR699" s="4" t="n"/>
      <c r="AS699" s="24">
        <f>IF($AR699="","",HYPERLINK(p_ruta_base_checklists&amp;$AR699,"abrir"))</f>
        <v/>
      </c>
      <c r="AT699" s="4" t="n"/>
      <c r="AU699" s="24">
        <f>IF($A699="","",$A699&amp;IF($B699="","0010",$B699))</f>
        <v/>
      </c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41" t="n"/>
      <c r="K700" s="5" t="n"/>
      <c r="L700" s="18" t="n"/>
      <c r="M700" s="24">
        <f>IF($A700="","",IFERROR(INDEX('AJUSTES'!$B$4:$B$303,MATCH($AU700,'AJUSTES'!$A$4:$A$303,0)),IF($K700="","",$K700)))</f>
        <v/>
      </c>
      <c r="N700" s="24">
        <f>IF($A700="","",IFERROR(INDEX('CAT_ESTADOS_ERP'!$B$4:$B$22,MATCH(IFERROR(INDEX('2_IMPORTAR_EJECUCION'!$C$9:$C$1208,MATCH($AU700,'2_IMPORTAR_EJECUCION'!$J$9:$J$1208,0)),""),'CAT_ESTADOS_ERP'!$A$4:$A$22,0)),"Pendiente"))</f>
        <v/>
      </c>
      <c r="O700" s="24">
        <f>IF($J700="","",YEAR($J700+4-WEEKDAY($J700,2))&amp;"-S"&amp;TEXT(_xlfn.ISOWEEKNUM($J700),"00"))</f>
        <v/>
      </c>
      <c r="P700" s="24">
        <f>IF($J700="","",YEAR($J700))</f>
        <v/>
      </c>
      <c r="Q700" s="24">
        <f>IF($J700="","",MONTH($J700))</f>
        <v/>
      </c>
      <c r="R700" s="24">
        <f>IF($J700="","",$P700&amp;"-"&amp;TEXT($Q700,"00"))</f>
        <v/>
      </c>
      <c r="S700" s="24">
        <f>IF($J700="","",INDEX(lista_dias,WEEKDAY($J700,2)))</f>
        <v/>
      </c>
      <c r="T700" s="24">
        <f>IF($J700="","",IFERROR(INDEX('CALENDARIO'!$C$15:$C$214,MATCH(TEXT($J700,"yyyy-mm-dd")&amp;"|"&amp;$Y700&amp;"|"&amp;$Z700,'CALENDARIO'!$G$15:$G$214,0)),IFERROR(INDEX('CALENDARIO'!$C$15:$C$214,MATCH(TEXT($J700,"yyyy-mm-dd")&amp;"|"&amp;$Y700&amp;"|",'CALENDARIO'!$G$15:$G$214,0)),IFERROR(INDEX('CALENDARIO'!$C$15:$C$214,MATCH(TEXT($J700,"yyyy-mm-dd")&amp;"||",'CALENDARIO'!$G$15:$G$214,0)),INDEX(patronHabil,WEEKDAY($J700,2))))))</f>
        <v/>
      </c>
      <c r="U700" s="24">
        <f>IF($I700="","",IFERROR(INDEX('CAT_TIPOS_OT'!$C$4:$C$23,MATCH($I700,'CAT_TIPOS_OT'!$A$4:$A$23,0)),"sin_clasificar"))</f>
        <v/>
      </c>
      <c r="V700" s="24">
        <f>IF($I700="","",IF(IFERROR(INDEX('CAT_TIPOS_OT'!$D$4:$D$23,MATCH($I700,'CAT_TIPOS_OT'!$A$4:$A$23,0)),"SIN CLASIFICAR")="","SIN CLASIFICAR",IFERROR(INDEX('CAT_TIPOS_OT'!$D$4:$D$23,MATCH($I700,'CAT_TIPOS_OT'!$A$4:$A$23,0)),"SIN CLASIFICAR")))</f>
        <v/>
      </c>
      <c r="W700" s="24">
        <f>IF($H700="","",IF(IFERROR(INDEX('CAT_ACTIVIDADES'!$F$4:$F$26,MATCH($H700,'CAT_ACTIVIDADES'!$A$4:$A$26,0)),"")=0,"",IFERROR(INDEX('CAT_ACTIVIDADES'!$F$4:$F$26,MATCH($H700,'CAT_ACTIVIDADES'!$A$4:$A$26,0)),"")))</f>
        <v/>
      </c>
      <c r="X700" s="24">
        <f>IF($F700="","",IFERROR(INDEX('CAT_CENTROS_COSTO'!$F$4:$F$28,MATCH($F700,'CAT_CENTROS_COSTO'!$A$4:$A$28,0)),"(sin catálogo)"))</f>
        <v/>
      </c>
      <c r="Y700" s="24">
        <f>IF($F700="","",IFERROR(INDEX('CAT_CENTROS_COSTO'!$D$4:$D$28,MATCH($F700,'CAT_CENTROS_COSTO'!$A$4:$A$28,0)),"(sin catálogo)"))</f>
        <v/>
      </c>
      <c r="Z700" s="24">
        <f>IF($F700="","",IF((IFERROR(INDEX('CAT_CENTROS_COSTO'!$E$4:$E$28,MATCH($F700,'CAT_CENTROS_COSTO'!$A$4:$A$28,0)),""))&lt;&gt;"",IFERROR(INDEX('CAT_CENTROS_COSTO'!$E$4:$E$28,MATCH($F700,'CAT_CENTROS_COSTO'!$A$4:$A$28,0)),""),$Y700))</f>
        <v/>
      </c>
      <c r="AA700" s="24">
        <f>IF($F700="","",IFERROR(INDEX('CAT_CENTROS_COSTO'!$G$4:$G$28,MATCH($F700,'CAT_CENTROS_COSTO'!$A$4:$A$28,0)),"(sin catálogo)"))</f>
        <v/>
      </c>
      <c r="AB700" s="24">
        <f>IF($G700="","",IFERROR(INDEX('CAT_PUESTOS'!$B$4:$B$23,MATCH($G700,'CAT_PUESTOS'!$A$4:$A$23,0)),"(sin catálogo)"))</f>
        <v/>
      </c>
      <c r="AC700" s="24">
        <f>IF($H700="","",IFERROR(INDEX('CAT_ACTIVIDADES'!$B$4:$B$26,MATCH($H700,'CAT_ACTIVIDADES'!$A$4:$A$26,0)),"(sin catálogo)"))</f>
        <v/>
      </c>
      <c r="AD700" s="26">
        <f>IF($J700="","",TODAY()-$J700)</f>
        <v/>
      </c>
      <c r="AE700" s="26">
        <f>IF($J700="","",IF($J700&lt;=TODAY(),COUNTIFS(cal_fechas,"&gt;="&amp;$J700,cal_fechas,"&lt;"&amp;TODAY(),cal_habil,"sí"),-COUNTIFS(cal_fechas,"&gt;="&amp;TODAY(),cal_fechas,"&lt;"&amp;$J700,cal_habil,"sí")))</f>
        <v/>
      </c>
      <c r="AF700" s="24">
        <f>IF($AE700="","",IF($AE700&lt;0,"FUTURO",IF($AE700&gt;p_dias_backlog_max,"BACKLOG","MES CORRIENTE")))</f>
        <v/>
      </c>
      <c r="AG700" s="24">
        <f>IF($AE700="",FALSE,AND($AE700&gt;p_dias_backlog_min,$AE700&lt;=p_dias_backlog_max))</f>
        <v/>
      </c>
      <c r="AH700" s="4" t="n"/>
      <c r="AI700" s="24">
        <f>IF($AH700="","",IF((IFERROR(INDEX('ASIGNACIONES'!$J$4:$J$451,MATCH($O700&amp;"|"&amp;$S700&amp;"|"&amp;$AH700,'ASIGNACIONES'!$N$4:$N$451,0)),""))=0,"",IFERROR(INDEX('ASIGNACIONES'!$J$4:$J$451,MATCH($O700&amp;"|"&amp;$S700&amp;"|"&amp;$AH700,'ASIGNACIONES'!$N$4:$N$451,0)),"")))</f>
        <v/>
      </c>
      <c r="AJ700" s="42">
        <f>IF($AH700="","",SUMIFS('ORDENES'!$M$4:$M$1203,'ORDENES'!$AH$4:$AH$1203,$AH700,'ORDENES'!$O$4:$O$1203,$O700,'ORDENES'!$S$4:$S$1203,$S700))</f>
        <v/>
      </c>
      <c r="AK700" s="42">
        <f>IF($AJ700="","",p_factor_productividad*IFERROR(INDEX('ASIGNACIONES'!$M$4:$M$451,MATCH($O700&amp;"|"&amp;$S700&amp;"|"&amp;$AH700,'ASIGNACIONES'!$N$4:$N$451,0)),0)-$AJ700)</f>
        <v/>
      </c>
      <c r="AL700" s="32">
        <f>IF($A700="","",IFERROR(INDEX('2_IMPORTAR_EJECUCION'!$F$9:$F$1208,MATCH($AU700,'2_IMPORTAR_EJECUCION'!$J$9:$J$1208,0)),0))</f>
        <v/>
      </c>
      <c r="AM700" s="32">
        <f>IF($A700="","",MAX(0,IFERROR(INDEX('2_IMPORTAR_EJECUCION'!$H$9:$H$1208,MATCH($AU700,'2_IMPORTAR_EJECUCION'!$J$9:$J$1208,0)),0)-$AL700))</f>
        <v/>
      </c>
      <c r="AN700" s="32">
        <f>IF($A700="","",$AL700+$AM700)</f>
        <v/>
      </c>
      <c r="AO700" s="24">
        <f>IF($A700="","",IF(OR((IFERROR(INDEX('CAT_ACTIVIDADES'!$D$4:$D$26,MATCH($H700,'CAT_ACTIVIDADES'!$A$4:$A$26,0)),""))=0,(IFERROR(INDEX('CAT_ACTIVIDADES'!$D$4:$D$26,MATCH($H700,'CAT_ACTIVIDADES'!$A$4:$A$26,0)),""))=""),"SIN CLASIFICAR",IFERROR(INDEX('CAT_ACTIVIDADES'!$D$4:$D$26,MATCH($H700,'CAT_ACTIVIDADES'!$A$4:$A$26,0)),"")))</f>
        <v/>
      </c>
      <c r="AP700" s="4" t="n"/>
      <c r="AQ700" s="4" t="n"/>
      <c r="AR700" s="4" t="n"/>
      <c r="AS700" s="24">
        <f>IF($AR700="","",HYPERLINK(p_ruta_base_checklists&amp;$AR700,"abrir"))</f>
        <v/>
      </c>
      <c r="AT700" s="4" t="n"/>
      <c r="AU700" s="24">
        <f>IF($A700="","",$A700&amp;IF($B700="","0010",$B700))</f>
        <v/>
      </c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41" t="n"/>
      <c r="K701" s="5" t="n"/>
      <c r="L701" s="18" t="n"/>
      <c r="M701" s="24">
        <f>IF($A701="","",IFERROR(INDEX('AJUSTES'!$B$4:$B$303,MATCH($AU701,'AJUSTES'!$A$4:$A$303,0)),IF($K701="","",$K701)))</f>
        <v/>
      </c>
      <c r="N701" s="24">
        <f>IF($A701="","",IFERROR(INDEX('CAT_ESTADOS_ERP'!$B$4:$B$22,MATCH(IFERROR(INDEX('2_IMPORTAR_EJECUCION'!$C$9:$C$1208,MATCH($AU701,'2_IMPORTAR_EJECUCION'!$J$9:$J$1208,0)),""),'CAT_ESTADOS_ERP'!$A$4:$A$22,0)),"Pendiente"))</f>
        <v/>
      </c>
      <c r="O701" s="24">
        <f>IF($J701="","",YEAR($J701+4-WEEKDAY($J701,2))&amp;"-S"&amp;TEXT(_xlfn.ISOWEEKNUM($J701),"00"))</f>
        <v/>
      </c>
      <c r="P701" s="24">
        <f>IF($J701="","",YEAR($J701))</f>
        <v/>
      </c>
      <c r="Q701" s="24">
        <f>IF($J701="","",MONTH($J701))</f>
        <v/>
      </c>
      <c r="R701" s="24">
        <f>IF($J701="","",$P701&amp;"-"&amp;TEXT($Q701,"00"))</f>
        <v/>
      </c>
      <c r="S701" s="24">
        <f>IF($J701="","",INDEX(lista_dias,WEEKDAY($J701,2)))</f>
        <v/>
      </c>
      <c r="T701" s="24">
        <f>IF($J701="","",IFERROR(INDEX('CALENDARIO'!$C$15:$C$214,MATCH(TEXT($J701,"yyyy-mm-dd")&amp;"|"&amp;$Y701&amp;"|"&amp;$Z701,'CALENDARIO'!$G$15:$G$214,0)),IFERROR(INDEX('CALENDARIO'!$C$15:$C$214,MATCH(TEXT($J701,"yyyy-mm-dd")&amp;"|"&amp;$Y701&amp;"|",'CALENDARIO'!$G$15:$G$214,0)),IFERROR(INDEX('CALENDARIO'!$C$15:$C$214,MATCH(TEXT($J701,"yyyy-mm-dd")&amp;"||",'CALENDARIO'!$G$15:$G$214,0)),INDEX(patronHabil,WEEKDAY($J701,2))))))</f>
        <v/>
      </c>
      <c r="U701" s="24">
        <f>IF($I701="","",IFERROR(INDEX('CAT_TIPOS_OT'!$C$4:$C$23,MATCH($I701,'CAT_TIPOS_OT'!$A$4:$A$23,0)),"sin_clasificar"))</f>
        <v/>
      </c>
      <c r="V701" s="24">
        <f>IF($I701="","",IF(IFERROR(INDEX('CAT_TIPOS_OT'!$D$4:$D$23,MATCH($I701,'CAT_TIPOS_OT'!$A$4:$A$23,0)),"SIN CLASIFICAR")="","SIN CLASIFICAR",IFERROR(INDEX('CAT_TIPOS_OT'!$D$4:$D$23,MATCH($I701,'CAT_TIPOS_OT'!$A$4:$A$23,0)),"SIN CLASIFICAR")))</f>
        <v/>
      </c>
      <c r="W701" s="24">
        <f>IF($H701="","",IF(IFERROR(INDEX('CAT_ACTIVIDADES'!$F$4:$F$26,MATCH($H701,'CAT_ACTIVIDADES'!$A$4:$A$26,0)),"")=0,"",IFERROR(INDEX('CAT_ACTIVIDADES'!$F$4:$F$26,MATCH($H701,'CAT_ACTIVIDADES'!$A$4:$A$26,0)),"")))</f>
        <v/>
      </c>
      <c r="X701" s="24">
        <f>IF($F701="","",IFERROR(INDEX('CAT_CENTROS_COSTO'!$F$4:$F$28,MATCH($F701,'CAT_CENTROS_COSTO'!$A$4:$A$28,0)),"(sin catálogo)"))</f>
        <v/>
      </c>
      <c r="Y701" s="24">
        <f>IF($F701="","",IFERROR(INDEX('CAT_CENTROS_COSTO'!$D$4:$D$28,MATCH($F701,'CAT_CENTROS_COSTO'!$A$4:$A$28,0)),"(sin catálogo)"))</f>
        <v/>
      </c>
      <c r="Z701" s="24">
        <f>IF($F701="","",IF((IFERROR(INDEX('CAT_CENTROS_COSTO'!$E$4:$E$28,MATCH($F701,'CAT_CENTROS_COSTO'!$A$4:$A$28,0)),""))&lt;&gt;"",IFERROR(INDEX('CAT_CENTROS_COSTO'!$E$4:$E$28,MATCH($F701,'CAT_CENTROS_COSTO'!$A$4:$A$28,0)),""),$Y701))</f>
        <v/>
      </c>
      <c r="AA701" s="24">
        <f>IF($F701="","",IFERROR(INDEX('CAT_CENTROS_COSTO'!$G$4:$G$28,MATCH($F701,'CAT_CENTROS_COSTO'!$A$4:$A$28,0)),"(sin catálogo)"))</f>
        <v/>
      </c>
      <c r="AB701" s="24">
        <f>IF($G701="","",IFERROR(INDEX('CAT_PUESTOS'!$B$4:$B$23,MATCH($G701,'CAT_PUESTOS'!$A$4:$A$23,0)),"(sin catálogo)"))</f>
        <v/>
      </c>
      <c r="AC701" s="24">
        <f>IF($H701="","",IFERROR(INDEX('CAT_ACTIVIDADES'!$B$4:$B$26,MATCH($H701,'CAT_ACTIVIDADES'!$A$4:$A$26,0)),"(sin catálogo)"))</f>
        <v/>
      </c>
      <c r="AD701" s="26">
        <f>IF($J701="","",TODAY()-$J701)</f>
        <v/>
      </c>
      <c r="AE701" s="26">
        <f>IF($J701="","",IF($J701&lt;=TODAY(),COUNTIFS(cal_fechas,"&gt;="&amp;$J701,cal_fechas,"&lt;"&amp;TODAY(),cal_habil,"sí"),-COUNTIFS(cal_fechas,"&gt;="&amp;TODAY(),cal_fechas,"&lt;"&amp;$J701,cal_habil,"sí")))</f>
        <v/>
      </c>
      <c r="AF701" s="24">
        <f>IF($AE701="","",IF($AE701&lt;0,"FUTURO",IF($AE701&gt;p_dias_backlog_max,"BACKLOG","MES CORRIENTE")))</f>
        <v/>
      </c>
      <c r="AG701" s="24">
        <f>IF($AE701="",FALSE,AND($AE701&gt;p_dias_backlog_min,$AE701&lt;=p_dias_backlog_max))</f>
        <v/>
      </c>
      <c r="AH701" s="4" t="n"/>
      <c r="AI701" s="24">
        <f>IF($AH701="","",IF((IFERROR(INDEX('ASIGNACIONES'!$J$4:$J$451,MATCH($O701&amp;"|"&amp;$S701&amp;"|"&amp;$AH701,'ASIGNACIONES'!$N$4:$N$451,0)),""))=0,"",IFERROR(INDEX('ASIGNACIONES'!$J$4:$J$451,MATCH($O701&amp;"|"&amp;$S701&amp;"|"&amp;$AH701,'ASIGNACIONES'!$N$4:$N$451,0)),"")))</f>
        <v/>
      </c>
      <c r="AJ701" s="42">
        <f>IF($AH701="","",SUMIFS('ORDENES'!$M$4:$M$1203,'ORDENES'!$AH$4:$AH$1203,$AH701,'ORDENES'!$O$4:$O$1203,$O701,'ORDENES'!$S$4:$S$1203,$S701))</f>
        <v/>
      </c>
      <c r="AK701" s="42">
        <f>IF($AJ701="","",p_factor_productividad*IFERROR(INDEX('ASIGNACIONES'!$M$4:$M$451,MATCH($O701&amp;"|"&amp;$S701&amp;"|"&amp;$AH701,'ASIGNACIONES'!$N$4:$N$451,0)),0)-$AJ701)</f>
        <v/>
      </c>
      <c r="AL701" s="32">
        <f>IF($A701="","",IFERROR(INDEX('2_IMPORTAR_EJECUCION'!$F$9:$F$1208,MATCH($AU701,'2_IMPORTAR_EJECUCION'!$J$9:$J$1208,0)),0))</f>
        <v/>
      </c>
      <c r="AM701" s="32">
        <f>IF($A701="","",MAX(0,IFERROR(INDEX('2_IMPORTAR_EJECUCION'!$H$9:$H$1208,MATCH($AU701,'2_IMPORTAR_EJECUCION'!$J$9:$J$1208,0)),0)-$AL701))</f>
        <v/>
      </c>
      <c r="AN701" s="32">
        <f>IF($A701="","",$AL701+$AM701)</f>
        <v/>
      </c>
      <c r="AO701" s="24">
        <f>IF($A701="","",IF(OR((IFERROR(INDEX('CAT_ACTIVIDADES'!$D$4:$D$26,MATCH($H701,'CAT_ACTIVIDADES'!$A$4:$A$26,0)),""))=0,(IFERROR(INDEX('CAT_ACTIVIDADES'!$D$4:$D$26,MATCH($H701,'CAT_ACTIVIDADES'!$A$4:$A$26,0)),""))=""),"SIN CLASIFICAR",IFERROR(INDEX('CAT_ACTIVIDADES'!$D$4:$D$26,MATCH($H701,'CAT_ACTIVIDADES'!$A$4:$A$26,0)),"")))</f>
        <v/>
      </c>
      <c r="AP701" s="4" t="n"/>
      <c r="AQ701" s="4" t="n"/>
      <c r="AR701" s="4" t="n"/>
      <c r="AS701" s="24">
        <f>IF($AR701="","",HYPERLINK(p_ruta_base_checklists&amp;$AR701,"abrir"))</f>
        <v/>
      </c>
      <c r="AT701" s="4" t="n"/>
      <c r="AU701" s="24">
        <f>IF($A701="","",$A701&amp;IF($B701="","0010",$B701))</f>
        <v/>
      </c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41" t="n"/>
      <c r="K702" s="5" t="n"/>
      <c r="L702" s="18" t="n"/>
      <c r="M702" s="24">
        <f>IF($A702="","",IFERROR(INDEX('AJUSTES'!$B$4:$B$303,MATCH($AU702,'AJUSTES'!$A$4:$A$303,0)),IF($K702="","",$K702)))</f>
        <v/>
      </c>
      <c r="N702" s="24">
        <f>IF($A702="","",IFERROR(INDEX('CAT_ESTADOS_ERP'!$B$4:$B$22,MATCH(IFERROR(INDEX('2_IMPORTAR_EJECUCION'!$C$9:$C$1208,MATCH($AU702,'2_IMPORTAR_EJECUCION'!$J$9:$J$1208,0)),""),'CAT_ESTADOS_ERP'!$A$4:$A$22,0)),"Pendiente"))</f>
        <v/>
      </c>
      <c r="O702" s="24">
        <f>IF($J702="","",YEAR($J702+4-WEEKDAY($J702,2))&amp;"-S"&amp;TEXT(_xlfn.ISOWEEKNUM($J702),"00"))</f>
        <v/>
      </c>
      <c r="P702" s="24">
        <f>IF($J702="","",YEAR($J702))</f>
        <v/>
      </c>
      <c r="Q702" s="24">
        <f>IF($J702="","",MONTH($J702))</f>
        <v/>
      </c>
      <c r="R702" s="24">
        <f>IF($J702="","",$P702&amp;"-"&amp;TEXT($Q702,"00"))</f>
        <v/>
      </c>
      <c r="S702" s="24">
        <f>IF($J702="","",INDEX(lista_dias,WEEKDAY($J702,2)))</f>
        <v/>
      </c>
      <c r="T702" s="24">
        <f>IF($J702="","",IFERROR(INDEX('CALENDARIO'!$C$15:$C$214,MATCH(TEXT($J702,"yyyy-mm-dd")&amp;"|"&amp;$Y702&amp;"|"&amp;$Z702,'CALENDARIO'!$G$15:$G$214,0)),IFERROR(INDEX('CALENDARIO'!$C$15:$C$214,MATCH(TEXT($J702,"yyyy-mm-dd")&amp;"|"&amp;$Y702&amp;"|",'CALENDARIO'!$G$15:$G$214,0)),IFERROR(INDEX('CALENDARIO'!$C$15:$C$214,MATCH(TEXT($J702,"yyyy-mm-dd")&amp;"||",'CALENDARIO'!$G$15:$G$214,0)),INDEX(patronHabil,WEEKDAY($J702,2))))))</f>
        <v/>
      </c>
      <c r="U702" s="24">
        <f>IF($I702="","",IFERROR(INDEX('CAT_TIPOS_OT'!$C$4:$C$23,MATCH($I702,'CAT_TIPOS_OT'!$A$4:$A$23,0)),"sin_clasificar"))</f>
        <v/>
      </c>
      <c r="V702" s="24">
        <f>IF($I702="","",IF(IFERROR(INDEX('CAT_TIPOS_OT'!$D$4:$D$23,MATCH($I702,'CAT_TIPOS_OT'!$A$4:$A$23,0)),"SIN CLASIFICAR")="","SIN CLASIFICAR",IFERROR(INDEX('CAT_TIPOS_OT'!$D$4:$D$23,MATCH($I702,'CAT_TIPOS_OT'!$A$4:$A$23,0)),"SIN CLASIFICAR")))</f>
        <v/>
      </c>
      <c r="W702" s="24">
        <f>IF($H702="","",IF(IFERROR(INDEX('CAT_ACTIVIDADES'!$F$4:$F$26,MATCH($H702,'CAT_ACTIVIDADES'!$A$4:$A$26,0)),"")=0,"",IFERROR(INDEX('CAT_ACTIVIDADES'!$F$4:$F$26,MATCH($H702,'CAT_ACTIVIDADES'!$A$4:$A$26,0)),"")))</f>
        <v/>
      </c>
      <c r="X702" s="24">
        <f>IF($F702="","",IFERROR(INDEX('CAT_CENTROS_COSTO'!$F$4:$F$28,MATCH($F702,'CAT_CENTROS_COSTO'!$A$4:$A$28,0)),"(sin catálogo)"))</f>
        <v/>
      </c>
      <c r="Y702" s="24">
        <f>IF($F702="","",IFERROR(INDEX('CAT_CENTROS_COSTO'!$D$4:$D$28,MATCH($F702,'CAT_CENTROS_COSTO'!$A$4:$A$28,0)),"(sin catálogo)"))</f>
        <v/>
      </c>
      <c r="Z702" s="24">
        <f>IF($F702="","",IF((IFERROR(INDEX('CAT_CENTROS_COSTO'!$E$4:$E$28,MATCH($F702,'CAT_CENTROS_COSTO'!$A$4:$A$28,0)),""))&lt;&gt;"",IFERROR(INDEX('CAT_CENTROS_COSTO'!$E$4:$E$28,MATCH($F702,'CAT_CENTROS_COSTO'!$A$4:$A$28,0)),""),$Y702))</f>
        <v/>
      </c>
      <c r="AA702" s="24">
        <f>IF($F702="","",IFERROR(INDEX('CAT_CENTROS_COSTO'!$G$4:$G$28,MATCH($F702,'CAT_CENTROS_COSTO'!$A$4:$A$28,0)),"(sin catálogo)"))</f>
        <v/>
      </c>
      <c r="AB702" s="24">
        <f>IF($G702="","",IFERROR(INDEX('CAT_PUESTOS'!$B$4:$B$23,MATCH($G702,'CAT_PUESTOS'!$A$4:$A$23,0)),"(sin catálogo)"))</f>
        <v/>
      </c>
      <c r="AC702" s="24">
        <f>IF($H702="","",IFERROR(INDEX('CAT_ACTIVIDADES'!$B$4:$B$26,MATCH($H702,'CAT_ACTIVIDADES'!$A$4:$A$26,0)),"(sin catálogo)"))</f>
        <v/>
      </c>
      <c r="AD702" s="26">
        <f>IF($J702="","",TODAY()-$J702)</f>
        <v/>
      </c>
      <c r="AE702" s="26">
        <f>IF($J702="","",IF($J702&lt;=TODAY(),COUNTIFS(cal_fechas,"&gt;="&amp;$J702,cal_fechas,"&lt;"&amp;TODAY(),cal_habil,"sí"),-COUNTIFS(cal_fechas,"&gt;="&amp;TODAY(),cal_fechas,"&lt;"&amp;$J702,cal_habil,"sí")))</f>
        <v/>
      </c>
      <c r="AF702" s="24">
        <f>IF($AE702="","",IF($AE702&lt;0,"FUTURO",IF($AE702&gt;p_dias_backlog_max,"BACKLOG","MES CORRIENTE")))</f>
        <v/>
      </c>
      <c r="AG702" s="24">
        <f>IF($AE702="",FALSE,AND($AE702&gt;p_dias_backlog_min,$AE702&lt;=p_dias_backlog_max))</f>
        <v/>
      </c>
      <c r="AH702" s="4" t="n"/>
      <c r="AI702" s="24">
        <f>IF($AH702="","",IF((IFERROR(INDEX('ASIGNACIONES'!$J$4:$J$451,MATCH($O702&amp;"|"&amp;$S702&amp;"|"&amp;$AH702,'ASIGNACIONES'!$N$4:$N$451,0)),""))=0,"",IFERROR(INDEX('ASIGNACIONES'!$J$4:$J$451,MATCH($O702&amp;"|"&amp;$S702&amp;"|"&amp;$AH702,'ASIGNACIONES'!$N$4:$N$451,0)),"")))</f>
        <v/>
      </c>
      <c r="AJ702" s="42">
        <f>IF($AH702="","",SUMIFS('ORDENES'!$M$4:$M$1203,'ORDENES'!$AH$4:$AH$1203,$AH702,'ORDENES'!$O$4:$O$1203,$O702,'ORDENES'!$S$4:$S$1203,$S702))</f>
        <v/>
      </c>
      <c r="AK702" s="42">
        <f>IF($AJ702="","",p_factor_productividad*IFERROR(INDEX('ASIGNACIONES'!$M$4:$M$451,MATCH($O702&amp;"|"&amp;$S702&amp;"|"&amp;$AH702,'ASIGNACIONES'!$N$4:$N$451,0)),0)-$AJ702)</f>
        <v/>
      </c>
      <c r="AL702" s="32">
        <f>IF($A702="","",IFERROR(INDEX('2_IMPORTAR_EJECUCION'!$F$9:$F$1208,MATCH($AU702,'2_IMPORTAR_EJECUCION'!$J$9:$J$1208,0)),0))</f>
        <v/>
      </c>
      <c r="AM702" s="32">
        <f>IF($A702="","",MAX(0,IFERROR(INDEX('2_IMPORTAR_EJECUCION'!$H$9:$H$1208,MATCH($AU702,'2_IMPORTAR_EJECUCION'!$J$9:$J$1208,0)),0)-$AL702))</f>
        <v/>
      </c>
      <c r="AN702" s="32">
        <f>IF($A702="","",$AL702+$AM702)</f>
        <v/>
      </c>
      <c r="AO702" s="24">
        <f>IF($A702="","",IF(OR((IFERROR(INDEX('CAT_ACTIVIDADES'!$D$4:$D$26,MATCH($H702,'CAT_ACTIVIDADES'!$A$4:$A$26,0)),""))=0,(IFERROR(INDEX('CAT_ACTIVIDADES'!$D$4:$D$26,MATCH($H702,'CAT_ACTIVIDADES'!$A$4:$A$26,0)),""))=""),"SIN CLASIFICAR",IFERROR(INDEX('CAT_ACTIVIDADES'!$D$4:$D$26,MATCH($H702,'CAT_ACTIVIDADES'!$A$4:$A$26,0)),"")))</f>
        <v/>
      </c>
      <c r="AP702" s="4" t="n"/>
      <c r="AQ702" s="4" t="n"/>
      <c r="AR702" s="4" t="n"/>
      <c r="AS702" s="24">
        <f>IF($AR702="","",HYPERLINK(p_ruta_base_checklists&amp;$AR702,"abrir"))</f>
        <v/>
      </c>
      <c r="AT702" s="4" t="n"/>
      <c r="AU702" s="24">
        <f>IF($A702="","",$A702&amp;IF($B702="","0010",$B702))</f>
        <v/>
      </c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41" t="n"/>
      <c r="K703" s="5" t="n"/>
      <c r="L703" s="18" t="n"/>
      <c r="M703" s="24">
        <f>IF($A703="","",IFERROR(INDEX('AJUSTES'!$B$4:$B$303,MATCH($AU703,'AJUSTES'!$A$4:$A$303,0)),IF($K703="","",$K703)))</f>
        <v/>
      </c>
      <c r="N703" s="24">
        <f>IF($A703="","",IFERROR(INDEX('CAT_ESTADOS_ERP'!$B$4:$B$22,MATCH(IFERROR(INDEX('2_IMPORTAR_EJECUCION'!$C$9:$C$1208,MATCH($AU703,'2_IMPORTAR_EJECUCION'!$J$9:$J$1208,0)),""),'CAT_ESTADOS_ERP'!$A$4:$A$22,0)),"Pendiente"))</f>
        <v/>
      </c>
      <c r="O703" s="24">
        <f>IF($J703="","",YEAR($J703+4-WEEKDAY($J703,2))&amp;"-S"&amp;TEXT(_xlfn.ISOWEEKNUM($J703),"00"))</f>
        <v/>
      </c>
      <c r="P703" s="24">
        <f>IF($J703="","",YEAR($J703))</f>
        <v/>
      </c>
      <c r="Q703" s="24">
        <f>IF($J703="","",MONTH($J703))</f>
        <v/>
      </c>
      <c r="R703" s="24">
        <f>IF($J703="","",$P703&amp;"-"&amp;TEXT($Q703,"00"))</f>
        <v/>
      </c>
      <c r="S703" s="24">
        <f>IF($J703="","",INDEX(lista_dias,WEEKDAY($J703,2)))</f>
        <v/>
      </c>
      <c r="T703" s="24">
        <f>IF($J703="","",IFERROR(INDEX('CALENDARIO'!$C$15:$C$214,MATCH(TEXT($J703,"yyyy-mm-dd")&amp;"|"&amp;$Y703&amp;"|"&amp;$Z703,'CALENDARIO'!$G$15:$G$214,0)),IFERROR(INDEX('CALENDARIO'!$C$15:$C$214,MATCH(TEXT($J703,"yyyy-mm-dd")&amp;"|"&amp;$Y703&amp;"|",'CALENDARIO'!$G$15:$G$214,0)),IFERROR(INDEX('CALENDARIO'!$C$15:$C$214,MATCH(TEXT($J703,"yyyy-mm-dd")&amp;"||",'CALENDARIO'!$G$15:$G$214,0)),INDEX(patronHabil,WEEKDAY($J703,2))))))</f>
        <v/>
      </c>
      <c r="U703" s="24">
        <f>IF($I703="","",IFERROR(INDEX('CAT_TIPOS_OT'!$C$4:$C$23,MATCH($I703,'CAT_TIPOS_OT'!$A$4:$A$23,0)),"sin_clasificar"))</f>
        <v/>
      </c>
      <c r="V703" s="24">
        <f>IF($I703="","",IF(IFERROR(INDEX('CAT_TIPOS_OT'!$D$4:$D$23,MATCH($I703,'CAT_TIPOS_OT'!$A$4:$A$23,0)),"SIN CLASIFICAR")="","SIN CLASIFICAR",IFERROR(INDEX('CAT_TIPOS_OT'!$D$4:$D$23,MATCH($I703,'CAT_TIPOS_OT'!$A$4:$A$23,0)),"SIN CLASIFICAR")))</f>
        <v/>
      </c>
      <c r="W703" s="24">
        <f>IF($H703="","",IF(IFERROR(INDEX('CAT_ACTIVIDADES'!$F$4:$F$26,MATCH($H703,'CAT_ACTIVIDADES'!$A$4:$A$26,0)),"")=0,"",IFERROR(INDEX('CAT_ACTIVIDADES'!$F$4:$F$26,MATCH($H703,'CAT_ACTIVIDADES'!$A$4:$A$26,0)),"")))</f>
        <v/>
      </c>
      <c r="X703" s="24">
        <f>IF($F703="","",IFERROR(INDEX('CAT_CENTROS_COSTO'!$F$4:$F$28,MATCH($F703,'CAT_CENTROS_COSTO'!$A$4:$A$28,0)),"(sin catálogo)"))</f>
        <v/>
      </c>
      <c r="Y703" s="24">
        <f>IF($F703="","",IFERROR(INDEX('CAT_CENTROS_COSTO'!$D$4:$D$28,MATCH($F703,'CAT_CENTROS_COSTO'!$A$4:$A$28,0)),"(sin catálogo)"))</f>
        <v/>
      </c>
      <c r="Z703" s="24">
        <f>IF($F703="","",IF((IFERROR(INDEX('CAT_CENTROS_COSTO'!$E$4:$E$28,MATCH($F703,'CAT_CENTROS_COSTO'!$A$4:$A$28,0)),""))&lt;&gt;"",IFERROR(INDEX('CAT_CENTROS_COSTO'!$E$4:$E$28,MATCH($F703,'CAT_CENTROS_COSTO'!$A$4:$A$28,0)),""),$Y703))</f>
        <v/>
      </c>
      <c r="AA703" s="24">
        <f>IF($F703="","",IFERROR(INDEX('CAT_CENTROS_COSTO'!$G$4:$G$28,MATCH($F703,'CAT_CENTROS_COSTO'!$A$4:$A$28,0)),"(sin catálogo)"))</f>
        <v/>
      </c>
      <c r="AB703" s="24">
        <f>IF($G703="","",IFERROR(INDEX('CAT_PUESTOS'!$B$4:$B$23,MATCH($G703,'CAT_PUESTOS'!$A$4:$A$23,0)),"(sin catálogo)"))</f>
        <v/>
      </c>
      <c r="AC703" s="24">
        <f>IF($H703="","",IFERROR(INDEX('CAT_ACTIVIDADES'!$B$4:$B$26,MATCH($H703,'CAT_ACTIVIDADES'!$A$4:$A$26,0)),"(sin catálogo)"))</f>
        <v/>
      </c>
      <c r="AD703" s="26">
        <f>IF($J703="","",TODAY()-$J703)</f>
        <v/>
      </c>
      <c r="AE703" s="26">
        <f>IF($J703="","",IF($J703&lt;=TODAY(),COUNTIFS(cal_fechas,"&gt;="&amp;$J703,cal_fechas,"&lt;"&amp;TODAY(),cal_habil,"sí"),-COUNTIFS(cal_fechas,"&gt;="&amp;TODAY(),cal_fechas,"&lt;"&amp;$J703,cal_habil,"sí")))</f>
        <v/>
      </c>
      <c r="AF703" s="24">
        <f>IF($AE703="","",IF($AE703&lt;0,"FUTURO",IF($AE703&gt;p_dias_backlog_max,"BACKLOG","MES CORRIENTE")))</f>
        <v/>
      </c>
      <c r="AG703" s="24">
        <f>IF($AE703="",FALSE,AND($AE703&gt;p_dias_backlog_min,$AE703&lt;=p_dias_backlog_max))</f>
        <v/>
      </c>
      <c r="AH703" s="4" t="n"/>
      <c r="AI703" s="24">
        <f>IF($AH703="","",IF((IFERROR(INDEX('ASIGNACIONES'!$J$4:$J$451,MATCH($O703&amp;"|"&amp;$S703&amp;"|"&amp;$AH703,'ASIGNACIONES'!$N$4:$N$451,0)),""))=0,"",IFERROR(INDEX('ASIGNACIONES'!$J$4:$J$451,MATCH($O703&amp;"|"&amp;$S703&amp;"|"&amp;$AH703,'ASIGNACIONES'!$N$4:$N$451,0)),"")))</f>
        <v/>
      </c>
      <c r="AJ703" s="42">
        <f>IF($AH703="","",SUMIFS('ORDENES'!$M$4:$M$1203,'ORDENES'!$AH$4:$AH$1203,$AH703,'ORDENES'!$O$4:$O$1203,$O703,'ORDENES'!$S$4:$S$1203,$S703))</f>
        <v/>
      </c>
      <c r="AK703" s="42">
        <f>IF($AJ703="","",p_factor_productividad*IFERROR(INDEX('ASIGNACIONES'!$M$4:$M$451,MATCH($O703&amp;"|"&amp;$S703&amp;"|"&amp;$AH703,'ASIGNACIONES'!$N$4:$N$451,0)),0)-$AJ703)</f>
        <v/>
      </c>
      <c r="AL703" s="32">
        <f>IF($A703="","",IFERROR(INDEX('2_IMPORTAR_EJECUCION'!$F$9:$F$1208,MATCH($AU703,'2_IMPORTAR_EJECUCION'!$J$9:$J$1208,0)),0))</f>
        <v/>
      </c>
      <c r="AM703" s="32">
        <f>IF($A703="","",MAX(0,IFERROR(INDEX('2_IMPORTAR_EJECUCION'!$H$9:$H$1208,MATCH($AU703,'2_IMPORTAR_EJECUCION'!$J$9:$J$1208,0)),0)-$AL703))</f>
        <v/>
      </c>
      <c r="AN703" s="32">
        <f>IF($A703="","",$AL703+$AM703)</f>
        <v/>
      </c>
      <c r="AO703" s="24">
        <f>IF($A703="","",IF(OR((IFERROR(INDEX('CAT_ACTIVIDADES'!$D$4:$D$26,MATCH($H703,'CAT_ACTIVIDADES'!$A$4:$A$26,0)),""))=0,(IFERROR(INDEX('CAT_ACTIVIDADES'!$D$4:$D$26,MATCH($H703,'CAT_ACTIVIDADES'!$A$4:$A$26,0)),""))=""),"SIN CLASIFICAR",IFERROR(INDEX('CAT_ACTIVIDADES'!$D$4:$D$26,MATCH($H703,'CAT_ACTIVIDADES'!$A$4:$A$26,0)),"")))</f>
        <v/>
      </c>
      <c r="AP703" s="4" t="n"/>
      <c r="AQ703" s="4" t="n"/>
      <c r="AR703" s="4" t="n"/>
      <c r="AS703" s="24">
        <f>IF($AR703="","",HYPERLINK(p_ruta_base_checklists&amp;$AR703,"abrir"))</f>
        <v/>
      </c>
      <c r="AT703" s="4" t="n"/>
      <c r="AU703" s="24">
        <f>IF($A703="","",$A703&amp;IF($B703="","0010",$B703))</f>
        <v/>
      </c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41" t="n"/>
      <c r="K704" s="5" t="n"/>
      <c r="L704" s="18" t="n"/>
      <c r="M704" s="24">
        <f>IF($A704="","",IFERROR(INDEX('AJUSTES'!$B$4:$B$303,MATCH($AU704,'AJUSTES'!$A$4:$A$303,0)),IF($K704="","",$K704)))</f>
        <v/>
      </c>
      <c r="N704" s="24">
        <f>IF($A704="","",IFERROR(INDEX('CAT_ESTADOS_ERP'!$B$4:$B$22,MATCH(IFERROR(INDEX('2_IMPORTAR_EJECUCION'!$C$9:$C$1208,MATCH($AU704,'2_IMPORTAR_EJECUCION'!$J$9:$J$1208,0)),""),'CAT_ESTADOS_ERP'!$A$4:$A$22,0)),"Pendiente"))</f>
        <v/>
      </c>
      <c r="O704" s="24">
        <f>IF($J704="","",YEAR($J704+4-WEEKDAY($J704,2))&amp;"-S"&amp;TEXT(_xlfn.ISOWEEKNUM($J704),"00"))</f>
        <v/>
      </c>
      <c r="P704" s="24">
        <f>IF($J704="","",YEAR($J704))</f>
        <v/>
      </c>
      <c r="Q704" s="24">
        <f>IF($J704="","",MONTH($J704))</f>
        <v/>
      </c>
      <c r="R704" s="24">
        <f>IF($J704="","",$P704&amp;"-"&amp;TEXT($Q704,"00"))</f>
        <v/>
      </c>
      <c r="S704" s="24">
        <f>IF($J704="","",INDEX(lista_dias,WEEKDAY($J704,2)))</f>
        <v/>
      </c>
      <c r="T704" s="24">
        <f>IF($J704="","",IFERROR(INDEX('CALENDARIO'!$C$15:$C$214,MATCH(TEXT($J704,"yyyy-mm-dd")&amp;"|"&amp;$Y704&amp;"|"&amp;$Z704,'CALENDARIO'!$G$15:$G$214,0)),IFERROR(INDEX('CALENDARIO'!$C$15:$C$214,MATCH(TEXT($J704,"yyyy-mm-dd")&amp;"|"&amp;$Y704&amp;"|",'CALENDARIO'!$G$15:$G$214,0)),IFERROR(INDEX('CALENDARIO'!$C$15:$C$214,MATCH(TEXT($J704,"yyyy-mm-dd")&amp;"||",'CALENDARIO'!$G$15:$G$214,0)),INDEX(patronHabil,WEEKDAY($J704,2))))))</f>
        <v/>
      </c>
      <c r="U704" s="24">
        <f>IF($I704="","",IFERROR(INDEX('CAT_TIPOS_OT'!$C$4:$C$23,MATCH($I704,'CAT_TIPOS_OT'!$A$4:$A$23,0)),"sin_clasificar"))</f>
        <v/>
      </c>
      <c r="V704" s="24">
        <f>IF($I704="","",IF(IFERROR(INDEX('CAT_TIPOS_OT'!$D$4:$D$23,MATCH($I704,'CAT_TIPOS_OT'!$A$4:$A$23,0)),"SIN CLASIFICAR")="","SIN CLASIFICAR",IFERROR(INDEX('CAT_TIPOS_OT'!$D$4:$D$23,MATCH($I704,'CAT_TIPOS_OT'!$A$4:$A$23,0)),"SIN CLASIFICAR")))</f>
        <v/>
      </c>
      <c r="W704" s="24">
        <f>IF($H704="","",IF(IFERROR(INDEX('CAT_ACTIVIDADES'!$F$4:$F$26,MATCH($H704,'CAT_ACTIVIDADES'!$A$4:$A$26,0)),"")=0,"",IFERROR(INDEX('CAT_ACTIVIDADES'!$F$4:$F$26,MATCH($H704,'CAT_ACTIVIDADES'!$A$4:$A$26,0)),"")))</f>
        <v/>
      </c>
      <c r="X704" s="24">
        <f>IF($F704="","",IFERROR(INDEX('CAT_CENTROS_COSTO'!$F$4:$F$28,MATCH($F704,'CAT_CENTROS_COSTO'!$A$4:$A$28,0)),"(sin catálogo)"))</f>
        <v/>
      </c>
      <c r="Y704" s="24">
        <f>IF($F704="","",IFERROR(INDEX('CAT_CENTROS_COSTO'!$D$4:$D$28,MATCH($F704,'CAT_CENTROS_COSTO'!$A$4:$A$28,0)),"(sin catálogo)"))</f>
        <v/>
      </c>
      <c r="Z704" s="24">
        <f>IF($F704="","",IF((IFERROR(INDEX('CAT_CENTROS_COSTO'!$E$4:$E$28,MATCH($F704,'CAT_CENTROS_COSTO'!$A$4:$A$28,0)),""))&lt;&gt;"",IFERROR(INDEX('CAT_CENTROS_COSTO'!$E$4:$E$28,MATCH($F704,'CAT_CENTROS_COSTO'!$A$4:$A$28,0)),""),$Y704))</f>
        <v/>
      </c>
      <c r="AA704" s="24">
        <f>IF($F704="","",IFERROR(INDEX('CAT_CENTROS_COSTO'!$G$4:$G$28,MATCH($F704,'CAT_CENTROS_COSTO'!$A$4:$A$28,0)),"(sin catálogo)"))</f>
        <v/>
      </c>
      <c r="AB704" s="24">
        <f>IF($G704="","",IFERROR(INDEX('CAT_PUESTOS'!$B$4:$B$23,MATCH($G704,'CAT_PUESTOS'!$A$4:$A$23,0)),"(sin catálogo)"))</f>
        <v/>
      </c>
      <c r="AC704" s="24">
        <f>IF($H704="","",IFERROR(INDEX('CAT_ACTIVIDADES'!$B$4:$B$26,MATCH($H704,'CAT_ACTIVIDADES'!$A$4:$A$26,0)),"(sin catálogo)"))</f>
        <v/>
      </c>
      <c r="AD704" s="26">
        <f>IF($J704="","",TODAY()-$J704)</f>
        <v/>
      </c>
      <c r="AE704" s="26">
        <f>IF($J704="","",IF($J704&lt;=TODAY(),COUNTIFS(cal_fechas,"&gt;="&amp;$J704,cal_fechas,"&lt;"&amp;TODAY(),cal_habil,"sí"),-COUNTIFS(cal_fechas,"&gt;="&amp;TODAY(),cal_fechas,"&lt;"&amp;$J704,cal_habil,"sí")))</f>
        <v/>
      </c>
      <c r="AF704" s="24">
        <f>IF($AE704="","",IF($AE704&lt;0,"FUTURO",IF($AE704&gt;p_dias_backlog_max,"BACKLOG","MES CORRIENTE")))</f>
        <v/>
      </c>
      <c r="AG704" s="24">
        <f>IF($AE704="",FALSE,AND($AE704&gt;p_dias_backlog_min,$AE704&lt;=p_dias_backlog_max))</f>
        <v/>
      </c>
      <c r="AH704" s="4" t="n"/>
      <c r="AI704" s="24">
        <f>IF($AH704="","",IF((IFERROR(INDEX('ASIGNACIONES'!$J$4:$J$451,MATCH($O704&amp;"|"&amp;$S704&amp;"|"&amp;$AH704,'ASIGNACIONES'!$N$4:$N$451,0)),""))=0,"",IFERROR(INDEX('ASIGNACIONES'!$J$4:$J$451,MATCH($O704&amp;"|"&amp;$S704&amp;"|"&amp;$AH704,'ASIGNACIONES'!$N$4:$N$451,0)),"")))</f>
        <v/>
      </c>
      <c r="AJ704" s="42">
        <f>IF($AH704="","",SUMIFS('ORDENES'!$M$4:$M$1203,'ORDENES'!$AH$4:$AH$1203,$AH704,'ORDENES'!$O$4:$O$1203,$O704,'ORDENES'!$S$4:$S$1203,$S704))</f>
        <v/>
      </c>
      <c r="AK704" s="42">
        <f>IF($AJ704="","",p_factor_productividad*IFERROR(INDEX('ASIGNACIONES'!$M$4:$M$451,MATCH($O704&amp;"|"&amp;$S704&amp;"|"&amp;$AH704,'ASIGNACIONES'!$N$4:$N$451,0)),0)-$AJ704)</f>
        <v/>
      </c>
      <c r="AL704" s="32">
        <f>IF($A704="","",IFERROR(INDEX('2_IMPORTAR_EJECUCION'!$F$9:$F$1208,MATCH($AU704,'2_IMPORTAR_EJECUCION'!$J$9:$J$1208,0)),0))</f>
        <v/>
      </c>
      <c r="AM704" s="32">
        <f>IF($A704="","",MAX(0,IFERROR(INDEX('2_IMPORTAR_EJECUCION'!$H$9:$H$1208,MATCH($AU704,'2_IMPORTAR_EJECUCION'!$J$9:$J$1208,0)),0)-$AL704))</f>
        <v/>
      </c>
      <c r="AN704" s="32">
        <f>IF($A704="","",$AL704+$AM704)</f>
        <v/>
      </c>
      <c r="AO704" s="24">
        <f>IF($A704="","",IF(OR((IFERROR(INDEX('CAT_ACTIVIDADES'!$D$4:$D$26,MATCH($H704,'CAT_ACTIVIDADES'!$A$4:$A$26,0)),""))=0,(IFERROR(INDEX('CAT_ACTIVIDADES'!$D$4:$D$26,MATCH($H704,'CAT_ACTIVIDADES'!$A$4:$A$26,0)),""))=""),"SIN CLASIFICAR",IFERROR(INDEX('CAT_ACTIVIDADES'!$D$4:$D$26,MATCH($H704,'CAT_ACTIVIDADES'!$A$4:$A$26,0)),"")))</f>
        <v/>
      </c>
      <c r="AP704" s="4" t="n"/>
      <c r="AQ704" s="4" t="n"/>
      <c r="AR704" s="4" t="n"/>
      <c r="AS704" s="24">
        <f>IF($AR704="","",HYPERLINK(p_ruta_base_checklists&amp;$AR704,"abrir"))</f>
        <v/>
      </c>
      <c r="AT704" s="4" t="n"/>
      <c r="AU704" s="24">
        <f>IF($A704="","",$A704&amp;IF($B704="","0010",$B704))</f>
        <v/>
      </c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41" t="n"/>
      <c r="K705" s="5" t="n"/>
      <c r="L705" s="18" t="n"/>
      <c r="M705" s="24">
        <f>IF($A705="","",IFERROR(INDEX('AJUSTES'!$B$4:$B$303,MATCH($AU705,'AJUSTES'!$A$4:$A$303,0)),IF($K705="","",$K705)))</f>
        <v/>
      </c>
      <c r="N705" s="24">
        <f>IF($A705="","",IFERROR(INDEX('CAT_ESTADOS_ERP'!$B$4:$B$22,MATCH(IFERROR(INDEX('2_IMPORTAR_EJECUCION'!$C$9:$C$1208,MATCH($AU705,'2_IMPORTAR_EJECUCION'!$J$9:$J$1208,0)),""),'CAT_ESTADOS_ERP'!$A$4:$A$22,0)),"Pendiente"))</f>
        <v/>
      </c>
      <c r="O705" s="24">
        <f>IF($J705="","",YEAR($J705+4-WEEKDAY($J705,2))&amp;"-S"&amp;TEXT(_xlfn.ISOWEEKNUM($J705),"00"))</f>
        <v/>
      </c>
      <c r="P705" s="24">
        <f>IF($J705="","",YEAR($J705))</f>
        <v/>
      </c>
      <c r="Q705" s="24">
        <f>IF($J705="","",MONTH($J705))</f>
        <v/>
      </c>
      <c r="R705" s="24">
        <f>IF($J705="","",$P705&amp;"-"&amp;TEXT($Q705,"00"))</f>
        <v/>
      </c>
      <c r="S705" s="24">
        <f>IF($J705="","",INDEX(lista_dias,WEEKDAY($J705,2)))</f>
        <v/>
      </c>
      <c r="T705" s="24">
        <f>IF($J705="","",IFERROR(INDEX('CALENDARIO'!$C$15:$C$214,MATCH(TEXT($J705,"yyyy-mm-dd")&amp;"|"&amp;$Y705&amp;"|"&amp;$Z705,'CALENDARIO'!$G$15:$G$214,0)),IFERROR(INDEX('CALENDARIO'!$C$15:$C$214,MATCH(TEXT($J705,"yyyy-mm-dd")&amp;"|"&amp;$Y705&amp;"|",'CALENDARIO'!$G$15:$G$214,0)),IFERROR(INDEX('CALENDARIO'!$C$15:$C$214,MATCH(TEXT($J705,"yyyy-mm-dd")&amp;"||",'CALENDARIO'!$G$15:$G$214,0)),INDEX(patronHabil,WEEKDAY($J705,2))))))</f>
        <v/>
      </c>
      <c r="U705" s="24">
        <f>IF($I705="","",IFERROR(INDEX('CAT_TIPOS_OT'!$C$4:$C$23,MATCH($I705,'CAT_TIPOS_OT'!$A$4:$A$23,0)),"sin_clasificar"))</f>
        <v/>
      </c>
      <c r="V705" s="24">
        <f>IF($I705="","",IF(IFERROR(INDEX('CAT_TIPOS_OT'!$D$4:$D$23,MATCH($I705,'CAT_TIPOS_OT'!$A$4:$A$23,0)),"SIN CLASIFICAR")="","SIN CLASIFICAR",IFERROR(INDEX('CAT_TIPOS_OT'!$D$4:$D$23,MATCH($I705,'CAT_TIPOS_OT'!$A$4:$A$23,0)),"SIN CLASIFICAR")))</f>
        <v/>
      </c>
      <c r="W705" s="24">
        <f>IF($H705="","",IF(IFERROR(INDEX('CAT_ACTIVIDADES'!$F$4:$F$26,MATCH($H705,'CAT_ACTIVIDADES'!$A$4:$A$26,0)),"")=0,"",IFERROR(INDEX('CAT_ACTIVIDADES'!$F$4:$F$26,MATCH($H705,'CAT_ACTIVIDADES'!$A$4:$A$26,0)),"")))</f>
        <v/>
      </c>
      <c r="X705" s="24">
        <f>IF($F705="","",IFERROR(INDEX('CAT_CENTROS_COSTO'!$F$4:$F$28,MATCH($F705,'CAT_CENTROS_COSTO'!$A$4:$A$28,0)),"(sin catálogo)"))</f>
        <v/>
      </c>
      <c r="Y705" s="24">
        <f>IF($F705="","",IFERROR(INDEX('CAT_CENTROS_COSTO'!$D$4:$D$28,MATCH($F705,'CAT_CENTROS_COSTO'!$A$4:$A$28,0)),"(sin catálogo)"))</f>
        <v/>
      </c>
      <c r="Z705" s="24">
        <f>IF($F705="","",IF((IFERROR(INDEX('CAT_CENTROS_COSTO'!$E$4:$E$28,MATCH($F705,'CAT_CENTROS_COSTO'!$A$4:$A$28,0)),""))&lt;&gt;"",IFERROR(INDEX('CAT_CENTROS_COSTO'!$E$4:$E$28,MATCH($F705,'CAT_CENTROS_COSTO'!$A$4:$A$28,0)),""),$Y705))</f>
        <v/>
      </c>
      <c r="AA705" s="24">
        <f>IF($F705="","",IFERROR(INDEX('CAT_CENTROS_COSTO'!$G$4:$G$28,MATCH($F705,'CAT_CENTROS_COSTO'!$A$4:$A$28,0)),"(sin catálogo)"))</f>
        <v/>
      </c>
      <c r="AB705" s="24">
        <f>IF($G705="","",IFERROR(INDEX('CAT_PUESTOS'!$B$4:$B$23,MATCH($G705,'CAT_PUESTOS'!$A$4:$A$23,0)),"(sin catálogo)"))</f>
        <v/>
      </c>
      <c r="AC705" s="24">
        <f>IF($H705="","",IFERROR(INDEX('CAT_ACTIVIDADES'!$B$4:$B$26,MATCH($H705,'CAT_ACTIVIDADES'!$A$4:$A$26,0)),"(sin catálogo)"))</f>
        <v/>
      </c>
      <c r="AD705" s="26">
        <f>IF($J705="","",TODAY()-$J705)</f>
        <v/>
      </c>
      <c r="AE705" s="26">
        <f>IF($J705="","",IF($J705&lt;=TODAY(),COUNTIFS(cal_fechas,"&gt;="&amp;$J705,cal_fechas,"&lt;"&amp;TODAY(),cal_habil,"sí"),-COUNTIFS(cal_fechas,"&gt;="&amp;TODAY(),cal_fechas,"&lt;"&amp;$J705,cal_habil,"sí")))</f>
        <v/>
      </c>
      <c r="AF705" s="24">
        <f>IF($AE705="","",IF($AE705&lt;0,"FUTURO",IF($AE705&gt;p_dias_backlog_max,"BACKLOG","MES CORRIENTE")))</f>
        <v/>
      </c>
      <c r="AG705" s="24">
        <f>IF($AE705="",FALSE,AND($AE705&gt;p_dias_backlog_min,$AE705&lt;=p_dias_backlog_max))</f>
        <v/>
      </c>
      <c r="AH705" s="4" t="n"/>
      <c r="AI705" s="24">
        <f>IF($AH705="","",IF((IFERROR(INDEX('ASIGNACIONES'!$J$4:$J$451,MATCH($O705&amp;"|"&amp;$S705&amp;"|"&amp;$AH705,'ASIGNACIONES'!$N$4:$N$451,0)),""))=0,"",IFERROR(INDEX('ASIGNACIONES'!$J$4:$J$451,MATCH($O705&amp;"|"&amp;$S705&amp;"|"&amp;$AH705,'ASIGNACIONES'!$N$4:$N$451,0)),"")))</f>
        <v/>
      </c>
      <c r="AJ705" s="42">
        <f>IF($AH705="","",SUMIFS('ORDENES'!$M$4:$M$1203,'ORDENES'!$AH$4:$AH$1203,$AH705,'ORDENES'!$O$4:$O$1203,$O705,'ORDENES'!$S$4:$S$1203,$S705))</f>
        <v/>
      </c>
      <c r="AK705" s="42">
        <f>IF($AJ705="","",p_factor_productividad*IFERROR(INDEX('ASIGNACIONES'!$M$4:$M$451,MATCH($O705&amp;"|"&amp;$S705&amp;"|"&amp;$AH705,'ASIGNACIONES'!$N$4:$N$451,0)),0)-$AJ705)</f>
        <v/>
      </c>
      <c r="AL705" s="32">
        <f>IF($A705="","",IFERROR(INDEX('2_IMPORTAR_EJECUCION'!$F$9:$F$1208,MATCH($AU705,'2_IMPORTAR_EJECUCION'!$J$9:$J$1208,0)),0))</f>
        <v/>
      </c>
      <c r="AM705" s="32">
        <f>IF($A705="","",MAX(0,IFERROR(INDEX('2_IMPORTAR_EJECUCION'!$H$9:$H$1208,MATCH($AU705,'2_IMPORTAR_EJECUCION'!$J$9:$J$1208,0)),0)-$AL705))</f>
        <v/>
      </c>
      <c r="AN705" s="32">
        <f>IF($A705="","",$AL705+$AM705)</f>
        <v/>
      </c>
      <c r="AO705" s="24">
        <f>IF($A705="","",IF(OR((IFERROR(INDEX('CAT_ACTIVIDADES'!$D$4:$D$26,MATCH($H705,'CAT_ACTIVIDADES'!$A$4:$A$26,0)),""))=0,(IFERROR(INDEX('CAT_ACTIVIDADES'!$D$4:$D$26,MATCH($H705,'CAT_ACTIVIDADES'!$A$4:$A$26,0)),""))=""),"SIN CLASIFICAR",IFERROR(INDEX('CAT_ACTIVIDADES'!$D$4:$D$26,MATCH($H705,'CAT_ACTIVIDADES'!$A$4:$A$26,0)),"")))</f>
        <v/>
      </c>
      <c r="AP705" s="4" t="n"/>
      <c r="AQ705" s="4" t="n"/>
      <c r="AR705" s="4" t="n"/>
      <c r="AS705" s="24">
        <f>IF($AR705="","",HYPERLINK(p_ruta_base_checklists&amp;$AR705,"abrir"))</f>
        <v/>
      </c>
      <c r="AT705" s="4" t="n"/>
      <c r="AU705" s="24">
        <f>IF($A705="","",$A705&amp;IF($B705="","0010",$B705))</f>
        <v/>
      </c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41" t="n"/>
      <c r="K706" s="5" t="n"/>
      <c r="L706" s="18" t="n"/>
      <c r="M706" s="24">
        <f>IF($A706="","",IFERROR(INDEX('AJUSTES'!$B$4:$B$303,MATCH($AU706,'AJUSTES'!$A$4:$A$303,0)),IF($K706="","",$K706)))</f>
        <v/>
      </c>
      <c r="N706" s="24">
        <f>IF($A706="","",IFERROR(INDEX('CAT_ESTADOS_ERP'!$B$4:$B$22,MATCH(IFERROR(INDEX('2_IMPORTAR_EJECUCION'!$C$9:$C$1208,MATCH($AU706,'2_IMPORTAR_EJECUCION'!$J$9:$J$1208,0)),""),'CAT_ESTADOS_ERP'!$A$4:$A$22,0)),"Pendiente"))</f>
        <v/>
      </c>
      <c r="O706" s="24">
        <f>IF($J706="","",YEAR($J706+4-WEEKDAY($J706,2))&amp;"-S"&amp;TEXT(_xlfn.ISOWEEKNUM($J706),"00"))</f>
        <v/>
      </c>
      <c r="P706" s="24">
        <f>IF($J706="","",YEAR($J706))</f>
        <v/>
      </c>
      <c r="Q706" s="24">
        <f>IF($J706="","",MONTH($J706))</f>
        <v/>
      </c>
      <c r="R706" s="24">
        <f>IF($J706="","",$P706&amp;"-"&amp;TEXT($Q706,"00"))</f>
        <v/>
      </c>
      <c r="S706" s="24">
        <f>IF($J706="","",INDEX(lista_dias,WEEKDAY($J706,2)))</f>
        <v/>
      </c>
      <c r="T706" s="24">
        <f>IF($J706="","",IFERROR(INDEX('CALENDARIO'!$C$15:$C$214,MATCH(TEXT($J706,"yyyy-mm-dd")&amp;"|"&amp;$Y706&amp;"|"&amp;$Z706,'CALENDARIO'!$G$15:$G$214,0)),IFERROR(INDEX('CALENDARIO'!$C$15:$C$214,MATCH(TEXT($J706,"yyyy-mm-dd")&amp;"|"&amp;$Y706&amp;"|",'CALENDARIO'!$G$15:$G$214,0)),IFERROR(INDEX('CALENDARIO'!$C$15:$C$214,MATCH(TEXT($J706,"yyyy-mm-dd")&amp;"||",'CALENDARIO'!$G$15:$G$214,0)),INDEX(patronHabil,WEEKDAY($J706,2))))))</f>
        <v/>
      </c>
      <c r="U706" s="24">
        <f>IF($I706="","",IFERROR(INDEX('CAT_TIPOS_OT'!$C$4:$C$23,MATCH($I706,'CAT_TIPOS_OT'!$A$4:$A$23,0)),"sin_clasificar"))</f>
        <v/>
      </c>
      <c r="V706" s="24">
        <f>IF($I706="","",IF(IFERROR(INDEX('CAT_TIPOS_OT'!$D$4:$D$23,MATCH($I706,'CAT_TIPOS_OT'!$A$4:$A$23,0)),"SIN CLASIFICAR")="","SIN CLASIFICAR",IFERROR(INDEX('CAT_TIPOS_OT'!$D$4:$D$23,MATCH($I706,'CAT_TIPOS_OT'!$A$4:$A$23,0)),"SIN CLASIFICAR")))</f>
        <v/>
      </c>
      <c r="W706" s="24">
        <f>IF($H706="","",IF(IFERROR(INDEX('CAT_ACTIVIDADES'!$F$4:$F$26,MATCH($H706,'CAT_ACTIVIDADES'!$A$4:$A$26,0)),"")=0,"",IFERROR(INDEX('CAT_ACTIVIDADES'!$F$4:$F$26,MATCH($H706,'CAT_ACTIVIDADES'!$A$4:$A$26,0)),"")))</f>
        <v/>
      </c>
      <c r="X706" s="24">
        <f>IF($F706="","",IFERROR(INDEX('CAT_CENTROS_COSTO'!$F$4:$F$28,MATCH($F706,'CAT_CENTROS_COSTO'!$A$4:$A$28,0)),"(sin catálogo)"))</f>
        <v/>
      </c>
      <c r="Y706" s="24">
        <f>IF($F706="","",IFERROR(INDEX('CAT_CENTROS_COSTO'!$D$4:$D$28,MATCH($F706,'CAT_CENTROS_COSTO'!$A$4:$A$28,0)),"(sin catálogo)"))</f>
        <v/>
      </c>
      <c r="Z706" s="24">
        <f>IF($F706="","",IF((IFERROR(INDEX('CAT_CENTROS_COSTO'!$E$4:$E$28,MATCH($F706,'CAT_CENTROS_COSTO'!$A$4:$A$28,0)),""))&lt;&gt;"",IFERROR(INDEX('CAT_CENTROS_COSTO'!$E$4:$E$28,MATCH($F706,'CAT_CENTROS_COSTO'!$A$4:$A$28,0)),""),$Y706))</f>
        <v/>
      </c>
      <c r="AA706" s="24">
        <f>IF($F706="","",IFERROR(INDEX('CAT_CENTROS_COSTO'!$G$4:$G$28,MATCH($F706,'CAT_CENTROS_COSTO'!$A$4:$A$28,0)),"(sin catálogo)"))</f>
        <v/>
      </c>
      <c r="AB706" s="24">
        <f>IF($G706="","",IFERROR(INDEX('CAT_PUESTOS'!$B$4:$B$23,MATCH($G706,'CAT_PUESTOS'!$A$4:$A$23,0)),"(sin catálogo)"))</f>
        <v/>
      </c>
      <c r="AC706" s="24">
        <f>IF($H706="","",IFERROR(INDEX('CAT_ACTIVIDADES'!$B$4:$B$26,MATCH($H706,'CAT_ACTIVIDADES'!$A$4:$A$26,0)),"(sin catálogo)"))</f>
        <v/>
      </c>
      <c r="AD706" s="26">
        <f>IF($J706="","",TODAY()-$J706)</f>
        <v/>
      </c>
      <c r="AE706" s="26">
        <f>IF($J706="","",IF($J706&lt;=TODAY(),COUNTIFS(cal_fechas,"&gt;="&amp;$J706,cal_fechas,"&lt;"&amp;TODAY(),cal_habil,"sí"),-COUNTIFS(cal_fechas,"&gt;="&amp;TODAY(),cal_fechas,"&lt;"&amp;$J706,cal_habil,"sí")))</f>
        <v/>
      </c>
      <c r="AF706" s="24">
        <f>IF($AE706="","",IF($AE706&lt;0,"FUTURO",IF($AE706&gt;p_dias_backlog_max,"BACKLOG","MES CORRIENTE")))</f>
        <v/>
      </c>
      <c r="AG706" s="24">
        <f>IF($AE706="",FALSE,AND($AE706&gt;p_dias_backlog_min,$AE706&lt;=p_dias_backlog_max))</f>
        <v/>
      </c>
      <c r="AH706" s="4" t="n"/>
      <c r="AI706" s="24">
        <f>IF($AH706="","",IF((IFERROR(INDEX('ASIGNACIONES'!$J$4:$J$451,MATCH($O706&amp;"|"&amp;$S706&amp;"|"&amp;$AH706,'ASIGNACIONES'!$N$4:$N$451,0)),""))=0,"",IFERROR(INDEX('ASIGNACIONES'!$J$4:$J$451,MATCH($O706&amp;"|"&amp;$S706&amp;"|"&amp;$AH706,'ASIGNACIONES'!$N$4:$N$451,0)),"")))</f>
        <v/>
      </c>
      <c r="AJ706" s="42">
        <f>IF($AH706="","",SUMIFS('ORDENES'!$M$4:$M$1203,'ORDENES'!$AH$4:$AH$1203,$AH706,'ORDENES'!$O$4:$O$1203,$O706,'ORDENES'!$S$4:$S$1203,$S706))</f>
        <v/>
      </c>
      <c r="AK706" s="42">
        <f>IF($AJ706="","",p_factor_productividad*IFERROR(INDEX('ASIGNACIONES'!$M$4:$M$451,MATCH($O706&amp;"|"&amp;$S706&amp;"|"&amp;$AH706,'ASIGNACIONES'!$N$4:$N$451,0)),0)-$AJ706)</f>
        <v/>
      </c>
      <c r="AL706" s="32">
        <f>IF($A706="","",IFERROR(INDEX('2_IMPORTAR_EJECUCION'!$F$9:$F$1208,MATCH($AU706,'2_IMPORTAR_EJECUCION'!$J$9:$J$1208,0)),0))</f>
        <v/>
      </c>
      <c r="AM706" s="32">
        <f>IF($A706="","",MAX(0,IFERROR(INDEX('2_IMPORTAR_EJECUCION'!$H$9:$H$1208,MATCH($AU706,'2_IMPORTAR_EJECUCION'!$J$9:$J$1208,0)),0)-$AL706))</f>
        <v/>
      </c>
      <c r="AN706" s="32">
        <f>IF($A706="","",$AL706+$AM706)</f>
        <v/>
      </c>
      <c r="AO706" s="24">
        <f>IF($A706="","",IF(OR((IFERROR(INDEX('CAT_ACTIVIDADES'!$D$4:$D$26,MATCH($H706,'CAT_ACTIVIDADES'!$A$4:$A$26,0)),""))=0,(IFERROR(INDEX('CAT_ACTIVIDADES'!$D$4:$D$26,MATCH($H706,'CAT_ACTIVIDADES'!$A$4:$A$26,0)),""))=""),"SIN CLASIFICAR",IFERROR(INDEX('CAT_ACTIVIDADES'!$D$4:$D$26,MATCH($H706,'CAT_ACTIVIDADES'!$A$4:$A$26,0)),"")))</f>
        <v/>
      </c>
      <c r="AP706" s="4" t="n"/>
      <c r="AQ706" s="4" t="n"/>
      <c r="AR706" s="4" t="n"/>
      <c r="AS706" s="24">
        <f>IF($AR706="","",HYPERLINK(p_ruta_base_checklists&amp;$AR706,"abrir"))</f>
        <v/>
      </c>
      <c r="AT706" s="4" t="n"/>
      <c r="AU706" s="24">
        <f>IF($A706="","",$A706&amp;IF($B706="","0010",$B706))</f>
        <v/>
      </c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41" t="n"/>
      <c r="K707" s="5" t="n"/>
      <c r="L707" s="18" t="n"/>
      <c r="M707" s="24">
        <f>IF($A707="","",IFERROR(INDEX('AJUSTES'!$B$4:$B$303,MATCH($AU707,'AJUSTES'!$A$4:$A$303,0)),IF($K707="","",$K707)))</f>
        <v/>
      </c>
      <c r="N707" s="24">
        <f>IF($A707="","",IFERROR(INDEX('CAT_ESTADOS_ERP'!$B$4:$B$22,MATCH(IFERROR(INDEX('2_IMPORTAR_EJECUCION'!$C$9:$C$1208,MATCH($AU707,'2_IMPORTAR_EJECUCION'!$J$9:$J$1208,0)),""),'CAT_ESTADOS_ERP'!$A$4:$A$22,0)),"Pendiente"))</f>
        <v/>
      </c>
      <c r="O707" s="24">
        <f>IF($J707="","",YEAR($J707+4-WEEKDAY($J707,2))&amp;"-S"&amp;TEXT(_xlfn.ISOWEEKNUM($J707),"00"))</f>
        <v/>
      </c>
      <c r="P707" s="24">
        <f>IF($J707="","",YEAR($J707))</f>
        <v/>
      </c>
      <c r="Q707" s="24">
        <f>IF($J707="","",MONTH($J707))</f>
        <v/>
      </c>
      <c r="R707" s="24">
        <f>IF($J707="","",$P707&amp;"-"&amp;TEXT($Q707,"00"))</f>
        <v/>
      </c>
      <c r="S707" s="24">
        <f>IF($J707="","",INDEX(lista_dias,WEEKDAY($J707,2)))</f>
        <v/>
      </c>
      <c r="T707" s="24">
        <f>IF($J707="","",IFERROR(INDEX('CALENDARIO'!$C$15:$C$214,MATCH(TEXT($J707,"yyyy-mm-dd")&amp;"|"&amp;$Y707&amp;"|"&amp;$Z707,'CALENDARIO'!$G$15:$G$214,0)),IFERROR(INDEX('CALENDARIO'!$C$15:$C$214,MATCH(TEXT($J707,"yyyy-mm-dd")&amp;"|"&amp;$Y707&amp;"|",'CALENDARIO'!$G$15:$G$214,0)),IFERROR(INDEX('CALENDARIO'!$C$15:$C$214,MATCH(TEXT($J707,"yyyy-mm-dd")&amp;"||",'CALENDARIO'!$G$15:$G$214,0)),INDEX(patronHabil,WEEKDAY($J707,2))))))</f>
        <v/>
      </c>
      <c r="U707" s="24">
        <f>IF($I707="","",IFERROR(INDEX('CAT_TIPOS_OT'!$C$4:$C$23,MATCH($I707,'CAT_TIPOS_OT'!$A$4:$A$23,0)),"sin_clasificar"))</f>
        <v/>
      </c>
      <c r="V707" s="24">
        <f>IF($I707="","",IF(IFERROR(INDEX('CAT_TIPOS_OT'!$D$4:$D$23,MATCH($I707,'CAT_TIPOS_OT'!$A$4:$A$23,0)),"SIN CLASIFICAR")="","SIN CLASIFICAR",IFERROR(INDEX('CAT_TIPOS_OT'!$D$4:$D$23,MATCH($I707,'CAT_TIPOS_OT'!$A$4:$A$23,0)),"SIN CLASIFICAR")))</f>
        <v/>
      </c>
      <c r="W707" s="24">
        <f>IF($H707="","",IF(IFERROR(INDEX('CAT_ACTIVIDADES'!$F$4:$F$26,MATCH($H707,'CAT_ACTIVIDADES'!$A$4:$A$26,0)),"")=0,"",IFERROR(INDEX('CAT_ACTIVIDADES'!$F$4:$F$26,MATCH($H707,'CAT_ACTIVIDADES'!$A$4:$A$26,0)),"")))</f>
        <v/>
      </c>
      <c r="X707" s="24">
        <f>IF($F707="","",IFERROR(INDEX('CAT_CENTROS_COSTO'!$F$4:$F$28,MATCH($F707,'CAT_CENTROS_COSTO'!$A$4:$A$28,0)),"(sin catálogo)"))</f>
        <v/>
      </c>
      <c r="Y707" s="24">
        <f>IF($F707="","",IFERROR(INDEX('CAT_CENTROS_COSTO'!$D$4:$D$28,MATCH($F707,'CAT_CENTROS_COSTO'!$A$4:$A$28,0)),"(sin catálogo)"))</f>
        <v/>
      </c>
      <c r="Z707" s="24">
        <f>IF($F707="","",IF((IFERROR(INDEX('CAT_CENTROS_COSTO'!$E$4:$E$28,MATCH($F707,'CAT_CENTROS_COSTO'!$A$4:$A$28,0)),""))&lt;&gt;"",IFERROR(INDEX('CAT_CENTROS_COSTO'!$E$4:$E$28,MATCH($F707,'CAT_CENTROS_COSTO'!$A$4:$A$28,0)),""),$Y707))</f>
        <v/>
      </c>
      <c r="AA707" s="24">
        <f>IF($F707="","",IFERROR(INDEX('CAT_CENTROS_COSTO'!$G$4:$G$28,MATCH($F707,'CAT_CENTROS_COSTO'!$A$4:$A$28,0)),"(sin catálogo)"))</f>
        <v/>
      </c>
      <c r="AB707" s="24">
        <f>IF($G707="","",IFERROR(INDEX('CAT_PUESTOS'!$B$4:$B$23,MATCH($G707,'CAT_PUESTOS'!$A$4:$A$23,0)),"(sin catálogo)"))</f>
        <v/>
      </c>
      <c r="AC707" s="24">
        <f>IF($H707="","",IFERROR(INDEX('CAT_ACTIVIDADES'!$B$4:$B$26,MATCH($H707,'CAT_ACTIVIDADES'!$A$4:$A$26,0)),"(sin catálogo)"))</f>
        <v/>
      </c>
      <c r="AD707" s="26">
        <f>IF($J707="","",TODAY()-$J707)</f>
        <v/>
      </c>
      <c r="AE707" s="26">
        <f>IF($J707="","",IF($J707&lt;=TODAY(),COUNTIFS(cal_fechas,"&gt;="&amp;$J707,cal_fechas,"&lt;"&amp;TODAY(),cal_habil,"sí"),-COUNTIFS(cal_fechas,"&gt;="&amp;TODAY(),cal_fechas,"&lt;"&amp;$J707,cal_habil,"sí")))</f>
        <v/>
      </c>
      <c r="AF707" s="24">
        <f>IF($AE707="","",IF($AE707&lt;0,"FUTURO",IF($AE707&gt;p_dias_backlog_max,"BACKLOG","MES CORRIENTE")))</f>
        <v/>
      </c>
      <c r="AG707" s="24">
        <f>IF($AE707="",FALSE,AND($AE707&gt;p_dias_backlog_min,$AE707&lt;=p_dias_backlog_max))</f>
        <v/>
      </c>
      <c r="AH707" s="4" t="n"/>
      <c r="AI707" s="24">
        <f>IF($AH707="","",IF((IFERROR(INDEX('ASIGNACIONES'!$J$4:$J$451,MATCH($O707&amp;"|"&amp;$S707&amp;"|"&amp;$AH707,'ASIGNACIONES'!$N$4:$N$451,0)),""))=0,"",IFERROR(INDEX('ASIGNACIONES'!$J$4:$J$451,MATCH($O707&amp;"|"&amp;$S707&amp;"|"&amp;$AH707,'ASIGNACIONES'!$N$4:$N$451,0)),"")))</f>
        <v/>
      </c>
      <c r="AJ707" s="42">
        <f>IF($AH707="","",SUMIFS('ORDENES'!$M$4:$M$1203,'ORDENES'!$AH$4:$AH$1203,$AH707,'ORDENES'!$O$4:$O$1203,$O707,'ORDENES'!$S$4:$S$1203,$S707))</f>
        <v/>
      </c>
      <c r="AK707" s="42">
        <f>IF($AJ707="","",p_factor_productividad*IFERROR(INDEX('ASIGNACIONES'!$M$4:$M$451,MATCH($O707&amp;"|"&amp;$S707&amp;"|"&amp;$AH707,'ASIGNACIONES'!$N$4:$N$451,0)),0)-$AJ707)</f>
        <v/>
      </c>
      <c r="AL707" s="32">
        <f>IF($A707="","",IFERROR(INDEX('2_IMPORTAR_EJECUCION'!$F$9:$F$1208,MATCH($AU707,'2_IMPORTAR_EJECUCION'!$J$9:$J$1208,0)),0))</f>
        <v/>
      </c>
      <c r="AM707" s="32">
        <f>IF($A707="","",MAX(0,IFERROR(INDEX('2_IMPORTAR_EJECUCION'!$H$9:$H$1208,MATCH($AU707,'2_IMPORTAR_EJECUCION'!$J$9:$J$1208,0)),0)-$AL707))</f>
        <v/>
      </c>
      <c r="AN707" s="32">
        <f>IF($A707="","",$AL707+$AM707)</f>
        <v/>
      </c>
      <c r="AO707" s="24">
        <f>IF($A707="","",IF(OR((IFERROR(INDEX('CAT_ACTIVIDADES'!$D$4:$D$26,MATCH($H707,'CAT_ACTIVIDADES'!$A$4:$A$26,0)),""))=0,(IFERROR(INDEX('CAT_ACTIVIDADES'!$D$4:$D$26,MATCH($H707,'CAT_ACTIVIDADES'!$A$4:$A$26,0)),""))=""),"SIN CLASIFICAR",IFERROR(INDEX('CAT_ACTIVIDADES'!$D$4:$D$26,MATCH($H707,'CAT_ACTIVIDADES'!$A$4:$A$26,0)),"")))</f>
        <v/>
      </c>
      <c r="AP707" s="4" t="n"/>
      <c r="AQ707" s="4" t="n"/>
      <c r="AR707" s="4" t="n"/>
      <c r="AS707" s="24">
        <f>IF($AR707="","",HYPERLINK(p_ruta_base_checklists&amp;$AR707,"abrir"))</f>
        <v/>
      </c>
      <c r="AT707" s="4" t="n"/>
      <c r="AU707" s="24">
        <f>IF($A707="","",$A707&amp;IF($B707="","0010",$B707))</f>
        <v/>
      </c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41" t="n"/>
      <c r="K708" s="5" t="n"/>
      <c r="L708" s="18" t="n"/>
      <c r="M708" s="24">
        <f>IF($A708="","",IFERROR(INDEX('AJUSTES'!$B$4:$B$303,MATCH($AU708,'AJUSTES'!$A$4:$A$303,0)),IF($K708="","",$K708)))</f>
        <v/>
      </c>
      <c r="N708" s="24">
        <f>IF($A708="","",IFERROR(INDEX('CAT_ESTADOS_ERP'!$B$4:$B$22,MATCH(IFERROR(INDEX('2_IMPORTAR_EJECUCION'!$C$9:$C$1208,MATCH($AU708,'2_IMPORTAR_EJECUCION'!$J$9:$J$1208,0)),""),'CAT_ESTADOS_ERP'!$A$4:$A$22,0)),"Pendiente"))</f>
        <v/>
      </c>
      <c r="O708" s="24">
        <f>IF($J708="","",YEAR($J708+4-WEEKDAY($J708,2))&amp;"-S"&amp;TEXT(_xlfn.ISOWEEKNUM($J708),"00"))</f>
        <v/>
      </c>
      <c r="P708" s="24">
        <f>IF($J708="","",YEAR($J708))</f>
        <v/>
      </c>
      <c r="Q708" s="24">
        <f>IF($J708="","",MONTH($J708))</f>
        <v/>
      </c>
      <c r="R708" s="24">
        <f>IF($J708="","",$P708&amp;"-"&amp;TEXT($Q708,"00"))</f>
        <v/>
      </c>
      <c r="S708" s="24">
        <f>IF($J708="","",INDEX(lista_dias,WEEKDAY($J708,2)))</f>
        <v/>
      </c>
      <c r="T708" s="24">
        <f>IF($J708="","",IFERROR(INDEX('CALENDARIO'!$C$15:$C$214,MATCH(TEXT($J708,"yyyy-mm-dd")&amp;"|"&amp;$Y708&amp;"|"&amp;$Z708,'CALENDARIO'!$G$15:$G$214,0)),IFERROR(INDEX('CALENDARIO'!$C$15:$C$214,MATCH(TEXT($J708,"yyyy-mm-dd")&amp;"|"&amp;$Y708&amp;"|",'CALENDARIO'!$G$15:$G$214,0)),IFERROR(INDEX('CALENDARIO'!$C$15:$C$214,MATCH(TEXT($J708,"yyyy-mm-dd")&amp;"||",'CALENDARIO'!$G$15:$G$214,0)),INDEX(patronHabil,WEEKDAY($J708,2))))))</f>
        <v/>
      </c>
      <c r="U708" s="24">
        <f>IF($I708="","",IFERROR(INDEX('CAT_TIPOS_OT'!$C$4:$C$23,MATCH($I708,'CAT_TIPOS_OT'!$A$4:$A$23,0)),"sin_clasificar"))</f>
        <v/>
      </c>
      <c r="V708" s="24">
        <f>IF($I708="","",IF(IFERROR(INDEX('CAT_TIPOS_OT'!$D$4:$D$23,MATCH($I708,'CAT_TIPOS_OT'!$A$4:$A$23,0)),"SIN CLASIFICAR")="","SIN CLASIFICAR",IFERROR(INDEX('CAT_TIPOS_OT'!$D$4:$D$23,MATCH($I708,'CAT_TIPOS_OT'!$A$4:$A$23,0)),"SIN CLASIFICAR")))</f>
        <v/>
      </c>
      <c r="W708" s="24">
        <f>IF($H708="","",IF(IFERROR(INDEX('CAT_ACTIVIDADES'!$F$4:$F$26,MATCH($H708,'CAT_ACTIVIDADES'!$A$4:$A$26,0)),"")=0,"",IFERROR(INDEX('CAT_ACTIVIDADES'!$F$4:$F$26,MATCH($H708,'CAT_ACTIVIDADES'!$A$4:$A$26,0)),"")))</f>
        <v/>
      </c>
      <c r="X708" s="24">
        <f>IF($F708="","",IFERROR(INDEX('CAT_CENTROS_COSTO'!$F$4:$F$28,MATCH($F708,'CAT_CENTROS_COSTO'!$A$4:$A$28,0)),"(sin catálogo)"))</f>
        <v/>
      </c>
      <c r="Y708" s="24">
        <f>IF($F708="","",IFERROR(INDEX('CAT_CENTROS_COSTO'!$D$4:$D$28,MATCH($F708,'CAT_CENTROS_COSTO'!$A$4:$A$28,0)),"(sin catálogo)"))</f>
        <v/>
      </c>
      <c r="Z708" s="24">
        <f>IF($F708="","",IF((IFERROR(INDEX('CAT_CENTROS_COSTO'!$E$4:$E$28,MATCH($F708,'CAT_CENTROS_COSTO'!$A$4:$A$28,0)),""))&lt;&gt;"",IFERROR(INDEX('CAT_CENTROS_COSTO'!$E$4:$E$28,MATCH($F708,'CAT_CENTROS_COSTO'!$A$4:$A$28,0)),""),$Y708))</f>
        <v/>
      </c>
      <c r="AA708" s="24">
        <f>IF($F708="","",IFERROR(INDEX('CAT_CENTROS_COSTO'!$G$4:$G$28,MATCH($F708,'CAT_CENTROS_COSTO'!$A$4:$A$28,0)),"(sin catálogo)"))</f>
        <v/>
      </c>
      <c r="AB708" s="24">
        <f>IF($G708="","",IFERROR(INDEX('CAT_PUESTOS'!$B$4:$B$23,MATCH($G708,'CAT_PUESTOS'!$A$4:$A$23,0)),"(sin catálogo)"))</f>
        <v/>
      </c>
      <c r="AC708" s="24">
        <f>IF($H708="","",IFERROR(INDEX('CAT_ACTIVIDADES'!$B$4:$B$26,MATCH($H708,'CAT_ACTIVIDADES'!$A$4:$A$26,0)),"(sin catálogo)"))</f>
        <v/>
      </c>
      <c r="AD708" s="26">
        <f>IF($J708="","",TODAY()-$J708)</f>
        <v/>
      </c>
      <c r="AE708" s="26">
        <f>IF($J708="","",IF($J708&lt;=TODAY(),COUNTIFS(cal_fechas,"&gt;="&amp;$J708,cal_fechas,"&lt;"&amp;TODAY(),cal_habil,"sí"),-COUNTIFS(cal_fechas,"&gt;="&amp;TODAY(),cal_fechas,"&lt;"&amp;$J708,cal_habil,"sí")))</f>
        <v/>
      </c>
      <c r="AF708" s="24">
        <f>IF($AE708="","",IF($AE708&lt;0,"FUTURO",IF($AE708&gt;p_dias_backlog_max,"BACKLOG","MES CORRIENTE")))</f>
        <v/>
      </c>
      <c r="AG708" s="24">
        <f>IF($AE708="",FALSE,AND($AE708&gt;p_dias_backlog_min,$AE708&lt;=p_dias_backlog_max))</f>
        <v/>
      </c>
      <c r="AH708" s="4" t="n"/>
      <c r="AI708" s="24">
        <f>IF($AH708="","",IF((IFERROR(INDEX('ASIGNACIONES'!$J$4:$J$451,MATCH($O708&amp;"|"&amp;$S708&amp;"|"&amp;$AH708,'ASIGNACIONES'!$N$4:$N$451,0)),""))=0,"",IFERROR(INDEX('ASIGNACIONES'!$J$4:$J$451,MATCH($O708&amp;"|"&amp;$S708&amp;"|"&amp;$AH708,'ASIGNACIONES'!$N$4:$N$451,0)),"")))</f>
        <v/>
      </c>
      <c r="AJ708" s="42">
        <f>IF($AH708="","",SUMIFS('ORDENES'!$M$4:$M$1203,'ORDENES'!$AH$4:$AH$1203,$AH708,'ORDENES'!$O$4:$O$1203,$O708,'ORDENES'!$S$4:$S$1203,$S708))</f>
        <v/>
      </c>
      <c r="AK708" s="42">
        <f>IF($AJ708="","",p_factor_productividad*IFERROR(INDEX('ASIGNACIONES'!$M$4:$M$451,MATCH($O708&amp;"|"&amp;$S708&amp;"|"&amp;$AH708,'ASIGNACIONES'!$N$4:$N$451,0)),0)-$AJ708)</f>
        <v/>
      </c>
      <c r="AL708" s="32">
        <f>IF($A708="","",IFERROR(INDEX('2_IMPORTAR_EJECUCION'!$F$9:$F$1208,MATCH($AU708,'2_IMPORTAR_EJECUCION'!$J$9:$J$1208,0)),0))</f>
        <v/>
      </c>
      <c r="AM708" s="32">
        <f>IF($A708="","",MAX(0,IFERROR(INDEX('2_IMPORTAR_EJECUCION'!$H$9:$H$1208,MATCH($AU708,'2_IMPORTAR_EJECUCION'!$J$9:$J$1208,0)),0)-$AL708))</f>
        <v/>
      </c>
      <c r="AN708" s="32">
        <f>IF($A708="","",$AL708+$AM708)</f>
        <v/>
      </c>
      <c r="AO708" s="24">
        <f>IF($A708="","",IF(OR((IFERROR(INDEX('CAT_ACTIVIDADES'!$D$4:$D$26,MATCH($H708,'CAT_ACTIVIDADES'!$A$4:$A$26,0)),""))=0,(IFERROR(INDEX('CAT_ACTIVIDADES'!$D$4:$D$26,MATCH($H708,'CAT_ACTIVIDADES'!$A$4:$A$26,0)),""))=""),"SIN CLASIFICAR",IFERROR(INDEX('CAT_ACTIVIDADES'!$D$4:$D$26,MATCH($H708,'CAT_ACTIVIDADES'!$A$4:$A$26,0)),"")))</f>
        <v/>
      </c>
      <c r="AP708" s="4" t="n"/>
      <c r="AQ708" s="4" t="n"/>
      <c r="AR708" s="4" t="n"/>
      <c r="AS708" s="24">
        <f>IF($AR708="","",HYPERLINK(p_ruta_base_checklists&amp;$AR708,"abrir"))</f>
        <v/>
      </c>
      <c r="AT708" s="4" t="n"/>
      <c r="AU708" s="24">
        <f>IF($A708="","",$A708&amp;IF($B708="","0010",$B708))</f>
        <v/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41" t="n"/>
      <c r="K709" s="5" t="n"/>
      <c r="L709" s="18" t="n"/>
      <c r="M709" s="24">
        <f>IF($A709="","",IFERROR(INDEX('AJUSTES'!$B$4:$B$303,MATCH($AU709,'AJUSTES'!$A$4:$A$303,0)),IF($K709="","",$K709)))</f>
        <v/>
      </c>
      <c r="N709" s="24">
        <f>IF($A709="","",IFERROR(INDEX('CAT_ESTADOS_ERP'!$B$4:$B$22,MATCH(IFERROR(INDEX('2_IMPORTAR_EJECUCION'!$C$9:$C$1208,MATCH($AU709,'2_IMPORTAR_EJECUCION'!$J$9:$J$1208,0)),""),'CAT_ESTADOS_ERP'!$A$4:$A$22,0)),"Pendiente"))</f>
        <v/>
      </c>
      <c r="O709" s="24">
        <f>IF($J709="","",YEAR($J709+4-WEEKDAY($J709,2))&amp;"-S"&amp;TEXT(_xlfn.ISOWEEKNUM($J709),"00"))</f>
        <v/>
      </c>
      <c r="P709" s="24">
        <f>IF($J709="","",YEAR($J709))</f>
        <v/>
      </c>
      <c r="Q709" s="24">
        <f>IF($J709="","",MONTH($J709))</f>
        <v/>
      </c>
      <c r="R709" s="24">
        <f>IF($J709="","",$P709&amp;"-"&amp;TEXT($Q709,"00"))</f>
        <v/>
      </c>
      <c r="S709" s="24">
        <f>IF($J709="","",INDEX(lista_dias,WEEKDAY($J709,2)))</f>
        <v/>
      </c>
      <c r="T709" s="24">
        <f>IF($J709="","",IFERROR(INDEX('CALENDARIO'!$C$15:$C$214,MATCH(TEXT($J709,"yyyy-mm-dd")&amp;"|"&amp;$Y709&amp;"|"&amp;$Z709,'CALENDARIO'!$G$15:$G$214,0)),IFERROR(INDEX('CALENDARIO'!$C$15:$C$214,MATCH(TEXT($J709,"yyyy-mm-dd")&amp;"|"&amp;$Y709&amp;"|",'CALENDARIO'!$G$15:$G$214,0)),IFERROR(INDEX('CALENDARIO'!$C$15:$C$214,MATCH(TEXT($J709,"yyyy-mm-dd")&amp;"||",'CALENDARIO'!$G$15:$G$214,0)),INDEX(patronHabil,WEEKDAY($J709,2))))))</f>
        <v/>
      </c>
      <c r="U709" s="24">
        <f>IF($I709="","",IFERROR(INDEX('CAT_TIPOS_OT'!$C$4:$C$23,MATCH($I709,'CAT_TIPOS_OT'!$A$4:$A$23,0)),"sin_clasificar"))</f>
        <v/>
      </c>
      <c r="V709" s="24">
        <f>IF($I709="","",IF(IFERROR(INDEX('CAT_TIPOS_OT'!$D$4:$D$23,MATCH($I709,'CAT_TIPOS_OT'!$A$4:$A$23,0)),"SIN CLASIFICAR")="","SIN CLASIFICAR",IFERROR(INDEX('CAT_TIPOS_OT'!$D$4:$D$23,MATCH($I709,'CAT_TIPOS_OT'!$A$4:$A$23,0)),"SIN CLASIFICAR")))</f>
        <v/>
      </c>
      <c r="W709" s="24">
        <f>IF($H709="","",IF(IFERROR(INDEX('CAT_ACTIVIDADES'!$F$4:$F$26,MATCH($H709,'CAT_ACTIVIDADES'!$A$4:$A$26,0)),"")=0,"",IFERROR(INDEX('CAT_ACTIVIDADES'!$F$4:$F$26,MATCH($H709,'CAT_ACTIVIDADES'!$A$4:$A$26,0)),"")))</f>
        <v/>
      </c>
      <c r="X709" s="24">
        <f>IF($F709="","",IFERROR(INDEX('CAT_CENTROS_COSTO'!$F$4:$F$28,MATCH($F709,'CAT_CENTROS_COSTO'!$A$4:$A$28,0)),"(sin catálogo)"))</f>
        <v/>
      </c>
      <c r="Y709" s="24">
        <f>IF($F709="","",IFERROR(INDEX('CAT_CENTROS_COSTO'!$D$4:$D$28,MATCH($F709,'CAT_CENTROS_COSTO'!$A$4:$A$28,0)),"(sin catálogo)"))</f>
        <v/>
      </c>
      <c r="Z709" s="24">
        <f>IF($F709="","",IF((IFERROR(INDEX('CAT_CENTROS_COSTO'!$E$4:$E$28,MATCH($F709,'CAT_CENTROS_COSTO'!$A$4:$A$28,0)),""))&lt;&gt;"",IFERROR(INDEX('CAT_CENTROS_COSTO'!$E$4:$E$28,MATCH($F709,'CAT_CENTROS_COSTO'!$A$4:$A$28,0)),""),$Y709))</f>
        <v/>
      </c>
      <c r="AA709" s="24">
        <f>IF($F709="","",IFERROR(INDEX('CAT_CENTROS_COSTO'!$G$4:$G$28,MATCH($F709,'CAT_CENTROS_COSTO'!$A$4:$A$28,0)),"(sin catálogo)"))</f>
        <v/>
      </c>
      <c r="AB709" s="24">
        <f>IF($G709="","",IFERROR(INDEX('CAT_PUESTOS'!$B$4:$B$23,MATCH($G709,'CAT_PUESTOS'!$A$4:$A$23,0)),"(sin catálogo)"))</f>
        <v/>
      </c>
      <c r="AC709" s="24">
        <f>IF($H709="","",IFERROR(INDEX('CAT_ACTIVIDADES'!$B$4:$B$26,MATCH($H709,'CAT_ACTIVIDADES'!$A$4:$A$26,0)),"(sin catálogo)"))</f>
        <v/>
      </c>
      <c r="AD709" s="26">
        <f>IF($J709="","",TODAY()-$J709)</f>
        <v/>
      </c>
      <c r="AE709" s="26">
        <f>IF($J709="","",IF($J709&lt;=TODAY(),COUNTIFS(cal_fechas,"&gt;="&amp;$J709,cal_fechas,"&lt;"&amp;TODAY(),cal_habil,"sí"),-COUNTIFS(cal_fechas,"&gt;="&amp;TODAY(),cal_fechas,"&lt;"&amp;$J709,cal_habil,"sí")))</f>
        <v/>
      </c>
      <c r="AF709" s="24">
        <f>IF($AE709="","",IF($AE709&lt;0,"FUTURO",IF($AE709&gt;p_dias_backlog_max,"BACKLOG","MES CORRIENTE")))</f>
        <v/>
      </c>
      <c r="AG709" s="24">
        <f>IF($AE709="",FALSE,AND($AE709&gt;p_dias_backlog_min,$AE709&lt;=p_dias_backlog_max))</f>
        <v/>
      </c>
      <c r="AH709" s="4" t="n"/>
      <c r="AI709" s="24">
        <f>IF($AH709="","",IF((IFERROR(INDEX('ASIGNACIONES'!$J$4:$J$451,MATCH($O709&amp;"|"&amp;$S709&amp;"|"&amp;$AH709,'ASIGNACIONES'!$N$4:$N$451,0)),""))=0,"",IFERROR(INDEX('ASIGNACIONES'!$J$4:$J$451,MATCH($O709&amp;"|"&amp;$S709&amp;"|"&amp;$AH709,'ASIGNACIONES'!$N$4:$N$451,0)),"")))</f>
        <v/>
      </c>
      <c r="AJ709" s="42">
        <f>IF($AH709="","",SUMIFS('ORDENES'!$M$4:$M$1203,'ORDENES'!$AH$4:$AH$1203,$AH709,'ORDENES'!$O$4:$O$1203,$O709,'ORDENES'!$S$4:$S$1203,$S709))</f>
        <v/>
      </c>
      <c r="AK709" s="42">
        <f>IF($AJ709="","",p_factor_productividad*IFERROR(INDEX('ASIGNACIONES'!$M$4:$M$451,MATCH($O709&amp;"|"&amp;$S709&amp;"|"&amp;$AH709,'ASIGNACIONES'!$N$4:$N$451,0)),0)-$AJ709)</f>
        <v/>
      </c>
      <c r="AL709" s="32">
        <f>IF($A709="","",IFERROR(INDEX('2_IMPORTAR_EJECUCION'!$F$9:$F$1208,MATCH($AU709,'2_IMPORTAR_EJECUCION'!$J$9:$J$1208,0)),0))</f>
        <v/>
      </c>
      <c r="AM709" s="32">
        <f>IF($A709="","",MAX(0,IFERROR(INDEX('2_IMPORTAR_EJECUCION'!$H$9:$H$1208,MATCH($AU709,'2_IMPORTAR_EJECUCION'!$J$9:$J$1208,0)),0)-$AL709))</f>
        <v/>
      </c>
      <c r="AN709" s="32">
        <f>IF($A709="","",$AL709+$AM709)</f>
        <v/>
      </c>
      <c r="AO709" s="24">
        <f>IF($A709="","",IF(OR((IFERROR(INDEX('CAT_ACTIVIDADES'!$D$4:$D$26,MATCH($H709,'CAT_ACTIVIDADES'!$A$4:$A$26,0)),""))=0,(IFERROR(INDEX('CAT_ACTIVIDADES'!$D$4:$D$26,MATCH($H709,'CAT_ACTIVIDADES'!$A$4:$A$26,0)),""))=""),"SIN CLASIFICAR",IFERROR(INDEX('CAT_ACTIVIDADES'!$D$4:$D$26,MATCH($H709,'CAT_ACTIVIDADES'!$A$4:$A$26,0)),"")))</f>
        <v/>
      </c>
      <c r="AP709" s="4" t="n"/>
      <c r="AQ709" s="4" t="n"/>
      <c r="AR709" s="4" t="n"/>
      <c r="AS709" s="24">
        <f>IF($AR709="","",HYPERLINK(p_ruta_base_checklists&amp;$AR709,"abrir"))</f>
        <v/>
      </c>
      <c r="AT709" s="4" t="n"/>
      <c r="AU709" s="24">
        <f>IF($A709="","",$A709&amp;IF($B709="","0010",$B709))</f>
        <v/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41" t="n"/>
      <c r="K710" s="5" t="n"/>
      <c r="L710" s="18" t="n"/>
      <c r="M710" s="24">
        <f>IF($A710="","",IFERROR(INDEX('AJUSTES'!$B$4:$B$303,MATCH($AU710,'AJUSTES'!$A$4:$A$303,0)),IF($K710="","",$K710)))</f>
        <v/>
      </c>
      <c r="N710" s="24">
        <f>IF($A710="","",IFERROR(INDEX('CAT_ESTADOS_ERP'!$B$4:$B$22,MATCH(IFERROR(INDEX('2_IMPORTAR_EJECUCION'!$C$9:$C$1208,MATCH($AU710,'2_IMPORTAR_EJECUCION'!$J$9:$J$1208,0)),""),'CAT_ESTADOS_ERP'!$A$4:$A$22,0)),"Pendiente"))</f>
        <v/>
      </c>
      <c r="O710" s="24">
        <f>IF($J710="","",YEAR($J710+4-WEEKDAY($J710,2))&amp;"-S"&amp;TEXT(_xlfn.ISOWEEKNUM($J710),"00"))</f>
        <v/>
      </c>
      <c r="P710" s="24">
        <f>IF($J710="","",YEAR($J710))</f>
        <v/>
      </c>
      <c r="Q710" s="24">
        <f>IF($J710="","",MONTH($J710))</f>
        <v/>
      </c>
      <c r="R710" s="24">
        <f>IF($J710="","",$P710&amp;"-"&amp;TEXT($Q710,"00"))</f>
        <v/>
      </c>
      <c r="S710" s="24">
        <f>IF($J710="","",INDEX(lista_dias,WEEKDAY($J710,2)))</f>
        <v/>
      </c>
      <c r="T710" s="24">
        <f>IF($J710="","",IFERROR(INDEX('CALENDARIO'!$C$15:$C$214,MATCH(TEXT($J710,"yyyy-mm-dd")&amp;"|"&amp;$Y710&amp;"|"&amp;$Z710,'CALENDARIO'!$G$15:$G$214,0)),IFERROR(INDEX('CALENDARIO'!$C$15:$C$214,MATCH(TEXT($J710,"yyyy-mm-dd")&amp;"|"&amp;$Y710&amp;"|",'CALENDARIO'!$G$15:$G$214,0)),IFERROR(INDEX('CALENDARIO'!$C$15:$C$214,MATCH(TEXT($J710,"yyyy-mm-dd")&amp;"||",'CALENDARIO'!$G$15:$G$214,0)),INDEX(patronHabil,WEEKDAY($J710,2))))))</f>
        <v/>
      </c>
      <c r="U710" s="24">
        <f>IF($I710="","",IFERROR(INDEX('CAT_TIPOS_OT'!$C$4:$C$23,MATCH($I710,'CAT_TIPOS_OT'!$A$4:$A$23,0)),"sin_clasificar"))</f>
        <v/>
      </c>
      <c r="V710" s="24">
        <f>IF($I710="","",IF(IFERROR(INDEX('CAT_TIPOS_OT'!$D$4:$D$23,MATCH($I710,'CAT_TIPOS_OT'!$A$4:$A$23,0)),"SIN CLASIFICAR")="","SIN CLASIFICAR",IFERROR(INDEX('CAT_TIPOS_OT'!$D$4:$D$23,MATCH($I710,'CAT_TIPOS_OT'!$A$4:$A$23,0)),"SIN CLASIFICAR")))</f>
        <v/>
      </c>
      <c r="W710" s="24">
        <f>IF($H710="","",IF(IFERROR(INDEX('CAT_ACTIVIDADES'!$F$4:$F$26,MATCH($H710,'CAT_ACTIVIDADES'!$A$4:$A$26,0)),"")=0,"",IFERROR(INDEX('CAT_ACTIVIDADES'!$F$4:$F$26,MATCH($H710,'CAT_ACTIVIDADES'!$A$4:$A$26,0)),"")))</f>
        <v/>
      </c>
      <c r="X710" s="24">
        <f>IF($F710="","",IFERROR(INDEX('CAT_CENTROS_COSTO'!$F$4:$F$28,MATCH($F710,'CAT_CENTROS_COSTO'!$A$4:$A$28,0)),"(sin catálogo)"))</f>
        <v/>
      </c>
      <c r="Y710" s="24">
        <f>IF($F710="","",IFERROR(INDEX('CAT_CENTROS_COSTO'!$D$4:$D$28,MATCH($F710,'CAT_CENTROS_COSTO'!$A$4:$A$28,0)),"(sin catálogo)"))</f>
        <v/>
      </c>
      <c r="Z710" s="24">
        <f>IF($F710="","",IF((IFERROR(INDEX('CAT_CENTROS_COSTO'!$E$4:$E$28,MATCH($F710,'CAT_CENTROS_COSTO'!$A$4:$A$28,0)),""))&lt;&gt;"",IFERROR(INDEX('CAT_CENTROS_COSTO'!$E$4:$E$28,MATCH($F710,'CAT_CENTROS_COSTO'!$A$4:$A$28,0)),""),$Y710))</f>
        <v/>
      </c>
      <c r="AA710" s="24">
        <f>IF($F710="","",IFERROR(INDEX('CAT_CENTROS_COSTO'!$G$4:$G$28,MATCH($F710,'CAT_CENTROS_COSTO'!$A$4:$A$28,0)),"(sin catálogo)"))</f>
        <v/>
      </c>
      <c r="AB710" s="24">
        <f>IF($G710="","",IFERROR(INDEX('CAT_PUESTOS'!$B$4:$B$23,MATCH($G710,'CAT_PUESTOS'!$A$4:$A$23,0)),"(sin catálogo)"))</f>
        <v/>
      </c>
      <c r="AC710" s="24">
        <f>IF($H710="","",IFERROR(INDEX('CAT_ACTIVIDADES'!$B$4:$B$26,MATCH($H710,'CAT_ACTIVIDADES'!$A$4:$A$26,0)),"(sin catálogo)"))</f>
        <v/>
      </c>
      <c r="AD710" s="26">
        <f>IF($J710="","",TODAY()-$J710)</f>
        <v/>
      </c>
      <c r="AE710" s="26">
        <f>IF($J710="","",IF($J710&lt;=TODAY(),COUNTIFS(cal_fechas,"&gt;="&amp;$J710,cal_fechas,"&lt;"&amp;TODAY(),cal_habil,"sí"),-COUNTIFS(cal_fechas,"&gt;="&amp;TODAY(),cal_fechas,"&lt;"&amp;$J710,cal_habil,"sí")))</f>
        <v/>
      </c>
      <c r="AF710" s="24">
        <f>IF($AE710="","",IF($AE710&lt;0,"FUTURO",IF($AE710&gt;p_dias_backlog_max,"BACKLOG","MES CORRIENTE")))</f>
        <v/>
      </c>
      <c r="AG710" s="24">
        <f>IF($AE710="",FALSE,AND($AE710&gt;p_dias_backlog_min,$AE710&lt;=p_dias_backlog_max))</f>
        <v/>
      </c>
      <c r="AH710" s="4" t="n"/>
      <c r="AI710" s="24">
        <f>IF($AH710="","",IF((IFERROR(INDEX('ASIGNACIONES'!$J$4:$J$451,MATCH($O710&amp;"|"&amp;$S710&amp;"|"&amp;$AH710,'ASIGNACIONES'!$N$4:$N$451,0)),""))=0,"",IFERROR(INDEX('ASIGNACIONES'!$J$4:$J$451,MATCH($O710&amp;"|"&amp;$S710&amp;"|"&amp;$AH710,'ASIGNACIONES'!$N$4:$N$451,0)),"")))</f>
        <v/>
      </c>
      <c r="AJ710" s="42">
        <f>IF($AH710="","",SUMIFS('ORDENES'!$M$4:$M$1203,'ORDENES'!$AH$4:$AH$1203,$AH710,'ORDENES'!$O$4:$O$1203,$O710,'ORDENES'!$S$4:$S$1203,$S710))</f>
        <v/>
      </c>
      <c r="AK710" s="42">
        <f>IF($AJ710="","",p_factor_productividad*IFERROR(INDEX('ASIGNACIONES'!$M$4:$M$451,MATCH($O710&amp;"|"&amp;$S710&amp;"|"&amp;$AH710,'ASIGNACIONES'!$N$4:$N$451,0)),0)-$AJ710)</f>
        <v/>
      </c>
      <c r="AL710" s="32">
        <f>IF($A710="","",IFERROR(INDEX('2_IMPORTAR_EJECUCION'!$F$9:$F$1208,MATCH($AU710,'2_IMPORTAR_EJECUCION'!$J$9:$J$1208,0)),0))</f>
        <v/>
      </c>
      <c r="AM710" s="32">
        <f>IF($A710="","",MAX(0,IFERROR(INDEX('2_IMPORTAR_EJECUCION'!$H$9:$H$1208,MATCH($AU710,'2_IMPORTAR_EJECUCION'!$J$9:$J$1208,0)),0)-$AL710))</f>
        <v/>
      </c>
      <c r="AN710" s="32">
        <f>IF($A710="","",$AL710+$AM710)</f>
        <v/>
      </c>
      <c r="AO710" s="24">
        <f>IF($A710="","",IF(OR((IFERROR(INDEX('CAT_ACTIVIDADES'!$D$4:$D$26,MATCH($H710,'CAT_ACTIVIDADES'!$A$4:$A$26,0)),""))=0,(IFERROR(INDEX('CAT_ACTIVIDADES'!$D$4:$D$26,MATCH($H710,'CAT_ACTIVIDADES'!$A$4:$A$26,0)),""))=""),"SIN CLASIFICAR",IFERROR(INDEX('CAT_ACTIVIDADES'!$D$4:$D$26,MATCH($H710,'CAT_ACTIVIDADES'!$A$4:$A$26,0)),"")))</f>
        <v/>
      </c>
      <c r="AP710" s="4" t="n"/>
      <c r="AQ710" s="4" t="n"/>
      <c r="AR710" s="4" t="n"/>
      <c r="AS710" s="24">
        <f>IF($AR710="","",HYPERLINK(p_ruta_base_checklists&amp;$AR710,"abrir"))</f>
        <v/>
      </c>
      <c r="AT710" s="4" t="n"/>
      <c r="AU710" s="24">
        <f>IF($A710="","",$A710&amp;IF($B710="","0010",$B710))</f>
        <v/>
      </c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41" t="n"/>
      <c r="K711" s="5" t="n"/>
      <c r="L711" s="18" t="n"/>
      <c r="M711" s="24">
        <f>IF($A711="","",IFERROR(INDEX('AJUSTES'!$B$4:$B$303,MATCH($AU711,'AJUSTES'!$A$4:$A$303,0)),IF($K711="","",$K711)))</f>
        <v/>
      </c>
      <c r="N711" s="24">
        <f>IF($A711="","",IFERROR(INDEX('CAT_ESTADOS_ERP'!$B$4:$B$22,MATCH(IFERROR(INDEX('2_IMPORTAR_EJECUCION'!$C$9:$C$1208,MATCH($AU711,'2_IMPORTAR_EJECUCION'!$J$9:$J$1208,0)),""),'CAT_ESTADOS_ERP'!$A$4:$A$22,0)),"Pendiente"))</f>
        <v/>
      </c>
      <c r="O711" s="24">
        <f>IF($J711="","",YEAR($J711+4-WEEKDAY($J711,2))&amp;"-S"&amp;TEXT(_xlfn.ISOWEEKNUM($J711),"00"))</f>
        <v/>
      </c>
      <c r="P711" s="24">
        <f>IF($J711="","",YEAR($J711))</f>
        <v/>
      </c>
      <c r="Q711" s="24">
        <f>IF($J711="","",MONTH($J711))</f>
        <v/>
      </c>
      <c r="R711" s="24">
        <f>IF($J711="","",$P711&amp;"-"&amp;TEXT($Q711,"00"))</f>
        <v/>
      </c>
      <c r="S711" s="24">
        <f>IF($J711="","",INDEX(lista_dias,WEEKDAY($J711,2)))</f>
        <v/>
      </c>
      <c r="T711" s="24">
        <f>IF($J711="","",IFERROR(INDEX('CALENDARIO'!$C$15:$C$214,MATCH(TEXT($J711,"yyyy-mm-dd")&amp;"|"&amp;$Y711&amp;"|"&amp;$Z711,'CALENDARIO'!$G$15:$G$214,0)),IFERROR(INDEX('CALENDARIO'!$C$15:$C$214,MATCH(TEXT($J711,"yyyy-mm-dd")&amp;"|"&amp;$Y711&amp;"|",'CALENDARIO'!$G$15:$G$214,0)),IFERROR(INDEX('CALENDARIO'!$C$15:$C$214,MATCH(TEXT($J711,"yyyy-mm-dd")&amp;"||",'CALENDARIO'!$G$15:$G$214,0)),INDEX(patronHabil,WEEKDAY($J711,2))))))</f>
        <v/>
      </c>
      <c r="U711" s="24">
        <f>IF($I711="","",IFERROR(INDEX('CAT_TIPOS_OT'!$C$4:$C$23,MATCH($I711,'CAT_TIPOS_OT'!$A$4:$A$23,0)),"sin_clasificar"))</f>
        <v/>
      </c>
      <c r="V711" s="24">
        <f>IF($I711="","",IF(IFERROR(INDEX('CAT_TIPOS_OT'!$D$4:$D$23,MATCH($I711,'CAT_TIPOS_OT'!$A$4:$A$23,0)),"SIN CLASIFICAR")="","SIN CLASIFICAR",IFERROR(INDEX('CAT_TIPOS_OT'!$D$4:$D$23,MATCH($I711,'CAT_TIPOS_OT'!$A$4:$A$23,0)),"SIN CLASIFICAR")))</f>
        <v/>
      </c>
      <c r="W711" s="24">
        <f>IF($H711="","",IF(IFERROR(INDEX('CAT_ACTIVIDADES'!$F$4:$F$26,MATCH($H711,'CAT_ACTIVIDADES'!$A$4:$A$26,0)),"")=0,"",IFERROR(INDEX('CAT_ACTIVIDADES'!$F$4:$F$26,MATCH($H711,'CAT_ACTIVIDADES'!$A$4:$A$26,0)),"")))</f>
        <v/>
      </c>
      <c r="X711" s="24">
        <f>IF($F711="","",IFERROR(INDEX('CAT_CENTROS_COSTO'!$F$4:$F$28,MATCH($F711,'CAT_CENTROS_COSTO'!$A$4:$A$28,0)),"(sin catálogo)"))</f>
        <v/>
      </c>
      <c r="Y711" s="24">
        <f>IF($F711="","",IFERROR(INDEX('CAT_CENTROS_COSTO'!$D$4:$D$28,MATCH($F711,'CAT_CENTROS_COSTO'!$A$4:$A$28,0)),"(sin catálogo)"))</f>
        <v/>
      </c>
      <c r="Z711" s="24">
        <f>IF($F711="","",IF((IFERROR(INDEX('CAT_CENTROS_COSTO'!$E$4:$E$28,MATCH($F711,'CAT_CENTROS_COSTO'!$A$4:$A$28,0)),""))&lt;&gt;"",IFERROR(INDEX('CAT_CENTROS_COSTO'!$E$4:$E$28,MATCH($F711,'CAT_CENTROS_COSTO'!$A$4:$A$28,0)),""),$Y711))</f>
        <v/>
      </c>
      <c r="AA711" s="24">
        <f>IF($F711="","",IFERROR(INDEX('CAT_CENTROS_COSTO'!$G$4:$G$28,MATCH($F711,'CAT_CENTROS_COSTO'!$A$4:$A$28,0)),"(sin catálogo)"))</f>
        <v/>
      </c>
      <c r="AB711" s="24">
        <f>IF($G711="","",IFERROR(INDEX('CAT_PUESTOS'!$B$4:$B$23,MATCH($G711,'CAT_PUESTOS'!$A$4:$A$23,0)),"(sin catálogo)"))</f>
        <v/>
      </c>
      <c r="AC711" s="24">
        <f>IF($H711="","",IFERROR(INDEX('CAT_ACTIVIDADES'!$B$4:$B$26,MATCH($H711,'CAT_ACTIVIDADES'!$A$4:$A$26,0)),"(sin catálogo)"))</f>
        <v/>
      </c>
      <c r="AD711" s="26">
        <f>IF($J711="","",TODAY()-$J711)</f>
        <v/>
      </c>
      <c r="AE711" s="26">
        <f>IF($J711="","",IF($J711&lt;=TODAY(),COUNTIFS(cal_fechas,"&gt;="&amp;$J711,cal_fechas,"&lt;"&amp;TODAY(),cal_habil,"sí"),-COUNTIFS(cal_fechas,"&gt;="&amp;TODAY(),cal_fechas,"&lt;"&amp;$J711,cal_habil,"sí")))</f>
        <v/>
      </c>
      <c r="AF711" s="24">
        <f>IF($AE711="","",IF($AE711&lt;0,"FUTURO",IF($AE711&gt;p_dias_backlog_max,"BACKLOG","MES CORRIENTE")))</f>
        <v/>
      </c>
      <c r="AG711" s="24">
        <f>IF($AE711="",FALSE,AND($AE711&gt;p_dias_backlog_min,$AE711&lt;=p_dias_backlog_max))</f>
        <v/>
      </c>
      <c r="AH711" s="4" t="n"/>
      <c r="AI711" s="24">
        <f>IF($AH711="","",IF((IFERROR(INDEX('ASIGNACIONES'!$J$4:$J$451,MATCH($O711&amp;"|"&amp;$S711&amp;"|"&amp;$AH711,'ASIGNACIONES'!$N$4:$N$451,0)),""))=0,"",IFERROR(INDEX('ASIGNACIONES'!$J$4:$J$451,MATCH($O711&amp;"|"&amp;$S711&amp;"|"&amp;$AH711,'ASIGNACIONES'!$N$4:$N$451,0)),"")))</f>
        <v/>
      </c>
      <c r="AJ711" s="42">
        <f>IF($AH711="","",SUMIFS('ORDENES'!$M$4:$M$1203,'ORDENES'!$AH$4:$AH$1203,$AH711,'ORDENES'!$O$4:$O$1203,$O711,'ORDENES'!$S$4:$S$1203,$S711))</f>
        <v/>
      </c>
      <c r="AK711" s="42">
        <f>IF($AJ711="","",p_factor_productividad*IFERROR(INDEX('ASIGNACIONES'!$M$4:$M$451,MATCH($O711&amp;"|"&amp;$S711&amp;"|"&amp;$AH711,'ASIGNACIONES'!$N$4:$N$451,0)),0)-$AJ711)</f>
        <v/>
      </c>
      <c r="AL711" s="32">
        <f>IF($A711="","",IFERROR(INDEX('2_IMPORTAR_EJECUCION'!$F$9:$F$1208,MATCH($AU711,'2_IMPORTAR_EJECUCION'!$J$9:$J$1208,0)),0))</f>
        <v/>
      </c>
      <c r="AM711" s="32">
        <f>IF($A711="","",MAX(0,IFERROR(INDEX('2_IMPORTAR_EJECUCION'!$H$9:$H$1208,MATCH($AU711,'2_IMPORTAR_EJECUCION'!$J$9:$J$1208,0)),0)-$AL711))</f>
        <v/>
      </c>
      <c r="AN711" s="32">
        <f>IF($A711="","",$AL711+$AM711)</f>
        <v/>
      </c>
      <c r="AO711" s="24">
        <f>IF($A711="","",IF(OR((IFERROR(INDEX('CAT_ACTIVIDADES'!$D$4:$D$26,MATCH($H711,'CAT_ACTIVIDADES'!$A$4:$A$26,0)),""))=0,(IFERROR(INDEX('CAT_ACTIVIDADES'!$D$4:$D$26,MATCH($H711,'CAT_ACTIVIDADES'!$A$4:$A$26,0)),""))=""),"SIN CLASIFICAR",IFERROR(INDEX('CAT_ACTIVIDADES'!$D$4:$D$26,MATCH($H711,'CAT_ACTIVIDADES'!$A$4:$A$26,0)),"")))</f>
        <v/>
      </c>
      <c r="AP711" s="4" t="n"/>
      <c r="AQ711" s="4" t="n"/>
      <c r="AR711" s="4" t="n"/>
      <c r="AS711" s="24">
        <f>IF($AR711="","",HYPERLINK(p_ruta_base_checklists&amp;$AR711,"abrir"))</f>
        <v/>
      </c>
      <c r="AT711" s="4" t="n"/>
      <c r="AU711" s="24">
        <f>IF($A711="","",$A711&amp;IF($B711="","0010",$B711))</f>
        <v/>
      </c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41" t="n"/>
      <c r="K712" s="5" t="n"/>
      <c r="L712" s="18" t="n"/>
      <c r="M712" s="24">
        <f>IF($A712="","",IFERROR(INDEX('AJUSTES'!$B$4:$B$303,MATCH($AU712,'AJUSTES'!$A$4:$A$303,0)),IF($K712="","",$K712)))</f>
        <v/>
      </c>
      <c r="N712" s="24">
        <f>IF($A712="","",IFERROR(INDEX('CAT_ESTADOS_ERP'!$B$4:$B$22,MATCH(IFERROR(INDEX('2_IMPORTAR_EJECUCION'!$C$9:$C$1208,MATCH($AU712,'2_IMPORTAR_EJECUCION'!$J$9:$J$1208,0)),""),'CAT_ESTADOS_ERP'!$A$4:$A$22,0)),"Pendiente"))</f>
        <v/>
      </c>
      <c r="O712" s="24">
        <f>IF($J712="","",YEAR($J712+4-WEEKDAY($J712,2))&amp;"-S"&amp;TEXT(_xlfn.ISOWEEKNUM($J712),"00"))</f>
        <v/>
      </c>
      <c r="P712" s="24">
        <f>IF($J712="","",YEAR($J712))</f>
        <v/>
      </c>
      <c r="Q712" s="24">
        <f>IF($J712="","",MONTH($J712))</f>
        <v/>
      </c>
      <c r="R712" s="24">
        <f>IF($J712="","",$P712&amp;"-"&amp;TEXT($Q712,"00"))</f>
        <v/>
      </c>
      <c r="S712" s="24">
        <f>IF($J712="","",INDEX(lista_dias,WEEKDAY($J712,2)))</f>
        <v/>
      </c>
      <c r="T712" s="24">
        <f>IF($J712="","",IFERROR(INDEX('CALENDARIO'!$C$15:$C$214,MATCH(TEXT($J712,"yyyy-mm-dd")&amp;"|"&amp;$Y712&amp;"|"&amp;$Z712,'CALENDARIO'!$G$15:$G$214,0)),IFERROR(INDEX('CALENDARIO'!$C$15:$C$214,MATCH(TEXT($J712,"yyyy-mm-dd")&amp;"|"&amp;$Y712&amp;"|",'CALENDARIO'!$G$15:$G$214,0)),IFERROR(INDEX('CALENDARIO'!$C$15:$C$214,MATCH(TEXT($J712,"yyyy-mm-dd")&amp;"||",'CALENDARIO'!$G$15:$G$214,0)),INDEX(patronHabil,WEEKDAY($J712,2))))))</f>
        <v/>
      </c>
      <c r="U712" s="24">
        <f>IF($I712="","",IFERROR(INDEX('CAT_TIPOS_OT'!$C$4:$C$23,MATCH($I712,'CAT_TIPOS_OT'!$A$4:$A$23,0)),"sin_clasificar"))</f>
        <v/>
      </c>
      <c r="V712" s="24">
        <f>IF($I712="","",IF(IFERROR(INDEX('CAT_TIPOS_OT'!$D$4:$D$23,MATCH($I712,'CAT_TIPOS_OT'!$A$4:$A$23,0)),"SIN CLASIFICAR")="","SIN CLASIFICAR",IFERROR(INDEX('CAT_TIPOS_OT'!$D$4:$D$23,MATCH($I712,'CAT_TIPOS_OT'!$A$4:$A$23,0)),"SIN CLASIFICAR")))</f>
        <v/>
      </c>
      <c r="W712" s="24">
        <f>IF($H712="","",IF(IFERROR(INDEX('CAT_ACTIVIDADES'!$F$4:$F$26,MATCH($H712,'CAT_ACTIVIDADES'!$A$4:$A$26,0)),"")=0,"",IFERROR(INDEX('CAT_ACTIVIDADES'!$F$4:$F$26,MATCH($H712,'CAT_ACTIVIDADES'!$A$4:$A$26,0)),"")))</f>
        <v/>
      </c>
      <c r="X712" s="24">
        <f>IF($F712="","",IFERROR(INDEX('CAT_CENTROS_COSTO'!$F$4:$F$28,MATCH($F712,'CAT_CENTROS_COSTO'!$A$4:$A$28,0)),"(sin catálogo)"))</f>
        <v/>
      </c>
      <c r="Y712" s="24">
        <f>IF($F712="","",IFERROR(INDEX('CAT_CENTROS_COSTO'!$D$4:$D$28,MATCH($F712,'CAT_CENTROS_COSTO'!$A$4:$A$28,0)),"(sin catálogo)"))</f>
        <v/>
      </c>
      <c r="Z712" s="24">
        <f>IF($F712="","",IF((IFERROR(INDEX('CAT_CENTROS_COSTO'!$E$4:$E$28,MATCH($F712,'CAT_CENTROS_COSTO'!$A$4:$A$28,0)),""))&lt;&gt;"",IFERROR(INDEX('CAT_CENTROS_COSTO'!$E$4:$E$28,MATCH($F712,'CAT_CENTROS_COSTO'!$A$4:$A$28,0)),""),$Y712))</f>
        <v/>
      </c>
      <c r="AA712" s="24">
        <f>IF($F712="","",IFERROR(INDEX('CAT_CENTROS_COSTO'!$G$4:$G$28,MATCH($F712,'CAT_CENTROS_COSTO'!$A$4:$A$28,0)),"(sin catálogo)"))</f>
        <v/>
      </c>
      <c r="AB712" s="24">
        <f>IF($G712="","",IFERROR(INDEX('CAT_PUESTOS'!$B$4:$B$23,MATCH($G712,'CAT_PUESTOS'!$A$4:$A$23,0)),"(sin catálogo)"))</f>
        <v/>
      </c>
      <c r="AC712" s="24">
        <f>IF($H712="","",IFERROR(INDEX('CAT_ACTIVIDADES'!$B$4:$B$26,MATCH($H712,'CAT_ACTIVIDADES'!$A$4:$A$26,0)),"(sin catálogo)"))</f>
        <v/>
      </c>
      <c r="AD712" s="26">
        <f>IF($J712="","",TODAY()-$J712)</f>
        <v/>
      </c>
      <c r="AE712" s="26">
        <f>IF($J712="","",IF($J712&lt;=TODAY(),COUNTIFS(cal_fechas,"&gt;="&amp;$J712,cal_fechas,"&lt;"&amp;TODAY(),cal_habil,"sí"),-COUNTIFS(cal_fechas,"&gt;="&amp;TODAY(),cal_fechas,"&lt;"&amp;$J712,cal_habil,"sí")))</f>
        <v/>
      </c>
      <c r="AF712" s="24">
        <f>IF($AE712="","",IF($AE712&lt;0,"FUTURO",IF($AE712&gt;p_dias_backlog_max,"BACKLOG","MES CORRIENTE")))</f>
        <v/>
      </c>
      <c r="AG712" s="24">
        <f>IF($AE712="",FALSE,AND($AE712&gt;p_dias_backlog_min,$AE712&lt;=p_dias_backlog_max))</f>
        <v/>
      </c>
      <c r="AH712" s="4" t="n"/>
      <c r="AI712" s="24">
        <f>IF($AH712="","",IF((IFERROR(INDEX('ASIGNACIONES'!$J$4:$J$451,MATCH($O712&amp;"|"&amp;$S712&amp;"|"&amp;$AH712,'ASIGNACIONES'!$N$4:$N$451,0)),""))=0,"",IFERROR(INDEX('ASIGNACIONES'!$J$4:$J$451,MATCH($O712&amp;"|"&amp;$S712&amp;"|"&amp;$AH712,'ASIGNACIONES'!$N$4:$N$451,0)),"")))</f>
        <v/>
      </c>
      <c r="AJ712" s="42">
        <f>IF($AH712="","",SUMIFS('ORDENES'!$M$4:$M$1203,'ORDENES'!$AH$4:$AH$1203,$AH712,'ORDENES'!$O$4:$O$1203,$O712,'ORDENES'!$S$4:$S$1203,$S712))</f>
        <v/>
      </c>
      <c r="AK712" s="42">
        <f>IF($AJ712="","",p_factor_productividad*IFERROR(INDEX('ASIGNACIONES'!$M$4:$M$451,MATCH($O712&amp;"|"&amp;$S712&amp;"|"&amp;$AH712,'ASIGNACIONES'!$N$4:$N$451,0)),0)-$AJ712)</f>
        <v/>
      </c>
      <c r="AL712" s="32">
        <f>IF($A712="","",IFERROR(INDEX('2_IMPORTAR_EJECUCION'!$F$9:$F$1208,MATCH($AU712,'2_IMPORTAR_EJECUCION'!$J$9:$J$1208,0)),0))</f>
        <v/>
      </c>
      <c r="AM712" s="32">
        <f>IF($A712="","",MAX(0,IFERROR(INDEX('2_IMPORTAR_EJECUCION'!$H$9:$H$1208,MATCH($AU712,'2_IMPORTAR_EJECUCION'!$J$9:$J$1208,0)),0)-$AL712))</f>
        <v/>
      </c>
      <c r="AN712" s="32">
        <f>IF($A712="","",$AL712+$AM712)</f>
        <v/>
      </c>
      <c r="AO712" s="24">
        <f>IF($A712="","",IF(OR((IFERROR(INDEX('CAT_ACTIVIDADES'!$D$4:$D$26,MATCH($H712,'CAT_ACTIVIDADES'!$A$4:$A$26,0)),""))=0,(IFERROR(INDEX('CAT_ACTIVIDADES'!$D$4:$D$26,MATCH($H712,'CAT_ACTIVIDADES'!$A$4:$A$26,0)),""))=""),"SIN CLASIFICAR",IFERROR(INDEX('CAT_ACTIVIDADES'!$D$4:$D$26,MATCH($H712,'CAT_ACTIVIDADES'!$A$4:$A$26,0)),"")))</f>
        <v/>
      </c>
      <c r="AP712" s="4" t="n"/>
      <c r="AQ712" s="4" t="n"/>
      <c r="AR712" s="4" t="n"/>
      <c r="AS712" s="24">
        <f>IF($AR712="","",HYPERLINK(p_ruta_base_checklists&amp;$AR712,"abrir"))</f>
        <v/>
      </c>
      <c r="AT712" s="4" t="n"/>
      <c r="AU712" s="24">
        <f>IF($A712="","",$A712&amp;IF($B712="","0010",$B712))</f>
        <v/>
      </c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41" t="n"/>
      <c r="K713" s="5" t="n"/>
      <c r="L713" s="18" t="n"/>
      <c r="M713" s="24">
        <f>IF($A713="","",IFERROR(INDEX('AJUSTES'!$B$4:$B$303,MATCH($AU713,'AJUSTES'!$A$4:$A$303,0)),IF($K713="","",$K713)))</f>
        <v/>
      </c>
      <c r="N713" s="24">
        <f>IF($A713="","",IFERROR(INDEX('CAT_ESTADOS_ERP'!$B$4:$B$22,MATCH(IFERROR(INDEX('2_IMPORTAR_EJECUCION'!$C$9:$C$1208,MATCH($AU713,'2_IMPORTAR_EJECUCION'!$J$9:$J$1208,0)),""),'CAT_ESTADOS_ERP'!$A$4:$A$22,0)),"Pendiente"))</f>
        <v/>
      </c>
      <c r="O713" s="24">
        <f>IF($J713="","",YEAR($J713+4-WEEKDAY($J713,2))&amp;"-S"&amp;TEXT(_xlfn.ISOWEEKNUM($J713),"00"))</f>
        <v/>
      </c>
      <c r="P713" s="24">
        <f>IF($J713="","",YEAR($J713))</f>
        <v/>
      </c>
      <c r="Q713" s="24">
        <f>IF($J713="","",MONTH($J713))</f>
        <v/>
      </c>
      <c r="R713" s="24">
        <f>IF($J713="","",$P713&amp;"-"&amp;TEXT($Q713,"00"))</f>
        <v/>
      </c>
      <c r="S713" s="24">
        <f>IF($J713="","",INDEX(lista_dias,WEEKDAY($J713,2)))</f>
        <v/>
      </c>
      <c r="T713" s="24">
        <f>IF($J713="","",IFERROR(INDEX('CALENDARIO'!$C$15:$C$214,MATCH(TEXT($J713,"yyyy-mm-dd")&amp;"|"&amp;$Y713&amp;"|"&amp;$Z713,'CALENDARIO'!$G$15:$G$214,0)),IFERROR(INDEX('CALENDARIO'!$C$15:$C$214,MATCH(TEXT($J713,"yyyy-mm-dd")&amp;"|"&amp;$Y713&amp;"|",'CALENDARIO'!$G$15:$G$214,0)),IFERROR(INDEX('CALENDARIO'!$C$15:$C$214,MATCH(TEXT($J713,"yyyy-mm-dd")&amp;"||",'CALENDARIO'!$G$15:$G$214,0)),INDEX(patronHabil,WEEKDAY($J713,2))))))</f>
        <v/>
      </c>
      <c r="U713" s="24">
        <f>IF($I713="","",IFERROR(INDEX('CAT_TIPOS_OT'!$C$4:$C$23,MATCH($I713,'CAT_TIPOS_OT'!$A$4:$A$23,0)),"sin_clasificar"))</f>
        <v/>
      </c>
      <c r="V713" s="24">
        <f>IF($I713="","",IF(IFERROR(INDEX('CAT_TIPOS_OT'!$D$4:$D$23,MATCH($I713,'CAT_TIPOS_OT'!$A$4:$A$23,0)),"SIN CLASIFICAR")="","SIN CLASIFICAR",IFERROR(INDEX('CAT_TIPOS_OT'!$D$4:$D$23,MATCH($I713,'CAT_TIPOS_OT'!$A$4:$A$23,0)),"SIN CLASIFICAR")))</f>
        <v/>
      </c>
      <c r="W713" s="24">
        <f>IF($H713="","",IF(IFERROR(INDEX('CAT_ACTIVIDADES'!$F$4:$F$26,MATCH($H713,'CAT_ACTIVIDADES'!$A$4:$A$26,0)),"")=0,"",IFERROR(INDEX('CAT_ACTIVIDADES'!$F$4:$F$26,MATCH($H713,'CAT_ACTIVIDADES'!$A$4:$A$26,0)),"")))</f>
        <v/>
      </c>
      <c r="X713" s="24">
        <f>IF($F713="","",IFERROR(INDEX('CAT_CENTROS_COSTO'!$F$4:$F$28,MATCH($F713,'CAT_CENTROS_COSTO'!$A$4:$A$28,0)),"(sin catálogo)"))</f>
        <v/>
      </c>
      <c r="Y713" s="24">
        <f>IF($F713="","",IFERROR(INDEX('CAT_CENTROS_COSTO'!$D$4:$D$28,MATCH($F713,'CAT_CENTROS_COSTO'!$A$4:$A$28,0)),"(sin catálogo)"))</f>
        <v/>
      </c>
      <c r="Z713" s="24">
        <f>IF($F713="","",IF((IFERROR(INDEX('CAT_CENTROS_COSTO'!$E$4:$E$28,MATCH($F713,'CAT_CENTROS_COSTO'!$A$4:$A$28,0)),""))&lt;&gt;"",IFERROR(INDEX('CAT_CENTROS_COSTO'!$E$4:$E$28,MATCH($F713,'CAT_CENTROS_COSTO'!$A$4:$A$28,0)),""),$Y713))</f>
        <v/>
      </c>
      <c r="AA713" s="24">
        <f>IF($F713="","",IFERROR(INDEX('CAT_CENTROS_COSTO'!$G$4:$G$28,MATCH($F713,'CAT_CENTROS_COSTO'!$A$4:$A$28,0)),"(sin catálogo)"))</f>
        <v/>
      </c>
      <c r="AB713" s="24">
        <f>IF($G713="","",IFERROR(INDEX('CAT_PUESTOS'!$B$4:$B$23,MATCH($G713,'CAT_PUESTOS'!$A$4:$A$23,0)),"(sin catálogo)"))</f>
        <v/>
      </c>
      <c r="AC713" s="24">
        <f>IF($H713="","",IFERROR(INDEX('CAT_ACTIVIDADES'!$B$4:$B$26,MATCH($H713,'CAT_ACTIVIDADES'!$A$4:$A$26,0)),"(sin catálogo)"))</f>
        <v/>
      </c>
      <c r="AD713" s="26">
        <f>IF($J713="","",TODAY()-$J713)</f>
        <v/>
      </c>
      <c r="AE713" s="26">
        <f>IF($J713="","",IF($J713&lt;=TODAY(),COUNTIFS(cal_fechas,"&gt;="&amp;$J713,cal_fechas,"&lt;"&amp;TODAY(),cal_habil,"sí"),-COUNTIFS(cal_fechas,"&gt;="&amp;TODAY(),cal_fechas,"&lt;"&amp;$J713,cal_habil,"sí")))</f>
        <v/>
      </c>
      <c r="AF713" s="24">
        <f>IF($AE713="","",IF($AE713&lt;0,"FUTURO",IF($AE713&gt;p_dias_backlog_max,"BACKLOG","MES CORRIENTE")))</f>
        <v/>
      </c>
      <c r="AG713" s="24">
        <f>IF($AE713="",FALSE,AND($AE713&gt;p_dias_backlog_min,$AE713&lt;=p_dias_backlog_max))</f>
        <v/>
      </c>
      <c r="AH713" s="4" t="n"/>
      <c r="AI713" s="24">
        <f>IF($AH713="","",IF((IFERROR(INDEX('ASIGNACIONES'!$J$4:$J$451,MATCH($O713&amp;"|"&amp;$S713&amp;"|"&amp;$AH713,'ASIGNACIONES'!$N$4:$N$451,0)),""))=0,"",IFERROR(INDEX('ASIGNACIONES'!$J$4:$J$451,MATCH($O713&amp;"|"&amp;$S713&amp;"|"&amp;$AH713,'ASIGNACIONES'!$N$4:$N$451,0)),"")))</f>
        <v/>
      </c>
      <c r="AJ713" s="42">
        <f>IF($AH713="","",SUMIFS('ORDENES'!$M$4:$M$1203,'ORDENES'!$AH$4:$AH$1203,$AH713,'ORDENES'!$O$4:$O$1203,$O713,'ORDENES'!$S$4:$S$1203,$S713))</f>
        <v/>
      </c>
      <c r="AK713" s="42">
        <f>IF($AJ713="","",p_factor_productividad*IFERROR(INDEX('ASIGNACIONES'!$M$4:$M$451,MATCH($O713&amp;"|"&amp;$S713&amp;"|"&amp;$AH713,'ASIGNACIONES'!$N$4:$N$451,0)),0)-$AJ713)</f>
        <v/>
      </c>
      <c r="AL713" s="32">
        <f>IF($A713="","",IFERROR(INDEX('2_IMPORTAR_EJECUCION'!$F$9:$F$1208,MATCH($AU713,'2_IMPORTAR_EJECUCION'!$J$9:$J$1208,0)),0))</f>
        <v/>
      </c>
      <c r="AM713" s="32">
        <f>IF($A713="","",MAX(0,IFERROR(INDEX('2_IMPORTAR_EJECUCION'!$H$9:$H$1208,MATCH($AU713,'2_IMPORTAR_EJECUCION'!$J$9:$J$1208,0)),0)-$AL713))</f>
        <v/>
      </c>
      <c r="AN713" s="32">
        <f>IF($A713="","",$AL713+$AM713)</f>
        <v/>
      </c>
      <c r="AO713" s="24">
        <f>IF($A713="","",IF(OR((IFERROR(INDEX('CAT_ACTIVIDADES'!$D$4:$D$26,MATCH($H713,'CAT_ACTIVIDADES'!$A$4:$A$26,0)),""))=0,(IFERROR(INDEX('CAT_ACTIVIDADES'!$D$4:$D$26,MATCH($H713,'CAT_ACTIVIDADES'!$A$4:$A$26,0)),""))=""),"SIN CLASIFICAR",IFERROR(INDEX('CAT_ACTIVIDADES'!$D$4:$D$26,MATCH($H713,'CAT_ACTIVIDADES'!$A$4:$A$26,0)),"")))</f>
        <v/>
      </c>
      <c r="AP713" s="4" t="n"/>
      <c r="AQ713" s="4" t="n"/>
      <c r="AR713" s="4" t="n"/>
      <c r="AS713" s="24">
        <f>IF($AR713="","",HYPERLINK(p_ruta_base_checklists&amp;$AR713,"abrir"))</f>
        <v/>
      </c>
      <c r="AT713" s="4" t="n"/>
      <c r="AU713" s="24">
        <f>IF($A713="","",$A713&amp;IF($B713="","0010",$B713))</f>
        <v/>
      </c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41" t="n"/>
      <c r="K714" s="5" t="n"/>
      <c r="L714" s="18" t="n"/>
      <c r="M714" s="24">
        <f>IF($A714="","",IFERROR(INDEX('AJUSTES'!$B$4:$B$303,MATCH($AU714,'AJUSTES'!$A$4:$A$303,0)),IF($K714="","",$K714)))</f>
        <v/>
      </c>
      <c r="N714" s="24">
        <f>IF($A714="","",IFERROR(INDEX('CAT_ESTADOS_ERP'!$B$4:$B$22,MATCH(IFERROR(INDEX('2_IMPORTAR_EJECUCION'!$C$9:$C$1208,MATCH($AU714,'2_IMPORTAR_EJECUCION'!$J$9:$J$1208,0)),""),'CAT_ESTADOS_ERP'!$A$4:$A$22,0)),"Pendiente"))</f>
        <v/>
      </c>
      <c r="O714" s="24">
        <f>IF($J714="","",YEAR($J714+4-WEEKDAY($J714,2))&amp;"-S"&amp;TEXT(_xlfn.ISOWEEKNUM($J714),"00"))</f>
        <v/>
      </c>
      <c r="P714" s="24">
        <f>IF($J714="","",YEAR($J714))</f>
        <v/>
      </c>
      <c r="Q714" s="24">
        <f>IF($J714="","",MONTH($J714))</f>
        <v/>
      </c>
      <c r="R714" s="24">
        <f>IF($J714="","",$P714&amp;"-"&amp;TEXT($Q714,"00"))</f>
        <v/>
      </c>
      <c r="S714" s="24">
        <f>IF($J714="","",INDEX(lista_dias,WEEKDAY($J714,2)))</f>
        <v/>
      </c>
      <c r="T714" s="24">
        <f>IF($J714="","",IFERROR(INDEX('CALENDARIO'!$C$15:$C$214,MATCH(TEXT($J714,"yyyy-mm-dd")&amp;"|"&amp;$Y714&amp;"|"&amp;$Z714,'CALENDARIO'!$G$15:$G$214,0)),IFERROR(INDEX('CALENDARIO'!$C$15:$C$214,MATCH(TEXT($J714,"yyyy-mm-dd")&amp;"|"&amp;$Y714&amp;"|",'CALENDARIO'!$G$15:$G$214,0)),IFERROR(INDEX('CALENDARIO'!$C$15:$C$214,MATCH(TEXT($J714,"yyyy-mm-dd")&amp;"||",'CALENDARIO'!$G$15:$G$214,0)),INDEX(patronHabil,WEEKDAY($J714,2))))))</f>
        <v/>
      </c>
      <c r="U714" s="24">
        <f>IF($I714="","",IFERROR(INDEX('CAT_TIPOS_OT'!$C$4:$C$23,MATCH($I714,'CAT_TIPOS_OT'!$A$4:$A$23,0)),"sin_clasificar"))</f>
        <v/>
      </c>
      <c r="V714" s="24">
        <f>IF($I714="","",IF(IFERROR(INDEX('CAT_TIPOS_OT'!$D$4:$D$23,MATCH($I714,'CAT_TIPOS_OT'!$A$4:$A$23,0)),"SIN CLASIFICAR")="","SIN CLASIFICAR",IFERROR(INDEX('CAT_TIPOS_OT'!$D$4:$D$23,MATCH($I714,'CAT_TIPOS_OT'!$A$4:$A$23,0)),"SIN CLASIFICAR")))</f>
        <v/>
      </c>
      <c r="W714" s="24">
        <f>IF($H714="","",IF(IFERROR(INDEX('CAT_ACTIVIDADES'!$F$4:$F$26,MATCH($H714,'CAT_ACTIVIDADES'!$A$4:$A$26,0)),"")=0,"",IFERROR(INDEX('CAT_ACTIVIDADES'!$F$4:$F$26,MATCH($H714,'CAT_ACTIVIDADES'!$A$4:$A$26,0)),"")))</f>
        <v/>
      </c>
      <c r="X714" s="24">
        <f>IF($F714="","",IFERROR(INDEX('CAT_CENTROS_COSTO'!$F$4:$F$28,MATCH($F714,'CAT_CENTROS_COSTO'!$A$4:$A$28,0)),"(sin catálogo)"))</f>
        <v/>
      </c>
      <c r="Y714" s="24">
        <f>IF($F714="","",IFERROR(INDEX('CAT_CENTROS_COSTO'!$D$4:$D$28,MATCH($F714,'CAT_CENTROS_COSTO'!$A$4:$A$28,0)),"(sin catálogo)"))</f>
        <v/>
      </c>
      <c r="Z714" s="24">
        <f>IF($F714="","",IF((IFERROR(INDEX('CAT_CENTROS_COSTO'!$E$4:$E$28,MATCH($F714,'CAT_CENTROS_COSTO'!$A$4:$A$28,0)),""))&lt;&gt;"",IFERROR(INDEX('CAT_CENTROS_COSTO'!$E$4:$E$28,MATCH($F714,'CAT_CENTROS_COSTO'!$A$4:$A$28,0)),""),$Y714))</f>
        <v/>
      </c>
      <c r="AA714" s="24">
        <f>IF($F714="","",IFERROR(INDEX('CAT_CENTROS_COSTO'!$G$4:$G$28,MATCH($F714,'CAT_CENTROS_COSTO'!$A$4:$A$28,0)),"(sin catálogo)"))</f>
        <v/>
      </c>
      <c r="AB714" s="24">
        <f>IF($G714="","",IFERROR(INDEX('CAT_PUESTOS'!$B$4:$B$23,MATCH($G714,'CAT_PUESTOS'!$A$4:$A$23,0)),"(sin catálogo)"))</f>
        <v/>
      </c>
      <c r="AC714" s="24">
        <f>IF($H714="","",IFERROR(INDEX('CAT_ACTIVIDADES'!$B$4:$B$26,MATCH($H714,'CAT_ACTIVIDADES'!$A$4:$A$26,0)),"(sin catálogo)"))</f>
        <v/>
      </c>
      <c r="AD714" s="26">
        <f>IF($J714="","",TODAY()-$J714)</f>
        <v/>
      </c>
      <c r="AE714" s="26">
        <f>IF($J714="","",IF($J714&lt;=TODAY(),COUNTIFS(cal_fechas,"&gt;="&amp;$J714,cal_fechas,"&lt;"&amp;TODAY(),cal_habil,"sí"),-COUNTIFS(cal_fechas,"&gt;="&amp;TODAY(),cal_fechas,"&lt;"&amp;$J714,cal_habil,"sí")))</f>
        <v/>
      </c>
      <c r="AF714" s="24">
        <f>IF($AE714="","",IF($AE714&lt;0,"FUTURO",IF($AE714&gt;p_dias_backlog_max,"BACKLOG","MES CORRIENTE")))</f>
        <v/>
      </c>
      <c r="AG714" s="24">
        <f>IF($AE714="",FALSE,AND($AE714&gt;p_dias_backlog_min,$AE714&lt;=p_dias_backlog_max))</f>
        <v/>
      </c>
      <c r="AH714" s="4" t="n"/>
      <c r="AI714" s="24">
        <f>IF($AH714="","",IF((IFERROR(INDEX('ASIGNACIONES'!$J$4:$J$451,MATCH($O714&amp;"|"&amp;$S714&amp;"|"&amp;$AH714,'ASIGNACIONES'!$N$4:$N$451,0)),""))=0,"",IFERROR(INDEX('ASIGNACIONES'!$J$4:$J$451,MATCH($O714&amp;"|"&amp;$S714&amp;"|"&amp;$AH714,'ASIGNACIONES'!$N$4:$N$451,0)),"")))</f>
        <v/>
      </c>
      <c r="AJ714" s="42">
        <f>IF($AH714="","",SUMIFS('ORDENES'!$M$4:$M$1203,'ORDENES'!$AH$4:$AH$1203,$AH714,'ORDENES'!$O$4:$O$1203,$O714,'ORDENES'!$S$4:$S$1203,$S714))</f>
        <v/>
      </c>
      <c r="AK714" s="42">
        <f>IF($AJ714="","",p_factor_productividad*IFERROR(INDEX('ASIGNACIONES'!$M$4:$M$451,MATCH($O714&amp;"|"&amp;$S714&amp;"|"&amp;$AH714,'ASIGNACIONES'!$N$4:$N$451,0)),0)-$AJ714)</f>
        <v/>
      </c>
      <c r="AL714" s="32">
        <f>IF($A714="","",IFERROR(INDEX('2_IMPORTAR_EJECUCION'!$F$9:$F$1208,MATCH($AU714,'2_IMPORTAR_EJECUCION'!$J$9:$J$1208,0)),0))</f>
        <v/>
      </c>
      <c r="AM714" s="32">
        <f>IF($A714="","",MAX(0,IFERROR(INDEX('2_IMPORTAR_EJECUCION'!$H$9:$H$1208,MATCH($AU714,'2_IMPORTAR_EJECUCION'!$J$9:$J$1208,0)),0)-$AL714))</f>
        <v/>
      </c>
      <c r="AN714" s="32">
        <f>IF($A714="","",$AL714+$AM714)</f>
        <v/>
      </c>
      <c r="AO714" s="24">
        <f>IF($A714="","",IF(OR((IFERROR(INDEX('CAT_ACTIVIDADES'!$D$4:$D$26,MATCH($H714,'CAT_ACTIVIDADES'!$A$4:$A$26,0)),""))=0,(IFERROR(INDEX('CAT_ACTIVIDADES'!$D$4:$D$26,MATCH($H714,'CAT_ACTIVIDADES'!$A$4:$A$26,0)),""))=""),"SIN CLASIFICAR",IFERROR(INDEX('CAT_ACTIVIDADES'!$D$4:$D$26,MATCH($H714,'CAT_ACTIVIDADES'!$A$4:$A$26,0)),"")))</f>
        <v/>
      </c>
      <c r="AP714" s="4" t="n"/>
      <c r="AQ714" s="4" t="n"/>
      <c r="AR714" s="4" t="n"/>
      <c r="AS714" s="24">
        <f>IF($AR714="","",HYPERLINK(p_ruta_base_checklists&amp;$AR714,"abrir"))</f>
        <v/>
      </c>
      <c r="AT714" s="4" t="n"/>
      <c r="AU714" s="24">
        <f>IF($A714="","",$A714&amp;IF($B714="","0010",$B714))</f>
        <v/>
      </c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41" t="n"/>
      <c r="K715" s="5" t="n"/>
      <c r="L715" s="18" t="n"/>
      <c r="M715" s="24">
        <f>IF($A715="","",IFERROR(INDEX('AJUSTES'!$B$4:$B$303,MATCH($AU715,'AJUSTES'!$A$4:$A$303,0)),IF($K715="","",$K715)))</f>
        <v/>
      </c>
      <c r="N715" s="24">
        <f>IF($A715="","",IFERROR(INDEX('CAT_ESTADOS_ERP'!$B$4:$B$22,MATCH(IFERROR(INDEX('2_IMPORTAR_EJECUCION'!$C$9:$C$1208,MATCH($AU715,'2_IMPORTAR_EJECUCION'!$J$9:$J$1208,0)),""),'CAT_ESTADOS_ERP'!$A$4:$A$22,0)),"Pendiente"))</f>
        <v/>
      </c>
      <c r="O715" s="24">
        <f>IF($J715="","",YEAR($J715+4-WEEKDAY($J715,2))&amp;"-S"&amp;TEXT(_xlfn.ISOWEEKNUM($J715),"00"))</f>
        <v/>
      </c>
      <c r="P715" s="24">
        <f>IF($J715="","",YEAR($J715))</f>
        <v/>
      </c>
      <c r="Q715" s="24">
        <f>IF($J715="","",MONTH($J715))</f>
        <v/>
      </c>
      <c r="R715" s="24">
        <f>IF($J715="","",$P715&amp;"-"&amp;TEXT($Q715,"00"))</f>
        <v/>
      </c>
      <c r="S715" s="24">
        <f>IF($J715="","",INDEX(lista_dias,WEEKDAY($J715,2)))</f>
        <v/>
      </c>
      <c r="T715" s="24">
        <f>IF($J715="","",IFERROR(INDEX('CALENDARIO'!$C$15:$C$214,MATCH(TEXT($J715,"yyyy-mm-dd")&amp;"|"&amp;$Y715&amp;"|"&amp;$Z715,'CALENDARIO'!$G$15:$G$214,0)),IFERROR(INDEX('CALENDARIO'!$C$15:$C$214,MATCH(TEXT($J715,"yyyy-mm-dd")&amp;"|"&amp;$Y715&amp;"|",'CALENDARIO'!$G$15:$G$214,0)),IFERROR(INDEX('CALENDARIO'!$C$15:$C$214,MATCH(TEXT($J715,"yyyy-mm-dd")&amp;"||",'CALENDARIO'!$G$15:$G$214,0)),INDEX(patronHabil,WEEKDAY($J715,2))))))</f>
        <v/>
      </c>
      <c r="U715" s="24">
        <f>IF($I715="","",IFERROR(INDEX('CAT_TIPOS_OT'!$C$4:$C$23,MATCH($I715,'CAT_TIPOS_OT'!$A$4:$A$23,0)),"sin_clasificar"))</f>
        <v/>
      </c>
      <c r="V715" s="24">
        <f>IF($I715="","",IF(IFERROR(INDEX('CAT_TIPOS_OT'!$D$4:$D$23,MATCH($I715,'CAT_TIPOS_OT'!$A$4:$A$23,0)),"SIN CLASIFICAR")="","SIN CLASIFICAR",IFERROR(INDEX('CAT_TIPOS_OT'!$D$4:$D$23,MATCH($I715,'CAT_TIPOS_OT'!$A$4:$A$23,0)),"SIN CLASIFICAR")))</f>
        <v/>
      </c>
      <c r="W715" s="24">
        <f>IF($H715="","",IF(IFERROR(INDEX('CAT_ACTIVIDADES'!$F$4:$F$26,MATCH($H715,'CAT_ACTIVIDADES'!$A$4:$A$26,0)),"")=0,"",IFERROR(INDEX('CAT_ACTIVIDADES'!$F$4:$F$26,MATCH($H715,'CAT_ACTIVIDADES'!$A$4:$A$26,0)),"")))</f>
        <v/>
      </c>
      <c r="X715" s="24">
        <f>IF($F715="","",IFERROR(INDEX('CAT_CENTROS_COSTO'!$F$4:$F$28,MATCH($F715,'CAT_CENTROS_COSTO'!$A$4:$A$28,0)),"(sin catálogo)"))</f>
        <v/>
      </c>
      <c r="Y715" s="24">
        <f>IF($F715="","",IFERROR(INDEX('CAT_CENTROS_COSTO'!$D$4:$D$28,MATCH($F715,'CAT_CENTROS_COSTO'!$A$4:$A$28,0)),"(sin catálogo)"))</f>
        <v/>
      </c>
      <c r="Z715" s="24">
        <f>IF($F715="","",IF((IFERROR(INDEX('CAT_CENTROS_COSTO'!$E$4:$E$28,MATCH($F715,'CAT_CENTROS_COSTO'!$A$4:$A$28,0)),""))&lt;&gt;"",IFERROR(INDEX('CAT_CENTROS_COSTO'!$E$4:$E$28,MATCH($F715,'CAT_CENTROS_COSTO'!$A$4:$A$28,0)),""),$Y715))</f>
        <v/>
      </c>
      <c r="AA715" s="24">
        <f>IF($F715="","",IFERROR(INDEX('CAT_CENTROS_COSTO'!$G$4:$G$28,MATCH($F715,'CAT_CENTROS_COSTO'!$A$4:$A$28,0)),"(sin catálogo)"))</f>
        <v/>
      </c>
      <c r="AB715" s="24">
        <f>IF($G715="","",IFERROR(INDEX('CAT_PUESTOS'!$B$4:$B$23,MATCH($G715,'CAT_PUESTOS'!$A$4:$A$23,0)),"(sin catálogo)"))</f>
        <v/>
      </c>
      <c r="AC715" s="24">
        <f>IF($H715="","",IFERROR(INDEX('CAT_ACTIVIDADES'!$B$4:$B$26,MATCH($H715,'CAT_ACTIVIDADES'!$A$4:$A$26,0)),"(sin catálogo)"))</f>
        <v/>
      </c>
      <c r="AD715" s="26">
        <f>IF($J715="","",TODAY()-$J715)</f>
        <v/>
      </c>
      <c r="AE715" s="26">
        <f>IF($J715="","",IF($J715&lt;=TODAY(),COUNTIFS(cal_fechas,"&gt;="&amp;$J715,cal_fechas,"&lt;"&amp;TODAY(),cal_habil,"sí"),-COUNTIFS(cal_fechas,"&gt;="&amp;TODAY(),cal_fechas,"&lt;"&amp;$J715,cal_habil,"sí")))</f>
        <v/>
      </c>
      <c r="AF715" s="24">
        <f>IF($AE715="","",IF($AE715&lt;0,"FUTURO",IF($AE715&gt;p_dias_backlog_max,"BACKLOG","MES CORRIENTE")))</f>
        <v/>
      </c>
      <c r="AG715" s="24">
        <f>IF($AE715="",FALSE,AND($AE715&gt;p_dias_backlog_min,$AE715&lt;=p_dias_backlog_max))</f>
        <v/>
      </c>
      <c r="AH715" s="4" t="n"/>
      <c r="AI715" s="24">
        <f>IF($AH715="","",IF((IFERROR(INDEX('ASIGNACIONES'!$J$4:$J$451,MATCH($O715&amp;"|"&amp;$S715&amp;"|"&amp;$AH715,'ASIGNACIONES'!$N$4:$N$451,0)),""))=0,"",IFERROR(INDEX('ASIGNACIONES'!$J$4:$J$451,MATCH($O715&amp;"|"&amp;$S715&amp;"|"&amp;$AH715,'ASIGNACIONES'!$N$4:$N$451,0)),"")))</f>
        <v/>
      </c>
      <c r="AJ715" s="42">
        <f>IF($AH715="","",SUMIFS('ORDENES'!$M$4:$M$1203,'ORDENES'!$AH$4:$AH$1203,$AH715,'ORDENES'!$O$4:$O$1203,$O715,'ORDENES'!$S$4:$S$1203,$S715))</f>
        <v/>
      </c>
      <c r="AK715" s="42">
        <f>IF($AJ715="","",p_factor_productividad*IFERROR(INDEX('ASIGNACIONES'!$M$4:$M$451,MATCH($O715&amp;"|"&amp;$S715&amp;"|"&amp;$AH715,'ASIGNACIONES'!$N$4:$N$451,0)),0)-$AJ715)</f>
        <v/>
      </c>
      <c r="AL715" s="32">
        <f>IF($A715="","",IFERROR(INDEX('2_IMPORTAR_EJECUCION'!$F$9:$F$1208,MATCH($AU715,'2_IMPORTAR_EJECUCION'!$J$9:$J$1208,0)),0))</f>
        <v/>
      </c>
      <c r="AM715" s="32">
        <f>IF($A715="","",MAX(0,IFERROR(INDEX('2_IMPORTAR_EJECUCION'!$H$9:$H$1208,MATCH($AU715,'2_IMPORTAR_EJECUCION'!$J$9:$J$1208,0)),0)-$AL715))</f>
        <v/>
      </c>
      <c r="AN715" s="32">
        <f>IF($A715="","",$AL715+$AM715)</f>
        <v/>
      </c>
      <c r="AO715" s="24">
        <f>IF($A715="","",IF(OR((IFERROR(INDEX('CAT_ACTIVIDADES'!$D$4:$D$26,MATCH($H715,'CAT_ACTIVIDADES'!$A$4:$A$26,0)),""))=0,(IFERROR(INDEX('CAT_ACTIVIDADES'!$D$4:$D$26,MATCH($H715,'CAT_ACTIVIDADES'!$A$4:$A$26,0)),""))=""),"SIN CLASIFICAR",IFERROR(INDEX('CAT_ACTIVIDADES'!$D$4:$D$26,MATCH($H715,'CAT_ACTIVIDADES'!$A$4:$A$26,0)),"")))</f>
        <v/>
      </c>
      <c r="AP715" s="4" t="n"/>
      <c r="AQ715" s="4" t="n"/>
      <c r="AR715" s="4" t="n"/>
      <c r="AS715" s="24">
        <f>IF($AR715="","",HYPERLINK(p_ruta_base_checklists&amp;$AR715,"abrir"))</f>
        <v/>
      </c>
      <c r="AT715" s="4" t="n"/>
      <c r="AU715" s="24">
        <f>IF($A715="","",$A715&amp;IF($B715="","0010",$B715))</f>
        <v/>
      </c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41" t="n"/>
      <c r="K716" s="5" t="n"/>
      <c r="L716" s="18" t="n"/>
      <c r="M716" s="24">
        <f>IF($A716="","",IFERROR(INDEX('AJUSTES'!$B$4:$B$303,MATCH($AU716,'AJUSTES'!$A$4:$A$303,0)),IF($K716="","",$K716)))</f>
        <v/>
      </c>
      <c r="N716" s="24">
        <f>IF($A716="","",IFERROR(INDEX('CAT_ESTADOS_ERP'!$B$4:$B$22,MATCH(IFERROR(INDEX('2_IMPORTAR_EJECUCION'!$C$9:$C$1208,MATCH($AU716,'2_IMPORTAR_EJECUCION'!$J$9:$J$1208,0)),""),'CAT_ESTADOS_ERP'!$A$4:$A$22,0)),"Pendiente"))</f>
        <v/>
      </c>
      <c r="O716" s="24">
        <f>IF($J716="","",YEAR($J716+4-WEEKDAY($J716,2))&amp;"-S"&amp;TEXT(_xlfn.ISOWEEKNUM($J716),"00"))</f>
        <v/>
      </c>
      <c r="P716" s="24">
        <f>IF($J716="","",YEAR($J716))</f>
        <v/>
      </c>
      <c r="Q716" s="24">
        <f>IF($J716="","",MONTH($J716))</f>
        <v/>
      </c>
      <c r="R716" s="24">
        <f>IF($J716="","",$P716&amp;"-"&amp;TEXT($Q716,"00"))</f>
        <v/>
      </c>
      <c r="S716" s="24">
        <f>IF($J716="","",INDEX(lista_dias,WEEKDAY($J716,2)))</f>
        <v/>
      </c>
      <c r="T716" s="24">
        <f>IF($J716="","",IFERROR(INDEX('CALENDARIO'!$C$15:$C$214,MATCH(TEXT($J716,"yyyy-mm-dd")&amp;"|"&amp;$Y716&amp;"|"&amp;$Z716,'CALENDARIO'!$G$15:$G$214,0)),IFERROR(INDEX('CALENDARIO'!$C$15:$C$214,MATCH(TEXT($J716,"yyyy-mm-dd")&amp;"|"&amp;$Y716&amp;"|",'CALENDARIO'!$G$15:$G$214,0)),IFERROR(INDEX('CALENDARIO'!$C$15:$C$214,MATCH(TEXT($J716,"yyyy-mm-dd")&amp;"||",'CALENDARIO'!$G$15:$G$214,0)),INDEX(patronHabil,WEEKDAY($J716,2))))))</f>
        <v/>
      </c>
      <c r="U716" s="24">
        <f>IF($I716="","",IFERROR(INDEX('CAT_TIPOS_OT'!$C$4:$C$23,MATCH($I716,'CAT_TIPOS_OT'!$A$4:$A$23,0)),"sin_clasificar"))</f>
        <v/>
      </c>
      <c r="V716" s="24">
        <f>IF($I716="","",IF(IFERROR(INDEX('CAT_TIPOS_OT'!$D$4:$D$23,MATCH($I716,'CAT_TIPOS_OT'!$A$4:$A$23,0)),"SIN CLASIFICAR")="","SIN CLASIFICAR",IFERROR(INDEX('CAT_TIPOS_OT'!$D$4:$D$23,MATCH($I716,'CAT_TIPOS_OT'!$A$4:$A$23,0)),"SIN CLASIFICAR")))</f>
        <v/>
      </c>
      <c r="W716" s="24">
        <f>IF($H716="","",IF(IFERROR(INDEX('CAT_ACTIVIDADES'!$F$4:$F$26,MATCH($H716,'CAT_ACTIVIDADES'!$A$4:$A$26,0)),"")=0,"",IFERROR(INDEX('CAT_ACTIVIDADES'!$F$4:$F$26,MATCH($H716,'CAT_ACTIVIDADES'!$A$4:$A$26,0)),"")))</f>
        <v/>
      </c>
      <c r="X716" s="24">
        <f>IF($F716="","",IFERROR(INDEX('CAT_CENTROS_COSTO'!$F$4:$F$28,MATCH($F716,'CAT_CENTROS_COSTO'!$A$4:$A$28,0)),"(sin catálogo)"))</f>
        <v/>
      </c>
      <c r="Y716" s="24">
        <f>IF($F716="","",IFERROR(INDEX('CAT_CENTROS_COSTO'!$D$4:$D$28,MATCH($F716,'CAT_CENTROS_COSTO'!$A$4:$A$28,0)),"(sin catálogo)"))</f>
        <v/>
      </c>
      <c r="Z716" s="24">
        <f>IF($F716="","",IF((IFERROR(INDEX('CAT_CENTROS_COSTO'!$E$4:$E$28,MATCH($F716,'CAT_CENTROS_COSTO'!$A$4:$A$28,0)),""))&lt;&gt;"",IFERROR(INDEX('CAT_CENTROS_COSTO'!$E$4:$E$28,MATCH($F716,'CAT_CENTROS_COSTO'!$A$4:$A$28,0)),""),$Y716))</f>
        <v/>
      </c>
      <c r="AA716" s="24">
        <f>IF($F716="","",IFERROR(INDEX('CAT_CENTROS_COSTO'!$G$4:$G$28,MATCH($F716,'CAT_CENTROS_COSTO'!$A$4:$A$28,0)),"(sin catálogo)"))</f>
        <v/>
      </c>
      <c r="AB716" s="24">
        <f>IF($G716="","",IFERROR(INDEX('CAT_PUESTOS'!$B$4:$B$23,MATCH($G716,'CAT_PUESTOS'!$A$4:$A$23,0)),"(sin catálogo)"))</f>
        <v/>
      </c>
      <c r="AC716" s="24">
        <f>IF($H716="","",IFERROR(INDEX('CAT_ACTIVIDADES'!$B$4:$B$26,MATCH($H716,'CAT_ACTIVIDADES'!$A$4:$A$26,0)),"(sin catálogo)"))</f>
        <v/>
      </c>
      <c r="AD716" s="26">
        <f>IF($J716="","",TODAY()-$J716)</f>
        <v/>
      </c>
      <c r="AE716" s="26">
        <f>IF($J716="","",IF($J716&lt;=TODAY(),COUNTIFS(cal_fechas,"&gt;="&amp;$J716,cal_fechas,"&lt;"&amp;TODAY(),cal_habil,"sí"),-COUNTIFS(cal_fechas,"&gt;="&amp;TODAY(),cal_fechas,"&lt;"&amp;$J716,cal_habil,"sí")))</f>
        <v/>
      </c>
      <c r="AF716" s="24">
        <f>IF($AE716="","",IF($AE716&lt;0,"FUTURO",IF($AE716&gt;p_dias_backlog_max,"BACKLOG","MES CORRIENTE")))</f>
        <v/>
      </c>
      <c r="AG716" s="24">
        <f>IF($AE716="",FALSE,AND($AE716&gt;p_dias_backlog_min,$AE716&lt;=p_dias_backlog_max))</f>
        <v/>
      </c>
      <c r="AH716" s="4" t="n"/>
      <c r="AI716" s="24">
        <f>IF($AH716="","",IF((IFERROR(INDEX('ASIGNACIONES'!$J$4:$J$451,MATCH($O716&amp;"|"&amp;$S716&amp;"|"&amp;$AH716,'ASIGNACIONES'!$N$4:$N$451,0)),""))=0,"",IFERROR(INDEX('ASIGNACIONES'!$J$4:$J$451,MATCH($O716&amp;"|"&amp;$S716&amp;"|"&amp;$AH716,'ASIGNACIONES'!$N$4:$N$451,0)),"")))</f>
        <v/>
      </c>
      <c r="AJ716" s="42">
        <f>IF($AH716="","",SUMIFS('ORDENES'!$M$4:$M$1203,'ORDENES'!$AH$4:$AH$1203,$AH716,'ORDENES'!$O$4:$O$1203,$O716,'ORDENES'!$S$4:$S$1203,$S716))</f>
        <v/>
      </c>
      <c r="AK716" s="42">
        <f>IF($AJ716="","",p_factor_productividad*IFERROR(INDEX('ASIGNACIONES'!$M$4:$M$451,MATCH($O716&amp;"|"&amp;$S716&amp;"|"&amp;$AH716,'ASIGNACIONES'!$N$4:$N$451,0)),0)-$AJ716)</f>
        <v/>
      </c>
      <c r="AL716" s="32">
        <f>IF($A716="","",IFERROR(INDEX('2_IMPORTAR_EJECUCION'!$F$9:$F$1208,MATCH($AU716,'2_IMPORTAR_EJECUCION'!$J$9:$J$1208,0)),0))</f>
        <v/>
      </c>
      <c r="AM716" s="32">
        <f>IF($A716="","",MAX(0,IFERROR(INDEX('2_IMPORTAR_EJECUCION'!$H$9:$H$1208,MATCH($AU716,'2_IMPORTAR_EJECUCION'!$J$9:$J$1208,0)),0)-$AL716))</f>
        <v/>
      </c>
      <c r="AN716" s="32">
        <f>IF($A716="","",$AL716+$AM716)</f>
        <v/>
      </c>
      <c r="AO716" s="24">
        <f>IF($A716="","",IF(OR((IFERROR(INDEX('CAT_ACTIVIDADES'!$D$4:$D$26,MATCH($H716,'CAT_ACTIVIDADES'!$A$4:$A$26,0)),""))=0,(IFERROR(INDEX('CAT_ACTIVIDADES'!$D$4:$D$26,MATCH($H716,'CAT_ACTIVIDADES'!$A$4:$A$26,0)),""))=""),"SIN CLASIFICAR",IFERROR(INDEX('CAT_ACTIVIDADES'!$D$4:$D$26,MATCH($H716,'CAT_ACTIVIDADES'!$A$4:$A$26,0)),"")))</f>
        <v/>
      </c>
      <c r="AP716" s="4" t="n"/>
      <c r="AQ716" s="4" t="n"/>
      <c r="AR716" s="4" t="n"/>
      <c r="AS716" s="24">
        <f>IF($AR716="","",HYPERLINK(p_ruta_base_checklists&amp;$AR716,"abrir"))</f>
        <v/>
      </c>
      <c r="AT716" s="4" t="n"/>
      <c r="AU716" s="24">
        <f>IF($A716="","",$A716&amp;IF($B716="","0010",$B716))</f>
        <v/>
      </c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41" t="n"/>
      <c r="K717" s="5" t="n"/>
      <c r="L717" s="18" t="n"/>
      <c r="M717" s="24">
        <f>IF($A717="","",IFERROR(INDEX('AJUSTES'!$B$4:$B$303,MATCH($AU717,'AJUSTES'!$A$4:$A$303,0)),IF($K717="","",$K717)))</f>
        <v/>
      </c>
      <c r="N717" s="24">
        <f>IF($A717="","",IFERROR(INDEX('CAT_ESTADOS_ERP'!$B$4:$B$22,MATCH(IFERROR(INDEX('2_IMPORTAR_EJECUCION'!$C$9:$C$1208,MATCH($AU717,'2_IMPORTAR_EJECUCION'!$J$9:$J$1208,0)),""),'CAT_ESTADOS_ERP'!$A$4:$A$22,0)),"Pendiente"))</f>
        <v/>
      </c>
      <c r="O717" s="24">
        <f>IF($J717="","",YEAR($J717+4-WEEKDAY($J717,2))&amp;"-S"&amp;TEXT(_xlfn.ISOWEEKNUM($J717),"00"))</f>
        <v/>
      </c>
      <c r="P717" s="24">
        <f>IF($J717="","",YEAR($J717))</f>
        <v/>
      </c>
      <c r="Q717" s="24">
        <f>IF($J717="","",MONTH($J717))</f>
        <v/>
      </c>
      <c r="R717" s="24">
        <f>IF($J717="","",$P717&amp;"-"&amp;TEXT($Q717,"00"))</f>
        <v/>
      </c>
      <c r="S717" s="24">
        <f>IF($J717="","",INDEX(lista_dias,WEEKDAY($J717,2)))</f>
        <v/>
      </c>
      <c r="T717" s="24">
        <f>IF($J717="","",IFERROR(INDEX('CALENDARIO'!$C$15:$C$214,MATCH(TEXT($J717,"yyyy-mm-dd")&amp;"|"&amp;$Y717&amp;"|"&amp;$Z717,'CALENDARIO'!$G$15:$G$214,0)),IFERROR(INDEX('CALENDARIO'!$C$15:$C$214,MATCH(TEXT($J717,"yyyy-mm-dd")&amp;"|"&amp;$Y717&amp;"|",'CALENDARIO'!$G$15:$G$214,0)),IFERROR(INDEX('CALENDARIO'!$C$15:$C$214,MATCH(TEXT($J717,"yyyy-mm-dd")&amp;"||",'CALENDARIO'!$G$15:$G$214,0)),INDEX(patronHabil,WEEKDAY($J717,2))))))</f>
        <v/>
      </c>
      <c r="U717" s="24">
        <f>IF($I717="","",IFERROR(INDEX('CAT_TIPOS_OT'!$C$4:$C$23,MATCH($I717,'CAT_TIPOS_OT'!$A$4:$A$23,0)),"sin_clasificar"))</f>
        <v/>
      </c>
      <c r="V717" s="24">
        <f>IF($I717="","",IF(IFERROR(INDEX('CAT_TIPOS_OT'!$D$4:$D$23,MATCH($I717,'CAT_TIPOS_OT'!$A$4:$A$23,0)),"SIN CLASIFICAR")="","SIN CLASIFICAR",IFERROR(INDEX('CAT_TIPOS_OT'!$D$4:$D$23,MATCH($I717,'CAT_TIPOS_OT'!$A$4:$A$23,0)),"SIN CLASIFICAR")))</f>
        <v/>
      </c>
      <c r="W717" s="24">
        <f>IF($H717="","",IF(IFERROR(INDEX('CAT_ACTIVIDADES'!$F$4:$F$26,MATCH($H717,'CAT_ACTIVIDADES'!$A$4:$A$26,0)),"")=0,"",IFERROR(INDEX('CAT_ACTIVIDADES'!$F$4:$F$26,MATCH($H717,'CAT_ACTIVIDADES'!$A$4:$A$26,0)),"")))</f>
        <v/>
      </c>
      <c r="X717" s="24">
        <f>IF($F717="","",IFERROR(INDEX('CAT_CENTROS_COSTO'!$F$4:$F$28,MATCH($F717,'CAT_CENTROS_COSTO'!$A$4:$A$28,0)),"(sin catálogo)"))</f>
        <v/>
      </c>
      <c r="Y717" s="24">
        <f>IF($F717="","",IFERROR(INDEX('CAT_CENTROS_COSTO'!$D$4:$D$28,MATCH($F717,'CAT_CENTROS_COSTO'!$A$4:$A$28,0)),"(sin catálogo)"))</f>
        <v/>
      </c>
      <c r="Z717" s="24">
        <f>IF($F717="","",IF((IFERROR(INDEX('CAT_CENTROS_COSTO'!$E$4:$E$28,MATCH($F717,'CAT_CENTROS_COSTO'!$A$4:$A$28,0)),""))&lt;&gt;"",IFERROR(INDEX('CAT_CENTROS_COSTO'!$E$4:$E$28,MATCH($F717,'CAT_CENTROS_COSTO'!$A$4:$A$28,0)),""),$Y717))</f>
        <v/>
      </c>
      <c r="AA717" s="24">
        <f>IF($F717="","",IFERROR(INDEX('CAT_CENTROS_COSTO'!$G$4:$G$28,MATCH($F717,'CAT_CENTROS_COSTO'!$A$4:$A$28,0)),"(sin catálogo)"))</f>
        <v/>
      </c>
      <c r="AB717" s="24">
        <f>IF($G717="","",IFERROR(INDEX('CAT_PUESTOS'!$B$4:$B$23,MATCH($G717,'CAT_PUESTOS'!$A$4:$A$23,0)),"(sin catálogo)"))</f>
        <v/>
      </c>
      <c r="AC717" s="24">
        <f>IF($H717="","",IFERROR(INDEX('CAT_ACTIVIDADES'!$B$4:$B$26,MATCH($H717,'CAT_ACTIVIDADES'!$A$4:$A$26,0)),"(sin catálogo)"))</f>
        <v/>
      </c>
      <c r="AD717" s="26">
        <f>IF($J717="","",TODAY()-$J717)</f>
        <v/>
      </c>
      <c r="AE717" s="26">
        <f>IF($J717="","",IF($J717&lt;=TODAY(),COUNTIFS(cal_fechas,"&gt;="&amp;$J717,cal_fechas,"&lt;"&amp;TODAY(),cal_habil,"sí"),-COUNTIFS(cal_fechas,"&gt;="&amp;TODAY(),cal_fechas,"&lt;"&amp;$J717,cal_habil,"sí")))</f>
        <v/>
      </c>
      <c r="AF717" s="24">
        <f>IF($AE717="","",IF($AE717&lt;0,"FUTURO",IF($AE717&gt;p_dias_backlog_max,"BACKLOG","MES CORRIENTE")))</f>
        <v/>
      </c>
      <c r="AG717" s="24">
        <f>IF($AE717="",FALSE,AND($AE717&gt;p_dias_backlog_min,$AE717&lt;=p_dias_backlog_max))</f>
        <v/>
      </c>
      <c r="AH717" s="4" t="n"/>
      <c r="AI717" s="24">
        <f>IF($AH717="","",IF((IFERROR(INDEX('ASIGNACIONES'!$J$4:$J$451,MATCH($O717&amp;"|"&amp;$S717&amp;"|"&amp;$AH717,'ASIGNACIONES'!$N$4:$N$451,0)),""))=0,"",IFERROR(INDEX('ASIGNACIONES'!$J$4:$J$451,MATCH($O717&amp;"|"&amp;$S717&amp;"|"&amp;$AH717,'ASIGNACIONES'!$N$4:$N$451,0)),"")))</f>
        <v/>
      </c>
      <c r="AJ717" s="42">
        <f>IF($AH717="","",SUMIFS('ORDENES'!$M$4:$M$1203,'ORDENES'!$AH$4:$AH$1203,$AH717,'ORDENES'!$O$4:$O$1203,$O717,'ORDENES'!$S$4:$S$1203,$S717))</f>
        <v/>
      </c>
      <c r="AK717" s="42">
        <f>IF($AJ717="","",p_factor_productividad*IFERROR(INDEX('ASIGNACIONES'!$M$4:$M$451,MATCH($O717&amp;"|"&amp;$S717&amp;"|"&amp;$AH717,'ASIGNACIONES'!$N$4:$N$451,0)),0)-$AJ717)</f>
        <v/>
      </c>
      <c r="AL717" s="32">
        <f>IF($A717="","",IFERROR(INDEX('2_IMPORTAR_EJECUCION'!$F$9:$F$1208,MATCH($AU717,'2_IMPORTAR_EJECUCION'!$J$9:$J$1208,0)),0))</f>
        <v/>
      </c>
      <c r="AM717" s="32">
        <f>IF($A717="","",MAX(0,IFERROR(INDEX('2_IMPORTAR_EJECUCION'!$H$9:$H$1208,MATCH($AU717,'2_IMPORTAR_EJECUCION'!$J$9:$J$1208,0)),0)-$AL717))</f>
        <v/>
      </c>
      <c r="AN717" s="32">
        <f>IF($A717="","",$AL717+$AM717)</f>
        <v/>
      </c>
      <c r="AO717" s="24">
        <f>IF($A717="","",IF(OR((IFERROR(INDEX('CAT_ACTIVIDADES'!$D$4:$D$26,MATCH($H717,'CAT_ACTIVIDADES'!$A$4:$A$26,0)),""))=0,(IFERROR(INDEX('CAT_ACTIVIDADES'!$D$4:$D$26,MATCH($H717,'CAT_ACTIVIDADES'!$A$4:$A$26,0)),""))=""),"SIN CLASIFICAR",IFERROR(INDEX('CAT_ACTIVIDADES'!$D$4:$D$26,MATCH($H717,'CAT_ACTIVIDADES'!$A$4:$A$26,0)),"")))</f>
        <v/>
      </c>
      <c r="AP717" s="4" t="n"/>
      <c r="AQ717" s="4" t="n"/>
      <c r="AR717" s="4" t="n"/>
      <c r="AS717" s="24">
        <f>IF($AR717="","",HYPERLINK(p_ruta_base_checklists&amp;$AR717,"abrir"))</f>
        <v/>
      </c>
      <c r="AT717" s="4" t="n"/>
      <c r="AU717" s="24">
        <f>IF($A717="","",$A717&amp;IF($B717="","0010",$B717))</f>
        <v/>
      </c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41" t="n"/>
      <c r="K718" s="5" t="n"/>
      <c r="L718" s="18" t="n"/>
      <c r="M718" s="24">
        <f>IF($A718="","",IFERROR(INDEX('AJUSTES'!$B$4:$B$303,MATCH($AU718,'AJUSTES'!$A$4:$A$303,0)),IF($K718="","",$K718)))</f>
        <v/>
      </c>
      <c r="N718" s="24">
        <f>IF($A718="","",IFERROR(INDEX('CAT_ESTADOS_ERP'!$B$4:$B$22,MATCH(IFERROR(INDEX('2_IMPORTAR_EJECUCION'!$C$9:$C$1208,MATCH($AU718,'2_IMPORTAR_EJECUCION'!$J$9:$J$1208,0)),""),'CAT_ESTADOS_ERP'!$A$4:$A$22,0)),"Pendiente"))</f>
        <v/>
      </c>
      <c r="O718" s="24">
        <f>IF($J718="","",YEAR($J718+4-WEEKDAY($J718,2))&amp;"-S"&amp;TEXT(_xlfn.ISOWEEKNUM($J718),"00"))</f>
        <v/>
      </c>
      <c r="P718" s="24">
        <f>IF($J718="","",YEAR($J718))</f>
        <v/>
      </c>
      <c r="Q718" s="24">
        <f>IF($J718="","",MONTH($J718))</f>
        <v/>
      </c>
      <c r="R718" s="24">
        <f>IF($J718="","",$P718&amp;"-"&amp;TEXT($Q718,"00"))</f>
        <v/>
      </c>
      <c r="S718" s="24">
        <f>IF($J718="","",INDEX(lista_dias,WEEKDAY($J718,2)))</f>
        <v/>
      </c>
      <c r="T718" s="24">
        <f>IF($J718="","",IFERROR(INDEX('CALENDARIO'!$C$15:$C$214,MATCH(TEXT($J718,"yyyy-mm-dd")&amp;"|"&amp;$Y718&amp;"|"&amp;$Z718,'CALENDARIO'!$G$15:$G$214,0)),IFERROR(INDEX('CALENDARIO'!$C$15:$C$214,MATCH(TEXT($J718,"yyyy-mm-dd")&amp;"|"&amp;$Y718&amp;"|",'CALENDARIO'!$G$15:$G$214,0)),IFERROR(INDEX('CALENDARIO'!$C$15:$C$214,MATCH(TEXT($J718,"yyyy-mm-dd")&amp;"||",'CALENDARIO'!$G$15:$G$214,0)),INDEX(patronHabil,WEEKDAY($J718,2))))))</f>
        <v/>
      </c>
      <c r="U718" s="24">
        <f>IF($I718="","",IFERROR(INDEX('CAT_TIPOS_OT'!$C$4:$C$23,MATCH($I718,'CAT_TIPOS_OT'!$A$4:$A$23,0)),"sin_clasificar"))</f>
        <v/>
      </c>
      <c r="V718" s="24">
        <f>IF($I718="","",IF(IFERROR(INDEX('CAT_TIPOS_OT'!$D$4:$D$23,MATCH($I718,'CAT_TIPOS_OT'!$A$4:$A$23,0)),"SIN CLASIFICAR")="","SIN CLASIFICAR",IFERROR(INDEX('CAT_TIPOS_OT'!$D$4:$D$23,MATCH($I718,'CAT_TIPOS_OT'!$A$4:$A$23,0)),"SIN CLASIFICAR")))</f>
        <v/>
      </c>
      <c r="W718" s="24">
        <f>IF($H718="","",IF(IFERROR(INDEX('CAT_ACTIVIDADES'!$F$4:$F$26,MATCH($H718,'CAT_ACTIVIDADES'!$A$4:$A$26,0)),"")=0,"",IFERROR(INDEX('CAT_ACTIVIDADES'!$F$4:$F$26,MATCH($H718,'CAT_ACTIVIDADES'!$A$4:$A$26,0)),"")))</f>
        <v/>
      </c>
      <c r="X718" s="24">
        <f>IF($F718="","",IFERROR(INDEX('CAT_CENTROS_COSTO'!$F$4:$F$28,MATCH($F718,'CAT_CENTROS_COSTO'!$A$4:$A$28,0)),"(sin catálogo)"))</f>
        <v/>
      </c>
      <c r="Y718" s="24">
        <f>IF($F718="","",IFERROR(INDEX('CAT_CENTROS_COSTO'!$D$4:$D$28,MATCH($F718,'CAT_CENTROS_COSTO'!$A$4:$A$28,0)),"(sin catálogo)"))</f>
        <v/>
      </c>
      <c r="Z718" s="24">
        <f>IF($F718="","",IF((IFERROR(INDEX('CAT_CENTROS_COSTO'!$E$4:$E$28,MATCH($F718,'CAT_CENTROS_COSTO'!$A$4:$A$28,0)),""))&lt;&gt;"",IFERROR(INDEX('CAT_CENTROS_COSTO'!$E$4:$E$28,MATCH($F718,'CAT_CENTROS_COSTO'!$A$4:$A$28,0)),""),$Y718))</f>
        <v/>
      </c>
      <c r="AA718" s="24">
        <f>IF($F718="","",IFERROR(INDEX('CAT_CENTROS_COSTO'!$G$4:$G$28,MATCH($F718,'CAT_CENTROS_COSTO'!$A$4:$A$28,0)),"(sin catálogo)"))</f>
        <v/>
      </c>
      <c r="AB718" s="24">
        <f>IF($G718="","",IFERROR(INDEX('CAT_PUESTOS'!$B$4:$B$23,MATCH($G718,'CAT_PUESTOS'!$A$4:$A$23,0)),"(sin catálogo)"))</f>
        <v/>
      </c>
      <c r="AC718" s="24">
        <f>IF($H718="","",IFERROR(INDEX('CAT_ACTIVIDADES'!$B$4:$B$26,MATCH($H718,'CAT_ACTIVIDADES'!$A$4:$A$26,0)),"(sin catálogo)"))</f>
        <v/>
      </c>
      <c r="AD718" s="26">
        <f>IF($J718="","",TODAY()-$J718)</f>
        <v/>
      </c>
      <c r="AE718" s="26">
        <f>IF($J718="","",IF($J718&lt;=TODAY(),COUNTIFS(cal_fechas,"&gt;="&amp;$J718,cal_fechas,"&lt;"&amp;TODAY(),cal_habil,"sí"),-COUNTIFS(cal_fechas,"&gt;="&amp;TODAY(),cal_fechas,"&lt;"&amp;$J718,cal_habil,"sí")))</f>
        <v/>
      </c>
      <c r="AF718" s="24">
        <f>IF($AE718="","",IF($AE718&lt;0,"FUTURO",IF($AE718&gt;p_dias_backlog_max,"BACKLOG","MES CORRIENTE")))</f>
        <v/>
      </c>
      <c r="AG718" s="24">
        <f>IF($AE718="",FALSE,AND($AE718&gt;p_dias_backlog_min,$AE718&lt;=p_dias_backlog_max))</f>
        <v/>
      </c>
      <c r="AH718" s="4" t="n"/>
      <c r="AI718" s="24">
        <f>IF($AH718="","",IF((IFERROR(INDEX('ASIGNACIONES'!$J$4:$J$451,MATCH($O718&amp;"|"&amp;$S718&amp;"|"&amp;$AH718,'ASIGNACIONES'!$N$4:$N$451,0)),""))=0,"",IFERROR(INDEX('ASIGNACIONES'!$J$4:$J$451,MATCH($O718&amp;"|"&amp;$S718&amp;"|"&amp;$AH718,'ASIGNACIONES'!$N$4:$N$451,0)),"")))</f>
        <v/>
      </c>
      <c r="AJ718" s="42">
        <f>IF($AH718="","",SUMIFS('ORDENES'!$M$4:$M$1203,'ORDENES'!$AH$4:$AH$1203,$AH718,'ORDENES'!$O$4:$O$1203,$O718,'ORDENES'!$S$4:$S$1203,$S718))</f>
        <v/>
      </c>
      <c r="AK718" s="42">
        <f>IF($AJ718="","",p_factor_productividad*IFERROR(INDEX('ASIGNACIONES'!$M$4:$M$451,MATCH($O718&amp;"|"&amp;$S718&amp;"|"&amp;$AH718,'ASIGNACIONES'!$N$4:$N$451,0)),0)-$AJ718)</f>
        <v/>
      </c>
      <c r="AL718" s="32">
        <f>IF($A718="","",IFERROR(INDEX('2_IMPORTAR_EJECUCION'!$F$9:$F$1208,MATCH($AU718,'2_IMPORTAR_EJECUCION'!$J$9:$J$1208,0)),0))</f>
        <v/>
      </c>
      <c r="AM718" s="32">
        <f>IF($A718="","",MAX(0,IFERROR(INDEX('2_IMPORTAR_EJECUCION'!$H$9:$H$1208,MATCH($AU718,'2_IMPORTAR_EJECUCION'!$J$9:$J$1208,0)),0)-$AL718))</f>
        <v/>
      </c>
      <c r="AN718" s="32">
        <f>IF($A718="","",$AL718+$AM718)</f>
        <v/>
      </c>
      <c r="AO718" s="24">
        <f>IF($A718="","",IF(OR((IFERROR(INDEX('CAT_ACTIVIDADES'!$D$4:$D$26,MATCH($H718,'CAT_ACTIVIDADES'!$A$4:$A$26,0)),""))=0,(IFERROR(INDEX('CAT_ACTIVIDADES'!$D$4:$D$26,MATCH($H718,'CAT_ACTIVIDADES'!$A$4:$A$26,0)),""))=""),"SIN CLASIFICAR",IFERROR(INDEX('CAT_ACTIVIDADES'!$D$4:$D$26,MATCH($H718,'CAT_ACTIVIDADES'!$A$4:$A$26,0)),"")))</f>
        <v/>
      </c>
      <c r="AP718" s="4" t="n"/>
      <c r="AQ718" s="4" t="n"/>
      <c r="AR718" s="4" t="n"/>
      <c r="AS718" s="24">
        <f>IF($AR718="","",HYPERLINK(p_ruta_base_checklists&amp;$AR718,"abrir"))</f>
        <v/>
      </c>
      <c r="AT718" s="4" t="n"/>
      <c r="AU718" s="24">
        <f>IF($A718="","",$A718&amp;IF($B718="","0010",$B718))</f>
        <v/>
      </c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41" t="n"/>
      <c r="K719" s="5" t="n"/>
      <c r="L719" s="18" t="n"/>
      <c r="M719" s="24">
        <f>IF($A719="","",IFERROR(INDEX('AJUSTES'!$B$4:$B$303,MATCH($AU719,'AJUSTES'!$A$4:$A$303,0)),IF($K719="","",$K719)))</f>
        <v/>
      </c>
      <c r="N719" s="24">
        <f>IF($A719="","",IFERROR(INDEX('CAT_ESTADOS_ERP'!$B$4:$B$22,MATCH(IFERROR(INDEX('2_IMPORTAR_EJECUCION'!$C$9:$C$1208,MATCH($AU719,'2_IMPORTAR_EJECUCION'!$J$9:$J$1208,0)),""),'CAT_ESTADOS_ERP'!$A$4:$A$22,0)),"Pendiente"))</f>
        <v/>
      </c>
      <c r="O719" s="24">
        <f>IF($J719="","",YEAR($J719+4-WEEKDAY($J719,2))&amp;"-S"&amp;TEXT(_xlfn.ISOWEEKNUM($J719),"00"))</f>
        <v/>
      </c>
      <c r="P719" s="24">
        <f>IF($J719="","",YEAR($J719))</f>
        <v/>
      </c>
      <c r="Q719" s="24">
        <f>IF($J719="","",MONTH($J719))</f>
        <v/>
      </c>
      <c r="R719" s="24">
        <f>IF($J719="","",$P719&amp;"-"&amp;TEXT($Q719,"00"))</f>
        <v/>
      </c>
      <c r="S719" s="24">
        <f>IF($J719="","",INDEX(lista_dias,WEEKDAY($J719,2)))</f>
        <v/>
      </c>
      <c r="T719" s="24">
        <f>IF($J719="","",IFERROR(INDEX('CALENDARIO'!$C$15:$C$214,MATCH(TEXT($J719,"yyyy-mm-dd")&amp;"|"&amp;$Y719&amp;"|"&amp;$Z719,'CALENDARIO'!$G$15:$G$214,0)),IFERROR(INDEX('CALENDARIO'!$C$15:$C$214,MATCH(TEXT($J719,"yyyy-mm-dd")&amp;"|"&amp;$Y719&amp;"|",'CALENDARIO'!$G$15:$G$214,0)),IFERROR(INDEX('CALENDARIO'!$C$15:$C$214,MATCH(TEXT($J719,"yyyy-mm-dd")&amp;"||",'CALENDARIO'!$G$15:$G$214,0)),INDEX(patronHabil,WEEKDAY($J719,2))))))</f>
        <v/>
      </c>
      <c r="U719" s="24">
        <f>IF($I719="","",IFERROR(INDEX('CAT_TIPOS_OT'!$C$4:$C$23,MATCH($I719,'CAT_TIPOS_OT'!$A$4:$A$23,0)),"sin_clasificar"))</f>
        <v/>
      </c>
      <c r="V719" s="24">
        <f>IF($I719="","",IF(IFERROR(INDEX('CAT_TIPOS_OT'!$D$4:$D$23,MATCH($I719,'CAT_TIPOS_OT'!$A$4:$A$23,0)),"SIN CLASIFICAR")="","SIN CLASIFICAR",IFERROR(INDEX('CAT_TIPOS_OT'!$D$4:$D$23,MATCH($I719,'CAT_TIPOS_OT'!$A$4:$A$23,0)),"SIN CLASIFICAR")))</f>
        <v/>
      </c>
      <c r="W719" s="24">
        <f>IF($H719="","",IF(IFERROR(INDEX('CAT_ACTIVIDADES'!$F$4:$F$26,MATCH($H719,'CAT_ACTIVIDADES'!$A$4:$A$26,0)),"")=0,"",IFERROR(INDEX('CAT_ACTIVIDADES'!$F$4:$F$26,MATCH($H719,'CAT_ACTIVIDADES'!$A$4:$A$26,0)),"")))</f>
        <v/>
      </c>
      <c r="X719" s="24">
        <f>IF($F719="","",IFERROR(INDEX('CAT_CENTROS_COSTO'!$F$4:$F$28,MATCH($F719,'CAT_CENTROS_COSTO'!$A$4:$A$28,0)),"(sin catálogo)"))</f>
        <v/>
      </c>
      <c r="Y719" s="24">
        <f>IF($F719="","",IFERROR(INDEX('CAT_CENTROS_COSTO'!$D$4:$D$28,MATCH($F719,'CAT_CENTROS_COSTO'!$A$4:$A$28,0)),"(sin catálogo)"))</f>
        <v/>
      </c>
      <c r="Z719" s="24">
        <f>IF($F719="","",IF((IFERROR(INDEX('CAT_CENTROS_COSTO'!$E$4:$E$28,MATCH($F719,'CAT_CENTROS_COSTO'!$A$4:$A$28,0)),""))&lt;&gt;"",IFERROR(INDEX('CAT_CENTROS_COSTO'!$E$4:$E$28,MATCH($F719,'CAT_CENTROS_COSTO'!$A$4:$A$28,0)),""),$Y719))</f>
        <v/>
      </c>
      <c r="AA719" s="24">
        <f>IF($F719="","",IFERROR(INDEX('CAT_CENTROS_COSTO'!$G$4:$G$28,MATCH($F719,'CAT_CENTROS_COSTO'!$A$4:$A$28,0)),"(sin catálogo)"))</f>
        <v/>
      </c>
      <c r="AB719" s="24">
        <f>IF($G719="","",IFERROR(INDEX('CAT_PUESTOS'!$B$4:$B$23,MATCH($G719,'CAT_PUESTOS'!$A$4:$A$23,0)),"(sin catálogo)"))</f>
        <v/>
      </c>
      <c r="AC719" s="24">
        <f>IF($H719="","",IFERROR(INDEX('CAT_ACTIVIDADES'!$B$4:$B$26,MATCH($H719,'CAT_ACTIVIDADES'!$A$4:$A$26,0)),"(sin catálogo)"))</f>
        <v/>
      </c>
      <c r="AD719" s="26">
        <f>IF($J719="","",TODAY()-$J719)</f>
        <v/>
      </c>
      <c r="AE719" s="26">
        <f>IF($J719="","",IF($J719&lt;=TODAY(),COUNTIFS(cal_fechas,"&gt;="&amp;$J719,cal_fechas,"&lt;"&amp;TODAY(),cal_habil,"sí"),-COUNTIFS(cal_fechas,"&gt;="&amp;TODAY(),cal_fechas,"&lt;"&amp;$J719,cal_habil,"sí")))</f>
        <v/>
      </c>
      <c r="AF719" s="24">
        <f>IF($AE719="","",IF($AE719&lt;0,"FUTURO",IF($AE719&gt;p_dias_backlog_max,"BACKLOG","MES CORRIENTE")))</f>
        <v/>
      </c>
      <c r="AG719" s="24">
        <f>IF($AE719="",FALSE,AND($AE719&gt;p_dias_backlog_min,$AE719&lt;=p_dias_backlog_max))</f>
        <v/>
      </c>
      <c r="AH719" s="4" t="n"/>
      <c r="AI719" s="24">
        <f>IF($AH719="","",IF((IFERROR(INDEX('ASIGNACIONES'!$J$4:$J$451,MATCH($O719&amp;"|"&amp;$S719&amp;"|"&amp;$AH719,'ASIGNACIONES'!$N$4:$N$451,0)),""))=0,"",IFERROR(INDEX('ASIGNACIONES'!$J$4:$J$451,MATCH($O719&amp;"|"&amp;$S719&amp;"|"&amp;$AH719,'ASIGNACIONES'!$N$4:$N$451,0)),"")))</f>
        <v/>
      </c>
      <c r="AJ719" s="42">
        <f>IF($AH719="","",SUMIFS('ORDENES'!$M$4:$M$1203,'ORDENES'!$AH$4:$AH$1203,$AH719,'ORDENES'!$O$4:$O$1203,$O719,'ORDENES'!$S$4:$S$1203,$S719))</f>
        <v/>
      </c>
      <c r="AK719" s="42">
        <f>IF($AJ719="","",p_factor_productividad*IFERROR(INDEX('ASIGNACIONES'!$M$4:$M$451,MATCH($O719&amp;"|"&amp;$S719&amp;"|"&amp;$AH719,'ASIGNACIONES'!$N$4:$N$451,0)),0)-$AJ719)</f>
        <v/>
      </c>
      <c r="AL719" s="32">
        <f>IF($A719="","",IFERROR(INDEX('2_IMPORTAR_EJECUCION'!$F$9:$F$1208,MATCH($AU719,'2_IMPORTAR_EJECUCION'!$J$9:$J$1208,0)),0))</f>
        <v/>
      </c>
      <c r="AM719" s="32">
        <f>IF($A719="","",MAX(0,IFERROR(INDEX('2_IMPORTAR_EJECUCION'!$H$9:$H$1208,MATCH($AU719,'2_IMPORTAR_EJECUCION'!$J$9:$J$1208,0)),0)-$AL719))</f>
        <v/>
      </c>
      <c r="AN719" s="32">
        <f>IF($A719="","",$AL719+$AM719)</f>
        <v/>
      </c>
      <c r="AO719" s="24">
        <f>IF($A719="","",IF(OR((IFERROR(INDEX('CAT_ACTIVIDADES'!$D$4:$D$26,MATCH($H719,'CAT_ACTIVIDADES'!$A$4:$A$26,0)),""))=0,(IFERROR(INDEX('CAT_ACTIVIDADES'!$D$4:$D$26,MATCH($H719,'CAT_ACTIVIDADES'!$A$4:$A$26,0)),""))=""),"SIN CLASIFICAR",IFERROR(INDEX('CAT_ACTIVIDADES'!$D$4:$D$26,MATCH($H719,'CAT_ACTIVIDADES'!$A$4:$A$26,0)),"")))</f>
        <v/>
      </c>
      <c r="AP719" s="4" t="n"/>
      <c r="AQ719" s="4" t="n"/>
      <c r="AR719" s="4" t="n"/>
      <c r="AS719" s="24">
        <f>IF($AR719="","",HYPERLINK(p_ruta_base_checklists&amp;$AR719,"abrir"))</f>
        <v/>
      </c>
      <c r="AT719" s="4" t="n"/>
      <c r="AU719" s="24">
        <f>IF($A719="","",$A719&amp;IF($B719="","0010",$B719))</f>
        <v/>
      </c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41" t="n"/>
      <c r="K720" s="5" t="n"/>
      <c r="L720" s="18" t="n"/>
      <c r="M720" s="24">
        <f>IF($A720="","",IFERROR(INDEX('AJUSTES'!$B$4:$B$303,MATCH($AU720,'AJUSTES'!$A$4:$A$303,0)),IF($K720="","",$K720)))</f>
        <v/>
      </c>
      <c r="N720" s="24">
        <f>IF($A720="","",IFERROR(INDEX('CAT_ESTADOS_ERP'!$B$4:$B$22,MATCH(IFERROR(INDEX('2_IMPORTAR_EJECUCION'!$C$9:$C$1208,MATCH($AU720,'2_IMPORTAR_EJECUCION'!$J$9:$J$1208,0)),""),'CAT_ESTADOS_ERP'!$A$4:$A$22,0)),"Pendiente"))</f>
        <v/>
      </c>
      <c r="O720" s="24">
        <f>IF($J720="","",YEAR($J720+4-WEEKDAY($J720,2))&amp;"-S"&amp;TEXT(_xlfn.ISOWEEKNUM($J720),"00"))</f>
        <v/>
      </c>
      <c r="P720" s="24">
        <f>IF($J720="","",YEAR($J720))</f>
        <v/>
      </c>
      <c r="Q720" s="24">
        <f>IF($J720="","",MONTH($J720))</f>
        <v/>
      </c>
      <c r="R720" s="24">
        <f>IF($J720="","",$P720&amp;"-"&amp;TEXT($Q720,"00"))</f>
        <v/>
      </c>
      <c r="S720" s="24">
        <f>IF($J720="","",INDEX(lista_dias,WEEKDAY($J720,2)))</f>
        <v/>
      </c>
      <c r="T720" s="24">
        <f>IF($J720="","",IFERROR(INDEX('CALENDARIO'!$C$15:$C$214,MATCH(TEXT($J720,"yyyy-mm-dd")&amp;"|"&amp;$Y720&amp;"|"&amp;$Z720,'CALENDARIO'!$G$15:$G$214,0)),IFERROR(INDEX('CALENDARIO'!$C$15:$C$214,MATCH(TEXT($J720,"yyyy-mm-dd")&amp;"|"&amp;$Y720&amp;"|",'CALENDARIO'!$G$15:$G$214,0)),IFERROR(INDEX('CALENDARIO'!$C$15:$C$214,MATCH(TEXT($J720,"yyyy-mm-dd")&amp;"||",'CALENDARIO'!$G$15:$G$214,0)),INDEX(patronHabil,WEEKDAY($J720,2))))))</f>
        <v/>
      </c>
      <c r="U720" s="24">
        <f>IF($I720="","",IFERROR(INDEX('CAT_TIPOS_OT'!$C$4:$C$23,MATCH($I720,'CAT_TIPOS_OT'!$A$4:$A$23,0)),"sin_clasificar"))</f>
        <v/>
      </c>
      <c r="V720" s="24">
        <f>IF($I720="","",IF(IFERROR(INDEX('CAT_TIPOS_OT'!$D$4:$D$23,MATCH($I720,'CAT_TIPOS_OT'!$A$4:$A$23,0)),"SIN CLASIFICAR")="","SIN CLASIFICAR",IFERROR(INDEX('CAT_TIPOS_OT'!$D$4:$D$23,MATCH($I720,'CAT_TIPOS_OT'!$A$4:$A$23,0)),"SIN CLASIFICAR")))</f>
        <v/>
      </c>
      <c r="W720" s="24">
        <f>IF($H720="","",IF(IFERROR(INDEX('CAT_ACTIVIDADES'!$F$4:$F$26,MATCH($H720,'CAT_ACTIVIDADES'!$A$4:$A$26,0)),"")=0,"",IFERROR(INDEX('CAT_ACTIVIDADES'!$F$4:$F$26,MATCH($H720,'CAT_ACTIVIDADES'!$A$4:$A$26,0)),"")))</f>
        <v/>
      </c>
      <c r="X720" s="24">
        <f>IF($F720="","",IFERROR(INDEX('CAT_CENTROS_COSTO'!$F$4:$F$28,MATCH($F720,'CAT_CENTROS_COSTO'!$A$4:$A$28,0)),"(sin catálogo)"))</f>
        <v/>
      </c>
      <c r="Y720" s="24">
        <f>IF($F720="","",IFERROR(INDEX('CAT_CENTROS_COSTO'!$D$4:$D$28,MATCH($F720,'CAT_CENTROS_COSTO'!$A$4:$A$28,0)),"(sin catálogo)"))</f>
        <v/>
      </c>
      <c r="Z720" s="24">
        <f>IF($F720="","",IF((IFERROR(INDEX('CAT_CENTROS_COSTO'!$E$4:$E$28,MATCH($F720,'CAT_CENTROS_COSTO'!$A$4:$A$28,0)),""))&lt;&gt;"",IFERROR(INDEX('CAT_CENTROS_COSTO'!$E$4:$E$28,MATCH($F720,'CAT_CENTROS_COSTO'!$A$4:$A$28,0)),""),$Y720))</f>
        <v/>
      </c>
      <c r="AA720" s="24">
        <f>IF($F720="","",IFERROR(INDEX('CAT_CENTROS_COSTO'!$G$4:$G$28,MATCH($F720,'CAT_CENTROS_COSTO'!$A$4:$A$28,0)),"(sin catálogo)"))</f>
        <v/>
      </c>
      <c r="AB720" s="24">
        <f>IF($G720="","",IFERROR(INDEX('CAT_PUESTOS'!$B$4:$B$23,MATCH($G720,'CAT_PUESTOS'!$A$4:$A$23,0)),"(sin catálogo)"))</f>
        <v/>
      </c>
      <c r="AC720" s="24">
        <f>IF($H720="","",IFERROR(INDEX('CAT_ACTIVIDADES'!$B$4:$B$26,MATCH($H720,'CAT_ACTIVIDADES'!$A$4:$A$26,0)),"(sin catálogo)"))</f>
        <v/>
      </c>
      <c r="AD720" s="26">
        <f>IF($J720="","",TODAY()-$J720)</f>
        <v/>
      </c>
      <c r="AE720" s="26">
        <f>IF($J720="","",IF($J720&lt;=TODAY(),COUNTIFS(cal_fechas,"&gt;="&amp;$J720,cal_fechas,"&lt;"&amp;TODAY(),cal_habil,"sí"),-COUNTIFS(cal_fechas,"&gt;="&amp;TODAY(),cal_fechas,"&lt;"&amp;$J720,cal_habil,"sí")))</f>
        <v/>
      </c>
      <c r="AF720" s="24">
        <f>IF($AE720="","",IF($AE720&lt;0,"FUTURO",IF($AE720&gt;p_dias_backlog_max,"BACKLOG","MES CORRIENTE")))</f>
        <v/>
      </c>
      <c r="AG720" s="24">
        <f>IF($AE720="",FALSE,AND($AE720&gt;p_dias_backlog_min,$AE720&lt;=p_dias_backlog_max))</f>
        <v/>
      </c>
      <c r="AH720" s="4" t="n"/>
      <c r="AI720" s="24">
        <f>IF($AH720="","",IF((IFERROR(INDEX('ASIGNACIONES'!$J$4:$J$451,MATCH($O720&amp;"|"&amp;$S720&amp;"|"&amp;$AH720,'ASIGNACIONES'!$N$4:$N$451,0)),""))=0,"",IFERROR(INDEX('ASIGNACIONES'!$J$4:$J$451,MATCH($O720&amp;"|"&amp;$S720&amp;"|"&amp;$AH720,'ASIGNACIONES'!$N$4:$N$451,0)),"")))</f>
        <v/>
      </c>
      <c r="AJ720" s="42">
        <f>IF($AH720="","",SUMIFS('ORDENES'!$M$4:$M$1203,'ORDENES'!$AH$4:$AH$1203,$AH720,'ORDENES'!$O$4:$O$1203,$O720,'ORDENES'!$S$4:$S$1203,$S720))</f>
        <v/>
      </c>
      <c r="AK720" s="42">
        <f>IF($AJ720="","",p_factor_productividad*IFERROR(INDEX('ASIGNACIONES'!$M$4:$M$451,MATCH($O720&amp;"|"&amp;$S720&amp;"|"&amp;$AH720,'ASIGNACIONES'!$N$4:$N$451,0)),0)-$AJ720)</f>
        <v/>
      </c>
      <c r="AL720" s="32">
        <f>IF($A720="","",IFERROR(INDEX('2_IMPORTAR_EJECUCION'!$F$9:$F$1208,MATCH($AU720,'2_IMPORTAR_EJECUCION'!$J$9:$J$1208,0)),0))</f>
        <v/>
      </c>
      <c r="AM720" s="32">
        <f>IF($A720="","",MAX(0,IFERROR(INDEX('2_IMPORTAR_EJECUCION'!$H$9:$H$1208,MATCH($AU720,'2_IMPORTAR_EJECUCION'!$J$9:$J$1208,0)),0)-$AL720))</f>
        <v/>
      </c>
      <c r="AN720" s="32">
        <f>IF($A720="","",$AL720+$AM720)</f>
        <v/>
      </c>
      <c r="AO720" s="24">
        <f>IF($A720="","",IF(OR((IFERROR(INDEX('CAT_ACTIVIDADES'!$D$4:$D$26,MATCH($H720,'CAT_ACTIVIDADES'!$A$4:$A$26,0)),""))=0,(IFERROR(INDEX('CAT_ACTIVIDADES'!$D$4:$D$26,MATCH($H720,'CAT_ACTIVIDADES'!$A$4:$A$26,0)),""))=""),"SIN CLASIFICAR",IFERROR(INDEX('CAT_ACTIVIDADES'!$D$4:$D$26,MATCH($H720,'CAT_ACTIVIDADES'!$A$4:$A$26,0)),"")))</f>
        <v/>
      </c>
      <c r="AP720" s="4" t="n"/>
      <c r="AQ720" s="4" t="n"/>
      <c r="AR720" s="4" t="n"/>
      <c r="AS720" s="24">
        <f>IF($AR720="","",HYPERLINK(p_ruta_base_checklists&amp;$AR720,"abrir"))</f>
        <v/>
      </c>
      <c r="AT720" s="4" t="n"/>
      <c r="AU720" s="24">
        <f>IF($A720="","",$A720&amp;IF($B720="","0010",$B720))</f>
        <v/>
      </c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41" t="n"/>
      <c r="K721" s="5" t="n"/>
      <c r="L721" s="18" t="n"/>
      <c r="M721" s="24">
        <f>IF($A721="","",IFERROR(INDEX('AJUSTES'!$B$4:$B$303,MATCH($AU721,'AJUSTES'!$A$4:$A$303,0)),IF($K721="","",$K721)))</f>
        <v/>
      </c>
      <c r="N721" s="24">
        <f>IF($A721="","",IFERROR(INDEX('CAT_ESTADOS_ERP'!$B$4:$B$22,MATCH(IFERROR(INDEX('2_IMPORTAR_EJECUCION'!$C$9:$C$1208,MATCH($AU721,'2_IMPORTAR_EJECUCION'!$J$9:$J$1208,0)),""),'CAT_ESTADOS_ERP'!$A$4:$A$22,0)),"Pendiente"))</f>
        <v/>
      </c>
      <c r="O721" s="24">
        <f>IF($J721="","",YEAR($J721+4-WEEKDAY($J721,2))&amp;"-S"&amp;TEXT(_xlfn.ISOWEEKNUM($J721),"00"))</f>
        <v/>
      </c>
      <c r="P721" s="24">
        <f>IF($J721="","",YEAR($J721))</f>
        <v/>
      </c>
      <c r="Q721" s="24">
        <f>IF($J721="","",MONTH($J721))</f>
        <v/>
      </c>
      <c r="R721" s="24">
        <f>IF($J721="","",$P721&amp;"-"&amp;TEXT($Q721,"00"))</f>
        <v/>
      </c>
      <c r="S721" s="24">
        <f>IF($J721="","",INDEX(lista_dias,WEEKDAY($J721,2)))</f>
        <v/>
      </c>
      <c r="T721" s="24">
        <f>IF($J721="","",IFERROR(INDEX('CALENDARIO'!$C$15:$C$214,MATCH(TEXT($J721,"yyyy-mm-dd")&amp;"|"&amp;$Y721&amp;"|"&amp;$Z721,'CALENDARIO'!$G$15:$G$214,0)),IFERROR(INDEX('CALENDARIO'!$C$15:$C$214,MATCH(TEXT($J721,"yyyy-mm-dd")&amp;"|"&amp;$Y721&amp;"|",'CALENDARIO'!$G$15:$G$214,0)),IFERROR(INDEX('CALENDARIO'!$C$15:$C$214,MATCH(TEXT($J721,"yyyy-mm-dd")&amp;"||",'CALENDARIO'!$G$15:$G$214,0)),INDEX(patronHabil,WEEKDAY($J721,2))))))</f>
        <v/>
      </c>
      <c r="U721" s="24">
        <f>IF($I721="","",IFERROR(INDEX('CAT_TIPOS_OT'!$C$4:$C$23,MATCH($I721,'CAT_TIPOS_OT'!$A$4:$A$23,0)),"sin_clasificar"))</f>
        <v/>
      </c>
      <c r="V721" s="24">
        <f>IF($I721="","",IF(IFERROR(INDEX('CAT_TIPOS_OT'!$D$4:$D$23,MATCH($I721,'CAT_TIPOS_OT'!$A$4:$A$23,0)),"SIN CLASIFICAR")="","SIN CLASIFICAR",IFERROR(INDEX('CAT_TIPOS_OT'!$D$4:$D$23,MATCH($I721,'CAT_TIPOS_OT'!$A$4:$A$23,0)),"SIN CLASIFICAR")))</f>
        <v/>
      </c>
      <c r="W721" s="24">
        <f>IF($H721="","",IF(IFERROR(INDEX('CAT_ACTIVIDADES'!$F$4:$F$26,MATCH($H721,'CAT_ACTIVIDADES'!$A$4:$A$26,0)),"")=0,"",IFERROR(INDEX('CAT_ACTIVIDADES'!$F$4:$F$26,MATCH($H721,'CAT_ACTIVIDADES'!$A$4:$A$26,0)),"")))</f>
        <v/>
      </c>
      <c r="X721" s="24">
        <f>IF($F721="","",IFERROR(INDEX('CAT_CENTROS_COSTO'!$F$4:$F$28,MATCH($F721,'CAT_CENTROS_COSTO'!$A$4:$A$28,0)),"(sin catálogo)"))</f>
        <v/>
      </c>
      <c r="Y721" s="24">
        <f>IF($F721="","",IFERROR(INDEX('CAT_CENTROS_COSTO'!$D$4:$D$28,MATCH($F721,'CAT_CENTROS_COSTO'!$A$4:$A$28,0)),"(sin catálogo)"))</f>
        <v/>
      </c>
      <c r="Z721" s="24">
        <f>IF($F721="","",IF((IFERROR(INDEX('CAT_CENTROS_COSTO'!$E$4:$E$28,MATCH($F721,'CAT_CENTROS_COSTO'!$A$4:$A$28,0)),""))&lt;&gt;"",IFERROR(INDEX('CAT_CENTROS_COSTO'!$E$4:$E$28,MATCH($F721,'CAT_CENTROS_COSTO'!$A$4:$A$28,0)),""),$Y721))</f>
        <v/>
      </c>
      <c r="AA721" s="24">
        <f>IF($F721="","",IFERROR(INDEX('CAT_CENTROS_COSTO'!$G$4:$G$28,MATCH($F721,'CAT_CENTROS_COSTO'!$A$4:$A$28,0)),"(sin catálogo)"))</f>
        <v/>
      </c>
      <c r="AB721" s="24">
        <f>IF($G721="","",IFERROR(INDEX('CAT_PUESTOS'!$B$4:$B$23,MATCH($G721,'CAT_PUESTOS'!$A$4:$A$23,0)),"(sin catálogo)"))</f>
        <v/>
      </c>
      <c r="AC721" s="24">
        <f>IF($H721="","",IFERROR(INDEX('CAT_ACTIVIDADES'!$B$4:$B$26,MATCH($H721,'CAT_ACTIVIDADES'!$A$4:$A$26,0)),"(sin catálogo)"))</f>
        <v/>
      </c>
      <c r="AD721" s="26">
        <f>IF($J721="","",TODAY()-$J721)</f>
        <v/>
      </c>
      <c r="AE721" s="26">
        <f>IF($J721="","",IF($J721&lt;=TODAY(),COUNTIFS(cal_fechas,"&gt;="&amp;$J721,cal_fechas,"&lt;"&amp;TODAY(),cal_habil,"sí"),-COUNTIFS(cal_fechas,"&gt;="&amp;TODAY(),cal_fechas,"&lt;"&amp;$J721,cal_habil,"sí")))</f>
        <v/>
      </c>
      <c r="AF721" s="24">
        <f>IF($AE721="","",IF($AE721&lt;0,"FUTURO",IF($AE721&gt;p_dias_backlog_max,"BACKLOG","MES CORRIENTE")))</f>
        <v/>
      </c>
      <c r="AG721" s="24">
        <f>IF($AE721="",FALSE,AND($AE721&gt;p_dias_backlog_min,$AE721&lt;=p_dias_backlog_max))</f>
        <v/>
      </c>
      <c r="AH721" s="4" t="n"/>
      <c r="AI721" s="24">
        <f>IF($AH721="","",IF((IFERROR(INDEX('ASIGNACIONES'!$J$4:$J$451,MATCH($O721&amp;"|"&amp;$S721&amp;"|"&amp;$AH721,'ASIGNACIONES'!$N$4:$N$451,0)),""))=0,"",IFERROR(INDEX('ASIGNACIONES'!$J$4:$J$451,MATCH($O721&amp;"|"&amp;$S721&amp;"|"&amp;$AH721,'ASIGNACIONES'!$N$4:$N$451,0)),"")))</f>
        <v/>
      </c>
      <c r="AJ721" s="42">
        <f>IF($AH721="","",SUMIFS('ORDENES'!$M$4:$M$1203,'ORDENES'!$AH$4:$AH$1203,$AH721,'ORDENES'!$O$4:$O$1203,$O721,'ORDENES'!$S$4:$S$1203,$S721))</f>
        <v/>
      </c>
      <c r="AK721" s="42">
        <f>IF($AJ721="","",p_factor_productividad*IFERROR(INDEX('ASIGNACIONES'!$M$4:$M$451,MATCH($O721&amp;"|"&amp;$S721&amp;"|"&amp;$AH721,'ASIGNACIONES'!$N$4:$N$451,0)),0)-$AJ721)</f>
        <v/>
      </c>
      <c r="AL721" s="32">
        <f>IF($A721="","",IFERROR(INDEX('2_IMPORTAR_EJECUCION'!$F$9:$F$1208,MATCH($AU721,'2_IMPORTAR_EJECUCION'!$J$9:$J$1208,0)),0))</f>
        <v/>
      </c>
      <c r="AM721" s="32">
        <f>IF($A721="","",MAX(0,IFERROR(INDEX('2_IMPORTAR_EJECUCION'!$H$9:$H$1208,MATCH($AU721,'2_IMPORTAR_EJECUCION'!$J$9:$J$1208,0)),0)-$AL721))</f>
        <v/>
      </c>
      <c r="AN721" s="32">
        <f>IF($A721="","",$AL721+$AM721)</f>
        <v/>
      </c>
      <c r="AO721" s="24">
        <f>IF($A721="","",IF(OR((IFERROR(INDEX('CAT_ACTIVIDADES'!$D$4:$D$26,MATCH($H721,'CAT_ACTIVIDADES'!$A$4:$A$26,0)),""))=0,(IFERROR(INDEX('CAT_ACTIVIDADES'!$D$4:$D$26,MATCH($H721,'CAT_ACTIVIDADES'!$A$4:$A$26,0)),""))=""),"SIN CLASIFICAR",IFERROR(INDEX('CAT_ACTIVIDADES'!$D$4:$D$26,MATCH($H721,'CAT_ACTIVIDADES'!$A$4:$A$26,0)),"")))</f>
        <v/>
      </c>
      <c r="AP721" s="4" t="n"/>
      <c r="AQ721" s="4" t="n"/>
      <c r="AR721" s="4" t="n"/>
      <c r="AS721" s="24">
        <f>IF($AR721="","",HYPERLINK(p_ruta_base_checklists&amp;$AR721,"abrir"))</f>
        <v/>
      </c>
      <c r="AT721" s="4" t="n"/>
      <c r="AU721" s="24">
        <f>IF($A721="","",$A721&amp;IF($B721="","0010",$B721))</f>
        <v/>
      </c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41" t="n"/>
      <c r="K722" s="5" t="n"/>
      <c r="L722" s="18" t="n"/>
      <c r="M722" s="24">
        <f>IF($A722="","",IFERROR(INDEX('AJUSTES'!$B$4:$B$303,MATCH($AU722,'AJUSTES'!$A$4:$A$303,0)),IF($K722="","",$K722)))</f>
        <v/>
      </c>
      <c r="N722" s="24">
        <f>IF($A722="","",IFERROR(INDEX('CAT_ESTADOS_ERP'!$B$4:$B$22,MATCH(IFERROR(INDEX('2_IMPORTAR_EJECUCION'!$C$9:$C$1208,MATCH($AU722,'2_IMPORTAR_EJECUCION'!$J$9:$J$1208,0)),""),'CAT_ESTADOS_ERP'!$A$4:$A$22,0)),"Pendiente"))</f>
        <v/>
      </c>
      <c r="O722" s="24">
        <f>IF($J722="","",YEAR($J722+4-WEEKDAY($J722,2))&amp;"-S"&amp;TEXT(_xlfn.ISOWEEKNUM($J722),"00"))</f>
        <v/>
      </c>
      <c r="P722" s="24">
        <f>IF($J722="","",YEAR($J722))</f>
        <v/>
      </c>
      <c r="Q722" s="24">
        <f>IF($J722="","",MONTH($J722))</f>
        <v/>
      </c>
      <c r="R722" s="24">
        <f>IF($J722="","",$P722&amp;"-"&amp;TEXT($Q722,"00"))</f>
        <v/>
      </c>
      <c r="S722" s="24">
        <f>IF($J722="","",INDEX(lista_dias,WEEKDAY($J722,2)))</f>
        <v/>
      </c>
      <c r="T722" s="24">
        <f>IF($J722="","",IFERROR(INDEX('CALENDARIO'!$C$15:$C$214,MATCH(TEXT($J722,"yyyy-mm-dd")&amp;"|"&amp;$Y722&amp;"|"&amp;$Z722,'CALENDARIO'!$G$15:$G$214,0)),IFERROR(INDEX('CALENDARIO'!$C$15:$C$214,MATCH(TEXT($J722,"yyyy-mm-dd")&amp;"|"&amp;$Y722&amp;"|",'CALENDARIO'!$G$15:$G$214,0)),IFERROR(INDEX('CALENDARIO'!$C$15:$C$214,MATCH(TEXT($J722,"yyyy-mm-dd")&amp;"||",'CALENDARIO'!$G$15:$G$214,0)),INDEX(patronHabil,WEEKDAY($J722,2))))))</f>
        <v/>
      </c>
      <c r="U722" s="24">
        <f>IF($I722="","",IFERROR(INDEX('CAT_TIPOS_OT'!$C$4:$C$23,MATCH($I722,'CAT_TIPOS_OT'!$A$4:$A$23,0)),"sin_clasificar"))</f>
        <v/>
      </c>
      <c r="V722" s="24">
        <f>IF($I722="","",IF(IFERROR(INDEX('CAT_TIPOS_OT'!$D$4:$D$23,MATCH($I722,'CAT_TIPOS_OT'!$A$4:$A$23,0)),"SIN CLASIFICAR")="","SIN CLASIFICAR",IFERROR(INDEX('CAT_TIPOS_OT'!$D$4:$D$23,MATCH($I722,'CAT_TIPOS_OT'!$A$4:$A$23,0)),"SIN CLASIFICAR")))</f>
        <v/>
      </c>
      <c r="W722" s="24">
        <f>IF($H722="","",IF(IFERROR(INDEX('CAT_ACTIVIDADES'!$F$4:$F$26,MATCH($H722,'CAT_ACTIVIDADES'!$A$4:$A$26,0)),"")=0,"",IFERROR(INDEX('CAT_ACTIVIDADES'!$F$4:$F$26,MATCH($H722,'CAT_ACTIVIDADES'!$A$4:$A$26,0)),"")))</f>
        <v/>
      </c>
      <c r="X722" s="24">
        <f>IF($F722="","",IFERROR(INDEX('CAT_CENTROS_COSTO'!$F$4:$F$28,MATCH($F722,'CAT_CENTROS_COSTO'!$A$4:$A$28,0)),"(sin catálogo)"))</f>
        <v/>
      </c>
      <c r="Y722" s="24">
        <f>IF($F722="","",IFERROR(INDEX('CAT_CENTROS_COSTO'!$D$4:$D$28,MATCH($F722,'CAT_CENTROS_COSTO'!$A$4:$A$28,0)),"(sin catálogo)"))</f>
        <v/>
      </c>
      <c r="Z722" s="24">
        <f>IF($F722="","",IF((IFERROR(INDEX('CAT_CENTROS_COSTO'!$E$4:$E$28,MATCH($F722,'CAT_CENTROS_COSTO'!$A$4:$A$28,0)),""))&lt;&gt;"",IFERROR(INDEX('CAT_CENTROS_COSTO'!$E$4:$E$28,MATCH($F722,'CAT_CENTROS_COSTO'!$A$4:$A$28,0)),""),$Y722))</f>
        <v/>
      </c>
      <c r="AA722" s="24">
        <f>IF($F722="","",IFERROR(INDEX('CAT_CENTROS_COSTO'!$G$4:$G$28,MATCH($F722,'CAT_CENTROS_COSTO'!$A$4:$A$28,0)),"(sin catálogo)"))</f>
        <v/>
      </c>
      <c r="AB722" s="24">
        <f>IF($G722="","",IFERROR(INDEX('CAT_PUESTOS'!$B$4:$B$23,MATCH($G722,'CAT_PUESTOS'!$A$4:$A$23,0)),"(sin catálogo)"))</f>
        <v/>
      </c>
      <c r="AC722" s="24">
        <f>IF($H722="","",IFERROR(INDEX('CAT_ACTIVIDADES'!$B$4:$B$26,MATCH($H722,'CAT_ACTIVIDADES'!$A$4:$A$26,0)),"(sin catálogo)"))</f>
        <v/>
      </c>
      <c r="AD722" s="26">
        <f>IF($J722="","",TODAY()-$J722)</f>
        <v/>
      </c>
      <c r="AE722" s="26">
        <f>IF($J722="","",IF($J722&lt;=TODAY(),COUNTIFS(cal_fechas,"&gt;="&amp;$J722,cal_fechas,"&lt;"&amp;TODAY(),cal_habil,"sí"),-COUNTIFS(cal_fechas,"&gt;="&amp;TODAY(),cal_fechas,"&lt;"&amp;$J722,cal_habil,"sí")))</f>
        <v/>
      </c>
      <c r="AF722" s="24">
        <f>IF($AE722="","",IF($AE722&lt;0,"FUTURO",IF($AE722&gt;p_dias_backlog_max,"BACKLOG","MES CORRIENTE")))</f>
        <v/>
      </c>
      <c r="AG722" s="24">
        <f>IF($AE722="",FALSE,AND($AE722&gt;p_dias_backlog_min,$AE722&lt;=p_dias_backlog_max))</f>
        <v/>
      </c>
      <c r="AH722" s="4" t="n"/>
      <c r="AI722" s="24">
        <f>IF($AH722="","",IF((IFERROR(INDEX('ASIGNACIONES'!$J$4:$J$451,MATCH($O722&amp;"|"&amp;$S722&amp;"|"&amp;$AH722,'ASIGNACIONES'!$N$4:$N$451,0)),""))=0,"",IFERROR(INDEX('ASIGNACIONES'!$J$4:$J$451,MATCH($O722&amp;"|"&amp;$S722&amp;"|"&amp;$AH722,'ASIGNACIONES'!$N$4:$N$451,0)),"")))</f>
        <v/>
      </c>
      <c r="AJ722" s="42">
        <f>IF($AH722="","",SUMIFS('ORDENES'!$M$4:$M$1203,'ORDENES'!$AH$4:$AH$1203,$AH722,'ORDENES'!$O$4:$O$1203,$O722,'ORDENES'!$S$4:$S$1203,$S722))</f>
        <v/>
      </c>
      <c r="AK722" s="42">
        <f>IF($AJ722="","",p_factor_productividad*IFERROR(INDEX('ASIGNACIONES'!$M$4:$M$451,MATCH($O722&amp;"|"&amp;$S722&amp;"|"&amp;$AH722,'ASIGNACIONES'!$N$4:$N$451,0)),0)-$AJ722)</f>
        <v/>
      </c>
      <c r="AL722" s="32">
        <f>IF($A722="","",IFERROR(INDEX('2_IMPORTAR_EJECUCION'!$F$9:$F$1208,MATCH($AU722,'2_IMPORTAR_EJECUCION'!$J$9:$J$1208,0)),0))</f>
        <v/>
      </c>
      <c r="AM722" s="32">
        <f>IF($A722="","",MAX(0,IFERROR(INDEX('2_IMPORTAR_EJECUCION'!$H$9:$H$1208,MATCH($AU722,'2_IMPORTAR_EJECUCION'!$J$9:$J$1208,0)),0)-$AL722))</f>
        <v/>
      </c>
      <c r="AN722" s="32">
        <f>IF($A722="","",$AL722+$AM722)</f>
        <v/>
      </c>
      <c r="AO722" s="24">
        <f>IF($A722="","",IF(OR((IFERROR(INDEX('CAT_ACTIVIDADES'!$D$4:$D$26,MATCH($H722,'CAT_ACTIVIDADES'!$A$4:$A$26,0)),""))=0,(IFERROR(INDEX('CAT_ACTIVIDADES'!$D$4:$D$26,MATCH($H722,'CAT_ACTIVIDADES'!$A$4:$A$26,0)),""))=""),"SIN CLASIFICAR",IFERROR(INDEX('CAT_ACTIVIDADES'!$D$4:$D$26,MATCH($H722,'CAT_ACTIVIDADES'!$A$4:$A$26,0)),"")))</f>
        <v/>
      </c>
      <c r="AP722" s="4" t="n"/>
      <c r="AQ722" s="4" t="n"/>
      <c r="AR722" s="4" t="n"/>
      <c r="AS722" s="24">
        <f>IF($AR722="","",HYPERLINK(p_ruta_base_checklists&amp;$AR722,"abrir"))</f>
        <v/>
      </c>
      <c r="AT722" s="4" t="n"/>
      <c r="AU722" s="24">
        <f>IF($A722="","",$A722&amp;IF($B722="","0010",$B722))</f>
        <v/>
      </c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41" t="n"/>
      <c r="K723" s="5" t="n"/>
      <c r="L723" s="18" t="n"/>
      <c r="M723" s="24">
        <f>IF($A723="","",IFERROR(INDEX('AJUSTES'!$B$4:$B$303,MATCH($AU723,'AJUSTES'!$A$4:$A$303,0)),IF($K723="","",$K723)))</f>
        <v/>
      </c>
      <c r="N723" s="24">
        <f>IF($A723="","",IFERROR(INDEX('CAT_ESTADOS_ERP'!$B$4:$B$22,MATCH(IFERROR(INDEX('2_IMPORTAR_EJECUCION'!$C$9:$C$1208,MATCH($AU723,'2_IMPORTAR_EJECUCION'!$J$9:$J$1208,0)),""),'CAT_ESTADOS_ERP'!$A$4:$A$22,0)),"Pendiente"))</f>
        <v/>
      </c>
      <c r="O723" s="24">
        <f>IF($J723="","",YEAR($J723+4-WEEKDAY($J723,2))&amp;"-S"&amp;TEXT(_xlfn.ISOWEEKNUM($J723),"00"))</f>
        <v/>
      </c>
      <c r="P723" s="24">
        <f>IF($J723="","",YEAR($J723))</f>
        <v/>
      </c>
      <c r="Q723" s="24">
        <f>IF($J723="","",MONTH($J723))</f>
        <v/>
      </c>
      <c r="R723" s="24">
        <f>IF($J723="","",$P723&amp;"-"&amp;TEXT($Q723,"00"))</f>
        <v/>
      </c>
      <c r="S723" s="24">
        <f>IF($J723="","",INDEX(lista_dias,WEEKDAY($J723,2)))</f>
        <v/>
      </c>
      <c r="T723" s="24">
        <f>IF($J723="","",IFERROR(INDEX('CALENDARIO'!$C$15:$C$214,MATCH(TEXT($J723,"yyyy-mm-dd")&amp;"|"&amp;$Y723&amp;"|"&amp;$Z723,'CALENDARIO'!$G$15:$G$214,0)),IFERROR(INDEX('CALENDARIO'!$C$15:$C$214,MATCH(TEXT($J723,"yyyy-mm-dd")&amp;"|"&amp;$Y723&amp;"|",'CALENDARIO'!$G$15:$G$214,0)),IFERROR(INDEX('CALENDARIO'!$C$15:$C$214,MATCH(TEXT($J723,"yyyy-mm-dd")&amp;"||",'CALENDARIO'!$G$15:$G$214,0)),INDEX(patronHabil,WEEKDAY($J723,2))))))</f>
        <v/>
      </c>
      <c r="U723" s="24">
        <f>IF($I723="","",IFERROR(INDEX('CAT_TIPOS_OT'!$C$4:$C$23,MATCH($I723,'CAT_TIPOS_OT'!$A$4:$A$23,0)),"sin_clasificar"))</f>
        <v/>
      </c>
      <c r="V723" s="24">
        <f>IF($I723="","",IF(IFERROR(INDEX('CAT_TIPOS_OT'!$D$4:$D$23,MATCH($I723,'CAT_TIPOS_OT'!$A$4:$A$23,0)),"SIN CLASIFICAR")="","SIN CLASIFICAR",IFERROR(INDEX('CAT_TIPOS_OT'!$D$4:$D$23,MATCH($I723,'CAT_TIPOS_OT'!$A$4:$A$23,0)),"SIN CLASIFICAR")))</f>
        <v/>
      </c>
      <c r="W723" s="24">
        <f>IF($H723="","",IF(IFERROR(INDEX('CAT_ACTIVIDADES'!$F$4:$F$26,MATCH($H723,'CAT_ACTIVIDADES'!$A$4:$A$26,0)),"")=0,"",IFERROR(INDEX('CAT_ACTIVIDADES'!$F$4:$F$26,MATCH($H723,'CAT_ACTIVIDADES'!$A$4:$A$26,0)),"")))</f>
        <v/>
      </c>
      <c r="X723" s="24">
        <f>IF($F723="","",IFERROR(INDEX('CAT_CENTROS_COSTO'!$F$4:$F$28,MATCH($F723,'CAT_CENTROS_COSTO'!$A$4:$A$28,0)),"(sin catálogo)"))</f>
        <v/>
      </c>
      <c r="Y723" s="24">
        <f>IF($F723="","",IFERROR(INDEX('CAT_CENTROS_COSTO'!$D$4:$D$28,MATCH($F723,'CAT_CENTROS_COSTO'!$A$4:$A$28,0)),"(sin catálogo)"))</f>
        <v/>
      </c>
      <c r="Z723" s="24">
        <f>IF($F723="","",IF((IFERROR(INDEX('CAT_CENTROS_COSTO'!$E$4:$E$28,MATCH($F723,'CAT_CENTROS_COSTO'!$A$4:$A$28,0)),""))&lt;&gt;"",IFERROR(INDEX('CAT_CENTROS_COSTO'!$E$4:$E$28,MATCH($F723,'CAT_CENTROS_COSTO'!$A$4:$A$28,0)),""),$Y723))</f>
        <v/>
      </c>
      <c r="AA723" s="24">
        <f>IF($F723="","",IFERROR(INDEX('CAT_CENTROS_COSTO'!$G$4:$G$28,MATCH($F723,'CAT_CENTROS_COSTO'!$A$4:$A$28,0)),"(sin catálogo)"))</f>
        <v/>
      </c>
      <c r="AB723" s="24">
        <f>IF($G723="","",IFERROR(INDEX('CAT_PUESTOS'!$B$4:$B$23,MATCH($G723,'CAT_PUESTOS'!$A$4:$A$23,0)),"(sin catálogo)"))</f>
        <v/>
      </c>
      <c r="AC723" s="24">
        <f>IF($H723="","",IFERROR(INDEX('CAT_ACTIVIDADES'!$B$4:$B$26,MATCH($H723,'CAT_ACTIVIDADES'!$A$4:$A$26,0)),"(sin catálogo)"))</f>
        <v/>
      </c>
      <c r="AD723" s="26">
        <f>IF($J723="","",TODAY()-$J723)</f>
        <v/>
      </c>
      <c r="AE723" s="26">
        <f>IF($J723="","",IF($J723&lt;=TODAY(),COUNTIFS(cal_fechas,"&gt;="&amp;$J723,cal_fechas,"&lt;"&amp;TODAY(),cal_habil,"sí"),-COUNTIFS(cal_fechas,"&gt;="&amp;TODAY(),cal_fechas,"&lt;"&amp;$J723,cal_habil,"sí")))</f>
        <v/>
      </c>
      <c r="AF723" s="24">
        <f>IF($AE723="","",IF($AE723&lt;0,"FUTURO",IF($AE723&gt;p_dias_backlog_max,"BACKLOG","MES CORRIENTE")))</f>
        <v/>
      </c>
      <c r="AG723" s="24">
        <f>IF($AE723="",FALSE,AND($AE723&gt;p_dias_backlog_min,$AE723&lt;=p_dias_backlog_max))</f>
        <v/>
      </c>
      <c r="AH723" s="4" t="n"/>
      <c r="AI723" s="24">
        <f>IF($AH723="","",IF((IFERROR(INDEX('ASIGNACIONES'!$J$4:$J$451,MATCH($O723&amp;"|"&amp;$S723&amp;"|"&amp;$AH723,'ASIGNACIONES'!$N$4:$N$451,0)),""))=0,"",IFERROR(INDEX('ASIGNACIONES'!$J$4:$J$451,MATCH($O723&amp;"|"&amp;$S723&amp;"|"&amp;$AH723,'ASIGNACIONES'!$N$4:$N$451,0)),"")))</f>
        <v/>
      </c>
      <c r="AJ723" s="42">
        <f>IF($AH723="","",SUMIFS('ORDENES'!$M$4:$M$1203,'ORDENES'!$AH$4:$AH$1203,$AH723,'ORDENES'!$O$4:$O$1203,$O723,'ORDENES'!$S$4:$S$1203,$S723))</f>
        <v/>
      </c>
      <c r="AK723" s="42">
        <f>IF($AJ723="","",p_factor_productividad*IFERROR(INDEX('ASIGNACIONES'!$M$4:$M$451,MATCH($O723&amp;"|"&amp;$S723&amp;"|"&amp;$AH723,'ASIGNACIONES'!$N$4:$N$451,0)),0)-$AJ723)</f>
        <v/>
      </c>
      <c r="AL723" s="32">
        <f>IF($A723="","",IFERROR(INDEX('2_IMPORTAR_EJECUCION'!$F$9:$F$1208,MATCH($AU723,'2_IMPORTAR_EJECUCION'!$J$9:$J$1208,0)),0))</f>
        <v/>
      </c>
      <c r="AM723" s="32">
        <f>IF($A723="","",MAX(0,IFERROR(INDEX('2_IMPORTAR_EJECUCION'!$H$9:$H$1208,MATCH($AU723,'2_IMPORTAR_EJECUCION'!$J$9:$J$1208,0)),0)-$AL723))</f>
        <v/>
      </c>
      <c r="AN723" s="32">
        <f>IF($A723="","",$AL723+$AM723)</f>
        <v/>
      </c>
      <c r="AO723" s="24">
        <f>IF($A723="","",IF(OR((IFERROR(INDEX('CAT_ACTIVIDADES'!$D$4:$D$26,MATCH($H723,'CAT_ACTIVIDADES'!$A$4:$A$26,0)),""))=0,(IFERROR(INDEX('CAT_ACTIVIDADES'!$D$4:$D$26,MATCH($H723,'CAT_ACTIVIDADES'!$A$4:$A$26,0)),""))=""),"SIN CLASIFICAR",IFERROR(INDEX('CAT_ACTIVIDADES'!$D$4:$D$26,MATCH($H723,'CAT_ACTIVIDADES'!$A$4:$A$26,0)),"")))</f>
        <v/>
      </c>
      <c r="AP723" s="4" t="n"/>
      <c r="AQ723" s="4" t="n"/>
      <c r="AR723" s="4" t="n"/>
      <c r="AS723" s="24">
        <f>IF($AR723="","",HYPERLINK(p_ruta_base_checklists&amp;$AR723,"abrir"))</f>
        <v/>
      </c>
      <c r="AT723" s="4" t="n"/>
      <c r="AU723" s="24">
        <f>IF($A723="","",$A723&amp;IF($B723="","0010",$B723))</f>
        <v/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41" t="n"/>
      <c r="K724" s="5" t="n"/>
      <c r="L724" s="18" t="n"/>
      <c r="M724" s="24">
        <f>IF($A724="","",IFERROR(INDEX('AJUSTES'!$B$4:$B$303,MATCH($AU724,'AJUSTES'!$A$4:$A$303,0)),IF($K724="","",$K724)))</f>
        <v/>
      </c>
      <c r="N724" s="24">
        <f>IF($A724="","",IFERROR(INDEX('CAT_ESTADOS_ERP'!$B$4:$B$22,MATCH(IFERROR(INDEX('2_IMPORTAR_EJECUCION'!$C$9:$C$1208,MATCH($AU724,'2_IMPORTAR_EJECUCION'!$J$9:$J$1208,0)),""),'CAT_ESTADOS_ERP'!$A$4:$A$22,0)),"Pendiente"))</f>
        <v/>
      </c>
      <c r="O724" s="24">
        <f>IF($J724="","",YEAR($J724+4-WEEKDAY($J724,2))&amp;"-S"&amp;TEXT(_xlfn.ISOWEEKNUM($J724),"00"))</f>
        <v/>
      </c>
      <c r="P724" s="24">
        <f>IF($J724="","",YEAR($J724))</f>
        <v/>
      </c>
      <c r="Q724" s="24">
        <f>IF($J724="","",MONTH($J724))</f>
        <v/>
      </c>
      <c r="R724" s="24">
        <f>IF($J724="","",$P724&amp;"-"&amp;TEXT($Q724,"00"))</f>
        <v/>
      </c>
      <c r="S724" s="24">
        <f>IF($J724="","",INDEX(lista_dias,WEEKDAY($J724,2)))</f>
        <v/>
      </c>
      <c r="T724" s="24">
        <f>IF($J724="","",IFERROR(INDEX('CALENDARIO'!$C$15:$C$214,MATCH(TEXT($J724,"yyyy-mm-dd")&amp;"|"&amp;$Y724&amp;"|"&amp;$Z724,'CALENDARIO'!$G$15:$G$214,0)),IFERROR(INDEX('CALENDARIO'!$C$15:$C$214,MATCH(TEXT($J724,"yyyy-mm-dd")&amp;"|"&amp;$Y724&amp;"|",'CALENDARIO'!$G$15:$G$214,0)),IFERROR(INDEX('CALENDARIO'!$C$15:$C$214,MATCH(TEXT($J724,"yyyy-mm-dd")&amp;"||",'CALENDARIO'!$G$15:$G$214,0)),INDEX(patronHabil,WEEKDAY($J724,2))))))</f>
        <v/>
      </c>
      <c r="U724" s="24">
        <f>IF($I724="","",IFERROR(INDEX('CAT_TIPOS_OT'!$C$4:$C$23,MATCH($I724,'CAT_TIPOS_OT'!$A$4:$A$23,0)),"sin_clasificar"))</f>
        <v/>
      </c>
      <c r="V724" s="24">
        <f>IF($I724="","",IF(IFERROR(INDEX('CAT_TIPOS_OT'!$D$4:$D$23,MATCH($I724,'CAT_TIPOS_OT'!$A$4:$A$23,0)),"SIN CLASIFICAR")="","SIN CLASIFICAR",IFERROR(INDEX('CAT_TIPOS_OT'!$D$4:$D$23,MATCH($I724,'CAT_TIPOS_OT'!$A$4:$A$23,0)),"SIN CLASIFICAR")))</f>
        <v/>
      </c>
      <c r="W724" s="24">
        <f>IF($H724="","",IF(IFERROR(INDEX('CAT_ACTIVIDADES'!$F$4:$F$26,MATCH($H724,'CAT_ACTIVIDADES'!$A$4:$A$26,0)),"")=0,"",IFERROR(INDEX('CAT_ACTIVIDADES'!$F$4:$F$26,MATCH($H724,'CAT_ACTIVIDADES'!$A$4:$A$26,0)),"")))</f>
        <v/>
      </c>
      <c r="X724" s="24">
        <f>IF($F724="","",IFERROR(INDEX('CAT_CENTROS_COSTO'!$F$4:$F$28,MATCH($F724,'CAT_CENTROS_COSTO'!$A$4:$A$28,0)),"(sin catálogo)"))</f>
        <v/>
      </c>
      <c r="Y724" s="24">
        <f>IF($F724="","",IFERROR(INDEX('CAT_CENTROS_COSTO'!$D$4:$D$28,MATCH($F724,'CAT_CENTROS_COSTO'!$A$4:$A$28,0)),"(sin catálogo)"))</f>
        <v/>
      </c>
      <c r="Z724" s="24">
        <f>IF($F724="","",IF((IFERROR(INDEX('CAT_CENTROS_COSTO'!$E$4:$E$28,MATCH($F724,'CAT_CENTROS_COSTO'!$A$4:$A$28,0)),""))&lt;&gt;"",IFERROR(INDEX('CAT_CENTROS_COSTO'!$E$4:$E$28,MATCH($F724,'CAT_CENTROS_COSTO'!$A$4:$A$28,0)),""),$Y724))</f>
        <v/>
      </c>
      <c r="AA724" s="24">
        <f>IF($F724="","",IFERROR(INDEX('CAT_CENTROS_COSTO'!$G$4:$G$28,MATCH($F724,'CAT_CENTROS_COSTO'!$A$4:$A$28,0)),"(sin catálogo)"))</f>
        <v/>
      </c>
      <c r="AB724" s="24">
        <f>IF($G724="","",IFERROR(INDEX('CAT_PUESTOS'!$B$4:$B$23,MATCH($G724,'CAT_PUESTOS'!$A$4:$A$23,0)),"(sin catálogo)"))</f>
        <v/>
      </c>
      <c r="AC724" s="24">
        <f>IF($H724="","",IFERROR(INDEX('CAT_ACTIVIDADES'!$B$4:$B$26,MATCH($H724,'CAT_ACTIVIDADES'!$A$4:$A$26,0)),"(sin catálogo)"))</f>
        <v/>
      </c>
      <c r="AD724" s="26">
        <f>IF($J724="","",TODAY()-$J724)</f>
        <v/>
      </c>
      <c r="AE724" s="26">
        <f>IF($J724="","",IF($J724&lt;=TODAY(),COUNTIFS(cal_fechas,"&gt;="&amp;$J724,cal_fechas,"&lt;"&amp;TODAY(),cal_habil,"sí"),-COUNTIFS(cal_fechas,"&gt;="&amp;TODAY(),cal_fechas,"&lt;"&amp;$J724,cal_habil,"sí")))</f>
        <v/>
      </c>
      <c r="AF724" s="24">
        <f>IF($AE724="","",IF($AE724&lt;0,"FUTURO",IF($AE724&gt;p_dias_backlog_max,"BACKLOG","MES CORRIENTE")))</f>
        <v/>
      </c>
      <c r="AG724" s="24">
        <f>IF($AE724="",FALSE,AND($AE724&gt;p_dias_backlog_min,$AE724&lt;=p_dias_backlog_max))</f>
        <v/>
      </c>
      <c r="AH724" s="4" t="n"/>
      <c r="AI724" s="24">
        <f>IF($AH724="","",IF((IFERROR(INDEX('ASIGNACIONES'!$J$4:$J$451,MATCH($O724&amp;"|"&amp;$S724&amp;"|"&amp;$AH724,'ASIGNACIONES'!$N$4:$N$451,0)),""))=0,"",IFERROR(INDEX('ASIGNACIONES'!$J$4:$J$451,MATCH($O724&amp;"|"&amp;$S724&amp;"|"&amp;$AH724,'ASIGNACIONES'!$N$4:$N$451,0)),"")))</f>
        <v/>
      </c>
      <c r="AJ724" s="42">
        <f>IF($AH724="","",SUMIFS('ORDENES'!$M$4:$M$1203,'ORDENES'!$AH$4:$AH$1203,$AH724,'ORDENES'!$O$4:$O$1203,$O724,'ORDENES'!$S$4:$S$1203,$S724))</f>
        <v/>
      </c>
      <c r="AK724" s="42">
        <f>IF($AJ724="","",p_factor_productividad*IFERROR(INDEX('ASIGNACIONES'!$M$4:$M$451,MATCH($O724&amp;"|"&amp;$S724&amp;"|"&amp;$AH724,'ASIGNACIONES'!$N$4:$N$451,0)),0)-$AJ724)</f>
        <v/>
      </c>
      <c r="AL724" s="32">
        <f>IF($A724="","",IFERROR(INDEX('2_IMPORTAR_EJECUCION'!$F$9:$F$1208,MATCH($AU724,'2_IMPORTAR_EJECUCION'!$J$9:$J$1208,0)),0))</f>
        <v/>
      </c>
      <c r="AM724" s="32">
        <f>IF($A724="","",MAX(0,IFERROR(INDEX('2_IMPORTAR_EJECUCION'!$H$9:$H$1208,MATCH($AU724,'2_IMPORTAR_EJECUCION'!$J$9:$J$1208,0)),0)-$AL724))</f>
        <v/>
      </c>
      <c r="AN724" s="32">
        <f>IF($A724="","",$AL724+$AM724)</f>
        <v/>
      </c>
      <c r="AO724" s="24">
        <f>IF($A724="","",IF(OR((IFERROR(INDEX('CAT_ACTIVIDADES'!$D$4:$D$26,MATCH($H724,'CAT_ACTIVIDADES'!$A$4:$A$26,0)),""))=0,(IFERROR(INDEX('CAT_ACTIVIDADES'!$D$4:$D$26,MATCH($H724,'CAT_ACTIVIDADES'!$A$4:$A$26,0)),""))=""),"SIN CLASIFICAR",IFERROR(INDEX('CAT_ACTIVIDADES'!$D$4:$D$26,MATCH($H724,'CAT_ACTIVIDADES'!$A$4:$A$26,0)),"")))</f>
        <v/>
      </c>
      <c r="AP724" s="4" t="n"/>
      <c r="AQ724" s="4" t="n"/>
      <c r="AR724" s="4" t="n"/>
      <c r="AS724" s="24">
        <f>IF($AR724="","",HYPERLINK(p_ruta_base_checklists&amp;$AR724,"abrir"))</f>
        <v/>
      </c>
      <c r="AT724" s="4" t="n"/>
      <c r="AU724" s="24">
        <f>IF($A724="","",$A724&amp;IF($B724="","0010",$B724))</f>
        <v/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41" t="n"/>
      <c r="K725" s="5" t="n"/>
      <c r="L725" s="18" t="n"/>
      <c r="M725" s="24">
        <f>IF($A725="","",IFERROR(INDEX('AJUSTES'!$B$4:$B$303,MATCH($AU725,'AJUSTES'!$A$4:$A$303,0)),IF($K725="","",$K725)))</f>
        <v/>
      </c>
      <c r="N725" s="24">
        <f>IF($A725="","",IFERROR(INDEX('CAT_ESTADOS_ERP'!$B$4:$B$22,MATCH(IFERROR(INDEX('2_IMPORTAR_EJECUCION'!$C$9:$C$1208,MATCH($AU725,'2_IMPORTAR_EJECUCION'!$J$9:$J$1208,0)),""),'CAT_ESTADOS_ERP'!$A$4:$A$22,0)),"Pendiente"))</f>
        <v/>
      </c>
      <c r="O725" s="24">
        <f>IF($J725="","",YEAR($J725+4-WEEKDAY($J725,2))&amp;"-S"&amp;TEXT(_xlfn.ISOWEEKNUM($J725),"00"))</f>
        <v/>
      </c>
      <c r="P725" s="24">
        <f>IF($J725="","",YEAR($J725))</f>
        <v/>
      </c>
      <c r="Q725" s="24">
        <f>IF($J725="","",MONTH($J725))</f>
        <v/>
      </c>
      <c r="R725" s="24">
        <f>IF($J725="","",$P725&amp;"-"&amp;TEXT($Q725,"00"))</f>
        <v/>
      </c>
      <c r="S725" s="24">
        <f>IF($J725="","",INDEX(lista_dias,WEEKDAY($J725,2)))</f>
        <v/>
      </c>
      <c r="T725" s="24">
        <f>IF($J725="","",IFERROR(INDEX('CALENDARIO'!$C$15:$C$214,MATCH(TEXT($J725,"yyyy-mm-dd")&amp;"|"&amp;$Y725&amp;"|"&amp;$Z725,'CALENDARIO'!$G$15:$G$214,0)),IFERROR(INDEX('CALENDARIO'!$C$15:$C$214,MATCH(TEXT($J725,"yyyy-mm-dd")&amp;"|"&amp;$Y725&amp;"|",'CALENDARIO'!$G$15:$G$214,0)),IFERROR(INDEX('CALENDARIO'!$C$15:$C$214,MATCH(TEXT($J725,"yyyy-mm-dd")&amp;"||",'CALENDARIO'!$G$15:$G$214,0)),INDEX(patronHabil,WEEKDAY($J725,2))))))</f>
        <v/>
      </c>
      <c r="U725" s="24">
        <f>IF($I725="","",IFERROR(INDEX('CAT_TIPOS_OT'!$C$4:$C$23,MATCH($I725,'CAT_TIPOS_OT'!$A$4:$A$23,0)),"sin_clasificar"))</f>
        <v/>
      </c>
      <c r="V725" s="24">
        <f>IF($I725="","",IF(IFERROR(INDEX('CAT_TIPOS_OT'!$D$4:$D$23,MATCH($I725,'CAT_TIPOS_OT'!$A$4:$A$23,0)),"SIN CLASIFICAR")="","SIN CLASIFICAR",IFERROR(INDEX('CAT_TIPOS_OT'!$D$4:$D$23,MATCH($I725,'CAT_TIPOS_OT'!$A$4:$A$23,0)),"SIN CLASIFICAR")))</f>
        <v/>
      </c>
      <c r="W725" s="24">
        <f>IF($H725="","",IF(IFERROR(INDEX('CAT_ACTIVIDADES'!$F$4:$F$26,MATCH($H725,'CAT_ACTIVIDADES'!$A$4:$A$26,0)),"")=0,"",IFERROR(INDEX('CAT_ACTIVIDADES'!$F$4:$F$26,MATCH($H725,'CAT_ACTIVIDADES'!$A$4:$A$26,0)),"")))</f>
        <v/>
      </c>
      <c r="X725" s="24">
        <f>IF($F725="","",IFERROR(INDEX('CAT_CENTROS_COSTO'!$F$4:$F$28,MATCH($F725,'CAT_CENTROS_COSTO'!$A$4:$A$28,0)),"(sin catálogo)"))</f>
        <v/>
      </c>
      <c r="Y725" s="24">
        <f>IF($F725="","",IFERROR(INDEX('CAT_CENTROS_COSTO'!$D$4:$D$28,MATCH($F725,'CAT_CENTROS_COSTO'!$A$4:$A$28,0)),"(sin catálogo)"))</f>
        <v/>
      </c>
      <c r="Z725" s="24">
        <f>IF($F725="","",IF((IFERROR(INDEX('CAT_CENTROS_COSTO'!$E$4:$E$28,MATCH($F725,'CAT_CENTROS_COSTO'!$A$4:$A$28,0)),""))&lt;&gt;"",IFERROR(INDEX('CAT_CENTROS_COSTO'!$E$4:$E$28,MATCH($F725,'CAT_CENTROS_COSTO'!$A$4:$A$28,0)),""),$Y725))</f>
        <v/>
      </c>
      <c r="AA725" s="24">
        <f>IF($F725="","",IFERROR(INDEX('CAT_CENTROS_COSTO'!$G$4:$G$28,MATCH($F725,'CAT_CENTROS_COSTO'!$A$4:$A$28,0)),"(sin catálogo)"))</f>
        <v/>
      </c>
      <c r="AB725" s="24">
        <f>IF($G725="","",IFERROR(INDEX('CAT_PUESTOS'!$B$4:$B$23,MATCH($G725,'CAT_PUESTOS'!$A$4:$A$23,0)),"(sin catálogo)"))</f>
        <v/>
      </c>
      <c r="AC725" s="24">
        <f>IF($H725="","",IFERROR(INDEX('CAT_ACTIVIDADES'!$B$4:$B$26,MATCH($H725,'CAT_ACTIVIDADES'!$A$4:$A$26,0)),"(sin catálogo)"))</f>
        <v/>
      </c>
      <c r="AD725" s="26">
        <f>IF($J725="","",TODAY()-$J725)</f>
        <v/>
      </c>
      <c r="AE725" s="26">
        <f>IF($J725="","",IF($J725&lt;=TODAY(),COUNTIFS(cal_fechas,"&gt;="&amp;$J725,cal_fechas,"&lt;"&amp;TODAY(),cal_habil,"sí"),-COUNTIFS(cal_fechas,"&gt;="&amp;TODAY(),cal_fechas,"&lt;"&amp;$J725,cal_habil,"sí")))</f>
        <v/>
      </c>
      <c r="AF725" s="24">
        <f>IF($AE725="","",IF($AE725&lt;0,"FUTURO",IF($AE725&gt;p_dias_backlog_max,"BACKLOG","MES CORRIENTE")))</f>
        <v/>
      </c>
      <c r="AG725" s="24">
        <f>IF($AE725="",FALSE,AND($AE725&gt;p_dias_backlog_min,$AE725&lt;=p_dias_backlog_max))</f>
        <v/>
      </c>
      <c r="AH725" s="4" t="n"/>
      <c r="AI725" s="24">
        <f>IF($AH725="","",IF((IFERROR(INDEX('ASIGNACIONES'!$J$4:$J$451,MATCH($O725&amp;"|"&amp;$S725&amp;"|"&amp;$AH725,'ASIGNACIONES'!$N$4:$N$451,0)),""))=0,"",IFERROR(INDEX('ASIGNACIONES'!$J$4:$J$451,MATCH($O725&amp;"|"&amp;$S725&amp;"|"&amp;$AH725,'ASIGNACIONES'!$N$4:$N$451,0)),"")))</f>
        <v/>
      </c>
      <c r="AJ725" s="42">
        <f>IF($AH725="","",SUMIFS('ORDENES'!$M$4:$M$1203,'ORDENES'!$AH$4:$AH$1203,$AH725,'ORDENES'!$O$4:$O$1203,$O725,'ORDENES'!$S$4:$S$1203,$S725))</f>
        <v/>
      </c>
      <c r="AK725" s="42">
        <f>IF($AJ725="","",p_factor_productividad*IFERROR(INDEX('ASIGNACIONES'!$M$4:$M$451,MATCH($O725&amp;"|"&amp;$S725&amp;"|"&amp;$AH725,'ASIGNACIONES'!$N$4:$N$451,0)),0)-$AJ725)</f>
        <v/>
      </c>
      <c r="AL725" s="32">
        <f>IF($A725="","",IFERROR(INDEX('2_IMPORTAR_EJECUCION'!$F$9:$F$1208,MATCH($AU725,'2_IMPORTAR_EJECUCION'!$J$9:$J$1208,0)),0))</f>
        <v/>
      </c>
      <c r="AM725" s="32">
        <f>IF($A725="","",MAX(0,IFERROR(INDEX('2_IMPORTAR_EJECUCION'!$H$9:$H$1208,MATCH($AU725,'2_IMPORTAR_EJECUCION'!$J$9:$J$1208,0)),0)-$AL725))</f>
        <v/>
      </c>
      <c r="AN725" s="32">
        <f>IF($A725="","",$AL725+$AM725)</f>
        <v/>
      </c>
      <c r="AO725" s="24">
        <f>IF($A725="","",IF(OR((IFERROR(INDEX('CAT_ACTIVIDADES'!$D$4:$D$26,MATCH($H725,'CAT_ACTIVIDADES'!$A$4:$A$26,0)),""))=0,(IFERROR(INDEX('CAT_ACTIVIDADES'!$D$4:$D$26,MATCH($H725,'CAT_ACTIVIDADES'!$A$4:$A$26,0)),""))=""),"SIN CLASIFICAR",IFERROR(INDEX('CAT_ACTIVIDADES'!$D$4:$D$26,MATCH($H725,'CAT_ACTIVIDADES'!$A$4:$A$26,0)),"")))</f>
        <v/>
      </c>
      <c r="AP725" s="4" t="n"/>
      <c r="AQ725" s="4" t="n"/>
      <c r="AR725" s="4" t="n"/>
      <c r="AS725" s="24">
        <f>IF($AR725="","",HYPERLINK(p_ruta_base_checklists&amp;$AR725,"abrir"))</f>
        <v/>
      </c>
      <c r="AT725" s="4" t="n"/>
      <c r="AU725" s="24">
        <f>IF($A725="","",$A725&amp;IF($B725="","0010",$B725))</f>
        <v/>
      </c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41" t="n"/>
      <c r="K726" s="5" t="n"/>
      <c r="L726" s="18" t="n"/>
      <c r="M726" s="24">
        <f>IF($A726="","",IFERROR(INDEX('AJUSTES'!$B$4:$B$303,MATCH($AU726,'AJUSTES'!$A$4:$A$303,0)),IF($K726="","",$K726)))</f>
        <v/>
      </c>
      <c r="N726" s="24">
        <f>IF($A726="","",IFERROR(INDEX('CAT_ESTADOS_ERP'!$B$4:$B$22,MATCH(IFERROR(INDEX('2_IMPORTAR_EJECUCION'!$C$9:$C$1208,MATCH($AU726,'2_IMPORTAR_EJECUCION'!$J$9:$J$1208,0)),""),'CAT_ESTADOS_ERP'!$A$4:$A$22,0)),"Pendiente"))</f>
        <v/>
      </c>
      <c r="O726" s="24">
        <f>IF($J726="","",YEAR($J726+4-WEEKDAY($J726,2))&amp;"-S"&amp;TEXT(_xlfn.ISOWEEKNUM($J726),"00"))</f>
        <v/>
      </c>
      <c r="P726" s="24">
        <f>IF($J726="","",YEAR($J726))</f>
        <v/>
      </c>
      <c r="Q726" s="24">
        <f>IF($J726="","",MONTH($J726))</f>
        <v/>
      </c>
      <c r="R726" s="24">
        <f>IF($J726="","",$P726&amp;"-"&amp;TEXT($Q726,"00"))</f>
        <v/>
      </c>
      <c r="S726" s="24">
        <f>IF($J726="","",INDEX(lista_dias,WEEKDAY($J726,2)))</f>
        <v/>
      </c>
      <c r="T726" s="24">
        <f>IF($J726="","",IFERROR(INDEX('CALENDARIO'!$C$15:$C$214,MATCH(TEXT($J726,"yyyy-mm-dd")&amp;"|"&amp;$Y726&amp;"|"&amp;$Z726,'CALENDARIO'!$G$15:$G$214,0)),IFERROR(INDEX('CALENDARIO'!$C$15:$C$214,MATCH(TEXT($J726,"yyyy-mm-dd")&amp;"|"&amp;$Y726&amp;"|",'CALENDARIO'!$G$15:$G$214,0)),IFERROR(INDEX('CALENDARIO'!$C$15:$C$214,MATCH(TEXT($J726,"yyyy-mm-dd")&amp;"||",'CALENDARIO'!$G$15:$G$214,0)),INDEX(patronHabil,WEEKDAY($J726,2))))))</f>
        <v/>
      </c>
      <c r="U726" s="24">
        <f>IF($I726="","",IFERROR(INDEX('CAT_TIPOS_OT'!$C$4:$C$23,MATCH($I726,'CAT_TIPOS_OT'!$A$4:$A$23,0)),"sin_clasificar"))</f>
        <v/>
      </c>
      <c r="V726" s="24">
        <f>IF($I726="","",IF(IFERROR(INDEX('CAT_TIPOS_OT'!$D$4:$D$23,MATCH($I726,'CAT_TIPOS_OT'!$A$4:$A$23,0)),"SIN CLASIFICAR")="","SIN CLASIFICAR",IFERROR(INDEX('CAT_TIPOS_OT'!$D$4:$D$23,MATCH($I726,'CAT_TIPOS_OT'!$A$4:$A$23,0)),"SIN CLASIFICAR")))</f>
        <v/>
      </c>
      <c r="W726" s="24">
        <f>IF($H726="","",IF(IFERROR(INDEX('CAT_ACTIVIDADES'!$F$4:$F$26,MATCH($H726,'CAT_ACTIVIDADES'!$A$4:$A$26,0)),"")=0,"",IFERROR(INDEX('CAT_ACTIVIDADES'!$F$4:$F$26,MATCH($H726,'CAT_ACTIVIDADES'!$A$4:$A$26,0)),"")))</f>
        <v/>
      </c>
      <c r="X726" s="24">
        <f>IF($F726="","",IFERROR(INDEX('CAT_CENTROS_COSTO'!$F$4:$F$28,MATCH($F726,'CAT_CENTROS_COSTO'!$A$4:$A$28,0)),"(sin catálogo)"))</f>
        <v/>
      </c>
      <c r="Y726" s="24">
        <f>IF($F726="","",IFERROR(INDEX('CAT_CENTROS_COSTO'!$D$4:$D$28,MATCH($F726,'CAT_CENTROS_COSTO'!$A$4:$A$28,0)),"(sin catálogo)"))</f>
        <v/>
      </c>
      <c r="Z726" s="24">
        <f>IF($F726="","",IF((IFERROR(INDEX('CAT_CENTROS_COSTO'!$E$4:$E$28,MATCH($F726,'CAT_CENTROS_COSTO'!$A$4:$A$28,0)),""))&lt;&gt;"",IFERROR(INDEX('CAT_CENTROS_COSTO'!$E$4:$E$28,MATCH($F726,'CAT_CENTROS_COSTO'!$A$4:$A$28,0)),""),$Y726))</f>
        <v/>
      </c>
      <c r="AA726" s="24">
        <f>IF($F726="","",IFERROR(INDEX('CAT_CENTROS_COSTO'!$G$4:$G$28,MATCH($F726,'CAT_CENTROS_COSTO'!$A$4:$A$28,0)),"(sin catálogo)"))</f>
        <v/>
      </c>
      <c r="AB726" s="24">
        <f>IF($G726="","",IFERROR(INDEX('CAT_PUESTOS'!$B$4:$B$23,MATCH($G726,'CAT_PUESTOS'!$A$4:$A$23,0)),"(sin catálogo)"))</f>
        <v/>
      </c>
      <c r="AC726" s="24">
        <f>IF($H726="","",IFERROR(INDEX('CAT_ACTIVIDADES'!$B$4:$B$26,MATCH($H726,'CAT_ACTIVIDADES'!$A$4:$A$26,0)),"(sin catálogo)"))</f>
        <v/>
      </c>
      <c r="AD726" s="26">
        <f>IF($J726="","",TODAY()-$J726)</f>
        <v/>
      </c>
      <c r="AE726" s="26">
        <f>IF($J726="","",IF($J726&lt;=TODAY(),COUNTIFS(cal_fechas,"&gt;="&amp;$J726,cal_fechas,"&lt;"&amp;TODAY(),cal_habil,"sí"),-COUNTIFS(cal_fechas,"&gt;="&amp;TODAY(),cal_fechas,"&lt;"&amp;$J726,cal_habil,"sí")))</f>
        <v/>
      </c>
      <c r="AF726" s="24">
        <f>IF($AE726="","",IF($AE726&lt;0,"FUTURO",IF($AE726&gt;p_dias_backlog_max,"BACKLOG","MES CORRIENTE")))</f>
        <v/>
      </c>
      <c r="AG726" s="24">
        <f>IF($AE726="",FALSE,AND($AE726&gt;p_dias_backlog_min,$AE726&lt;=p_dias_backlog_max))</f>
        <v/>
      </c>
      <c r="AH726" s="4" t="n"/>
      <c r="AI726" s="24">
        <f>IF($AH726="","",IF((IFERROR(INDEX('ASIGNACIONES'!$J$4:$J$451,MATCH($O726&amp;"|"&amp;$S726&amp;"|"&amp;$AH726,'ASIGNACIONES'!$N$4:$N$451,0)),""))=0,"",IFERROR(INDEX('ASIGNACIONES'!$J$4:$J$451,MATCH($O726&amp;"|"&amp;$S726&amp;"|"&amp;$AH726,'ASIGNACIONES'!$N$4:$N$451,0)),"")))</f>
        <v/>
      </c>
      <c r="AJ726" s="42">
        <f>IF($AH726="","",SUMIFS('ORDENES'!$M$4:$M$1203,'ORDENES'!$AH$4:$AH$1203,$AH726,'ORDENES'!$O$4:$O$1203,$O726,'ORDENES'!$S$4:$S$1203,$S726))</f>
        <v/>
      </c>
      <c r="AK726" s="42">
        <f>IF($AJ726="","",p_factor_productividad*IFERROR(INDEX('ASIGNACIONES'!$M$4:$M$451,MATCH($O726&amp;"|"&amp;$S726&amp;"|"&amp;$AH726,'ASIGNACIONES'!$N$4:$N$451,0)),0)-$AJ726)</f>
        <v/>
      </c>
      <c r="AL726" s="32">
        <f>IF($A726="","",IFERROR(INDEX('2_IMPORTAR_EJECUCION'!$F$9:$F$1208,MATCH($AU726,'2_IMPORTAR_EJECUCION'!$J$9:$J$1208,0)),0))</f>
        <v/>
      </c>
      <c r="AM726" s="32">
        <f>IF($A726="","",MAX(0,IFERROR(INDEX('2_IMPORTAR_EJECUCION'!$H$9:$H$1208,MATCH($AU726,'2_IMPORTAR_EJECUCION'!$J$9:$J$1208,0)),0)-$AL726))</f>
        <v/>
      </c>
      <c r="AN726" s="32">
        <f>IF($A726="","",$AL726+$AM726)</f>
        <v/>
      </c>
      <c r="AO726" s="24">
        <f>IF($A726="","",IF(OR((IFERROR(INDEX('CAT_ACTIVIDADES'!$D$4:$D$26,MATCH($H726,'CAT_ACTIVIDADES'!$A$4:$A$26,0)),""))=0,(IFERROR(INDEX('CAT_ACTIVIDADES'!$D$4:$D$26,MATCH($H726,'CAT_ACTIVIDADES'!$A$4:$A$26,0)),""))=""),"SIN CLASIFICAR",IFERROR(INDEX('CAT_ACTIVIDADES'!$D$4:$D$26,MATCH($H726,'CAT_ACTIVIDADES'!$A$4:$A$26,0)),"")))</f>
        <v/>
      </c>
      <c r="AP726" s="4" t="n"/>
      <c r="AQ726" s="4" t="n"/>
      <c r="AR726" s="4" t="n"/>
      <c r="AS726" s="24">
        <f>IF($AR726="","",HYPERLINK(p_ruta_base_checklists&amp;$AR726,"abrir"))</f>
        <v/>
      </c>
      <c r="AT726" s="4" t="n"/>
      <c r="AU726" s="24">
        <f>IF($A726="","",$A726&amp;IF($B726="","0010",$B726))</f>
        <v/>
      </c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41" t="n"/>
      <c r="K727" s="5" t="n"/>
      <c r="L727" s="18" t="n"/>
      <c r="M727" s="24">
        <f>IF($A727="","",IFERROR(INDEX('AJUSTES'!$B$4:$B$303,MATCH($AU727,'AJUSTES'!$A$4:$A$303,0)),IF($K727="","",$K727)))</f>
        <v/>
      </c>
      <c r="N727" s="24">
        <f>IF($A727="","",IFERROR(INDEX('CAT_ESTADOS_ERP'!$B$4:$B$22,MATCH(IFERROR(INDEX('2_IMPORTAR_EJECUCION'!$C$9:$C$1208,MATCH($AU727,'2_IMPORTAR_EJECUCION'!$J$9:$J$1208,0)),""),'CAT_ESTADOS_ERP'!$A$4:$A$22,0)),"Pendiente"))</f>
        <v/>
      </c>
      <c r="O727" s="24">
        <f>IF($J727="","",YEAR($J727+4-WEEKDAY($J727,2))&amp;"-S"&amp;TEXT(_xlfn.ISOWEEKNUM($J727),"00"))</f>
        <v/>
      </c>
      <c r="P727" s="24">
        <f>IF($J727="","",YEAR($J727))</f>
        <v/>
      </c>
      <c r="Q727" s="24">
        <f>IF($J727="","",MONTH($J727))</f>
        <v/>
      </c>
      <c r="R727" s="24">
        <f>IF($J727="","",$P727&amp;"-"&amp;TEXT($Q727,"00"))</f>
        <v/>
      </c>
      <c r="S727" s="24">
        <f>IF($J727="","",INDEX(lista_dias,WEEKDAY($J727,2)))</f>
        <v/>
      </c>
      <c r="T727" s="24">
        <f>IF($J727="","",IFERROR(INDEX('CALENDARIO'!$C$15:$C$214,MATCH(TEXT($J727,"yyyy-mm-dd")&amp;"|"&amp;$Y727&amp;"|"&amp;$Z727,'CALENDARIO'!$G$15:$G$214,0)),IFERROR(INDEX('CALENDARIO'!$C$15:$C$214,MATCH(TEXT($J727,"yyyy-mm-dd")&amp;"|"&amp;$Y727&amp;"|",'CALENDARIO'!$G$15:$G$214,0)),IFERROR(INDEX('CALENDARIO'!$C$15:$C$214,MATCH(TEXT($J727,"yyyy-mm-dd")&amp;"||",'CALENDARIO'!$G$15:$G$214,0)),INDEX(patronHabil,WEEKDAY($J727,2))))))</f>
        <v/>
      </c>
      <c r="U727" s="24">
        <f>IF($I727="","",IFERROR(INDEX('CAT_TIPOS_OT'!$C$4:$C$23,MATCH($I727,'CAT_TIPOS_OT'!$A$4:$A$23,0)),"sin_clasificar"))</f>
        <v/>
      </c>
      <c r="V727" s="24">
        <f>IF($I727="","",IF(IFERROR(INDEX('CAT_TIPOS_OT'!$D$4:$D$23,MATCH($I727,'CAT_TIPOS_OT'!$A$4:$A$23,0)),"SIN CLASIFICAR")="","SIN CLASIFICAR",IFERROR(INDEX('CAT_TIPOS_OT'!$D$4:$D$23,MATCH($I727,'CAT_TIPOS_OT'!$A$4:$A$23,0)),"SIN CLASIFICAR")))</f>
        <v/>
      </c>
      <c r="W727" s="24">
        <f>IF($H727="","",IF(IFERROR(INDEX('CAT_ACTIVIDADES'!$F$4:$F$26,MATCH($H727,'CAT_ACTIVIDADES'!$A$4:$A$26,0)),"")=0,"",IFERROR(INDEX('CAT_ACTIVIDADES'!$F$4:$F$26,MATCH($H727,'CAT_ACTIVIDADES'!$A$4:$A$26,0)),"")))</f>
        <v/>
      </c>
      <c r="X727" s="24">
        <f>IF($F727="","",IFERROR(INDEX('CAT_CENTROS_COSTO'!$F$4:$F$28,MATCH($F727,'CAT_CENTROS_COSTO'!$A$4:$A$28,0)),"(sin catálogo)"))</f>
        <v/>
      </c>
      <c r="Y727" s="24">
        <f>IF($F727="","",IFERROR(INDEX('CAT_CENTROS_COSTO'!$D$4:$D$28,MATCH($F727,'CAT_CENTROS_COSTO'!$A$4:$A$28,0)),"(sin catálogo)"))</f>
        <v/>
      </c>
      <c r="Z727" s="24">
        <f>IF($F727="","",IF((IFERROR(INDEX('CAT_CENTROS_COSTO'!$E$4:$E$28,MATCH($F727,'CAT_CENTROS_COSTO'!$A$4:$A$28,0)),""))&lt;&gt;"",IFERROR(INDEX('CAT_CENTROS_COSTO'!$E$4:$E$28,MATCH($F727,'CAT_CENTROS_COSTO'!$A$4:$A$28,0)),""),$Y727))</f>
        <v/>
      </c>
      <c r="AA727" s="24">
        <f>IF($F727="","",IFERROR(INDEX('CAT_CENTROS_COSTO'!$G$4:$G$28,MATCH($F727,'CAT_CENTROS_COSTO'!$A$4:$A$28,0)),"(sin catálogo)"))</f>
        <v/>
      </c>
      <c r="AB727" s="24">
        <f>IF($G727="","",IFERROR(INDEX('CAT_PUESTOS'!$B$4:$B$23,MATCH($G727,'CAT_PUESTOS'!$A$4:$A$23,0)),"(sin catálogo)"))</f>
        <v/>
      </c>
      <c r="AC727" s="24">
        <f>IF($H727="","",IFERROR(INDEX('CAT_ACTIVIDADES'!$B$4:$B$26,MATCH($H727,'CAT_ACTIVIDADES'!$A$4:$A$26,0)),"(sin catálogo)"))</f>
        <v/>
      </c>
      <c r="AD727" s="26">
        <f>IF($J727="","",TODAY()-$J727)</f>
        <v/>
      </c>
      <c r="AE727" s="26">
        <f>IF($J727="","",IF($J727&lt;=TODAY(),COUNTIFS(cal_fechas,"&gt;="&amp;$J727,cal_fechas,"&lt;"&amp;TODAY(),cal_habil,"sí"),-COUNTIFS(cal_fechas,"&gt;="&amp;TODAY(),cal_fechas,"&lt;"&amp;$J727,cal_habil,"sí")))</f>
        <v/>
      </c>
      <c r="AF727" s="24">
        <f>IF($AE727="","",IF($AE727&lt;0,"FUTURO",IF($AE727&gt;p_dias_backlog_max,"BACKLOG","MES CORRIENTE")))</f>
        <v/>
      </c>
      <c r="AG727" s="24">
        <f>IF($AE727="",FALSE,AND($AE727&gt;p_dias_backlog_min,$AE727&lt;=p_dias_backlog_max))</f>
        <v/>
      </c>
      <c r="AH727" s="4" t="n"/>
      <c r="AI727" s="24">
        <f>IF($AH727="","",IF((IFERROR(INDEX('ASIGNACIONES'!$J$4:$J$451,MATCH($O727&amp;"|"&amp;$S727&amp;"|"&amp;$AH727,'ASIGNACIONES'!$N$4:$N$451,0)),""))=0,"",IFERROR(INDEX('ASIGNACIONES'!$J$4:$J$451,MATCH($O727&amp;"|"&amp;$S727&amp;"|"&amp;$AH727,'ASIGNACIONES'!$N$4:$N$451,0)),"")))</f>
        <v/>
      </c>
      <c r="AJ727" s="42">
        <f>IF($AH727="","",SUMIFS('ORDENES'!$M$4:$M$1203,'ORDENES'!$AH$4:$AH$1203,$AH727,'ORDENES'!$O$4:$O$1203,$O727,'ORDENES'!$S$4:$S$1203,$S727))</f>
        <v/>
      </c>
      <c r="AK727" s="42">
        <f>IF($AJ727="","",p_factor_productividad*IFERROR(INDEX('ASIGNACIONES'!$M$4:$M$451,MATCH($O727&amp;"|"&amp;$S727&amp;"|"&amp;$AH727,'ASIGNACIONES'!$N$4:$N$451,0)),0)-$AJ727)</f>
        <v/>
      </c>
      <c r="AL727" s="32">
        <f>IF($A727="","",IFERROR(INDEX('2_IMPORTAR_EJECUCION'!$F$9:$F$1208,MATCH($AU727,'2_IMPORTAR_EJECUCION'!$J$9:$J$1208,0)),0))</f>
        <v/>
      </c>
      <c r="AM727" s="32">
        <f>IF($A727="","",MAX(0,IFERROR(INDEX('2_IMPORTAR_EJECUCION'!$H$9:$H$1208,MATCH($AU727,'2_IMPORTAR_EJECUCION'!$J$9:$J$1208,0)),0)-$AL727))</f>
        <v/>
      </c>
      <c r="AN727" s="32">
        <f>IF($A727="","",$AL727+$AM727)</f>
        <v/>
      </c>
      <c r="AO727" s="24">
        <f>IF($A727="","",IF(OR((IFERROR(INDEX('CAT_ACTIVIDADES'!$D$4:$D$26,MATCH($H727,'CAT_ACTIVIDADES'!$A$4:$A$26,0)),""))=0,(IFERROR(INDEX('CAT_ACTIVIDADES'!$D$4:$D$26,MATCH($H727,'CAT_ACTIVIDADES'!$A$4:$A$26,0)),""))=""),"SIN CLASIFICAR",IFERROR(INDEX('CAT_ACTIVIDADES'!$D$4:$D$26,MATCH($H727,'CAT_ACTIVIDADES'!$A$4:$A$26,0)),"")))</f>
        <v/>
      </c>
      <c r="AP727" s="4" t="n"/>
      <c r="AQ727" s="4" t="n"/>
      <c r="AR727" s="4" t="n"/>
      <c r="AS727" s="24">
        <f>IF($AR727="","",HYPERLINK(p_ruta_base_checklists&amp;$AR727,"abrir"))</f>
        <v/>
      </c>
      <c r="AT727" s="4" t="n"/>
      <c r="AU727" s="24">
        <f>IF($A727="","",$A727&amp;IF($B727="","0010",$B727))</f>
        <v/>
      </c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41" t="n"/>
      <c r="K728" s="5" t="n"/>
      <c r="L728" s="18" t="n"/>
      <c r="M728" s="24">
        <f>IF($A728="","",IFERROR(INDEX('AJUSTES'!$B$4:$B$303,MATCH($AU728,'AJUSTES'!$A$4:$A$303,0)),IF($K728="","",$K728)))</f>
        <v/>
      </c>
      <c r="N728" s="24">
        <f>IF($A728="","",IFERROR(INDEX('CAT_ESTADOS_ERP'!$B$4:$B$22,MATCH(IFERROR(INDEX('2_IMPORTAR_EJECUCION'!$C$9:$C$1208,MATCH($AU728,'2_IMPORTAR_EJECUCION'!$J$9:$J$1208,0)),""),'CAT_ESTADOS_ERP'!$A$4:$A$22,0)),"Pendiente"))</f>
        <v/>
      </c>
      <c r="O728" s="24">
        <f>IF($J728="","",YEAR($J728+4-WEEKDAY($J728,2))&amp;"-S"&amp;TEXT(_xlfn.ISOWEEKNUM($J728),"00"))</f>
        <v/>
      </c>
      <c r="P728" s="24">
        <f>IF($J728="","",YEAR($J728))</f>
        <v/>
      </c>
      <c r="Q728" s="24">
        <f>IF($J728="","",MONTH($J728))</f>
        <v/>
      </c>
      <c r="R728" s="24">
        <f>IF($J728="","",$P728&amp;"-"&amp;TEXT($Q728,"00"))</f>
        <v/>
      </c>
      <c r="S728" s="24">
        <f>IF($J728="","",INDEX(lista_dias,WEEKDAY($J728,2)))</f>
        <v/>
      </c>
      <c r="T728" s="24">
        <f>IF($J728="","",IFERROR(INDEX('CALENDARIO'!$C$15:$C$214,MATCH(TEXT($J728,"yyyy-mm-dd")&amp;"|"&amp;$Y728&amp;"|"&amp;$Z728,'CALENDARIO'!$G$15:$G$214,0)),IFERROR(INDEX('CALENDARIO'!$C$15:$C$214,MATCH(TEXT($J728,"yyyy-mm-dd")&amp;"|"&amp;$Y728&amp;"|",'CALENDARIO'!$G$15:$G$214,0)),IFERROR(INDEX('CALENDARIO'!$C$15:$C$214,MATCH(TEXT($J728,"yyyy-mm-dd")&amp;"||",'CALENDARIO'!$G$15:$G$214,0)),INDEX(patronHabil,WEEKDAY($J728,2))))))</f>
        <v/>
      </c>
      <c r="U728" s="24">
        <f>IF($I728="","",IFERROR(INDEX('CAT_TIPOS_OT'!$C$4:$C$23,MATCH($I728,'CAT_TIPOS_OT'!$A$4:$A$23,0)),"sin_clasificar"))</f>
        <v/>
      </c>
      <c r="V728" s="24">
        <f>IF($I728="","",IF(IFERROR(INDEX('CAT_TIPOS_OT'!$D$4:$D$23,MATCH($I728,'CAT_TIPOS_OT'!$A$4:$A$23,0)),"SIN CLASIFICAR")="","SIN CLASIFICAR",IFERROR(INDEX('CAT_TIPOS_OT'!$D$4:$D$23,MATCH($I728,'CAT_TIPOS_OT'!$A$4:$A$23,0)),"SIN CLASIFICAR")))</f>
        <v/>
      </c>
      <c r="W728" s="24">
        <f>IF($H728="","",IF(IFERROR(INDEX('CAT_ACTIVIDADES'!$F$4:$F$26,MATCH($H728,'CAT_ACTIVIDADES'!$A$4:$A$26,0)),"")=0,"",IFERROR(INDEX('CAT_ACTIVIDADES'!$F$4:$F$26,MATCH($H728,'CAT_ACTIVIDADES'!$A$4:$A$26,0)),"")))</f>
        <v/>
      </c>
      <c r="X728" s="24">
        <f>IF($F728="","",IFERROR(INDEX('CAT_CENTROS_COSTO'!$F$4:$F$28,MATCH($F728,'CAT_CENTROS_COSTO'!$A$4:$A$28,0)),"(sin catálogo)"))</f>
        <v/>
      </c>
      <c r="Y728" s="24">
        <f>IF($F728="","",IFERROR(INDEX('CAT_CENTROS_COSTO'!$D$4:$D$28,MATCH($F728,'CAT_CENTROS_COSTO'!$A$4:$A$28,0)),"(sin catálogo)"))</f>
        <v/>
      </c>
      <c r="Z728" s="24">
        <f>IF($F728="","",IF((IFERROR(INDEX('CAT_CENTROS_COSTO'!$E$4:$E$28,MATCH($F728,'CAT_CENTROS_COSTO'!$A$4:$A$28,0)),""))&lt;&gt;"",IFERROR(INDEX('CAT_CENTROS_COSTO'!$E$4:$E$28,MATCH($F728,'CAT_CENTROS_COSTO'!$A$4:$A$28,0)),""),$Y728))</f>
        <v/>
      </c>
      <c r="AA728" s="24">
        <f>IF($F728="","",IFERROR(INDEX('CAT_CENTROS_COSTO'!$G$4:$G$28,MATCH($F728,'CAT_CENTROS_COSTO'!$A$4:$A$28,0)),"(sin catálogo)"))</f>
        <v/>
      </c>
      <c r="AB728" s="24">
        <f>IF($G728="","",IFERROR(INDEX('CAT_PUESTOS'!$B$4:$B$23,MATCH($G728,'CAT_PUESTOS'!$A$4:$A$23,0)),"(sin catálogo)"))</f>
        <v/>
      </c>
      <c r="AC728" s="24">
        <f>IF($H728="","",IFERROR(INDEX('CAT_ACTIVIDADES'!$B$4:$B$26,MATCH($H728,'CAT_ACTIVIDADES'!$A$4:$A$26,0)),"(sin catálogo)"))</f>
        <v/>
      </c>
      <c r="AD728" s="26">
        <f>IF($J728="","",TODAY()-$J728)</f>
        <v/>
      </c>
      <c r="AE728" s="26">
        <f>IF($J728="","",IF($J728&lt;=TODAY(),COUNTIFS(cal_fechas,"&gt;="&amp;$J728,cal_fechas,"&lt;"&amp;TODAY(),cal_habil,"sí"),-COUNTIFS(cal_fechas,"&gt;="&amp;TODAY(),cal_fechas,"&lt;"&amp;$J728,cal_habil,"sí")))</f>
        <v/>
      </c>
      <c r="AF728" s="24">
        <f>IF($AE728="","",IF($AE728&lt;0,"FUTURO",IF($AE728&gt;p_dias_backlog_max,"BACKLOG","MES CORRIENTE")))</f>
        <v/>
      </c>
      <c r="AG728" s="24">
        <f>IF($AE728="",FALSE,AND($AE728&gt;p_dias_backlog_min,$AE728&lt;=p_dias_backlog_max))</f>
        <v/>
      </c>
      <c r="AH728" s="4" t="n"/>
      <c r="AI728" s="24">
        <f>IF($AH728="","",IF((IFERROR(INDEX('ASIGNACIONES'!$J$4:$J$451,MATCH($O728&amp;"|"&amp;$S728&amp;"|"&amp;$AH728,'ASIGNACIONES'!$N$4:$N$451,0)),""))=0,"",IFERROR(INDEX('ASIGNACIONES'!$J$4:$J$451,MATCH($O728&amp;"|"&amp;$S728&amp;"|"&amp;$AH728,'ASIGNACIONES'!$N$4:$N$451,0)),"")))</f>
        <v/>
      </c>
      <c r="AJ728" s="42">
        <f>IF($AH728="","",SUMIFS('ORDENES'!$M$4:$M$1203,'ORDENES'!$AH$4:$AH$1203,$AH728,'ORDENES'!$O$4:$O$1203,$O728,'ORDENES'!$S$4:$S$1203,$S728))</f>
        <v/>
      </c>
      <c r="AK728" s="42">
        <f>IF($AJ728="","",p_factor_productividad*IFERROR(INDEX('ASIGNACIONES'!$M$4:$M$451,MATCH($O728&amp;"|"&amp;$S728&amp;"|"&amp;$AH728,'ASIGNACIONES'!$N$4:$N$451,0)),0)-$AJ728)</f>
        <v/>
      </c>
      <c r="AL728" s="32">
        <f>IF($A728="","",IFERROR(INDEX('2_IMPORTAR_EJECUCION'!$F$9:$F$1208,MATCH($AU728,'2_IMPORTAR_EJECUCION'!$J$9:$J$1208,0)),0))</f>
        <v/>
      </c>
      <c r="AM728" s="32">
        <f>IF($A728="","",MAX(0,IFERROR(INDEX('2_IMPORTAR_EJECUCION'!$H$9:$H$1208,MATCH($AU728,'2_IMPORTAR_EJECUCION'!$J$9:$J$1208,0)),0)-$AL728))</f>
        <v/>
      </c>
      <c r="AN728" s="32">
        <f>IF($A728="","",$AL728+$AM728)</f>
        <v/>
      </c>
      <c r="AO728" s="24">
        <f>IF($A728="","",IF(OR((IFERROR(INDEX('CAT_ACTIVIDADES'!$D$4:$D$26,MATCH($H728,'CAT_ACTIVIDADES'!$A$4:$A$26,0)),""))=0,(IFERROR(INDEX('CAT_ACTIVIDADES'!$D$4:$D$26,MATCH($H728,'CAT_ACTIVIDADES'!$A$4:$A$26,0)),""))=""),"SIN CLASIFICAR",IFERROR(INDEX('CAT_ACTIVIDADES'!$D$4:$D$26,MATCH($H728,'CAT_ACTIVIDADES'!$A$4:$A$26,0)),"")))</f>
        <v/>
      </c>
      <c r="AP728" s="4" t="n"/>
      <c r="AQ728" s="4" t="n"/>
      <c r="AR728" s="4" t="n"/>
      <c r="AS728" s="24">
        <f>IF($AR728="","",HYPERLINK(p_ruta_base_checklists&amp;$AR728,"abrir"))</f>
        <v/>
      </c>
      <c r="AT728" s="4" t="n"/>
      <c r="AU728" s="24">
        <f>IF($A728="","",$A728&amp;IF($B728="","0010",$B728))</f>
        <v/>
      </c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41" t="n"/>
      <c r="K729" s="5" t="n"/>
      <c r="L729" s="18" t="n"/>
      <c r="M729" s="24">
        <f>IF($A729="","",IFERROR(INDEX('AJUSTES'!$B$4:$B$303,MATCH($AU729,'AJUSTES'!$A$4:$A$303,0)),IF($K729="","",$K729)))</f>
        <v/>
      </c>
      <c r="N729" s="24">
        <f>IF($A729="","",IFERROR(INDEX('CAT_ESTADOS_ERP'!$B$4:$B$22,MATCH(IFERROR(INDEX('2_IMPORTAR_EJECUCION'!$C$9:$C$1208,MATCH($AU729,'2_IMPORTAR_EJECUCION'!$J$9:$J$1208,0)),""),'CAT_ESTADOS_ERP'!$A$4:$A$22,0)),"Pendiente"))</f>
        <v/>
      </c>
      <c r="O729" s="24">
        <f>IF($J729="","",YEAR($J729+4-WEEKDAY($J729,2))&amp;"-S"&amp;TEXT(_xlfn.ISOWEEKNUM($J729),"00"))</f>
        <v/>
      </c>
      <c r="P729" s="24">
        <f>IF($J729="","",YEAR($J729))</f>
        <v/>
      </c>
      <c r="Q729" s="24">
        <f>IF($J729="","",MONTH($J729))</f>
        <v/>
      </c>
      <c r="R729" s="24">
        <f>IF($J729="","",$P729&amp;"-"&amp;TEXT($Q729,"00"))</f>
        <v/>
      </c>
      <c r="S729" s="24">
        <f>IF($J729="","",INDEX(lista_dias,WEEKDAY($J729,2)))</f>
        <v/>
      </c>
      <c r="T729" s="24">
        <f>IF($J729="","",IFERROR(INDEX('CALENDARIO'!$C$15:$C$214,MATCH(TEXT($J729,"yyyy-mm-dd")&amp;"|"&amp;$Y729&amp;"|"&amp;$Z729,'CALENDARIO'!$G$15:$G$214,0)),IFERROR(INDEX('CALENDARIO'!$C$15:$C$214,MATCH(TEXT($J729,"yyyy-mm-dd")&amp;"|"&amp;$Y729&amp;"|",'CALENDARIO'!$G$15:$G$214,0)),IFERROR(INDEX('CALENDARIO'!$C$15:$C$214,MATCH(TEXT($J729,"yyyy-mm-dd")&amp;"||",'CALENDARIO'!$G$15:$G$214,0)),INDEX(patronHabil,WEEKDAY($J729,2))))))</f>
        <v/>
      </c>
      <c r="U729" s="24">
        <f>IF($I729="","",IFERROR(INDEX('CAT_TIPOS_OT'!$C$4:$C$23,MATCH($I729,'CAT_TIPOS_OT'!$A$4:$A$23,0)),"sin_clasificar"))</f>
        <v/>
      </c>
      <c r="V729" s="24">
        <f>IF($I729="","",IF(IFERROR(INDEX('CAT_TIPOS_OT'!$D$4:$D$23,MATCH($I729,'CAT_TIPOS_OT'!$A$4:$A$23,0)),"SIN CLASIFICAR")="","SIN CLASIFICAR",IFERROR(INDEX('CAT_TIPOS_OT'!$D$4:$D$23,MATCH($I729,'CAT_TIPOS_OT'!$A$4:$A$23,0)),"SIN CLASIFICAR")))</f>
        <v/>
      </c>
      <c r="W729" s="24">
        <f>IF($H729="","",IF(IFERROR(INDEX('CAT_ACTIVIDADES'!$F$4:$F$26,MATCH($H729,'CAT_ACTIVIDADES'!$A$4:$A$26,0)),"")=0,"",IFERROR(INDEX('CAT_ACTIVIDADES'!$F$4:$F$26,MATCH($H729,'CAT_ACTIVIDADES'!$A$4:$A$26,0)),"")))</f>
        <v/>
      </c>
      <c r="X729" s="24">
        <f>IF($F729="","",IFERROR(INDEX('CAT_CENTROS_COSTO'!$F$4:$F$28,MATCH($F729,'CAT_CENTROS_COSTO'!$A$4:$A$28,0)),"(sin catálogo)"))</f>
        <v/>
      </c>
      <c r="Y729" s="24">
        <f>IF($F729="","",IFERROR(INDEX('CAT_CENTROS_COSTO'!$D$4:$D$28,MATCH($F729,'CAT_CENTROS_COSTO'!$A$4:$A$28,0)),"(sin catálogo)"))</f>
        <v/>
      </c>
      <c r="Z729" s="24">
        <f>IF($F729="","",IF((IFERROR(INDEX('CAT_CENTROS_COSTO'!$E$4:$E$28,MATCH($F729,'CAT_CENTROS_COSTO'!$A$4:$A$28,0)),""))&lt;&gt;"",IFERROR(INDEX('CAT_CENTROS_COSTO'!$E$4:$E$28,MATCH($F729,'CAT_CENTROS_COSTO'!$A$4:$A$28,0)),""),$Y729))</f>
        <v/>
      </c>
      <c r="AA729" s="24">
        <f>IF($F729="","",IFERROR(INDEX('CAT_CENTROS_COSTO'!$G$4:$G$28,MATCH($F729,'CAT_CENTROS_COSTO'!$A$4:$A$28,0)),"(sin catálogo)"))</f>
        <v/>
      </c>
      <c r="AB729" s="24">
        <f>IF($G729="","",IFERROR(INDEX('CAT_PUESTOS'!$B$4:$B$23,MATCH($G729,'CAT_PUESTOS'!$A$4:$A$23,0)),"(sin catálogo)"))</f>
        <v/>
      </c>
      <c r="AC729" s="24">
        <f>IF($H729="","",IFERROR(INDEX('CAT_ACTIVIDADES'!$B$4:$B$26,MATCH($H729,'CAT_ACTIVIDADES'!$A$4:$A$26,0)),"(sin catálogo)"))</f>
        <v/>
      </c>
      <c r="AD729" s="26">
        <f>IF($J729="","",TODAY()-$J729)</f>
        <v/>
      </c>
      <c r="AE729" s="26">
        <f>IF($J729="","",IF($J729&lt;=TODAY(),COUNTIFS(cal_fechas,"&gt;="&amp;$J729,cal_fechas,"&lt;"&amp;TODAY(),cal_habil,"sí"),-COUNTIFS(cal_fechas,"&gt;="&amp;TODAY(),cal_fechas,"&lt;"&amp;$J729,cal_habil,"sí")))</f>
        <v/>
      </c>
      <c r="AF729" s="24">
        <f>IF($AE729="","",IF($AE729&lt;0,"FUTURO",IF($AE729&gt;p_dias_backlog_max,"BACKLOG","MES CORRIENTE")))</f>
        <v/>
      </c>
      <c r="AG729" s="24">
        <f>IF($AE729="",FALSE,AND($AE729&gt;p_dias_backlog_min,$AE729&lt;=p_dias_backlog_max))</f>
        <v/>
      </c>
      <c r="AH729" s="4" t="n"/>
      <c r="AI729" s="24">
        <f>IF($AH729="","",IF((IFERROR(INDEX('ASIGNACIONES'!$J$4:$J$451,MATCH($O729&amp;"|"&amp;$S729&amp;"|"&amp;$AH729,'ASIGNACIONES'!$N$4:$N$451,0)),""))=0,"",IFERROR(INDEX('ASIGNACIONES'!$J$4:$J$451,MATCH($O729&amp;"|"&amp;$S729&amp;"|"&amp;$AH729,'ASIGNACIONES'!$N$4:$N$451,0)),"")))</f>
        <v/>
      </c>
      <c r="AJ729" s="42">
        <f>IF($AH729="","",SUMIFS('ORDENES'!$M$4:$M$1203,'ORDENES'!$AH$4:$AH$1203,$AH729,'ORDENES'!$O$4:$O$1203,$O729,'ORDENES'!$S$4:$S$1203,$S729))</f>
        <v/>
      </c>
      <c r="AK729" s="42">
        <f>IF($AJ729="","",p_factor_productividad*IFERROR(INDEX('ASIGNACIONES'!$M$4:$M$451,MATCH($O729&amp;"|"&amp;$S729&amp;"|"&amp;$AH729,'ASIGNACIONES'!$N$4:$N$451,0)),0)-$AJ729)</f>
        <v/>
      </c>
      <c r="AL729" s="32">
        <f>IF($A729="","",IFERROR(INDEX('2_IMPORTAR_EJECUCION'!$F$9:$F$1208,MATCH($AU729,'2_IMPORTAR_EJECUCION'!$J$9:$J$1208,0)),0))</f>
        <v/>
      </c>
      <c r="AM729" s="32">
        <f>IF($A729="","",MAX(0,IFERROR(INDEX('2_IMPORTAR_EJECUCION'!$H$9:$H$1208,MATCH($AU729,'2_IMPORTAR_EJECUCION'!$J$9:$J$1208,0)),0)-$AL729))</f>
        <v/>
      </c>
      <c r="AN729" s="32">
        <f>IF($A729="","",$AL729+$AM729)</f>
        <v/>
      </c>
      <c r="AO729" s="24">
        <f>IF($A729="","",IF(OR((IFERROR(INDEX('CAT_ACTIVIDADES'!$D$4:$D$26,MATCH($H729,'CAT_ACTIVIDADES'!$A$4:$A$26,0)),""))=0,(IFERROR(INDEX('CAT_ACTIVIDADES'!$D$4:$D$26,MATCH($H729,'CAT_ACTIVIDADES'!$A$4:$A$26,0)),""))=""),"SIN CLASIFICAR",IFERROR(INDEX('CAT_ACTIVIDADES'!$D$4:$D$26,MATCH($H729,'CAT_ACTIVIDADES'!$A$4:$A$26,0)),"")))</f>
        <v/>
      </c>
      <c r="AP729" s="4" t="n"/>
      <c r="AQ729" s="4" t="n"/>
      <c r="AR729" s="4" t="n"/>
      <c r="AS729" s="24">
        <f>IF($AR729="","",HYPERLINK(p_ruta_base_checklists&amp;$AR729,"abrir"))</f>
        <v/>
      </c>
      <c r="AT729" s="4" t="n"/>
      <c r="AU729" s="24">
        <f>IF($A729="","",$A729&amp;IF($B729="","0010",$B729))</f>
        <v/>
      </c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41" t="n"/>
      <c r="K730" s="5" t="n"/>
      <c r="L730" s="18" t="n"/>
      <c r="M730" s="24">
        <f>IF($A730="","",IFERROR(INDEX('AJUSTES'!$B$4:$B$303,MATCH($AU730,'AJUSTES'!$A$4:$A$303,0)),IF($K730="","",$K730)))</f>
        <v/>
      </c>
      <c r="N730" s="24">
        <f>IF($A730="","",IFERROR(INDEX('CAT_ESTADOS_ERP'!$B$4:$B$22,MATCH(IFERROR(INDEX('2_IMPORTAR_EJECUCION'!$C$9:$C$1208,MATCH($AU730,'2_IMPORTAR_EJECUCION'!$J$9:$J$1208,0)),""),'CAT_ESTADOS_ERP'!$A$4:$A$22,0)),"Pendiente"))</f>
        <v/>
      </c>
      <c r="O730" s="24">
        <f>IF($J730="","",YEAR($J730+4-WEEKDAY($J730,2))&amp;"-S"&amp;TEXT(_xlfn.ISOWEEKNUM($J730),"00"))</f>
        <v/>
      </c>
      <c r="P730" s="24">
        <f>IF($J730="","",YEAR($J730))</f>
        <v/>
      </c>
      <c r="Q730" s="24">
        <f>IF($J730="","",MONTH($J730))</f>
        <v/>
      </c>
      <c r="R730" s="24">
        <f>IF($J730="","",$P730&amp;"-"&amp;TEXT($Q730,"00"))</f>
        <v/>
      </c>
      <c r="S730" s="24">
        <f>IF($J730="","",INDEX(lista_dias,WEEKDAY($J730,2)))</f>
        <v/>
      </c>
      <c r="T730" s="24">
        <f>IF($J730="","",IFERROR(INDEX('CALENDARIO'!$C$15:$C$214,MATCH(TEXT($J730,"yyyy-mm-dd")&amp;"|"&amp;$Y730&amp;"|"&amp;$Z730,'CALENDARIO'!$G$15:$G$214,0)),IFERROR(INDEX('CALENDARIO'!$C$15:$C$214,MATCH(TEXT($J730,"yyyy-mm-dd")&amp;"|"&amp;$Y730&amp;"|",'CALENDARIO'!$G$15:$G$214,0)),IFERROR(INDEX('CALENDARIO'!$C$15:$C$214,MATCH(TEXT($J730,"yyyy-mm-dd")&amp;"||",'CALENDARIO'!$G$15:$G$214,0)),INDEX(patronHabil,WEEKDAY($J730,2))))))</f>
        <v/>
      </c>
      <c r="U730" s="24">
        <f>IF($I730="","",IFERROR(INDEX('CAT_TIPOS_OT'!$C$4:$C$23,MATCH($I730,'CAT_TIPOS_OT'!$A$4:$A$23,0)),"sin_clasificar"))</f>
        <v/>
      </c>
      <c r="V730" s="24">
        <f>IF($I730="","",IF(IFERROR(INDEX('CAT_TIPOS_OT'!$D$4:$D$23,MATCH($I730,'CAT_TIPOS_OT'!$A$4:$A$23,0)),"SIN CLASIFICAR")="","SIN CLASIFICAR",IFERROR(INDEX('CAT_TIPOS_OT'!$D$4:$D$23,MATCH($I730,'CAT_TIPOS_OT'!$A$4:$A$23,0)),"SIN CLASIFICAR")))</f>
        <v/>
      </c>
      <c r="W730" s="24">
        <f>IF($H730="","",IF(IFERROR(INDEX('CAT_ACTIVIDADES'!$F$4:$F$26,MATCH($H730,'CAT_ACTIVIDADES'!$A$4:$A$26,0)),"")=0,"",IFERROR(INDEX('CAT_ACTIVIDADES'!$F$4:$F$26,MATCH($H730,'CAT_ACTIVIDADES'!$A$4:$A$26,0)),"")))</f>
        <v/>
      </c>
      <c r="X730" s="24">
        <f>IF($F730="","",IFERROR(INDEX('CAT_CENTROS_COSTO'!$F$4:$F$28,MATCH($F730,'CAT_CENTROS_COSTO'!$A$4:$A$28,0)),"(sin catálogo)"))</f>
        <v/>
      </c>
      <c r="Y730" s="24">
        <f>IF($F730="","",IFERROR(INDEX('CAT_CENTROS_COSTO'!$D$4:$D$28,MATCH($F730,'CAT_CENTROS_COSTO'!$A$4:$A$28,0)),"(sin catálogo)"))</f>
        <v/>
      </c>
      <c r="Z730" s="24">
        <f>IF($F730="","",IF((IFERROR(INDEX('CAT_CENTROS_COSTO'!$E$4:$E$28,MATCH($F730,'CAT_CENTROS_COSTO'!$A$4:$A$28,0)),""))&lt;&gt;"",IFERROR(INDEX('CAT_CENTROS_COSTO'!$E$4:$E$28,MATCH($F730,'CAT_CENTROS_COSTO'!$A$4:$A$28,0)),""),$Y730))</f>
        <v/>
      </c>
      <c r="AA730" s="24">
        <f>IF($F730="","",IFERROR(INDEX('CAT_CENTROS_COSTO'!$G$4:$G$28,MATCH($F730,'CAT_CENTROS_COSTO'!$A$4:$A$28,0)),"(sin catálogo)"))</f>
        <v/>
      </c>
      <c r="AB730" s="24">
        <f>IF($G730="","",IFERROR(INDEX('CAT_PUESTOS'!$B$4:$B$23,MATCH($G730,'CAT_PUESTOS'!$A$4:$A$23,0)),"(sin catálogo)"))</f>
        <v/>
      </c>
      <c r="AC730" s="24">
        <f>IF($H730="","",IFERROR(INDEX('CAT_ACTIVIDADES'!$B$4:$B$26,MATCH($H730,'CAT_ACTIVIDADES'!$A$4:$A$26,0)),"(sin catálogo)"))</f>
        <v/>
      </c>
      <c r="AD730" s="26">
        <f>IF($J730="","",TODAY()-$J730)</f>
        <v/>
      </c>
      <c r="AE730" s="26">
        <f>IF($J730="","",IF($J730&lt;=TODAY(),COUNTIFS(cal_fechas,"&gt;="&amp;$J730,cal_fechas,"&lt;"&amp;TODAY(),cal_habil,"sí"),-COUNTIFS(cal_fechas,"&gt;="&amp;TODAY(),cal_fechas,"&lt;"&amp;$J730,cal_habil,"sí")))</f>
        <v/>
      </c>
      <c r="AF730" s="24">
        <f>IF($AE730="","",IF($AE730&lt;0,"FUTURO",IF($AE730&gt;p_dias_backlog_max,"BACKLOG","MES CORRIENTE")))</f>
        <v/>
      </c>
      <c r="AG730" s="24">
        <f>IF($AE730="",FALSE,AND($AE730&gt;p_dias_backlog_min,$AE730&lt;=p_dias_backlog_max))</f>
        <v/>
      </c>
      <c r="AH730" s="4" t="n"/>
      <c r="AI730" s="24">
        <f>IF($AH730="","",IF((IFERROR(INDEX('ASIGNACIONES'!$J$4:$J$451,MATCH($O730&amp;"|"&amp;$S730&amp;"|"&amp;$AH730,'ASIGNACIONES'!$N$4:$N$451,0)),""))=0,"",IFERROR(INDEX('ASIGNACIONES'!$J$4:$J$451,MATCH($O730&amp;"|"&amp;$S730&amp;"|"&amp;$AH730,'ASIGNACIONES'!$N$4:$N$451,0)),"")))</f>
        <v/>
      </c>
      <c r="AJ730" s="42">
        <f>IF($AH730="","",SUMIFS('ORDENES'!$M$4:$M$1203,'ORDENES'!$AH$4:$AH$1203,$AH730,'ORDENES'!$O$4:$O$1203,$O730,'ORDENES'!$S$4:$S$1203,$S730))</f>
        <v/>
      </c>
      <c r="AK730" s="42">
        <f>IF($AJ730="","",p_factor_productividad*IFERROR(INDEX('ASIGNACIONES'!$M$4:$M$451,MATCH($O730&amp;"|"&amp;$S730&amp;"|"&amp;$AH730,'ASIGNACIONES'!$N$4:$N$451,0)),0)-$AJ730)</f>
        <v/>
      </c>
      <c r="AL730" s="32">
        <f>IF($A730="","",IFERROR(INDEX('2_IMPORTAR_EJECUCION'!$F$9:$F$1208,MATCH($AU730,'2_IMPORTAR_EJECUCION'!$J$9:$J$1208,0)),0))</f>
        <v/>
      </c>
      <c r="AM730" s="32">
        <f>IF($A730="","",MAX(0,IFERROR(INDEX('2_IMPORTAR_EJECUCION'!$H$9:$H$1208,MATCH($AU730,'2_IMPORTAR_EJECUCION'!$J$9:$J$1208,0)),0)-$AL730))</f>
        <v/>
      </c>
      <c r="AN730" s="32">
        <f>IF($A730="","",$AL730+$AM730)</f>
        <v/>
      </c>
      <c r="AO730" s="24">
        <f>IF($A730="","",IF(OR((IFERROR(INDEX('CAT_ACTIVIDADES'!$D$4:$D$26,MATCH($H730,'CAT_ACTIVIDADES'!$A$4:$A$26,0)),""))=0,(IFERROR(INDEX('CAT_ACTIVIDADES'!$D$4:$D$26,MATCH($H730,'CAT_ACTIVIDADES'!$A$4:$A$26,0)),""))=""),"SIN CLASIFICAR",IFERROR(INDEX('CAT_ACTIVIDADES'!$D$4:$D$26,MATCH($H730,'CAT_ACTIVIDADES'!$A$4:$A$26,0)),"")))</f>
        <v/>
      </c>
      <c r="AP730" s="4" t="n"/>
      <c r="AQ730" s="4" t="n"/>
      <c r="AR730" s="4" t="n"/>
      <c r="AS730" s="24">
        <f>IF($AR730="","",HYPERLINK(p_ruta_base_checklists&amp;$AR730,"abrir"))</f>
        <v/>
      </c>
      <c r="AT730" s="4" t="n"/>
      <c r="AU730" s="24">
        <f>IF($A730="","",$A730&amp;IF($B730="","0010",$B730))</f>
        <v/>
      </c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41" t="n"/>
      <c r="K731" s="5" t="n"/>
      <c r="L731" s="18" t="n"/>
      <c r="M731" s="24">
        <f>IF($A731="","",IFERROR(INDEX('AJUSTES'!$B$4:$B$303,MATCH($AU731,'AJUSTES'!$A$4:$A$303,0)),IF($K731="","",$K731)))</f>
        <v/>
      </c>
      <c r="N731" s="24">
        <f>IF($A731="","",IFERROR(INDEX('CAT_ESTADOS_ERP'!$B$4:$B$22,MATCH(IFERROR(INDEX('2_IMPORTAR_EJECUCION'!$C$9:$C$1208,MATCH($AU731,'2_IMPORTAR_EJECUCION'!$J$9:$J$1208,0)),""),'CAT_ESTADOS_ERP'!$A$4:$A$22,0)),"Pendiente"))</f>
        <v/>
      </c>
      <c r="O731" s="24">
        <f>IF($J731="","",YEAR($J731+4-WEEKDAY($J731,2))&amp;"-S"&amp;TEXT(_xlfn.ISOWEEKNUM($J731),"00"))</f>
        <v/>
      </c>
      <c r="P731" s="24">
        <f>IF($J731="","",YEAR($J731))</f>
        <v/>
      </c>
      <c r="Q731" s="24">
        <f>IF($J731="","",MONTH($J731))</f>
        <v/>
      </c>
      <c r="R731" s="24">
        <f>IF($J731="","",$P731&amp;"-"&amp;TEXT($Q731,"00"))</f>
        <v/>
      </c>
      <c r="S731" s="24">
        <f>IF($J731="","",INDEX(lista_dias,WEEKDAY($J731,2)))</f>
        <v/>
      </c>
      <c r="T731" s="24">
        <f>IF($J731="","",IFERROR(INDEX('CALENDARIO'!$C$15:$C$214,MATCH(TEXT($J731,"yyyy-mm-dd")&amp;"|"&amp;$Y731&amp;"|"&amp;$Z731,'CALENDARIO'!$G$15:$G$214,0)),IFERROR(INDEX('CALENDARIO'!$C$15:$C$214,MATCH(TEXT($J731,"yyyy-mm-dd")&amp;"|"&amp;$Y731&amp;"|",'CALENDARIO'!$G$15:$G$214,0)),IFERROR(INDEX('CALENDARIO'!$C$15:$C$214,MATCH(TEXT($J731,"yyyy-mm-dd")&amp;"||",'CALENDARIO'!$G$15:$G$214,0)),INDEX(patronHabil,WEEKDAY($J731,2))))))</f>
        <v/>
      </c>
      <c r="U731" s="24">
        <f>IF($I731="","",IFERROR(INDEX('CAT_TIPOS_OT'!$C$4:$C$23,MATCH($I731,'CAT_TIPOS_OT'!$A$4:$A$23,0)),"sin_clasificar"))</f>
        <v/>
      </c>
      <c r="V731" s="24">
        <f>IF($I731="","",IF(IFERROR(INDEX('CAT_TIPOS_OT'!$D$4:$D$23,MATCH($I731,'CAT_TIPOS_OT'!$A$4:$A$23,0)),"SIN CLASIFICAR")="","SIN CLASIFICAR",IFERROR(INDEX('CAT_TIPOS_OT'!$D$4:$D$23,MATCH($I731,'CAT_TIPOS_OT'!$A$4:$A$23,0)),"SIN CLASIFICAR")))</f>
        <v/>
      </c>
      <c r="W731" s="24">
        <f>IF($H731="","",IF(IFERROR(INDEX('CAT_ACTIVIDADES'!$F$4:$F$26,MATCH($H731,'CAT_ACTIVIDADES'!$A$4:$A$26,0)),"")=0,"",IFERROR(INDEX('CAT_ACTIVIDADES'!$F$4:$F$26,MATCH($H731,'CAT_ACTIVIDADES'!$A$4:$A$26,0)),"")))</f>
        <v/>
      </c>
      <c r="X731" s="24">
        <f>IF($F731="","",IFERROR(INDEX('CAT_CENTROS_COSTO'!$F$4:$F$28,MATCH($F731,'CAT_CENTROS_COSTO'!$A$4:$A$28,0)),"(sin catálogo)"))</f>
        <v/>
      </c>
      <c r="Y731" s="24">
        <f>IF($F731="","",IFERROR(INDEX('CAT_CENTROS_COSTO'!$D$4:$D$28,MATCH($F731,'CAT_CENTROS_COSTO'!$A$4:$A$28,0)),"(sin catálogo)"))</f>
        <v/>
      </c>
      <c r="Z731" s="24">
        <f>IF($F731="","",IF((IFERROR(INDEX('CAT_CENTROS_COSTO'!$E$4:$E$28,MATCH($F731,'CAT_CENTROS_COSTO'!$A$4:$A$28,0)),""))&lt;&gt;"",IFERROR(INDEX('CAT_CENTROS_COSTO'!$E$4:$E$28,MATCH($F731,'CAT_CENTROS_COSTO'!$A$4:$A$28,0)),""),$Y731))</f>
        <v/>
      </c>
      <c r="AA731" s="24">
        <f>IF($F731="","",IFERROR(INDEX('CAT_CENTROS_COSTO'!$G$4:$G$28,MATCH($F731,'CAT_CENTROS_COSTO'!$A$4:$A$28,0)),"(sin catálogo)"))</f>
        <v/>
      </c>
      <c r="AB731" s="24">
        <f>IF($G731="","",IFERROR(INDEX('CAT_PUESTOS'!$B$4:$B$23,MATCH($G731,'CAT_PUESTOS'!$A$4:$A$23,0)),"(sin catálogo)"))</f>
        <v/>
      </c>
      <c r="AC731" s="24">
        <f>IF($H731="","",IFERROR(INDEX('CAT_ACTIVIDADES'!$B$4:$B$26,MATCH($H731,'CAT_ACTIVIDADES'!$A$4:$A$26,0)),"(sin catálogo)"))</f>
        <v/>
      </c>
      <c r="AD731" s="26">
        <f>IF($J731="","",TODAY()-$J731)</f>
        <v/>
      </c>
      <c r="AE731" s="26">
        <f>IF($J731="","",IF($J731&lt;=TODAY(),COUNTIFS(cal_fechas,"&gt;="&amp;$J731,cal_fechas,"&lt;"&amp;TODAY(),cal_habil,"sí"),-COUNTIFS(cal_fechas,"&gt;="&amp;TODAY(),cal_fechas,"&lt;"&amp;$J731,cal_habil,"sí")))</f>
        <v/>
      </c>
      <c r="AF731" s="24">
        <f>IF($AE731="","",IF($AE731&lt;0,"FUTURO",IF($AE731&gt;p_dias_backlog_max,"BACKLOG","MES CORRIENTE")))</f>
        <v/>
      </c>
      <c r="AG731" s="24">
        <f>IF($AE731="",FALSE,AND($AE731&gt;p_dias_backlog_min,$AE731&lt;=p_dias_backlog_max))</f>
        <v/>
      </c>
      <c r="AH731" s="4" t="n"/>
      <c r="AI731" s="24">
        <f>IF($AH731="","",IF((IFERROR(INDEX('ASIGNACIONES'!$J$4:$J$451,MATCH($O731&amp;"|"&amp;$S731&amp;"|"&amp;$AH731,'ASIGNACIONES'!$N$4:$N$451,0)),""))=0,"",IFERROR(INDEX('ASIGNACIONES'!$J$4:$J$451,MATCH($O731&amp;"|"&amp;$S731&amp;"|"&amp;$AH731,'ASIGNACIONES'!$N$4:$N$451,0)),"")))</f>
        <v/>
      </c>
      <c r="AJ731" s="42">
        <f>IF($AH731="","",SUMIFS('ORDENES'!$M$4:$M$1203,'ORDENES'!$AH$4:$AH$1203,$AH731,'ORDENES'!$O$4:$O$1203,$O731,'ORDENES'!$S$4:$S$1203,$S731))</f>
        <v/>
      </c>
      <c r="AK731" s="42">
        <f>IF($AJ731="","",p_factor_productividad*IFERROR(INDEX('ASIGNACIONES'!$M$4:$M$451,MATCH($O731&amp;"|"&amp;$S731&amp;"|"&amp;$AH731,'ASIGNACIONES'!$N$4:$N$451,0)),0)-$AJ731)</f>
        <v/>
      </c>
      <c r="AL731" s="32">
        <f>IF($A731="","",IFERROR(INDEX('2_IMPORTAR_EJECUCION'!$F$9:$F$1208,MATCH($AU731,'2_IMPORTAR_EJECUCION'!$J$9:$J$1208,0)),0))</f>
        <v/>
      </c>
      <c r="AM731" s="32">
        <f>IF($A731="","",MAX(0,IFERROR(INDEX('2_IMPORTAR_EJECUCION'!$H$9:$H$1208,MATCH($AU731,'2_IMPORTAR_EJECUCION'!$J$9:$J$1208,0)),0)-$AL731))</f>
        <v/>
      </c>
      <c r="AN731" s="32">
        <f>IF($A731="","",$AL731+$AM731)</f>
        <v/>
      </c>
      <c r="AO731" s="24">
        <f>IF($A731="","",IF(OR((IFERROR(INDEX('CAT_ACTIVIDADES'!$D$4:$D$26,MATCH($H731,'CAT_ACTIVIDADES'!$A$4:$A$26,0)),""))=0,(IFERROR(INDEX('CAT_ACTIVIDADES'!$D$4:$D$26,MATCH($H731,'CAT_ACTIVIDADES'!$A$4:$A$26,0)),""))=""),"SIN CLASIFICAR",IFERROR(INDEX('CAT_ACTIVIDADES'!$D$4:$D$26,MATCH($H731,'CAT_ACTIVIDADES'!$A$4:$A$26,0)),"")))</f>
        <v/>
      </c>
      <c r="AP731" s="4" t="n"/>
      <c r="AQ731" s="4" t="n"/>
      <c r="AR731" s="4" t="n"/>
      <c r="AS731" s="24">
        <f>IF($AR731="","",HYPERLINK(p_ruta_base_checklists&amp;$AR731,"abrir"))</f>
        <v/>
      </c>
      <c r="AT731" s="4" t="n"/>
      <c r="AU731" s="24">
        <f>IF($A731="","",$A731&amp;IF($B731="","0010",$B731))</f>
        <v/>
      </c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41" t="n"/>
      <c r="K732" s="5" t="n"/>
      <c r="L732" s="18" t="n"/>
      <c r="M732" s="24">
        <f>IF($A732="","",IFERROR(INDEX('AJUSTES'!$B$4:$B$303,MATCH($AU732,'AJUSTES'!$A$4:$A$303,0)),IF($K732="","",$K732)))</f>
        <v/>
      </c>
      <c r="N732" s="24">
        <f>IF($A732="","",IFERROR(INDEX('CAT_ESTADOS_ERP'!$B$4:$B$22,MATCH(IFERROR(INDEX('2_IMPORTAR_EJECUCION'!$C$9:$C$1208,MATCH($AU732,'2_IMPORTAR_EJECUCION'!$J$9:$J$1208,0)),""),'CAT_ESTADOS_ERP'!$A$4:$A$22,0)),"Pendiente"))</f>
        <v/>
      </c>
      <c r="O732" s="24">
        <f>IF($J732="","",YEAR($J732+4-WEEKDAY($J732,2))&amp;"-S"&amp;TEXT(_xlfn.ISOWEEKNUM($J732),"00"))</f>
        <v/>
      </c>
      <c r="P732" s="24">
        <f>IF($J732="","",YEAR($J732))</f>
        <v/>
      </c>
      <c r="Q732" s="24">
        <f>IF($J732="","",MONTH($J732))</f>
        <v/>
      </c>
      <c r="R732" s="24">
        <f>IF($J732="","",$P732&amp;"-"&amp;TEXT($Q732,"00"))</f>
        <v/>
      </c>
      <c r="S732" s="24">
        <f>IF($J732="","",INDEX(lista_dias,WEEKDAY($J732,2)))</f>
        <v/>
      </c>
      <c r="T732" s="24">
        <f>IF($J732="","",IFERROR(INDEX('CALENDARIO'!$C$15:$C$214,MATCH(TEXT($J732,"yyyy-mm-dd")&amp;"|"&amp;$Y732&amp;"|"&amp;$Z732,'CALENDARIO'!$G$15:$G$214,0)),IFERROR(INDEX('CALENDARIO'!$C$15:$C$214,MATCH(TEXT($J732,"yyyy-mm-dd")&amp;"|"&amp;$Y732&amp;"|",'CALENDARIO'!$G$15:$G$214,0)),IFERROR(INDEX('CALENDARIO'!$C$15:$C$214,MATCH(TEXT($J732,"yyyy-mm-dd")&amp;"||",'CALENDARIO'!$G$15:$G$214,0)),INDEX(patronHabil,WEEKDAY($J732,2))))))</f>
        <v/>
      </c>
      <c r="U732" s="24">
        <f>IF($I732="","",IFERROR(INDEX('CAT_TIPOS_OT'!$C$4:$C$23,MATCH($I732,'CAT_TIPOS_OT'!$A$4:$A$23,0)),"sin_clasificar"))</f>
        <v/>
      </c>
      <c r="V732" s="24">
        <f>IF($I732="","",IF(IFERROR(INDEX('CAT_TIPOS_OT'!$D$4:$D$23,MATCH($I732,'CAT_TIPOS_OT'!$A$4:$A$23,0)),"SIN CLASIFICAR")="","SIN CLASIFICAR",IFERROR(INDEX('CAT_TIPOS_OT'!$D$4:$D$23,MATCH($I732,'CAT_TIPOS_OT'!$A$4:$A$23,0)),"SIN CLASIFICAR")))</f>
        <v/>
      </c>
      <c r="W732" s="24">
        <f>IF($H732="","",IF(IFERROR(INDEX('CAT_ACTIVIDADES'!$F$4:$F$26,MATCH($H732,'CAT_ACTIVIDADES'!$A$4:$A$26,0)),"")=0,"",IFERROR(INDEX('CAT_ACTIVIDADES'!$F$4:$F$26,MATCH($H732,'CAT_ACTIVIDADES'!$A$4:$A$26,0)),"")))</f>
        <v/>
      </c>
      <c r="X732" s="24">
        <f>IF($F732="","",IFERROR(INDEX('CAT_CENTROS_COSTO'!$F$4:$F$28,MATCH($F732,'CAT_CENTROS_COSTO'!$A$4:$A$28,0)),"(sin catálogo)"))</f>
        <v/>
      </c>
      <c r="Y732" s="24">
        <f>IF($F732="","",IFERROR(INDEX('CAT_CENTROS_COSTO'!$D$4:$D$28,MATCH($F732,'CAT_CENTROS_COSTO'!$A$4:$A$28,0)),"(sin catálogo)"))</f>
        <v/>
      </c>
      <c r="Z732" s="24">
        <f>IF($F732="","",IF((IFERROR(INDEX('CAT_CENTROS_COSTO'!$E$4:$E$28,MATCH($F732,'CAT_CENTROS_COSTO'!$A$4:$A$28,0)),""))&lt;&gt;"",IFERROR(INDEX('CAT_CENTROS_COSTO'!$E$4:$E$28,MATCH($F732,'CAT_CENTROS_COSTO'!$A$4:$A$28,0)),""),$Y732))</f>
        <v/>
      </c>
      <c r="AA732" s="24">
        <f>IF($F732="","",IFERROR(INDEX('CAT_CENTROS_COSTO'!$G$4:$G$28,MATCH($F732,'CAT_CENTROS_COSTO'!$A$4:$A$28,0)),"(sin catálogo)"))</f>
        <v/>
      </c>
      <c r="AB732" s="24">
        <f>IF($G732="","",IFERROR(INDEX('CAT_PUESTOS'!$B$4:$B$23,MATCH($G732,'CAT_PUESTOS'!$A$4:$A$23,0)),"(sin catálogo)"))</f>
        <v/>
      </c>
      <c r="AC732" s="24">
        <f>IF($H732="","",IFERROR(INDEX('CAT_ACTIVIDADES'!$B$4:$B$26,MATCH($H732,'CAT_ACTIVIDADES'!$A$4:$A$26,0)),"(sin catálogo)"))</f>
        <v/>
      </c>
      <c r="AD732" s="26">
        <f>IF($J732="","",TODAY()-$J732)</f>
        <v/>
      </c>
      <c r="AE732" s="26">
        <f>IF($J732="","",IF($J732&lt;=TODAY(),COUNTIFS(cal_fechas,"&gt;="&amp;$J732,cal_fechas,"&lt;"&amp;TODAY(),cal_habil,"sí"),-COUNTIFS(cal_fechas,"&gt;="&amp;TODAY(),cal_fechas,"&lt;"&amp;$J732,cal_habil,"sí")))</f>
        <v/>
      </c>
      <c r="AF732" s="24">
        <f>IF($AE732="","",IF($AE732&lt;0,"FUTURO",IF($AE732&gt;p_dias_backlog_max,"BACKLOG","MES CORRIENTE")))</f>
        <v/>
      </c>
      <c r="AG732" s="24">
        <f>IF($AE732="",FALSE,AND($AE732&gt;p_dias_backlog_min,$AE732&lt;=p_dias_backlog_max))</f>
        <v/>
      </c>
      <c r="AH732" s="4" t="n"/>
      <c r="AI732" s="24">
        <f>IF($AH732="","",IF((IFERROR(INDEX('ASIGNACIONES'!$J$4:$J$451,MATCH($O732&amp;"|"&amp;$S732&amp;"|"&amp;$AH732,'ASIGNACIONES'!$N$4:$N$451,0)),""))=0,"",IFERROR(INDEX('ASIGNACIONES'!$J$4:$J$451,MATCH($O732&amp;"|"&amp;$S732&amp;"|"&amp;$AH732,'ASIGNACIONES'!$N$4:$N$451,0)),"")))</f>
        <v/>
      </c>
      <c r="AJ732" s="42">
        <f>IF($AH732="","",SUMIFS('ORDENES'!$M$4:$M$1203,'ORDENES'!$AH$4:$AH$1203,$AH732,'ORDENES'!$O$4:$O$1203,$O732,'ORDENES'!$S$4:$S$1203,$S732))</f>
        <v/>
      </c>
      <c r="AK732" s="42">
        <f>IF($AJ732="","",p_factor_productividad*IFERROR(INDEX('ASIGNACIONES'!$M$4:$M$451,MATCH($O732&amp;"|"&amp;$S732&amp;"|"&amp;$AH732,'ASIGNACIONES'!$N$4:$N$451,0)),0)-$AJ732)</f>
        <v/>
      </c>
      <c r="AL732" s="32">
        <f>IF($A732="","",IFERROR(INDEX('2_IMPORTAR_EJECUCION'!$F$9:$F$1208,MATCH($AU732,'2_IMPORTAR_EJECUCION'!$J$9:$J$1208,0)),0))</f>
        <v/>
      </c>
      <c r="AM732" s="32">
        <f>IF($A732="","",MAX(0,IFERROR(INDEX('2_IMPORTAR_EJECUCION'!$H$9:$H$1208,MATCH($AU732,'2_IMPORTAR_EJECUCION'!$J$9:$J$1208,0)),0)-$AL732))</f>
        <v/>
      </c>
      <c r="AN732" s="32">
        <f>IF($A732="","",$AL732+$AM732)</f>
        <v/>
      </c>
      <c r="AO732" s="24">
        <f>IF($A732="","",IF(OR((IFERROR(INDEX('CAT_ACTIVIDADES'!$D$4:$D$26,MATCH($H732,'CAT_ACTIVIDADES'!$A$4:$A$26,0)),""))=0,(IFERROR(INDEX('CAT_ACTIVIDADES'!$D$4:$D$26,MATCH($H732,'CAT_ACTIVIDADES'!$A$4:$A$26,0)),""))=""),"SIN CLASIFICAR",IFERROR(INDEX('CAT_ACTIVIDADES'!$D$4:$D$26,MATCH($H732,'CAT_ACTIVIDADES'!$A$4:$A$26,0)),"")))</f>
        <v/>
      </c>
      <c r="AP732" s="4" t="n"/>
      <c r="AQ732" s="4" t="n"/>
      <c r="AR732" s="4" t="n"/>
      <c r="AS732" s="24">
        <f>IF($AR732="","",HYPERLINK(p_ruta_base_checklists&amp;$AR732,"abrir"))</f>
        <v/>
      </c>
      <c r="AT732" s="4" t="n"/>
      <c r="AU732" s="24">
        <f>IF($A732="","",$A732&amp;IF($B732="","0010",$B732))</f>
        <v/>
      </c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41" t="n"/>
      <c r="K733" s="5" t="n"/>
      <c r="L733" s="18" t="n"/>
      <c r="M733" s="24">
        <f>IF($A733="","",IFERROR(INDEX('AJUSTES'!$B$4:$B$303,MATCH($AU733,'AJUSTES'!$A$4:$A$303,0)),IF($K733="","",$K733)))</f>
        <v/>
      </c>
      <c r="N733" s="24">
        <f>IF($A733="","",IFERROR(INDEX('CAT_ESTADOS_ERP'!$B$4:$B$22,MATCH(IFERROR(INDEX('2_IMPORTAR_EJECUCION'!$C$9:$C$1208,MATCH($AU733,'2_IMPORTAR_EJECUCION'!$J$9:$J$1208,0)),""),'CAT_ESTADOS_ERP'!$A$4:$A$22,0)),"Pendiente"))</f>
        <v/>
      </c>
      <c r="O733" s="24">
        <f>IF($J733="","",YEAR($J733+4-WEEKDAY($J733,2))&amp;"-S"&amp;TEXT(_xlfn.ISOWEEKNUM($J733),"00"))</f>
        <v/>
      </c>
      <c r="P733" s="24">
        <f>IF($J733="","",YEAR($J733))</f>
        <v/>
      </c>
      <c r="Q733" s="24">
        <f>IF($J733="","",MONTH($J733))</f>
        <v/>
      </c>
      <c r="R733" s="24">
        <f>IF($J733="","",$P733&amp;"-"&amp;TEXT($Q733,"00"))</f>
        <v/>
      </c>
      <c r="S733" s="24">
        <f>IF($J733="","",INDEX(lista_dias,WEEKDAY($J733,2)))</f>
        <v/>
      </c>
      <c r="T733" s="24">
        <f>IF($J733="","",IFERROR(INDEX('CALENDARIO'!$C$15:$C$214,MATCH(TEXT($J733,"yyyy-mm-dd")&amp;"|"&amp;$Y733&amp;"|"&amp;$Z733,'CALENDARIO'!$G$15:$G$214,0)),IFERROR(INDEX('CALENDARIO'!$C$15:$C$214,MATCH(TEXT($J733,"yyyy-mm-dd")&amp;"|"&amp;$Y733&amp;"|",'CALENDARIO'!$G$15:$G$214,0)),IFERROR(INDEX('CALENDARIO'!$C$15:$C$214,MATCH(TEXT($J733,"yyyy-mm-dd")&amp;"||",'CALENDARIO'!$G$15:$G$214,0)),INDEX(patronHabil,WEEKDAY($J733,2))))))</f>
        <v/>
      </c>
      <c r="U733" s="24">
        <f>IF($I733="","",IFERROR(INDEX('CAT_TIPOS_OT'!$C$4:$C$23,MATCH($I733,'CAT_TIPOS_OT'!$A$4:$A$23,0)),"sin_clasificar"))</f>
        <v/>
      </c>
      <c r="V733" s="24">
        <f>IF($I733="","",IF(IFERROR(INDEX('CAT_TIPOS_OT'!$D$4:$D$23,MATCH($I733,'CAT_TIPOS_OT'!$A$4:$A$23,0)),"SIN CLASIFICAR")="","SIN CLASIFICAR",IFERROR(INDEX('CAT_TIPOS_OT'!$D$4:$D$23,MATCH($I733,'CAT_TIPOS_OT'!$A$4:$A$23,0)),"SIN CLASIFICAR")))</f>
        <v/>
      </c>
      <c r="W733" s="24">
        <f>IF($H733="","",IF(IFERROR(INDEX('CAT_ACTIVIDADES'!$F$4:$F$26,MATCH($H733,'CAT_ACTIVIDADES'!$A$4:$A$26,0)),"")=0,"",IFERROR(INDEX('CAT_ACTIVIDADES'!$F$4:$F$26,MATCH($H733,'CAT_ACTIVIDADES'!$A$4:$A$26,0)),"")))</f>
        <v/>
      </c>
      <c r="X733" s="24">
        <f>IF($F733="","",IFERROR(INDEX('CAT_CENTROS_COSTO'!$F$4:$F$28,MATCH($F733,'CAT_CENTROS_COSTO'!$A$4:$A$28,0)),"(sin catálogo)"))</f>
        <v/>
      </c>
      <c r="Y733" s="24">
        <f>IF($F733="","",IFERROR(INDEX('CAT_CENTROS_COSTO'!$D$4:$D$28,MATCH($F733,'CAT_CENTROS_COSTO'!$A$4:$A$28,0)),"(sin catálogo)"))</f>
        <v/>
      </c>
      <c r="Z733" s="24">
        <f>IF($F733="","",IF((IFERROR(INDEX('CAT_CENTROS_COSTO'!$E$4:$E$28,MATCH($F733,'CAT_CENTROS_COSTO'!$A$4:$A$28,0)),""))&lt;&gt;"",IFERROR(INDEX('CAT_CENTROS_COSTO'!$E$4:$E$28,MATCH($F733,'CAT_CENTROS_COSTO'!$A$4:$A$28,0)),""),$Y733))</f>
        <v/>
      </c>
      <c r="AA733" s="24">
        <f>IF($F733="","",IFERROR(INDEX('CAT_CENTROS_COSTO'!$G$4:$G$28,MATCH($F733,'CAT_CENTROS_COSTO'!$A$4:$A$28,0)),"(sin catálogo)"))</f>
        <v/>
      </c>
      <c r="AB733" s="24">
        <f>IF($G733="","",IFERROR(INDEX('CAT_PUESTOS'!$B$4:$B$23,MATCH($G733,'CAT_PUESTOS'!$A$4:$A$23,0)),"(sin catálogo)"))</f>
        <v/>
      </c>
      <c r="AC733" s="24">
        <f>IF($H733="","",IFERROR(INDEX('CAT_ACTIVIDADES'!$B$4:$B$26,MATCH($H733,'CAT_ACTIVIDADES'!$A$4:$A$26,0)),"(sin catálogo)"))</f>
        <v/>
      </c>
      <c r="AD733" s="26">
        <f>IF($J733="","",TODAY()-$J733)</f>
        <v/>
      </c>
      <c r="AE733" s="26">
        <f>IF($J733="","",IF($J733&lt;=TODAY(),COUNTIFS(cal_fechas,"&gt;="&amp;$J733,cal_fechas,"&lt;"&amp;TODAY(),cal_habil,"sí"),-COUNTIFS(cal_fechas,"&gt;="&amp;TODAY(),cal_fechas,"&lt;"&amp;$J733,cal_habil,"sí")))</f>
        <v/>
      </c>
      <c r="AF733" s="24">
        <f>IF($AE733="","",IF($AE733&lt;0,"FUTURO",IF($AE733&gt;p_dias_backlog_max,"BACKLOG","MES CORRIENTE")))</f>
        <v/>
      </c>
      <c r="AG733" s="24">
        <f>IF($AE733="",FALSE,AND($AE733&gt;p_dias_backlog_min,$AE733&lt;=p_dias_backlog_max))</f>
        <v/>
      </c>
      <c r="AH733" s="4" t="n"/>
      <c r="AI733" s="24">
        <f>IF($AH733="","",IF((IFERROR(INDEX('ASIGNACIONES'!$J$4:$J$451,MATCH($O733&amp;"|"&amp;$S733&amp;"|"&amp;$AH733,'ASIGNACIONES'!$N$4:$N$451,0)),""))=0,"",IFERROR(INDEX('ASIGNACIONES'!$J$4:$J$451,MATCH($O733&amp;"|"&amp;$S733&amp;"|"&amp;$AH733,'ASIGNACIONES'!$N$4:$N$451,0)),"")))</f>
        <v/>
      </c>
      <c r="AJ733" s="42">
        <f>IF($AH733="","",SUMIFS('ORDENES'!$M$4:$M$1203,'ORDENES'!$AH$4:$AH$1203,$AH733,'ORDENES'!$O$4:$O$1203,$O733,'ORDENES'!$S$4:$S$1203,$S733))</f>
        <v/>
      </c>
      <c r="AK733" s="42">
        <f>IF($AJ733="","",p_factor_productividad*IFERROR(INDEX('ASIGNACIONES'!$M$4:$M$451,MATCH($O733&amp;"|"&amp;$S733&amp;"|"&amp;$AH733,'ASIGNACIONES'!$N$4:$N$451,0)),0)-$AJ733)</f>
        <v/>
      </c>
      <c r="AL733" s="32">
        <f>IF($A733="","",IFERROR(INDEX('2_IMPORTAR_EJECUCION'!$F$9:$F$1208,MATCH($AU733,'2_IMPORTAR_EJECUCION'!$J$9:$J$1208,0)),0))</f>
        <v/>
      </c>
      <c r="AM733" s="32">
        <f>IF($A733="","",MAX(0,IFERROR(INDEX('2_IMPORTAR_EJECUCION'!$H$9:$H$1208,MATCH($AU733,'2_IMPORTAR_EJECUCION'!$J$9:$J$1208,0)),0)-$AL733))</f>
        <v/>
      </c>
      <c r="AN733" s="32">
        <f>IF($A733="","",$AL733+$AM733)</f>
        <v/>
      </c>
      <c r="AO733" s="24">
        <f>IF($A733="","",IF(OR((IFERROR(INDEX('CAT_ACTIVIDADES'!$D$4:$D$26,MATCH($H733,'CAT_ACTIVIDADES'!$A$4:$A$26,0)),""))=0,(IFERROR(INDEX('CAT_ACTIVIDADES'!$D$4:$D$26,MATCH($H733,'CAT_ACTIVIDADES'!$A$4:$A$26,0)),""))=""),"SIN CLASIFICAR",IFERROR(INDEX('CAT_ACTIVIDADES'!$D$4:$D$26,MATCH($H733,'CAT_ACTIVIDADES'!$A$4:$A$26,0)),"")))</f>
        <v/>
      </c>
      <c r="AP733" s="4" t="n"/>
      <c r="AQ733" s="4" t="n"/>
      <c r="AR733" s="4" t="n"/>
      <c r="AS733" s="24">
        <f>IF($AR733="","",HYPERLINK(p_ruta_base_checklists&amp;$AR733,"abrir"))</f>
        <v/>
      </c>
      <c r="AT733" s="4" t="n"/>
      <c r="AU733" s="24">
        <f>IF($A733="","",$A733&amp;IF($B733="","0010",$B733))</f>
        <v/>
      </c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41" t="n"/>
      <c r="K734" s="5" t="n"/>
      <c r="L734" s="18" t="n"/>
      <c r="M734" s="24">
        <f>IF($A734="","",IFERROR(INDEX('AJUSTES'!$B$4:$B$303,MATCH($AU734,'AJUSTES'!$A$4:$A$303,0)),IF($K734="","",$K734)))</f>
        <v/>
      </c>
      <c r="N734" s="24">
        <f>IF($A734="","",IFERROR(INDEX('CAT_ESTADOS_ERP'!$B$4:$B$22,MATCH(IFERROR(INDEX('2_IMPORTAR_EJECUCION'!$C$9:$C$1208,MATCH($AU734,'2_IMPORTAR_EJECUCION'!$J$9:$J$1208,0)),""),'CAT_ESTADOS_ERP'!$A$4:$A$22,0)),"Pendiente"))</f>
        <v/>
      </c>
      <c r="O734" s="24">
        <f>IF($J734="","",YEAR($J734+4-WEEKDAY($J734,2))&amp;"-S"&amp;TEXT(_xlfn.ISOWEEKNUM($J734),"00"))</f>
        <v/>
      </c>
      <c r="P734" s="24">
        <f>IF($J734="","",YEAR($J734))</f>
        <v/>
      </c>
      <c r="Q734" s="24">
        <f>IF($J734="","",MONTH($J734))</f>
        <v/>
      </c>
      <c r="R734" s="24">
        <f>IF($J734="","",$P734&amp;"-"&amp;TEXT($Q734,"00"))</f>
        <v/>
      </c>
      <c r="S734" s="24">
        <f>IF($J734="","",INDEX(lista_dias,WEEKDAY($J734,2)))</f>
        <v/>
      </c>
      <c r="T734" s="24">
        <f>IF($J734="","",IFERROR(INDEX('CALENDARIO'!$C$15:$C$214,MATCH(TEXT($J734,"yyyy-mm-dd")&amp;"|"&amp;$Y734&amp;"|"&amp;$Z734,'CALENDARIO'!$G$15:$G$214,0)),IFERROR(INDEX('CALENDARIO'!$C$15:$C$214,MATCH(TEXT($J734,"yyyy-mm-dd")&amp;"|"&amp;$Y734&amp;"|",'CALENDARIO'!$G$15:$G$214,0)),IFERROR(INDEX('CALENDARIO'!$C$15:$C$214,MATCH(TEXT($J734,"yyyy-mm-dd")&amp;"||",'CALENDARIO'!$G$15:$G$214,0)),INDEX(patronHabil,WEEKDAY($J734,2))))))</f>
        <v/>
      </c>
      <c r="U734" s="24">
        <f>IF($I734="","",IFERROR(INDEX('CAT_TIPOS_OT'!$C$4:$C$23,MATCH($I734,'CAT_TIPOS_OT'!$A$4:$A$23,0)),"sin_clasificar"))</f>
        <v/>
      </c>
      <c r="V734" s="24">
        <f>IF($I734="","",IF(IFERROR(INDEX('CAT_TIPOS_OT'!$D$4:$D$23,MATCH($I734,'CAT_TIPOS_OT'!$A$4:$A$23,0)),"SIN CLASIFICAR")="","SIN CLASIFICAR",IFERROR(INDEX('CAT_TIPOS_OT'!$D$4:$D$23,MATCH($I734,'CAT_TIPOS_OT'!$A$4:$A$23,0)),"SIN CLASIFICAR")))</f>
        <v/>
      </c>
      <c r="W734" s="24">
        <f>IF($H734="","",IF(IFERROR(INDEX('CAT_ACTIVIDADES'!$F$4:$F$26,MATCH($H734,'CAT_ACTIVIDADES'!$A$4:$A$26,0)),"")=0,"",IFERROR(INDEX('CAT_ACTIVIDADES'!$F$4:$F$26,MATCH($H734,'CAT_ACTIVIDADES'!$A$4:$A$26,0)),"")))</f>
        <v/>
      </c>
      <c r="X734" s="24">
        <f>IF($F734="","",IFERROR(INDEX('CAT_CENTROS_COSTO'!$F$4:$F$28,MATCH($F734,'CAT_CENTROS_COSTO'!$A$4:$A$28,0)),"(sin catálogo)"))</f>
        <v/>
      </c>
      <c r="Y734" s="24">
        <f>IF($F734="","",IFERROR(INDEX('CAT_CENTROS_COSTO'!$D$4:$D$28,MATCH($F734,'CAT_CENTROS_COSTO'!$A$4:$A$28,0)),"(sin catálogo)"))</f>
        <v/>
      </c>
      <c r="Z734" s="24">
        <f>IF($F734="","",IF((IFERROR(INDEX('CAT_CENTROS_COSTO'!$E$4:$E$28,MATCH($F734,'CAT_CENTROS_COSTO'!$A$4:$A$28,0)),""))&lt;&gt;"",IFERROR(INDEX('CAT_CENTROS_COSTO'!$E$4:$E$28,MATCH($F734,'CAT_CENTROS_COSTO'!$A$4:$A$28,0)),""),$Y734))</f>
        <v/>
      </c>
      <c r="AA734" s="24">
        <f>IF($F734="","",IFERROR(INDEX('CAT_CENTROS_COSTO'!$G$4:$G$28,MATCH($F734,'CAT_CENTROS_COSTO'!$A$4:$A$28,0)),"(sin catálogo)"))</f>
        <v/>
      </c>
      <c r="AB734" s="24">
        <f>IF($G734="","",IFERROR(INDEX('CAT_PUESTOS'!$B$4:$B$23,MATCH($G734,'CAT_PUESTOS'!$A$4:$A$23,0)),"(sin catálogo)"))</f>
        <v/>
      </c>
      <c r="AC734" s="24">
        <f>IF($H734="","",IFERROR(INDEX('CAT_ACTIVIDADES'!$B$4:$B$26,MATCH($H734,'CAT_ACTIVIDADES'!$A$4:$A$26,0)),"(sin catálogo)"))</f>
        <v/>
      </c>
      <c r="AD734" s="26">
        <f>IF($J734="","",TODAY()-$J734)</f>
        <v/>
      </c>
      <c r="AE734" s="26">
        <f>IF($J734="","",IF($J734&lt;=TODAY(),COUNTIFS(cal_fechas,"&gt;="&amp;$J734,cal_fechas,"&lt;"&amp;TODAY(),cal_habil,"sí"),-COUNTIFS(cal_fechas,"&gt;="&amp;TODAY(),cal_fechas,"&lt;"&amp;$J734,cal_habil,"sí")))</f>
        <v/>
      </c>
      <c r="AF734" s="24">
        <f>IF($AE734="","",IF($AE734&lt;0,"FUTURO",IF($AE734&gt;p_dias_backlog_max,"BACKLOG","MES CORRIENTE")))</f>
        <v/>
      </c>
      <c r="AG734" s="24">
        <f>IF($AE734="",FALSE,AND($AE734&gt;p_dias_backlog_min,$AE734&lt;=p_dias_backlog_max))</f>
        <v/>
      </c>
      <c r="AH734" s="4" t="n"/>
      <c r="AI734" s="24">
        <f>IF($AH734="","",IF((IFERROR(INDEX('ASIGNACIONES'!$J$4:$J$451,MATCH($O734&amp;"|"&amp;$S734&amp;"|"&amp;$AH734,'ASIGNACIONES'!$N$4:$N$451,0)),""))=0,"",IFERROR(INDEX('ASIGNACIONES'!$J$4:$J$451,MATCH($O734&amp;"|"&amp;$S734&amp;"|"&amp;$AH734,'ASIGNACIONES'!$N$4:$N$451,0)),"")))</f>
        <v/>
      </c>
      <c r="AJ734" s="42">
        <f>IF($AH734="","",SUMIFS('ORDENES'!$M$4:$M$1203,'ORDENES'!$AH$4:$AH$1203,$AH734,'ORDENES'!$O$4:$O$1203,$O734,'ORDENES'!$S$4:$S$1203,$S734))</f>
        <v/>
      </c>
      <c r="AK734" s="42">
        <f>IF($AJ734="","",p_factor_productividad*IFERROR(INDEX('ASIGNACIONES'!$M$4:$M$451,MATCH($O734&amp;"|"&amp;$S734&amp;"|"&amp;$AH734,'ASIGNACIONES'!$N$4:$N$451,0)),0)-$AJ734)</f>
        <v/>
      </c>
      <c r="AL734" s="32">
        <f>IF($A734="","",IFERROR(INDEX('2_IMPORTAR_EJECUCION'!$F$9:$F$1208,MATCH($AU734,'2_IMPORTAR_EJECUCION'!$J$9:$J$1208,0)),0))</f>
        <v/>
      </c>
      <c r="AM734" s="32">
        <f>IF($A734="","",MAX(0,IFERROR(INDEX('2_IMPORTAR_EJECUCION'!$H$9:$H$1208,MATCH($AU734,'2_IMPORTAR_EJECUCION'!$J$9:$J$1208,0)),0)-$AL734))</f>
        <v/>
      </c>
      <c r="AN734" s="32">
        <f>IF($A734="","",$AL734+$AM734)</f>
        <v/>
      </c>
      <c r="AO734" s="24">
        <f>IF($A734="","",IF(OR((IFERROR(INDEX('CAT_ACTIVIDADES'!$D$4:$D$26,MATCH($H734,'CAT_ACTIVIDADES'!$A$4:$A$26,0)),""))=0,(IFERROR(INDEX('CAT_ACTIVIDADES'!$D$4:$D$26,MATCH($H734,'CAT_ACTIVIDADES'!$A$4:$A$26,0)),""))=""),"SIN CLASIFICAR",IFERROR(INDEX('CAT_ACTIVIDADES'!$D$4:$D$26,MATCH($H734,'CAT_ACTIVIDADES'!$A$4:$A$26,0)),"")))</f>
        <v/>
      </c>
      <c r="AP734" s="4" t="n"/>
      <c r="AQ734" s="4" t="n"/>
      <c r="AR734" s="4" t="n"/>
      <c r="AS734" s="24">
        <f>IF($AR734="","",HYPERLINK(p_ruta_base_checklists&amp;$AR734,"abrir"))</f>
        <v/>
      </c>
      <c r="AT734" s="4" t="n"/>
      <c r="AU734" s="24">
        <f>IF($A734="","",$A734&amp;IF($B734="","0010",$B734))</f>
        <v/>
      </c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41" t="n"/>
      <c r="K735" s="5" t="n"/>
      <c r="L735" s="18" t="n"/>
      <c r="M735" s="24">
        <f>IF($A735="","",IFERROR(INDEX('AJUSTES'!$B$4:$B$303,MATCH($AU735,'AJUSTES'!$A$4:$A$303,0)),IF($K735="","",$K735)))</f>
        <v/>
      </c>
      <c r="N735" s="24">
        <f>IF($A735="","",IFERROR(INDEX('CAT_ESTADOS_ERP'!$B$4:$B$22,MATCH(IFERROR(INDEX('2_IMPORTAR_EJECUCION'!$C$9:$C$1208,MATCH($AU735,'2_IMPORTAR_EJECUCION'!$J$9:$J$1208,0)),""),'CAT_ESTADOS_ERP'!$A$4:$A$22,0)),"Pendiente"))</f>
        <v/>
      </c>
      <c r="O735" s="24">
        <f>IF($J735="","",YEAR($J735+4-WEEKDAY($J735,2))&amp;"-S"&amp;TEXT(_xlfn.ISOWEEKNUM($J735),"00"))</f>
        <v/>
      </c>
      <c r="P735" s="24">
        <f>IF($J735="","",YEAR($J735))</f>
        <v/>
      </c>
      <c r="Q735" s="24">
        <f>IF($J735="","",MONTH($J735))</f>
        <v/>
      </c>
      <c r="R735" s="24">
        <f>IF($J735="","",$P735&amp;"-"&amp;TEXT($Q735,"00"))</f>
        <v/>
      </c>
      <c r="S735" s="24">
        <f>IF($J735="","",INDEX(lista_dias,WEEKDAY($J735,2)))</f>
        <v/>
      </c>
      <c r="T735" s="24">
        <f>IF($J735="","",IFERROR(INDEX('CALENDARIO'!$C$15:$C$214,MATCH(TEXT($J735,"yyyy-mm-dd")&amp;"|"&amp;$Y735&amp;"|"&amp;$Z735,'CALENDARIO'!$G$15:$G$214,0)),IFERROR(INDEX('CALENDARIO'!$C$15:$C$214,MATCH(TEXT($J735,"yyyy-mm-dd")&amp;"|"&amp;$Y735&amp;"|",'CALENDARIO'!$G$15:$G$214,0)),IFERROR(INDEX('CALENDARIO'!$C$15:$C$214,MATCH(TEXT($J735,"yyyy-mm-dd")&amp;"||",'CALENDARIO'!$G$15:$G$214,0)),INDEX(patronHabil,WEEKDAY($J735,2))))))</f>
        <v/>
      </c>
      <c r="U735" s="24">
        <f>IF($I735="","",IFERROR(INDEX('CAT_TIPOS_OT'!$C$4:$C$23,MATCH($I735,'CAT_TIPOS_OT'!$A$4:$A$23,0)),"sin_clasificar"))</f>
        <v/>
      </c>
      <c r="V735" s="24">
        <f>IF($I735="","",IF(IFERROR(INDEX('CAT_TIPOS_OT'!$D$4:$D$23,MATCH($I735,'CAT_TIPOS_OT'!$A$4:$A$23,0)),"SIN CLASIFICAR")="","SIN CLASIFICAR",IFERROR(INDEX('CAT_TIPOS_OT'!$D$4:$D$23,MATCH($I735,'CAT_TIPOS_OT'!$A$4:$A$23,0)),"SIN CLASIFICAR")))</f>
        <v/>
      </c>
      <c r="W735" s="24">
        <f>IF($H735="","",IF(IFERROR(INDEX('CAT_ACTIVIDADES'!$F$4:$F$26,MATCH($H735,'CAT_ACTIVIDADES'!$A$4:$A$26,0)),"")=0,"",IFERROR(INDEX('CAT_ACTIVIDADES'!$F$4:$F$26,MATCH($H735,'CAT_ACTIVIDADES'!$A$4:$A$26,0)),"")))</f>
        <v/>
      </c>
      <c r="X735" s="24">
        <f>IF($F735="","",IFERROR(INDEX('CAT_CENTROS_COSTO'!$F$4:$F$28,MATCH($F735,'CAT_CENTROS_COSTO'!$A$4:$A$28,0)),"(sin catálogo)"))</f>
        <v/>
      </c>
      <c r="Y735" s="24">
        <f>IF($F735="","",IFERROR(INDEX('CAT_CENTROS_COSTO'!$D$4:$D$28,MATCH($F735,'CAT_CENTROS_COSTO'!$A$4:$A$28,0)),"(sin catálogo)"))</f>
        <v/>
      </c>
      <c r="Z735" s="24">
        <f>IF($F735="","",IF((IFERROR(INDEX('CAT_CENTROS_COSTO'!$E$4:$E$28,MATCH($F735,'CAT_CENTROS_COSTO'!$A$4:$A$28,0)),""))&lt;&gt;"",IFERROR(INDEX('CAT_CENTROS_COSTO'!$E$4:$E$28,MATCH($F735,'CAT_CENTROS_COSTO'!$A$4:$A$28,0)),""),$Y735))</f>
        <v/>
      </c>
      <c r="AA735" s="24">
        <f>IF($F735="","",IFERROR(INDEX('CAT_CENTROS_COSTO'!$G$4:$G$28,MATCH($F735,'CAT_CENTROS_COSTO'!$A$4:$A$28,0)),"(sin catálogo)"))</f>
        <v/>
      </c>
      <c r="AB735" s="24">
        <f>IF($G735="","",IFERROR(INDEX('CAT_PUESTOS'!$B$4:$B$23,MATCH($G735,'CAT_PUESTOS'!$A$4:$A$23,0)),"(sin catálogo)"))</f>
        <v/>
      </c>
      <c r="AC735" s="24">
        <f>IF($H735="","",IFERROR(INDEX('CAT_ACTIVIDADES'!$B$4:$B$26,MATCH($H735,'CAT_ACTIVIDADES'!$A$4:$A$26,0)),"(sin catálogo)"))</f>
        <v/>
      </c>
      <c r="AD735" s="26">
        <f>IF($J735="","",TODAY()-$J735)</f>
        <v/>
      </c>
      <c r="AE735" s="26">
        <f>IF($J735="","",IF($J735&lt;=TODAY(),COUNTIFS(cal_fechas,"&gt;="&amp;$J735,cal_fechas,"&lt;"&amp;TODAY(),cal_habil,"sí"),-COUNTIFS(cal_fechas,"&gt;="&amp;TODAY(),cal_fechas,"&lt;"&amp;$J735,cal_habil,"sí")))</f>
        <v/>
      </c>
      <c r="AF735" s="24">
        <f>IF($AE735="","",IF($AE735&lt;0,"FUTURO",IF($AE735&gt;p_dias_backlog_max,"BACKLOG","MES CORRIENTE")))</f>
        <v/>
      </c>
      <c r="AG735" s="24">
        <f>IF($AE735="",FALSE,AND($AE735&gt;p_dias_backlog_min,$AE735&lt;=p_dias_backlog_max))</f>
        <v/>
      </c>
      <c r="AH735" s="4" t="n"/>
      <c r="AI735" s="24">
        <f>IF($AH735="","",IF((IFERROR(INDEX('ASIGNACIONES'!$J$4:$J$451,MATCH($O735&amp;"|"&amp;$S735&amp;"|"&amp;$AH735,'ASIGNACIONES'!$N$4:$N$451,0)),""))=0,"",IFERROR(INDEX('ASIGNACIONES'!$J$4:$J$451,MATCH($O735&amp;"|"&amp;$S735&amp;"|"&amp;$AH735,'ASIGNACIONES'!$N$4:$N$451,0)),"")))</f>
        <v/>
      </c>
      <c r="AJ735" s="42">
        <f>IF($AH735="","",SUMIFS('ORDENES'!$M$4:$M$1203,'ORDENES'!$AH$4:$AH$1203,$AH735,'ORDENES'!$O$4:$O$1203,$O735,'ORDENES'!$S$4:$S$1203,$S735))</f>
        <v/>
      </c>
      <c r="AK735" s="42">
        <f>IF($AJ735="","",p_factor_productividad*IFERROR(INDEX('ASIGNACIONES'!$M$4:$M$451,MATCH($O735&amp;"|"&amp;$S735&amp;"|"&amp;$AH735,'ASIGNACIONES'!$N$4:$N$451,0)),0)-$AJ735)</f>
        <v/>
      </c>
      <c r="AL735" s="32">
        <f>IF($A735="","",IFERROR(INDEX('2_IMPORTAR_EJECUCION'!$F$9:$F$1208,MATCH($AU735,'2_IMPORTAR_EJECUCION'!$J$9:$J$1208,0)),0))</f>
        <v/>
      </c>
      <c r="AM735" s="32">
        <f>IF($A735="","",MAX(0,IFERROR(INDEX('2_IMPORTAR_EJECUCION'!$H$9:$H$1208,MATCH($AU735,'2_IMPORTAR_EJECUCION'!$J$9:$J$1208,0)),0)-$AL735))</f>
        <v/>
      </c>
      <c r="AN735" s="32">
        <f>IF($A735="","",$AL735+$AM735)</f>
        <v/>
      </c>
      <c r="AO735" s="24">
        <f>IF($A735="","",IF(OR((IFERROR(INDEX('CAT_ACTIVIDADES'!$D$4:$D$26,MATCH($H735,'CAT_ACTIVIDADES'!$A$4:$A$26,0)),""))=0,(IFERROR(INDEX('CAT_ACTIVIDADES'!$D$4:$D$26,MATCH($H735,'CAT_ACTIVIDADES'!$A$4:$A$26,0)),""))=""),"SIN CLASIFICAR",IFERROR(INDEX('CAT_ACTIVIDADES'!$D$4:$D$26,MATCH($H735,'CAT_ACTIVIDADES'!$A$4:$A$26,0)),"")))</f>
        <v/>
      </c>
      <c r="AP735" s="4" t="n"/>
      <c r="AQ735" s="4" t="n"/>
      <c r="AR735" s="4" t="n"/>
      <c r="AS735" s="24">
        <f>IF($AR735="","",HYPERLINK(p_ruta_base_checklists&amp;$AR735,"abrir"))</f>
        <v/>
      </c>
      <c r="AT735" s="4" t="n"/>
      <c r="AU735" s="24">
        <f>IF($A735="","",$A735&amp;IF($B735="","0010",$B735))</f>
        <v/>
      </c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41" t="n"/>
      <c r="K736" s="5" t="n"/>
      <c r="L736" s="18" t="n"/>
      <c r="M736" s="24">
        <f>IF($A736="","",IFERROR(INDEX('AJUSTES'!$B$4:$B$303,MATCH($AU736,'AJUSTES'!$A$4:$A$303,0)),IF($K736="","",$K736)))</f>
        <v/>
      </c>
      <c r="N736" s="24">
        <f>IF($A736="","",IFERROR(INDEX('CAT_ESTADOS_ERP'!$B$4:$B$22,MATCH(IFERROR(INDEX('2_IMPORTAR_EJECUCION'!$C$9:$C$1208,MATCH($AU736,'2_IMPORTAR_EJECUCION'!$J$9:$J$1208,0)),""),'CAT_ESTADOS_ERP'!$A$4:$A$22,0)),"Pendiente"))</f>
        <v/>
      </c>
      <c r="O736" s="24">
        <f>IF($J736="","",YEAR($J736+4-WEEKDAY($J736,2))&amp;"-S"&amp;TEXT(_xlfn.ISOWEEKNUM($J736),"00"))</f>
        <v/>
      </c>
      <c r="P736" s="24">
        <f>IF($J736="","",YEAR($J736))</f>
        <v/>
      </c>
      <c r="Q736" s="24">
        <f>IF($J736="","",MONTH($J736))</f>
        <v/>
      </c>
      <c r="R736" s="24">
        <f>IF($J736="","",$P736&amp;"-"&amp;TEXT($Q736,"00"))</f>
        <v/>
      </c>
      <c r="S736" s="24">
        <f>IF($J736="","",INDEX(lista_dias,WEEKDAY($J736,2)))</f>
        <v/>
      </c>
      <c r="T736" s="24">
        <f>IF($J736="","",IFERROR(INDEX('CALENDARIO'!$C$15:$C$214,MATCH(TEXT($J736,"yyyy-mm-dd")&amp;"|"&amp;$Y736&amp;"|"&amp;$Z736,'CALENDARIO'!$G$15:$G$214,0)),IFERROR(INDEX('CALENDARIO'!$C$15:$C$214,MATCH(TEXT($J736,"yyyy-mm-dd")&amp;"|"&amp;$Y736&amp;"|",'CALENDARIO'!$G$15:$G$214,0)),IFERROR(INDEX('CALENDARIO'!$C$15:$C$214,MATCH(TEXT($J736,"yyyy-mm-dd")&amp;"||",'CALENDARIO'!$G$15:$G$214,0)),INDEX(patronHabil,WEEKDAY($J736,2))))))</f>
        <v/>
      </c>
      <c r="U736" s="24">
        <f>IF($I736="","",IFERROR(INDEX('CAT_TIPOS_OT'!$C$4:$C$23,MATCH($I736,'CAT_TIPOS_OT'!$A$4:$A$23,0)),"sin_clasificar"))</f>
        <v/>
      </c>
      <c r="V736" s="24">
        <f>IF($I736="","",IF(IFERROR(INDEX('CAT_TIPOS_OT'!$D$4:$D$23,MATCH($I736,'CAT_TIPOS_OT'!$A$4:$A$23,0)),"SIN CLASIFICAR")="","SIN CLASIFICAR",IFERROR(INDEX('CAT_TIPOS_OT'!$D$4:$D$23,MATCH($I736,'CAT_TIPOS_OT'!$A$4:$A$23,0)),"SIN CLASIFICAR")))</f>
        <v/>
      </c>
      <c r="W736" s="24">
        <f>IF($H736="","",IF(IFERROR(INDEX('CAT_ACTIVIDADES'!$F$4:$F$26,MATCH($H736,'CAT_ACTIVIDADES'!$A$4:$A$26,0)),"")=0,"",IFERROR(INDEX('CAT_ACTIVIDADES'!$F$4:$F$26,MATCH($H736,'CAT_ACTIVIDADES'!$A$4:$A$26,0)),"")))</f>
        <v/>
      </c>
      <c r="X736" s="24">
        <f>IF($F736="","",IFERROR(INDEX('CAT_CENTROS_COSTO'!$F$4:$F$28,MATCH($F736,'CAT_CENTROS_COSTO'!$A$4:$A$28,0)),"(sin catálogo)"))</f>
        <v/>
      </c>
      <c r="Y736" s="24">
        <f>IF($F736="","",IFERROR(INDEX('CAT_CENTROS_COSTO'!$D$4:$D$28,MATCH($F736,'CAT_CENTROS_COSTO'!$A$4:$A$28,0)),"(sin catálogo)"))</f>
        <v/>
      </c>
      <c r="Z736" s="24">
        <f>IF($F736="","",IF((IFERROR(INDEX('CAT_CENTROS_COSTO'!$E$4:$E$28,MATCH($F736,'CAT_CENTROS_COSTO'!$A$4:$A$28,0)),""))&lt;&gt;"",IFERROR(INDEX('CAT_CENTROS_COSTO'!$E$4:$E$28,MATCH($F736,'CAT_CENTROS_COSTO'!$A$4:$A$28,0)),""),$Y736))</f>
        <v/>
      </c>
      <c r="AA736" s="24">
        <f>IF($F736="","",IFERROR(INDEX('CAT_CENTROS_COSTO'!$G$4:$G$28,MATCH($F736,'CAT_CENTROS_COSTO'!$A$4:$A$28,0)),"(sin catálogo)"))</f>
        <v/>
      </c>
      <c r="AB736" s="24">
        <f>IF($G736="","",IFERROR(INDEX('CAT_PUESTOS'!$B$4:$B$23,MATCH($G736,'CAT_PUESTOS'!$A$4:$A$23,0)),"(sin catálogo)"))</f>
        <v/>
      </c>
      <c r="AC736" s="24">
        <f>IF($H736="","",IFERROR(INDEX('CAT_ACTIVIDADES'!$B$4:$B$26,MATCH($H736,'CAT_ACTIVIDADES'!$A$4:$A$26,0)),"(sin catálogo)"))</f>
        <v/>
      </c>
      <c r="AD736" s="26">
        <f>IF($J736="","",TODAY()-$J736)</f>
        <v/>
      </c>
      <c r="AE736" s="26">
        <f>IF($J736="","",IF($J736&lt;=TODAY(),COUNTIFS(cal_fechas,"&gt;="&amp;$J736,cal_fechas,"&lt;"&amp;TODAY(),cal_habil,"sí"),-COUNTIFS(cal_fechas,"&gt;="&amp;TODAY(),cal_fechas,"&lt;"&amp;$J736,cal_habil,"sí")))</f>
        <v/>
      </c>
      <c r="AF736" s="24">
        <f>IF($AE736="","",IF($AE736&lt;0,"FUTURO",IF($AE736&gt;p_dias_backlog_max,"BACKLOG","MES CORRIENTE")))</f>
        <v/>
      </c>
      <c r="AG736" s="24">
        <f>IF($AE736="",FALSE,AND($AE736&gt;p_dias_backlog_min,$AE736&lt;=p_dias_backlog_max))</f>
        <v/>
      </c>
      <c r="AH736" s="4" t="n"/>
      <c r="AI736" s="24">
        <f>IF($AH736="","",IF((IFERROR(INDEX('ASIGNACIONES'!$J$4:$J$451,MATCH($O736&amp;"|"&amp;$S736&amp;"|"&amp;$AH736,'ASIGNACIONES'!$N$4:$N$451,0)),""))=0,"",IFERROR(INDEX('ASIGNACIONES'!$J$4:$J$451,MATCH($O736&amp;"|"&amp;$S736&amp;"|"&amp;$AH736,'ASIGNACIONES'!$N$4:$N$451,0)),"")))</f>
        <v/>
      </c>
      <c r="AJ736" s="42">
        <f>IF($AH736="","",SUMIFS('ORDENES'!$M$4:$M$1203,'ORDENES'!$AH$4:$AH$1203,$AH736,'ORDENES'!$O$4:$O$1203,$O736,'ORDENES'!$S$4:$S$1203,$S736))</f>
        <v/>
      </c>
      <c r="AK736" s="42">
        <f>IF($AJ736="","",p_factor_productividad*IFERROR(INDEX('ASIGNACIONES'!$M$4:$M$451,MATCH($O736&amp;"|"&amp;$S736&amp;"|"&amp;$AH736,'ASIGNACIONES'!$N$4:$N$451,0)),0)-$AJ736)</f>
        <v/>
      </c>
      <c r="AL736" s="32">
        <f>IF($A736="","",IFERROR(INDEX('2_IMPORTAR_EJECUCION'!$F$9:$F$1208,MATCH($AU736,'2_IMPORTAR_EJECUCION'!$J$9:$J$1208,0)),0))</f>
        <v/>
      </c>
      <c r="AM736" s="32">
        <f>IF($A736="","",MAX(0,IFERROR(INDEX('2_IMPORTAR_EJECUCION'!$H$9:$H$1208,MATCH($AU736,'2_IMPORTAR_EJECUCION'!$J$9:$J$1208,0)),0)-$AL736))</f>
        <v/>
      </c>
      <c r="AN736" s="32">
        <f>IF($A736="","",$AL736+$AM736)</f>
        <v/>
      </c>
      <c r="AO736" s="24">
        <f>IF($A736="","",IF(OR((IFERROR(INDEX('CAT_ACTIVIDADES'!$D$4:$D$26,MATCH($H736,'CAT_ACTIVIDADES'!$A$4:$A$26,0)),""))=0,(IFERROR(INDEX('CAT_ACTIVIDADES'!$D$4:$D$26,MATCH($H736,'CAT_ACTIVIDADES'!$A$4:$A$26,0)),""))=""),"SIN CLASIFICAR",IFERROR(INDEX('CAT_ACTIVIDADES'!$D$4:$D$26,MATCH($H736,'CAT_ACTIVIDADES'!$A$4:$A$26,0)),"")))</f>
        <v/>
      </c>
      <c r="AP736" s="4" t="n"/>
      <c r="AQ736" s="4" t="n"/>
      <c r="AR736" s="4" t="n"/>
      <c r="AS736" s="24">
        <f>IF($AR736="","",HYPERLINK(p_ruta_base_checklists&amp;$AR736,"abrir"))</f>
        <v/>
      </c>
      <c r="AT736" s="4" t="n"/>
      <c r="AU736" s="24">
        <f>IF($A736="","",$A736&amp;IF($B736="","0010",$B736))</f>
        <v/>
      </c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41" t="n"/>
      <c r="K737" s="5" t="n"/>
      <c r="L737" s="18" t="n"/>
      <c r="M737" s="24">
        <f>IF($A737="","",IFERROR(INDEX('AJUSTES'!$B$4:$B$303,MATCH($AU737,'AJUSTES'!$A$4:$A$303,0)),IF($K737="","",$K737)))</f>
        <v/>
      </c>
      <c r="N737" s="24">
        <f>IF($A737="","",IFERROR(INDEX('CAT_ESTADOS_ERP'!$B$4:$B$22,MATCH(IFERROR(INDEX('2_IMPORTAR_EJECUCION'!$C$9:$C$1208,MATCH($AU737,'2_IMPORTAR_EJECUCION'!$J$9:$J$1208,0)),""),'CAT_ESTADOS_ERP'!$A$4:$A$22,0)),"Pendiente"))</f>
        <v/>
      </c>
      <c r="O737" s="24">
        <f>IF($J737="","",YEAR($J737+4-WEEKDAY($J737,2))&amp;"-S"&amp;TEXT(_xlfn.ISOWEEKNUM($J737),"00"))</f>
        <v/>
      </c>
      <c r="P737" s="24">
        <f>IF($J737="","",YEAR($J737))</f>
        <v/>
      </c>
      <c r="Q737" s="24">
        <f>IF($J737="","",MONTH($J737))</f>
        <v/>
      </c>
      <c r="R737" s="24">
        <f>IF($J737="","",$P737&amp;"-"&amp;TEXT($Q737,"00"))</f>
        <v/>
      </c>
      <c r="S737" s="24">
        <f>IF($J737="","",INDEX(lista_dias,WEEKDAY($J737,2)))</f>
        <v/>
      </c>
      <c r="T737" s="24">
        <f>IF($J737="","",IFERROR(INDEX('CALENDARIO'!$C$15:$C$214,MATCH(TEXT($J737,"yyyy-mm-dd")&amp;"|"&amp;$Y737&amp;"|"&amp;$Z737,'CALENDARIO'!$G$15:$G$214,0)),IFERROR(INDEX('CALENDARIO'!$C$15:$C$214,MATCH(TEXT($J737,"yyyy-mm-dd")&amp;"|"&amp;$Y737&amp;"|",'CALENDARIO'!$G$15:$G$214,0)),IFERROR(INDEX('CALENDARIO'!$C$15:$C$214,MATCH(TEXT($J737,"yyyy-mm-dd")&amp;"||",'CALENDARIO'!$G$15:$G$214,0)),INDEX(patronHabil,WEEKDAY($J737,2))))))</f>
        <v/>
      </c>
      <c r="U737" s="24">
        <f>IF($I737="","",IFERROR(INDEX('CAT_TIPOS_OT'!$C$4:$C$23,MATCH($I737,'CAT_TIPOS_OT'!$A$4:$A$23,0)),"sin_clasificar"))</f>
        <v/>
      </c>
      <c r="V737" s="24">
        <f>IF($I737="","",IF(IFERROR(INDEX('CAT_TIPOS_OT'!$D$4:$D$23,MATCH($I737,'CAT_TIPOS_OT'!$A$4:$A$23,0)),"SIN CLASIFICAR")="","SIN CLASIFICAR",IFERROR(INDEX('CAT_TIPOS_OT'!$D$4:$D$23,MATCH($I737,'CAT_TIPOS_OT'!$A$4:$A$23,0)),"SIN CLASIFICAR")))</f>
        <v/>
      </c>
      <c r="W737" s="24">
        <f>IF($H737="","",IF(IFERROR(INDEX('CAT_ACTIVIDADES'!$F$4:$F$26,MATCH($H737,'CAT_ACTIVIDADES'!$A$4:$A$26,0)),"")=0,"",IFERROR(INDEX('CAT_ACTIVIDADES'!$F$4:$F$26,MATCH($H737,'CAT_ACTIVIDADES'!$A$4:$A$26,0)),"")))</f>
        <v/>
      </c>
      <c r="X737" s="24">
        <f>IF($F737="","",IFERROR(INDEX('CAT_CENTROS_COSTO'!$F$4:$F$28,MATCH($F737,'CAT_CENTROS_COSTO'!$A$4:$A$28,0)),"(sin catálogo)"))</f>
        <v/>
      </c>
      <c r="Y737" s="24">
        <f>IF($F737="","",IFERROR(INDEX('CAT_CENTROS_COSTO'!$D$4:$D$28,MATCH($F737,'CAT_CENTROS_COSTO'!$A$4:$A$28,0)),"(sin catálogo)"))</f>
        <v/>
      </c>
      <c r="Z737" s="24">
        <f>IF($F737="","",IF((IFERROR(INDEX('CAT_CENTROS_COSTO'!$E$4:$E$28,MATCH($F737,'CAT_CENTROS_COSTO'!$A$4:$A$28,0)),""))&lt;&gt;"",IFERROR(INDEX('CAT_CENTROS_COSTO'!$E$4:$E$28,MATCH($F737,'CAT_CENTROS_COSTO'!$A$4:$A$28,0)),""),$Y737))</f>
        <v/>
      </c>
      <c r="AA737" s="24">
        <f>IF($F737="","",IFERROR(INDEX('CAT_CENTROS_COSTO'!$G$4:$G$28,MATCH($F737,'CAT_CENTROS_COSTO'!$A$4:$A$28,0)),"(sin catálogo)"))</f>
        <v/>
      </c>
      <c r="AB737" s="24">
        <f>IF($G737="","",IFERROR(INDEX('CAT_PUESTOS'!$B$4:$B$23,MATCH($G737,'CAT_PUESTOS'!$A$4:$A$23,0)),"(sin catálogo)"))</f>
        <v/>
      </c>
      <c r="AC737" s="24">
        <f>IF($H737="","",IFERROR(INDEX('CAT_ACTIVIDADES'!$B$4:$B$26,MATCH($H737,'CAT_ACTIVIDADES'!$A$4:$A$26,0)),"(sin catálogo)"))</f>
        <v/>
      </c>
      <c r="AD737" s="26">
        <f>IF($J737="","",TODAY()-$J737)</f>
        <v/>
      </c>
      <c r="AE737" s="26">
        <f>IF($J737="","",IF($J737&lt;=TODAY(),COUNTIFS(cal_fechas,"&gt;="&amp;$J737,cal_fechas,"&lt;"&amp;TODAY(),cal_habil,"sí"),-COUNTIFS(cal_fechas,"&gt;="&amp;TODAY(),cal_fechas,"&lt;"&amp;$J737,cal_habil,"sí")))</f>
        <v/>
      </c>
      <c r="AF737" s="24">
        <f>IF($AE737="","",IF($AE737&lt;0,"FUTURO",IF($AE737&gt;p_dias_backlog_max,"BACKLOG","MES CORRIENTE")))</f>
        <v/>
      </c>
      <c r="AG737" s="24">
        <f>IF($AE737="",FALSE,AND($AE737&gt;p_dias_backlog_min,$AE737&lt;=p_dias_backlog_max))</f>
        <v/>
      </c>
      <c r="AH737" s="4" t="n"/>
      <c r="AI737" s="24">
        <f>IF($AH737="","",IF((IFERROR(INDEX('ASIGNACIONES'!$J$4:$J$451,MATCH($O737&amp;"|"&amp;$S737&amp;"|"&amp;$AH737,'ASIGNACIONES'!$N$4:$N$451,0)),""))=0,"",IFERROR(INDEX('ASIGNACIONES'!$J$4:$J$451,MATCH($O737&amp;"|"&amp;$S737&amp;"|"&amp;$AH737,'ASIGNACIONES'!$N$4:$N$451,0)),"")))</f>
        <v/>
      </c>
      <c r="AJ737" s="42">
        <f>IF($AH737="","",SUMIFS('ORDENES'!$M$4:$M$1203,'ORDENES'!$AH$4:$AH$1203,$AH737,'ORDENES'!$O$4:$O$1203,$O737,'ORDENES'!$S$4:$S$1203,$S737))</f>
        <v/>
      </c>
      <c r="AK737" s="42">
        <f>IF($AJ737="","",p_factor_productividad*IFERROR(INDEX('ASIGNACIONES'!$M$4:$M$451,MATCH($O737&amp;"|"&amp;$S737&amp;"|"&amp;$AH737,'ASIGNACIONES'!$N$4:$N$451,0)),0)-$AJ737)</f>
        <v/>
      </c>
      <c r="AL737" s="32">
        <f>IF($A737="","",IFERROR(INDEX('2_IMPORTAR_EJECUCION'!$F$9:$F$1208,MATCH($AU737,'2_IMPORTAR_EJECUCION'!$J$9:$J$1208,0)),0))</f>
        <v/>
      </c>
      <c r="AM737" s="32">
        <f>IF($A737="","",MAX(0,IFERROR(INDEX('2_IMPORTAR_EJECUCION'!$H$9:$H$1208,MATCH($AU737,'2_IMPORTAR_EJECUCION'!$J$9:$J$1208,0)),0)-$AL737))</f>
        <v/>
      </c>
      <c r="AN737" s="32">
        <f>IF($A737="","",$AL737+$AM737)</f>
        <v/>
      </c>
      <c r="AO737" s="24">
        <f>IF($A737="","",IF(OR((IFERROR(INDEX('CAT_ACTIVIDADES'!$D$4:$D$26,MATCH($H737,'CAT_ACTIVIDADES'!$A$4:$A$26,0)),""))=0,(IFERROR(INDEX('CAT_ACTIVIDADES'!$D$4:$D$26,MATCH($H737,'CAT_ACTIVIDADES'!$A$4:$A$26,0)),""))=""),"SIN CLASIFICAR",IFERROR(INDEX('CAT_ACTIVIDADES'!$D$4:$D$26,MATCH($H737,'CAT_ACTIVIDADES'!$A$4:$A$26,0)),"")))</f>
        <v/>
      </c>
      <c r="AP737" s="4" t="n"/>
      <c r="AQ737" s="4" t="n"/>
      <c r="AR737" s="4" t="n"/>
      <c r="AS737" s="24">
        <f>IF($AR737="","",HYPERLINK(p_ruta_base_checklists&amp;$AR737,"abrir"))</f>
        <v/>
      </c>
      <c r="AT737" s="4" t="n"/>
      <c r="AU737" s="24">
        <f>IF($A737="","",$A737&amp;IF($B737="","0010",$B737))</f>
        <v/>
      </c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41" t="n"/>
      <c r="K738" s="5" t="n"/>
      <c r="L738" s="18" t="n"/>
      <c r="M738" s="24">
        <f>IF($A738="","",IFERROR(INDEX('AJUSTES'!$B$4:$B$303,MATCH($AU738,'AJUSTES'!$A$4:$A$303,0)),IF($K738="","",$K738)))</f>
        <v/>
      </c>
      <c r="N738" s="24">
        <f>IF($A738="","",IFERROR(INDEX('CAT_ESTADOS_ERP'!$B$4:$B$22,MATCH(IFERROR(INDEX('2_IMPORTAR_EJECUCION'!$C$9:$C$1208,MATCH($AU738,'2_IMPORTAR_EJECUCION'!$J$9:$J$1208,0)),""),'CAT_ESTADOS_ERP'!$A$4:$A$22,0)),"Pendiente"))</f>
        <v/>
      </c>
      <c r="O738" s="24">
        <f>IF($J738="","",YEAR($J738+4-WEEKDAY($J738,2))&amp;"-S"&amp;TEXT(_xlfn.ISOWEEKNUM($J738),"00"))</f>
        <v/>
      </c>
      <c r="P738" s="24">
        <f>IF($J738="","",YEAR($J738))</f>
        <v/>
      </c>
      <c r="Q738" s="24">
        <f>IF($J738="","",MONTH($J738))</f>
        <v/>
      </c>
      <c r="R738" s="24">
        <f>IF($J738="","",$P738&amp;"-"&amp;TEXT($Q738,"00"))</f>
        <v/>
      </c>
      <c r="S738" s="24">
        <f>IF($J738="","",INDEX(lista_dias,WEEKDAY($J738,2)))</f>
        <v/>
      </c>
      <c r="T738" s="24">
        <f>IF($J738="","",IFERROR(INDEX('CALENDARIO'!$C$15:$C$214,MATCH(TEXT($J738,"yyyy-mm-dd")&amp;"|"&amp;$Y738&amp;"|"&amp;$Z738,'CALENDARIO'!$G$15:$G$214,0)),IFERROR(INDEX('CALENDARIO'!$C$15:$C$214,MATCH(TEXT($J738,"yyyy-mm-dd")&amp;"|"&amp;$Y738&amp;"|",'CALENDARIO'!$G$15:$G$214,0)),IFERROR(INDEX('CALENDARIO'!$C$15:$C$214,MATCH(TEXT($J738,"yyyy-mm-dd")&amp;"||",'CALENDARIO'!$G$15:$G$214,0)),INDEX(patronHabil,WEEKDAY($J738,2))))))</f>
        <v/>
      </c>
      <c r="U738" s="24">
        <f>IF($I738="","",IFERROR(INDEX('CAT_TIPOS_OT'!$C$4:$C$23,MATCH($I738,'CAT_TIPOS_OT'!$A$4:$A$23,0)),"sin_clasificar"))</f>
        <v/>
      </c>
      <c r="V738" s="24">
        <f>IF($I738="","",IF(IFERROR(INDEX('CAT_TIPOS_OT'!$D$4:$D$23,MATCH($I738,'CAT_TIPOS_OT'!$A$4:$A$23,0)),"SIN CLASIFICAR")="","SIN CLASIFICAR",IFERROR(INDEX('CAT_TIPOS_OT'!$D$4:$D$23,MATCH($I738,'CAT_TIPOS_OT'!$A$4:$A$23,0)),"SIN CLASIFICAR")))</f>
        <v/>
      </c>
      <c r="W738" s="24">
        <f>IF($H738="","",IF(IFERROR(INDEX('CAT_ACTIVIDADES'!$F$4:$F$26,MATCH($H738,'CAT_ACTIVIDADES'!$A$4:$A$26,0)),"")=0,"",IFERROR(INDEX('CAT_ACTIVIDADES'!$F$4:$F$26,MATCH($H738,'CAT_ACTIVIDADES'!$A$4:$A$26,0)),"")))</f>
        <v/>
      </c>
      <c r="X738" s="24">
        <f>IF($F738="","",IFERROR(INDEX('CAT_CENTROS_COSTO'!$F$4:$F$28,MATCH($F738,'CAT_CENTROS_COSTO'!$A$4:$A$28,0)),"(sin catálogo)"))</f>
        <v/>
      </c>
      <c r="Y738" s="24">
        <f>IF($F738="","",IFERROR(INDEX('CAT_CENTROS_COSTO'!$D$4:$D$28,MATCH($F738,'CAT_CENTROS_COSTO'!$A$4:$A$28,0)),"(sin catálogo)"))</f>
        <v/>
      </c>
      <c r="Z738" s="24">
        <f>IF($F738="","",IF((IFERROR(INDEX('CAT_CENTROS_COSTO'!$E$4:$E$28,MATCH($F738,'CAT_CENTROS_COSTO'!$A$4:$A$28,0)),""))&lt;&gt;"",IFERROR(INDEX('CAT_CENTROS_COSTO'!$E$4:$E$28,MATCH($F738,'CAT_CENTROS_COSTO'!$A$4:$A$28,0)),""),$Y738))</f>
        <v/>
      </c>
      <c r="AA738" s="24">
        <f>IF($F738="","",IFERROR(INDEX('CAT_CENTROS_COSTO'!$G$4:$G$28,MATCH($F738,'CAT_CENTROS_COSTO'!$A$4:$A$28,0)),"(sin catálogo)"))</f>
        <v/>
      </c>
      <c r="AB738" s="24">
        <f>IF($G738="","",IFERROR(INDEX('CAT_PUESTOS'!$B$4:$B$23,MATCH($G738,'CAT_PUESTOS'!$A$4:$A$23,0)),"(sin catálogo)"))</f>
        <v/>
      </c>
      <c r="AC738" s="24">
        <f>IF($H738="","",IFERROR(INDEX('CAT_ACTIVIDADES'!$B$4:$B$26,MATCH($H738,'CAT_ACTIVIDADES'!$A$4:$A$26,0)),"(sin catálogo)"))</f>
        <v/>
      </c>
      <c r="AD738" s="26">
        <f>IF($J738="","",TODAY()-$J738)</f>
        <v/>
      </c>
      <c r="AE738" s="26">
        <f>IF($J738="","",IF($J738&lt;=TODAY(),COUNTIFS(cal_fechas,"&gt;="&amp;$J738,cal_fechas,"&lt;"&amp;TODAY(),cal_habil,"sí"),-COUNTIFS(cal_fechas,"&gt;="&amp;TODAY(),cal_fechas,"&lt;"&amp;$J738,cal_habil,"sí")))</f>
        <v/>
      </c>
      <c r="AF738" s="24">
        <f>IF($AE738="","",IF($AE738&lt;0,"FUTURO",IF($AE738&gt;p_dias_backlog_max,"BACKLOG","MES CORRIENTE")))</f>
        <v/>
      </c>
      <c r="AG738" s="24">
        <f>IF($AE738="",FALSE,AND($AE738&gt;p_dias_backlog_min,$AE738&lt;=p_dias_backlog_max))</f>
        <v/>
      </c>
      <c r="AH738" s="4" t="n"/>
      <c r="AI738" s="24">
        <f>IF($AH738="","",IF((IFERROR(INDEX('ASIGNACIONES'!$J$4:$J$451,MATCH($O738&amp;"|"&amp;$S738&amp;"|"&amp;$AH738,'ASIGNACIONES'!$N$4:$N$451,0)),""))=0,"",IFERROR(INDEX('ASIGNACIONES'!$J$4:$J$451,MATCH($O738&amp;"|"&amp;$S738&amp;"|"&amp;$AH738,'ASIGNACIONES'!$N$4:$N$451,0)),"")))</f>
        <v/>
      </c>
      <c r="AJ738" s="42">
        <f>IF($AH738="","",SUMIFS('ORDENES'!$M$4:$M$1203,'ORDENES'!$AH$4:$AH$1203,$AH738,'ORDENES'!$O$4:$O$1203,$O738,'ORDENES'!$S$4:$S$1203,$S738))</f>
        <v/>
      </c>
      <c r="AK738" s="42">
        <f>IF($AJ738="","",p_factor_productividad*IFERROR(INDEX('ASIGNACIONES'!$M$4:$M$451,MATCH($O738&amp;"|"&amp;$S738&amp;"|"&amp;$AH738,'ASIGNACIONES'!$N$4:$N$451,0)),0)-$AJ738)</f>
        <v/>
      </c>
      <c r="AL738" s="32">
        <f>IF($A738="","",IFERROR(INDEX('2_IMPORTAR_EJECUCION'!$F$9:$F$1208,MATCH($AU738,'2_IMPORTAR_EJECUCION'!$J$9:$J$1208,0)),0))</f>
        <v/>
      </c>
      <c r="AM738" s="32">
        <f>IF($A738="","",MAX(0,IFERROR(INDEX('2_IMPORTAR_EJECUCION'!$H$9:$H$1208,MATCH($AU738,'2_IMPORTAR_EJECUCION'!$J$9:$J$1208,0)),0)-$AL738))</f>
        <v/>
      </c>
      <c r="AN738" s="32">
        <f>IF($A738="","",$AL738+$AM738)</f>
        <v/>
      </c>
      <c r="AO738" s="24">
        <f>IF($A738="","",IF(OR((IFERROR(INDEX('CAT_ACTIVIDADES'!$D$4:$D$26,MATCH($H738,'CAT_ACTIVIDADES'!$A$4:$A$26,0)),""))=0,(IFERROR(INDEX('CAT_ACTIVIDADES'!$D$4:$D$26,MATCH($H738,'CAT_ACTIVIDADES'!$A$4:$A$26,0)),""))=""),"SIN CLASIFICAR",IFERROR(INDEX('CAT_ACTIVIDADES'!$D$4:$D$26,MATCH($H738,'CAT_ACTIVIDADES'!$A$4:$A$26,0)),"")))</f>
        <v/>
      </c>
      <c r="AP738" s="4" t="n"/>
      <c r="AQ738" s="4" t="n"/>
      <c r="AR738" s="4" t="n"/>
      <c r="AS738" s="24">
        <f>IF($AR738="","",HYPERLINK(p_ruta_base_checklists&amp;$AR738,"abrir"))</f>
        <v/>
      </c>
      <c r="AT738" s="4" t="n"/>
      <c r="AU738" s="24">
        <f>IF($A738="","",$A738&amp;IF($B738="","0010",$B738))</f>
        <v/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41" t="n"/>
      <c r="K739" s="5" t="n"/>
      <c r="L739" s="18" t="n"/>
      <c r="M739" s="24">
        <f>IF($A739="","",IFERROR(INDEX('AJUSTES'!$B$4:$B$303,MATCH($AU739,'AJUSTES'!$A$4:$A$303,0)),IF($K739="","",$K739)))</f>
        <v/>
      </c>
      <c r="N739" s="24">
        <f>IF($A739="","",IFERROR(INDEX('CAT_ESTADOS_ERP'!$B$4:$B$22,MATCH(IFERROR(INDEX('2_IMPORTAR_EJECUCION'!$C$9:$C$1208,MATCH($AU739,'2_IMPORTAR_EJECUCION'!$J$9:$J$1208,0)),""),'CAT_ESTADOS_ERP'!$A$4:$A$22,0)),"Pendiente"))</f>
        <v/>
      </c>
      <c r="O739" s="24">
        <f>IF($J739="","",YEAR($J739+4-WEEKDAY($J739,2))&amp;"-S"&amp;TEXT(_xlfn.ISOWEEKNUM($J739),"00"))</f>
        <v/>
      </c>
      <c r="P739" s="24">
        <f>IF($J739="","",YEAR($J739))</f>
        <v/>
      </c>
      <c r="Q739" s="24">
        <f>IF($J739="","",MONTH($J739))</f>
        <v/>
      </c>
      <c r="R739" s="24">
        <f>IF($J739="","",$P739&amp;"-"&amp;TEXT($Q739,"00"))</f>
        <v/>
      </c>
      <c r="S739" s="24">
        <f>IF($J739="","",INDEX(lista_dias,WEEKDAY($J739,2)))</f>
        <v/>
      </c>
      <c r="T739" s="24">
        <f>IF($J739="","",IFERROR(INDEX('CALENDARIO'!$C$15:$C$214,MATCH(TEXT($J739,"yyyy-mm-dd")&amp;"|"&amp;$Y739&amp;"|"&amp;$Z739,'CALENDARIO'!$G$15:$G$214,0)),IFERROR(INDEX('CALENDARIO'!$C$15:$C$214,MATCH(TEXT($J739,"yyyy-mm-dd")&amp;"|"&amp;$Y739&amp;"|",'CALENDARIO'!$G$15:$G$214,0)),IFERROR(INDEX('CALENDARIO'!$C$15:$C$214,MATCH(TEXT($J739,"yyyy-mm-dd")&amp;"||",'CALENDARIO'!$G$15:$G$214,0)),INDEX(patronHabil,WEEKDAY($J739,2))))))</f>
        <v/>
      </c>
      <c r="U739" s="24">
        <f>IF($I739="","",IFERROR(INDEX('CAT_TIPOS_OT'!$C$4:$C$23,MATCH($I739,'CAT_TIPOS_OT'!$A$4:$A$23,0)),"sin_clasificar"))</f>
        <v/>
      </c>
      <c r="V739" s="24">
        <f>IF($I739="","",IF(IFERROR(INDEX('CAT_TIPOS_OT'!$D$4:$D$23,MATCH($I739,'CAT_TIPOS_OT'!$A$4:$A$23,0)),"SIN CLASIFICAR")="","SIN CLASIFICAR",IFERROR(INDEX('CAT_TIPOS_OT'!$D$4:$D$23,MATCH($I739,'CAT_TIPOS_OT'!$A$4:$A$23,0)),"SIN CLASIFICAR")))</f>
        <v/>
      </c>
      <c r="W739" s="24">
        <f>IF($H739="","",IF(IFERROR(INDEX('CAT_ACTIVIDADES'!$F$4:$F$26,MATCH($H739,'CAT_ACTIVIDADES'!$A$4:$A$26,0)),"")=0,"",IFERROR(INDEX('CAT_ACTIVIDADES'!$F$4:$F$26,MATCH($H739,'CAT_ACTIVIDADES'!$A$4:$A$26,0)),"")))</f>
        <v/>
      </c>
      <c r="X739" s="24">
        <f>IF($F739="","",IFERROR(INDEX('CAT_CENTROS_COSTO'!$F$4:$F$28,MATCH($F739,'CAT_CENTROS_COSTO'!$A$4:$A$28,0)),"(sin catálogo)"))</f>
        <v/>
      </c>
      <c r="Y739" s="24">
        <f>IF($F739="","",IFERROR(INDEX('CAT_CENTROS_COSTO'!$D$4:$D$28,MATCH($F739,'CAT_CENTROS_COSTO'!$A$4:$A$28,0)),"(sin catálogo)"))</f>
        <v/>
      </c>
      <c r="Z739" s="24">
        <f>IF($F739="","",IF((IFERROR(INDEX('CAT_CENTROS_COSTO'!$E$4:$E$28,MATCH($F739,'CAT_CENTROS_COSTO'!$A$4:$A$28,0)),""))&lt;&gt;"",IFERROR(INDEX('CAT_CENTROS_COSTO'!$E$4:$E$28,MATCH($F739,'CAT_CENTROS_COSTO'!$A$4:$A$28,0)),""),$Y739))</f>
        <v/>
      </c>
      <c r="AA739" s="24">
        <f>IF($F739="","",IFERROR(INDEX('CAT_CENTROS_COSTO'!$G$4:$G$28,MATCH($F739,'CAT_CENTROS_COSTO'!$A$4:$A$28,0)),"(sin catálogo)"))</f>
        <v/>
      </c>
      <c r="AB739" s="24">
        <f>IF($G739="","",IFERROR(INDEX('CAT_PUESTOS'!$B$4:$B$23,MATCH($G739,'CAT_PUESTOS'!$A$4:$A$23,0)),"(sin catálogo)"))</f>
        <v/>
      </c>
      <c r="AC739" s="24">
        <f>IF($H739="","",IFERROR(INDEX('CAT_ACTIVIDADES'!$B$4:$B$26,MATCH($H739,'CAT_ACTIVIDADES'!$A$4:$A$26,0)),"(sin catálogo)"))</f>
        <v/>
      </c>
      <c r="AD739" s="26">
        <f>IF($J739="","",TODAY()-$J739)</f>
        <v/>
      </c>
      <c r="AE739" s="26">
        <f>IF($J739="","",IF($J739&lt;=TODAY(),COUNTIFS(cal_fechas,"&gt;="&amp;$J739,cal_fechas,"&lt;"&amp;TODAY(),cal_habil,"sí"),-COUNTIFS(cal_fechas,"&gt;="&amp;TODAY(),cal_fechas,"&lt;"&amp;$J739,cal_habil,"sí")))</f>
        <v/>
      </c>
      <c r="AF739" s="24">
        <f>IF($AE739="","",IF($AE739&lt;0,"FUTURO",IF($AE739&gt;p_dias_backlog_max,"BACKLOG","MES CORRIENTE")))</f>
        <v/>
      </c>
      <c r="AG739" s="24">
        <f>IF($AE739="",FALSE,AND($AE739&gt;p_dias_backlog_min,$AE739&lt;=p_dias_backlog_max))</f>
        <v/>
      </c>
      <c r="AH739" s="4" t="n"/>
      <c r="AI739" s="24">
        <f>IF($AH739="","",IF((IFERROR(INDEX('ASIGNACIONES'!$J$4:$J$451,MATCH($O739&amp;"|"&amp;$S739&amp;"|"&amp;$AH739,'ASIGNACIONES'!$N$4:$N$451,0)),""))=0,"",IFERROR(INDEX('ASIGNACIONES'!$J$4:$J$451,MATCH($O739&amp;"|"&amp;$S739&amp;"|"&amp;$AH739,'ASIGNACIONES'!$N$4:$N$451,0)),"")))</f>
        <v/>
      </c>
      <c r="AJ739" s="42">
        <f>IF($AH739="","",SUMIFS('ORDENES'!$M$4:$M$1203,'ORDENES'!$AH$4:$AH$1203,$AH739,'ORDENES'!$O$4:$O$1203,$O739,'ORDENES'!$S$4:$S$1203,$S739))</f>
        <v/>
      </c>
      <c r="AK739" s="42">
        <f>IF($AJ739="","",p_factor_productividad*IFERROR(INDEX('ASIGNACIONES'!$M$4:$M$451,MATCH($O739&amp;"|"&amp;$S739&amp;"|"&amp;$AH739,'ASIGNACIONES'!$N$4:$N$451,0)),0)-$AJ739)</f>
        <v/>
      </c>
      <c r="AL739" s="32">
        <f>IF($A739="","",IFERROR(INDEX('2_IMPORTAR_EJECUCION'!$F$9:$F$1208,MATCH($AU739,'2_IMPORTAR_EJECUCION'!$J$9:$J$1208,0)),0))</f>
        <v/>
      </c>
      <c r="AM739" s="32">
        <f>IF($A739="","",MAX(0,IFERROR(INDEX('2_IMPORTAR_EJECUCION'!$H$9:$H$1208,MATCH($AU739,'2_IMPORTAR_EJECUCION'!$J$9:$J$1208,0)),0)-$AL739))</f>
        <v/>
      </c>
      <c r="AN739" s="32">
        <f>IF($A739="","",$AL739+$AM739)</f>
        <v/>
      </c>
      <c r="AO739" s="24">
        <f>IF($A739="","",IF(OR((IFERROR(INDEX('CAT_ACTIVIDADES'!$D$4:$D$26,MATCH($H739,'CAT_ACTIVIDADES'!$A$4:$A$26,0)),""))=0,(IFERROR(INDEX('CAT_ACTIVIDADES'!$D$4:$D$26,MATCH($H739,'CAT_ACTIVIDADES'!$A$4:$A$26,0)),""))=""),"SIN CLASIFICAR",IFERROR(INDEX('CAT_ACTIVIDADES'!$D$4:$D$26,MATCH($H739,'CAT_ACTIVIDADES'!$A$4:$A$26,0)),"")))</f>
        <v/>
      </c>
      <c r="AP739" s="4" t="n"/>
      <c r="AQ739" s="4" t="n"/>
      <c r="AR739" s="4" t="n"/>
      <c r="AS739" s="24">
        <f>IF($AR739="","",HYPERLINK(p_ruta_base_checklists&amp;$AR739,"abrir"))</f>
        <v/>
      </c>
      <c r="AT739" s="4" t="n"/>
      <c r="AU739" s="24">
        <f>IF($A739="","",$A739&amp;IF($B739="","0010",$B739))</f>
        <v/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41" t="n"/>
      <c r="K740" s="5" t="n"/>
      <c r="L740" s="18" t="n"/>
      <c r="M740" s="24">
        <f>IF($A740="","",IFERROR(INDEX('AJUSTES'!$B$4:$B$303,MATCH($AU740,'AJUSTES'!$A$4:$A$303,0)),IF($K740="","",$K740)))</f>
        <v/>
      </c>
      <c r="N740" s="24">
        <f>IF($A740="","",IFERROR(INDEX('CAT_ESTADOS_ERP'!$B$4:$B$22,MATCH(IFERROR(INDEX('2_IMPORTAR_EJECUCION'!$C$9:$C$1208,MATCH($AU740,'2_IMPORTAR_EJECUCION'!$J$9:$J$1208,0)),""),'CAT_ESTADOS_ERP'!$A$4:$A$22,0)),"Pendiente"))</f>
        <v/>
      </c>
      <c r="O740" s="24">
        <f>IF($J740="","",YEAR($J740+4-WEEKDAY($J740,2))&amp;"-S"&amp;TEXT(_xlfn.ISOWEEKNUM($J740),"00"))</f>
        <v/>
      </c>
      <c r="P740" s="24">
        <f>IF($J740="","",YEAR($J740))</f>
        <v/>
      </c>
      <c r="Q740" s="24">
        <f>IF($J740="","",MONTH($J740))</f>
        <v/>
      </c>
      <c r="R740" s="24">
        <f>IF($J740="","",$P740&amp;"-"&amp;TEXT($Q740,"00"))</f>
        <v/>
      </c>
      <c r="S740" s="24">
        <f>IF($J740="","",INDEX(lista_dias,WEEKDAY($J740,2)))</f>
        <v/>
      </c>
      <c r="T740" s="24">
        <f>IF($J740="","",IFERROR(INDEX('CALENDARIO'!$C$15:$C$214,MATCH(TEXT($J740,"yyyy-mm-dd")&amp;"|"&amp;$Y740&amp;"|"&amp;$Z740,'CALENDARIO'!$G$15:$G$214,0)),IFERROR(INDEX('CALENDARIO'!$C$15:$C$214,MATCH(TEXT($J740,"yyyy-mm-dd")&amp;"|"&amp;$Y740&amp;"|",'CALENDARIO'!$G$15:$G$214,0)),IFERROR(INDEX('CALENDARIO'!$C$15:$C$214,MATCH(TEXT($J740,"yyyy-mm-dd")&amp;"||",'CALENDARIO'!$G$15:$G$214,0)),INDEX(patronHabil,WEEKDAY($J740,2))))))</f>
        <v/>
      </c>
      <c r="U740" s="24">
        <f>IF($I740="","",IFERROR(INDEX('CAT_TIPOS_OT'!$C$4:$C$23,MATCH($I740,'CAT_TIPOS_OT'!$A$4:$A$23,0)),"sin_clasificar"))</f>
        <v/>
      </c>
      <c r="V740" s="24">
        <f>IF($I740="","",IF(IFERROR(INDEX('CAT_TIPOS_OT'!$D$4:$D$23,MATCH($I740,'CAT_TIPOS_OT'!$A$4:$A$23,0)),"SIN CLASIFICAR")="","SIN CLASIFICAR",IFERROR(INDEX('CAT_TIPOS_OT'!$D$4:$D$23,MATCH($I740,'CAT_TIPOS_OT'!$A$4:$A$23,0)),"SIN CLASIFICAR")))</f>
        <v/>
      </c>
      <c r="W740" s="24">
        <f>IF($H740="","",IF(IFERROR(INDEX('CAT_ACTIVIDADES'!$F$4:$F$26,MATCH($H740,'CAT_ACTIVIDADES'!$A$4:$A$26,0)),"")=0,"",IFERROR(INDEX('CAT_ACTIVIDADES'!$F$4:$F$26,MATCH($H740,'CAT_ACTIVIDADES'!$A$4:$A$26,0)),"")))</f>
        <v/>
      </c>
      <c r="X740" s="24">
        <f>IF($F740="","",IFERROR(INDEX('CAT_CENTROS_COSTO'!$F$4:$F$28,MATCH($F740,'CAT_CENTROS_COSTO'!$A$4:$A$28,0)),"(sin catálogo)"))</f>
        <v/>
      </c>
      <c r="Y740" s="24">
        <f>IF($F740="","",IFERROR(INDEX('CAT_CENTROS_COSTO'!$D$4:$D$28,MATCH($F740,'CAT_CENTROS_COSTO'!$A$4:$A$28,0)),"(sin catálogo)"))</f>
        <v/>
      </c>
      <c r="Z740" s="24">
        <f>IF($F740="","",IF((IFERROR(INDEX('CAT_CENTROS_COSTO'!$E$4:$E$28,MATCH($F740,'CAT_CENTROS_COSTO'!$A$4:$A$28,0)),""))&lt;&gt;"",IFERROR(INDEX('CAT_CENTROS_COSTO'!$E$4:$E$28,MATCH($F740,'CAT_CENTROS_COSTO'!$A$4:$A$28,0)),""),$Y740))</f>
        <v/>
      </c>
      <c r="AA740" s="24">
        <f>IF($F740="","",IFERROR(INDEX('CAT_CENTROS_COSTO'!$G$4:$G$28,MATCH($F740,'CAT_CENTROS_COSTO'!$A$4:$A$28,0)),"(sin catálogo)"))</f>
        <v/>
      </c>
      <c r="AB740" s="24">
        <f>IF($G740="","",IFERROR(INDEX('CAT_PUESTOS'!$B$4:$B$23,MATCH($G740,'CAT_PUESTOS'!$A$4:$A$23,0)),"(sin catálogo)"))</f>
        <v/>
      </c>
      <c r="AC740" s="24">
        <f>IF($H740="","",IFERROR(INDEX('CAT_ACTIVIDADES'!$B$4:$B$26,MATCH($H740,'CAT_ACTIVIDADES'!$A$4:$A$26,0)),"(sin catálogo)"))</f>
        <v/>
      </c>
      <c r="AD740" s="26">
        <f>IF($J740="","",TODAY()-$J740)</f>
        <v/>
      </c>
      <c r="AE740" s="26">
        <f>IF($J740="","",IF($J740&lt;=TODAY(),COUNTIFS(cal_fechas,"&gt;="&amp;$J740,cal_fechas,"&lt;"&amp;TODAY(),cal_habil,"sí"),-COUNTIFS(cal_fechas,"&gt;="&amp;TODAY(),cal_fechas,"&lt;"&amp;$J740,cal_habil,"sí")))</f>
        <v/>
      </c>
      <c r="AF740" s="24">
        <f>IF($AE740="","",IF($AE740&lt;0,"FUTURO",IF($AE740&gt;p_dias_backlog_max,"BACKLOG","MES CORRIENTE")))</f>
        <v/>
      </c>
      <c r="AG740" s="24">
        <f>IF($AE740="",FALSE,AND($AE740&gt;p_dias_backlog_min,$AE740&lt;=p_dias_backlog_max))</f>
        <v/>
      </c>
      <c r="AH740" s="4" t="n"/>
      <c r="AI740" s="24">
        <f>IF($AH740="","",IF((IFERROR(INDEX('ASIGNACIONES'!$J$4:$J$451,MATCH($O740&amp;"|"&amp;$S740&amp;"|"&amp;$AH740,'ASIGNACIONES'!$N$4:$N$451,0)),""))=0,"",IFERROR(INDEX('ASIGNACIONES'!$J$4:$J$451,MATCH($O740&amp;"|"&amp;$S740&amp;"|"&amp;$AH740,'ASIGNACIONES'!$N$4:$N$451,0)),"")))</f>
        <v/>
      </c>
      <c r="AJ740" s="42">
        <f>IF($AH740="","",SUMIFS('ORDENES'!$M$4:$M$1203,'ORDENES'!$AH$4:$AH$1203,$AH740,'ORDENES'!$O$4:$O$1203,$O740,'ORDENES'!$S$4:$S$1203,$S740))</f>
        <v/>
      </c>
      <c r="AK740" s="42">
        <f>IF($AJ740="","",p_factor_productividad*IFERROR(INDEX('ASIGNACIONES'!$M$4:$M$451,MATCH($O740&amp;"|"&amp;$S740&amp;"|"&amp;$AH740,'ASIGNACIONES'!$N$4:$N$451,0)),0)-$AJ740)</f>
        <v/>
      </c>
      <c r="AL740" s="32">
        <f>IF($A740="","",IFERROR(INDEX('2_IMPORTAR_EJECUCION'!$F$9:$F$1208,MATCH($AU740,'2_IMPORTAR_EJECUCION'!$J$9:$J$1208,0)),0))</f>
        <v/>
      </c>
      <c r="AM740" s="32">
        <f>IF($A740="","",MAX(0,IFERROR(INDEX('2_IMPORTAR_EJECUCION'!$H$9:$H$1208,MATCH($AU740,'2_IMPORTAR_EJECUCION'!$J$9:$J$1208,0)),0)-$AL740))</f>
        <v/>
      </c>
      <c r="AN740" s="32">
        <f>IF($A740="","",$AL740+$AM740)</f>
        <v/>
      </c>
      <c r="AO740" s="24">
        <f>IF($A740="","",IF(OR((IFERROR(INDEX('CAT_ACTIVIDADES'!$D$4:$D$26,MATCH($H740,'CAT_ACTIVIDADES'!$A$4:$A$26,0)),""))=0,(IFERROR(INDEX('CAT_ACTIVIDADES'!$D$4:$D$26,MATCH($H740,'CAT_ACTIVIDADES'!$A$4:$A$26,0)),""))=""),"SIN CLASIFICAR",IFERROR(INDEX('CAT_ACTIVIDADES'!$D$4:$D$26,MATCH($H740,'CAT_ACTIVIDADES'!$A$4:$A$26,0)),"")))</f>
        <v/>
      </c>
      <c r="AP740" s="4" t="n"/>
      <c r="AQ740" s="4" t="n"/>
      <c r="AR740" s="4" t="n"/>
      <c r="AS740" s="24">
        <f>IF($AR740="","",HYPERLINK(p_ruta_base_checklists&amp;$AR740,"abrir"))</f>
        <v/>
      </c>
      <c r="AT740" s="4" t="n"/>
      <c r="AU740" s="24">
        <f>IF($A740="","",$A740&amp;IF($B740="","0010",$B740))</f>
        <v/>
      </c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41" t="n"/>
      <c r="K741" s="5" t="n"/>
      <c r="L741" s="18" t="n"/>
      <c r="M741" s="24">
        <f>IF($A741="","",IFERROR(INDEX('AJUSTES'!$B$4:$B$303,MATCH($AU741,'AJUSTES'!$A$4:$A$303,0)),IF($K741="","",$K741)))</f>
        <v/>
      </c>
      <c r="N741" s="24">
        <f>IF($A741="","",IFERROR(INDEX('CAT_ESTADOS_ERP'!$B$4:$B$22,MATCH(IFERROR(INDEX('2_IMPORTAR_EJECUCION'!$C$9:$C$1208,MATCH($AU741,'2_IMPORTAR_EJECUCION'!$J$9:$J$1208,0)),""),'CAT_ESTADOS_ERP'!$A$4:$A$22,0)),"Pendiente"))</f>
        <v/>
      </c>
      <c r="O741" s="24">
        <f>IF($J741="","",YEAR($J741+4-WEEKDAY($J741,2))&amp;"-S"&amp;TEXT(_xlfn.ISOWEEKNUM($J741),"00"))</f>
        <v/>
      </c>
      <c r="P741" s="24">
        <f>IF($J741="","",YEAR($J741))</f>
        <v/>
      </c>
      <c r="Q741" s="24">
        <f>IF($J741="","",MONTH($J741))</f>
        <v/>
      </c>
      <c r="R741" s="24">
        <f>IF($J741="","",$P741&amp;"-"&amp;TEXT($Q741,"00"))</f>
        <v/>
      </c>
      <c r="S741" s="24">
        <f>IF($J741="","",INDEX(lista_dias,WEEKDAY($J741,2)))</f>
        <v/>
      </c>
      <c r="T741" s="24">
        <f>IF($J741="","",IFERROR(INDEX('CALENDARIO'!$C$15:$C$214,MATCH(TEXT($J741,"yyyy-mm-dd")&amp;"|"&amp;$Y741&amp;"|"&amp;$Z741,'CALENDARIO'!$G$15:$G$214,0)),IFERROR(INDEX('CALENDARIO'!$C$15:$C$214,MATCH(TEXT($J741,"yyyy-mm-dd")&amp;"|"&amp;$Y741&amp;"|",'CALENDARIO'!$G$15:$G$214,0)),IFERROR(INDEX('CALENDARIO'!$C$15:$C$214,MATCH(TEXT($J741,"yyyy-mm-dd")&amp;"||",'CALENDARIO'!$G$15:$G$214,0)),INDEX(patronHabil,WEEKDAY($J741,2))))))</f>
        <v/>
      </c>
      <c r="U741" s="24">
        <f>IF($I741="","",IFERROR(INDEX('CAT_TIPOS_OT'!$C$4:$C$23,MATCH($I741,'CAT_TIPOS_OT'!$A$4:$A$23,0)),"sin_clasificar"))</f>
        <v/>
      </c>
      <c r="V741" s="24">
        <f>IF($I741="","",IF(IFERROR(INDEX('CAT_TIPOS_OT'!$D$4:$D$23,MATCH($I741,'CAT_TIPOS_OT'!$A$4:$A$23,0)),"SIN CLASIFICAR")="","SIN CLASIFICAR",IFERROR(INDEX('CAT_TIPOS_OT'!$D$4:$D$23,MATCH($I741,'CAT_TIPOS_OT'!$A$4:$A$23,0)),"SIN CLASIFICAR")))</f>
        <v/>
      </c>
      <c r="W741" s="24">
        <f>IF($H741="","",IF(IFERROR(INDEX('CAT_ACTIVIDADES'!$F$4:$F$26,MATCH($H741,'CAT_ACTIVIDADES'!$A$4:$A$26,0)),"")=0,"",IFERROR(INDEX('CAT_ACTIVIDADES'!$F$4:$F$26,MATCH($H741,'CAT_ACTIVIDADES'!$A$4:$A$26,0)),"")))</f>
        <v/>
      </c>
      <c r="X741" s="24">
        <f>IF($F741="","",IFERROR(INDEX('CAT_CENTROS_COSTO'!$F$4:$F$28,MATCH($F741,'CAT_CENTROS_COSTO'!$A$4:$A$28,0)),"(sin catálogo)"))</f>
        <v/>
      </c>
      <c r="Y741" s="24">
        <f>IF($F741="","",IFERROR(INDEX('CAT_CENTROS_COSTO'!$D$4:$D$28,MATCH($F741,'CAT_CENTROS_COSTO'!$A$4:$A$28,0)),"(sin catálogo)"))</f>
        <v/>
      </c>
      <c r="Z741" s="24">
        <f>IF($F741="","",IF((IFERROR(INDEX('CAT_CENTROS_COSTO'!$E$4:$E$28,MATCH($F741,'CAT_CENTROS_COSTO'!$A$4:$A$28,0)),""))&lt;&gt;"",IFERROR(INDEX('CAT_CENTROS_COSTO'!$E$4:$E$28,MATCH($F741,'CAT_CENTROS_COSTO'!$A$4:$A$28,0)),""),$Y741))</f>
        <v/>
      </c>
      <c r="AA741" s="24">
        <f>IF($F741="","",IFERROR(INDEX('CAT_CENTROS_COSTO'!$G$4:$G$28,MATCH($F741,'CAT_CENTROS_COSTO'!$A$4:$A$28,0)),"(sin catálogo)"))</f>
        <v/>
      </c>
      <c r="AB741" s="24">
        <f>IF($G741="","",IFERROR(INDEX('CAT_PUESTOS'!$B$4:$B$23,MATCH($G741,'CAT_PUESTOS'!$A$4:$A$23,0)),"(sin catálogo)"))</f>
        <v/>
      </c>
      <c r="AC741" s="24">
        <f>IF($H741="","",IFERROR(INDEX('CAT_ACTIVIDADES'!$B$4:$B$26,MATCH($H741,'CAT_ACTIVIDADES'!$A$4:$A$26,0)),"(sin catálogo)"))</f>
        <v/>
      </c>
      <c r="AD741" s="26">
        <f>IF($J741="","",TODAY()-$J741)</f>
        <v/>
      </c>
      <c r="AE741" s="26">
        <f>IF($J741="","",IF($J741&lt;=TODAY(),COUNTIFS(cal_fechas,"&gt;="&amp;$J741,cal_fechas,"&lt;"&amp;TODAY(),cal_habil,"sí"),-COUNTIFS(cal_fechas,"&gt;="&amp;TODAY(),cal_fechas,"&lt;"&amp;$J741,cal_habil,"sí")))</f>
        <v/>
      </c>
      <c r="AF741" s="24">
        <f>IF($AE741="","",IF($AE741&lt;0,"FUTURO",IF($AE741&gt;p_dias_backlog_max,"BACKLOG","MES CORRIENTE")))</f>
        <v/>
      </c>
      <c r="AG741" s="24">
        <f>IF($AE741="",FALSE,AND($AE741&gt;p_dias_backlog_min,$AE741&lt;=p_dias_backlog_max))</f>
        <v/>
      </c>
      <c r="AH741" s="4" t="n"/>
      <c r="AI741" s="24">
        <f>IF($AH741="","",IF((IFERROR(INDEX('ASIGNACIONES'!$J$4:$J$451,MATCH($O741&amp;"|"&amp;$S741&amp;"|"&amp;$AH741,'ASIGNACIONES'!$N$4:$N$451,0)),""))=0,"",IFERROR(INDEX('ASIGNACIONES'!$J$4:$J$451,MATCH($O741&amp;"|"&amp;$S741&amp;"|"&amp;$AH741,'ASIGNACIONES'!$N$4:$N$451,0)),"")))</f>
        <v/>
      </c>
      <c r="AJ741" s="42">
        <f>IF($AH741="","",SUMIFS('ORDENES'!$M$4:$M$1203,'ORDENES'!$AH$4:$AH$1203,$AH741,'ORDENES'!$O$4:$O$1203,$O741,'ORDENES'!$S$4:$S$1203,$S741))</f>
        <v/>
      </c>
      <c r="AK741" s="42">
        <f>IF($AJ741="","",p_factor_productividad*IFERROR(INDEX('ASIGNACIONES'!$M$4:$M$451,MATCH($O741&amp;"|"&amp;$S741&amp;"|"&amp;$AH741,'ASIGNACIONES'!$N$4:$N$451,0)),0)-$AJ741)</f>
        <v/>
      </c>
      <c r="AL741" s="32">
        <f>IF($A741="","",IFERROR(INDEX('2_IMPORTAR_EJECUCION'!$F$9:$F$1208,MATCH($AU741,'2_IMPORTAR_EJECUCION'!$J$9:$J$1208,0)),0))</f>
        <v/>
      </c>
      <c r="AM741" s="32">
        <f>IF($A741="","",MAX(0,IFERROR(INDEX('2_IMPORTAR_EJECUCION'!$H$9:$H$1208,MATCH($AU741,'2_IMPORTAR_EJECUCION'!$J$9:$J$1208,0)),0)-$AL741))</f>
        <v/>
      </c>
      <c r="AN741" s="32">
        <f>IF($A741="","",$AL741+$AM741)</f>
        <v/>
      </c>
      <c r="AO741" s="24">
        <f>IF($A741="","",IF(OR((IFERROR(INDEX('CAT_ACTIVIDADES'!$D$4:$D$26,MATCH($H741,'CAT_ACTIVIDADES'!$A$4:$A$26,0)),""))=0,(IFERROR(INDEX('CAT_ACTIVIDADES'!$D$4:$D$26,MATCH($H741,'CAT_ACTIVIDADES'!$A$4:$A$26,0)),""))=""),"SIN CLASIFICAR",IFERROR(INDEX('CAT_ACTIVIDADES'!$D$4:$D$26,MATCH($H741,'CAT_ACTIVIDADES'!$A$4:$A$26,0)),"")))</f>
        <v/>
      </c>
      <c r="AP741" s="4" t="n"/>
      <c r="AQ741" s="4" t="n"/>
      <c r="AR741" s="4" t="n"/>
      <c r="AS741" s="24">
        <f>IF($AR741="","",HYPERLINK(p_ruta_base_checklists&amp;$AR741,"abrir"))</f>
        <v/>
      </c>
      <c r="AT741" s="4" t="n"/>
      <c r="AU741" s="24">
        <f>IF($A741="","",$A741&amp;IF($B741="","0010",$B741))</f>
        <v/>
      </c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41" t="n"/>
      <c r="K742" s="5" t="n"/>
      <c r="L742" s="18" t="n"/>
      <c r="M742" s="24">
        <f>IF($A742="","",IFERROR(INDEX('AJUSTES'!$B$4:$B$303,MATCH($AU742,'AJUSTES'!$A$4:$A$303,0)),IF($K742="","",$K742)))</f>
        <v/>
      </c>
      <c r="N742" s="24">
        <f>IF($A742="","",IFERROR(INDEX('CAT_ESTADOS_ERP'!$B$4:$B$22,MATCH(IFERROR(INDEX('2_IMPORTAR_EJECUCION'!$C$9:$C$1208,MATCH($AU742,'2_IMPORTAR_EJECUCION'!$J$9:$J$1208,0)),""),'CAT_ESTADOS_ERP'!$A$4:$A$22,0)),"Pendiente"))</f>
        <v/>
      </c>
      <c r="O742" s="24">
        <f>IF($J742="","",YEAR($J742+4-WEEKDAY($J742,2))&amp;"-S"&amp;TEXT(_xlfn.ISOWEEKNUM($J742),"00"))</f>
        <v/>
      </c>
      <c r="P742" s="24">
        <f>IF($J742="","",YEAR($J742))</f>
        <v/>
      </c>
      <c r="Q742" s="24">
        <f>IF($J742="","",MONTH($J742))</f>
        <v/>
      </c>
      <c r="R742" s="24">
        <f>IF($J742="","",$P742&amp;"-"&amp;TEXT($Q742,"00"))</f>
        <v/>
      </c>
      <c r="S742" s="24">
        <f>IF($J742="","",INDEX(lista_dias,WEEKDAY($J742,2)))</f>
        <v/>
      </c>
      <c r="T742" s="24">
        <f>IF($J742="","",IFERROR(INDEX('CALENDARIO'!$C$15:$C$214,MATCH(TEXT($J742,"yyyy-mm-dd")&amp;"|"&amp;$Y742&amp;"|"&amp;$Z742,'CALENDARIO'!$G$15:$G$214,0)),IFERROR(INDEX('CALENDARIO'!$C$15:$C$214,MATCH(TEXT($J742,"yyyy-mm-dd")&amp;"|"&amp;$Y742&amp;"|",'CALENDARIO'!$G$15:$G$214,0)),IFERROR(INDEX('CALENDARIO'!$C$15:$C$214,MATCH(TEXT($J742,"yyyy-mm-dd")&amp;"||",'CALENDARIO'!$G$15:$G$214,0)),INDEX(patronHabil,WEEKDAY($J742,2))))))</f>
        <v/>
      </c>
      <c r="U742" s="24">
        <f>IF($I742="","",IFERROR(INDEX('CAT_TIPOS_OT'!$C$4:$C$23,MATCH($I742,'CAT_TIPOS_OT'!$A$4:$A$23,0)),"sin_clasificar"))</f>
        <v/>
      </c>
      <c r="V742" s="24">
        <f>IF($I742="","",IF(IFERROR(INDEX('CAT_TIPOS_OT'!$D$4:$D$23,MATCH($I742,'CAT_TIPOS_OT'!$A$4:$A$23,0)),"SIN CLASIFICAR")="","SIN CLASIFICAR",IFERROR(INDEX('CAT_TIPOS_OT'!$D$4:$D$23,MATCH($I742,'CAT_TIPOS_OT'!$A$4:$A$23,0)),"SIN CLASIFICAR")))</f>
        <v/>
      </c>
      <c r="W742" s="24">
        <f>IF($H742="","",IF(IFERROR(INDEX('CAT_ACTIVIDADES'!$F$4:$F$26,MATCH($H742,'CAT_ACTIVIDADES'!$A$4:$A$26,0)),"")=0,"",IFERROR(INDEX('CAT_ACTIVIDADES'!$F$4:$F$26,MATCH($H742,'CAT_ACTIVIDADES'!$A$4:$A$26,0)),"")))</f>
        <v/>
      </c>
      <c r="X742" s="24">
        <f>IF($F742="","",IFERROR(INDEX('CAT_CENTROS_COSTO'!$F$4:$F$28,MATCH($F742,'CAT_CENTROS_COSTO'!$A$4:$A$28,0)),"(sin catálogo)"))</f>
        <v/>
      </c>
      <c r="Y742" s="24">
        <f>IF($F742="","",IFERROR(INDEX('CAT_CENTROS_COSTO'!$D$4:$D$28,MATCH($F742,'CAT_CENTROS_COSTO'!$A$4:$A$28,0)),"(sin catálogo)"))</f>
        <v/>
      </c>
      <c r="Z742" s="24">
        <f>IF($F742="","",IF((IFERROR(INDEX('CAT_CENTROS_COSTO'!$E$4:$E$28,MATCH($F742,'CAT_CENTROS_COSTO'!$A$4:$A$28,0)),""))&lt;&gt;"",IFERROR(INDEX('CAT_CENTROS_COSTO'!$E$4:$E$28,MATCH($F742,'CAT_CENTROS_COSTO'!$A$4:$A$28,0)),""),$Y742))</f>
        <v/>
      </c>
      <c r="AA742" s="24">
        <f>IF($F742="","",IFERROR(INDEX('CAT_CENTROS_COSTO'!$G$4:$G$28,MATCH($F742,'CAT_CENTROS_COSTO'!$A$4:$A$28,0)),"(sin catálogo)"))</f>
        <v/>
      </c>
      <c r="AB742" s="24">
        <f>IF($G742="","",IFERROR(INDEX('CAT_PUESTOS'!$B$4:$B$23,MATCH($G742,'CAT_PUESTOS'!$A$4:$A$23,0)),"(sin catálogo)"))</f>
        <v/>
      </c>
      <c r="AC742" s="24">
        <f>IF($H742="","",IFERROR(INDEX('CAT_ACTIVIDADES'!$B$4:$B$26,MATCH($H742,'CAT_ACTIVIDADES'!$A$4:$A$26,0)),"(sin catálogo)"))</f>
        <v/>
      </c>
      <c r="AD742" s="26">
        <f>IF($J742="","",TODAY()-$J742)</f>
        <v/>
      </c>
      <c r="AE742" s="26">
        <f>IF($J742="","",IF($J742&lt;=TODAY(),COUNTIFS(cal_fechas,"&gt;="&amp;$J742,cal_fechas,"&lt;"&amp;TODAY(),cal_habil,"sí"),-COUNTIFS(cal_fechas,"&gt;="&amp;TODAY(),cal_fechas,"&lt;"&amp;$J742,cal_habil,"sí")))</f>
        <v/>
      </c>
      <c r="AF742" s="24">
        <f>IF($AE742="","",IF($AE742&lt;0,"FUTURO",IF($AE742&gt;p_dias_backlog_max,"BACKLOG","MES CORRIENTE")))</f>
        <v/>
      </c>
      <c r="AG742" s="24">
        <f>IF($AE742="",FALSE,AND($AE742&gt;p_dias_backlog_min,$AE742&lt;=p_dias_backlog_max))</f>
        <v/>
      </c>
      <c r="AH742" s="4" t="n"/>
      <c r="AI742" s="24">
        <f>IF($AH742="","",IF((IFERROR(INDEX('ASIGNACIONES'!$J$4:$J$451,MATCH($O742&amp;"|"&amp;$S742&amp;"|"&amp;$AH742,'ASIGNACIONES'!$N$4:$N$451,0)),""))=0,"",IFERROR(INDEX('ASIGNACIONES'!$J$4:$J$451,MATCH($O742&amp;"|"&amp;$S742&amp;"|"&amp;$AH742,'ASIGNACIONES'!$N$4:$N$451,0)),"")))</f>
        <v/>
      </c>
      <c r="AJ742" s="42">
        <f>IF($AH742="","",SUMIFS('ORDENES'!$M$4:$M$1203,'ORDENES'!$AH$4:$AH$1203,$AH742,'ORDENES'!$O$4:$O$1203,$O742,'ORDENES'!$S$4:$S$1203,$S742))</f>
        <v/>
      </c>
      <c r="AK742" s="42">
        <f>IF($AJ742="","",p_factor_productividad*IFERROR(INDEX('ASIGNACIONES'!$M$4:$M$451,MATCH($O742&amp;"|"&amp;$S742&amp;"|"&amp;$AH742,'ASIGNACIONES'!$N$4:$N$451,0)),0)-$AJ742)</f>
        <v/>
      </c>
      <c r="AL742" s="32">
        <f>IF($A742="","",IFERROR(INDEX('2_IMPORTAR_EJECUCION'!$F$9:$F$1208,MATCH($AU742,'2_IMPORTAR_EJECUCION'!$J$9:$J$1208,0)),0))</f>
        <v/>
      </c>
      <c r="AM742" s="32">
        <f>IF($A742="","",MAX(0,IFERROR(INDEX('2_IMPORTAR_EJECUCION'!$H$9:$H$1208,MATCH($AU742,'2_IMPORTAR_EJECUCION'!$J$9:$J$1208,0)),0)-$AL742))</f>
        <v/>
      </c>
      <c r="AN742" s="32">
        <f>IF($A742="","",$AL742+$AM742)</f>
        <v/>
      </c>
      <c r="AO742" s="24">
        <f>IF($A742="","",IF(OR((IFERROR(INDEX('CAT_ACTIVIDADES'!$D$4:$D$26,MATCH($H742,'CAT_ACTIVIDADES'!$A$4:$A$26,0)),""))=0,(IFERROR(INDEX('CAT_ACTIVIDADES'!$D$4:$D$26,MATCH($H742,'CAT_ACTIVIDADES'!$A$4:$A$26,0)),""))=""),"SIN CLASIFICAR",IFERROR(INDEX('CAT_ACTIVIDADES'!$D$4:$D$26,MATCH($H742,'CAT_ACTIVIDADES'!$A$4:$A$26,0)),"")))</f>
        <v/>
      </c>
      <c r="AP742" s="4" t="n"/>
      <c r="AQ742" s="4" t="n"/>
      <c r="AR742" s="4" t="n"/>
      <c r="AS742" s="24">
        <f>IF($AR742="","",HYPERLINK(p_ruta_base_checklists&amp;$AR742,"abrir"))</f>
        <v/>
      </c>
      <c r="AT742" s="4" t="n"/>
      <c r="AU742" s="24">
        <f>IF($A742="","",$A742&amp;IF($B742="","0010",$B742))</f>
        <v/>
      </c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41" t="n"/>
      <c r="K743" s="5" t="n"/>
      <c r="L743" s="18" t="n"/>
      <c r="M743" s="24">
        <f>IF($A743="","",IFERROR(INDEX('AJUSTES'!$B$4:$B$303,MATCH($AU743,'AJUSTES'!$A$4:$A$303,0)),IF($K743="","",$K743)))</f>
        <v/>
      </c>
      <c r="N743" s="24">
        <f>IF($A743="","",IFERROR(INDEX('CAT_ESTADOS_ERP'!$B$4:$B$22,MATCH(IFERROR(INDEX('2_IMPORTAR_EJECUCION'!$C$9:$C$1208,MATCH($AU743,'2_IMPORTAR_EJECUCION'!$J$9:$J$1208,0)),""),'CAT_ESTADOS_ERP'!$A$4:$A$22,0)),"Pendiente"))</f>
        <v/>
      </c>
      <c r="O743" s="24">
        <f>IF($J743="","",YEAR($J743+4-WEEKDAY($J743,2))&amp;"-S"&amp;TEXT(_xlfn.ISOWEEKNUM($J743),"00"))</f>
        <v/>
      </c>
      <c r="P743" s="24">
        <f>IF($J743="","",YEAR($J743))</f>
        <v/>
      </c>
      <c r="Q743" s="24">
        <f>IF($J743="","",MONTH($J743))</f>
        <v/>
      </c>
      <c r="R743" s="24">
        <f>IF($J743="","",$P743&amp;"-"&amp;TEXT($Q743,"00"))</f>
        <v/>
      </c>
      <c r="S743" s="24">
        <f>IF($J743="","",INDEX(lista_dias,WEEKDAY($J743,2)))</f>
        <v/>
      </c>
      <c r="T743" s="24">
        <f>IF($J743="","",IFERROR(INDEX('CALENDARIO'!$C$15:$C$214,MATCH(TEXT($J743,"yyyy-mm-dd")&amp;"|"&amp;$Y743&amp;"|"&amp;$Z743,'CALENDARIO'!$G$15:$G$214,0)),IFERROR(INDEX('CALENDARIO'!$C$15:$C$214,MATCH(TEXT($J743,"yyyy-mm-dd")&amp;"|"&amp;$Y743&amp;"|",'CALENDARIO'!$G$15:$G$214,0)),IFERROR(INDEX('CALENDARIO'!$C$15:$C$214,MATCH(TEXT($J743,"yyyy-mm-dd")&amp;"||",'CALENDARIO'!$G$15:$G$214,0)),INDEX(patronHabil,WEEKDAY($J743,2))))))</f>
        <v/>
      </c>
      <c r="U743" s="24">
        <f>IF($I743="","",IFERROR(INDEX('CAT_TIPOS_OT'!$C$4:$C$23,MATCH($I743,'CAT_TIPOS_OT'!$A$4:$A$23,0)),"sin_clasificar"))</f>
        <v/>
      </c>
      <c r="V743" s="24">
        <f>IF($I743="","",IF(IFERROR(INDEX('CAT_TIPOS_OT'!$D$4:$D$23,MATCH($I743,'CAT_TIPOS_OT'!$A$4:$A$23,0)),"SIN CLASIFICAR")="","SIN CLASIFICAR",IFERROR(INDEX('CAT_TIPOS_OT'!$D$4:$D$23,MATCH($I743,'CAT_TIPOS_OT'!$A$4:$A$23,0)),"SIN CLASIFICAR")))</f>
        <v/>
      </c>
      <c r="W743" s="24">
        <f>IF($H743="","",IF(IFERROR(INDEX('CAT_ACTIVIDADES'!$F$4:$F$26,MATCH($H743,'CAT_ACTIVIDADES'!$A$4:$A$26,0)),"")=0,"",IFERROR(INDEX('CAT_ACTIVIDADES'!$F$4:$F$26,MATCH($H743,'CAT_ACTIVIDADES'!$A$4:$A$26,0)),"")))</f>
        <v/>
      </c>
      <c r="X743" s="24">
        <f>IF($F743="","",IFERROR(INDEX('CAT_CENTROS_COSTO'!$F$4:$F$28,MATCH($F743,'CAT_CENTROS_COSTO'!$A$4:$A$28,0)),"(sin catálogo)"))</f>
        <v/>
      </c>
      <c r="Y743" s="24">
        <f>IF($F743="","",IFERROR(INDEX('CAT_CENTROS_COSTO'!$D$4:$D$28,MATCH($F743,'CAT_CENTROS_COSTO'!$A$4:$A$28,0)),"(sin catálogo)"))</f>
        <v/>
      </c>
      <c r="Z743" s="24">
        <f>IF($F743="","",IF((IFERROR(INDEX('CAT_CENTROS_COSTO'!$E$4:$E$28,MATCH($F743,'CAT_CENTROS_COSTO'!$A$4:$A$28,0)),""))&lt;&gt;"",IFERROR(INDEX('CAT_CENTROS_COSTO'!$E$4:$E$28,MATCH($F743,'CAT_CENTROS_COSTO'!$A$4:$A$28,0)),""),$Y743))</f>
        <v/>
      </c>
      <c r="AA743" s="24">
        <f>IF($F743="","",IFERROR(INDEX('CAT_CENTROS_COSTO'!$G$4:$G$28,MATCH($F743,'CAT_CENTROS_COSTO'!$A$4:$A$28,0)),"(sin catálogo)"))</f>
        <v/>
      </c>
      <c r="AB743" s="24">
        <f>IF($G743="","",IFERROR(INDEX('CAT_PUESTOS'!$B$4:$B$23,MATCH($G743,'CAT_PUESTOS'!$A$4:$A$23,0)),"(sin catálogo)"))</f>
        <v/>
      </c>
      <c r="AC743" s="24">
        <f>IF($H743="","",IFERROR(INDEX('CAT_ACTIVIDADES'!$B$4:$B$26,MATCH($H743,'CAT_ACTIVIDADES'!$A$4:$A$26,0)),"(sin catálogo)"))</f>
        <v/>
      </c>
      <c r="AD743" s="26">
        <f>IF($J743="","",TODAY()-$J743)</f>
        <v/>
      </c>
      <c r="AE743" s="26">
        <f>IF($J743="","",IF($J743&lt;=TODAY(),COUNTIFS(cal_fechas,"&gt;="&amp;$J743,cal_fechas,"&lt;"&amp;TODAY(),cal_habil,"sí"),-COUNTIFS(cal_fechas,"&gt;="&amp;TODAY(),cal_fechas,"&lt;"&amp;$J743,cal_habil,"sí")))</f>
        <v/>
      </c>
      <c r="AF743" s="24">
        <f>IF($AE743="","",IF($AE743&lt;0,"FUTURO",IF($AE743&gt;p_dias_backlog_max,"BACKLOG","MES CORRIENTE")))</f>
        <v/>
      </c>
      <c r="AG743" s="24">
        <f>IF($AE743="",FALSE,AND($AE743&gt;p_dias_backlog_min,$AE743&lt;=p_dias_backlog_max))</f>
        <v/>
      </c>
      <c r="AH743" s="4" t="n"/>
      <c r="AI743" s="24">
        <f>IF($AH743="","",IF((IFERROR(INDEX('ASIGNACIONES'!$J$4:$J$451,MATCH($O743&amp;"|"&amp;$S743&amp;"|"&amp;$AH743,'ASIGNACIONES'!$N$4:$N$451,0)),""))=0,"",IFERROR(INDEX('ASIGNACIONES'!$J$4:$J$451,MATCH($O743&amp;"|"&amp;$S743&amp;"|"&amp;$AH743,'ASIGNACIONES'!$N$4:$N$451,0)),"")))</f>
        <v/>
      </c>
      <c r="AJ743" s="42">
        <f>IF($AH743="","",SUMIFS('ORDENES'!$M$4:$M$1203,'ORDENES'!$AH$4:$AH$1203,$AH743,'ORDENES'!$O$4:$O$1203,$O743,'ORDENES'!$S$4:$S$1203,$S743))</f>
        <v/>
      </c>
      <c r="AK743" s="42">
        <f>IF($AJ743="","",p_factor_productividad*IFERROR(INDEX('ASIGNACIONES'!$M$4:$M$451,MATCH($O743&amp;"|"&amp;$S743&amp;"|"&amp;$AH743,'ASIGNACIONES'!$N$4:$N$451,0)),0)-$AJ743)</f>
        <v/>
      </c>
      <c r="AL743" s="32">
        <f>IF($A743="","",IFERROR(INDEX('2_IMPORTAR_EJECUCION'!$F$9:$F$1208,MATCH($AU743,'2_IMPORTAR_EJECUCION'!$J$9:$J$1208,0)),0))</f>
        <v/>
      </c>
      <c r="AM743" s="32">
        <f>IF($A743="","",MAX(0,IFERROR(INDEX('2_IMPORTAR_EJECUCION'!$H$9:$H$1208,MATCH($AU743,'2_IMPORTAR_EJECUCION'!$J$9:$J$1208,0)),0)-$AL743))</f>
        <v/>
      </c>
      <c r="AN743" s="32">
        <f>IF($A743="","",$AL743+$AM743)</f>
        <v/>
      </c>
      <c r="AO743" s="24">
        <f>IF($A743="","",IF(OR((IFERROR(INDEX('CAT_ACTIVIDADES'!$D$4:$D$26,MATCH($H743,'CAT_ACTIVIDADES'!$A$4:$A$26,0)),""))=0,(IFERROR(INDEX('CAT_ACTIVIDADES'!$D$4:$D$26,MATCH($H743,'CAT_ACTIVIDADES'!$A$4:$A$26,0)),""))=""),"SIN CLASIFICAR",IFERROR(INDEX('CAT_ACTIVIDADES'!$D$4:$D$26,MATCH($H743,'CAT_ACTIVIDADES'!$A$4:$A$26,0)),"")))</f>
        <v/>
      </c>
      <c r="AP743" s="4" t="n"/>
      <c r="AQ743" s="4" t="n"/>
      <c r="AR743" s="4" t="n"/>
      <c r="AS743" s="24">
        <f>IF($AR743="","",HYPERLINK(p_ruta_base_checklists&amp;$AR743,"abrir"))</f>
        <v/>
      </c>
      <c r="AT743" s="4" t="n"/>
      <c r="AU743" s="24">
        <f>IF($A743="","",$A743&amp;IF($B743="","0010",$B743))</f>
        <v/>
      </c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41" t="n"/>
      <c r="K744" s="5" t="n"/>
      <c r="L744" s="18" t="n"/>
      <c r="M744" s="24">
        <f>IF($A744="","",IFERROR(INDEX('AJUSTES'!$B$4:$B$303,MATCH($AU744,'AJUSTES'!$A$4:$A$303,0)),IF($K744="","",$K744)))</f>
        <v/>
      </c>
      <c r="N744" s="24">
        <f>IF($A744="","",IFERROR(INDEX('CAT_ESTADOS_ERP'!$B$4:$B$22,MATCH(IFERROR(INDEX('2_IMPORTAR_EJECUCION'!$C$9:$C$1208,MATCH($AU744,'2_IMPORTAR_EJECUCION'!$J$9:$J$1208,0)),""),'CAT_ESTADOS_ERP'!$A$4:$A$22,0)),"Pendiente"))</f>
        <v/>
      </c>
      <c r="O744" s="24">
        <f>IF($J744="","",YEAR($J744+4-WEEKDAY($J744,2))&amp;"-S"&amp;TEXT(_xlfn.ISOWEEKNUM($J744),"00"))</f>
        <v/>
      </c>
      <c r="P744" s="24">
        <f>IF($J744="","",YEAR($J744))</f>
        <v/>
      </c>
      <c r="Q744" s="24">
        <f>IF($J744="","",MONTH($J744))</f>
        <v/>
      </c>
      <c r="R744" s="24">
        <f>IF($J744="","",$P744&amp;"-"&amp;TEXT($Q744,"00"))</f>
        <v/>
      </c>
      <c r="S744" s="24">
        <f>IF($J744="","",INDEX(lista_dias,WEEKDAY($J744,2)))</f>
        <v/>
      </c>
      <c r="T744" s="24">
        <f>IF($J744="","",IFERROR(INDEX('CALENDARIO'!$C$15:$C$214,MATCH(TEXT($J744,"yyyy-mm-dd")&amp;"|"&amp;$Y744&amp;"|"&amp;$Z744,'CALENDARIO'!$G$15:$G$214,0)),IFERROR(INDEX('CALENDARIO'!$C$15:$C$214,MATCH(TEXT($J744,"yyyy-mm-dd")&amp;"|"&amp;$Y744&amp;"|",'CALENDARIO'!$G$15:$G$214,0)),IFERROR(INDEX('CALENDARIO'!$C$15:$C$214,MATCH(TEXT($J744,"yyyy-mm-dd")&amp;"||",'CALENDARIO'!$G$15:$G$214,0)),INDEX(patronHabil,WEEKDAY($J744,2))))))</f>
        <v/>
      </c>
      <c r="U744" s="24">
        <f>IF($I744="","",IFERROR(INDEX('CAT_TIPOS_OT'!$C$4:$C$23,MATCH($I744,'CAT_TIPOS_OT'!$A$4:$A$23,0)),"sin_clasificar"))</f>
        <v/>
      </c>
      <c r="V744" s="24">
        <f>IF($I744="","",IF(IFERROR(INDEX('CAT_TIPOS_OT'!$D$4:$D$23,MATCH($I744,'CAT_TIPOS_OT'!$A$4:$A$23,0)),"SIN CLASIFICAR")="","SIN CLASIFICAR",IFERROR(INDEX('CAT_TIPOS_OT'!$D$4:$D$23,MATCH($I744,'CAT_TIPOS_OT'!$A$4:$A$23,0)),"SIN CLASIFICAR")))</f>
        <v/>
      </c>
      <c r="W744" s="24">
        <f>IF($H744="","",IF(IFERROR(INDEX('CAT_ACTIVIDADES'!$F$4:$F$26,MATCH($H744,'CAT_ACTIVIDADES'!$A$4:$A$26,0)),"")=0,"",IFERROR(INDEX('CAT_ACTIVIDADES'!$F$4:$F$26,MATCH($H744,'CAT_ACTIVIDADES'!$A$4:$A$26,0)),"")))</f>
        <v/>
      </c>
      <c r="X744" s="24">
        <f>IF($F744="","",IFERROR(INDEX('CAT_CENTROS_COSTO'!$F$4:$F$28,MATCH($F744,'CAT_CENTROS_COSTO'!$A$4:$A$28,0)),"(sin catálogo)"))</f>
        <v/>
      </c>
      <c r="Y744" s="24">
        <f>IF($F744="","",IFERROR(INDEX('CAT_CENTROS_COSTO'!$D$4:$D$28,MATCH($F744,'CAT_CENTROS_COSTO'!$A$4:$A$28,0)),"(sin catálogo)"))</f>
        <v/>
      </c>
      <c r="Z744" s="24">
        <f>IF($F744="","",IF((IFERROR(INDEX('CAT_CENTROS_COSTO'!$E$4:$E$28,MATCH($F744,'CAT_CENTROS_COSTO'!$A$4:$A$28,0)),""))&lt;&gt;"",IFERROR(INDEX('CAT_CENTROS_COSTO'!$E$4:$E$28,MATCH($F744,'CAT_CENTROS_COSTO'!$A$4:$A$28,0)),""),$Y744))</f>
        <v/>
      </c>
      <c r="AA744" s="24">
        <f>IF($F744="","",IFERROR(INDEX('CAT_CENTROS_COSTO'!$G$4:$G$28,MATCH($F744,'CAT_CENTROS_COSTO'!$A$4:$A$28,0)),"(sin catálogo)"))</f>
        <v/>
      </c>
      <c r="AB744" s="24">
        <f>IF($G744="","",IFERROR(INDEX('CAT_PUESTOS'!$B$4:$B$23,MATCH($G744,'CAT_PUESTOS'!$A$4:$A$23,0)),"(sin catálogo)"))</f>
        <v/>
      </c>
      <c r="AC744" s="24">
        <f>IF($H744="","",IFERROR(INDEX('CAT_ACTIVIDADES'!$B$4:$B$26,MATCH($H744,'CAT_ACTIVIDADES'!$A$4:$A$26,0)),"(sin catálogo)"))</f>
        <v/>
      </c>
      <c r="AD744" s="26">
        <f>IF($J744="","",TODAY()-$J744)</f>
        <v/>
      </c>
      <c r="AE744" s="26">
        <f>IF($J744="","",IF($J744&lt;=TODAY(),COUNTIFS(cal_fechas,"&gt;="&amp;$J744,cal_fechas,"&lt;"&amp;TODAY(),cal_habil,"sí"),-COUNTIFS(cal_fechas,"&gt;="&amp;TODAY(),cal_fechas,"&lt;"&amp;$J744,cal_habil,"sí")))</f>
        <v/>
      </c>
      <c r="AF744" s="24">
        <f>IF($AE744="","",IF($AE744&lt;0,"FUTURO",IF($AE744&gt;p_dias_backlog_max,"BACKLOG","MES CORRIENTE")))</f>
        <v/>
      </c>
      <c r="AG744" s="24">
        <f>IF($AE744="",FALSE,AND($AE744&gt;p_dias_backlog_min,$AE744&lt;=p_dias_backlog_max))</f>
        <v/>
      </c>
      <c r="AH744" s="4" t="n"/>
      <c r="AI744" s="24">
        <f>IF($AH744="","",IF((IFERROR(INDEX('ASIGNACIONES'!$J$4:$J$451,MATCH($O744&amp;"|"&amp;$S744&amp;"|"&amp;$AH744,'ASIGNACIONES'!$N$4:$N$451,0)),""))=0,"",IFERROR(INDEX('ASIGNACIONES'!$J$4:$J$451,MATCH($O744&amp;"|"&amp;$S744&amp;"|"&amp;$AH744,'ASIGNACIONES'!$N$4:$N$451,0)),"")))</f>
        <v/>
      </c>
      <c r="AJ744" s="42">
        <f>IF($AH744="","",SUMIFS('ORDENES'!$M$4:$M$1203,'ORDENES'!$AH$4:$AH$1203,$AH744,'ORDENES'!$O$4:$O$1203,$O744,'ORDENES'!$S$4:$S$1203,$S744))</f>
        <v/>
      </c>
      <c r="AK744" s="42">
        <f>IF($AJ744="","",p_factor_productividad*IFERROR(INDEX('ASIGNACIONES'!$M$4:$M$451,MATCH($O744&amp;"|"&amp;$S744&amp;"|"&amp;$AH744,'ASIGNACIONES'!$N$4:$N$451,0)),0)-$AJ744)</f>
        <v/>
      </c>
      <c r="AL744" s="32">
        <f>IF($A744="","",IFERROR(INDEX('2_IMPORTAR_EJECUCION'!$F$9:$F$1208,MATCH($AU744,'2_IMPORTAR_EJECUCION'!$J$9:$J$1208,0)),0))</f>
        <v/>
      </c>
      <c r="AM744" s="32">
        <f>IF($A744="","",MAX(0,IFERROR(INDEX('2_IMPORTAR_EJECUCION'!$H$9:$H$1208,MATCH($AU744,'2_IMPORTAR_EJECUCION'!$J$9:$J$1208,0)),0)-$AL744))</f>
        <v/>
      </c>
      <c r="AN744" s="32">
        <f>IF($A744="","",$AL744+$AM744)</f>
        <v/>
      </c>
      <c r="AO744" s="24">
        <f>IF($A744="","",IF(OR((IFERROR(INDEX('CAT_ACTIVIDADES'!$D$4:$D$26,MATCH($H744,'CAT_ACTIVIDADES'!$A$4:$A$26,0)),""))=0,(IFERROR(INDEX('CAT_ACTIVIDADES'!$D$4:$D$26,MATCH($H744,'CAT_ACTIVIDADES'!$A$4:$A$26,0)),""))=""),"SIN CLASIFICAR",IFERROR(INDEX('CAT_ACTIVIDADES'!$D$4:$D$26,MATCH($H744,'CAT_ACTIVIDADES'!$A$4:$A$26,0)),"")))</f>
        <v/>
      </c>
      <c r="AP744" s="4" t="n"/>
      <c r="AQ744" s="4" t="n"/>
      <c r="AR744" s="4" t="n"/>
      <c r="AS744" s="24">
        <f>IF($AR744="","",HYPERLINK(p_ruta_base_checklists&amp;$AR744,"abrir"))</f>
        <v/>
      </c>
      <c r="AT744" s="4" t="n"/>
      <c r="AU744" s="24">
        <f>IF($A744="","",$A744&amp;IF($B744="","0010",$B744))</f>
        <v/>
      </c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41" t="n"/>
      <c r="K745" s="5" t="n"/>
      <c r="L745" s="18" t="n"/>
      <c r="M745" s="24">
        <f>IF($A745="","",IFERROR(INDEX('AJUSTES'!$B$4:$B$303,MATCH($AU745,'AJUSTES'!$A$4:$A$303,0)),IF($K745="","",$K745)))</f>
        <v/>
      </c>
      <c r="N745" s="24">
        <f>IF($A745="","",IFERROR(INDEX('CAT_ESTADOS_ERP'!$B$4:$B$22,MATCH(IFERROR(INDEX('2_IMPORTAR_EJECUCION'!$C$9:$C$1208,MATCH($AU745,'2_IMPORTAR_EJECUCION'!$J$9:$J$1208,0)),""),'CAT_ESTADOS_ERP'!$A$4:$A$22,0)),"Pendiente"))</f>
        <v/>
      </c>
      <c r="O745" s="24">
        <f>IF($J745="","",YEAR($J745+4-WEEKDAY($J745,2))&amp;"-S"&amp;TEXT(_xlfn.ISOWEEKNUM($J745),"00"))</f>
        <v/>
      </c>
      <c r="P745" s="24">
        <f>IF($J745="","",YEAR($J745))</f>
        <v/>
      </c>
      <c r="Q745" s="24">
        <f>IF($J745="","",MONTH($J745))</f>
        <v/>
      </c>
      <c r="R745" s="24">
        <f>IF($J745="","",$P745&amp;"-"&amp;TEXT($Q745,"00"))</f>
        <v/>
      </c>
      <c r="S745" s="24">
        <f>IF($J745="","",INDEX(lista_dias,WEEKDAY($J745,2)))</f>
        <v/>
      </c>
      <c r="T745" s="24">
        <f>IF($J745="","",IFERROR(INDEX('CALENDARIO'!$C$15:$C$214,MATCH(TEXT($J745,"yyyy-mm-dd")&amp;"|"&amp;$Y745&amp;"|"&amp;$Z745,'CALENDARIO'!$G$15:$G$214,0)),IFERROR(INDEX('CALENDARIO'!$C$15:$C$214,MATCH(TEXT($J745,"yyyy-mm-dd")&amp;"|"&amp;$Y745&amp;"|",'CALENDARIO'!$G$15:$G$214,0)),IFERROR(INDEX('CALENDARIO'!$C$15:$C$214,MATCH(TEXT($J745,"yyyy-mm-dd")&amp;"||",'CALENDARIO'!$G$15:$G$214,0)),INDEX(patronHabil,WEEKDAY($J745,2))))))</f>
        <v/>
      </c>
      <c r="U745" s="24">
        <f>IF($I745="","",IFERROR(INDEX('CAT_TIPOS_OT'!$C$4:$C$23,MATCH($I745,'CAT_TIPOS_OT'!$A$4:$A$23,0)),"sin_clasificar"))</f>
        <v/>
      </c>
      <c r="V745" s="24">
        <f>IF($I745="","",IF(IFERROR(INDEX('CAT_TIPOS_OT'!$D$4:$D$23,MATCH($I745,'CAT_TIPOS_OT'!$A$4:$A$23,0)),"SIN CLASIFICAR")="","SIN CLASIFICAR",IFERROR(INDEX('CAT_TIPOS_OT'!$D$4:$D$23,MATCH($I745,'CAT_TIPOS_OT'!$A$4:$A$23,0)),"SIN CLASIFICAR")))</f>
        <v/>
      </c>
      <c r="W745" s="24">
        <f>IF($H745="","",IF(IFERROR(INDEX('CAT_ACTIVIDADES'!$F$4:$F$26,MATCH($H745,'CAT_ACTIVIDADES'!$A$4:$A$26,0)),"")=0,"",IFERROR(INDEX('CAT_ACTIVIDADES'!$F$4:$F$26,MATCH($H745,'CAT_ACTIVIDADES'!$A$4:$A$26,0)),"")))</f>
        <v/>
      </c>
      <c r="X745" s="24">
        <f>IF($F745="","",IFERROR(INDEX('CAT_CENTROS_COSTO'!$F$4:$F$28,MATCH($F745,'CAT_CENTROS_COSTO'!$A$4:$A$28,0)),"(sin catálogo)"))</f>
        <v/>
      </c>
      <c r="Y745" s="24">
        <f>IF($F745="","",IFERROR(INDEX('CAT_CENTROS_COSTO'!$D$4:$D$28,MATCH($F745,'CAT_CENTROS_COSTO'!$A$4:$A$28,0)),"(sin catálogo)"))</f>
        <v/>
      </c>
      <c r="Z745" s="24">
        <f>IF($F745="","",IF((IFERROR(INDEX('CAT_CENTROS_COSTO'!$E$4:$E$28,MATCH($F745,'CAT_CENTROS_COSTO'!$A$4:$A$28,0)),""))&lt;&gt;"",IFERROR(INDEX('CAT_CENTROS_COSTO'!$E$4:$E$28,MATCH($F745,'CAT_CENTROS_COSTO'!$A$4:$A$28,0)),""),$Y745))</f>
        <v/>
      </c>
      <c r="AA745" s="24">
        <f>IF($F745="","",IFERROR(INDEX('CAT_CENTROS_COSTO'!$G$4:$G$28,MATCH($F745,'CAT_CENTROS_COSTO'!$A$4:$A$28,0)),"(sin catálogo)"))</f>
        <v/>
      </c>
      <c r="AB745" s="24">
        <f>IF($G745="","",IFERROR(INDEX('CAT_PUESTOS'!$B$4:$B$23,MATCH($G745,'CAT_PUESTOS'!$A$4:$A$23,0)),"(sin catálogo)"))</f>
        <v/>
      </c>
      <c r="AC745" s="24">
        <f>IF($H745="","",IFERROR(INDEX('CAT_ACTIVIDADES'!$B$4:$B$26,MATCH($H745,'CAT_ACTIVIDADES'!$A$4:$A$26,0)),"(sin catálogo)"))</f>
        <v/>
      </c>
      <c r="AD745" s="26">
        <f>IF($J745="","",TODAY()-$J745)</f>
        <v/>
      </c>
      <c r="AE745" s="26">
        <f>IF($J745="","",IF($J745&lt;=TODAY(),COUNTIFS(cal_fechas,"&gt;="&amp;$J745,cal_fechas,"&lt;"&amp;TODAY(),cal_habil,"sí"),-COUNTIFS(cal_fechas,"&gt;="&amp;TODAY(),cal_fechas,"&lt;"&amp;$J745,cal_habil,"sí")))</f>
        <v/>
      </c>
      <c r="AF745" s="24">
        <f>IF($AE745="","",IF($AE745&lt;0,"FUTURO",IF($AE745&gt;p_dias_backlog_max,"BACKLOG","MES CORRIENTE")))</f>
        <v/>
      </c>
      <c r="AG745" s="24">
        <f>IF($AE745="",FALSE,AND($AE745&gt;p_dias_backlog_min,$AE745&lt;=p_dias_backlog_max))</f>
        <v/>
      </c>
      <c r="AH745" s="4" t="n"/>
      <c r="AI745" s="24">
        <f>IF($AH745="","",IF((IFERROR(INDEX('ASIGNACIONES'!$J$4:$J$451,MATCH($O745&amp;"|"&amp;$S745&amp;"|"&amp;$AH745,'ASIGNACIONES'!$N$4:$N$451,0)),""))=0,"",IFERROR(INDEX('ASIGNACIONES'!$J$4:$J$451,MATCH($O745&amp;"|"&amp;$S745&amp;"|"&amp;$AH745,'ASIGNACIONES'!$N$4:$N$451,0)),"")))</f>
        <v/>
      </c>
      <c r="AJ745" s="42">
        <f>IF($AH745="","",SUMIFS('ORDENES'!$M$4:$M$1203,'ORDENES'!$AH$4:$AH$1203,$AH745,'ORDENES'!$O$4:$O$1203,$O745,'ORDENES'!$S$4:$S$1203,$S745))</f>
        <v/>
      </c>
      <c r="AK745" s="42">
        <f>IF($AJ745="","",p_factor_productividad*IFERROR(INDEX('ASIGNACIONES'!$M$4:$M$451,MATCH($O745&amp;"|"&amp;$S745&amp;"|"&amp;$AH745,'ASIGNACIONES'!$N$4:$N$451,0)),0)-$AJ745)</f>
        <v/>
      </c>
      <c r="AL745" s="32">
        <f>IF($A745="","",IFERROR(INDEX('2_IMPORTAR_EJECUCION'!$F$9:$F$1208,MATCH($AU745,'2_IMPORTAR_EJECUCION'!$J$9:$J$1208,0)),0))</f>
        <v/>
      </c>
      <c r="AM745" s="32">
        <f>IF($A745="","",MAX(0,IFERROR(INDEX('2_IMPORTAR_EJECUCION'!$H$9:$H$1208,MATCH($AU745,'2_IMPORTAR_EJECUCION'!$J$9:$J$1208,0)),0)-$AL745))</f>
        <v/>
      </c>
      <c r="AN745" s="32">
        <f>IF($A745="","",$AL745+$AM745)</f>
        <v/>
      </c>
      <c r="AO745" s="24">
        <f>IF($A745="","",IF(OR((IFERROR(INDEX('CAT_ACTIVIDADES'!$D$4:$D$26,MATCH($H745,'CAT_ACTIVIDADES'!$A$4:$A$26,0)),""))=0,(IFERROR(INDEX('CAT_ACTIVIDADES'!$D$4:$D$26,MATCH($H745,'CAT_ACTIVIDADES'!$A$4:$A$26,0)),""))=""),"SIN CLASIFICAR",IFERROR(INDEX('CAT_ACTIVIDADES'!$D$4:$D$26,MATCH($H745,'CAT_ACTIVIDADES'!$A$4:$A$26,0)),"")))</f>
        <v/>
      </c>
      <c r="AP745" s="4" t="n"/>
      <c r="AQ745" s="4" t="n"/>
      <c r="AR745" s="4" t="n"/>
      <c r="AS745" s="24">
        <f>IF($AR745="","",HYPERLINK(p_ruta_base_checklists&amp;$AR745,"abrir"))</f>
        <v/>
      </c>
      <c r="AT745" s="4" t="n"/>
      <c r="AU745" s="24">
        <f>IF($A745="","",$A745&amp;IF($B745="","0010",$B745))</f>
        <v/>
      </c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41" t="n"/>
      <c r="K746" s="5" t="n"/>
      <c r="L746" s="18" t="n"/>
      <c r="M746" s="24">
        <f>IF($A746="","",IFERROR(INDEX('AJUSTES'!$B$4:$B$303,MATCH($AU746,'AJUSTES'!$A$4:$A$303,0)),IF($K746="","",$K746)))</f>
        <v/>
      </c>
      <c r="N746" s="24">
        <f>IF($A746="","",IFERROR(INDEX('CAT_ESTADOS_ERP'!$B$4:$B$22,MATCH(IFERROR(INDEX('2_IMPORTAR_EJECUCION'!$C$9:$C$1208,MATCH($AU746,'2_IMPORTAR_EJECUCION'!$J$9:$J$1208,0)),""),'CAT_ESTADOS_ERP'!$A$4:$A$22,0)),"Pendiente"))</f>
        <v/>
      </c>
      <c r="O746" s="24">
        <f>IF($J746="","",YEAR($J746+4-WEEKDAY($J746,2))&amp;"-S"&amp;TEXT(_xlfn.ISOWEEKNUM($J746),"00"))</f>
        <v/>
      </c>
      <c r="P746" s="24">
        <f>IF($J746="","",YEAR($J746))</f>
        <v/>
      </c>
      <c r="Q746" s="24">
        <f>IF($J746="","",MONTH($J746))</f>
        <v/>
      </c>
      <c r="R746" s="24">
        <f>IF($J746="","",$P746&amp;"-"&amp;TEXT($Q746,"00"))</f>
        <v/>
      </c>
      <c r="S746" s="24">
        <f>IF($J746="","",INDEX(lista_dias,WEEKDAY($J746,2)))</f>
        <v/>
      </c>
      <c r="T746" s="24">
        <f>IF($J746="","",IFERROR(INDEX('CALENDARIO'!$C$15:$C$214,MATCH(TEXT($J746,"yyyy-mm-dd")&amp;"|"&amp;$Y746&amp;"|"&amp;$Z746,'CALENDARIO'!$G$15:$G$214,0)),IFERROR(INDEX('CALENDARIO'!$C$15:$C$214,MATCH(TEXT($J746,"yyyy-mm-dd")&amp;"|"&amp;$Y746&amp;"|",'CALENDARIO'!$G$15:$G$214,0)),IFERROR(INDEX('CALENDARIO'!$C$15:$C$214,MATCH(TEXT($J746,"yyyy-mm-dd")&amp;"||",'CALENDARIO'!$G$15:$G$214,0)),INDEX(patronHabil,WEEKDAY($J746,2))))))</f>
        <v/>
      </c>
      <c r="U746" s="24">
        <f>IF($I746="","",IFERROR(INDEX('CAT_TIPOS_OT'!$C$4:$C$23,MATCH($I746,'CAT_TIPOS_OT'!$A$4:$A$23,0)),"sin_clasificar"))</f>
        <v/>
      </c>
      <c r="V746" s="24">
        <f>IF($I746="","",IF(IFERROR(INDEX('CAT_TIPOS_OT'!$D$4:$D$23,MATCH($I746,'CAT_TIPOS_OT'!$A$4:$A$23,0)),"SIN CLASIFICAR")="","SIN CLASIFICAR",IFERROR(INDEX('CAT_TIPOS_OT'!$D$4:$D$23,MATCH($I746,'CAT_TIPOS_OT'!$A$4:$A$23,0)),"SIN CLASIFICAR")))</f>
        <v/>
      </c>
      <c r="W746" s="24">
        <f>IF($H746="","",IF(IFERROR(INDEX('CAT_ACTIVIDADES'!$F$4:$F$26,MATCH($H746,'CAT_ACTIVIDADES'!$A$4:$A$26,0)),"")=0,"",IFERROR(INDEX('CAT_ACTIVIDADES'!$F$4:$F$26,MATCH($H746,'CAT_ACTIVIDADES'!$A$4:$A$26,0)),"")))</f>
        <v/>
      </c>
      <c r="X746" s="24">
        <f>IF($F746="","",IFERROR(INDEX('CAT_CENTROS_COSTO'!$F$4:$F$28,MATCH($F746,'CAT_CENTROS_COSTO'!$A$4:$A$28,0)),"(sin catálogo)"))</f>
        <v/>
      </c>
      <c r="Y746" s="24">
        <f>IF($F746="","",IFERROR(INDEX('CAT_CENTROS_COSTO'!$D$4:$D$28,MATCH($F746,'CAT_CENTROS_COSTO'!$A$4:$A$28,0)),"(sin catálogo)"))</f>
        <v/>
      </c>
      <c r="Z746" s="24">
        <f>IF($F746="","",IF((IFERROR(INDEX('CAT_CENTROS_COSTO'!$E$4:$E$28,MATCH($F746,'CAT_CENTROS_COSTO'!$A$4:$A$28,0)),""))&lt;&gt;"",IFERROR(INDEX('CAT_CENTROS_COSTO'!$E$4:$E$28,MATCH($F746,'CAT_CENTROS_COSTO'!$A$4:$A$28,0)),""),$Y746))</f>
        <v/>
      </c>
      <c r="AA746" s="24">
        <f>IF($F746="","",IFERROR(INDEX('CAT_CENTROS_COSTO'!$G$4:$G$28,MATCH($F746,'CAT_CENTROS_COSTO'!$A$4:$A$28,0)),"(sin catálogo)"))</f>
        <v/>
      </c>
      <c r="AB746" s="24">
        <f>IF($G746="","",IFERROR(INDEX('CAT_PUESTOS'!$B$4:$B$23,MATCH($G746,'CAT_PUESTOS'!$A$4:$A$23,0)),"(sin catálogo)"))</f>
        <v/>
      </c>
      <c r="AC746" s="24">
        <f>IF($H746="","",IFERROR(INDEX('CAT_ACTIVIDADES'!$B$4:$B$26,MATCH($H746,'CAT_ACTIVIDADES'!$A$4:$A$26,0)),"(sin catálogo)"))</f>
        <v/>
      </c>
      <c r="AD746" s="26">
        <f>IF($J746="","",TODAY()-$J746)</f>
        <v/>
      </c>
      <c r="AE746" s="26">
        <f>IF($J746="","",IF($J746&lt;=TODAY(),COUNTIFS(cal_fechas,"&gt;="&amp;$J746,cal_fechas,"&lt;"&amp;TODAY(),cal_habil,"sí"),-COUNTIFS(cal_fechas,"&gt;="&amp;TODAY(),cal_fechas,"&lt;"&amp;$J746,cal_habil,"sí")))</f>
        <v/>
      </c>
      <c r="AF746" s="24">
        <f>IF($AE746="","",IF($AE746&lt;0,"FUTURO",IF($AE746&gt;p_dias_backlog_max,"BACKLOG","MES CORRIENTE")))</f>
        <v/>
      </c>
      <c r="AG746" s="24">
        <f>IF($AE746="",FALSE,AND($AE746&gt;p_dias_backlog_min,$AE746&lt;=p_dias_backlog_max))</f>
        <v/>
      </c>
      <c r="AH746" s="4" t="n"/>
      <c r="AI746" s="24">
        <f>IF($AH746="","",IF((IFERROR(INDEX('ASIGNACIONES'!$J$4:$J$451,MATCH($O746&amp;"|"&amp;$S746&amp;"|"&amp;$AH746,'ASIGNACIONES'!$N$4:$N$451,0)),""))=0,"",IFERROR(INDEX('ASIGNACIONES'!$J$4:$J$451,MATCH($O746&amp;"|"&amp;$S746&amp;"|"&amp;$AH746,'ASIGNACIONES'!$N$4:$N$451,0)),"")))</f>
        <v/>
      </c>
      <c r="AJ746" s="42">
        <f>IF($AH746="","",SUMIFS('ORDENES'!$M$4:$M$1203,'ORDENES'!$AH$4:$AH$1203,$AH746,'ORDENES'!$O$4:$O$1203,$O746,'ORDENES'!$S$4:$S$1203,$S746))</f>
        <v/>
      </c>
      <c r="AK746" s="42">
        <f>IF($AJ746="","",p_factor_productividad*IFERROR(INDEX('ASIGNACIONES'!$M$4:$M$451,MATCH($O746&amp;"|"&amp;$S746&amp;"|"&amp;$AH746,'ASIGNACIONES'!$N$4:$N$451,0)),0)-$AJ746)</f>
        <v/>
      </c>
      <c r="AL746" s="32">
        <f>IF($A746="","",IFERROR(INDEX('2_IMPORTAR_EJECUCION'!$F$9:$F$1208,MATCH($AU746,'2_IMPORTAR_EJECUCION'!$J$9:$J$1208,0)),0))</f>
        <v/>
      </c>
      <c r="AM746" s="32">
        <f>IF($A746="","",MAX(0,IFERROR(INDEX('2_IMPORTAR_EJECUCION'!$H$9:$H$1208,MATCH($AU746,'2_IMPORTAR_EJECUCION'!$J$9:$J$1208,0)),0)-$AL746))</f>
        <v/>
      </c>
      <c r="AN746" s="32">
        <f>IF($A746="","",$AL746+$AM746)</f>
        <v/>
      </c>
      <c r="AO746" s="24">
        <f>IF($A746="","",IF(OR((IFERROR(INDEX('CAT_ACTIVIDADES'!$D$4:$D$26,MATCH($H746,'CAT_ACTIVIDADES'!$A$4:$A$26,0)),""))=0,(IFERROR(INDEX('CAT_ACTIVIDADES'!$D$4:$D$26,MATCH($H746,'CAT_ACTIVIDADES'!$A$4:$A$26,0)),""))=""),"SIN CLASIFICAR",IFERROR(INDEX('CAT_ACTIVIDADES'!$D$4:$D$26,MATCH($H746,'CAT_ACTIVIDADES'!$A$4:$A$26,0)),"")))</f>
        <v/>
      </c>
      <c r="AP746" s="4" t="n"/>
      <c r="AQ746" s="4" t="n"/>
      <c r="AR746" s="4" t="n"/>
      <c r="AS746" s="24">
        <f>IF($AR746="","",HYPERLINK(p_ruta_base_checklists&amp;$AR746,"abrir"))</f>
        <v/>
      </c>
      <c r="AT746" s="4" t="n"/>
      <c r="AU746" s="24">
        <f>IF($A746="","",$A746&amp;IF($B746="","0010",$B746))</f>
        <v/>
      </c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41" t="n"/>
      <c r="K747" s="5" t="n"/>
      <c r="L747" s="18" t="n"/>
      <c r="M747" s="24">
        <f>IF($A747="","",IFERROR(INDEX('AJUSTES'!$B$4:$B$303,MATCH($AU747,'AJUSTES'!$A$4:$A$303,0)),IF($K747="","",$K747)))</f>
        <v/>
      </c>
      <c r="N747" s="24">
        <f>IF($A747="","",IFERROR(INDEX('CAT_ESTADOS_ERP'!$B$4:$B$22,MATCH(IFERROR(INDEX('2_IMPORTAR_EJECUCION'!$C$9:$C$1208,MATCH($AU747,'2_IMPORTAR_EJECUCION'!$J$9:$J$1208,0)),""),'CAT_ESTADOS_ERP'!$A$4:$A$22,0)),"Pendiente"))</f>
        <v/>
      </c>
      <c r="O747" s="24">
        <f>IF($J747="","",YEAR($J747+4-WEEKDAY($J747,2))&amp;"-S"&amp;TEXT(_xlfn.ISOWEEKNUM($J747),"00"))</f>
        <v/>
      </c>
      <c r="P747" s="24">
        <f>IF($J747="","",YEAR($J747))</f>
        <v/>
      </c>
      <c r="Q747" s="24">
        <f>IF($J747="","",MONTH($J747))</f>
        <v/>
      </c>
      <c r="R747" s="24">
        <f>IF($J747="","",$P747&amp;"-"&amp;TEXT($Q747,"00"))</f>
        <v/>
      </c>
      <c r="S747" s="24">
        <f>IF($J747="","",INDEX(lista_dias,WEEKDAY($J747,2)))</f>
        <v/>
      </c>
      <c r="T747" s="24">
        <f>IF($J747="","",IFERROR(INDEX('CALENDARIO'!$C$15:$C$214,MATCH(TEXT($J747,"yyyy-mm-dd")&amp;"|"&amp;$Y747&amp;"|"&amp;$Z747,'CALENDARIO'!$G$15:$G$214,0)),IFERROR(INDEX('CALENDARIO'!$C$15:$C$214,MATCH(TEXT($J747,"yyyy-mm-dd")&amp;"|"&amp;$Y747&amp;"|",'CALENDARIO'!$G$15:$G$214,0)),IFERROR(INDEX('CALENDARIO'!$C$15:$C$214,MATCH(TEXT($J747,"yyyy-mm-dd")&amp;"||",'CALENDARIO'!$G$15:$G$214,0)),INDEX(patronHabil,WEEKDAY($J747,2))))))</f>
        <v/>
      </c>
      <c r="U747" s="24">
        <f>IF($I747="","",IFERROR(INDEX('CAT_TIPOS_OT'!$C$4:$C$23,MATCH($I747,'CAT_TIPOS_OT'!$A$4:$A$23,0)),"sin_clasificar"))</f>
        <v/>
      </c>
      <c r="V747" s="24">
        <f>IF($I747="","",IF(IFERROR(INDEX('CAT_TIPOS_OT'!$D$4:$D$23,MATCH($I747,'CAT_TIPOS_OT'!$A$4:$A$23,0)),"SIN CLASIFICAR")="","SIN CLASIFICAR",IFERROR(INDEX('CAT_TIPOS_OT'!$D$4:$D$23,MATCH($I747,'CAT_TIPOS_OT'!$A$4:$A$23,0)),"SIN CLASIFICAR")))</f>
        <v/>
      </c>
      <c r="W747" s="24">
        <f>IF($H747="","",IF(IFERROR(INDEX('CAT_ACTIVIDADES'!$F$4:$F$26,MATCH($H747,'CAT_ACTIVIDADES'!$A$4:$A$26,0)),"")=0,"",IFERROR(INDEX('CAT_ACTIVIDADES'!$F$4:$F$26,MATCH($H747,'CAT_ACTIVIDADES'!$A$4:$A$26,0)),"")))</f>
        <v/>
      </c>
      <c r="X747" s="24">
        <f>IF($F747="","",IFERROR(INDEX('CAT_CENTROS_COSTO'!$F$4:$F$28,MATCH($F747,'CAT_CENTROS_COSTO'!$A$4:$A$28,0)),"(sin catálogo)"))</f>
        <v/>
      </c>
      <c r="Y747" s="24">
        <f>IF($F747="","",IFERROR(INDEX('CAT_CENTROS_COSTO'!$D$4:$D$28,MATCH($F747,'CAT_CENTROS_COSTO'!$A$4:$A$28,0)),"(sin catálogo)"))</f>
        <v/>
      </c>
      <c r="Z747" s="24">
        <f>IF($F747="","",IF((IFERROR(INDEX('CAT_CENTROS_COSTO'!$E$4:$E$28,MATCH($F747,'CAT_CENTROS_COSTO'!$A$4:$A$28,0)),""))&lt;&gt;"",IFERROR(INDEX('CAT_CENTROS_COSTO'!$E$4:$E$28,MATCH($F747,'CAT_CENTROS_COSTO'!$A$4:$A$28,0)),""),$Y747))</f>
        <v/>
      </c>
      <c r="AA747" s="24">
        <f>IF($F747="","",IFERROR(INDEX('CAT_CENTROS_COSTO'!$G$4:$G$28,MATCH($F747,'CAT_CENTROS_COSTO'!$A$4:$A$28,0)),"(sin catálogo)"))</f>
        <v/>
      </c>
      <c r="AB747" s="24">
        <f>IF($G747="","",IFERROR(INDEX('CAT_PUESTOS'!$B$4:$B$23,MATCH($G747,'CAT_PUESTOS'!$A$4:$A$23,0)),"(sin catálogo)"))</f>
        <v/>
      </c>
      <c r="AC747" s="24">
        <f>IF($H747="","",IFERROR(INDEX('CAT_ACTIVIDADES'!$B$4:$B$26,MATCH($H747,'CAT_ACTIVIDADES'!$A$4:$A$26,0)),"(sin catálogo)"))</f>
        <v/>
      </c>
      <c r="AD747" s="26">
        <f>IF($J747="","",TODAY()-$J747)</f>
        <v/>
      </c>
      <c r="AE747" s="26">
        <f>IF($J747="","",IF($J747&lt;=TODAY(),COUNTIFS(cal_fechas,"&gt;="&amp;$J747,cal_fechas,"&lt;"&amp;TODAY(),cal_habil,"sí"),-COUNTIFS(cal_fechas,"&gt;="&amp;TODAY(),cal_fechas,"&lt;"&amp;$J747,cal_habil,"sí")))</f>
        <v/>
      </c>
      <c r="AF747" s="24">
        <f>IF($AE747="","",IF($AE747&lt;0,"FUTURO",IF($AE747&gt;p_dias_backlog_max,"BACKLOG","MES CORRIENTE")))</f>
        <v/>
      </c>
      <c r="AG747" s="24">
        <f>IF($AE747="",FALSE,AND($AE747&gt;p_dias_backlog_min,$AE747&lt;=p_dias_backlog_max))</f>
        <v/>
      </c>
      <c r="AH747" s="4" t="n"/>
      <c r="AI747" s="24">
        <f>IF($AH747="","",IF((IFERROR(INDEX('ASIGNACIONES'!$J$4:$J$451,MATCH($O747&amp;"|"&amp;$S747&amp;"|"&amp;$AH747,'ASIGNACIONES'!$N$4:$N$451,0)),""))=0,"",IFERROR(INDEX('ASIGNACIONES'!$J$4:$J$451,MATCH($O747&amp;"|"&amp;$S747&amp;"|"&amp;$AH747,'ASIGNACIONES'!$N$4:$N$451,0)),"")))</f>
        <v/>
      </c>
      <c r="AJ747" s="42">
        <f>IF($AH747="","",SUMIFS('ORDENES'!$M$4:$M$1203,'ORDENES'!$AH$4:$AH$1203,$AH747,'ORDENES'!$O$4:$O$1203,$O747,'ORDENES'!$S$4:$S$1203,$S747))</f>
        <v/>
      </c>
      <c r="AK747" s="42">
        <f>IF($AJ747="","",p_factor_productividad*IFERROR(INDEX('ASIGNACIONES'!$M$4:$M$451,MATCH($O747&amp;"|"&amp;$S747&amp;"|"&amp;$AH747,'ASIGNACIONES'!$N$4:$N$451,0)),0)-$AJ747)</f>
        <v/>
      </c>
      <c r="AL747" s="32">
        <f>IF($A747="","",IFERROR(INDEX('2_IMPORTAR_EJECUCION'!$F$9:$F$1208,MATCH($AU747,'2_IMPORTAR_EJECUCION'!$J$9:$J$1208,0)),0))</f>
        <v/>
      </c>
      <c r="AM747" s="32">
        <f>IF($A747="","",MAX(0,IFERROR(INDEX('2_IMPORTAR_EJECUCION'!$H$9:$H$1208,MATCH($AU747,'2_IMPORTAR_EJECUCION'!$J$9:$J$1208,0)),0)-$AL747))</f>
        <v/>
      </c>
      <c r="AN747" s="32">
        <f>IF($A747="","",$AL747+$AM747)</f>
        <v/>
      </c>
      <c r="AO747" s="24">
        <f>IF($A747="","",IF(OR((IFERROR(INDEX('CAT_ACTIVIDADES'!$D$4:$D$26,MATCH($H747,'CAT_ACTIVIDADES'!$A$4:$A$26,0)),""))=0,(IFERROR(INDEX('CAT_ACTIVIDADES'!$D$4:$D$26,MATCH($H747,'CAT_ACTIVIDADES'!$A$4:$A$26,0)),""))=""),"SIN CLASIFICAR",IFERROR(INDEX('CAT_ACTIVIDADES'!$D$4:$D$26,MATCH($H747,'CAT_ACTIVIDADES'!$A$4:$A$26,0)),"")))</f>
        <v/>
      </c>
      <c r="AP747" s="4" t="n"/>
      <c r="AQ747" s="4" t="n"/>
      <c r="AR747" s="4" t="n"/>
      <c r="AS747" s="24">
        <f>IF($AR747="","",HYPERLINK(p_ruta_base_checklists&amp;$AR747,"abrir"))</f>
        <v/>
      </c>
      <c r="AT747" s="4" t="n"/>
      <c r="AU747" s="24">
        <f>IF($A747="","",$A747&amp;IF($B747="","0010",$B747))</f>
        <v/>
      </c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41" t="n"/>
      <c r="K748" s="5" t="n"/>
      <c r="L748" s="18" t="n"/>
      <c r="M748" s="24">
        <f>IF($A748="","",IFERROR(INDEX('AJUSTES'!$B$4:$B$303,MATCH($AU748,'AJUSTES'!$A$4:$A$303,0)),IF($K748="","",$K748)))</f>
        <v/>
      </c>
      <c r="N748" s="24">
        <f>IF($A748="","",IFERROR(INDEX('CAT_ESTADOS_ERP'!$B$4:$B$22,MATCH(IFERROR(INDEX('2_IMPORTAR_EJECUCION'!$C$9:$C$1208,MATCH($AU748,'2_IMPORTAR_EJECUCION'!$J$9:$J$1208,0)),""),'CAT_ESTADOS_ERP'!$A$4:$A$22,0)),"Pendiente"))</f>
        <v/>
      </c>
      <c r="O748" s="24">
        <f>IF($J748="","",YEAR($J748+4-WEEKDAY($J748,2))&amp;"-S"&amp;TEXT(_xlfn.ISOWEEKNUM($J748),"00"))</f>
        <v/>
      </c>
      <c r="P748" s="24">
        <f>IF($J748="","",YEAR($J748))</f>
        <v/>
      </c>
      <c r="Q748" s="24">
        <f>IF($J748="","",MONTH($J748))</f>
        <v/>
      </c>
      <c r="R748" s="24">
        <f>IF($J748="","",$P748&amp;"-"&amp;TEXT($Q748,"00"))</f>
        <v/>
      </c>
      <c r="S748" s="24">
        <f>IF($J748="","",INDEX(lista_dias,WEEKDAY($J748,2)))</f>
        <v/>
      </c>
      <c r="T748" s="24">
        <f>IF($J748="","",IFERROR(INDEX('CALENDARIO'!$C$15:$C$214,MATCH(TEXT($J748,"yyyy-mm-dd")&amp;"|"&amp;$Y748&amp;"|"&amp;$Z748,'CALENDARIO'!$G$15:$G$214,0)),IFERROR(INDEX('CALENDARIO'!$C$15:$C$214,MATCH(TEXT($J748,"yyyy-mm-dd")&amp;"|"&amp;$Y748&amp;"|",'CALENDARIO'!$G$15:$G$214,0)),IFERROR(INDEX('CALENDARIO'!$C$15:$C$214,MATCH(TEXT($J748,"yyyy-mm-dd")&amp;"||",'CALENDARIO'!$G$15:$G$214,0)),INDEX(patronHabil,WEEKDAY($J748,2))))))</f>
        <v/>
      </c>
      <c r="U748" s="24">
        <f>IF($I748="","",IFERROR(INDEX('CAT_TIPOS_OT'!$C$4:$C$23,MATCH($I748,'CAT_TIPOS_OT'!$A$4:$A$23,0)),"sin_clasificar"))</f>
        <v/>
      </c>
      <c r="V748" s="24">
        <f>IF($I748="","",IF(IFERROR(INDEX('CAT_TIPOS_OT'!$D$4:$D$23,MATCH($I748,'CAT_TIPOS_OT'!$A$4:$A$23,0)),"SIN CLASIFICAR")="","SIN CLASIFICAR",IFERROR(INDEX('CAT_TIPOS_OT'!$D$4:$D$23,MATCH($I748,'CAT_TIPOS_OT'!$A$4:$A$23,0)),"SIN CLASIFICAR")))</f>
        <v/>
      </c>
      <c r="W748" s="24">
        <f>IF($H748="","",IF(IFERROR(INDEX('CAT_ACTIVIDADES'!$F$4:$F$26,MATCH($H748,'CAT_ACTIVIDADES'!$A$4:$A$26,0)),"")=0,"",IFERROR(INDEX('CAT_ACTIVIDADES'!$F$4:$F$26,MATCH($H748,'CAT_ACTIVIDADES'!$A$4:$A$26,0)),"")))</f>
        <v/>
      </c>
      <c r="X748" s="24">
        <f>IF($F748="","",IFERROR(INDEX('CAT_CENTROS_COSTO'!$F$4:$F$28,MATCH($F748,'CAT_CENTROS_COSTO'!$A$4:$A$28,0)),"(sin catálogo)"))</f>
        <v/>
      </c>
      <c r="Y748" s="24">
        <f>IF($F748="","",IFERROR(INDEX('CAT_CENTROS_COSTO'!$D$4:$D$28,MATCH($F748,'CAT_CENTROS_COSTO'!$A$4:$A$28,0)),"(sin catálogo)"))</f>
        <v/>
      </c>
      <c r="Z748" s="24">
        <f>IF($F748="","",IF((IFERROR(INDEX('CAT_CENTROS_COSTO'!$E$4:$E$28,MATCH($F748,'CAT_CENTROS_COSTO'!$A$4:$A$28,0)),""))&lt;&gt;"",IFERROR(INDEX('CAT_CENTROS_COSTO'!$E$4:$E$28,MATCH($F748,'CAT_CENTROS_COSTO'!$A$4:$A$28,0)),""),$Y748))</f>
        <v/>
      </c>
      <c r="AA748" s="24">
        <f>IF($F748="","",IFERROR(INDEX('CAT_CENTROS_COSTO'!$G$4:$G$28,MATCH($F748,'CAT_CENTROS_COSTO'!$A$4:$A$28,0)),"(sin catálogo)"))</f>
        <v/>
      </c>
      <c r="AB748" s="24">
        <f>IF($G748="","",IFERROR(INDEX('CAT_PUESTOS'!$B$4:$B$23,MATCH($G748,'CAT_PUESTOS'!$A$4:$A$23,0)),"(sin catálogo)"))</f>
        <v/>
      </c>
      <c r="AC748" s="24">
        <f>IF($H748="","",IFERROR(INDEX('CAT_ACTIVIDADES'!$B$4:$B$26,MATCH($H748,'CAT_ACTIVIDADES'!$A$4:$A$26,0)),"(sin catálogo)"))</f>
        <v/>
      </c>
      <c r="AD748" s="26">
        <f>IF($J748="","",TODAY()-$J748)</f>
        <v/>
      </c>
      <c r="AE748" s="26">
        <f>IF($J748="","",IF($J748&lt;=TODAY(),COUNTIFS(cal_fechas,"&gt;="&amp;$J748,cal_fechas,"&lt;"&amp;TODAY(),cal_habil,"sí"),-COUNTIFS(cal_fechas,"&gt;="&amp;TODAY(),cal_fechas,"&lt;"&amp;$J748,cal_habil,"sí")))</f>
        <v/>
      </c>
      <c r="AF748" s="24">
        <f>IF($AE748="","",IF($AE748&lt;0,"FUTURO",IF($AE748&gt;p_dias_backlog_max,"BACKLOG","MES CORRIENTE")))</f>
        <v/>
      </c>
      <c r="AG748" s="24">
        <f>IF($AE748="",FALSE,AND($AE748&gt;p_dias_backlog_min,$AE748&lt;=p_dias_backlog_max))</f>
        <v/>
      </c>
      <c r="AH748" s="4" t="n"/>
      <c r="AI748" s="24">
        <f>IF($AH748="","",IF((IFERROR(INDEX('ASIGNACIONES'!$J$4:$J$451,MATCH($O748&amp;"|"&amp;$S748&amp;"|"&amp;$AH748,'ASIGNACIONES'!$N$4:$N$451,0)),""))=0,"",IFERROR(INDEX('ASIGNACIONES'!$J$4:$J$451,MATCH($O748&amp;"|"&amp;$S748&amp;"|"&amp;$AH748,'ASIGNACIONES'!$N$4:$N$451,0)),"")))</f>
        <v/>
      </c>
      <c r="AJ748" s="42">
        <f>IF($AH748="","",SUMIFS('ORDENES'!$M$4:$M$1203,'ORDENES'!$AH$4:$AH$1203,$AH748,'ORDENES'!$O$4:$O$1203,$O748,'ORDENES'!$S$4:$S$1203,$S748))</f>
        <v/>
      </c>
      <c r="AK748" s="42">
        <f>IF($AJ748="","",p_factor_productividad*IFERROR(INDEX('ASIGNACIONES'!$M$4:$M$451,MATCH($O748&amp;"|"&amp;$S748&amp;"|"&amp;$AH748,'ASIGNACIONES'!$N$4:$N$451,0)),0)-$AJ748)</f>
        <v/>
      </c>
      <c r="AL748" s="32">
        <f>IF($A748="","",IFERROR(INDEX('2_IMPORTAR_EJECUCION'!$F$9:$F$1208,MATCH($AU748,'2_IMPORTAR_EJECUCION'!$J$9:$J$1208,0)),0))</f>
        <v/>
      </c>
      <c r="AM748" s="32">
        <f>IF($A748="","",MAX(0,IFERROR(INDEX('2_IMPORTAR_EJECUCION'!$H$9:$H$1208,MATCH($AU748,'2_IMPORTAR_EJECUCION'!$J$9:$J$1208,0)),0)-$AL748))</f>
        <v/>
      </c>
      <c r="AN748" s="32">
        <f>IF($A748="","",$AL748+$AM748)</f>
        <v/>
      </c>
      <c r="AO748" s="24">
        <f>IF($A748="","",IF(OR((IFERROR(INDEX('CAT_ACTIVIDADES'!$D$4:$D$26,MATCH($H748,'CAT_ACTIVIDADES'!$A$4:$A$26,0)),""))=0,(IFERROR(INDEX('CAT_ACTIVIDADES'!$D$4:$D$26,MATCH($H748,'CAT_ACTIVIDADES'!$A$4:$A$26,0)),""))=""),"SIN CLASIFICAR",IFERROR(INDEX('CAT_ACTIVIDADES'!$D$4:$D$26,MATCH($H748,'CAT_ACTIVIDADES'!$A$4:$A$26,0)),"")))</f>
        <v/>
      </c>
      <c r="AP748" s="4" t="n"/>
      <c r="AQ748" s="4" t="n"/>
      <c r="AR748" s="4" t="n"/>
      <c r="AS748" s="24">
        <f>IF($AR748="","",HYPERLINK(p_ruta_base_checklists&amp;$AR748,"abrir"))</f>
        <v/>
      </c>
      <c r="AT748" s="4" t="n"/>
      <c r="AU748" s="24">
        <f>IF($A748="","",$A748&amp;IF($B748="","0010",$B748))</f>
        <v/>
      </c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41" t="n"/>
      <c r="K749" s="5" t="n"/>
      <c r="L749" s="18" t="n"/>
      <c r="M749" s="24">
        <f>IF($A749="","",IFERROR(INDEX('AJUSTES'!$B$4:$B$303,MATCH($AU749,'AJUSTES'!$A$4:$A$303,0)),IF($K749="","",$K749)))</f>
        <v/>
      </c>
      <c r="N749" s="24">
        <f>IF($A749="","",IFERROR(INDEX('CAT_ESTADOS_ERP'!$B$4:$B$22,MATCH(IFERROR(INDEX('2_IMPORTAR_EJECUCION'!$C$9:$C$1208,MATCH($AU749,'2_IMPORTAR_EJECUCION'!$J$9:$J$1208,0)),""),'CAT_ESTADOS_ERP'!$A$4:$A$22,0)),"Pendiente"))</f>
        <v/>
      </c>
      <c r="O749" s="24">
        <f>IF($J749="","",YEAR($J749+4-WEEKDAY($J749,2))&amp;"-S"&amp;TEXT(_xlfn.ISOWEEKNUM($J749),"00"))</f>
        <v/>
      </c>
      <c r="P749" s="24">
        <f>IF($J749="","",YEAR($J749))</f>
        <v/>
      </c>
      <c r="Q749" s="24">
        <f>IF($J749="","",MONTH($J749))</f>
        <v/>
      </c>
      <c r="R749" s="24">
        <f>IF($J749="","",$P749&amp;"-"&amp;TEXT($Q749,"00"))</f>
        <v/>
      </c>
      <c r="S749" s="24">
        <f>IF($J749="","",INDEX(lista_dias,WEEKDAY($J749,2)))</f>
        <v/>
      </c>
      <c r="T749" s="24">
        <f>IF($J749="","",IFERROR(INDEX('CALENDARIO'!$C$15:$C$214,MATCH(TEXT($J749,"yyyy-mm-dd")&amp;"|"&amp;$Y749&amp;"|"&amp;$Z749,'CALENDARIO'!$G$15:$G$214,0)),IFERROR(INDEX('CALENDARIO'!$C$15:$C$214,MATCH(TEXT($J749,"yyyy-mm-dd")&amp;"|"&amp;$Y749&amp;"|",'CALENDARIO'!$G$15:$G$214,0)),IFERROR(INDEX('CALENDARIO'!$C$15:$C$214,MATCH(TEXT($J749,"yyyy-mm-dd")&amp;"||",'CALENDARIO'!$G$15:$G$214,0)),INDEX(patronHabil,WEEKDAY($J749,2))))))</f>
        <v/>
      </c>
      <c r="U749" s="24">
        <f>IF($I749="","",IFERROR(INDEX('CAT_TIPOS_OT'!$C$4:$C$23,MATCH($I749,'CAT_TIPOS_OT'!$A$4:$A$23,0)),"sin_clasificar"))</f>
        <v/>
      </c>
      <c r="V749" s="24">
        <f>IF($I749="","",IF(IFERROR(INDEX('CAT_TIPOS_OT'!$D$4:$D$23,MATCH($I749,'CAT_TIPOS_OT'!$A$4:$A$23,0)),"SIN CLASIFICAR")="","SIN CLASIFICAR",IFERROR(INDEX('CAT_TIPOS_OT'!$D$4:$D$23,MATCH($I749,'CAT_TIPOS_OT'!$A$4:$A$23,0)),"SIN CLASIFICAR")))</f>
        <v/>
      </c>
      <c r="W749" s="24">
        <f>IF($H749="","",IF(IFERROR(INDEX('CAT_ACTIVIDADES'!$F$4:$F$26,MATCH($H749,'CAT_ACTIVIDADES'!$A$4:$A$26,0)),"")=0,"",IFERROR(INDEX('CAT_ACTIVIDADES'!$F$4:$F$26,MATCH($H749,'CAT_ACTIVIDADES'!$A$4:$A$26,0)),"")))</f>
        <v/>
      </c>
      <c r="X749" s="24">
        <f>IF($F749="","",IFERROR(INDEX('CAT_CENTROS_COSTO'!$F$4:$F$28,MATCH($F749,'CAT_CENTROS_COSTO'!$A$4:$A$28,0)),"(sin catálogo)"))</f>
        <v/>
      </c>
      <c r="Y749" s="24">
        <f>IF($F749="","",IFERROR(INDEX('CAT_CENTROS_COSTO'!$D$4:$D$28,MATCH($F749,'CAT_CENTROS_COSTO'!$A$4:$A$28,0)),"(sin catálogo)"))</f>
        <v/>
      </c>
      <c r="Z749" s="24">
        <f>IF($F749="","",IF((IFERROR(INDEX('CAT_CENTROS_COSTO'!$E$4:$E$28,MATCH($F749,'CAT_CENTROS_COSTO'!$A$4:$A$28,0)),""))&lt;&gt;"",IFERROR(INDEX('CAT_CENTROS_COSTO'!$E$4:$E$28,MATCH($F749,'CAT_CENTROS_COSTO'!$A$4:$A$28,0)),""),$Y749))</f>
        <v/>
      </c>
      <c r="AA749" s="24">
        <f>IF($F749="","",IFERROR(INDEX('CAT_CENTROS_COSTO'!$G$4:$G$28,MATCH($F749,'CAT_CENTROS_COSTO'!$A$4:$A$28,0)),"(sin catálogo)"))</f>
        <v/>
      </c>
      <c r="AB749" s="24">
        <f>IF($G749="","",IFERROR(INDEX('CAT_PUESTOS'!$B$4:$B$23,MATCH($G749,'CAT_PUESTOS'!$A$4:$A$23,0)),"(sin catálogo)"))</f>
        <v/>
      </c>
      <c r="AC749" s="24">
        <f>IF($H749="","",IFERROR(INDEX('CAT_ACTIVIDADES'!$B$4:$B$26,MATCH($H749,'CAT_ACTIVIDADES'!$A$4:$A$26,0)),"(sin catálogo)"))</f>
        <v/>
      </c>
      <c r="AD749" s="26">
        <f>IF($J749="","",TODAY()-$J749)</f>
        <v/>
      </c>
      <c r="AE749" s="26">
        <f>IF($J749="","",IF($J749&lt;=TODAY(),COUNTIFS(cal_fechas,"&gt;="&amp;$J749,cal_fechas,"&lt;"&amp;TODAY(),cal_habil,"sí"),-COUNTIFS(cal_fechas,"&gt;="&amp;TODAY(),cal_fechas,"&lt;"&amp;$J749,cal_habil,"sí")))</f>
        <v/>
      </c>
      <c r="AF749" s="24">
        <f>IF($AE749="","",IF($AE749&lt;0,"FUTURO",IF($AE749&gt;p_dias_backlog_max,"BACKLOG","MES CORRIENTE")))</f>
        <v/>
      </c>
      <c r="AG749" s="24">
        <f>IF($AE749="",FALSE,AND($AE749&gt;p_dias_backlog_min,$AE749&lt;=p_dias_backlog_max))</f>
        <v/>
      </c>
      <c r="AH749" s="4" t="n"/>
      <c r="AI749" s="24">
        <f>IF($AH749="","",IF((IFERROR(INDEX('ASIGNACIONES'!$J$4:$J$451,MATCH($O749&amp;"|"&amp;$S749&amp;"|"&amp;$AH749,'ASIGNACIONES'!$N$4:$N$451,0)),""))=0,"",IFERROR(INDEX('ASIGNACIONES'!$J$4:$J$451,MATCH($O749&amp;"|"&amp;$S749&amp;"|"&amp;$AH749,'ASIGNACIONES'!$N$4:$N$451,0)),"")))</f>
        <v/>
      </c>
      <c r="AJ749" s="42">
        <f>IF($AH749="","",SUMIFS('ORDENES'!$M$4:$M$1203,'ORDENES'!$AH$4:$AH$1203,$AH749,'ORDENES'!$O$4:$O$1203,$O749,'ORDENES'!$S$4:$S$1203,$S749))</f>
        <v/>
      </c>
      <c r="AK749" s="42">
        <f>IF($AJ749="","",p_factor_productividad*IFERROR(INDEX('ASIGNACIONES'!$M$4:$M$451,MATCH($O749&amp;"|"&amp;$S749&amp;"|"&amp;$AH749,'ASIGNACIONES'!$N$4:$N$451,0)),0)-$AJ749)</f>
        <v/>
      </c>
      <c r="AL749" s="32">
        <f>IF($A749="","",IFERROR(INDEX('2_IMPORTAR_EJECUCION'!$F$9:$F$1208,MATCH($AU749,'2_IMPORTAR_EJECUCION'!$J$9:$J$1208,0)),0))</f>
        <v/>
      </c>
      <c r="AM749" s="32">
        <f>IF($A749="","",MAX(0,IFERROR(INDEX('2_IMPORTAR_EJECUCION'!$H$9:$H$1208,MATCH($AU749,'2_IMPORTAR_EJECUCION'!$J$9:$J$1208,0)),0)-$AL749))</f>
        <v/>
      </c>
      <c r="AN749" s="32">
        <f>IF($A749="","",$AL749+$AM749)</f>
        <v/>
      </c>
      <c r="AO749" s="24">
        <f>IF($A749="","",IF(OR((IFERROR(INDEX('CAT_ACTIVIDADES'!$D$4:$D$26,MATCH($H749,'CAT_ACTIVIDADES'!$A$4:$A$26,0)),""))=0,(IFERROR(INDEX('CAT_ACTIVIDADES'!$D$4:$D$26,MATCH($H749,'CAT_ACTIVIDADES'!$A$4:$A$26,0)),""))=""),"SIN CLASIFICAR",IFERROR(INDEX('CAT_ACTIVIDADES'!$D$4:$D$26,MATCH($H749,'CAT_ACTIVIDADES'!$A$4:$A$26,0)),"")))</f>
        <v/>
      </c>
      <c r="AP749" s="4" t="n"/>
      <c r="AQ749" s="4" t="n"/>
      <c r="AR749" s="4" t="n"/>
      <c r="AS749" s="24">
        <f>IF($AR749="","",HYPERLINK(p_ruta_base_checklists&amp;$AR749,"abrir"))</f>
        <v/>
      </c>
      <c r="AT749" s="4" t="n"/>
      <c r="AU749" s="24">
        <f>IF($A749="","",$A749&amp;IF($B749="","0010",$B749))</f>
        <v/>
      </c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41" t="n"/>
      <c r="K750" s="5" t="n"/>
      <c r="L750" s="18" t="n"/>
      <c r="M750" s="24">
        <f>IF($A750="","",IFERROR(INDEX('AJUSTES'!$B$4:$B$303,MATCH($AU750,'AJUSTES'!$A$4:$A$303,0)),IF($K750="","",$K750)))</f>
        <v/>
      </c>
      <c r="N750" s="24">
        <f>IF($A750="","",IFERROR(INDEX('CAT_ESTADOS_ERP'!$B$4:$B$22,MATCH(IFERROR(INDEX('2_IMPORTAR_EJECUCION'!$C$9:$C$1208,MATCH($AU750,'2_IMPORTAR_EJECUCION'!$J$9:$J$1208,0)),""),'CAT_ESTADOS_ERP'!$A$4:$A$22,0)),"Pendiente"))</f>
        <v/>
      </c>
      <c r="O750" s="24">
        <f>IF($J750="","",YEAR($J750+4-WEEKDAY($J750,2))&amp;"-S"&amp;TEXT(_xlfn.ISOWEEKNUM($J750),"00"))</f>
        <v/>
      </c>
      <c r="P750" s="24">
        <f>IF($J750="","",YEAR($J750))</f>
        <v/>
      </c>
      <c r="Q750" s="24">
        <f>IF($J750="","",MONTH($J750))</f>
        <v/>
      </c>
      <c r="R750" s="24">
        <f>IF($J750="","",$P750&amp;"-"&amp;TEXT($Q750,"00"))</f>
        <v/>
      </c>
      <c r="S750" s="24">
        <f>IF($J750="","",INDEX(lista_dias,WEEKDAY($J750,2)))</f>
        <v/>
      </c>
      <c r="T750" s="24">
        <f>IF($J750="","",IFERROR(INDEX('CALENDARIO'!$C$15:$C$214,MATCH(TEXT($J750,"yyyy-mm-dd")&amp;"|"&amp;$Y750&amp;"|"&amp;$Z750,'CALENDARIO'!$G$15:$G$214,0)),IFERROR(INDEX('CALENDARIO'!$C$15:$C$214,MATCH(TEXT($J750,"yyyy-mm-dd")&amp;"|"&amp;$Y750&amp;"|",'CALENDARIO'!$G$15:$G$214,0)),IFERROR(INDEX('CALENDARIO'!$C$15:$C$214,MATCH(TEXT($J750,"yyyy-mm-dd")&amp;"||",'CALENDARIO'!$G$15:$G$214,0)),INDEX(patronHabil,WEEKDAY($J750,2))))))</f>
        <v/>
      </c>
      <c r="U750" s="24">
        <f>IF($I750="","",IFERROR(INDEX('CAT_TIPOS_OT'!$C$4:$C$23,MATCH($I750,'CAT_TIPOS_OT'!$A$4:$A$23,0)),"sin_clasificar"))</f>
        <v/>
      </c>
      <c r="V750" s="24">
        <f>IF($I750="","",IF(IFERROR(INDEX('CAT_TIPOS_OT'!$D$4:$D$23,MATCH($I750,'CAT_TIPOS_OT'!$A$4:$A$23,0)),"SIN CLASIFICAR")="","SIN CLASIFICAR",IFERROR(INDEX('CAT_TIPOS_OT'!$D$4:$D$23,MATCH($I750,'CAT_TIPOS_OT'!$A$4:$A$23,0)),"SIN CLASIFICAR")))</f>
        <v/>
      </c>
      <c r="W750" s="24">
        <f>IF($H750="","",IF(IFERROR(INDEX('CAT_ACTIVIDADES'!$F$4:$F$26,MATCH($H750,'CAT_ACTIVIDADES'!$A$4:$A$26,0)),"")=0,"",IFERROR(INDEX('CAT_ACTIVIDADES'!$F$4:$F$26,MATCH($H750,'CAT_ACTIVIDADES'!$A$4:$A$26,0)),"")))</f>
        <v/>
      </c>
      <c r="X750" s="24">
        <f>IF($F750="","",IFERROR(INDEX('CAT_CENTROS_COSTO'!$F$4:$F$28,MATCH($F750,'CAT_CENTROS_COSTO'!$A$4:$A$28,0)),"(sin catálogo)"))</f>
        <v/>
      </c>
      <c r="Y750" s="24">
        <f>IF($F750="","",IFERROR(INDEX('CAT_CENTROS_COSTO'!$D$4:$D$28,MATCH($F750,'CAT_CENTROS_COSTO'!$A$4:$A$28,0)),"(sin catálogo)"))</f>
        <v/>
      </c>
      <c r="Z750" s="24">
        <f>IF($F750="","",IF((IFERROR(INDEX('CAT_CENTROS_COSTO'!$E$4:$E$28,MATCH($F750,'CAT_CENTROS_COSTO'!$A$4:$A$28,0)),""))&lt;&gt;"",IFERROR(INDEX('CAT_CENTROS_COSTO'!$E$4:$E$28,MATCH($F750,'CAT_CENTROS_COSTO'!$A$4:$A$28,0)),""),$Y750))</f>
        <v/>
      </c>
      <c r="AA750" s="24">
        <f>IF($F750="","",IFERROR(INDEX('CAT_CENTROS_COSTO'!$G$4:$G$28,MATCH($F750,'CAT_CENTROS_COSTO'!$A$4:$A$28,0)),"(sin catálogo)"))</f>
        <v/>
      </c>
      <c r="AB750" s="24">
        <f>IF($G750="","",IFERROR(INDEX('CAT_PUESTOS'!$B$4:$B$23,MATCH($G750,'CAT_PUESTOS'!$A$4:$A$23,0)),"(sin catálogo)"))</f>
        <v/>
      </c>
      <c r="AC750" s="24">
        <f>IF($H750="","",IFERROR(INDEX('CAT_ACTIVIDADES'!$B$4:$B$26,MATCH($H750,'CAT_ACTIVIDADES'!$A$4:$A$26,0)),"(sin catálogo)"))</f>
        <v/>
      </c>
      <c r="AD750" s="26">
        <f>IF($J750="","",TODAY()-$J750)</f>
        <v/>
      </c>
      <c r="AE750" s="26">
        <f>IF($J750="","",IF($J750&lt;=TODAY(),COUNTIFS(cal_fechas,"&gt;="&amp;$J750,cal_fechas,"&lt;"&amp;TODAY(),cal_habil,"sí"),-COUNTIFS(cal_fechas,"&gt;="&amp;TODAY(),cal_fechas,"&lt;"&amp;$J750,cal_habil,"sí")))</f>
        <v/>
      </c>
      <c r="AF750" s="24">
        <f>IF($AE750="","",IF($AE750&lt;0,"FUTURO",IF($AE750&gt;p_dias_backlog_max,"BACKLOG","MES CORRIENTE")))</f>
        <v/>
      </c>
      <c r="AG750" s="24">
        <f>IF($AE750="",FALSE,AND($AE750&gt;p_dias_backlog_min,$AE750&lt;=p_dias_backlog_max))</f>
        <v/>
      </c>
      <c r="AH750" s="4" t="n"/>
      <c r="AI750" s="24">
        <f>IF($AH750="","",IF((IFERROR(INDEX('ASIGNACIONES'!$J$4:$J$451,MATCH($O750&amp;"|"&amp;$S750&amp;"|"&amp;$AH750,'ASIGNACIONES'!$N$4:$N$451,0)),""))=0,"",IFERROR(INDEX('ASIGNACIONES'!$J$4:$J$451,MATCH($O750&amp;"|"&amp;$S750&amp;"|"&amp;$AH750,'ASIGNACIONES'!$N$4:$N$451,0)),"")))</f>
        <v/>
      </c>
      <c r="AJ750" s="42">
        <f>IF($AH750="","",SUMIFS('ORDENES'!$M$4:$M$1203,'ORDENES'!$AH$4:$AH$1203,$AH750,'ORDENES'!$O$4:$O$1203,$O750,'ORDENES'!$S$4:$S$1203,$S750))</f>
        <v/>
      </c>
      <c r="AK750" s="42">
        <f>IF($AJ750="","",p_factor_productividad*IFERROR(INDEX('ASIGNACIONES'!$M$4:$M$451,MATCH($O750&amp;"|"&amp;$S750&amp;"|"&amp;$AH750,'ASIGNACIONES'!$N$4:$N$451,0)),0)-$AJ750)</f>
        <v/>
      </c>
      <c r="AL750" s="32">
        <f>IF($A750="","",IFERROR(INDEX('2_IMPORTAR_EJECUCION'!$F$9:$F$1208,MATCH($AU750,'2_IMPORTAR_EJECUCION'!$J$9:$J$1208,0)),0))</f>
        <v/>
      </c>
      <c r="AM750" s="32">
        <f>IF($A750="","",MAX(0,IFERROR(INDEX('2_IMPORTAR_EJECUCION'!$H$9:$H$1208,MATCH($AU750,'2_IMPORTAR_EJECUCION'!$J$9:$J$1208,0)),0)-$AL750))</f>
        <v/>
      </c>
      <c r="AN750" s="32">
        <f>IF($A750="","",$AL750+$AM750)</f>
        <v/>
      </c>
      <c r="AO750" s="24">
        <f>IF($A750="","",IF(OR((IFERROR(INDEX('CAT_ACTIVIDADES'!$D$4:$D$26,MATCH($H750,'CAT_ACTIVIDADES'!$A$4:$A$26,0)),""))=0,(IFERROR(INDEX('CAT_ACTIVIDADES'!$D$4:$D$26,MATCH($H750,'CAT_ACTIVIDADES'!$A$4:$A$26,0)),""))=""),"SIN CLASIFICAR",IFERROR(INDEX('CAT_ACTIVIDADES'!$D$4:$D$26,MATCH($H750,'CAT_ACTIVIDADES'!$A$4:$A$26,0)),"")))</f>
        <v/>
      </c>
      <c r="AP750" s="4" t="n"/>
      <c r="AQ750" s="4" t="n"/>
      <c r="AR750" s="4" t="n"/>
      <c r="AS750" s="24">
        <f>IF($AR750="","",HYPERLINK(p_ruta_base_checklists&amp;$AR750,"abrir"))</f>
        <v/>
      </c>
      <c r="AT750" s="4" t="n"/>
      <c r="AU750" s="24">
        <f>IF($A750="","",$A750&amp;IF($B750="","0010",$B750))</f>
        <v/>
      </c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41" t="n"/>
      <c r="K751" s="5" t="n"/>
      <c r="L751" s="18" t="n"/>
      <c r="M751" s="24">
        <f>IF($A751="","",IFERROR(INDEX('AJUSTES'!$B$4:$B$303,MATCH($AU751,'AJUSTES'!$A$4:$A$303,0)),IF($K751="","",$K751)))</f>
        <v/>
      </c>
      <c r="N751" s="24">
        <f>IF($A751="","",IFERROR(INDEX('CAT_ESTADOS_ERP'!$B$4:$B$22,MATCH(IFERROR(INDEX('2_IMPORTAR_EJECUCION'!$C$9:$C$1208,MATCH($AU751,'2_IMPORTAR_EJECUCION'!$J$9:$J$1208,0)),""),'CAT_ESTADOS_ERP'!$A$4:$A$22,0)),"Pendiente"))</f>
        <v/>
      </c>
      <c r="O751" s="24">
        <f>IF($J751="","",YEAR($J751+4-WEEKDAY($J751,2))&amp;"-S"&amp;TEXT(_xlfn.ISOWEEKNUM($J751),"00"))</f>
        <v/>
      </c>
      <c r="P751" s="24">
        <f>IF($J751="","",YEAR($J751))</f>
        <v/>
      </c>
      <c r="Q751" s="24">
        <f>IF($J751="","",MONTH($J751))</f>
        <v/>
      </c>
      <c r="R751" s="24">
        <f>IF($J751="","",$P751&amp;"-"&amp;TEXT($Q751,"00"))</f>
        <v/>
      </c>
      <c r="S751" s="24">
        <f>IF($J751="","",INDEX(lista_dias,WEEKDAY($J751,2)))</f>
        <v/>
      </c>
      <c r="T751" s="24">
        <f>IF($J751="","",IFERROR(INDEX('CALENDARIO'!$C$15:$C$214,MATCH(TEXT($J751,"yyyy-mm-dd")&amp;"|"&amp;$Y751&amp;"|"&amp;$Z751,'CALENDARIO'!$G$15:$G$214,0)),IFERROR(INDEX('CALENDARIO'!$C$15:$C$214,MATCH(TEXT($J751,"yyyy-mm-dd")&amp;"|"&amp;$Y751&amp;"|",'CALENDARIO'!$G$15:$G$214,0)),IFERROR(INDEX('CALENDARIO'!$C$15:$C$214,MATCH(TEXT($J751,"yyyy-mm-dd")&amp;"||",'CALENDARIO'!$G$15:$G$214,0)),INDEX(patronHabil,WEEKDAY($J751,2))))))</f>
        <v/>
      </c>
      <c r="U751" s="24">
        <f>IF($I751="","",IFERROR(INDEX('CAT_TIPOS_OT'!$C$4:$C$23,MATCH($I751,'CAT_TIPOS_OT'!$A$4:$A$23,0)),"sin_clasificar"))</f>
        <v/>
      </c>
      <c r="V751" s="24">
        <f>IF($I751="","",IF(IFERROR(INDEX('CAT_TIPOS_OT'!$D$4:$D$23,MATCH($I751,'CAT_TIPOS_OT'!$A$4:$A$23,0)),"SIN CLASIFICAR")="","SIN CLASIFICAR",IFERROR(INDEX('CAT_TIPOS_OT'!$D$4:$D$23,MATCH($I751,'CAT_TIPOS_OT'!$A$4:$A$23,0)),"SIN CLASIFICAR")))</f>
        <v/>
      </c>
      <c r="W751" s="24">
        <f>IF($H751="","",IF(IFERROR(INDEX('CAT_ACTIVIDADES'!$F$4:$F$26,MATCH($H751,'CAT_ACTIVIDADES'!$A$4:$A$26,0)),"")=0,"",IFERROR(INDEX('CAT_ACTIVIDADES'!$F$4:$F$26,MATCH($H751,'CAT_ACTIVIDADES'!$A$4:$A$26,0)),"")))</f>
        <v/>
      </c>
      <c r="X751" s="24">
        <f>IF($F751="","",IFERROR(INDEX('CAT_CENTROS_COSTO'!$F$4:$F$28,MATCH($F751,'CAT_CENTROS_COSTO'!$A$4:$A$28,0)),"(sin catálogo)"))</f>
        <v/>
      </c>
      <c r="Y751" s="24">
        <f>IF($F751="","",IFERROR(INDEX('CAT_CENTROS_COSTO'!$D$4:$D$28,MATCH($F751,'CAT_CENTROS_COSTO'!$A$4:$A$28,0)),"(sin catálogo)"))</f>
        <v/>
      </c>
      <c r="Z751" s="24">
        <f>IF($F751="","",IF((IFERROR(INDEX('CAT_CENTROS_COSTO'!$E$4:$E$28,MATCH($F751,'CAT_CENTROS_COSTO'!$A$4:$A$28,0)),""))&lt;&gt;"",IFERROR(INDEX('CAT_CENTROS_COSTO'!$E$4:$E$28,MATCH($F751,'CAT_CENTROS_COSTO'!$A$4:$A$28,0)),""),$Y751))</f>
        <v/>
      </c>
      <c r="AA751" s="24">
        <f>IF($F751="","",IFERROR(INDEX('CAT_CENTROS_COSTO'!$G$4:$G$28,MATCH($F751,'CAT_CENTROS_COSTO'!$A$4:$A$28,0)),"(sin catálogo)"))</f>
        <v/>
      </c>
      <c r="AB751" s="24">
        <f>IF($G751="","",IFERROR(INDEX('CAT_PUESTOS'!$B$4:$B$23,MATCH($G751,'CAT_PUESTOS'!$A$4:$A$23,0)),"(sin catálogo)"))</f>
        <v/>
      </c>
      <c r="AC751" s="24">
        <f>IF($H751="","",IFERROR(INDEX('CAT_ACTIVIDADES'!$B$4:$B$26,MATCH($H751,'CAT_ACTIVIDADES'!$A$4:$A$26,0)),"(sin catálogo)"))</f>
        <v/>
      </c>
      <c r="AD751" s="26">
        <f>IF($J751="","",TODAY()-$J751)</f>
        <v/>
      </c>
      <c r="AE751" s="26">
        <f>IF($J751="","",IF($J751&lt;=TODAY(),COUNTIFS(cal_fechas,"&gt;="&amp;$J751,cal_fechas,"&lt;"&amp;TODAY(),cal_habil,"sí"),-COUNTIFS(cal_fechas,"&gt;="&amp;TODAY(),cal_fechas,"&lt;"&amp;$J751,cal_habil,"sí")))</f>
        <v/>
      </c>
      <c r="AF751" s="24">
        <f>IF($AE751="","",IF($AE751&lt;0,"FUTURO",IF($AE751&gt;p_dias_backlog_max,"BACKLOG","MES CORRIENTE")))</f>
        <v/>
      </c>
      <c r="AG751" s="24">
        <f>IF($AE751="",FALSE,AND($AE751&gt;p_dias_backlog_min,$AE751&lt;=p_dias_backlog_max))</f>
        <v/>
      </c>
      <c r="AH751" s="4" t="n"/>
      <c r="AI751" s="24">
        <f>IF($AH751="","",IF((IFERROR(INDEX('ASIGNACIONES'!$J$4:$J$451,MATCH($O751&amp;"|"&amp;$S751&amp;"|"&amp;$AH751,'ASIGNACIONES'!$N$4:$N$451,0)),""))=0,"",IFERROR(INDEX('ASIGNACIONES'!$J$4:$J$451,MATCH($O751&amp;"|"&amp;$S751&amp;"|"&amp;$AH751,'ASIGNACIONES'!$N$4:$N$451,0)),"")))</f>
        <v/>
      </c>
      <c r="AJ751" s="42">
        <f>IF($AH751="","",SUMIFS('ORDENES'!$M$4:$M$1203,'ORDENES'!$AH$4:$AH$1203,$AH751,'ORDENES'!$O$4:$O$1203,$O751,'ORDENES'!$S$4:$S$1203,$S751))</f>
        <v/>
      </c>
      <c r="AK751" s="42">
        <f>IF($AJ751="","",p_factor_productividad*IFERROR(INDEX('ASIGNACIONES'!$M$4:$M$451,MATCH($O751&amp;"|"&amp;$S751&amp;"|"&amp;$AH751,'ASIGNACIONES'!$N$4:$N$451,0)),0)-$AJ751)</f>
        <v/>
      </c>
      <c r="AL751" s="32">
        <f>IF($A751="","",IFERROR(INDEX('2_IMPORTAR_EJECUCION'!$F$9:$F$1208,MATCH($AU751,'2_IMPORTAR_EJECUCION'!$J$9:$J$1208,0)),0))</f>
        <v/>
      </c>
      <c r="AM751" s="32">
        <f>IF($A751="","",MAX(0,IFERROR(INDEX('2_IMPORTAR_EJECUCION'!$H$9:$H$1208,MATCH($AU751,'2_IMPORTAR_EJECUCION'!$J$9:$J$1208,0)),0)-$AL751))</f>
        <v/>
      </c>
      <c r="AN751" s="32">
        <f>IF($A751="","",$AL751+$AM751)</f>
        <v/>
      </c>
      <c r="AO751" s="24">
        <f>IF($A751="","",IF(OR((IFERROR(INDEX('CAT_ACTIVIDADES'!$D$4:$D$26,MATCH($H751,'CAT_ACTIVIDADES'!$A$4:$A$26,0)),""))=0,(IFERROR(INDEX('CAT_ACTIVIDADES'!$D$4:$D$26,MATCH($H751,'CAT_ACTIVIDADES'!$A$4:$A$26,0)),""))=""),"SIN CLASIFICAR",IFERROR(INDEX('CAT_ACTIVIDADES'!$D$4:$D$26,MATCH($H751,'CAT_ACTIVIDADES'!$A$4:$A$26,0)),"")))</f>
        <v/>
      </c>
      <c r="AP751" s="4" t="n"/>
      <c r="AQ751" s="4" t="n"/>
      <c r="AR751" s="4" t="n"/>
      <c r="AS751" s="24">
        <f>IF($AR751="","",HYPERLINK(p_ruta_base_checklists&amp;$AR751,"abrir"))</f>
        <v/>
      </c>
      <c r="AT751" s="4" t="n"/>
      <c r="AU751" s="24">
        <f>IF($A751="","",$A751&amp;IF($B751="","0010",$B751))</f>
        <v/>
      </c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41" t="n"/>
      <c r="K752" s="5" t="n"/>
      <c r="L752" s="18" t="n"/>
      <c r="M752" s="24">
        <f>IF($A752="","",IFERROR(INDEX('AJUSTES'!$B$4:$B$303,MATCH($AU752,'AJUSTES'!$A$4:$A$303,0)),IF($K752="","",$K752)))</f>
        <v/>
      </c>
      <c r="N752" s="24">
        <f>IF($A752="","",IFERROR(INDEX('CAT_ESTADOS_ERP'!$B$4:$B$22,MATCH(IFERROR(INDEX('2_IMPORTAR_EJECUCION'!$C$9:$C$1208,MATCH($AU752,'2_IMPORTAR_EJECUCION'!$J$9:$J$1208,0)),""),'CAT_ESTADOS_ERP'!$A$4:$A$22,0)),"Pendiente"))</f>
        <v/>
      </c>
      <c r="O752" s="24">
        <f>IF($J752="","",YEAR($J752+4-WEEKDAY($J752,2))&amp;"-S"&amp;TEXT(_xlfn.ISOWEEKNUM($J752),"00"))</f>
        <v/>
      </c>
      <c r="P752" s="24">
        <f>IF($J752="","",YEAR($J752))</f>
        <v/>
      </c>
      <c r="Q752" s="24">
        <f>IF($J752="","",MONTH($J752))</f>
        <v/>
      </c>
      <c r="R752" s="24">
        <f>IF($J752="","",$P752&amp;"-"&amp;TEXT($Q752,"00"))</f>
        <v/>
      </c>
      <c r="S752" s="24">
        <f>IF($J752="","",INDEX(lista_dias,WEEKDAY($J752,2)))</f>
        <v/>
      </c>
      <c r="T752" s="24">
        <f>IF($J752="","",IFERROR(INDEX('CALENDARIO'!$C$15:$C$214,MATCH(TEXT($J752,"yyyy-mm-dd")&amp;"|"&amp;$Y752&amp;"|"&amp;$Z752,'CALENDARIO'!$G$15:$G$214,0)),IFERROR(INDEX('CALENDARIO'!$C$15:$C$214,MATCH(TEXT($J752,"yyyy-mm-dd")&amp;"|"&amp;$Y752&amp;"|",'CALENDARIO'!$G$15:$G$214,0)),IFERROR(INDEX('CALENDARIO'!$C$15:$C$214,MATCH(TEXT($J752,"yyyy-mm-dd")&amp;"||",'CALENDARIO'!$G$15:$G$214,0)),INDEX(patronHabil,WEEKDAY($J752,2))))))</f>
        <v/>
      </c>
      <c r="U752" s="24">
        <f>IF($I752="","",IFERROR(INDEX('CAT_TIPOS_OT'!$C$4:$C$23,MATCH($I752,'CAT_TIPOS_OT'!$A$4:$A$23,0)),"sin_clasificar"))</f>
        <v/>
      </c>
      <c r="V752" s="24">
        <f>IF($I752="","",IF(IFERROR(INDEX('CAT_TIPOS_OT'!$D$4:$D$23,MATCH($I752,'CAT_TIPOS_OT'!$A$4:$A$23,0)),"SIN CLASIFICAR")="","SIN CLASIFICAR",IFERROR(INDEX('CAT_TIPOS_OT'!$D$4:$D$23,MATCH($I752,'CAT_TIPOS_OT'!$A$4:$A$23,0)),"SIN CLASIFICAR")))</f>
        <v/>
      </c>
      <c r="W752" s="24">
        <f>IF($H752="","",IF(IFERROR(INDEX('CAT_ACTIVIDADES'!$F$4:$F$26,MATCH($H752,'CAT_ACTIVIDADES'!$A$4:$A$26,0)),"")=0,"",IFERROR(INDEX('CAT_ACTIVIDADES'!$F$4:$F$26,MATCH($H752,'CAT_ACTIVIDADES'!$A$4:$A$26,0)),"")))</f>
        <v/>
      </c>
      <c r="X752" s="24">
        <f>IF($F752="","",IFERROR(INDEX('CAT_CENTROS_COSTO'!$F$4:$F$28,MATCH($F752,'CAT_CENTROS_COSTO'!$A$4:$A$28,0)),"(sin catálogo)"))</f>
        <v/>
      </c>
      <c r="Y752" s="24">
        <f>IF($F752="","",IFERROR(INDEX('CAT_CENTROS_COSTO'!$D$4:$D$28,MATCH($F752,'CAT_CENTROS_COSTO'!$A$4:$A$28,0)),"(sin catálogo)"))</f>
        <v/>
      </c>
      <c r="Z752" s="24">
        <f>IF($F752="","",IF((IFERROR(INDEX('CAT_CENTROS_COSTO'!$E$4:$E$28,MATCH($F752,'CAT_CENTROS_COSTO'!$A$4:$A$28,0)),""))&lt;&gt;"",IFERROR(INDEX('CAT_CENTROS_COSTO'!$E$4:$E$28,MATCH($F752,'CAT_CENTROS_COSTO'!$A$4:$A$28,0)),""),$Y752))</f>
        <v/>
      </c>
      <c r="AA752" s="24">
        <f>IF($F752="","",IFERROR(INDEX('CAT_CENTROS_COSTO'!$G$4:$G$28,MATCH($F752,'CAT_CENTROS_COSTO'!$A$4:$A$28,0)),"(sin catálogo)"))</f>
        <v/>
      </c>
      <c r="AB752" s="24">
        <f>IF($G752="","",IFERROR(INDEX('CAT_PUESTOS'!$B$4:$B$23,MATCH($G752,'CAT_PUESTOS'!$A$4:$A$23,0)),"(sin catálogo)"))</f>
        <v/>
      </c>
      <c r="AC752" s="24">
        <f>IF($H752="","",IFERROR(INDEX('CAT_ACTIVIDADES'!$B$4:$B$26,MATCH($H752,'CAT_ACTIVIDADES'!$A$4:$A$26,0)),"(sin catálogo)"))</f>
        <v/>
      </c>
      <c r="AD752" s="26">
        <f>IF($J752="","",TODAY()-$J752)</f>
        <v/>
      </c>
      <c r="AE752" s="26">
        <f>IF($J752="","",IF($J752&lt;=TODAY(),COUNTIFS(cal_fechas,"&gt;="&amp;$J752,cal_fechas,"&lt;"&amp;TODAY(),cal_habil,"sí"),-COUNTIFS(cal_fechas,"&gt;="&amp;TODAY(),cal_fechas,"&lt;"&amp;$J752,cal_habil,"sí")))</f>
        <v/>
      </c>
      <c r="AF752" s="24">
        <f>IF($AE752="","",IF($AE752&lt;0,"FUTURO",IF($AE752&gt;p_dias_backlog_max,"BACKLOG","MES CORRIENTE")))</f>
        <v/>
      </c>
      <c r="AG752" s="24">
        <f>IF($AE752="",FALSE,AND($AE752&gt;p_dias_backlog_min,$AE752&lt;=p_dias_backlog_max))</f>
        <v/>
      </c>
      <c r="AH752" s="4" t="n"/>
      <c r="AI752" s="24">
        <f>IF($AH752="","",IF((IFERROR(INDEX('ASIGNACIONES'!$J$4:$J$451,MATCH($O752&amp;"|"&amp;$S752&amp;"|"&amp;$AH752,'ASIGNACIONES'!$N$4:$N$451,0)),""))=0,"",IFERROR(INDEX('ASIGNACIONES'!$J$4:$J$451,MATCH($O752&amp;"|"&amp;$S752&amp;"|"&amp;$AH752,'ASIGNACIONES'!$N$4:$N$451,0)),"")))</f>
        <v/>
      </c>
      <c r="AJ752" s="42">
        <f>IF($AH752="","",SUMIFS('ORDENES'!$M$4:$M$1203,'ORDENES'!$AH$4:$AH$1203,$AH752,'ORDENES'!$O$4:$O$1203,$O752,'ORDENES'!$S$4:$S$1203,$S752))</f>
        <v/>
      </c>
      <c r="AK752" s="42">
        <f>IF($AJ752="","",p_factor_productividad*IFERROR(INDEX('ASIGNACIONES'!$M$4:$M$451,MATCH($O752&amp;"|"&amp;$S752&amp;"|"&amp;$AH752,'ASIGNACIONES'!$N$4:$N$451,0)),0)-$AJ752)</f>
        <v/>
      </c>
      <c r="AL752" s="32">
        <f>IF($A752="","",IFERROR(INDEX('2_IMPORTAR_EJECUCION'!$F$9:$F$1208,MATCH($AU752,'2_IMPORTAR_EJECUCION'!$J$9:$J$1208,0)),0))</f>
        <v/>
      </c>
      <c r="AM752" s="32">
        <f>IF($A752="","",MAX(0,IFERROR(INDEX('2_IMPORTAR_EJECUCION'!$H$9:$H$1208,MATCH($AU752,'2_IMPORTAR_EJECUCION'!$J$9:$J$1208,0)),0)-$AL752))</f>
        <v/>
      </c>
      <c r="AN752" s="32">
        <f>IF($A752="","",$AL752+$AM752)</f>
        <v/>
      </c>
      <c r="AO752" s="24">
        <f>IF($A752="","",IF(OR((IFERROR(INDEX('CAT_ACTIVIDADES'!$D$4:$D$26,MATCH($H752,'CAT_ACTIVIDADES'!$A$4:$A$26,0)),""))=0,(IFERROR(INDEX('CAT_ACTIVIDADES'!$D$4:$D$26,MATCH($H752,'CAT_ACTIVIDADES'!$A$4:$A$26,0)),""))=""),"SIN CLASIFICAR",IFERROR(INDEX('CAT_ACTIVIDADES'!$D$4:$D$26,MATCH($H752,'CAT_ACTIVIDADES'!$A$4:$A$26,0)),"")))</f>
        <v/>
      </c>
      <c r="AP752" s="4" t="n"/>
      <c r="AQ752" s="4" t="n"/>
      <c r="AR752" s="4" t="n"/>
      <c r="AS752" s="24">
        <f>IF($AR752="","",HYPERLINK(p_ruta_base_checklists&amp;$AR752,"abrir"))</f>
        <v/>
      </c>
      <c r="AT752" s="4" t="n"/>
      <c r="AU752" s="24">
        <f>IF($A752="","",$A752&amp;IF($B752="","0010",$B752))</f>
        <v/>
      </c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41" t="n"/>
      <c r="K753" s="5" t="n"/>
      <c r="L753" s="18" t="n"/>
      <c r="M753" s="24">
        <f>IF($A753="","",IFERROR(INDEX('AJUSTES'!$B$4:$B$303,MATCH($AU753,'AJUSTES'!$A$4:$A$303,0)),IF($K753="","",$K753)))</f>
        <v/>
      </c>
      <c r="N753" s="24">
        <f>IF($A753="","",IFERROR(INDEX('CAT_ESTADOS_ERP'!$B$4:$B$22,MATCH(IFERROR(INDEX('2_IMPORTAR_EJECUCION'!$C$9:$C$1208,MATCH($AU753,'2_IMPORTAR_EJECUCION'!$J$9:$J$1208,0)),""),'CAT_ESTADOS_ERP'!$A$4:$A$22,0)),"Pendiente"))</f>
        <v/>
      </c>
      <c r="O753" s="24">
        <f>IF($J753="","",YEAR($J753+4-WEEKDAY($J753,2))&amp;"-S"&amp;TEXT(_xlfn.ISOWEEKNUM($J753),"00"))</f>
        <v/>
      </c>
      <c r="P753" s="24">
        <f>IF($J753="","",YEAR($J753))</f>
        <v/>
      </c>
      <c r="Q753" s="24">
        <f>IF($J753="","",MONTH($J753))</f>
        <v/>
      </c>
      <c r="R753" s="24">
        <f>IF($J753="","",$P753&amp;"-"&amp;TEXT($Q753,"00"))</f>
        <v/>
      </c>
      <c r="S753" s="24">
        <f>IF($J753="","",INDEX(lista_dias,WEEKDAY($J753,2)))</f>
        <v/>
      </c>
      <c r="T753" s="24">
        <f>IF($J753="","",IFERROR(INDEX('CALENDARIO'!$C$15:$C$214,MATCH(TEXT($J753,"yyyy-mm-dd")&amp;"|"&amp;$Y753&amp;"|"&amp;$Z753,'CALENDARIO'!$G$15:$G$214,0)),IFERROR(INDEX('CALENDARIO'!$C$15:$C$214,MATCH(TEXT($J753,"yyyy-mm-dd")&amp;"|"&amp;$Y753&amp;"|",'CALENDARIO'!$G$15:$G$214,0)),IFERROR(INDEX('CALENDARIO'!$C$15:$C$214,MATCH(TEXT($J753,"yyyy-mm-dd")&amp;"||",'CALENDARIO'!$G$15:$G$214,0)),INDEX(patronHabil,WEEKDAY($J753,2))))))</f>
        <v/>
      </c>
      <c r="U753" s="24">
        <f>IF($I753="","",IFERROR(INDEX('CAT_TIPOS_OT'!$C$4:$C$23,MATCH($I753,'CAT_TIPOS_OT'!$A$4:$A$23,0)),"sin_clasificar"))</f>
        <v/>
      </c>
      <c r="V753" s="24">
        <f>IF($I753="","",IF(IFERROR(INDEX('CAT_TIPOS_OT'!$D$4:$D$23,MATCH($I753,'CAT_TIPOS_OT'!$A$4:$A$23,0)),"SIN CLASIFICAR")="","SIN CLASIFICAR",IFERROR(INDEX('CAT_TIPOS_OT'!$D$4:$D$23,MATCH($I753,'CAT_TIPOS_OT'!$A$4:$A$23,0)),"SIN CLASIFICAR")))</f>
        <v/>
      </c>
      <c r="W753" s="24">
        <f>IF($H753="","",IF(IFERROR(INDEX('CAT_ACTIVIDADES'!$F$4:$F$26,MATCH($H753,'CAT_ACTIVIDADES'!$A$4:$A$26,0)),"")=0,"",IFERROR(INDEX('CAT_ACTIVIDADES'!$F$4:$F$26,MATCH($H753,'CAT_ACTIVIDADES'!$A$4:$A$26,0)),"")))</f>
        <v/>
      </c>
      <c r="X753" s="24">
        <f>IF($F753="","",IFERROR(INDEX('CAT_CENTROS_COSTO'!$F$4:$F$28,MATCH($F753,'CAT_CENTROS_COSTO'!$A$4:$A$28,0)),"(sin catálogo)"))</f>
        <v/>
      </c>
      <c r="Y753" s="24">
        <f>IF($F753="","",IFERROR(INDEX('CAT_CENTROS_COSTO'!$D$4:$D$28,MATCH($F753,'CAT_CENTROS_COSTO'!$A$4:$A$28,0)),"(sin catálogo)"))</f>
        <v/>
      </c>
      <c r="Z753" s="24">
        <f>IF($F753="","",IF((IFERROR(INDEX('CAT_CENTROS_COSTO'!$E$4:$E$28,MATCH($F753,'CAT_CENTROS_COSTO'!$A$4:$A$28,0)),""))&lt;&gt;"",IFERROR(INDEX('CAT_CENTROS_COSTO'!$E$4:$E$28,MATCH($F753,'CAT_CENTROS_COSTO'!$A$4:$A$28,0)),""),$Y753))</f>
        <v/>
      </c>
      <c r="AA753" s="24">
        <f>IF($F753="","",IFERROR(INDEX('CAT_CENTROS_COSTO'!$G$4:$G$28,MATCH($F753,'CAT_CENTROS_COSTO'!$A$4:$A$28,0)),"(sin catálogo)"))</f>
        <v/>
      </c>
      <c r="AB753" s="24">
        <f>IF($G753="","",IFERROR(INDEX('CAT_PUESTOS'!$B$4:$B$23,MATCH($G753,'CAT_PUESTOS'!$A$4:$A$23,0)),"(sin catálogo)"))</f>
        <v/>
      </c>
      <c r="AC753" s="24">
        <f>IF($H753="","",IFERROR(INDEX('CAT_ACTIVIDADES'!$B$4:$B$26,MATCH($H753,'CAT_ACTIVIDADES'!$A$4:$A$26,0)),"(sin catálogo)"))</f>
        <v/>
      </c>
      <c r="AD753" s="26">
        <f>IF($J753="","",TODAY()-$J753)</f>
        <v/>
      </c>
      <c r="AE753" s="26">
        <f>IF($J753="","",IF($J753&lt;=TODAY(),COUNTIFS(cal_fechas,"&gt;="&amp;$J753,cal_fechas,"&lt;"&amp;TODAY(),cal_habil,"sí"),-COUNTIFS(cal_fechas,"&gt;="&amp;TODAY(),cal_fechas,"&lt;"&amp;$J753,cal_habil,"sí")))</f>
        <v/>
      </c>
      <c r="AF753" s="24">
        <f>IF($AE753="","",IF($AE753&lt;0,"FUTURO",IF($AE753&gt;p_dias_backlog_max,"BACKLOG","MES CORRIENTE")))</f>
        <v/>
      </c>
      <c r="AG753" s="24">
        <f>IF($AE753="",FALSE,AND($AE753&gt;p_dias_backlog_min,$AE753&lt;=p_dias_backlog_max))</f>
        <v/>
      </c>
      <c r="AH753" s="4" t="n"/>
      <c r="AI753" s="24">
        <f>IF($AH753="","",IF((IFERROR(INDEX('ASIGNACIONES'!$J$4:$J$451,MATCH($O753&amp;"|"&amp;$S753&amp;"|"&amp;$AH753,'ASIGNACIONES'!$N$4:$N$451,0)),""))=0,"",IFERROR(INDEX('ASIGNACIONES'!$J$4:$J$451,MATCH($O753&amp;"|"&amp;$S753&amp;"|"&amp;$AH753,'ASIGNACIONES'!$N$4:$N$451,0)),"")))</f>
        <v/>
      </c>
      <c r="AJ753" s="42">
        <f>IF($AH753="","",SUMIFS('ORDENES'!$M$4:$M$1203,'ORDENES'!$AH$4:$AH$1203,$AH753,'ORDENES'!$O$4:$O$1203,$O753,'ORDENES'!$S$4:$S$1203,$S753))</f>
        <v/>
      </c>
      <c r="AK753" s="42">
        <f>IF($AJ753="","",p_factor_productividad*IFERROR(INDEX('ASIGNACIONES'!$M$4:$M$451,MATCH($O753&amp;"|"&amp;$S753&amp;"|"&amp;$AH753,'ASIGNACIONES'!$N$4:$N$451,0)),0)-$AJ753)</f>
        <v/>
      </c>
      <c r="AL753" s="32">
        <f>IF($A753="","",IFERROR(INDEX('2_IMPORTAR_EJECUCION'!$F$9:$F$1208,MATCH($AU753,'2_IMPORTAR_EJECUCION'!$J$9:$J$1208,0)),0))</f>
        <v/>
      </c>
      <c r="AM753" s="32">
        <f>IF($A753="","",MAX(0,IFERROR(INDEX('2_IMPORTAR_EJECUCION'!$H$9:$H$1208,MATCH($AU753,'2_IMPORTAR_EJECUCION'!$J$9:$J$1208,0)),0)-$AL753))</f>
        <v/>
      </c>
      <c r="AN753" s="32">
        <f>IF($A753="","",$AL753+$AM753)</f>
        <v/>
      </c>
      <c r="AO753" s="24">
        <f>IF($A753="","",IF(OR((IFERROR(INDEX('CAT_ACTIVIDADES'!$D$4:$D$26,MATCH($H753,'CAT_ACTIVIDADES'!$A$4:$A$26,0)),""))=0,(IFERROR(INDEX('CAT_ACTIVIDADES'!$D$4:$D$26,MATCH($H753,'CAT_ACTIVIDADES'!$A$4:$A$26,0)),""))=""),"SIN CLASIFICAR",IFERROR(INDEX('CAT_ACTIVIDADES'!$D$4:$D$26,MATCH($H753,'CAT_ACTIVIDADES'!$A$4:$A$26,0)),"")))</f>
        <v/>
      </c>
      <c r="AP753" s="4" t="n"/>
      <c r="AQ753" s="4" t="n"/>
      <c r="AR753" s="4" t="n"/>
      <c r="AS753" s="24">
        <f>IF($AR753="","",HYPERLINK(p_ruta_base_checklists&amp;$AR753,"abrir"))</f>
        <v/>
      </c>
      <c r="AT753" s="4" t="n"/>
      <c r="AU753" s="24">
        <f>IF($A753="","",$A753&amp;IF($B753="","0010",$B753))</f>
        <v/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41" t="n"/>
      <c r="K754" s="5" t="n"/>
      <c r="L754" s="18" t="n"/>
      <c r="M754" s="24">
        <f>IF($A754="","",IFERROR(INDEX('AJUSTES'!$B$4:$B$303,MATCH($AU754,'AJUSTES'!$A$4:$A$303,0)),IF($K754="","",$K754)))</f>
        <v/>
      </c>
      <c r="N754" s="24">
        <f>IF($A754="","",IFERROR(INDEX('CAT_ESTADOS_ERP'!$B$4:$B$22,MATCH(IFERROR(INDEX('2_IMPORTAR_EJECUCION'!$C$9:$C$1208,MATCH($AU754,'2_IMPORTAR_EJECUCION'!$J$9:$J$1208,0)),""),'CAT_ESTADOS_ERP'!$A$4:$A$22,0)),"Pendiente"))</f>
        <v/>
      </c>
      <c r="O754" s="24">
        <f>IF($J754="","",YEAR($J754+4-WEEKDAY($J754,2))&amp;"-S"&amp;TEXT(_xlfn.ISOWEEKNUM($J754),"00"))</f>
        <v/>
      </c>
      <c r="P754" s="24">
        <f>IF($J754="","",YEAR($J754))</f>
        <v/>
      </c>
      <c r="Q754" s="24">
        <f>IF($J754="","",MONTH($J754))</f>
        <v/>
      </c>
      <c r="R754" s="24">
        <f>IF($J754="","",$P754&amp;"-"&amp;TEXT($Q754,"00"))</f>
        <v/>
      </c>
      <c r="S754" s="24">
        <f>IF($J754="","",INDEX(lista_dias,WEEKDAY($J754,2)))</f>
        <v/>
      </c>
      <c r="T754" s="24">
        <f>IF($J754="","",IFERROR(INDEX('CALENDARIO'!$C$15:$C$214,MATCH(TEXT($J754,"yyyy-mm-dd")&amp;"|"&amp;$Y754&amp;"|"&amp;$Z754,'CALENDARIO'!$G$15:$G$214,0)),IFERROR(INDEX('CALENDARIO'!$C$15:$C$214,MATCH(TEXT($J754,"yyyy-mm-dd")&amp;"|"&amp;$Y754&amp;"|",'CALENDARIO'!$G$15:$G$214,0)),IFERROR(INDEX('CALENDARIO'!$C$15:$C$214,MATCH(TEXT($J754,"yyyy-mm-dd")&amp;"||",'CALENDARIO'!$G$15:$G$214,0)),INDEX(patronHabil,WEEKDAY($J754,2))))))</f>
        <v/>
      </c>
      <c r="U754" s="24">
        <f>IF($I754="","",IFERROR(INDEX('CAT_TIPOS_OT'!$C$4:$C$23,MATCH($I754,'CAT_TIPOS_OT'!$A$4:$A$23,0)),"sin_clasificar"))</f>
        <v/>
      </c>
      <c r="V754" s="24">
        <f>IF($I754="","",IF(IFERROR(INDEX('CAT_TIPOS_OT'!$D$4:$D$23,MATCH($I754,'CAT_TIPOS_OT'!$A$4:$A$23,0)),"SIN CLASIFICAR")="","SIN CLASIFICAR",IFERROR(INDEX('CAT_TIPOS_OT'!$D$4:$D$23,MATCH($I754,'CAT_TIPOS_OT'!$A$4:$A$23,0)),"SIN CLASIFICAR")))</f>
        <v/>
      </c>
      <c r="W754" s="24">
        <f>IF($H754="","",IF(IFERROR(INDEX('CAT_ACTIVIDADES'!$F$4:$F$26,MATCH($H754,'CAT_ACTIVIDADES'!$A$4:$A$26,0)),"")=0,"",IFERROR(INDEX('CAT_ACTIVIDADES'!$F$4:$F$26,MATCH($H754,'CAT_ACTIVIDADES'!$A$4:$A$26,0)),"")))</f>
        <v/>
      </c>
      <c r="X754" s="24">
        <f>IF($F754="","",IFERROR(INDEX('CAT_CENTROS_COSTO'!$F$4:$F$28,MATCH($F754,'CAT_CENTROS_COSTO'!$A$4:$A$28,0)),"(sin catálogo)"))</f>
        <v/>
      </c>
      <c r="Y754" s="24">
        <f>IF($F754="","",IFERROR(INDEX('CAT_CENTROS_COSTO'!$D$4:$D$28,MATCH($F754,'CAT_CENTROS_COSTO'!$A$4:$A$28,0)),"(sin catálogo)"))</f>
        <v/>
      </c>
      <c r="Z754" s="24">
        <f>IF($F754="","",IF((IFERROR(INDEX('CAT_CENTROS_COSTO'!$E$4:$E$28,MATCH($F754,'CAT_CENTROS_COSTO'!$A$4:$A$28,0)),""))&lt;&gt;"",IFERROR(INDEX('CAT_CENTROS_COSTO'!$E$4:$E$28,MATCH($F754,'CAT_CENTROS_COSTO'!$A$4:$A$28,0)),""),$Y754))</f>
        <v/>
      </c>
      <c r="AA754" s="24">
        <f>IF($F754="","",IFERROR(INDEX('CAT_CENTROS_COSTO'!$G$4:$G$28,MATCH($F754,'CAT_CENTROS_COSTO'!$A$4:$A$28,0)),"(sin catálogo)"))</f>
        <v/>
      </c>
      <c r="AB754" s="24">
        <f>IF($G754="","",IFERROR(INDEX('CAT_PUESTOS'!$B$4:$B$23,MATCH($G754,'CAT_PUESTOS'!$A$4:$A$23,0)),"(sin catálogo)"))</f>
        <v/>
      </c>
      <c r="AC754" s="24">
        <f>IF($H754="","",IFERROR(INDEX('CAT_ACTIVIDADES'!$B$4:$B$26,MATCH($H754,'CAT_ACTIVIDADES'!$A$4:$A$26,0)),"(sin catálogo)"))</f>
        <v/>
      </c>
      <c r="AD754" s="26">
        <f>IF($J754="","",TODAY()-$J754)</f>
        <v/>
      </c>
      <c r="AE754" s="26">
        <f>IF($J754="","",IF($J754&lt;=TODAY(),COUNTIFS(cal_fechas,"&gt;="&amp;$J754,cal_fechas,"&lt;"&amp;TODAY(),cal_habil,"sí"),-COUNTIFS(cal_fechas,"&gt;="&amp;TODAY(),cal_fechas,"&lt;"&amp;$J754,cal_habil,"sí")))</f>
        <v/>
      </c>
      <c r="AF754" s="24">
        <f>IF($AE754="","",IF($AE754&lt;0,"FUTURO",IF($AE754&gt;p_dias_backlog_max,"BACKLOG","MES CORRIENTE")))</f>
        <v/>
      </c>
      <c r="AG754" s="24">
        <f>IF($AE754="",FALSE,AND($AE754&gt;p_dias_backlog_min,$AE754&lt;=p_dias_backlog_max))</f>
        <v/>
      </c>
      <c r="AH754" s="4" t="n"/>
      <c r="AI754" s="24">
        <f>IF($AH754="","",IF((IFERROR(INDEX('ASIGNACIONES'!$J$4:$J$451,MATCH($O754&amp;"|"&amp;$S754&amp;"|"&amp;$AH754,'ASIGNACIONES'!$N$4:$N$451,0)),""))=0,"",IFERROR(INDEX('ASIGNACIONES'!$J$4:$J$451,MATCH($O754&amp;"|"&amp;$S754&amp;"|"&amp;$AH754,'ASIGNACIONES'!$N$4:$N$451,0)),"")))</f>
        <v/>
      </c>
      <c r="AJ754" s="42">
        <f>IF($AH754="","",SUMIFS('ORDENES'!$M$4:$M$1203,'ORDENES'!$AH$4:$AH$1203,$AH754,'ORDENES'!$O$4:$O$1203,$O754,'ORDENES'!$S$4:$S$1203,$S754))</f>
        <v/>
      </c>
      <c r="AK754" s="42">
        <f>IF($AJ754="","",p_factor_productividad*IFERROR(INDEX('ASIGNACIONES'!$M$4:$M$451,MATCH($O754&amp;"|"&amp;$S754&amp;"|"&amp;$AH754,'ASIGNACIONES'!$N$4:$N$451,0)),0)-$AJ754)</f>
        <v/>
      </c>
      <c r="AL754" s="32">
        <f>IF($A754="","",IFERROR(INDEX('2_IMPORTAR_EJECUCION'!$F$9:$F$1208,MATCH($AU754,'2_IMPORTAR_EJECUCION'!$J$9:$J$1208,0)),0))</f>
        <v/>
      </c>
      <c r="AM754" s="32">
        <f>IF($A754="","",MAX(0,IFERROR(INDEX('2_IMPORTAR_EJECUCION'!$H$9:$H$1208,MATCH($AU754,'2_IMPORTAR_EJECUCION'!$J$9:$J$1208,0)),0)-$AL754))</f>
        <v/>
      </c>
      <c r="AN754" s="32">
        <f>IF($A754="","",$AL754+$AM754)</f>
        <v/>
      </c>
      <c r="AO754" s="24">
        <f>IF($A754="","",IF(OR((IFERROR(INDEX('CAT_ACTIVIDADES'!$D$4:$D$26,MATCH($H754,'CAT_ACTIVIDADES'!$A$4:$A$26,0)),""))=0,(IFERROR(INDEX('CAT_ACTIVIDADES'!$D$4:$D$26,MATCH($H754,'CAT_ACTIVIDADES'!$A$4:$A$26,0)),""))=""),"SIN CLASIFICAR",IFERROR(INDEX('CAT_ACTIVIDADES'!$D$4:$D$26,MATCH($H754,'CAT_ACTIVIDADES'!$A$4:$A$26,0)),"")))</f>
        <v/>
      </c>
      <c r="AP754" s="4" t="n"/>
      <c r="AQ754" s="4" t="n"/>
      <c r="AR754" s="4" t="n"/>
      <c r="AS754" s="24">
        <f>IF($AR754="","",HYPERLINK(p_ruta_base_checklists&amp;$AR754,"abrir"))</f>
        <v/>
      </c>
      <c r="AT754" s="4" t="n"/>
      <c r="AU754" s="24">
        <f>IF($A754="","",$A754&amp;IF($B754="","0010",$B754))</f>
        <v/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41" t="n"/>
      <c r="K755" s="5" t="n"/>
      <c r="L755" s="18" t="n"/>
      <c r="M755" s="24">
        <f>IF($A755="","",IFERROR(INDEX('AJUSTES'!$B$4:$B$303,MATCH($AU755,'AJUSTES'!$A$4:$A$303,0)),IF($K755="","",$K755)))</f>
        <v/>
      </c>
      <c r="N755" s="24">
        <f>IF($A755="","",IFERROR(INDEX('CAT_ESTADOS_ERP'!$B$4:$B$22,MATCH(IFERROR(INDEX('2_IMPORTAR_EJECUCION'!$C$9:$C$1208,MATCH($AU755,'2_IMPORTAR_EJECUCION'!$J$9:$J$1208,0)),""),'CAT_ESTADOS_ERP'!$A$4:$A$22,0)),"Pendiente"))</f>
        <v/>
      </c>
      <c r="O755" s="24">
        <f>IF($J755="","",YEAR($J755+4-WEEKDAY($J755,2))&amp;"-S"&amp;TEXT(_xlfn.ISOWEEKNUM($J755),"00"))</f>
        <v/>
      </c>
      <c r="P755" s="24">
        <f>IF($J755="","",YEAR($J755))</f>
        <v/>
      </c>
      <c r="Q755" s="24">
        <f>IF($J755="","",MONTH($J755))</f>
        <v/>
      </c>
      <c r="R755" s="24">
        <f>IF($J755="","",$P755&amp;"-"&amp;TEXT($Q755,"00"))</f>
        <v/>
      </c>
      <c r="S755" s="24">
        <f>IF($J755="","",INDEX(lista_dias,WEEKDAY($J755,2)))</f>
        <v/>
      </c>
      <c r="T755" s="24">
        <f>IF($J755="","",IFERROR(INDEX('CALENDARIO'!$C$15:$C$214,MATCH(TEXT($J755,"yyyy-mm-dd")&amp;"|"&amp;$Y755&amp;"|"&amp;$Z755,'CALENDARIO'!$G$15:$G$214,0)),IFERROR(INDEX('CALENDARIO'!$C$15:$C$214,MATCH(TEXT($J755,"yyyy-mm-dd")&amp;"|"&amp;$Y755&amp;"|",'CALENDARIO'!$G$15:$G$214,0)),IFERROR(INDEX('CALENDARIO'!$C$15:$C$214,MATCH(TEXT($J755,"yyyy-mm-dd")&amp;"||",'CALENDARIO'!$G$15:$G$214,0)),INDEX(patronHabil,WEEKDAY($J755,2))))))</f>
        <v/>
      </c>
      <c r="U755" s="24">
        <f>IF($I755="","",IFERROR(INDEX('CAT_TIPOS_OT'!$C$4:$C$23,MATCH($I755,'CAT_TIPOS_OT'!$A$4:$A$23,0)),"sin_clasificar"))</f>
        <v/>
      </c>
      <c r="V755" s="24">
        <f>IF($I755="","",IF(IFERROR(INDEX('CAT_TIPOS_OT'!$D$4:$D$23,MATCH($I755,'CAT_TIPOS_OT'!$A$4:$A$23,0)),"SIN CLASIFICAR")="","SIN CLASIFICAR",IFERROR(INDEX('CAT_TIPOS_OT'!$D$4:$D$23,MATCH($I755,'CAT_TIPOS_OT'!$A$4:$A$23,0)),"SIN CLASIFICAR")))</f>
        <v/>
      </c>
      <c r="W755" s="24">
        <f>IF($H755="","",IF(IFERROR(INDEX('CAT_ACTIVIDADES'!$F$4:$F$26,MATCH($H755,'CAT_ACTIVIDADES'!$A$4:$A$26,0)),"")=0,"",IFERROR(INDEX('CAT_ACTIVIDADES'!$F$4:$F$26,MATCH($H755,'CAT_ACTIVIDADES'!$A$4:$A$26,0)),"")))</f>
        <v/>
      </c>
      <c r="X755" s="24">
        <f>IF($F755="","",IFERROR(INDEX('CAT_CENTROS_COSTO'!$F$4:$F$28,MATCH($F755,'CAT_CENTROS_COSTO'!$A$4:$A$28,0)),"(sin catálogo)"))</f>
        <v/>
      </c>
      <c r="Y755" s="24">
        <f>IF($F755="","",IFERROR(INDEX('CAT_CENTROS_COSTO'!$D$4:$D$28,MATCH($F755,'CAT_CENTROS_COSTO'!$A$4:$A$28,0)),"(sin catálogo)"))</f>
        <v/>
      </c>
      <c r="Z755" s="24">
        <f>IF($F755="","",IF((IFERROR(INDEX('CAT_CENTROS_COSTO'!$E$4:$E$28,MATCH($F755,'CAT_CENTROS_COSTO'!$A$4:$A$28,0)),""))&lt;&gt;"",IFERROR(INDEX('CAT_CENTROS_COSTO'!$E$4:$E$28,MATCH($F755,'CAT_CENTROS_COSTO'!$A$4:$A$28,0)),""),$Y755))</f>
        <v/>
      </c>
      <c r="AA755" s="24">
        <f>IF($F755="","",IFERROR(INDEX('CAT_CENTROS_COSTO'!$G$4:$G$28,MATCH($F755,'CAT_CENTROS_COSTO'!$A$4:$A$28,0)),"(sin catálogo)"))</f>
        <v/>
      </c>
      <c r="AB755" s="24">
        <f>IF($G755="","",IFERROR(INDEX('CAT_PUESTOS'!$B$4:$B$23,MATCH($G755,'CAT_PUESTOS'!$A$4:$A$23,0)),"(sin catálogo)"))</f>
        <v/>
      </c>
      <c r="AC755" s="24">
        <f>IF($H755="","",IFERROR(INDEX('CAT_ACTIVIDADES'!$B$4:$B$26,MATCH($H755,'CAT_ACTIVIDADES'!$A$4:$A$26,0)),"(sin catálogo)"))</f>
        <v/>
      </c>
      <c r="AD755" s="26">
        <f>IF($J755="","",TODAY()-$J755)</f>
        <v/>
      </c>
      <c r="AE755" s="26">
        <f>IF($J755="","",IF($J755&lt;=TODAY(),COUNTIFS(cal_fechas,"&gt;="&amp;$J755,cal_fechas,"&lt;"&amp;TODAY(),cal_habil,"sí"),-COUNTIFS(cal_fechas,"&gt;="&amp;TODAY(),cal_fechas,"&lt;"&amp;$J755,cal_habil,"sí")))</f>
        <v/>
      </c>
      <c r="AF755" s="24">
        <f>IF($AE755="","",IF($AE755&lt;0,"FUTURO",IF($AE755&gt;p_dias_backlog_max,"BACKLOG","MES CORRIENTE")))</f>
        <v/>
      </c>
      <c r="AG755" s="24">
        <f>IF($AE755="",FALSE,AND($AE755&gt;p_dias_backlog_min,$AE755&lt;=p_dias_backlog_max))</f>
        <v/>
      </c>
      <c r="AH755" s="4" t="n"/>
      <c r="AI755" s="24">
        <f>IF($AH755="","",IF((IFERROR(INDEX('ASIGNACIONES'!$J$4:$J$451,MATCH($O755&amp;"|"&amp;$S755&amp;"|"&amp;$AH755,'ASIGNACIONES'!$N$4:$N$451,0)),""))=0,"",IFERROR(INDEX('ASIGNACIONES'!$J$4:$J$451,MATCH($O755&amp;"|"&amp;$S755&amp;"|"&amp;$AH755,'ASIGNACIONES'!$N$4:$N$451,0)),"")))</f>
        <v/>
      </c>
      <c r="AJ755" s="42">
        <f>IF($AH755="","",SUMIFS('ORDENES'!$M$4:$M$1203,'ORDENES'!$AH$4:$AH$1203,$AH755,'ORDENES'!$O$4:$O$1203,$O755,'ORDENES'!$S$4:$S$1203,$S755))</f>
        <v/>
      </c>
      <c r="AK755" s="42">
        <f>IF($AJ755="","",p_factor_productividad*IFERROR(INDEX('ASIGNACIONES'!$M$4:$M$451,MATCH($O755&amp;"|"&amp;$S755&amp;"|"&amp;$AH755,'ASIGNACIONES'!$N$4:$N$451,0)),0)-$AJ755)</f>
        <v/>
      </c>
      <c r="AL755" s="32">
        <f>IF($A755="","",IFERROR(INDEX('2_IMPORTAR_EJECUCION'!$F$9:$F$1208,MATCH($AU755,'2_IMPORTAR_EJECUCION'!$J$9:$J$1208,0)),0))</f>
        <v/>
      </c>
      <c r="AM755" s="32">
        <f>IF($A755="","",MAX(0,IFERROR(INDEX('2_IMPORTAR_EJECUCION'!$H$9:$H$1208,MATCH($AU755,'2_IMPORTAR_EJECUCION'!$J$9:$J$1208,0)),0)-$AL755))</f>
        <v/>
      </c>
      <c r="AN755" s="32">
        <f>IF($A755="","",$AL755+$AM755)</f>
        <v/>
      </c>
      <c r="AO755" s="24">
        <f>IF($A755="","",IF(OR((IFERROR(INDEX('CAT_ACTIVIDADES'!$D$4:$D$26,MATCH($H755,'CAT_ACTIVIDADES'!$A$4:$A$26,0)),""))=0,(IFERROR(INDEX('CAT_ACTIVIDADES'!$D$4:$D$26,MATCH($H755,'CAT_ACTIVIDADES'!$A$4:$A$26,0)),""))=""),"SIN CLASIFICAR",IFERROR(INDEX('CAT_ACTIVIDADES'!$D$4:$D$26,MATCH($H755,'CAT_ACTIVIDADES'!$A$4:$A$26,0)),"")))</f>
        <v/>
      </c>
      <c r="AP755" s="4" t="n"/>
      <c r="AQ755" s="4" t="n"/>
      <c r="AR755" s="4" t="n"/>
      <c r="AS755" s="24">
        <f>IF($AR755="","",HYPERLINK(p_ruta_base_checklists&amp;$AR755,"abrir"))</f>
        <v/>
      </c>
      <c r="AT755" s="4" t="n"/>
      <c r="AU755" s="24">
        <f>IF($A755="","",$A755&amp;IF($B755="","0010",$B755))</f>
        <v/>
      </c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41" t="n"/>
      <c r="K756" s="5" t="n"/>
      <c r="L756" s="18" t="n"/>
      <c r="M756" s="24">
        <f>IF($A756="","",IFERROR(INDEX('AJUSTES'!$B$4:$B$303,MATCH($AU756,'AJUSTES'!$A$4:$A$303,0)),IF($K756="","",$K756)))</f>
        <v/>
      </c>
      <c r="N756" s="24">
        <f>IF($A756="","",IFERROR(INDEX('CAT_ESTADOS_ERP'!$B$4:$B$22,MATCH(IFERROR(INDEX('2_IMPORTAR_EJECUCION'!$C$9:$C$1208,MATCH($AU756,'2_IMPORTAR_EJECUCION'!$J$9:$J$1208,0)),""),'CAT_ESTADOS_ERP'!$A$4:$A$22,0)),"Pendiente"))</f>
        <v/>
      </c>
      <c r="O756" s="24">
        <f>IF($J756="","",YEAR($J756+4-WEEKDAY($J756,2))&amp;"-S"&amp;TEXT(_xlfn.ISOWEEKNUM($J756),"00"))</f>
        <v/>
      </c>
      <c r="P756" s="24">
        <f>IF($J756="","",YEAR($J756))</f>
        <v/>
      </c>
      <c r="Q756" s="24">
        <f>IF($J756="","",MONTH($J756))</f>
        <v/>
      </c>
      <c r="R756" s="24">
        <f>IF($J756="","",$P756&amp;"-"&amp;TEXT($Q756,"00"))</f>
        <v/>
      </c>
      <c r="S756" s="24">
        <f>IF($J756="","",INDEX(lista_dias,WEEKDAY($J756,2)))</f>
        <v/>
      </c>
      <c r="T756" s="24">
        <f>IF($J756="","",IFERROR(INDEX('CALENDARIO'!$C$15:$C$214,MATCH(TEXT($J756,"yyyy-mm-dd")&amp;"|"&amp;$Y756&amp;"|"&amp;$Z756,'CALENDARIO'!$G$15:$G$214,0)),IFERROR(INDEX('CALENDARIO'!$C$15:$C$214,MATCH(TEXT($J756,"yyyy-mm-dd")&amp;"|"&amp;$Y756&amp;"|",'CALENDARIO'!$G$15:$G$214,0)),IFERROR(INDEX('CALENDARIO'!$C$15:$C$214,MATCH(TEXT($J756,"yyyy-mm-dd")&amp;"||",'CALENDARIO'!$G$15:$G$214,0)),INDEX(patronHabil,WEEKDAY($J756,2))))))</f>
        <v/>
      </c>
      <c r="U756" s="24">
        <f>IF($I756="","",IFERROR(INDEX('CAT_TIPOS_OT'!$C$4:$C$23,MATCH($I756,'CAT_TIPOS_OT'!$A$4:$A$23,0)),"sin_clasificar"))</f>
        <v/>
      </c>
      <c r="V756" s="24">
        <f>IF($I756="","",IF(IFERROR(INDEX('CAT_TIPOS_OT'!$D$4:$D$23,MATCH($I756,'CAT_TIPOS_OT'!$A$4:$A$23,0)),"SIN CLASIFICAR")="","SIN CLASIFICAR",IFERROR(INDEX('CAT_TIPOS_OT'!$D$4:$D$23,MATCH($I756,'CAT_TIPOS_OT'!$A$4:$A$23,0)),"SIN CLASIFICAR")))</f>
        <v/>
      </c>
      <c r="W756" s="24">
        <f>IF($H756="","",IF(IFERROR(INDEX('CAT_ACTIVIDADES'!$F$4:$F$26,MATCH($H756,'CAT_ACTIVIDADES'!$A$4:$A$26,0)),"")=0,"",IFERROR(INDEX('CAT_ACTIVIDADES'!$F$4:$F$26,MATCH($H756,'CAT_ACTIVIDADES'!$A$4:$A$26,0)),"")))</f>
        <v/>
      </c>
      <c r="X756" s="24">
        <f>IF($F756="","",IFERROR(INDEX('CAT_CENTROS_COSTO'!$F$4:$F$28,MATCH($F756,'CAT_CENTROS_COSTO'!$A$4:$A$28,0)),"(sin catálogo)"))</f>
        <v/>
      </c>
      <c r="Y756" s="24">
        <f>IF($F756="","",IFERROR(INDEX('CAT_CENTROS_COSTO'!$D$4:$D$28,MATCH($F756,'CAT_CENTROS_COSTO'!$A$4:$A$28,0)),"(sin catálogo)"))</f>
        <v/>
      </c>
      <c r="Z756" s="24">
        <f>IF($F756="","",IF((IFERROR(INDEX('CAT_CENTROS_COSTO'!$E$4:$E$28,MATCH($F756,'CAT_CENTROS_COSTO'!$A$4:$A$28,0)),""))&lt;&gt;"",IFERROR(INDEX('CAT_CENTROS_COSTO'!$E$4:$E$28,MATCH($F756,'CAT_CENTROS_COSTO'!$A$4:$A$28,0)),""),$Y756))</f>
        <v/>
      </c>
      <c r="AA756" s="24">
        <f>IF($F756="","",IFERROR(INDEX('CAT_CENTROS_COSTO'!$G$4:$G$28,MATCH($F756,'CAT_CENTROS_COSTO'!$A$4:$A$28,0)),"(sin catálogo)"))</f>
        <v/>
      </c>
      <c r="AB756" s="24">
        <f>IF($G756="","",IFERROR(INDEX('CAT_PUESTOS'!$B$4:$B$23,MATCH($G756,'CAT_PUESTOS'!$A$4:$A$23,0)),"(sin catálogo)"))</f>
        <v/>
      </c>
      <c r="AC756" s="24">
        <f>IF($H756="","",IFERROR(INDEX('CAT_ACTIVIDADES'!$B$4:$B$26,MATCH($H756,'CAT_ACTIVIDADES'!$A$4:$A$26,0)),"(sin catálogo)"))</f>
        <v/>
      </c>
      <c r="AD756" s="26">
        <f>IF($J756="","",TODAY()-$J756)</f>
        <v/>
      </c>
      <c r="AE756" s="26">
        <f>IF($J756="","",IF($J756&lt;=TODAY(),COUNTIFS(cal_fechas,"&gt;="&amp;$J756,cal_fechas,"&lt;"&amp;TODAY(),cal_habil,"sí"),-COUNTIFS(cal_fechas,"&gt;="&amp;TODAY(),cal_fechas,"&lt;"&amp;$J756,cal_habil,"sí")))</f>
        <v/>
      </c>
      <c r="AF756" s="24">
        <f>IF($AE756="","",IF($AE756&lt;0,"FUTURO",IF($AE756&gt;p_dias_backlog_max,"BACKLOG","MES CORRIENTE")))</f>
        <v/>
      </c>
      <c r="AG756" s="24">
        <f>IF($AE756="",FALSE,AND($AE756&gt;p_dias_backlog_min,$AE756&lt;=p_dias_backlog_max))</f>
        <v/>
      </c>
      <c r="AH756" s="4" t="n"/>
      <c r="AI756" s="24">
        <f>IF($AH756="","",IF((IFERROR(INDEX('ASIGNACIONES'!$J$4:$J$451,MATCH($O756&amp;"|"&amp;$S756&amp;"|"&amp;$AH756,'ASIGNACIONES'!$N$4:$N$451,0)),""))=0,"",IFERROR(INDEX('ASIGNACIONES'!$J$4:$J$451,MATCH($O756&amp;"|"&amp;$S756&amp;"|"&amp;$AH756,'ASIGNACIONES'!$N$4:$N$451,0)),"")))</f>
        <v/>
      </c>
      <c r="AJ756" s="42">
        <f>IF($AH756="","",SUMIFS('ORDENES'!$M$4:$M$1203,'ORDENES'!$AH$4:$AH$1203,$AH756,'ORDENES'!$O$4:$O$1203,$O756,'ORDENES'!$S$4:$S$1203,$S756))</f>
        <v/>
      </c>
      <c r="AK756" s="42">
        <f>IF($AJ756="","",p_factor_productividad*IFERROR(INDEX('ASIGNACIONES'!$M$4:$M$451,MATCH($O756&amp;"|"&amp;$S756&amp;"|"&amp;$AH756,'ASIGNACIONES'!$N$4:$N$451,0)),0)-$AJ756)</f>
        <v/>
      </c>
      <c r="AL756" s="32">
        <f>IF($A756="","",IFERROR(INDEX('2_IMPORTAR_EJECUCION'!$F$9:$F$1208,MATCH($AU756,'2_IMPORTAR_EJECUCION'!$J$9:$J$1208,0)),0))</f>
        <v/>
      </c>
      <c r="AM756" s="32">
        <f>IF($A756="","",MAX(0,IFERROR(INDEX('2_IMPORTAR_EJECUCION'!$H$9:$H$1208,MATCH($AU756,'2_IMPORTAR_EJECUCION'!$J$9:$J$1208,0)),0)-$AL756))</f>
        <v/>
      </c>
      <c r="AN756" s="32">
        <f>IF($A756="","",$AL756+$AM756)</f>
        <v/>
      </c>
      <c r="AO756" s="24">
        <f>IF($A756="","",IF(OR((IFERROR(INDEX('CAT_ACTIVIDADES'!$D$4:$D$26,MATCH($H756,'CAT_ACTIVIDADES'!$A$4:$A$26,0)),""))=0,(IFERROR(INDEX('CAT_ACTIVIDADES'!$D$4:$D$26,MATCH($H756,'CAT_ACTIVIDADES'!$A$4:$A$26,0)),""))=""),"SIN CLASIFICAR",IFERROR(INDEX('CAT_ACTIVIDADES'!$D$4:$D$26,MATCH($H756,'CAT_ACTIVIDADES'!$A$4:$A$26,0)),"")))</f>
        <v/>
      </c>
      <c r="AP756" s="4" t="n"/>
      <c r="AQ756" s="4" t="n"/>
      <c r="AR756" s="4" t="n"/>
      <c r="AS756" s="24">
        <f>IF($AR756="","",HYPERLINK(p_ruta_base_checklists&amp;$AR756,"abrir"))</f>
        <v/>
      </c>
      <c r="AT756" s="4" t="n"/>
      <c r="AU756" s="24">
        <f>IF($A756="","",$A756&amp;IF($B756="","0010",$B756))</f>
        <v/>
      </c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41" t="n"/>
      <c r="K757" s="5" t="n"/>
      <c r="L757" s="18" t="n"/>
      <c r="M757" s="24">
        <f>IF($A757="","",IFERROR(INDEX('AJUSTES'!$B$4:$B$303,MATCH($AU757,'AJUSTES'!$A$4:$A$303,0)),IF($K757="","",$K757)))</f>
        <v/>
      </c>
      <c r="N757" s="24">
        <f>IF($A757="","",IFERROR(INDEX('CAT_ESTADOS_ERP'!$B$4:$B$22,MATCH(IFERROR(INDEX('2_IMPORTAR_EJECUCION'!$C$9:$C$1208,MATCH($AU757,'2_IMPORTAR_EJECUCION'!$J$9:$J$1208,0)),""),'CAT_ESTADOS_ERP'!$A$4:$A$22,0)),"Pendiente"))</f>
        <v/>
      </c>
      <c r="O757" s="24">
        <f>IF($J757="","",YEAR($J757+4-WEEKDAY($J757,2))&amp;"-S"&amp;TEXT(_xlfn.ISOWEEKNUM($J757),"00"))</f>
        <v/>
      </c>
      <c r="P757" s="24">
        <f>IF($J757="","",YEAR($J757))</f>
        <v/>
      </c>
      <c r="Q757" s="24">
        <f>IF($J757="","",MONTH($J757))</f>
        <v/>
      </c>
      <c r="R757" s="24">
        <f>IF($J757="","",$P757&amp;"-"&amp;TEXT($Q757,"00"))</f>
        <v/>
      </c>
      <c r="S757" s="24">
        <f>IF($J757="","",INDEX(lista_dias,WEEKDAY($J757,2)))</f>
        <v/>
      </c>
      <c r="T757" s="24">
        <f>IF($J757="","",IFERROR(INDEX('CALENDARIO'!$C$15:$C$214,MATCH(TEXT($J757,"yyyy-mm-dd")&amp;"|"&amp;$Y757&amp;"|"&amp;$Z757,'CALENDARIO'!$G$15:$G$214,0)),IFERROR(INDEX('CALENDARIO'!$C$15:$C$214,MATCH(TEXT($J757,"yyyy-mm-dd")&amp;"|"&amp;$Y757&amp;"|",'CALENDARIO'!$G$15:$G$214,0)),IFERROR(INDEX('CALENDARIO'!$C$15:$C$214,MATCH(TEXT($J757,"yyyy-mm-dd")&amp;"||",'CALENDARIO'!$G$15:$G$214,0)),INDEX(patronHabil,WEEKDAY($J757,2))))))</f>
        <v/>
      </c>
      <c r="U757" s="24">
        <f>IF($I757="","",IFERROR(INDEX('CAT_TIPOS_OT'!$C$4:$C$23,MATCH($I757,'CAT_TIPOS_OT'!$A$4:$A$23,0)),"sin_clasificar"))</f>
        <v/>
      </c>
      <c r="V757" s="24">
        <f>IF($I757="","",IF(IFERROR(INDEX('CAT_TIPOS_OT'!$D$4:$D$23,MATCH($I757,'CAT_TIPOS_OT'!$A$4:$A$23,0)),"SIN CLASIFICAR")="","SIN CLASIFICAR",IFERROR(INDEX('CAT_TIPOS_OT'!$D$4:$D$23,MATCH($I757,'CAT_TIPOS_OT'!$A$4:$A$23,0)),"SIN CLASIFICAR")))</f>
        <v/>
      </c>
      <c r="W757" s="24">
        <f>IF($H757="","",IF(IFERROR(INDEX('CAT_ACTIVIDADES'!$F$4:$F$26,MATCH($H757,'CAT_ACTIVIDADES'!$A$4:$A$26,0)),"")=0,"",IFERROR(INDEX('CAT_ACTIVIDADES'!$F$4:$F$26,MATCH($H757,'CAT_ACTIVIDADES'!$A$4:$A$26,0)),"")))</f>
        <v/>
      </c>
      <c r="X757" s="24">
        <f>IF($F757="","",IFERROR(INDEX('CAT_CENTROS_COSTO'!$F$4:$F$28,MATCH($F757,'CAT_CENTROS_COSTO'!$A$4:$A$28,0)),"(sin catálogo)"))</f>
        <v/>
      </c>
      <c r="Y757" s="24">
        <f>IF($F757="","",IFERROR(INDEX('CAT_CENTROS_COSTO'!$D$4:$D$28,MATCH($F757,'CAT_CENTROS_COSTO'!$A$4:$A$28,0)),"(sin catálogo)"))</f>
        <v/>
      </c>
      <c r="Z757" s="24">
        <f>IF($F757="","",IF((IFERROR(INDEX('CAT_CENTROS_COSTO'!$E$4:$E$28,MATCH($F757,'CAT_CENTROS_COSTO'!$A$4:$A$28,0)),""))&lt;&gt;"",IFERROR(INDEX('CAT_CENTROS_COSTO'!$E$4:$E$28,MATCH($F757,'CAT_CENTROS_COSTO'!$A$4:$A$28,0)),""),$Y757))</f>
        <v/>
      </c>
      <c r="AA757" s="24">
        <f>IF($F757="","",IFERROR(INDEX('CAT_CENTROS_COSTO'!$G$4:$G$28,MATCH($F757,'CAT_CENTROS_COSTO'!$A$4:$A$28,0)),"(sin catálogo)"))</f>
        <v/>
      </c>
      <c r="AB757" s="24">
        <f>IF($G757="","",IFERROR(INDEX('CAT_PUESTOS'!$B$4:$B$23,MATCH($G757,'CAT_PUESTOS'!$A$4:$A$23,0)),"(sin catálogo)"))</f>
        <v/>
      </c>
      <c r="AC757" s="24">
        <f>IF($H757="","",IFERROR(INDEX('CAT_ACTIVIDADES'!$B$4:$B$26,MATCH($H757,'CAT_ACTIVIDADES'!$A$4:$A$26,0)),"(sin catálogo)"))</f>
        <v/>
      </c>
      <c r="AD757" s="26">
        <f>IF($J757="","",TODAY()-$J757)</f>
        <v/>
      </c>
      <c r="AE757" s="26">
        <f>IF($J757="","",IF($J757&lt;=TODAY(),COUNTIFS(cal_fechas,"&gt;="&amp;$J757,cal_fechas,"&lt;"&amp;TODAY(),cal_habil,"sí"),-COUNTIFS(cal_fechas,"&gt;="&amp;TODAY(),cal_fechas,"&lt;"&amp;$J757,cal_habil,"sí")))</f>
        <v/>
      </c>
      <c r="AF757" s="24">
        <f>IF($AE757="","",IF($AE757&lt;0,"FUTURO",IF($AE757&gt;p_dias_backlog_max,"BACKLOG","MES CORRIENTE")))</f>
        <v/>
      </c>
      <c r="AG757" s="24">
        <f>IF($AE757="",FALSE,AND($AE757&gt;p_dias_backlog_min,$AE757&lt;=p_dias_backlog_max))</f>
        <v/>
      </c>
      <c r="AH757" s="4" t="n"/>
      <c r="AI757" s="24">
        <f>IF($AH757="","",IF((IFERROR(INDEX('ASIGNACIONES'!$J$4:$J$451,MATCH($O757&amp;"|"&amp;$S757&amp;"|"&amp;$AH757,'ASIGNACIONES'!$N$4:$N$451,0)),""))=0,"",IFERROR(INDEX('ASIGNACIONES'!$J$4:$J$451,MATCH($O757&amp;"|"&amp;$S757&amp;"|"&amp;$AH757,'ASIGNACIONES'!$N$4:$N$451,0)),"")))</f>
        <v/>
      </c>
      <c r="AJ757" s="42">
        <f>IF($AH757="","",SUMIFS('ORDENES'!$M$4:$M$1203,'ORDENES'!$AH$4:$AH$1203,$AH757,'ORDENES'!$O$4:$O$1203,$O757,'ORDENES'!$S$4:$S$1203,$S757))</f>
        <v/>
      </c>
      <c r="AK757" s="42">
        <f>IF($AJ757="","",p_factor_productividad*IFERROR(INDEX('ASIGNACIONES'!$M$4:$M$451,MATCH($O757&amp;"|"&amp;$S757&amp;"|"&amp;$AH757,'ASIGNACIONES'!$N$4:$N$451,0)),0)-$AJ757)</f>
        <v/>
      </c>
      <c r="AL757" s="32">
        <f>IF($A757="","",IFERROR(INDEX('2_IMPORTAR_EJECUCION'!$F$9:$F$1208,MATCH($AU757,'2_IMPORTAR_EJECUCION'!$J$9:$J$1208,0)),0))</f>
        <v/>
      </c>
      <c r="AM757" s="32">
        <f>IF($A757="","",MAX(0,IFERROR(INDEX('2_IMPORTAR_EJECUCION'!$H$9:$H$1208,MATCH($AU757,'2_IMPORTAR_EJECUCION'!$J$9:$J$1208,0)),0)-$AL757))</f>
        <v/>
      </c>
      <c r="AN757" s="32">
        <f>IF($A757="","",$AL757+$AM757)</f>
        <v/>
      </c>
      <c r="AO757" s="24">
        <f>IF($A757="","",IF(OR((IFERROR(INDEX('CAT_ACTIVIDADES'!$D$4:$D$26,MATCH($H757,'CAT_ACTIVIDADES'!$A$4:$A$26,0)),""))=0,(IFERROR(INDEX('CAT_ACTIVIDADES'!$D$4:$D$26,MATCH($H757,'CAT_ACTIVIDADES'!$A$4:$A$26,0)),""))=""),"SIN CLASIFICAR",IFERROR(INDEX('CAT_ACTIVIDADES'!$D$4:$D$26,MATCH($H757,'CAT_ACTIVIDADES'!$A$4:$A$26,0)),"")))</f>
        <v/>
      </c>
      <c r="AP757" s="4" t="n"/>
      <c r="AQ757" s="4" t="n"/>
      <c r="AR757" s="4" t="n"/>
      <c r="AS757" s="24">
        <f>IF($AR757="","",HYPERLINK(p_ruta_base_checklists&amp;$AR757,"abrir"))</f>
        <v/>
      </c>
      <c r="AT757" s="4" t="n"/>
      <c r="AU757" s="24">
        <f>IF($A757="","",$A757&amp;IF($B757="","0010",$B757))</f>
        <v/>
      </c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41" t="n"/>
      <c r="K758" s="5" t="n"/>
      <c r="L758" s="18" t="n"/>
      <c r="M758" s="24">
        <f>IF($A758="","",IFERROR(INDEX('AJUSTES'!$B$4:$B$303,MATCH($AU758,'AJUSTES'!$A$4:$A$303,0)),IF($K758="","",$K758)))</f>
        <v/>
      </c>
      <c r="N758" s="24">
        <f>IF($A758="","",IFERROR(INDEX('CAT_ESTADOS_ERP'!$B$4:$B$22,MATCH(IFERROR(INDEX('2_IMPORTAR_EJECUCION'!$C$9:$C$1208,MATCH($AU758,'2_IMPORTAR_EJECUCION'!$J$9:$J$1208,0)),""),'CAT_ESTADOS_ERP'!$A$4:$A$22,0)),"Pendiente"))</f>
        <v/>
      </c>
      <c r="O758" s="24">
        <f>IF($J758="","",YEAR($J758+4-WEEKDAY($J758,2))&amp;"-S"&amp;TEXT(_xlfn.ISOWEEKNUM($J758),"00"))</f>
        <v/>
      </c>
      <c r="P758" s="24">
        <f>IF($J758="","",YEAR($J758))</f>
        <v/>
      </c>
      <c r="Q758" s="24">
        <f>IF($J758="","",MONTH($J758))</f>
        <v/>
      </c>
      <c r="R758" s="24">
        <f>IF($J758="","",$P758&amp;"-"&amp;TEXT($Q758,"00"))</f>
        <v/>
      </c>
      <c r="S758" s="24">
        <f>IF($J758="","",INDEX(lista_dias,WEEKDAY($J758,2)))</f>
        <v/>
      </c>
      <c r="T758" s="24">
        <f>IF($J758="","",IFERROR(INDEX('CALENDARIO'!$C$15:$C$214,MATCH(TEXT($J758,"yyyy-mm-dd")&amp;"|"&amp;$Y758&amp;"|"&amp;$Z758,'CALENDARIO'!$G$15:$G$214,0)),IFERROR(INDEX('CALENDARIO'!$C$15:$C$214,MATCH(TEXT($J758,"yyyy-mm-dd")&amp;"|"&amp;$Y758&amp;"|",'CALENDARIO'!$G$15:$G$214,0)),IFERROR(INDEX('CALENDARIO'!$C$15:$C$214,MATCH(TEXT($J758,"yyyy-mm-dd")&amp;"||",'CALENDARIO'!$G$15:$G$214,0)),INDEX(patronHabil,WEEKDAY($J758,2))))))</f>
        <v/>
      </c>
      <c r="U758" s="24">
        <f>IF($I758="","",IFERROR(INDEX('CAT_TIPOS_OT'!$C$4:$C$23,MATCH($I758,'CAT_TIPOS_OT'!$A$4:$A$23,0)),"sin_clasificar"))</f>
        <v/>
      </c>
      <c r="V758" s="24">
        <f>IF($I758="","",IF(IFERROR(INDEX('CAT_TIPOS_OT'!$D$4:$D$23,MATCH($I758,'CAT_TIPOS_OT'!$A$4:$A$23,0)),"SIN CLASIFICAR")="","SIN CLASIFICAR",IFERROR(INDEX('CAT_TIPOS_OT'!$D$4:$D$23,MATCH($I758,'CAT_TIPOS_OT'!$A$4:$A$23,0)),"SIN CLASIFICAR")))</f>
        <v/>
      </c>
      <c r="W758" s="24">
        <f>IF($H758="","",IF(IFERROR(INDEX('CAT_ACTIVIDADES'!$F$4:$F$26,MATCH($H758,'CAT_ACTIVIDADES'!$A$4:$A$26,0)),"")=0,"",IFERROR(INDEX('CAT_ACTIVIDADES'!$F$4:$F$26,MATCH($H758,'CAT_ACTIVIDADES'!$A$4:$A$26,0)),"")))</f>
        <v/>
      </c>
      <c r="X758" s="24">
        <f>IF($F758="","",IFERROR(INDEX('CAT_CENTROS_COSTO'!$F$4:$F$28,MATCH($F758,'CAT_CENTROS_COSTO'!$A$4:$A$28,0)),"(sin catálogo)"))</f>
        <v/>
      </c>
      <c r="Y758" s="24">
        <f>IF($F758="","",IFERROR(INDEX('CAT_CENTROS_COSTO'!$D$4:$D$28,MATCH($F758,'CAT_CENTROS_COSTO'!$A$4:$A$28,0)),"(sin catálogo)"))</f>
        <v/>
      </c>
      <c r="Z758" s="24">
        <f>IF($F758="","",IF((IFERROR(INDEX('CAT_CENTROS_COSTO'!$E$4:$E$28,MATCH($F758,'CAT_CENTROS_COSTO'!$A$4:$A$28,0)),""))&lt;&gt;"",IFERROR(INDEX('CAT_CENTROS_COSTO'!$E$4:$E$28,MATCH($F758,'CAT_CENTROS_COSTO'!$A$4:$A$28,0)),""),$Y758))</f>
        <v/>
      </c>
      <c r="AA758" s="24">
        <f>IF($F758="","",IFERROR(INDEX('CAT_CENTROS_COSTO'!$G$4:$G$28,MATCH($F758,'CAT_CENTROS_COSTO'!$A$4:$A$28,0)),"(sin catálogo)"))</f>
        <v/>
      </c>
      <c r="AB758" s="24">
        <f>IF($G758="","",IFERROR(INDEX('CAT_PUESTOS'!$B$4:$B$23,MATCH($G758,'CAT_PUESTOS'!$A$4:$A$23,0)),"(sin catálogo)"))</f>
        <v/>
      </c>
      <c r="AC758" s="24">
        <f>IF($H758="","",IFERROR(INDEX('CAT_ACTIVIDADES'!$B$4:$B$26,MATCH($H758,'CAT_ACTIVIDADES'!$A$4:$A$26,0)),"(sin catálogo)"))</f>
        <v/>
      </c>
      <c r="AD758" s="26">
        <f>IF($J758="","",TODAY()-$J758)</f>
        <v/>
      </c>
      <c r="AE758" s="26">
        <f>IF($J758="","",IF($J758&lt;=TODAY(),COUNTIFS(cal_fechas,"&gt;="&amp;$J758,cal_fechas,"&lt;"&amp;TODAY(),cal_habil,"sí"),-COUNTIFS(cal_fechas,"&gt;="&amp;TODAY(),cal_fechas,"&lt;"&amp;$J758,cal_habil,"sí")))</f>
        <v/>
      </c>
      <c r="AF758" s="24">
        <f>IF($AE758="","",IF($AE758&lt;0,"FUTURO",IF($AE758&gt;p_dias_backlog_max,"BACKLOG","MES CORRIENTE")))</f>
        <v/>
      </c>
      <c r="AG758" s="24">
        <f>IF($AE758="",FALSE,AND($AE758&gt;p_dias_backlog_min,$AE758&lt;=p_dias_backlog_max))</f>
        <v/>
      </c>
      <c r="AH758" s="4" t="n"/>
      <c r="AI758" s="24">
        <f>IF($AH758="","",IF((IFERROR(INDEX('ASIGNACIONES'!$J$4:$J$451,MATCH($O758&amp;"|"&amp;$S758&amp;"|"&amp;$AH758,'ASIGNACIONES'!$N$4:$N$451,0)),""))=0,"",IFERROR(INDEX('ASIGNACIONES'!$J$4:$J$451,MATCH($O758&amp;"|"&amp;$S758&amp;"|"&amp;$AH758,'ASIGNACIONES'!$N$4:$N$451,0)),"")))</f>
        <v/>
      </c>
      <c r="AJ758" s="42">
        <f>IF($AH758="","",SUMIFS('ORDENES'!$M$4:$M$1203,'ORDENES'!$AH$4:$AH$1203,$AH758,'ORDENES'!$O$4:$O$1203,$O758,'ORDENES'!$S$4:$S$1203,$S758))</f>
        <v/>
      </c>
      <c r="AK758" s="42">
        <f>IF($AJ758="","",p_factor_productividad*IFERROR(INDEX('ASIGNACIONES'!$M$4:$M$451,MATCH($O758&amp;"|"&amp;$S758&amp;"|"&amp;$AH758,'ASIGNACIONES'!$N$4:$N$451,0)),0)-$AJ758)</f>
        <v/>
      </c>
      <c r="AL758" s="32">
        <f>IF($A758="","",IFERROR(INDEX('2_IMPORTAR_EJECUCION'!$F$9:$F$1208,MATCH($AU758,'2_IMPORTAR_EJECUCION'!$J$9:$J$1208,0)),0))</f>
        <v/>
      </c>
      <c r="AM758" s="32">
        <f>IF($A758="","",MAX(0,IFERROR(INDEX('2_IMPORTAR_EJECUCION'!$H$9:$H$1208,MATCH($AU758,'2_IMPORTAR_EJECUCION'!$J$9:$J$1208,0)),0)-$AL758))</f>
        <v/>
      </c>
      <c r="AN758" s="32">
        <f>IF($A758="","",$AL758+$AM758)</f>
        <v/>
      </c>
      <c r="AO758" s="24">
        <f>IF($A758="","",IF(OR((IFERROR(INDEX('CAT_ACTIVIDADES'!$D$4:$D$26,MATCH($H758,'CAT_ACTIVIDADES'!$A$4:$A$26,0)),""))=0,(IFERROR(INDEX('CAT_ACTIVIDADES'!$D$4:$D$26,MATCH($H758,'CAT_ACTIVIDADES'!$A$4:$A$26,0)),""))=""),"SIN CLASIFICAR",IFERROR(INDEX('CAT_ACTIVIDADES'!$D$4:$D$26,MATCH($H758,'CAT_ACTIVIDADES'!$A$4:$A$26,0)),"")))</f>
        <v/>
      </c>
      <c r="AP758" s="4" t="n"/>
      <c r="AQ758" s="4" t="n"/>
      <c r="AR758" s="4" t="n"/>
      <c r="AS758" s="24">
        <f>IF($AR758="","",HYPERLINK(p_ruta_base_checklists&amp;$AR758,"abrir"))</f>
        <v/>
      </c>
      <c r="AT758" s="4" t="n"/>
      <c r="AU758" s="24">
        <f>IF($A758="","",$A758&amp;IF($B758="","0010",$B758))</f>
        <v/>
      </c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41" t="n"/>
      <c r="K759" s="5" t="n"/>
      <c r="L759" s="18" t="n"/>
      <c r="M759" s="24">
        <f>IF($A759="","",IFERROR(INDEX('AJUSTES'!$B$4:$B$303,MATCH($AU759,'AJUSTES'!$A$4:$A$303,0)),IF($K759="","",$K759)))</f>
        <v/>
      </c>
      <c r="N759" s="24">
        <f>IF($A759="","",IFERROR(INDEX('CAT_ESTADOS_ERP'!$B$4:$B$22,MATCH(IFERROR(INDEX('2_IMPORTAR_EJECUCION'!$C$9:$C$1208,MATCH($AU759,'2_IMPORTAR_EJECUCION'!$J$9:$J$1208,0)),""),'CAT_ESTADOS_ERP'!$A$4:$A$22,0)),"Pendiente"))</f>
        <v/>
      </c>
      <c r="O759" s="24">
        <f>IF($J759="","",YEAR($J759+4-WEEKDAY($J759,2))&amp;"-S"&amp;TEXT(_xlfn.ISOWEEKNUM($J759),"00"))</f>
        <v/>
      </c>
      <c r="P759" s="24">
        <f>IF($J759="","",YEAR($J759))</f>
        <v/>
      </c>
      <c r="Q759" s="24">
        <f>IF($J759="","",MONTH($J759))</f>
        <v/>
      </c>
      <c r="R759" s="24">
        <f>IF($J759="","",$P759&amp;"-"&amp;TEXT($Q759,"00"))</f>
        <v/>
      </c>
      <c r="S759" s="24">
        <f>IF($J759="","",INDEX(lista_dias,WEEKDAY($J759,2)))</f>
        <v/>
      </c>
      <c r="T759" s="24">
        <f>IF($J759="","",IFERROR(INDEX('CALENDARIO'!$C$15:$C$214,MATCH(TEXT($J759,"yyyy-mm-dd")&amp;"|"&amp;$Y759&amp;"|"&amp;$Z759,'CALENDARIO'!$G$15:$G$214,0)),IFERROR(INDEX('CALENDARIO'!$C$15:$C$214,MATCH(TEXT($J759,"yyyy-mm-dd")&amp;"|"&amp;$Y759&amp;"|",'CALENDARIO'!$G$15:$G$214,0)),IFERROR(INDEX('CALENDARIO'!$C$15:$C$214,MATCH(TEXT($J759,"yyyy-mm-dd")&amp;"||",'CALENDARIO'!$G$15:$G$214,0)),INDEX(patronHabil,WEEKDAY($J759,2))))))</f>
        <v/>
      </c>
      <c r="U759" s="24">
        <f>IF($I759="","",IFERROR(INDEX('CAT_TIPOS_OT'!$C$4:$C$23,MATCH($I759,'CAT_TIPOS_OT'!$A$4:$A$23,0)),"sin_clasificar"))</f>
        <v/>
      </c>
      <c r="V759" s="24">
        <f>IF($I759="","",IF(IFERROR(INDEX('CAT_TIPOS_OT'!$D$4:$D$23,MATCH($I759,'CAT_TIPOS_OT'!$A$4:$A$23,0)),"SIN CLASIFICAR")="","SIN CLASIFICAR",IFERROR(INDEX('CAT_TIPOS_OT'!$D$4:$D$23,MATCH($I759,'CAT_TIPOS_OT'!$A$4:$A$23,0)),"SIN CLASIFICAR")))</f>
        <v/>
      </c>
      <c r="W759" s="24">
        <f>IF($H759="","",IF(IFERROR(INDEX('CAT_ACTIVIDADES'!$F$4:$F$26,MATCH($H759,'CAT_ACTIVIDADES'!$A$4:$A$26,0)),"")=0,"",IFERROR(INDEX('CAT_ACTIVIDADES'!$F$4:$F$26,MATCH($H759,'CAT_ACTIVIDADES'!$A$4:$A$26,0)),"")))</f>
        <v/>
      </c>
      <c r="X759" s="24">
        <f>IF($F759="","",IFERROR(INDEX('CAT_CENTROS_COSTO'!$F$4:$F$28,MATCH($F759,'CAT_CENTROS_COSTO'!$A$4:$A$28,0)),"(sin catálogo)"))</f>
        <v/>
      </c>
      <c r="Y759" s="24">
        <f>IF($F759="","",IFERROR(INDEX('CAT_CENTROS_COSTO'!$D$4:$D$28,MATCH($F759,'CAT_CENTROS_COSTO'!$A$4:$A$28,0)),"(sin catálogo)"))</f>
        <v/>
      </c>
      <c r="Z759" s="24">
        <f>IF($F759="","",IF((IFERROR(INDEX('CAT_CENTROS_COSTO'!$E$4:$E$28,MATCH($F759,'CAT_CENTROS_COSTO'!$A$4:$A$28,0)),""))&lt;&gt;"",IFERROR(INDEX('CAT_CENTROS_COSTO'!$E$4:$E$28,MATCH($F759,'CAT_CENTROS_COSTO'!$A$4:$A$28,0)),""),$Y759))</f>
        <v/>
      </c>
      <c r="AA759" s="24">
        <f>IF($F759="","",IFERROR(INDEX('CAT_CENTROS_COSTO'!$G$4:$G$28,MATCH($F759,'CAT_CENTROS_COSTO'!$A$4:$A$28,0)),"(sin catálogo)"))</f>
        <v/>
      </c>
      <c r="AB759" s="24">
        <f>IF($G759="","",IFERROR(INDEX('CAT_PUESTOS'!$B$4:$B$23,MATCH($G759,'CAT_PUESTOS'!$A$4:$A$23,0)),"(sin catálogo)"))</f>
        <v/>
      </c>
      <c r="AC759" s="24">
        <f>IF($H759="","",IFERROR(INDEX('CAT_ACTIVIDADES'!$B$4:$B$26,MATCH($H759,'CAT_ACTIVIDADES'!$A$4:$A$26,0)),"(sin catálogo)"))</f>
        <v/>
      </c>
      <c r="AD759" s="26">
        <f>IF($J759="","",TODAY()-$J759)</f>
        <v/>
      </c>
      <c r="AE759" s="26">
        <f>IF($J759="","",IF($J759&lt;=TODAY(),COUNTIFS(cal_fechas,"&gt;="&amp;$J759,cal_fechas,"&lt;"&amp;TODAY(),cal_habil,"sí"),-COUNTIFS(cal_fechas,"&gt;="&amp;TODAY(),cal_fechas,"&lt;"&amp;$J759,cal_habil,"sí")))</f>
        <v/>
      </c>
      <c r="AF759" s="24">
        <f>IF($AE759="","",IF($AE759&lt;0,"FUTURO",IF($AE759&gt;p_dias_backlog_max,"BACKLOG","MES CORRIENTE")))</f>
        <v/>
      </c>
      <c r="AG759" s="24">
        <f>IF($AE759="",FALSE,AND($AE759&gt;p_dias_backlog_min,$AE759&lt;=p_dias_backlog_max))</f>
        <v/>
      </c>
      <c r="AH759" s="4" t="n"/>
      <c r="AI759" s="24">
        <f>IF($AH759="","",IF((IFERROR(INDEX('ASIGNACIONES'!$J$4:$J$451,MATCH($O759&amp;"|"&amp;$S759&amp;"|"&amp;$AH759,'ASIGNACIONES'!$N$4:$N$451,0)),""))=0,"",IFERROR(INDEX('ASIGNACIONES'!$J$4:$J$451,MATCH($O759&amp;"|"&amp;$S759&amp;"|"&amp;$AH759,'ASIGNACIONES'!$N$4:$N$451,0)),"")))</f>
        <v/>
      </c>
      <c r="AJ759" s="42">
        <f>IF($AH759="","",SUMIFS('ORDENES'!$M$4:$M$1203,'ORDENES'!$AH$4:$AH$1203,$AH759,'ORDENES'!$O$4:$O$1203,$O759,'ORDENES'!$S$4:$S$1203,$S759))</f>
        <v/>
      </c>
      <c r="AK759" s="42">
        <f>IF($AJ759="","",p_factor_productividad*IFERROR(INDEX('ASIGNACIONES'!$M$4:$M$451,MATCH($O759&amp;"|"&amp;$S759&amp;"|"&amp;$AH759,'ASIGNACIONES'!$N$4:$N$451,0)),0)-$AJ759)</f>
        <v/>
      </c>
      <c r="AL759" s="32">
        <f>IF($A759="","",IFERROR(INDEX('2_IMPORTAR_EJECUCION'!$F$9:$F$1208,MATCH($AU759,'2_IMPORTAR_EJECUCION'!$J$9:$J$1208,0)),0))</f>
        <v/>
      </c>
      <c r="AM759" s="32">
        <f>IF($A759="","",MAX(0,IFERROR(INDEX('2_IMPORTAR_EJECUCION'!$H$9:$H$1208,MATCH($AU759,'2_IMPORTAR_EJECUCION'!$J$9:$J$1208,0)),0)-$AL759))</f>
        <v/>
      </c>
      <c r="AN759" s="32">
        <f>IF($A759="","",$AL759+$AM759)</f>
        <v/>
      </c>
      <c r="AO759" s="24">
        <f>IF($A759="","",IF(OR((IFERROR(INDEX('CAT_ACTIVIDADES'!$D$4:$D$26,MATCH($H759,'CAT_ACTIVIDADES'!$A$4:$A$26,0)),""))=0,(IFERROR(INDEX('CAT_ACTIVIDADES'!$D$4:$D$26,MATCH($H759,'CAT_ACTIVIDADES'!$A$4:$A$26,0)),""))=""),"SIN CLASIFICAR",IFERROR(INDEX('CAT_ACTIVIDADES'!$D$4:$D$26,MATCH($H759,'CAT_ACTIVIDADES'!$A$4:$A$26,0)),"")))</f>
        <v/>
      </c>
      <c r="AP759" s="4" t="n"/>
      <c r="AQ759" s="4" t="n"/>
      <c r="AR759" s="4" t="n"/>
      <c r="AS759" s="24">
        <f>IF($AR759="","",HYPERLINK(p_ruta_base_checklists&amp;$AR759,"abrir"))</f>
        <v/>
      </c>
      <c r="AT759" s="4" t="n"/>
      <c r="AU759" s="24">
        <f>IF($A759="","",$A759&amp;IF($B759="","0010",$B759))</f>
        <v/>
      </c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41" t="n"/>
      <c r="K760" s="5" t="n"/>
      <c r="L760" s="18" t="n"/>
      <c r="M760" s="24">
        <f>IF($A760="","",IFERROR(INDEX('AJUSTES'!$B$4:$B$303,MATCH($AU760,'AJUSTES'!$A$4:$A$303,0)),IF($K760="","",$K760)))</f>
        <v/>
      </c>
      <c r="N760" s="24">
        <f>IF($A760="","",IFERROR(INDEX('CAT_ESTADOS_ERP'!$B$4:$B$22,MATCH(IFERROR(INDEX('2_IMPORTAR_EJECUCION'!$C$9:$C$1208,MATCH($AU760,'2_IMPORTAR_EJECUCION'!$J$9:$J$1208,0)),""),'CAT_ESTADOS_ERP'!$A$4:$A$22,0)),"Pendiente"))</f>
        <v/>
      </c>
      <c r="O760" s="24">
        <f>IF($J760="","",YEAR($J760+4-WEEKDAY($J760,2))&amp;"-S"&amp;TEXT(_xlfn.ISOWEEKNUM($J760),"00"))</f>
        <v/>
      </c>
      <c r="P760" s="24">
        <f>IF($J760="","",YEAR($J760))</f>
        <v/>
      </c>
      <c r="Q760" s="24">
        <f>IF($J760="","",MONTH($J760))</f>
        <v/>
      </c>
      <c r="R760" s="24">
        <f>IF($J760="","",$P760&amp;"-"&amp;TEXT($Q760,"00"))</f>
        <v/>
      </c>
      <c r="S760" s="24">
        <f>IF($J760="","",INDEX(lista_dias,WEEKDAY($J760,2)))</f>
        <v/>
      </c>
      <c r="T760" s="24">
        <f>IF($J760="","",IFERROR(INDEX('CALENDARIO'!$C$15:$C$214,MATCH(TEXT($J760,"yyyy-mm-dd")&amp;"|"&amp;$Y760&amp;"|"&amp;$Z760,'CALENDARIO'!$G$15:$G$214,0)),IFERROR(INDEX('CALENDARIO'!$C$15:$C$214,MATCH(TEXT($J760,"yyyy-mm-dd")&amp;"|"&amp;$Y760&amp;"|",'CALENDARIO'!$G$15:$G$214,0)),IFERROR(INDEX('CALENDARIO'!$C$15:$C$214,MATCH(TEXT($J760,"yyyy-mm-dd")&amp;"||",'CALENDARIO'!$G$15:$G$214,0)),INDEX(patronHabil,WEEKDAY($J760,2))))))</f>
        <v/>
      </c>
      <c r="U760" s="24">
        <f>IF($I760="","",IFERROR(INDEX('CAT_TIPOS_OT'!$C$4:$C$23,MATCH($I760,'CAT_TIPOS_OT'!$A$4:$A$23,0)),"sin_clasificar"))</f>
        <v/>
      </c>
      <c r="V760" s="24">
        <f>IF($I760="","",IF(IFERROR(INDEX('CAT_TIPOS_OT'!$D$4:$D$23,MATCH($I760,'CAT_TIPOS_OT'!$A$4:$A$23,0)),"SIN CLASIFICAR")="","SIN CLASIFICAR",IFERROR(INDEX('CAT_TIPOS_OT'!$D$4:$D$23,MATCH($I760,'CAT_TIPOS_OT'!$A$4:$A$23,0)),"SIN CLASIFICAR")))</f>
        <v/>
      </c>
      <c r="W760" s="24">
        <f>IF($H760="","",IF(IFERROR(INDEX('CAT_ACTIVIDADES'!$F$4:$F$26,MATCH($H760,'CAT_ACTIVIDADES'!$A$4:$A$26,0)),"")=0,"",IFERROR(INDEX('CAT_ACTIVIDADES'!$F$4:$F$26,MATCH($H760,'CAT_ACTIVIDADES'!$A$4:$A$26,0)),"")))</f>
        <v/>
      </c>
      <c r="X760" s="24">
        <f>IF($F760="","",IFERROR(INDEX('CAT_CENTROS_COSTO'!$F$4:$F$28,MATCH($F760,'CAT_CENTROS_COSTO'!$A$4:$A$28,0)),"(sin catálogo)"))</f>
        <v/>
      </c>
      <c r="Y760" s="24">
        <f>IF($F760="","",IFERROR(INDEX('CAT_CENTROS_COSTO'!$D$4:$D$28,MATCH($F760,'CAT_CENTROS_COSTO'!$A$4:$A$28,0)),"(sin catálogo)"))</f>
        <v/>
      </c>
      <c r="Z760" s="24">
        <f>IF($F760="","",IF((IFERROR(INDEX('CAT_CENTROS_COSTO'!$E$4:$E$28,MATCH($F760,'CAT_CENTROS_COSTO'!$A$4:$A$28,0)),""))&lt;&gt;"",IFERROR(INDEX('CAT_CENTROS_COSTO'!$E$4:$E$28,MATCH($F760,'CAT_CENTROS_COSTO'!$A$4:$A$28,0)),""),$Y760))</f>
        <v/>
      </c>
      <c r="AA760" s="24">
        <f>IF($F760="","",IFERROR(INDEX('CAT_CENTROS_COSTO'!$G$4:$G$28,MATCH($F760,'CAT_CENTROS_COSTO'!$A$4:$A$28,0)),"(sin catálogo)"))</f>
        <v/>
      </c>
      <c r="AB760" s="24">
        <f>IF($G760="","",IFERROR(INDEX('CAT_PUESTOS'!$B$4:$B$23,MATCH($G760,'CAT_PUESTOS'!$A$4:$A$23,0)),"(sin catálogo)"))</f>
        <v/>
      </c>
      <c r="AC760" s="24">
        <f>IF($H760="","",IFERROR(INDEX('CAT_ACTIVIDADES'!$B$4:$B$26,MATCH($H760,'CAT_ACTIVIDADES'!$A$4:$A$26,0)),"(sin catálogo)"))</f>
        <v/>
      </c>
      <c r="AD760" s="26">
        <f>IF($J760="","",TODAY()-$J760)</f>
        <v/>
      </c>
      <c r="AE760" s="26">
        <f>IF($J760="","",IF($J760&lt;=TODAY(),COUNTIFS(cal_fechas,"&gt;="&amp;$J760,cal_fechas,"&lt;"&amp;TODAY(),cal_habil,"sí"),-COUNTIFS(cal_fechas,"&gt;="&amp;TODAY(),cal_fechas,"&lt;"&amp;$J760,cal_habil,"sí")))</f>
        <v/>
      </c>
      <c r="AF760" s="24">
        <f>IF($AE760="","",IF($AE760&lt;0,"FUTURO",IF($AE760&gt;p_dias_backlog_max,"BACKLOG","MES CORRIENTE")))</f>
        <v/>
      </c>
      <c r="AG760" s="24">
        <f>IF($AE760="",FALSE,AND($AE760&gt;p_dias_backlog_min,$AE760&lt;=p_dias_backlog_max))</f>
        <v/>
      </c>
      <c r="AH760" s="4" t="n"/>
      <c r="AI760" s="24">
        <f>IF($AH760="","",IF((IFERROR(INDEX('ASIGNACIONES'!$J$4:$J$451,MATCH($O760&amp;"|"&amp;$S760&amp;"|"&amp;$AH760,'ASIGNACIONES'!$N$4:$N$451,0)),""))=0,"",IFERROR(INDEX('ASIGNACIONES'!$J$4:$J$451,MATCH($O760&amp;"|"&amp;$S760&amp;"|"&amp;$AH760,'ASIGNACIONES'!$N$4:$N$451,0)),"")))</f>
        <v/>
      </c>
      <c r="AJ760" s="42">
        <f>IF($AH760="","",SUMIFS('ORDENES'!$M$4:$M$1203,'ORDENES'!$AH$4:$AH$1203,$AH760,'ORDENES'!$O$4:$O$1203,$O760,'ORDENES'!$S$4:$S$1203,$S760))</f>
        <v/>
      </c>
      <c r="AK760" s="42">
        <f>IF($AJ760="","",p_factor_productividad*IFERROR(INDEX('ASIGNACIONES'!$M$4:$M$451,MATCH($O760&amp;"|"&amp;$S760&amp;"|"&amp;$AH760,'ASIGNACIONES'!$N$4:$N$451,0)),0)-$AJ760)</f>
        <v/>
      </c>
      <c r="AL760" s="32">
        <f>IF($A760="","",IFERROR(INDEX('2_IMPORTAR_EJECUCION'!$F$9:$F$1208,MATCH($AU760,'2_IMPORTAR_EJECUCION'!$J$9:$J$1208,0)),0))</f>
        <v/>
      </c>
      <c r="AM760" s="32">
        <f>IF($A760="","",MAX(0,IFERROR(INDEX('2_IMPORTAR_EJECUCION'!$H$9:$H$1208,MATCH($AU760,'2_IMPORTAR_EJECUCION'!$J$9:$J$1208,0)),0)-$AL760))</f>
        <v/>
      </c>
      <c r="AN760" s="32">
        <f>IF($A760="","",$AL760+$AM760)</f>
        <v/>
      </c>
      <c r="AO760" s="24">
        <f>IF($A760="","",IF(OR((IFERROR(INDEX('CAT_ACTIVIDADES'!$D$4:$D$26,MATCH($H760,'CAT_ACTIVIDADES'!$A$4:$A$26,0)),""))=0,(IFERROR(INDEX('CAT_ACTIVIDADES'!$D$4:$D$26,MATCH($H760,'CAT_ACTIVIDADES'!$A$4:$A$26,0)),""))=""),"SIN CLASIFICAR",IFERROR(INDEX('CAT_ACTIVIDADES'!$D$4:$D$26,MATCH($H760,'CAT_ACTIVIDADES'!$A$4:$A$26,0)),"")))</f>
        <v/>
      </c>
      <c r="AP760" s="4" t="n"/>
      <c r="AQ760" s="4" t="n"/>
      <c r="AR760" s="4" t="n"/>
      <c r="AS760" s="24">
        <f>IF($AR760="","",HYPERLINK(p_ruta_base_checklists&amp;$AR760,"abrir"))</f>
        <v/>
      </c>
      <c r="AT760" s="4" t="n"/>
      <c r="AU760" s="24">
        <f>IF($A760="","",$A760&amp;IF($B760="","0010",$B760))</f>
        <v/>
      </c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41" t="n"/>
      <c r="K761" s="5" t="n"/>
      <c r="L761" s="18" t="n"/>
      <c r="M761" s="24">
        <f>IF($A761="","",IFERROR(INDEX('AJUSTES'!$B$4:$B$303,MATCH($AU761,'AJUSTES'!$A$4:$A$303,0)),IF($K761="","",$K761)))</f>
        <v/>
      </c>
      <c r="N761" s="24">
        <f>IF($A761="","",IFERROR(INDEX('CAT_ESTADOS_ERP'!$B$4:$B$22,MATCH(IFERROR(INDEX('2_IMPORTAR_EJECUCION'!$C$9:$C$1208,MATCH($AU761,'2_IMPORTAR_EJECUCION'!$J$9:$J$1208,0)),""),'CAT_ESTADOS_ERP'!$A$4:$A$22,0)),"Pendiente"))</f>
        <v/>
      </c>
      <c r="O761" s="24">
        <f>IF($J761="","",YEAR($J761+4-WEEKDAY($J761,2))&amp;"-S"&amp;TEXT(_xlfn.ISOWEEKNUM($J761),"00"))</f>
        <v/>
      </c>
      <c r="P761" s="24">
        <f>IF($J761="","",YEAR($J761))</f>
        <v/>
      </c>
      <c r="Q761" s="24">
        <f>IF($J761="","",MONTH($J761))</f>
        <v/>
      </c>
      <c r="R761" s="24">
        <f>IF($J761="","",$P761&amp;"-"&amp;TEXT($Q761,"00"))</f>
        <v/>
      </c>
      <c r="S761" s="24">
        <f>IF($J761="","",INDEX(lista_dias,WEEKDAY($J761,2)))</f>
        <v/>
      </c>
      <c r="T761" s="24">
        <f>IF($J761="","",IFERROR(INDEX('CALENDARIO'!$C$15:$C$214,MATCH(TEXT($J761,"yyyy-mm-dd")&amp;"|"&amp;$Y761&amp;"|"&amp;$Z761,'CALENDARIO'!$G$15:$G$214,0)),IFERROR(INDEX('CALENDARIO'!$C$15:$C$214,MATCH(TEXT($J761,"yyyy-mm-dd")&amp;"|"&amp;$Y761&amp;"|",'CALENDARIO'!$G$15:$G$214,0)),IFERROR(INDEX('CALENDARIO'!$C$15:$C$214,MATCH(TEXT($J761,"yyyy-mm-dd")&amp;"||",'CALENDARIO'!$G$15:$G$214,0)),INDEX(patronHabil,WEEKDAY($J761,2))))))</f>
        <v/>
      </c>
      <c r="U761" s="24">
        <f>IF($I761="","",IFERROR(INDEX('CAT_TIPOS_OT'!$C$4:$C$23,MATCH($I761,'CAT_TIPOS_OT'!$A$4:$A$23,0)),"sin_clasificar"))</f>
        <v/>
      </c>
      <c r="V761" s="24">
        <f>IF($I761="","",IF(IFERROR(INDEX('CAT_TIPOS_OT'!$D$4:$D$23,MATCH($I761,'CAT_TIPOS_OT'!$A$4:$A$23,0)),"SIN CLASIFICAR")="","SIN CLASIFICAR",IFERROR(INDEX('CAT_TIPOS_OT'!$D$4:$D$23,MATCH($I761,'CAT_TIPOS_OT'!$A$4:$A$23,0)),"SIN CLASIFICAR")))</f>
        <v/>
      </c>
      <c r="W761" s="24">
        <f>IF($H761="","",IF(IFERROR(INDEX('CAT_ACTIVIDADES'!$F$4:$F$26,MATCH($H761,'CAT_ACTIVIDADES'!$A$4:$A$26,0)),"")=0,"",IFERROR(INDEX('CAT_ACTIVIDADES'!$F$4:$F$26,MATCH($H761,'CAT_ACTIVIDADES'!$A$4:$A$26,0)),"")))</f>
        <v/>
      </c>
      <c r="X761" s="24">
        <f>IF($F761="","",IFERROR(INDEX('CAT_CENTROS_COSTO'!$F$4:$F$28,MATCH($F761,'CAT_CENTROS_COSTO'!$A$4:$A$28,0)),"(sin catálogo)"))</f>
        <v/>
      </c>
      <c r="Y761" s="24">
        <f>IF($F761="","",IFERROR(INDEX('CAT_CENTROS_COSTO'!$D$4:$D$28,MATCH($F761,'CAT_CENTROS_COSTO'!$A$4:$A$28,0)),"(sin catálogo)"))</f>
        <v/>
      </c>
      <c r="Z761" s="24">
        <f>IF($F761="","",IF((IFERROR(INDEX('CAT_CENTROS_COSTO'!$E$4:$E$28,MATCH($F761,'CAT_CENTROS_COSTO'!$A$4:$A$28,0)),""))&lt;&gt;"",IFERROR(INDEX('CAT_CENTROS_COSTO'!$E$4:$E$28,MATCH($F761,'CAT_CENTROS_COSTO'!$A$4:$A$28,0)),""),$Y761))</f>
        <v/>
      </c>
      <c r="AA761" s="24">
        <f>IF($F761="","",IFERROR(INDEX('CAT_CENTROS_COSTO'!$G$4:$G$28,MATCH($F761,'CAT_CENTROS_COSTO'!$A$4:$A$28,0)),"(sin catálogo)"))</f>
        <v/>
      </c>
      <c r="AB761" s="24">
        <f>IF($G761="","",IFERROR(INDEX('CAT_PUESTOS'!$B$4:$B$23,MATCH($G761,'CAT_PUESTOS'!$A$4:$A$23,0)),"(sin catálogo)"))</f>
        <v/>
      </c>
      <c r="AC761" s="24">
        <f>IF($H761="","",IFERROR(INDEX('CAT_ACTIVIDADES'!$B$4:$B$26,MATCH($H761,'CAT_ACTIVIDADES'!$A$4:$A$26,0)),"(sin catálogo)"))</f>
        <v/>
      </c>
      <c r="AD761" s="26">
        <f>IF($J761="","",TODAY()-$J761)</f>
        <v/>
      </c>
      <c r="AE761" s="26">
        <f>IF($J761="","",IF($J761&lt;=TODAY(),COUNTIFS(cal_fechas,"&gt;="&amp;$J761,cal_fechas,"&lt;"&amp;TODAY(),cal_habil,"sí"),-COUNTIFS(cal_fechas,"&gt;="&amp;TODAY(),cal_fechas,"&lt;"&amp;$J761,cal_habil,"sí")))</f>
        <v/>
      </c>
      <c r="AF761" s="24">
        <f>IF($AE761="","",IF($AE761&lt;0,"FUTURO",IF($AE761&gt;p_dias_backlog_max,"BACKLOG","MES CORRIENTE")))</f>
        <v/>
      </c>
      <c r="AG761" s="24">
        <f>IF($AE761="",FALSE,AND($AE761&gt;p_dias_backlog_min,$AE761&lt;=p_dias_backlog_max))</f>
        <v/>
      </c>
      <c r="AH761" s="4" t="n"/>
      <c r="AI761" s="24">
        <f>IF($AH761="","",IF((IFERROR(INDEX('ASIGNACIONES'!$J$4:$J$451,MATCH($O761&amp;"|"&amp;$S761&amp;"|"&amp;$AH761,'ASIGNACIONES'!$N$4:$N$451,0)),""))=0,"",IFERROR(INDEX('ASIGNACIONES'!$J$4:$J$451,MATCH($O761&amp;"|"&amp;$S761&amp;"|"&amp;$AH761,'ASIGNACIONES'!$N$4:$N$451,0)),"")))</f>
        <v/>
      </c>
      <c r="AJ761" s="42">
        <f>IF($AH761="","",SUMIFS('ORDENES'!$M$4:$M$1203,'ORDENES'!$AH$4:$AH$1203,$AH761,'ORDENES'!$O$4:$O$1203,$O761,'ORDENES'!$S$4:$S$1203,$S761))</f>
        <v/>
      </c>
      <c r="AK761" s="42">
        <f>IF($AJ761="","",p_factor_productividad*IFERROR(INDEX('ASIGNACIONES'!$M$4:$M$451,MATCH($O761&amp;"|"&amp;$S761&amp;"|"&amp;$AH761,'ASIGNACIONES'!$N$4:$N$451,0)),0)-$AJ761)</f>
        <v/>
      </c>
      <c r="AL761" s="32">
        <f>IF($A761="","",IFERROR(INDEX('2_IMPORTAR_EJECUCION'!$F$9:$F$1208,MATCH($AU761,'2_IMPORTAR_EJECUCION'!$J$9:$J$1208,0)),0))</f>
        <v/>
      </c>
      <c r="AM761" s="32">
        <f>IF($A761="","",MAX(0,IFERROR(INDEX('2_IMPORTAR_EJECUCION'!$H$9:$H$1208,MATCH($AU761,'2_IMPORTAR_EJECUCION'!$J$9:$J$1208,0)),0)-$AL761))</f>
        <v/>
      </c>
      <c r="AN761" s="32">
        <f>IF($A761="","",$AL761+$AM761)</f>
        <v/>
      </c>
      <c r="AO761" s="24">
        <f>IF($A761="","",IF(OR((IFERROR(INDEX('CAT_ACTIVIDADES'!$D$4:$D$26,MATCH($H761,'CAT_ACTIVIDADES'!$A$4:$A$26,0)),""))=0,(IFERROR(INDEX('CAT_ACTIVIDADES'!$D$4:$D$26,MATCH($H761,'CAT_ACTIVIDADES'!$A$4:$A$26,0)),""))=""),"SIN CLASIFICAR",IFERROR(INDEX('CAT_ACTIVIDADES'!$D$4:$D$26,MATCH($H761,'CAT_ACTIVIDADES'!$A$4:$A$26,0)),"")))</f>
        <v/>
      </c>
      <c r="AP761" s="4" t="n"/>
      <c r="AQ761" s="4" t="n"/>
      <c r="AR761" s="4" t="n"/>
      <c r="AS761" s="24">
        <f>IF($AR761="","",HYPERLINK(p_ruta_base_checklists&amp;$AR761,"abrir"))</f>
        <v/>
      </c>
      <c r="AT761" s="4" t="n"/>
      <c r="AU761" s="24">
        <f>IF($A761="","",$A761&amp;IF($B761="","0010",$B761))</f>
        <v/>
      </c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41" t="n"/>
      <c r="K762" s="5" t="n"/>
      <c r="L762" s="18" t="n"/>
      <c r="M762" s="24">
        <f>IF($A762="","",IFERROR(INDEX('AJUSTES'!$B$4:$B$303,MATCH($AU762,'AJUSTES'!$A$4:$A$303,0)),IF($K762="","",$K762)))</f>
        <v/>
      </c>
      <c r="N762" s="24">
        <f>IF($A762="","",IFERROR(INDEX('CAT_ESTADOS_ERP'!$B$4:$B$22,MATCH(IFERROR(INDEX('2_IMPORTAR_EJECUCION'!$C$9:$C$1208,MATCH($AU762,'2_IMPORTAR_EJECUCION'!$J$9:$J$1208,0)),""),'CAT_ESTADOS_ERP'!$A$4:$A$22,0)),"Pendiente"))</f>
        <v/>
      </c>
      <c r="O762" s="24">
        <f>IF($J762="","",YEAR($J762+4-WEEKDAY($J762,2))&amp;"-S"&amp;TEXT(_xlfn.ISOWEEKNUM($J762),"00"))</f>
        <v/>
      </c>
      <c r="P762" s="24">
        <f>IF($J762="","",YEAR($J762))</f>
        <v/>
      </c>
      <c r="Q762" s="24">
        <f>IF($J762="","",MONTH($J762))</f>
        <v/>
      </c>
      <c r="R762" s="24">
        <f>IF($J762="","",$P762&amp;"-"&amp;TEXT($Q762,"00"))</f>
        <v/>
      </c>
      <c r="S762" s="24">
        <f>IF($J762="","",INDEX(lista_dias,WEEKDAY($J762,2)))</f>
        <v/>
      </c>
      <c r="T762" s="24">
        <f>IF($J762="","",IFERROR(INDEX('CALENDARIO'!$C$15:$C$214,MATCH(TEXT($J762,"yyyy-mm-dd")&amp;"|"&amp;$Y762&amp;"|"&amp;$Z762,'CALENDARIO'!$G$15:$G$214,0)),IFERROR(INDEX('CALENDARIO'!$C$15:$C$214,MATCH(TEXT($J762,"yyyy-mm-dd")&amp;"|"&amp;$Y762&amp;"|",'CALENDARIO'!$G$15:$G$214,0)),IFERROR(INDEX('CALENDARIO'!$C$15:$C$214,MATCH(TEXT($J762,"yyyy-mm-dd")&amp;"||",'CALENDARIO'!$G$15:$G$214,0)),INDEX(patronHabil,WEEKDAY($J762,2))))))</f>
        <v/>
      </c>
      <c r="U762" s="24">
        <f>IF($I762="","",IFERROR(INDEX('CAT_TIPOS_OT'!$C$4:$C$23,MATCH($I762,'CAT_TIPOS_OT'!$A$4:$A$23,0)),"sin_clasificar"))</f>
        <v/>
      </c>
      <c r="V762" s="24">
        <f>IF($I762="","",IF(IFERROR(INDEX('CAT_TIPOS_OT'!$D$4:$D$23,MATCH($I762,'CAT_TIPOS_OT'!$A$4:$A$23,0)),"SIN CLASIFICAR")="","SIN CLASIFICAR",IFERROR(INDEX('CAT_TIPOS_OT'!$D$4:$D$23,MATCH($I762,'CAT_TIPOS_OT'!$A$4:$A$23,0)),"SIN CLASIFICAR")))</f>
        <v/>
      </c>
      <c r="W762" s="24">
        <f>IF($H762="","",IF(IFERROR(INDEX('CAT_ACTIVIDADES'!$F$4:$F$26,MATCH($H762,'CAT_ACTIVIDADES'!$A$4:$A$26,0)),"")=0,"",IFERROR(INDEX('CAT_ACTIVIDADES'!$F$4:$F$26,MATCH($H762,'CAT_ACTIVIDADES'!$A$4:$A$26,0)),"")))</f>
        <v/>
      </c>
      <c r="X762" s="24">
        <f>IF($F762="","",IFERROR(INDEX('CAT_CENTROS_COSTO'!$F$4:$F$28,MATCH($F762,'CAT_CENTROS_COSTO'!$A$4:$A$28,0)),"(sin catálogo)"))</f>
        <v/>
      </c>
      <c r="Y762" s="24">
        <f>IF($F762="","",IFERROR(INDEX('CAT_CENTROS_COSTO'!$D$4:$D$28,MATCH($F762,'CAT_CENTROS_COSTO'!$A$4:$A$28,0)),"(sin catálogo)"))</f>
        <v/>
      </c>
      <c r="Z762" s="24">
        <f>IF($F762="","",IF((IFERROR(INDEX('CAT_CENTROS_COSTO'!$E$4:$E$28,MATCH($F762,'CAT_CENTROS_COSTO'!$A$4:$A$28,0)),""))&lt;&gt;"",IFERROR(INDEX('CAT_CENTROS_COSTO'!$E$4:$E$28,MATCH($F762,'CAT_CENTROS_COSTO'!$A$4:$A$28,0)),""),$Y762))</f>
        <v/>
      </c>
      <c r="AA762" s="24">
        <f>IF($F762="","",IFERROR(INDEX('CAT_CENTROS_COSTO'!$G$4:$G$28,MATCH($F762,'CAT_CENTROS_COSTO'!$A$4:$A$28,0)),"(sin catálogo)"))</f>
        <v/>
      </c>
      <c r="AB762" s="24">
        <f>IF($G762="","",IFERROR(INDEX('CAT_PUESTOS'!$B$4:$B$23,MATCH($G762,'CAT_PUESTOS'!$A$4:$A$23,0)),"(sin catálogo)"))</f>
        <v/>
      </c>
      <c r="AC762" s="24">
        <f>IF($H762="","",IFERROR(INDEX('CAT_ACTIVIDADES'!$B$4:$B$26,MATCH($H762,'CAT_ACTIVIDADES'!$A$4:$A$26,0)),"(sin catálogo)"))</f>
        <v/>
      </c>
      <c r="AD762" s="26">
        <f>IF($J762="","",TODAY()-$J762)</f>
        <v/>
      </c>
      <c r="AE762" s="26">
        <f>IF($J762="","",IF($J762&lt;=TODAY(),COUNTIFS(cal_fechas,"&gt;="&amp;$J762,cal_fechas,"&lt;"&amp;TODAY(),cal_habil,"sí"),-COUNTIFS(cal_fechas,"&gt;="&amp;TODAY(),cal_fechas,"&lt;"&amp;$J762,cal_habil,"sí")))</f>
        <v/>
      </c>
      <c r="AF762" s="24">
        <f>IF($AE762="","",IF($AE762&lt;0,"FUTURO",IF($AE762&gt;p_dias_backlog_max,"BACKLOG","MES CORRIENTE")))</f>
        <v/>
      </c>
      <c r="AG762" s="24">
        <f>IF($AE762="",FALSE,AND($AE762&gt;p_dias_backlog_min,$AE762&lt;=p_dias_backlog_max))</f>
        <v/>
      </c>
      <c r="AH762" s="4" t="n"/>
      <c r="AI762" s="24">
        <f>IF($AH762="","",IF((IFERROR(INDEX('ASIGNACIONES'!$J$4:$J$451,MATCH($O762&amp;"|"&amp;$S762&amp;"|"&amp;$AH762,'ASIGNACIONES'!$N$4:$N$451,0)),""))=0,"",IFERROR(INDEX('ASIGNACIONES'!$J$4:$J$451,MATCH($O762&amp;"|"&amp;$S762&amp;"|"&amp;$AH762,'ASIGNACIONES'!$N$4:$N$451,0)),"")))</f>
        <v/>
      </c>
      <c r="AJ762" s="42">
        <f>IF($AH762="","",SUMIFS('ORDENES'!$M$4:$M$1203,'ORDENES'!$AH$4:$AH$1203,$AH762,'ORDENES'!$O$4:$O$1203,$O762,'ORDENES'!$S$4:$S$1203,$S762))</f>
        <v/>
      </c>
      <c r="AK762" s="42">
        <f>IF($AJ762="","",p_factor_productividad*IFERROR(INDEX('ASIGNACIONES'!$M$4:$M$451,MATCH($O762&amp;"|"&amp;$S762&amp;"|"&amp;$AH762,'ASIGNACIONES'!$N$4:$N$451,0)),0)-$AJ762)</f>
        <v/>
      </c>
      <c r="AL762" s="32">
        <f>IF($A762="","",IFERROR(INDEX('2_IMPORTAR_EJECUCION'!$F$9:$F$1208,MATCH($AU762,'2_IMPORTAR_EJECUCION'!$J$9:$J$1208,0)),0))</f>
        <v/>
      </c>
      <c r="AM762" s="32">
        <f>IF($A762="","",MAX(0,IFERROR(INDEX('2_IMPORTAR_EJECUCION'!$H$9:$H$1208,MATCH($AU762,'2_IMPORTAR_EJECUCION'!$J$9:$J$1208,0)),0)-$AL762))</f>
        <v/>
      </c>
      <c r="AN762" s="32">
        <f>IF($A762="","",$AL762+$AM762)</f>
        <v/>
      </c>
      <c r="AO762" s="24">
        <f>IF($A762="","",IF(OR((IFERROR(INDEX('CAT_ACTIVIDADES'!$D$4:$D$26,MATCH($H762,'CAT_ACTIVIDADES'!$A$4:$A$26,0)),""))=0,(IFERROR(INDEX('CAT_ACTIVIDADES'!$D$4:$D$26,MATCH($H762,'CAT_ACTIVIDADES'!$A$4:$A$26,0)),""))=""),"SIN CLASIFICAR",IFERROR(INDEX('CAT_ACTIVIDADES'!$D$4:$D$26,MATCH($H762,'CAT_ACTIVIDADES'!$A$4:$A$26,0)),"")))</f>
        <v/>
      </c>
      <c r="AP762" s="4" t="n"/>
      <c r="AQ762" s="4" t="n"/>
      <c r="AR762" s="4" t="n"/>
      <c r="AS762" s="24">
        <f>IF($AR762="","",HYPERLINK(p_ruta_base_checklists&amp;$AR762,"abrir"))</f>
        <v/>
      </c>
      <c r="AT762" s="4" t="n"/>
      <c r="AU762" s="24">
        <f>IF($A762="","",$A762&amp;IF($B762="","0010",$B762))</f>
        <v/>
      </c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41" t="n"/>
      <c r="K763" s="5" t="n"/>
      <c r="L763" s="18" t="n"/>
      <c r="M763" s="24">
        <f>IF($A763="","",IFERROR(INDEX('AJUSTES'!$B$4:$B$303,MATCH($AU763,'AJUSTES'!$A$4:$A$303,0)),IF($K763="","",$K763)))</f>
        <v/>
      </c>
      <c r="N763" s="24">
        <f>IF($A763="","",IFERROR(INDEX('CAT_ESTADOS_ERP'!$B$4:$B$22,MATCH(IFERROR(INDEX('2_IMPORTAR_EJECUCION'!$C$9:$C$1208,MATCH($AU763,'2_IMPORTAR_EJECUCION'!$J$9:$J$1208,0)),""),'CAT_ESTADOS_ERP'!$A$4:$A$22,0)),"Pendiente"))</f>
        <v/>
      </c>
      <c r="O763" s="24">
        <f>IF($J763="","",YEAR($J763+4-WEEKDAY($J763,2))&amp;"-S"&amp;TEXT(_xlfn.ISOWEEKNUM($J763),"00"))</f>
        <v/>
      </c>
      <c r="P763" s="24">
        <f>IF($J763="","",YEAR($J763))</f>
        <v/>
      </c>
      <c r="Q763" s="24">
        <f>IF($J763="","",MONTH($J763))</f>
        <v/>
      </c>
      <c r="R763" s="24">
        <f>IF($J763="","",$P763&amp;"-"&amp;TEXT($Q763,"00"))</f>
        <v/>
      </c>
      <c r="S763" s="24">
        <f>IF($J763="","",INDEX(lista_dias,WEEKDAY($J763,2)))</f>
        <v/>
      </c>
      <c r="T763" s="24">
        <f>IF($J763="","",IFERROR(INDEX('CALENDARIO'!$C$15:$C$214,MATCH(TEXT($J763,"yyyy-mm-dd")&amp;"|"&amp;$Y763&amp;"|"&amp;$Z763,'CALENDARIO'!$G$15:$G$214,0)),IFERROR(INDEX('CALENDARIO'!$C$15:$C$214,MATCH(TEXT($J763,"yyyy-mm-dd")&amp;"|"&amp;$Y763&amp;"|",'CALENDARIO'!$G$15:$G$214,0)),IFERROR(INDEX('CALENDARIO'!$C$15:$C$214,MATCH(TEXT($J763,"yyyy-mm-dd")&amp;"||",'CALENDARIO'!$G$15:$G$214,0)),INDEX(patronHabil,WEEKDAY($J763,2))))))</f>
        <v/>
      </c>
      <c r="U763" s="24">
        <f>IF($I763="","",IFERROR(INDEX('CAT_TIPOS_OT'!$C$4:$C$23,MATCH($I763,'CAT_TIPOS_OT'!$A$4:$A$23,0)),"sin_clasificar"))</f>
        <v/>
      </c>
      <c r="V763" s="24">
        <f>IF($I763="","",IF(IFERROR(INDEX('CAT_TIPOS_OT'!$D$4:$D$23,MATCH($I763,'CAT_TIPOS_OT'!$A$4:$A$23,0)),"SIN CLASIFICAR")="","SIN CLASIFICAR",IFERROR(INDEX('CAT_TIPOS_OT'!$D$4:$D$23,MATCH($I763,'CAT_TIPOS_OT'!$A$4:$A$23,0)),"SIN CLASIFICAR")))</f>
        <v/>
      </c>
      <c r="W763" s="24">
        <f>IF($H763="","",IF(IFERROR(INDEX('CAT_ACTIVIDADES'!$F$4:$F$26,MATCH($H763,'CAT_ACTIVIDADES'!$A$4:$A$26,0)),"")=0,"",IFERROR(INDEX('CAT_ACTIVIDADES'!$F$4:$F$26,MATCH($H763,'CAT_ACTIVIDADES'!$A$4:$A$26,0)),"")))</f>
        <v/>
      </c>
      <c r="X763" s="24">
        <f>IF($F763="","",IFERROR(INDEX('CAT_CENTROS_COSTO'!$F$4:$F$28,MATCH($F763,'CAT_CENTROS_COSTO'!$A$4:$A$28,0)),"(sin catálogo)"))</f>
        <v/>
      </c>
      <c r="Y763" s="24">
        <f>IF($F763="","",IFERROR(INDEX('CAT_CENTROS_COSTO'!$D$4:$D$28,MATCH($F763,'CAT_CENTROS_COSTO'!$A$4:$A$28,0)),"(sin catálogo)"))</f>
        <v/>
      </c>
      <c r="Z763" s="24">
        <f>IF($F763="","",IF((IFERROR(INDEX('CAT_CENTROS_COSTO'!$E$4:$E$28,MATCH($F763,'CAT_CENTROS_COSTO'!$A$4:$A$28,0)),""))&lt;&gt;"",IFERROR(INDEX('CAT_CENTROS_COSTO'!$E$4:$E$28,MATCH($F763,'CAT_CENTROS_COSTO'!$A$4:$A$28,0)),""),$Y763))</f>
        <v/>
      </c>
      <c r="AA763" s="24">
        <f>IF($F763="","",IFERROR(INDEX('CAT_CENTROS_COSTO'!$G$4:$G$28,MATCH($F763,'CAT_CENTROS_COSTO'!$A$4:$A$28,0)),"(sin catálogo)"))</f>
        <v/>
      </c>
      <c r="AB763" s="24">
        <f>IF($G763="","",IFERROR(INDEX('CAT_PUESTOS'!$B$4:$B$23,MATCH($G763,'CAT_PUESTOS'!$A$4:$A$23,0)),"(sin catálogo)"))</f>
        <v/>
      </c>
      <c r="AC763" s="24">
        <f>IF($H763="","",IFERROR(INDEX('CAT_ACTIVIDADES'!$B$4:$B$26,MATCH($H763,'CAT_ACTIVIDADES'!$A$4:$A$26,0)),"(sin catálogo)"))</f>
        <v/>
      </c>
      <c r="AD763" s="26">
        <f>IF($J763="","",TODAY()-$J763)</f>
        <v/>
      </c>
      <c r="AE763" s="26">
        <f>IF($J763="","",IF($J763&lt;=TODAY(),COUNTIFS(cal_fechas,"&gt;="&amp;$J763,cal_fechas,"&lt;"&amp;TODAY(),cal_habil,"sí"),-COUNTIFS(cal_fechas,"&gt;="&amp;TODAY(),cal_fechas,"&lt;"&amp;$J763,cal_habil,"sí")))</f>
        <v/>
      </c>
      <c r="AF763" s="24">
        <f>IF($AE763="","",IF($AE763&lt;0,"FUTURO",IF($AE763&gt;p_dias_backlog_max,"BACKLOG","MES CORRIENTE")))</f>
        <v/>
      </c>
      <c r="AG763" s="24">
        <f>IF($AE763="",FALSE,AND($AE763&gt;p_dias_backlog_min,$AE763&lt;=p_dias_backlog_max))</f>
        <v/>
      </c>
      <c r="AH763" s="4" t="n"/>
      <c r="AI763" s="24">
        <f>IF($AH763="","",IF((IFERROR(INDEX('ASIGNACIONES'!$J$4:$J$451,MATCH($O763&amp;"|"&amp;$S763&amp;"|"&amp;$AH763,'ASIGNACIONES'!$N$4:$N$451,0)),""))=0,"",IFERROR(INDEX('ASIGNACIONES'!$J$4:$J$451,MATCH($O763&amp;"|"&amp;$S763&amp;"|"&amp;$AH763,'ASIGNACIONES'!$N$4:$N$451,0)),"")))</f>
        <v/>
      </c>
      <c r="AJ763" s="42">
        <f>IF($AH763="","",SUMIFS('ORDENES'!$M$4:$M$1203,'ORDENES'!$AH$4:$AH$1203,$AH763,'ORDENES'!$O$4:$O$1203,$O763,'ORDENES'!$S$4:$S$1203,$S763))</f>
        <v/>
      </c>
      <c r="AK763" s="42">
        <f>IF($AJ763="","",p_factor_productividad*IFERROR(INDEX('ASIGNACIONES'!$M$4:$M$451,MATCH($O763&amp;"|"&amp;$S763&amp;"|"&amp;$AH763,'ASIGNACIONES'!$N$4:$N$451,0)),0)-$AJ763)</f>
        <v/>
      </c>
      <c r="AL763" s="32">
        <f>IF($A763="","",IFERROR(INDEX('2_IMPORTAR_EJECUCION'!$F$9:$F$1208,MATCH($AU763,'2_IMPORTAR_EJECUCION'!$J$9:$J$1208,0)),0))</f>
        <v/>
      </c>
      <c r="AM763" s="32">
        <f>IF($A763="","",MAX(0,IFERROR(INDEX('2_IMPORTAR_EJECUCION'!$H$9:$H$1208,MATCH($AU763,'2_IMPORTAR_EJECUCION'!$J$9:$J$1208,0)),0)-$AL763))</f>
        <v/>
      </c>
      <c r="AN763" s="32">
        <f>IF($A763="","",$AL763+$AM763)</f>
        <v/>
      </c>
      <c r="AO763" s="24">
        <f>IF($A763="","",IF(OR((IFERROR(INDEX('CAT_ACTIVIDADES'!$D$4:$D$26,MATCH($H763,'CAT_ACTIVIDADES'!$A$4:$A$26,0)),""))=0,(IFERROR(INDEX('CAT_ACTIVIDADES'!$D$4:$D$26,MATCH($H763,'CAT_ACTIVIDADES'!$A$4:$A$26,0)),""))=""),"SIN CLASIFICAR",IFERROR(INDEX('CAT_ACTIVIDADES'!$D$4:$D$26,MATCH($H763,'CAT_ACTIVIDADES'!$A$4:$A$26,0)),"")))</f>
        <v/>
      </c>
      <c r="AP763" s="4" t="n"/>
      <c r="AQ763" s="4" t="n"/>
      <c r="AR763" s="4" t="n"/>
      <c r="AS763" s="24">
        <f>IF($AR763="","",HYPERLINK(p_ruta_base_checklists&amp;$AR763,"abrir"))</f>
        <v/>
      </c>
      <c r="AT763" s="4" t="n"/>
      <c r="AU763" s="24">
        <f>IF($A763="","",$A763&amp;IF($B763="","0010",$B763))</f>
        <v/>
      </c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41" t="n"/>
      <c r="K764" s="5" t="n"/>
      <c r="L764" s="18" t="n"/>
      <c r="M764" s="24">
        <f>IF($A764="","",IFERROR(INDEX('AJUSTES'!$B$4:$B$303,MATCH($AU764,'AJUSTES'!$A$4:$A$303,0)),IF($K764="","",$K764)))</f>
        <v/>
      </c>
      <c r="N764" s="24">
        <f>IF($A764="","",IFERROR(INDEX('CAT_ESTADOS_ERP'!$B$4:$B$22,MATCH(IFERROR(INDEX('2_IMPORTAR_EJECUCION'!$C$9:$C$1208,MATCH($AU764,'2_IMPORTAR_EJECUCION'!$J$9:$J$1208,0)),""),'CAT_ESTADOS_ERP'!$A$4:$A$22,0)),"Pendiente"))</f>
        <v/>
      </c>
      <c r="O764" s="24">
        <f>IF($J764="","",YEAR($J764+4-WEEKDAY($J764,2))&amp;"-S"&amp;TEXT(_xlfn.ISOWEEKNUM($J764),"00"))</f>
        <v/>
      </c>
      <c r="P764" s="24">
        <f>IF($J764="","",YEAR($J764))</f>
        <v/>
      </c>
      <c r="Q764" s="24">
        <f>IF($J764="","",MONTH($J764))</f>
        <v/>
      </c>
      <c r="R764" s="24">
        <f>IF($J764="","",$P764&amp;"-"&amp;TEXT($Q764,"00"))</f>
        <v/>
      </c>
      <c r="S764" s="24">
        <f>IF($J764="","",INDEX(lista_dias,WEEKDAY($J764,2)))</f>
        <v/>
      </c>
      <c r="T764" s="24">
        <f>IF($J764="","",IFERROR(INDEX('CALENDARIO'!$C$15:$C$214,MATCH(TEXT($J764,"yyyy-mm-dd")&amp;"|"&amp;$Y764&amp;"|"&amp;$Z764,'CALENDARIO'!$G$15:$G$214,0)),IFERROR(INDEX('CALENDARIO'!$C$15:$C$214,MATCH(TEXT($J764,"yyyy-mm-dd")&amp;"|"&amp;$Y764&amp;"|",'CALENDARIO'!$G$15:$G$214,0)),IFERROR(INDEX('CALENDARIO'!$C$15:$C$214,MATCH(TEXT($J764,"yyyy-mm-dd")&amp;"||",'CALENDARIO'!$G$15:$G$214,0)),INDEX(patronHabil,WEEKDAY($J764,2))))))</f>
        <v/>
      </c>
      <c r="U764" s="24">
        <f>IF($I764="","",IFERROR(INDEX('CAT_TIPOS_OT'!$C$4:$C$23,MATCH($I764,'CAT_TIPOS_OT'!$A$4:$A$23,0)),"sin_clasificar"))</f>
        <v/>
      </c>
      <c r="V764" s="24">
        <f>IF($I764="","",IF(IFERROR(INDEX('CAT_TIPOS_OT'!$D$4:$D$23,MATCH($I764,'CAT_TIPOS_OT'!$A$4:$A$23,0)),"SIN CLASIFICAR")="","SIN CLASIFICAR",IFERROR(INDEX('CAT_TIPOS_OT'!$D$4:$D$23,MATCH($I764,'CAT_TIPOS_OT'!$A$4:$A$23,0)),"SIN CLASIFICAR")))</f>
        <v/>
      </c>
      <c r="W764" s="24">
        <f>IF($H764="","",IF(IFERROR(INDEX('CAT_ACTIVIDADES'!$F$4:$F$26,MATCH($H764,'CAT_ACTIVIDADES'!$A$4:$A$26,0)),"")=0,"",IFERROR(INDEX('CAT_ACTIVIDADES'!$F$4:$F$26,MATCH($H764,'CAT_ACTIVIDADES'!$A$4:$A$26,0)),"")))</f>
        <v/>
      </c>
      <c r="X764" s="24">
        <f>IF($F764="","",IFERROR(INDEX('CAT_CENTROS_COSTO'!$F$4:$F$28,MATCH($F764,'CAT_CENTROS_COSTO'!$A$4:$A$28,0)),"(sin catálogo)"))</f>
        <v/>
      </c>
      <c r="Y764" s="24">
        <f>IF($F764="","",IFERROR(INDEX('CAT_CENTROS_COSTO'!$D$4:$D$28,MATCH($F764,'CAT_CENTROS_COSTO'!$A$4:$A$28,0)),"(sin catálogo)"))</f>
        <v/>
      </c>
      <c r="Z764" s="24">
        <f>IF($F764="","",IF((IFERROR(INDEX('CAT_CENTROS_COSTO'!$E$4:$E$28,MATCH($F764,'CAT_CENTROS_COSTO'!$A$4:$A$28,0)),""))&lt;&gt;"",IFERROR(INDEX('CAT_CENTROS_COSTO'!$E$4:$E$28,MATCH($F764,'CAT_CENTROS_COSTO'!$A$4:$A$28,0)),""),$Y764))</f>
        <v/>
      </c>
      <c r="AA764" s="24">
        <f>IF($F764="","",IFERROR(INDEX('CAT_CENTROS_COSTO'!$G$4:$G$28,MATCH($F764,'CAT_CENTROS_COSTO'!$A$4:$A$28,0)),"(sin catálogo)"))</f>
        <v/>
      </c>
      <c r="AB764" s="24">
        <f>IF($G764="","",IFERROR(INDEX('CAT_PUESTOS'!$B$4:$B$23,MATCH($G764,'CAT_PUESTOS'!$A$4:$A$23,0)),"(sin catálogo)"))</f>
        <v/>
      </c>
      <c r="AC764" s="24">
        <f>IF($H764="","",IFERROR(INDEX('CAT_ACTIVIDADES'!$B$4:$B$26,MATCH($H764,'CAT_ACTIVIDADES'!$A$4:$A$26,0)),"(sin catálogo)"))</f>
        <v/>
      </c>
      <c r="AD764" s="26">
        <f>IF($J764="","",TODAY()-$J764)</f>
        <v/>
      </c>
      <c r="AE764" s="26">
        <f>IF($J764="","",IF($J764&lt;=TODAY(),COUNTIFS(cal_fechas,"&gt;="&amp;$J764,cal_fechas,"&lt;"&amp;TODAY(),cal_habil,"sí"),-COUNTIFS(cal_fechas,"&gt;="&amp;TODAY(),cal_fechas,"&lt;"&amp;$J764,cal_habil,"sí")))</f>
        <v/>
      </c>
      <c r="AF764" s="24">
        <f>IF($AE764="","",IF($AE764&lt;0,"FUTURO",IF($AE764&gt;p_dias_backlog_max,"BACKLOG","MES CORRIENTE")))</f>
        <v/>
      </c>
      <c r="AG764" s="24">
        <f>IF($AE764="",FALSE,AND($AE764&gt;p_dias_backlog_min,$AE764&lt;=p_dias_backlog_max))</f>
        <v/>
      </c>
      <c r="AH764" s="4" t="n"/>
      <c r="AI764" s="24">
        <f>IF($AH764="","",IF((IFERROR(INDEX('ASIGNACIONES'!$J$4:$J$451,MATCH($O764&amp;"|"&amp;$S764&amp;"|"&amp;$AH764,'ASIGNACIONES'!$N$4:$N$451,0)),""))=0,"",IFERROR(INDEX('ASIGNACIONES'!$J$4:$J$451,MATCH($O764&amp;"|"&amp;$S764&amp;"|"&amp;$AH764,'ASIGNACIONES'!$N$4:$N$451,0)),"")))</f>
        <v/>
      </c>
      <c r="AJ764" s="42">
        <f>IF($AH764="","",SUMIFS('ORDENES'!$M$4:$M$1203,'ORDENES'!$AH$4:$AH$1203,$AH764,'ORDENES'!$O$4:$O$1203,$O764,'ORDENES'!$S$4:$S$1203,$S764))</f>
        <v/>
      </c>
      <c r="AK764" s="42">
        <f>IF($AJ764="","",p_factor_productividad*IFERROR(INDEX('ASIGNACIONES'!$M$4:$M$451,MATCH($O764&amp;"|"&amp;$S764&amp;"|"&amp;$AH764,'ASIGNACIONES'!$N$4:$N$451,0)),0)-$AJ764)</f>
        <v/>
      </c>
      <c r="AL764" s="32">
        <f>IF($A764="","",IFERROR(INDEX('2_IMPORTAR_EJECUCION'!$F$9:$F$1208,MATCH($AU764,'2_IMPORTAR_EJECUCION'!$J$9:$J$1208,0)),0))</f>
        <v/>
      </c>
      <c r="AM764" s="32">
        <f>IF($A764="","",MAX(0,IFERROR(INDEX('2_IMPORTAR_EJECUCION'!$H$9:$H$1208,MATCH($AU764,'2_IMPORTAR_EJECUCION'!$J$9:$J$1208,0)),0)-$AL764))</f>
        <v/>
      </c>
      <c r="AN764" s="32">
        <f>IF($A764="","",$AL764+$AM764)</f>
        <v/>
      </c>
      <c r="AO764" s="24">
        <f>IF($A764="","",IF(OR((IFERROR(INDEX('CAT_ACTIVIDADES'!$D$4:$D$26,MATCH($H764,'CAT_ACTIVIDADES'!$A$4:$A$26,0)),""))=0,(IFERROR(INDEX('CAT_ACTIVIDADES'!$D$4:$D$26,MATCH($H764,'CAT_ACTIVIDADES'!$A$4:$A$26,0)),""))=""),"SIN CLASIFICAR",IFERROR(INDEX('CAT_ACTIVIDADES'!$D$4:$D$26,MATCH($H764,'CAT_ACTIVIDADES'!$A$4:$A$26,0)),"")))</f>
        <v/>
      </c>
      <c r="AP764" s="4" t="n"/>
      <c r="AQ764" s="4" t="n"/>
      <c r="AR764" s="4" t="n"/>
      <c r="AS764" s="24">
        <f>IF($AR764="","",HYPERLINK(p_ruta_base_checklists&amp;$AR764,"abrir"))</f>
        <v/>
      </c>
      <c r="AT764" s="4" t="n"/>
      <c r="AU764" s="24">
        <f>IF($A764="","",$A764&amp;IF($B764="","0010",$B764))</f>
        <v/>
      </c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41" t="n"/>
      <c r="K765" s="5" t="n"/>
      <c r="L765" s="18" t="n"/>
      <c r="M765" s="24">
        <f>IF($A765="","",IFERROR(INDEX('AJUSTES'!$B$4:$B$303,MATCH($AU765,'AJUSTES'!$A$4:$A$303,0)),IF($K765="","",$K765)))</f>
        <v/>
      </c>
      <c r="N765" s="24">
        <f>IF($A765="","",IFERROR(INDEX('CAT_ESTADOS_ERP'!$B$4:$B$22,MATCH(IFERROR(INDEX('2_IMPORTAR_EJECUCION'!$C$9:$C$1208,MATCH($AU765,'2_IMPORTAR_EJECUCION'!$J$9:$J$1208,0)),""),'CAT_ESTADOS_ERP'!$A$4:$A$22,0)),"Pendiente"))</f>
        <v/>
      </c>
      <c r="O765" s="24">
        <f>IF($J765="","",YEAR($J765+4-WEEKDAY($J765,2))&amp;"-S"&amp;TEXT(_xlfn.ISOWEEKNUM($J765),"00"))</f>
        <v/>
      </c>
      <c r="P765" s="24">
        <f>IF($J765="","",YEAR($J765))</f>
        <v/>
      </c>
      <c r="Q765" s="24">
        <f>IF($J765="","",MONTH($J765))</f>
        <v/>
      </c>
      <c r="R765" s="24">
        <f>IF($J765="","",$P765&amp;"-"&amp;TEXT($Q765,"00"))</f>
        <v/>
      </c>
      <c r="S765" s="24">
        <f>IF($J765="","",INDEX(lista_dias,WEEKDAY($J765,2)))</f>
        <v/>
      </c>
      <c r="T765" s="24">
        <f>IF($J765="","",IFERROR(INDEX('CALENDARIO'!$C$15:$C$214,MATCH(TEXT($J765,"yyyy-mm-dd")&amp;"|"&amp;$Y765&amp;"|"&amp;$Z765,'CALENDARIO'!$G$15:$G$214,0)),IFERROR(INDEX('CALENDARIO'!$C$15:$C$214,MATCH(TEXT($J765,"yyyy-mm-dd")&amp;"|"&amp;$Y765&amp;"|",'CALENDARIO'!$G$15:$G$214,0)),IFERROR(INDEX('CALENDARIO'!$C$15:$C$214,MATCH(TEXT($J765,"yyyy-mm-dd")&amp;"||",'CALENDARIO'!$G$15:$G$214,0)),INDEX(patronHabil,WEEKDAY($J765,2))))))</f>
        <v/>
      </c>
      <c r="U765" s="24">
        <f>IF($I765="","",IFERROR(INDEX('CAT_TIPOS_OT'!$C$4:$C$23,MATCH($I765,'CAT_TIPOS_OT'!$A$4:$A$23,0)),"sin_clasificar"))</f>
        <v/>
      </c>
      <c r="V765" s="24">
        <f>IF($I765="","",IF(IFERROR(INDEX('CAT_TIPOS_OT'!$D$4:$D$23,MATCH($I765,'CAT_TIPOS_OT'!$A$4:$A$23,0)),"SIN CLASIFICAR")="","SIN CLASIFICAR",IFERROR(INDEX('CAT_TIPOS_OT'!$D$4:$D$23,MATCH($I765,'CAT_TIPOS_OT'!$A$4:$A$23,0)),"SIN CLASIFICAR")))</f>
        <v/>
      </c>
      <c r="W765" s="24">
        <f>IF($H765="","",IF(IFERROR(INDEX('CAT_ACTIVIDADES'!$F$4:$F$26,MATCH($H765,'CAT_ACTIVIDADES'!$A$4:$A$26,0)),"")=0,"",IFERROR(INDEX('CAT_ACTIVIDADES'!$F$4:$F$26,MATCH($H765,'CAT_ACTIVIDADES'!$A$4:$A$26,0)),"")))</f>
        <v/>
      </c>
      <c r="X765" s="24">
        <f>IF($F765="","",IFERROR(INDEX('CAT_CENTROS_COSTO'!$F$4:$F$28,MATCH($F765,'CAT_CENTROS_COSTO'!$A$4:$A$28,0)),"(sin catálogo)"))</f>
        <v/>
      </c>
      <c r="Y765" s="24">
        <f>IF($F765="","",IFERROR(INDEX('CAT_CENTROS_COSTO'!$D$4:$D$28,MATCH($F765,'CAT_CENTROS_COSTO'!$A$4:$A$28,0)),"(sin catálogo)"))</f>
        <v/>
      </c>
      <c r="Z765" s="24">
        <f>IF($F765="","",IF((IFERROR(INDEX('CAT_CENTROS_COSTO'!$E$4:$E$28,MATCH($F765,'CAT_CENTROS_COSTO'!$A$4:$A$28,0)),""))&lt;&gt;"",IFERROR(INDEX('CAT_CENTROS_COSTO'!$E$4:$E$28,MATCH($F765,'CAT_CENTROS_COSTO'!$A$4:$A$28,0)),""),$Y765))</f>
        <v/>
      </c>
      <c r="AA765" s="24">
        <f>IF($F765="","",IFERROR(INDEX('CAT_CENTROS_COSTO'!$G$4:$G$28,MATCH($F765,'CAT_CENTROS_COSTO'!$A$4:$A$28,0)),"(sin catálogo)"))</f>
        <v/>
      </c>
      <c r="AB765" s="24">
        <f>IF($G765="","",IFERROR(INDEX('CAT_PUESTOS'!$B$4:$B$23,MATCH($G765,'CAT_PUESTOS'!$A$4:$A$23,0)),"(sin catálogo)"))</f>
        <v/>
      </c>
      <c r="AC765" s="24">
        <f>IF($H765="","",IFERROR(INDEX('CAT_ACTIVIDADES'!$B$4:$B$26,MATCH($H765,'CAT_ACTIVIDADES'!$A$4:$A$26,0)),"(sin catálogo)"))</f>
        <v/>
      </c>
      <c r="AD765" s="26">
        <f>IF($J765="","",TODAY()-$J765)</f>
        <v/>
      </c>
      <c r="AE765" s="26">
        <f>IF($J765="","",IF($J765&lt;=TODAY(),COUNTIFS(cal_fechas,"&gt;="&amp;$J765,cal_fechas,"&lt;"&amp;TODAY(),cal_habil,"sí"),-COUNTIFS(cal_fechas,"&gt;="&amp;TODAY(),cal_fechas,"&lt;"&amp;$J765,cal_habil,"sí")))</f>
        <v/>
      </c>
      <c r="AF765" s="24">
        <f>IF($AE765="","",IF($AE765&lt;0,"FUTURO",IF($AE765&gt;p_dias_backlog_max,"BACKLOG","MES CORRIENTE")))</f>
        <v/>
      </c>
      <c r="AG765" s="24">
        <f>IF($AE765="",FALSE,AND($AE765&gt;p_dias_backlog_min,$AE765&lt;=p_dias_backlog_max))</f>
        <v/>
      </c>
      <c r="AH765" s="4" t="n"/>
      <c r="AI765" s="24">
        <f>IF($AH765="","",IF((IFERROR(INDEX('ASIGNACIONES'!$J$4:$J$451,MATCH($O765&amp;"|"&amp;$S765&amp;"|"&amp;$AH765,'ASIGNACIONES'!$N$4:$N$451,0)),""))=0,"",IFERROR(INDEX('ASIGNACIONES'!$J$4:$J$451,MATCH($O765&amp;"|"&amp;$S765&amp;"|"&amp;$AH765,'ASIGNACIONES'!$N$4:$N$451,0)),"")))</f>
        <v/>
      </c>
      <c r="AJ765" s="42">
        <f>IF($AH765="","",SUMIFS('ORDENES'!$M$4:$M$1203,'ORDENES'!$AH$4:$AH$1203,$AH765,'ORDENES'!$O$4:$O$1203,$O765,'ORDENES'!$S$4:$S$1203,$S765))</f>
        <v/>
      </c>
      <c r="AK765" s="42">
        <f>IF($AJ765="","",p_factor_productividad*IFERROR(INDEX('ASIGNACIONES'!$M$4:$M$451,MATCH($O765&amp;"|"&amp;$S765&amp;"|"&amp;$AH765,'ASIGNACIONES'!$N$4:$N$451,0)),0)-$AJ765)</f>
        <v/>
      </c>
      <c r="AL765" s="32">
        <f>IF($A765="","",IFERROR(INDEX('2_IMPORTAR_EJECUCION'!$F$9:$F$1208,MATCH($AU765,'2_IMPORTAR_EJECUCION'!$J$9:$J$1208,0)),0))</f>
        <v/>
      </c>
      <c r="AM765" s="32">
        <f>IF($A765="","",MAX(0,IFERROR(INDEX('2_IMPORTAR_EJECUCION'!$H$9:$H$1208,MATCH($AU765,'2_IMPORTAR_EJECUCION'!$J$9:$J$1208,0)),0)-$AL765))</f>
        <v/>
      </c>
      <c r="AN765" s="32">
        <f>IF($A765="","",$AL765+$AM765)</f>
        <v/>
      </c>
      <c r="AO765" s="24">
        <f>IF($A765="","",IF(OR((IFERROR(INDEX('CAT_ACTIVIDADES'!$D$4:$D$26,MATCH($H765,'CAT_ACTIVIDADES'!$A$4:$A$26,0)),""))=0,(IFERROR(INDEX('CAT_ACTIVIDADES'!$D$4:$D$26,MATCH($H765,'CAT_ACTIVIDADES'!$A$4:$A$26,0)),""))=""),"SIN CLASIFICAR",IFERROR(INDEX('CAT_ACTIVIDADES'!$D$4:$D$26,MATCH($H765,'CAT_ACTIVIDADES'!$A$4:$A$26,0)),"")))</f>
        <v/>
      </c>
      <c r="AP765" s="4" t="n"/>
      <c r="AQ765" s="4" t="n"/>
      <c r="AR765" s="4" t="n"/>
      <c r="AS765" s="24">
        <f>IF($AR765="","",HYPERLINK(p_ruta_base_checklists&amp;$AR765,"abrir"))</f>
        <v/>
      </c>
      <c r="AT765" s="4" t="n"/>
      <c r="AU765" s="24">
        <f>IF($A765="","",$A765&amp;IF($B765="","0010",$B765))</f>
        <v/>
      </c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41" t="n"/>
      <c r="K766" s="5" t="n"/>
      <c r="L766" s="18" t="n"/>
      <c r="M766" s="24">
        <f>IF($A766="","",IFERROR(INDEX('AJUSTES'!$B$4:$B$303,MATCH($AU766,'AJUSTES'!$A$4:$A$303,0)),IF($K766="","",$K766)))</f>
        <v/>
      </c>
      <c r="N766" s="24">
        <f>IF($A766="","",IFERROR(INDEX('CAT_ESTADOS_ERP'!$B$4:$B$22,MATCH(IFERROR(INDEX('2_IMPORTAR_EJECUCION'!$C$9:$C$1208,MATCH($AU766,'2_IMPORTAR_EJECUCION'!$J$9:$J$1208,0)),""),'CAT_ESTADOS_ERP'!$A$4:$A$22,0)),"Pendiente"))</f>
        <v/>
      </c>
      <c r="O766" s="24">
        <f>IF($J766="","",YEAR($J766+4-WEEKDAY($J766,2))&amp;"-S"&amp;TEXT(_xlfn.ISOWEEKNUM($J766),"00"))</f>
        <v/>
      </c>
      <c r="P766" s="24">
        <f>IF($J766="","",YEAR($J766))</f>
        <v/>
      </c>
      <c r="Q766" s="24">
        <f>IF($J766="","",MONTH($J766))</f>
        <v/>
      </c>
      <c r="R766" s="24">
        <f>IF($J766="","",$P766&amp;"-"&amp;TEXT($Q766,"00"))</f>
        <v/>
      </c>
      <c r="S766" s="24">
        <f>IF($J766="","",INDEX(lista_dias,WEEKDAY($J766,2)))</f>
        <v/>
      </c>
      <c r="T766" s="24">
        <f>IF($J766="","",IFERROR(INDEX('CALENDARIO'!$C$15:$C$214,MATCH(TEXT($J766,"yyyy-mm-dd")&amp;"|"&amp;$Y766&amp;"|"&amp;$Z766,'CALENDARIO'!$G$15:$G$214,0)),IFERROR(INDEX('CALENDARIO'!$C$15:$C$214,MATCH(TEXT($J766,"yyyy-mm-dd")&amp;"|"&amp;$Y766&amp;"|",'CALENDARIO'!$G$15:$G$214,0)),IFERROR(INDEX('CALENDARIO'!$C$15:$C$214,MATCH(TEXT($J766,"yyyy-mm-dd")&amp;"||",'CALENDARIO'!$G$15:$G$214,0)),INDEX(patronHabil,WEEKDAY($J766,2))))))</f>
        <v/>
      </c>
      <c r="U766" s="24">
        <f>IF($I766="","",IFERROR(INDEX('CAT_TIPOS_OT'!$C$4:$C$23,MATCH($I766,'CAT_TIPOS_OT'!$A$4:$A$23,0)),"sin_clasificar"))</f>
        <v/>
      </c>
      <c r="V766" s="24">
        <f>IF($I766="","",IF(IFERROR(INDEX('CAT_TIPOS_OT'!$D$4:$D$23,MATCH($I766,'CAT_TIPOS_OT'!$A$4:$A$23,0)),"SIN CLASIFICAR")="","SIN CLASIFICAR",IFERROR(INDEX('CAT_TIPOS_OT'!$D$4:$D$23,MATCH($I766,'CAT_TIPOS_OT'!$A$4:$A$23,0)),"SIN CLASIFICAR")))</f>
        <v/>
      </c>
      <c r="W766" s="24">
        <f>IF($H766="","",IF(IFERROR(INDEX('CAT_ACTIVIDADES'!$F$4:$F$26,MATCH($H766,'CAT_ACTIVIDADES'!$A$4:$A$26,0)),"")=0,"",IFERROR(INDEX('CAT_ACTIVIDADES'!$F$4:$F$26,MATCH($H766,'CAT_ACTIVIDADES'!$A$4:$A$26,0)),"")))</f>
        <v/>
      </c>
      <c r="X766" s="24">
        <f>IF($F766="","",IFERROR(INDEX('CAT_CENTROS_COSTO'!$F$4:$F$28,MATCH($F766,'CAT_CENTROS_COSTO'!$A$4:$A$28,0)),"(sin catálogo)"))</f>
        <v/>
      </c>
      <c r="Y766" s="24">
        <f>IF($F766="","",IFERROR(INDEX('CAT_CENTROS_COSTO'!$D$4:$D$28,MATCH($F766,'CAT_CENTROS_COSTO'!$A$4:$A$28,0)),"(sin catálogo)"))</f>
        <v/>
      </c>
      <c r="Z766" s="24">
        <f>IF($F766="","",IF((IFERROR(INDEX('CAT_CENTROS_COSTO'!$E$4:$E$28,MATCH($F766,'CAT_CENTROS_COSTO'!$A$4:$A$28,0)),""))&lt;&gt;"",IFERROR(INDEX('CAT_CENTROS_COSTO'!$E$4:$E$28,MATCH($F766,'CAT_CENTROS_COSTO'!$A$4:$A$28,0)),""),$Y766))</f>
        <v/>
      </c>
      <c r="AA766" s="24">
        <f>IF($F766="","",IFERROR(INDEX('CAT_CENTROS_COSTO'!$G$4:$G$28,MATCH($F766,'CAT_CENTROS_COSTO'!$A$4:$A$28,0)),"(sin catálogo)"))</f>
        <v/>
      </c>
      <c r="AB766" s="24">
        <f>IF($G766="","",IFERROR(INDEX('CAT_PUESTOS'!$B$4:$B$23,MATCH($G766,'CAT_PUESTOS'!$A$4:$A$23,0)),"(sin catálogo)"))</f>
        <v/>
      </c>
      <c r="AC766" s="24">
        <f>IF($H766="","",IFERROR(INDEX('CAT_ACTIVIDADES'!$B$4:$B$26,MATCH($H766,'CAT_ACTIVIDADES'!$A$4:$A$26,0)),"(sin catálogo)"))</f>
        <v/>
      </c>
      <c r="AD766" s="26">
        <f>IF($J766="","",TODAY()-$J766)</f>
        <v/>
      </c>
      <c r="AE766" s="26">
        <f>IF($J766="","",IF($J766&lt;=TODAY(),COUNTIFS(cal_fechas,"&gt;="&amp;$J766,cal_fechas,"&lt;"&amp;TODAY(),cal_habil,"sí"),-COUNTIFS(cal_fechas,"&gt;="&amp;TODAY(),cal_fechas,"&lt;"&amp;$J766,cal_habil,"sí")))</f>
        <v/>
      </c>
      <c r="AF766" s="24">
        <f>IF($AE766="","",IF($AE766&lt;0,"FUTURO",IF($AE766&gt;p_dias_backlog_max,"BACKLOG","MES CORRIENTE")))</f>
        <v/>
      </c>
      <c r="AG766" s="24">
        <f>IF($AE766="",FALSE,AND($AE766&gt;p_dias_backlog_min,$AE766&lt;=p_dias_backlog_max))</f>
        <v/>
      </c>
      <c r="AH766" s="4" t="n"/>
      <c r="AI766" s="24">
        <f>IF($AH766="","",IF((IFERROR(INDEX('ASIGNACIONES'!$J$4:$J$451,MATCH($O766&amp;"|"&amp;$S766&amp;"|"&amp;$AH766,'ASIGNACIONES'!$N$4:$N$451,0)),""))=0,"",IFERROR(INDEX('ASIGNACIONES'!$J$4:$J$451,MATCH($O766&amp;"|"&amp;$S766&amp;"|"&amp;$AH766,'ASIGNACIONES'!$N$4:$N$451,0)),"")))</f>
        <v/>
      </c>
      <c r="AJ766" s="42">
        <f>IF($AH766="","",SUMIFS('ORDENES'!$M$4:$M$1203,'ORDENES'!$AH$4:$AH$1203,$AH766,'ORDENES'!$O$4:$O$1203,$O766,'ORDENES'!$S$4:$S$1203,$S766))</f>
        <v/>
      </c>
      <c r="AK766" s="42">
        <f>IF($AJ766="","",p_factor_productividad*IFERROR(INDEX('ASIGNACIONES'!$M$4:$M$451,MATCH($O766&amp;"|"&amp;$S766&amp;"|"&amp;$AH766,'ASIGNACIONES'!$N$4:$N$451,0)),0)-$AJ766)</f>
        <v/>
      </c>
      <c r="AL766" s="32">
        <f>IF($A766="","",IFERROR(INDEX('2_IMPORTAR_EJECUCION'!$F$9:$F$1208,MATCH($AU766,'2_IMPORTAR_EJECUCION'!$J$9:$J$1208,0)),0))</f>
        <v/>
      </c>
      <c r="AM766" s="32">
        <f>IF($A766="","",MAX(0,IFERROR(INDEX('2_IMPORTAR_EJECUCION'!$H$9:$H$1208,MATCH($AU766,'2_IMPORTAR_EJECUCION'!$J$9:$J$1208,0)),0)-$AL766))</f>
        <v/>
      </c>
      <c r="AN766" s="32">
        <f>IF($A766="","",$AL766+$AM766)</f>
        <v/>
      </c>
      <c r="AO766" s="24">
        <f>IF($A766="","",IF(OR((IFERROR(INDEX('CAT_ACTIVIDADES'!$D$4:$D$26,MATCH($H766,'CAT_ACTIVIDADES'!$A$4:$A$26,0)),""))=0,(IFERROR(INDEX('CAT_ACTIVIDADES'!$D$4:$D$26,MATCH($H766,'CAT_ACTIVIDADES'!$A$4:$A$26,0)),""))=""),"SIN CLASIFICAR",IFERROR(INDEX('CAT_ACTIVIDADES'!$D$4:$D$26,MATCH($H766,'CAT_ACTIVIDADES'!$A$4:$A$26,0)),"")))</f>
        <v/>
      </c>
      <c r="AP766" s="4" t="n"/>
      <c r="AQ766" s="4" t="n"/>
      <c r="AR766" s="4" t="n"/>
      <c r="AS766" s="24">
        <f>IF($AR766="","",HYPERLINK(p_ruta_base_checklists&amp;$AR766,"abrir"))</f>
        <v/>
      </c>
      <c r="AT766" s="4" t="n"/>
      <c r="AU766" s="24">
        <f>IF($A766="","",$A766&amp;IF($B766="","0010",$B766))</f>
        <v/>
      </c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41" t="n"/>
      <c r="K767" s="5" t="n"/>
      <c r="L767" s="18" t="n"/>
      <c r="M767" s="24">
        <f>IF($A767="","",IFERROR(INDEX('AJUSTES'!$B$4:$B$303,MATCH($AU767,'AJUSTES'!$A$4:$A$303,0)),IF($K767="","",$K767)))</f>
        <v/>
      </c>
      <c r="N767" s="24">
        <f>IF($A767="","",IFERROR(INDEX('CAT_ESTADOS_ERP'!$B$4:$B$22,MATCH(IFERROR(INDEX('2_IMPORTAR_EJECUCION'!$C$9:$C$1208,MATCH($AU767,'2_IMPORTAR_EJECUCION'!$J$9:$J$1208,0)),""),'CAT_ESTADOS_ERP'!$A$4:$A$22,0)),"Pendiente"))</f>
        <v/>
      </c>
      <c r="O767" s="24">
        <f>IF($J767="","",YEAR($J767+4-WEEKDAY($J767,2))&amp;"-S"&amp;TEXT(_xlfn.ISOWEEKNUM($J767),"00"))</f>
        <v/>
      </c>
      <c r="P767" s="24">
        <f>IF($J767="","",YEAR($J767))</f>
        <v/>
      </c>
      <c r="Q767" s="24">
        <f>IF($J767="","",MONTH($J767))</f>
        <v/>
      </c>
      <c r="R767" s="24">
        <f>IF($J767="","",$P767&amp;"-"&amp;TEXT($Q767,"00"))</f>
        <v/>
      </c>
      <c r="S767" s="24">
        <f>IF($J767="","",INDEX(lista_dias,WEEKDAY($J767,2)))</f>
        <v/>
      </c>
      <c r="T767" s="24">
        <f>IF($J767="","",IFERROR(INDEX('CALENDARIO'!$C$15:$C$214,MATCH(TEXT($J767,"yyyy-mm-dd")&amp;"|"&amp;$Y767&amp;"|"&amp;$Z767,'CALENDARIO'!$G$15:$G$214,0)),IFERROR(INDEX('CALENDARIO'!$C$15:$C$214,MATCH(TEXT($J767,"yyyy-mm-dd")&amp;"|"&amp;$Y767&amp;"|",'CALENDARIO'!$G$15:$G$214,0)),IFERROR(INDEX('CALENDARIO'!$C$15:$C$214,MATCH(TEXT($J767,"yyyy-mm-dd")&amp;"||",'CALENDARIO'!$G$15:$G$214,0)),INDEX(patronHabil,WEEKDAY($J767,2))))))</f>
        <v/>
      </c>
      <c r="U767" s="24">
        <f>IF($I767="","",IFERROR(INDEX('CAT_TIPOS_OT'!$C$4:$C$23,MATCH($I767,'CAT_TIPOS_OT'!$A$4:$A$23,0)),"sin_clasificar"))</f>
        <v/>
      </c>
      <c r="V767" s="24">
        <f>IF($I767="","",IF(IFERROR(INDEX('CAT_TIPOS_OT'!$D$4:$D$23,MATCH($I767,'CAT_TIPOS_OT'!$A$4:$A$23,0)),"SIN CLASIFICAR")="","SIN CLASIFICAR",IFERROR(INDEX('CAT_TIPOS_OT'!$D$4:$D$23,MATCH($I767,'CAT_TIPOS_OT'!$A$4:$A$23,0)),"SIN CLASIFICAR")))</f>
        <v/>
      </c>
      <c r="W767" s="24">
        <f>IF($H767="","",IF(IFERROR(INDEX('CAT_ACTIVIDADES'!$F$4:$F$26,MATCH($H767,'CAT_ACTIVIDADES'!$A$4:$A$26,0)),"")=0,"",IFERROR(INDEX('CAT_ACTIVIDADES'!$F$4:$F$26,MATCH($H767,'CAT_ACTIVIDADES'!$A$4:$A$26,0)),"")))</f>
        <v/>
      </c>
      <c r="X767" s="24">
        <f>IF($F767="","",IFERROR(INDEX('CAT_CENTROS_COSTO'!$F$4:$F$28,MATCH($F767,'CAT_CENTROS_COSTO'!$A$4:$A$28,0)),"(sin catálogo)"))</f>
        <v/>
      </c>
      <c r="Y767" s="24">
        <f>IF($F767="","",IFERROR(INDEX('CAT_CENTROS_COSTO'!$D$4:$D$28,MATCH($F767,'CAT_CENTROS_COSTO'!$A$4:$A$28,0)),"(sin catálogo)"))</f>
        <v/>
      </c>
      <c r="Z767" s="24">
        <f>IF($F767="","",IF((IFERROR(INDEX('CAT_CENTROS_COSTO'!$E$4:$E$28,MATCH($F767,'CAT_CENTROS_COSTO'!$A$4:$A$28,0)),""))&lt;&gt;"",IFERROR(INDEX('CAT_CENTROS_COSTO'!$E$4:$E$28,MATCH($F767,'CAT_CENTROS_COSTO'!$A$4:$A$28,0)),""),$Y767))</f>
        <v/>
      </c>
      <c r="AA767" s="24">
        <f>IF($F767="","",IFERROR(INDEX('CAT_CENTROS_COSTO'!$G$4:$G$28,MATCH($F767,'CAT_CENTROS_COSTO'!$A$4:$A$28,0)),"(sin catálogo)"))</f>
        <v/>
      </c>
      <c r="AB767" s="24">
        <f>IF($G767="","",IFERROR(INDEX('CAT_PUESTOS'!$B$4:$B$23,MATCH($G767,'CAT_PUESTOS'!$A$4:$A$23,0)),"(sin catálogo)"))</f>
        <v/>
      </c>
      <c r="AC767" s="24">
        <f>IF($H767="","",IFERROR(INDEX('CAT_ACTIVIDADES'!$B$4:$B$26,MATCH($H767,'CAT_ACTIVIDADES'!$A$4:$A$26,0)),"(sin catálogo)"))</f>
        <v/>
      </c>
      <c r="AD767" s="26">
        <f>IF($J767="","",TODAY()-$J767)</f>
        <v/>
      </c>
      <c r="AE767" s="26">
        <f>IF($J767="","",IF($J767&lt;=TODAY(),COUNTIFS(cal_fechas,"&gt;="&amp;$J767,cal_fechas,"&lt;"&amp;TODAY(),cal_habil,"sí"),-COUNTIFS(cal_fechas,"&gt;="&amp;TODAY(),cal_fechas,"&lt;"&amp;$J767,cal_habil,"sí")))</f>
        <v/>
      </c>
      <c r="AF767" s="24">
        <f>IF($AE767="","",IF($AE767&lt;0,"FUTURO",IF($AE767&gt;p_dias_backlog_max,"BACKLOG","MES CORRIENTE")))</f>
        <v/>
      </c>
      <c r="AG767" s="24">
        <f>IF($AE767="",FALSE,AND($AE767&gt;p_dias_backlog_min,$AE767&lt;=p_dias_backlog_max))</f>
        <v/>
      </c>
      <c r="AH767" s="4" t="n"/>
      <c r="AI767" s="24">
        <f>IF($AH767="","",IF((IFERROR(INDEX('ASIGNACIONES'!$J$4:$J$451,MATCH($O767&amp;"|"&amp;$S767&amp;"|"&amp;$AH767,'ASIGNACIONES'!$N$4:$N$451,0)),""))=0,"",IFERROR(INDEX('ASIGNACIONES'!$J$4:$J$451,MATCH($O767&amp;"|"&amp;$S767&amp;"|"&amp;$AH767,'ASIGNACIONES'!$N$4:$N$451,0)),"")))</f>
        <v/>
      </c>
      <c r="AJ767" s="42">
        <f>IF($AH767="","",SUMIFS('ORDENES'!$M$4:$M$1203,'ORDENES'!$AH$4:$AH$1203,$AH767,'ORDENES'!$O$4:$O$1203,$O767,'ORDENES'!$S$4:$S$1203,$S767))</f>
        <v/>
      </c>
      <c r="AK767" s="42">
        <f>IF($AJ767="","",p_factor_productividad*IFERROR(INDEX('ASIGNACIONES'!$M$4:$M$451,MATCH($O767&amp;"|"&amp;$S767&amp;"|"&amp;$AH767,'ASIGNACIONES'!$N$4:$N$451,0)),0)-$AJ767)</f>
        <v/>
      </c>
      <c r="AL767" s="32">
        <f>IF($A767="","",IFERROR(INDEX('2_IMPORTAR_EJECUCION'!$F$9:$F$1208,MATCH($AU767,'2_IMPORTAR_EJECUCION'!$J$9:$J$1208,0)),0))</f>
        <v/>
      </c>
      <c r="AM767" s="32">
        <f>IF($A767="","",MAX(0,IFERROR(INDEX('2_IMPORTAR_EJECUCION'!$H$9:$H$1208,MATCH($AU767,'2_IMPORTAR_EJECUCION'!$J$9:$J$1208,0)),0)-$AL767))</f>
        <v/>
      </c>
      <c r="AN767" s="32">
        <f>IF($A767="","",$AL767+$AM767)</f>
        <v/>
      </c>
      <c r="AO767" s="24">
        <f>IF($A767="","",IF(OR((IFERROR(INDEX('CAT_ACTIVIDADES'!$D$4:$D$26,MATCH($H767,'CAT_ACTIVIDADES'!$A$4:$A$26,0)),""))=0,(IFERROR(INDEX('CAT_ACTIVIDADES'!$D$4:$D$26,MATCH($H767,'CAT_ACTIVIDADES'!$A$4:$A$26,0)),""))=""),"SIN CLASIFICAR",IFERROR(INDEX('CAT_ACTIVIDADES'!$D$4:$D$26,MATCH($H767,'CAT_ACTIVIDADES'!$A$4:$A$26,0)),"")))</f>
        <v/>
      </c>
      <c r="AP767" s="4" t="n"/>
      <c r="AQ767" s="4" t="n"/>
      <c r="AR767" s="4" t="n"/>
      <c r="AS767" s="24">
        <f>IF($AR767="","",HYPERLINK(p_ruta_base_checklists&amp;$AR767,"abrir"))</f>
        <v/>
      </c>
      <c r="AT767" s="4" t="n"/>
      <c r="AU767" s="24">
        <f>IF($A767="","",$A767&amp;IF($B767="","0010",$B767))</f>
        <v/>
      </c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41" t="n"/>
      <c r="K768" s="5" t="n"/>
      <c r="L768" s="18" t="n"/>
      <c r="M768" s="24">
        <f>IF($A768="","",IFERROR(INDEX('AJUSTES'!$B$4:$B$303,MATCH($AU768,'AJUSTES'!$A$4:$A$303,0)),IF($K768="","",$K768)))</f>
        <v/>
      </c>
      <c r="N768" s="24">
        <f>IF($A768="","",IFERROR(INDEX('CAT_ESTADOS_ERP'!$B$4:$B$22,MATCH(IFERROR(INDEX('2_IMPORTAR_EJECUCION'!$C$9:$C$1208,MATCH($AU768,'2_IMPORTAR_EJECUCION'!$J$9:$J$1208,0)),""),'CAT_ESTADOS_ERP'!$A$4:$A$22,0)),"Pendiente"))</f>
        <v/>
      </c>
      <c r="O768" s="24">
        <f>IF($J768="","",YEAR($J768+4-WEEKDAY($J768,2))&amp;"-S"&amp;TEXT(_xlfn.ISOWEEKNUM($J768),"00"))</f>
        <v/>
      </c>
      <c r="P768" s="24">
        <f>IF($J768="","",YEAR($J768))</f>
        <v/>
      </c>
      <c r="Q768" s="24">
        <f>IF($J768="","",MONTH($J768))</f>
        <v/>
      </c>
      <c r="R768" s="24">
        <f>IF($J768="","",$P768&amp;"-"&amp;TEXT($Q768,"00"))</f>
        <v/>
      </c>
      <c r="S768" s="24">
        <f>IF($J768="","",INDEX(lista_dias,WEEKDAY($J768,2)))</f>
        <v/>
      </c>
      <c r="T768" s="24">
        <f>IF($J768="","",IFERROR(INDEX('CALENDARIO'!$C$15:$C$214,MATCH(TEXT($J768,"yyyy-mm-dd")&amp;"|"&amp;$Y768&amp;"|"&amp;$Z768,'CALENDARIO'!$G$15:$G$214,0)),IFERROR(INDEX('CALENDARIO'!$C$15:$C$214,MATCH(TEXT($J768,"yyyy-mm-dd")&amp;"|"&amp;$Y768&amp;"|",'CALENDARIO'!$G$15:$G$214,0)),IFERROR(INDEX('CALENDARIO'!$C$15:$C$214,MATCH(TEXT($J768,"yyyy-mm-dd")&amp;"||",'CALENDARIO'!$G$15:$G$214,0)),INDEX(patronHabil,WEEKDAY($J768,2))))))</f>
        <v/>
      </c>
      <c r="U768" s="24">
        <f>IF($I768="","",IFERROR(INDEX('CAT_TIPOS_OT'!$C$4:$C$23,MATCH($I768,'CAT_TIPOS_OT'!$A$4:$A$23,0)),"sin_clasificar"))</f>
        <v/>
      </c>
      <c r="V768" s="24">
        <f>IF($I768="","",IF(IFERROR(INDEX('CAT_TIPOS_OT'!$D$4:$D$23,MATCH($I768,'CAT_TIPOS_OT'!$A$4:$A$23,0)),"SIN CLASIFICAR")="","SIN CLASIFICAR",IFERROR(INDEX('CAT_TIPOS_OT'!$D$4:$D$23,MATCH($I768,'CAT_TIPOS_OT'!$A$4:$A$23,0)),"SIN CLASIFICAR")))</f>
        <v/>
      </c>
      <c r="W768" s="24">
        <f>IF($H768="","",IF(IFERROR(INDEX('CAT_ACTIVIDADES'!$F$4:$F$26,MATCH($H768,'CAT_ACTIVIDADES'!$A$4:$A$26,0)),"")=0,"",IFERROR(INDEX('CAT_ACTIVIDADES'!$F$4:$F$26,MATCH($H768,'CAT_ACTIVIDADES'!$A$4:$A$26,0)),"")))</f>
        <v/>
      </c>
      <c r="X768" s="24">
        <f>IF($F768="","",IFERROR(INDEX('CAT_CENTROS_COSTO'!$F$4:$F$28,MATCH($F768,'CAT_CENTROS_COSTO'!$A$4:$A$28,0)),"(sin catálogo)"))</f>
        <v/>
      </c>
      <c r="Y768" s="24">
        <f>IF($F768="","",IFERROR(INDEX('CAT_CENTROS_COSTO'!$D$4:$D$28,MATCH($F768,'CAT_CENTROS_COSTO'!$A$4:$A$28,0)),"(sin catálogo)"))</f>
        <v/>
      </c>
      <c r="Z768" s="24">
        <f>IF($F768="","",IF((IFERROR(INDEX('CAT_CENTROS_COSTO'!$E$4:$E$28,MATCH($F768,'CAT_CENTROS_COSTO'!$A$4:$A$28,0)),""))&lt;&gt;"",IFERROR(INDEX('CAT_CENTROS_COSTO'!$E$4:$E$28,MATCH($F768,'CAT_CENTROS_COSTO'!$A$4:$A$28,0)),""),$Y768))</f>
        <v/>
      </c>
      <c r="AA768" s="24">
        <f>IF($F768="","",IFERROR(INDEX('CAT_CENTROS_COSTO'!$G$4:$G$28,MATCH($F768,'CAT_CENTROS_COSTO'!$A$4:$A$28,0)),"(sin catálogo)"))</f>
        <v/>
      </c>
      <c r="AB768" s="24">
        <f>IF($G768="","",IFERROR(INDEX('CAT_PUESTOS'!$B$4:$B$23,MATCH($G768,'CAT_PUESTOS'!$A$4:$A$23,0)),"(sin catálogo)"))</f>
        <v/>
      </c>
      <c r="AC768" s="24">
        <f>IF($H768="","",IFERROR(INDEX('CAT_ACTIVIDADES'!$B$4:$B$26,MATCH($H768,'CAT_ACTIVIDADES'!$A$4:$A$26,0)),"(sin catálogo)"))</f>
        <v/>
      </c>
      <c r="AD768" s="26">
        <f>IF($J768="","",TODAY()-$J768)</f>
        <v/>
      </c>
      <c r="AE768" s="26">
        <f>IF($J768="","",IF($J768&lt;=TODAY(),COUNTIFS(cal_fechas,"&gt;="&amp;$J768,cal_fechas,"&lt;"&amp;TODAY(),cal_habil,"sí"),-COUNTIFS(cal_fechas,"&gt;="&amp;TODAY(),cal_fechas,"&lt;"&amp;$J768,cal_habil,"sí")))</f>
        <v/>
      </c>
      <c r="AF768" s="24">
        <f>IF($AE768="","",IF($AE768&lt;0,"FUTURO",IF($AE768&gt;p_dias_backlog_max,"BACKLOG","MES CORRIENTE")))</f>
        <v/>
      </c>
      <c r="AG768" s="24">
        <f>IF($AE768="",FALSE,AND($AE768&gt;p_dias_backlog_min,$AE768&lt;=p_dias_backlog_max))</f>
        <v/>
      </c>
      <c r="AH768" s="4" t="n"/>
      <c r="AI768" s="24">
        <f>IF($AH768="","",IF((IFERROR(INDEX('ASIGNACIONES'!$J$4:$J$451,MATCH($O768&amp;"|"&amp;$S768&amp;"|"&amp;$AH768,'ASIGNACIONES'!$N$4:$N$451,0)),""))=0,"",IFERROR(INDEX('ASIGNACIONES'!$J$4:$J$451,MATCH($O768&amp;"|"&amp;$S768&amp;"|"&amp;$AH768,'ASIGNACIONES'!$N$4:$N$451,0)),"")))</f>
        <v/>
      </c>
      <c r="AJ768" s="42">
        <f>IF($AH768="","",SUMIFS('ORDENES'!$M$4:$M$1203,'ORDENES'!$AH$4:$AH$1203,$AH768,'ORDENES'!$O$4:$O$1203,$O768,'ORDENES'!$S$4:$S$1203,$S768))</f>
        <v/>
      </c>
      <c r="AK768" s="42">
        <f>IF($AJ768="","",p_factor_productividad*IFERROR(INDEX('ASIGNACIONES'!$M$4:$M$451,MATCH($O768&amp;"|"&amp;$S768&amp;"|"&amp;$AH768,'ASIGNACIONES'!$N$4:$N$451,0)),0)-$AJ768)</f>
        <v/>
      </c>
      <c r="AL768" s="32">
        <f>IF($A768="","",IFERROR(INDEX('2_IMPORTAR_EJECUCION'!$F$9:$F$1208,MATCH($AU768,'2_IMPORTAR_EJECUCION'!$J$9:$J$1208,0)),0))</f>
        <v/>
      </c>
      <c r="AM768" s="32">
        <f>IF($A768="","",MAX(0,IFERROR(INDEX('2_IMPORTAR_EJECUCION'!$H$9:$H$1208,MATCH($AU768,'2_IMPORTAR_EJECUCION'!$J$9:$J$1208,0)),0)-$AL768))</f>
        <v/>
      </c>
      <c r="AN768" s="32">
        <f>IF($A768="","",$AL768+$AM768)</f>
        <v/>
      </c>
      <c r="AO768" s="24">
        <f>IF($A768="","",IF(OR((IFERROR(INDEX('CAT_ACTIVIDADES'!$D$4:$D$26,MATCH($H768,'CAT_ACTIVIDADES'!$A$4:$A$26,0)),""))=0,(IFERROR(INDEX('CAT_ACTIVIDADES'!$D$4:$D$26,MATCH($H768,'CAT_ACTIVIDADES'!$A$4:$A$26,0)),""))=""),"SIN CLASIFICAR",IFERROR(INDEX('CAT_ACTIVIDADES'!$D$4:$D$26,MATCH($H768,'CAT_ACTIVIDADES'!$A$4:$A$26,0)),"")))</f>
        <v/>
      </c>
      <c r="AP768" s="4" t="n"/>
      <c r="AQ768" s="4" t="n"/>
      <c r="AR768" s="4" t="n"/>
      <c r="AS768" s="24">
        <f>IF($AR768="","",HYPERLINK(p_ruta_base_checklists&amp;$AR768,"abrir"))</f>
        <v/>
      </c>
      <c r="AT768" s="4" t="n"/>
      <c r="AU768" s="24">
        <f>IF($A768="","",$A768&amp;IF($B768="","0010",$B768))</f>
        <v/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41" t="n"/>
      <c r="K769" s="5" t="n"/>
      <c r="L769" s="18" t="n"/>
      <c r="M769" s="24">
        <f>IF($A769="","",IFERROR(INDEX('AJUSTES'!$B$4:$B$303,MATCH($AU769,'AJUSTES'!$A$4:$A$303,0)),IF($K769="","",$K769)))</f>
        <v/>
      </c>
      <c r="N769" s="24">
        <f>IF($A769="","",IFERROR(INDEX('CAT_ESTADOS_ERP'!$B$4:$B$22,MATCH(IFERROR(INDEX('2_IMPORTAR_EJECUCION'!$C$9:$C$1208,MATCH($AU769,'2_IMPORTAR_EJECUCION'!$J$9:$J$1208,0)),""),'CAT_ESTADOS_ERP'!$A$4:$A$22,0)),"Pendiente"))</f>
        <v/>
      </c>
      <c r="O769" s="24">
        <f>IF($J769="","",YEAR($J769+4-WEEKDAY($J769,2))&amp;"-S"&amp;TEXT(_xlfn.ISOWEEKNUM($J769),"00"))</f>
        <v/>
      </c>
      <c r="P769" s="24">
        <f>IF($J769="","",YEAR($J769))</f>
        <v/>
      </c>
      <c r="Q769" s="24">
        <f>IF($J769="","",MONTH($J769))</f>
        <v/>
      </c>
      <c r="R769" s="24">
        <f>IF($J769="","",$P769&amp;"-"&amp;TEXT($Q769,"00"))</f>
        <v/>
      </c>
      <c r="S769" s="24">
        <f>IF($J769="","",INDEX(lista_dias,WEEKDAY($J769,2)))</f>
        <v/>
      </c>
      <c r="T769" s="24">
        <f>IF($J769="","",IFERROR(INDEX('CALENDARIO'!$C$15:$C$214,MATCH(TEXT($J769,"yyyy-mm-dd")&amp;"|"&amp;$Y769&amp;"|"&amp;$Z769,'CALENDARIO'!$G$15:$G$214,0)),IFERROR(INDEX('CALENDARIO'!$C$15:$C$214,MATCH(TEXT($J769,"yyyy-mm-dd")&amp;"|"&amp;$Y769&amp;"|",'CALENDARIO'!$G$15:$G$214,0)),IFERROR(INDEX('CALENDARIO'!$C$15:$C$214,MATCH(TEXT($J769,"yyyy-mm-dd")&amp;"||",'CALENDARIO'!$G$15:$G$214,0)),INDEX(patronHabil,WEEKDAY($J769,2))))))</f>
        <v/>
      </c>
      <c r="U769" s="24">
        <f>IF($I769="","",IFERROR(INDEX('CAT_TIPOS_OT'!$C$4:$C$23,MATCH($I769,'CAT_TIPOS_OT'!$A$4:$A$23,0)),"sin_clasificar"))</f>
        <v/>
      </c>
      <c r="V769" s="24">
        <f>IF($I769="","",IF(IFERROR(INDEX('CAT_TIPOS_OT'!$D$4:$D$23,MATCH($I769,'CAT_TIPOS_OT'!$A$4:$A$23,0)),"SIN CLASIFICAR")="","SIN CLASIFICAR",IFERROR(INDEX('CAT_TIPOS_OT'!$D$4:$D$23,MATCH($I769,'CAT_TIPOS_OT'!$A$4:$A$23,0)),"SIN CLASIFICAR")))</f>
        <v/>
      </c>
      <c r="W769" s="24">
        <f>IF($H769="","",IF(IFERROR(INDEX('CAT_ACTIVIDADES'!$F$4:$F$26,MATCH($H769,'CAT_ACTIVIDADES'!$A$4:$A$26,0)),"")=0,"",IFERROR(INDEX('CAT_ACTIVIDADES'!$F$4:$F$26,MATCH($H769,'CAT_ACTIVIDADES'!$A$4:$A$26,0)),"")))</f>
        <v/>
      </c>
      <c r="X769" s="24">
        <f>IF($F769="","",IFERROR(INDEX('CAT_CENTROS_COSTO'!$F$4:$F$28,MATCH($F769,'CAT_CENTROS_COSTO'!$A$4:$A$28,0)),"(sin catálogo)"))</f>
        <v/>
      </c>
      <c r="Y769" s="24">
        <f>IF($F769="","",IFERROR(INDEX('CAT_CENTROS_COSTO'!$D$4:$D$28,MATCH($F769,'CAT_CENTROS_COSTO'!$A$4:$A$28,0)),"(sin catálogo)"))</f>
        <v/>
      </c>
      <c r="Z769" s="24">
        <f>IF($F769="","",IF((IFERROR(INDEX('CAT_CENTROS_COSTO'!$E$4:$E$28,MATCH($F769,'CAT_CENTROS_COSTO'!$A$4:$A$28,0)),""))&lt;&gt;"",IFERROR(INDEX('CAT_CENTROS_COSTO'!$E$4:$E$28,MATCH($F769,'CAT_CENTROS_COSTO'!$A$4:$A$28,0)),""),$Y769))</f>
        <v/>
      </c>
      <c r="AA769" s="24">
        <f>IF($F769="","",IFERROR(INDEX('CAT_CENTROS_COSTO'!$G$4:$G$28,MATCH($F769,'CAT_CENTROS_COSTO'!$A$4:$A$28,0)),"(sin catálogo)"))</f>
        <v/>
      </c>
      <c r="AB769" s="24">
        <f>IF($G769="","",IFERROR(INDEX('CAT_PUESTOS'!$B$4:$B$23,MATCH($G769,'CAT_PUESTOS'!$A$4:$A$23,0)),"(sin catálogo)"))</f>
        <v/>
      </c>
      <c r="AC769" s="24">
        <f>IF($H769="","",IFERROR(INDEX('CAT_ACTIVIDADES'!$B$4:$B$26,MATCH($H769,'CAT_ACTIVIDADES'!$A$4:$A$26,0)),"(sin catálogo)"))</f>
        <v/>
      </c>
      <c r="AD769" s="26">
        <f>IF($J769="","",TODAY()-$J769)</f>
        <v/>
      </c>
      <c r="AE769" s="26">
        <f>IF($J769="","",IF($J769&lt;=TODAY(),COUNTIFS(cal_fechas,"&gt;="&amp;$J769,cal_fechas,"&lt;"&amp;TODAY(),cal_habil,"sí"),-COUNTIFS(cal_fechas,"&gt;="&amp;TODAY(),cal_fechas,"&lt;"&amp;$J769,cal_habil,"sí")))</f>
        <v/>
      </c>
      <c r="AF769" s="24">
        <f>IF($AE769="","",IF($AE769&lt;0,"FUTURO",IF($AE769&gt;p_dias_backlog_max,"BACKLOG","MES CORRIENTE")))</f>
        <v/>
      </c>
      <c r="AG769" s="24">
        <f>IF($AE769="",FALSE,AND($AE769&gt;p_dias_backlog_min,$AE769&lt;=p_dias_backlog_max))</f>
        <v/>
      </c>
      <c r="AH769" s="4" t="n"/>
      <c r="AI769" s="24">
        <f>IF($AH769="","",IF((IFERROR(INDEX('ASIGNACIONES'!$J$4:$J$451,MATCH($O769&amp;"|"&amp;$S769&amp;"|"&amp;$AH769,'ASIGNACIONES'!$N$4:$N$451,0)),""))=0,"",IFERROR(INDEX('ASIGNACIONES'!$J$4:$J$451,MATCH($O769&amp;"|"&amp;$S769&amp;"|"&amp;$AH769,'ASIGNACIONES'!$N$4:$N$451,0)),"")))</f>
        <v/>
      </c>
      <c r="AJ769" s="42">
        <f>IF($AH769="","",SUMIFS('ORDENES'!$M$4:$M$1203,'ORDENES'!$AH$4:$AH$1203,$AH769,'ORDENES'!$O$4:$O$1203,$O769,'ORDENES'!$S$4:$S$1203,$S769))</f>
        <v/>
      </c>
      <c r="AK769" s="42">
        <f>IF($AJ769="","",p_factor_productividad*IFERROR(INDEX('ASIGNACIONES'!$M$4:$M$451,MATCH($O769&amp;"|"&amp;$S769&amp;"|"&amp;$AH769,'ASIGNACIONES'!$N$4:$N$451,0)),0)-$AJ769)</f>
        <v/>
      </c>
      <c r="AL769" s="32">
        <f>IF($A769="","",IFERROR(INDEX('2_IMPORTAR_EJECUCION'!$F$9:$F$1208,MATCH($AU769,'2_IMPORTAR_EJECUCION'!$J$9:$J$1208,0)),0))</f>
        <v/>
      </c>
      <c r="AM769" s="32">
        <f>IF($A769="","",MAX(0,IFERROR(INDEX('2_IMPORTAR_EJECUCION'!$H$9:$H$1208,MATCH($AU769,'2_IMPORTAR_EJECUCION'!$J$9:$J$1208,0)),0)-$AL769))</f>
        <v/>
      </c>
      <c r="AN769" s="32">
        <f>IF($A769="","",$AL769+$AM769)</f>
        <v/>
      </c>
      <c r="AO769" s="24">
        <f>IF($A769="","",IF(OR((IFERROR(INDEX('CAT_ACTIVIDADES'!$D$4:$D$26,MATCH($H769,'CAT_ACTIVIDADES'!$A$4:$A$26,0)),""))=0,(IFERROR(INDEX('CAT_ACTIVIDADES'!$D$4:$D$26,MATCH($H769,'CAT_ACTIVIDADES'!$A$4:$A$26,0)),""))=""),"SIN CLASIFICAR",IFERROR(INDEX('CAT_ACTIVIDADES'!$D$4:$D$26,MATCH($H769,'CAT_ACTIVIDADES'!$A$4:$A$26,0)),"")))</f>
        <v/>
      </c>
      <c r="AP769" s="4" t="n"/>
      <c r="AQ769" s="4" t="n"/>
      <c r="AR769" s="4" t="n"/>
      <c r="AS769" s="24">
        <f>IF($AR769="","",HYPERLINK(p_ruta_base_checklists&amp;$AR769,"abrir"))</f>
        <v/>
      </c>
      <c r="AT769" s="4" t="n"/>
      <c r="AU769" s="24">
        <f>IF($A769="","",$A769&amp;IF($B769="","0010",$B769))</f>
        <v/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41" t="n"/>
      <c r="K770" s="5" t="n"/>
      <c r="L770" s="18" t="n"/>
      <c r="M770" s="24">
        <f>IF($A770="","",IFERROR(INDEX('AJUSTES'!$B$4:$B$303,MATCH($AU770,'AJUSTES'!$A$4:$A$303,0)),IF($K770="","",$K770)))</f>
        <v/>
      </c>
      <c r="N770" s="24">
        <f>IF($A770="","",IFERROR(INDEX('CAT_ESTADOS_ERP'!$B$4:$B$22,MATCH(IFERROR(INDEX('2_IMPORTAR_EJECUCION'!$C$9:$C$1208,MATCH($AU770,'2_IMPORTAR_EJECUCION'!$J$9:$J$1208,0)),""),'CAT_ESTADOS_ERP'!$A$4:$A$22,0)),"Pendiente"))</f>
        <v/>
      </c>
      <c r="O770" s="24">
        <f>IF($J770="","",YEAR($J770+4-WEEKDAY($J770,2))&amp;"-S"&amp;TEXT(_xlfn.ISOWEEKNUM($J770),"00"))</f>
        <v/>
      </c>
      <c r="P770" s="24">
        <f>IF($J770="","",YEAR($J770))</f>
        <v/>
      </c>
      <c r="Q770" s="24">
        <f>IF($J770="","",MONTH($J770))</f>
        <v/>
      </c>
      <c r="R770" s="24">
        <f>IF($J770="","",$P770&amp;"-"&amp;TEXT($Q770,"00"))</f>
        <v/>
      </c>
      <c r="S770" s="24">
        <f>IF($J770="","",INDEX(lista_dias,WEEKDAY($J770,2)))</f>
        <v/>
      </c>
      <c r="T770" s="24">
        <f>IF($J770="","",IFERROR(INDEX('CALENDARIO'!$C$15:$C$214,MATCH(TEXT($J770,"yyyy-mm-dd")&amp;"|"&amp;$Y770&amp;"|"&amp;$Z770,'CALENDARIO'!$G$15:$G$214,0)),IFERROR(INDEX('CALENDARIO'!$C$15:$C$214,MATCH(TEXT($J770,"yyyy-mm-dd")&amp;"|"&amp;$Y770&amp;"|",'CALENDARIO'!$G$15:$G$214,0)),IFERROR(INDEX('CALENDARIO'!$C$15:$C$214,MATCH(TEXT($J770,"yyyy-mm-dd")&amp;"||",'CALENDARIO'!$G$15:$G$214,0)),INDEX(patronHabil,WEEKDAY($J770,2))))))</f>
        <v/>
      </c>
      <c r="U770" s="24">
        <f>IF($I770="","",IFERROR(INDEX('CAT_TIPOS_OT'!$C$4:$C$23,MATCH($I770,'CAT_TIPOS_OT'!$A$4:$A$23,0)),"sin_clasificar"))</f>
        <v/>
      </c>
      <c r="V770" s="24">
        <f>IF($I770="","",IF(IFERROR(INDEX('CAT_TIPOS_OT'!$D$4:$D$23,MATCH($I770,'CAT_TIPOS_OT'!$A$4:$A$23,0)),"SIN CLASIFICAR")="","SIN CLASIFICAR",IFERROR(INDEX('CAT_TIPOS_OT'!$D$4:$D$23,MATCH($I770,'CAT_TIPOS_OT'!$A$4:$A$23,0)),"SIN CLASIFICAR")))</f>
        <v/>
      </c>
      <c r="W770" s="24">
        <f>IF($H770="","",IF(IFERROR(INDEX('CAT_ACTIVIDADES'!$F$4:$F$26,MATCH($H770,'CAT_ACTIVIDADES'!$A$4:$A$26,0)),"")=0,"",IFERROR(INDEX('CAT_ACTIVIDADES'!$F$4:$F$26,MATCH($H770,'CAT_ACTIVIDADES'!$A$4:$A$26,0)),"")))</f>
        <v/>
      </c>
      <c r="X770" s="24">
        <f>IF($F770="","",IFERROR(INDEX('CAT_CENTROS_COSTO'!$F$4:$F$28,MATCH($F770,'CAT_CENTROS_COSTO'!$A$4:$A$28,0)),"(sin catálogo)"))</f>
        <v/>
      </c>
      <c r="Y770" s="24">
        <f>IF($F770="","",IFERROR(INDEX('CAT_CENTROS_COSTO'!$D$4:$D$28,MATCH($F770,'CAT_CENTROS_COSTO'!$A$4:$A$28,0)),"(sin catálogo)"))</f>
        <v/>
      </c>
      <c r="Z770" s="24">
        <f>IF($F770="","",IF((IFERROR(INDEX('CAT_CENTROS_COSTO'!$E$4:$E$28,MATCH($F770,'CAT_CENTROS_COSTO'!$A$4:$A$28,0)),""))&lt;&gt;"",IFERROR(INDEX('CAT_CENTROS_COSTO'!$E$4:$E$28,MATCH($F770,'CAT_CENTROS_COSTO'!$A$4:$A$28,0)),""),$Y770))</f>
        <v/>
      </c>
      <c r="AA770" s="24">
        <f>IF($F770="","",IFERROR(INDEX('CAT_CENTROS_COSTO'!$G$4:$G$28,MATCH($F770,'CAT_CENTROS_COSTO'!$A$4:$A$28,0)),"(sin catálogo)"))</f>
        <v/>
      </c>
      <c r="AB770" s="24">
        <f>IF($G770="","",IFERROR(INDEX('CAT_PUESTOS'!$B$4:$B$23,MATCH($G770,'CAT_PUESTOS'!$A$4:$A$23,0)),"(sin catálogo)"))</f>
        <v/>
      </c>
      <c r="AC770" s="24">
        <f>IF($H770="","",IFERROR(INDEX('CAT_ACTIVIDADES'!$B$4:$B$26,MATCH($H770,'CAT_ACTIVIDADES'!$A$4:$A$26,0)),"(sin catálogo)"))</f>
        <v/>
      </c>
      <c r="AD770" s="26">
        <f>IF($J770="","",TODAY()-$J770)</f>
        <v/>
      </c>
      <c r="AE770" s="26">
        <f>IF($J770="","",IF($J770&lt;=TODAY(),COUNTIFS(cal_fechas,"&gt;="&amp;$J770,cal_fechas,"&lt;"&amp;TODAY(),cal_habil,"sí"),-COUNTIFS(cal_fechas,"&gt;="&amp;TODAY(),cal_fechas,"&lt;"&amp;$J770,cal_habil,"sí")))</f>
        <v/>
      </c>
      <c r="AF770" s="24">
        <f>IF($AE770="","",IF($AE770&lt;0,"FUTURO",IF($AE770&gt;p_dias_backlog_max,"BACKLOG","MES CORRIENTE")))</f>
        <v/>
      </c>
      <c r="AG770" s="24">
        <f>IF($AE770="",FALSE,AND($AE770&gt;p_dias_backlog_min,$AE770&lt;=p_dias_backlog_max))</f>
        <v/>
      </c>
      <c r="AH770" s="4" t="n"/>
      <c r="AI770" s="24">
        <f>IF($AH770="","",IF((IFERROR(INDEX('ASIGNACIONES'!$J$4:$J$451,MATCH($O770&amp;"|"&amp;$S770&amp;"|"&amp;$AH770,'ASIGNACIONES'!$N$4:$N$451,0)),""))=0,"",IFERROR(INDEX('ASIGNACIONES'!$J$4:$J$451,MATCH($O770&amp;"|"&amp;$S770&amp;"|"&amp;$AH770,'ASIGNACIONES'!$N$4:$N$451,0)),"")))</f>
        <v/>
      </c>
      <c r="AJ770" s="42">
        <f>IF($AH770="","",SUMIFS('ORDENES'!$M$4:$M$1203,'ORDENES'!$AH$4:$AH$1203,$AH770,'ORDENES'!$O$4:$O$1203,$O770,'ORDENES'!$S$4:$S$1203,$S770))</f>
        <v/>
      </c>
      <c r="AK770" s="42">
        <f>IF($AJ770="","",p_factor_productividad*IFERROR(INDEX('ASIGNACIONES'!$M$4:$M$451,MATCH($O770&amp;"|"&amp;$S770&amp;"|"&amp;$AH770,'ASIGNACIONES'!$N$4:$N$451,0)),0)-$AJ770)</f>
        <v/>
      </c>
      <c r="AL770" s="32">
        <f>IF($A770="","",IFERROR(INDEX('2_IMPORTAR_EJECUCION'!$F$9:$F$1208,MATCH($AU770,'2_IMPORTAR_EJECUCION'!$J$9:$J$1208,0)),0))</f>
        <v/>
      </c>
      <c r="AM770" s="32">
        <f>IF($A770="","",MAX(0,IFERROR(INDEX('2_IMPORTAR_EJECUCION'!$H$9:$H$1208,MATCH($AU770,'2_IMPORTAR_EJECUCION'!$J$9:$J$1208,0)),0)-$AL770))</f>
        <v/>
      </c>
      <c r="AN770" s="32">
        <f>IF($A770="","",$AL770+$AM770)</f>
        <v/>
      </c>
      <c r="AO770" s="24">
        <f>IF($A770="","",IF(OR((IFERROR(INDEX('CAT_ACTIVIDADES'!$D$4:$D$26,MATCH($H770,'CAT_ACTIVIDADES'!$A$4:$A$26,0)),""))=0,(IFERROR(INDEX('CAT_ACTIVIDADES'!$D$4:$D$26,MATCH($H770,'CAT_ACTIVIDADES'!$A$4:$A$26,0)),""))=""),"SIN CLASIFICAR",IFERROR(INDEX('CAT_ACTIVIDADES'!$D$4:$D$26,MATCH($H770,'CAT_ACTIVIDADES'!$A$4:$A$26,0)),"")))</f>
        <v/>
      </c>
      <c r="AP770" s="4" t="n"/>
      <c r="AQ770" s="4" t="n"/>
      <c r="AR770" s="4" t="n"/>
      <c r="AS770" s="24">
        <f>IF($AR770="","",HYPERLINK(p_ruta_base_checklists&amp;$AR770,"abrir"))</f>
        <v/>
      </c>
      <c r="AT770" s="4" t="n"/>
      <c r="AU770" s="24">
        <f>IF($A770="","",$A770&amp;IF($B770="","0010",$B770))</f>
        <v/>
      </c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41" t="n"/>
      <c r="K771" s="5" t="n"/>
      <c r="L771" s="18" t="n"/>
      <c r="M771" s="24">
        <f>IF($A771="","",IFERROR(INDEX('AJUSTES'!$B$4:$B$303,MATCH($AU771,'AJUSTES'!$A$4:$A$303,0)),IF($K771="","",$K771)))</f>
        <v/>
      </c>
      <c r="N771" s="24">
        <f>IF($A771="","",IFERROR(INDEX('CAT_ESTADOS_ERP'!$B$4:$B$22,MATCH(IFERROR(INDEX('2_IMPORTAR_EJECUCION'!$C$9:$C$1208,MATCH($AU771,'2_IMPORTAR_EJECUCION'!$J$9:$J$1208,0)),""),'CAT_ESTADOS_ERP'!$A$4:$A$22,0)),"Pendiente"))</f>
        <v/>
      </c>
      <c r="O771" s="24">
        <f>IF($J771="","",YEAR($J771+4-WEEKDAY($J771,2))&amp;"-S"&amp;TEXT(_xlfn.ISOWEEKNUM($J771),"00"))</f>
        <v/>
      </c>
      <c r="P771" s="24">
        <f>IF($J771="","",YEAR($J771))</f>
        <v/>
      </c>
      <c r="Q771" s="24">
        <f>IF($J771="","",MONTH($J771))</f>
        <v/>
      </c>
      <c r="R771" s="24">
        <f>IF($J771="","",$P771&amp;"-"&amp;TEXT($Q771,"00"))</f>
        <v/>
      </c>
      <c r="S771" s="24">
        <f>IF($J771="","",INDEX(lista_dias,WEEKDAY($J771,2)))</f>
        <v/>
      </c>
      <c r="T771" s="24">
        <f>IF($J771="","",IFERROR(INDEX('CALENDARIO'!$C$15:$C$214,MATCH(TEXT($J771,"yyyy-mm-dd")&amp;"|"&amp;$Y771&amp;"|"&amp;$Z771,'CALENDARIO'!$G$15:$G$214,0)),IFERROR(INDEX('CALENDARIO'!$C$15:$C$214,MATCH(TEXT($J771,"yyyy-mm-dd")&amp;"|"&amp;$Y771&amp;"|",'CALENDARIO'!$G$15:$G$214,0)),IFERROR(INDEX('CALENDARIO'!$C$15:$C$214,MATCH(TEXT($J771,"yyyy-mm-dd")&amp;"||",'CALENDARIO'!$G$15:$G$214,0)),INDEX(patronHabil,WEEKDAY($J771,2))))))</f>
        <v/>
      </c>
      <c r="U771" s="24">
        <f>IF($I771="","",IFERROR(INDEX('CAT_TIPOS_OT'!$C$4:$C$23,MATCH($I771,'CAT_TIPOS_OT'!$A$4:$A$23,0)),"sin_clasificar"))</f>
        <v/>
      </c>
      <c r="V771" s="24">
        <f>IF($I771="","",IF(IFERROR(INDEX('CAT_TIPOS_OT'!$D$4:$D$23,MATCH($I771,'CAT_TIPOS_OT'!$A$4:$A$23,0)),"SIN CLASIFICAR")="","SIN CLASIFICAR",IFERROR(INDEX('CAT_TIPOS_OT'!$D$4:$D$23,MATCH($I771,'CAT_TIPOS_OT'!$A$4:$A$23,0)),"SIN CLASIFICAR")))</f>
        <v/>
      </c>
      <c r="W771" s="24">
        <f>IF($H771="","",IF(IFERROR(INDEX('CAT_ACTIVIDADES'!$F$4:$F$26,MATCH($H771,'CAT_ACTIVIDADES'!$A$4:$A$26,0)),"")=0,"",IFERROR(INDEX('CAT_ACTIVIDADES'!$F$4:$F$26,MATCH($H771,'CAT_ACTIVIDADES'!$A$4:$A$26,0)),"")))</f>
        <v/>
      </c>
      <c r="X771" s="24">
        <f>IF($F771="","",IFERROR(INDEX('CAT_CENTROS_COSTO'!$F$4:$F$28,MATCH($F771,'CAT_CENTROS_COSTO'!$A$4:$A$28,0)),"(sin catálogo)"))</f>
        <v/>
      </c>
      <c r="Y771" s="24">
        <f>IF($F771="","",IFERROR(INDEX('CAT_CENTROS_COSTO'!$D$4:$D$28,MATCH($F771,'CAT_CENTROS_COSTO'!$A$4:$A$28,0)),"(sin catálogo)"))</f>
        <v/>
      </c>
      <c r="Z771" s="24">
        <f>IF($F771="","",IF((IFERROR(INDEX('CAT_CENTROS_COSTO'!$E$4:$E$28,MATCH($F771,'CAT_CENTROS_COSTO'!$A$4:$A$28,0)),""))&lt;&gt;"",IFERROR(INDEX('CAT_CENTROS_COSTO'!$E$4:$E$28,MATCH($F771,'CAT_CENTROS_COSTO'!$A$4:$A$28,0)),""),$Y771))</f>
        <v/>
      </c>
      <c r="AA771" s="24">
        <f>IF($F771="","",IFERROR(INDEX('CAT_CENTROS_COSTO'!$G$4:$G$28,MATCH($F771,'CAT_CENTROS_COSTO'!$A$4:$A$28,0)),"(sin catálogo)"))</f>
        <v/>
      </c>
      <c r="AB771" s="24">
        <f>IF($G771="","",IFERROR(INDEX('CAT_PUESTOS'!$B$4:$B$23,MATCH($G771,'CAT_PUESTOS'!$A$4:$A$23,0)),"(sin catálogo)"))</f>
        <v/>
      </c>
      <c r="AC771" s="24">
        <f>IF($H771="","",IFERROR(INDEX('CAT_ACTIVIDADES'!$B$4:$B$26,MATCH($H771,'CAT_ACTIVIDADES'!$A$4:$A$26,0)),"(sin catálogo)"))</f>
        <v/>
      </c>
      <c r="AD771" s="26">
        <f>IF($J771="","",TODAY()-$J771)</f>
        <v/>
      </c>
      <c r="AE771" s="26">
        <f>IF($J771="","",IF($J771&lt;=TODAY(),COUNTIFS(cal_fechas,"&gt;="&amp;$J771,cal_fechas,"&lt;"&amp;TODAY(),cal_habil,"sí"),-COUNTIFS(cal_fechas,"&gt;="&amp;TODAY(),cal_fechas,"&lt;"&amp;$J771,cal_habil,"sí")))</f>
        <v/>
      </c>
      <c r="AF771" s="24">
        <f>IF($AE771="","",IF($AE771&lt;0,"FUTURO",IF($AE771&gt;p_dias_backlog_max,"BACKLOG","MES CORRIENTE")))</f>
        <v/>
      </c>
      <c r="AG771" s="24">
        <f>IF($AE771="",FALSE,AND($AE771&gt;p_dias_backlog_min,$AE771&lt;=p_dias_backlog_max))</f>
        <v/>
      </c>
      <c r="AH771" s="4" t="n"/>
      <c r="AI771" s="24">
        <f>IF($AH771="","",IF((IFERROR(INDEX('ASIGNACIONES'!$J$4:$J$451,MATCH($O771&amp;"|"&amp;$S771&amp;"|"&amp;$AH771,'ASIGNACIONES'!$N$4:$N$451,0)),""))=0,"",IFERROR(INDEX('ASIGNACIONES'!$J$4:$J$451,MATCH($O771&amp;"|"&amp;$S771&amp;"|"&amp;$AH771,'ASIGNACIONES'!$N$4:$N$451,0)),"")))</f>
        <v/>
      </c>
      <c r="AJ771" s="42">
        <f>IF($AH771="","",SUMIFS('ORDENES'!$M$4:$M$1203,'ORDENES'!$AH$4:$AH$1203,$AH771,'ORDENES'!$O$4:$O$1203,$O771,'ORDENES'!$S$4:$S$1203,$S771))</f>
        <v/>
      </c>
      <c r="AK771" s="42">
        <f>IF($AJ771="","",p_factor_productividad*IFERROR(INDEX('ASIGNACIONES'!$M$4:$M$451,MATCH($O771&amp;"|"&amp;$S771&amp;"|"&amp;$AH771,'ASIGNACIONES'!$N$4:$N$451,0)),0)-$AJ771)</f>
        <v/>
      </c>
      <c r="AL771" s="32">
        <f>IF($A771="","",IFERROR(INDEX('2_IMPORTAR_EJECUCION'!$F$9:$F$1208,MATCH($AU771,'2_IMPORTAR_EJECUCION'!$J$9:$J$1208,0)),0))</f>
        <v/>
      </c>
      <c r="AM771" s="32">
        <f>IF($A771="","",MAX(0,IFERROR(INDEX('2_IMPORTAR_EJECUCION'!$H$9:$H$1208,MATCH($AU771,'2_IMPORTAR_EJECUCION'!$J$9:$J$1208,0)),0)-$AL771))</f>
        <v/>
      </c>
      <c r="AN771" s="32">
        <f>IF($A771="","",$AL771+$AM771)</f>
        <v/>
      </c>
      <c r="AO771" s="24">
        <f>IF($A771="","",IF(OR((IFERROR(INDEX('CAT_ACTIVIDADES'!$D$4:$D$26,MATCH($H771,'CAT_ACTIVIDADES'!$A$4:$A$26,0)),""))=0,(IFERROR(INDEX('CAT_ACTIVIDADES'!$D$4:$D$26,MATCH($H771,'CAT_ACTIVIDADES'!$A$4:$A$26,0)),""))=""),"SIN CLASIFICAR",IFERROR(INDEX('CAT_ACTIVIDADES'!$D$4:$D$26,MATCH($H771,'CAT_ACTIVIDADES'!$A$4:$A$26,0)),"")))</f>
        <v/>
      </c>
      <c r="AP771" s="4" t="n"/>
      <c r="AQ771" s="4" t="n"/>
      <c r="AR771" s="4" t="n"/>
      <c r="AS771" s="24">
        <f>IF($AR771="","",HYPERLINK(p_ruta_base_checklists&amp;$AR771,"abrir"))</f>
        <v/>
      </c>
      <c r="AT771" s="4" t="n"/>
      <c r="AU771" s="24">
        <f>IF($A771="","",$A771&amp;IF($B771="","0010",$B771))</f>
        <v/>
      </c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41" t="n"/>
      <c r="K772" s="5" t="n"/>
      <c r="L772" s="18" t="n"/>
      <c r="M772" s="24">
        <f>IF($A772="","",IFERROR(INDEX('AJUSTES'!$B$4:$B$303,MATCH($AU772,'AJUSTES'!$A$4:$A$303,0)),IF($K772="","",$K772)))</f>
        <v/>
      </c>
      <c r="N772" s="24">
        <f>IF($A772="","",IFERROR(INDEX('CAT_ESTADOS_ERP'!$B$4:$B$22,MATCH(IFERROR(INDEX('2_IMPORTAR_EJECUCION'!$C$9:$C$1208,MATCH($AU772,'2_IMPORTAR_EJECUCION'!$J$9:$J$1208,0)),""),'CAT_ESTADOS_ERP'!$A$4:$A$22,0)),"Pendiente"))</f>
        <v/>
      </c>
      <c r="O772" s="24">
        <f>IF($J772="","",YEAR($J772+4-WEEKDAY($J772,2))&amp;"-S"&amp;TEXT(_xlfn.ISOWEEKNUM($J772),"00"))</f>
        <v/>
      </c>
      <c r="P772" s="24">
        <f>IF($J772="","",YEAR($J772))</f>
        <v/>
      </c>
      <c r="Q772" s="24">
        <f>IF($J772="","",MONTH($J772))</f>
        <v/>
      </c>
      <c r="R772" s="24">
        <f>IF($J772="","",$P772&amp;"-"&amp;TEXT($Q772,"00"))</f>
        <v/>
      </c>
      <c r="S772" s="24">
        <f>IF($J772="","",INDEX(lista_dias,WEEKDAY($J772,2)))</f>
        <v/>
      </c>
      <c r="T772" s="24">
        <f>IF($J772="","",IFERROR(INDEX('CALENDARIO'!$C$15:$C$214,MATCH(TEXT($J772,"yyyy-mm-dd")&amp;"|"&amp;$Y772&amp;"|"&amp;$Z772,'CALENDARIO'!$G$15:$G$214,0)),IFERROR(INDEX('CALENDARIO'!$C$15:$C$214,MATCH(TEXT($J772,"yyyy-mm-dd")&amp;"|"&amp;$Y772&amp;"|",'CALENDARIO'!$G$15:$G$214,0)),IFERROR(INDEX('CALENDARIO'!$C$15:$C$214,MATCH(TEXT($J772,"yyyy-mm-dd")&amp;"||",'CALENDARIO'!$G$15:$G$214,0)),INDEX(patronHabil,WEEKDAY($J772,2))))))</f>
        <v/>
      </c>
      <c r="U772" s="24">
        <f>IF($I772="","",IFERROR(INDEX('CAT_TIPOS_OT'!$C$4:$C$23,MATCH($I772,'CAT_TIPOS_OT'!$A$4:$A$23,0)),"sin_clasificar"))</f>
        <v/>
      </c>
      <c r="V772" s="24">
        <f>IF($I772="","",IF(IFERROR(INDEX('CAT_TIPOS_OT'!$D$4:$D$23,MATCH($I772,'CAT_TIPOS_OT'!$A$4:$A$23,0)),"SIN CLASIFICAR")="","SIN CLASIFICAR",IFERROR(INDEX('CAT_TIPOS_OT'!$D$4:$D$23,MATCH($I772,'CAT_TIPOS_OT'!$A$4:$A$23,0)),"SIN CLASIFICAR")))</f>
        <v/>
      </c>
      <c r="W772" s="24">
        <f>IF($H772="","",IF(IFERROR(INDEX('CAT_ACTIVIDADES'!$F$4:$F$26,MATCH($H772,'CAT_ACTIVIDADES'!$A$4:$A$26,0)),"")=0,"",IFERROR(INDEX('CAT_ACTIVIDADES'!$F$4:$F$26,MATCH($H772,'CAT_ACTIVIDADES'!$A$4:$A$26,0)),"")))</f>
        <v/>
      </c>
      <c r="X772" s="24">
        <f>IF($F772="","",IFERROR(INDEX('CAT_CENTROS_COSTO'!$F$4:$F$28,MATCH($F772,'CAT_CENTROS_COSTO'!$A$4:$A$28,0)),"(sin catálogo)"))</f>
        <v/>
      </c>
      <c r="Y772" s="24">
        <f>IF($F772="","",IFERROR(INDEX('CAT_CENTROS_COSTO'!$D$4:$D$28,MATCH($F772,'CAT_CENTROS_COSTO'!$A$4:$A$28,0)),"(sin catálogo)"))</f>
        <v/>
      </c>
      <c r="Z772" s="24">
        <f>IF($F772="","",IF((IFERROR(INDEX('CAT_CENTROS_COSTO'!$E$4:$E$28,MATCH($F772,'CAT_CENTROS_COSTO'!$A$4:$A$28,0)),""))&lt;&gt;"",IFERROR(INDEX('CAT_CENTROS_COSTO'!$E$4:$E$28,MATCH($F772,'CAT_CENTROS_COSTO'!$A$4:$A$28,0)),""),$Y772))</f>
        <v/>
      </c>
      <c r="AA772" s="24">
        <f>IF($F772="","",IFERROR(INDEX('CAT_CENTROS_COSTO'!$G$4:$G$28,MATCH($F772,'CAT_CENTROS_COSTO'!$A$4:$A$28,0)),"(sin catálogo)"))</f>
        <v/>
      </c>
      <c r="AB772" s="24">
        <f>IF($G772="","",IFERROR(INDEX('CAT_PUESTOS'!$B$4:$B$23,MATCH($G772,'CAT_PUESTOS'!$A$4:$A$23,0)),"(sin catálogo)"))</f>
        <v/>
      </c>
      <c r="AC772" s="24">
        <f>IF($H772="","",IFERROR(INDEX('CAT_ACTIVIDADES'!$B$4:$B$26,MATCH($H772,'CAT_ACTIVIDADES'!$A$4:$A$26,0)),"(sin catálogo)"))</f>
        <v/>
      </c>
      <c r="AD772" s="26">
        <f>IF($J772="","",TODAY()-$J772)</f>
        <v/>
      </c>
      <c r="AE772" s="26">
        <f>IF($J772="","",IF($J772&lt;=TODAY(),COUNTIFS(cal_fechas,"&gt;="&amp;$J772,cal_fechas,"&lt;"&amp;TODAY(),cal_habil,"sí"),-COUNTIFS(cal_fechas,"&gt;="&amp;TODAY(),cal_fechas,"&lt;"&amp;$J772,cal_habil,"sí")))</f>
        <v/>
      </c>
      <c r="AF772" s="24">
        <f>IF($AE772="","",IF($AE772&lt;0,"FUTURO",IF($AE772&gt;p_dias_backlog_max,"BACKLOG","MES CORRIENTE")))</f>
        <v/>
      </c>
      <c r="AG772" s="24">
        <f>IF($AE772="",FALSE,AND($AE772&gt;p_dias_backlog_min,$AE772&lt;=p_dias_backlog_max))</f>
        <v/>
      </c>
      <c r="AH772" s="4" t="n"/>
      <c r="AI772" s="24">
        <f>IF($AH772="","",IF((IFERROR(INDEX('ASIGNACIONES'!$J$4:$J$451,MATCH($O772&amp;"|"&amp;$S772&amp;"|"&amp;$AH772,'ASIGNACIONES'!$N$4:$N$451,0)),""))=0,"",IFERROR(INDEX('ASIGNACIONES'!$J$4:$J$451,MATCH($O772&amp;"|"&amp;$S772&amp;"|"&amp;$AH772,'ASIGNACIONES'!$N$4:$N$451,0)),"")))</f>
        <v/>
      </c>
      <c r="AJ772" s="42">
        <f>IF($AH772="","",SUMIFS('ORDENES'!$M$4:$M$1203,'ORDENES'!$AH$4:$AH$1203,$AH772,'ORDENES'!$O$4:$O$1203,$O772,'ORDENES'!$S$4:$S$1203,$S772))</f>
        <v/>
      </c>
      <c r="AK772" s="42">
        <f>IF($AJ772="","",p_factor_productividad*IFERROR(INDEX('ASIGNACIONES'!$M$4:$M$451,MATCH($O772&amp;"|"&amp;$S772&amp;"|"&amp;$AH772,'ASIGNACIONES'!$N$4:$N$451,0)),0)-$AJ772)</f>
        <v/>
      </c>
      <c r="AL772" s="32">
        <f>IF($A772="","",IFERROR(INDEX('2_IMPORTAR_EJECUCION'!$F$9:$F$1208,MATCH($AU772,'2_IMPORTAR_EJECUCION'!$J$9:$J$1208,0)),0))</f>
        <v/>
      </c>
      <c r="AM772" s="32">
        <f>IF($A772="","",MAX(0,IFERROR(INDEX('2_IMPORTAR_EJECUCION'!$H$9:$H$1208,MATCH($AU772,'2_IMPORTAR_EJECUCION'!$J$9:$J$1208,0)),0)-$AL772))</f>
        <v/>
      </c>
      <c r="AN772" s="32">
        <f>IF($A772="","",$AL772+$AM772)</f>
        <v/>
      </c>
      <c r="AO772" s="24">
        <f>IF($A772="","",IF(OR((IFERROR(INDEX('CAT_ACTIVIDADES'!$D$4:$D$26,MATCH($H772,'CAT_ACTIVIDADES'!$A$4:$A$26,0)),""))=0,(IFERROR(INDEX('CAT_ACTIVIDADES'!$D$4:$D$26,MATCH($H772,'CAT_ACTIVIDADES'!$A$4:$A$26,0)),""))=""),"SIN CLASIFICAR",IFERROR(INDEX('CAT_ACTIVIDADES'!$D$4:$D$26,MATCH($H772,'CAT_ACTIVIDADES'!$A$4:$A$26,0)),"")))</f>
        <v/>
      </c>
      <c r="AP772" s="4" t="n"/>
      <c r="AQ772" s="4" t="n"/>
      <c r="AR772" s="4" t="n"/>
      <c r="AS772" s="24">
        <f>IF($AR772="","",HYPERLINK(p_ruta_base_checklists&amp;$AR772,"abrir"))</f>
        <v/>
      </c>
      <c r="AT772" s="4" t="n"/>
      <c r="AU772" s="24">
        <f>IF($A772="","",$A772&amp;IF($B772="","0010",$B772))</f>
        <v/>
      </c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41" t="n"/>
      <c r="K773" s="5" t="n"/>
      <c r="L773" s="18" t="n"/>
      <c r="M773" s="24">
        <f>IF($A773="","",IFERROR(INDEX('AJUSTES'!$B$4:$B$303,MATCH($AU773,'AJUSTES'!$A$4:$A$303,0)),IF($K773="","",$K773)))</f>
        <v/>
      </c>
      <c r="N773" s="24">
        <f>IF($A773="","",IFERROR(INDEX('CAT_ESTADOS_ERP'!$B$4:$B$22,MATCH(IFERROR(INDEX('2_IMPORTAR_EJECUCION'!$C$9:$C$1208,MATCH($AU773,'2_IMPORTAR_EJECUCION'!$J$9:$J$1208,0)),""),'CAT_ESTADOS_ERP'!$A$4:$A$22,0)),"Pendiente"))</f>
        <v/>
      </c>
      <c r="O773" s="24">
        <f>IF($J773="","",YEAR($J773+4-WEEKDAY($J773,2))&amp;"-S"&amp;TEXT(_xlfn.ISOWEEKNUM($J773),"00"))</f>
        <v/>
      </c>
      <c r="P773" s="24">
        <f>IF($J773="","",YEAR($J773))</f>
        <v/>
      </c>
      <c r="Q773" s="24">
        <f>IF($J773="","",MONTH($J773))</f>
        <v/>
      </c>
      <c r="R773" s="24">
        <f>IF($J773="","",$P773&amp;"-"&amp;TEXT($Q773,"00"))</f>
        <v/>
      </c>
      <c r="S773" s="24">
        <f>IF($J773="","",INDEX(lista_dias,WEEKDAY($J773,2)))</f>
        <v/>
      </c>
      <c r="T773" s="24">
        <f>IF($J773="","",IFERROR(INDEX('CALENDARIO'!$C$15:$C$214,MATCH(TEXT($J773,"yyyy-mm-dd")&amp;"|"&amp;$Y773&amp;"|"&amp;$Z773,'CALENDARIO'!$G$15:$G$214,0)),IFERROR(INDEX('CALENDARIO'!$C$15:$C$214,MATCH(TEXT($J773,"yyyy-mm-dd")&amp;"|"&amp;$Y773&amp;"|",'CALENDARIO'!$G$15:$G$214,0)),IFERROR(INDEX('CALENDARIO'!$C$15:$C$214,MATCH(TEXT($J773,"yyyy-mm-dd")&amp;"||",'CALENDARIO'!$G$15:$G$214,0)),INDEX(patronHabil,WEEKDAY($J773,2))))))</f>
        <v/>
      </c>
      <c r="U773" s="24">
        <f>IF($I773="","",IFERROR(INDEX('CAT_TIPOS_OT'!$C$4:$C$23,MATCH($I773,'CAT_TIPOS_OT'!$A$4:$A$23,0)),"sin_clasificar"))</f>
        <v/>
      </c>
      <c r="V773" s="24">
        <f>IF($I773="","",IF(IFERROR(INDEX('CAT_TIPOS_OT'!$D$4:$D$23,MATCH($I773,'CAT_TIPOS_OT'!$A$4:$A$23,0)),"SIN CLASIFICAR")="","SIN CLASIFICAR",IFERROR(INDEX('CAT_TIPOS_OT'!$D$4:$D$23,MATCH($I773,'CAT_TIPOS_OT'!$A$4:$A$23,0)),"SIN CLASIFICAR")))</f>
        <v/>
      </c>
      <c r="W773" s="24">
        <f>IF($H773="","",IF(IFERROR(INDEX('CAT_ACTIVIDADES'!$F$4:$F$26,MATCH($H773,'CAT_ACTIVIDADES'!$A$4:$A$26,0)),"")=0,"",IFERROR(INDEX('CAT_ACTIVIDADES'!$F$4:$F$26,MATCH($H773,'CAT_ACTIVIDADES'!$A$4:$A$26,0)),"")))</f>
        <v/>
      </c>
      <c r="X773" s="24">
        <f>IF($F773="","",IFERROR(INDEX('CAT_CENTROS_COSTO'!$F$4:$F$28,MATCH($F773,'CAT_CENTROS_COSTO'!$A$4:$A$28,0)),"(sin catálogo)"))</f>
        <v/>
      </c>
      <c r="Y773" s="24">
        <f>IF($F773="","",IFERROR(INDEX('CAT_CENTROS_COSTO'!$D$4:$D$28,MATCH($F773,'CAT_CENTROS_COSTO'!$A$4:$A$28,0)),"(sin catálogo)"))</f>
        <v/>
      </c>
      <c r="Z773" s="24">
        <f>IF($F773="","",IF((IFERROR(INDEX('CAT_CENTROS_COSTO'!$E$4:$E$28,MATCH($F773,'CAT_CENTROS_COSTO'!$A$4:$A$28,0)),""))&lt;&gt;"",IFERROR(INDEX('CAT_CENTROS_COSTO'!$E$4:$E$28,MATCH($F773,'CAT_CENTROS_COSTO'!$A$4:$A$28,0)),""),$Y773))</f>
        <v/>
      </c>
      <c r="AA773" s="24">
        <f>IF($F773="","",IFERROR(INDEX('CAT_CENTROS_COSTO'!$G$4:$G$28,MATCH($F773,'CAT_CENTROS_COSTO'!$A$4:$A$28,0)),"(sin catálogo)"))</f>
        <v/>
      </c>
      <c r="AB773" s="24">
        <f>IF($G773="","",IFERROR(INDEX('CAT_PUESTOS'!$B$4:$B$23,MATCH($G773,'CAT_PUESTOS'!$A$4:$A$23,0)),"(sin catálogo)"))</f>
        <v/>
      </c>
      <c r="AC773" s="24">
        <f>IF($H773="","",IFERROR(INDEX('CAT_ACTIVIDADES'!$B$4:$B$26,MATCH($H773,'CAT_ACTIVIDADES'!$A$4:$A$26,0)),"(sin catálogo)"))</f>
        <v/>
      </c>
      <c r="AD773" s="26">
        <f>IF($J773="","",TODAY()-$J773)</f>
        <v/>
      </c>
      <c r="AE773" s="26">
        <f>IF($J773="","",IF($J773&lt;=TODAY(),COUNTIFS(cal_fechas,"&gt;="&amp;$J773,cal_fechas,"&lt;"&amp;TODAY(),cal_habil,"sí"),-COUNTIFS(cal_fechas,"&gt;="&amp;TODAY(),cal_fechas,"&lt;"&amp;$J773,cal_habil,"sí")))</f>
        <v/>
      </c>
      <c r="AF773" s="24">
        <f>IF($AE773="","",IF($AE773&lt;0,"FUTURO",IF($AE773&gt;p_dias_backlog_max,"BACKLOG","MES CORRIENTE")))</f>
        <v/>
      </c>
      <c r="AG773" s="24">
        <f>IF($AE773="",FALSE,AND($AE773&gt;p_dias_backlog_min,$AE773&lt;=p_dias_backlog_max))</f>
        <v/>
      </c>
      <c r="AH773" s="4" t="n"/>
      <c r="AI773" s="24">
        <f>IF($AH773="","",IF((IFERROR(INDEX('ASIGNACIONES'!$J$4:$J$451,MATCH($O773&amp;"|"&amp;$S773&amp;"|"&amp;$AH773,'ASIGNACIONES'!$N$4:$N$451,0)),""))=0,"",IFERROR(INDEX('ASIGNACIONES'!$J$4:$J$451,MATCH($O773&amp;"|"&amp;$S773&amp;"|"&amp;$AH773,'ASIGNACIONES'!$N$4:$N$451,0)),"")))</f>
        <v/>
      </c>
      <c r="AJ773" s="42">
        <f>IF($AH773="","",SUMIFS('ORDENES'!$M$4:$M$1203,'ORDENES'!$AH$4:$AH$1203,$AH773,'ORDENES'!$O$4:$O$1203,$O773,'ORDENES'!$S$4:$S$1203,$S773))</f>
        <v/>
      </c>
      <c r="AK773" s="42">
        <f>IF($AJ773="","",p_factor_productividad*IFERROR(INDEX('ASIGNACIONES'!$M$4:$M$451,MATCH($O773&amp;"|"&amp;$S773&amp;"|"&amp;$AH773,'ASIGNACIONES'!$N$4:$N$451,0)),0)-$AJ773)</f>
        <v/>
      </c>
      <c r="AL773" s="32">
        <f>IF($A773="","",IFERROR(INDEX('2_IMPORTAR_EJECUCION'!$F$9:$F$1208,MATCH($AU773,'2_IMPORTAR_EJECUCION'!$J$9:$J$1208,0)),0))</f>
        <v/>
      </c>
      <c r="AM773" s="32">
        <f>IF($A773="","",MAX(0,IFERROR(INDEX('2_IMPORTAR_EJECUCION'!$H$9:$H$1208,MATCH($AU773,'2_IMPORTAR_EJECUCION'!$J$9:$J$1208,0)),0)-$AL773))</f>
        <v/>
      </c>
      <c r="AN773" s="32">
        <f>IF($A773="","",$AL773+$AM773)</f>
        <v/>
      </c>
      <c r="AO773" s="24">
        <f>IF($A773="","",IF(OR((IFERROR(INDEX('CAT_ACTIVIDADES'!$D$4:$D$26,MATCH($H773,'CAT_ACTIVIDADES'!$A$4:$A$26,0)),""))=0,(IFERROR(INDEX('CAT_ACTIVIDADES'!$D$4:$D$26,MATCH($H773,'CAT_ACTIVIDADES'!$A$4:$A$26,0)),""))=""),"SIN CLASIFICAR",IFERROR(INDEX('CAT_ACTIVIDADES'!$D$4:$D$26,MATCH($H773,'CAT_ACTIVIDADES'!$A$4:$A$26,0)),"")))</f>
        <v/>
      </c>
      <c r="AP773" s="4" t="n"/>
      <c r="AQ773" s="4" t="n"/>
      <c r="AR773" s="4" t="n"/>
      <c r="AS773" s="24">
        <f>IF($AR773="","",HYPERLINK(p_ruta_base_checklists&amp;$AR773,"abrir"))</f>
        <v/>
      </c>
      <c r="AT773" s="4" t="n"/>
      <c r="AU773" s="24">
        <f>IF($A773="","",$A773&amp;IF($B773="","0010",$B773))</f>
        <v/>
      </c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41" t="n"/>
      <c r="K774" s="5" t="n"/>
      <c r="L774" s="18" t="n"/>
      <c r="M774" s="24">
        <f>IF($A774="","",IFERROR(INDEX('AJUSTES'!$B$4:$B$303,MATCH($AU774,'AJUSTES'!$A$4:$A$303,0)),IF($K774="","",$K774)))</f>
        <v/>
      </c>
      <c r="N774" s="24">
        <f>IF($A774="","",IFERROR(INDEX('CAT_ESTADOS_ERP'!$B$4:$B$22,MATCH(IFERROR(INDEX('2_IMPORTAR_EJECUCION'!$C$9:$C$1208,MATCH($AU774,'2_IMPORTAR_EJECUCION'!$J$9:$J$1208,0)),""),'CAT_ESTADOS_ERP'!$A$4:$A$22,0)),"Pendiente"))</f>
        <v/>
      </c>
      <c r="O774" s="24">
        <f>IF($J774="","",YEAR($J774+4-WEEKDAY($J774,2))&amp;"-S"&amp;TEXT(_xlfn.ISOWEEKNUM($J774),"00"))</f>
        <v/>
      </c>
      <c r="P774" s="24">
        <f>IF($J774="","",YEAR($J774))</f>
        <v/>
      </c>
      <c r="Q774" s="24">
        <f>IF($J774="","",MONTH($J774))</f>
        <v/>
      </c>
      <c r="R774" s="24">
        <f>IF($J774="","",$P774&amp;"-"&amp;TEXT($Q774,"00"))</f>
        <v/>
      </c>
      <c r="S774" s="24">
        <f>IF($J774="","",INDEX(lista_dias,WEEKDAY($J774,2)))</f>
        <v/>
      </c>
      <c r="T774" s="24">
        <f>IF($J774="","",IFERROR(INDEX('CALENDARIO'!$C$15:$C$214,MATCH(TEXT($J774,"yyyy-mm-dd")&amp;"|"&amp;$Y774&amp;"|"&amp;$Z774,'CALENDARIO'!$G$15:$G$214,0)),IFERROR(INDEX('CALENDARIO'!$C$15:$C$214,MATCH(TEXT($J774,"yyyy-mm-dd")&amp;"|"&amp;$Y774&amp;"|",'CALENDARIO'!$G$15:$G$214,0)),IFERROR(INDEX('CALENDARIO'!$C$15:$C$214,MATCH(TEXT($J774,"yyyy-mm-dd")&amp;"||",'CALENDARIO'!$G$15:$G$214,0)),INDEX(patronHabil,WEEKDAY($J774,2))))))</f>
        <v/>
      </c>
      <c r="U774" s="24">
        <f>IF($I774="","",IFERROR(INDEX('CAT_TIPOS_OT'!$C$4:$C$23,MATCH($I774,'CAT_TIPOS_OT'!$A$4:$A$23,0)),"sin_clasificar"))</f>
        <v/>
      </c>
      <c r="V774" s="24">
        <f>IF($I774="","",IF(IFERROR(INDEX('CAT_TIPOS_OT'!$D$4:$D$23,MATCH($I774,'CAT_TIPOS_OT'!$A$4:$A$23,0)),"SIN CLASIFICAR")="","SIN CLASIFICAR",IFERROR(INDEX('CAT_TIPOS_OT'!$D$4:$D$23,MATCH($I774,'CAT_TIPOS_OT'!$A$4:$A$23,0)),"SIN CLASIFICAR")))</f>
        <v/>
      </c>
      <c r="W774" s="24">
        <f>IF($H774="","",IF(IFERROR(INDEX('CAT_ACTIVIDADES'!$F$4:$F$26,MATCH($H774,'CAT_ACTIVIDADES'!$A$4:$A$26,0)),"")=0,"",IFERROR(INDEX('CAT_ACTIVIDADES'!$F$4:$F$26,MATCH($H774,'CAT_ACTIVIDADES'!$A$4:$A$26,0)),"")))</f>
        <v/>
      </c>
      <c r="X774" s="24">
        <f>IF($F774="","",IFERROR(INDEX('CAT_CENTROS_COSTO'!$F$4:$F$28,MATCH($F774,'CAT_CENTROS_COSTO'!$A$4:$A$28,0)),"(sin catálogo)"))</f>
        <v/>
      </c>
      <c r="Y774" s="24">
        <f>IF($F774="","",IFERROR(INDEX('CAT_CENTROS_COSTO'!$D$4:$D$28,MATCH($F774,'CAT_CENTROS_COSTO'!$A$4:$A$28,0)),"(sin catálogo)"))</f>
        <v/>
      </c>
      <c r="Z774" s="24">
        <f>IF($F774="","",IF((IFERROR(INDEX('CAT_CENTROS_COSTO'!$E$4:$E$28,MATCH($F774,'CAT_CENTROS_COSTO'!$A$4:$A$28,0)),""))&lt;&gt;"",IFERROR(INDEX('CAT_CENTROS_COSTO'!$E$4:$E$28,MATCH($F774,'CAT_CENTROS_COSTO'!$A$4:$A$28,0)),""),$Y774))</f>
        <v/>
      </c>
      <c r="AA774" s="24">
        <f>IF($F774="","",IFERROR(INDEX('CAT_CENTROS_COSTO'!$G$4:$G$28,MATCH($F774,'CAT_CENTROS_COSTO'!$A$4:$A$28,0)),"(sin catálogo)"))</f>
        <v/>
      </c>
      <c r="AB774" s="24">
        <f>IF($G774="","",IFERROR(INDEX('CAT_PUESTOS'!$B$4:$B$23,MATCH($G774,'CAT_PUESTOS'!$A$4:$A$23,0)),"(sin catálogo)"))</f>
        <v/>
      </c>
      <c r="AC774" s="24">
        <f>IF($H774="","",IFERROR(INDEX('CAT_ACTIVIDADES'!$B$4:$B$26,MATCH($H774,'CAT_ACTIVIDADES'!$A$4:$A$26,0)),"(sin catálogo)"))</f>
        <v/>
      </c>
      <c r="AD774" s="26">
        <f>IF($J774="","",TODAY()-$J774)</f>
        <v/>
      </c>
      <c r="AE774" s="26">
        <f>IF($J774="","",IF($J774&lt;=TODAY(),COUNTIFS(cal_fechas,"&gt;="&amp;$J774,cal_fechas,"&lt;"&amp;TODAY(),cal_habil,"sí"),-COUNTIFS(cal_fechas,"&gt;="&amp;TODAY(),cal_fechas,"&lt;"&amp;$J774,cal_habil,"sí")))</f>
        <v/>
      </c>
      <c r="AF774" s="24">
        <f>IF($AE774="","",IF($AE774&lt;0,"FUTURO",IF($AE774&gt;p_dias_backlog_max,"BACKLOG","MES CORRIENTE")))</f>
        <v/>
      </c>
      <c r="AG774" s="24">
        <f>IF($AE774="",FALSE,AND($AE774&gt;p_dias_backlog_min,$AE774&lt;=p_dias_backlog_max))</f>
        <v/>
      </c>
      <c r="AH774" s="4" t="n"/>
      <c r="AI774" s="24">
        <f>IF($AH774="","",IF((IFERROR(INDEX('ASIGNACIONES'!$J$4:$J$451,MATCH($O774&amp;"|"&amp;$S774&amp;"|"&amp;$AH774,'ASIGNACIONES'!$N$4:$N$451,0)),""))=0,"",IFERROR(INDEX('ASIGNACIONES'!$J$4:$J$451,MATCH($O774&amp;"|"&amp;$S774&amp;"|"&amp;$AH774,'ASIGNACIONES'!$N$4:$N$451,0)),"")))</f>
        <v/>
      </c>
      <c r="AJ774" s="42">
        <f>IF($AH774="","",SUMIFS('ORDENES'!$M$4:$M$1203,'ORDENES'!$AH$4:$AH$1203,$AH774,'ORDENES'!$O$4:$O$1203,$O774,'ORDENES'!$S$4:$S$1203,$S774))</f>
        <v/>
      </c>
      <c r="AK774" s="42">
        <f>IF($AJ774="","",p_factor_productividad*IFERROR(INDEX('ASIGNACIONES'!$M$4:$M$451,MATCH($O774&amp;"|"&amp;$S774&amp;"|"&amp;$AH774,'ASIGNACIONES'!$N$4:$N$451,0)),0)-$AJ774)</f>
        <v/>
      </c>
      <c r="AL774" s="32">
        <f>IF($A774="","",IFERROR(INDEX('2_IMPORTAR_EJECUCION'!$F$9:$F$1208,MATCH($AU774,'2_IMPORTAR_EJECUCION'!$J$9:$J$1208,0)),0))</f>
        <v/>
      </c>
      <c r="AM774" s="32">
        <f>IF($A774="","",MAX(0,IFERROR(INDEX('2_IMPORTAR_EJECUCION'!$H$9:$H$1208,MATCH($AU774,'2_IMPORTAR_EJECUCION'!$J$9:$J$1208,0)),0)-$AL774))</f>
        <v/>
      </c>
      <c r="AN774" s="32">
        <f>IF($A774="","",$AL774+$AM774)</f>
        <v/>
      </c>
      <c r="AO774" s="24">
        <f>IF($A774="","",IF(OR((IFERROR(INDEX('CAT_ACTIVIDADES'!$D$4:$D$26,MATCH($H774,'CAT_ACTIVIDADES'!$A$4:$A$26,0)),""))=0,(IFERROR(INDEX('CAT_ACTIVIDADES'!$D$4:$D$26,MATCH($H774,'CAT_ACTIVIDADES'!$A$4:$A$26,0)),""))=""),"SIN CLASIFICAR",IFERROR(INDEX('CAT_ACTIVIDADES'!$D$4:$D$26,MATCH($H774,'CAT_ACTIVIDADES'!$A$4:$A$26,0)),"")))</f>
        <v/>
      </c>
      <c r="AP774" s="4" t="n"/>
      <c r="AQ774" s="4" t="n"/>
      <c r="AR774" s="4" t="n"/>
      <c r="AS774" s="24">
        <f>IF($AR774="","",HYPERLINK(p_ruta_base_checklists&amp;$AR774,"abrir"))</f>
        <v/>
      </c>
      <c r="AT774" s="4" t="n"/>
      <c r="AU774" s="24">
        <f>IF($A774="","",$A774&amp;IF($B774="","0010",$B774))</f>
        <v/>
      </c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41" t="n"/>
      <c r="K775" s="5" t="n"/>
      <c r="L775" s="18" t="n"/>
      <c r="M775" s="24">
        <f>IF($A775="","",IFERROR(INDEX('AJUSTES'!$B$4:$B$303,MATCH($AU775,'AJUSTES'!$A$4:$A$303,0)),IF($K775="","",$K775)))</f>
        <v/>
      </c>
      <c r="N775" s="24">
        <f>IF($A775="","",IFERROR(INDEX('CAT_ESTADOS_ERP'!$B$4:$B$22,MATCH(IFERROR(INDEX('2_IMPORTAR_EJECUCION'!$C$9:$C$1208,MATCH($AU775,'2_IMPORTAR_EJECUCION'!$J$9:$J$1208,0)),""),'CAT_ESTADOS_ERP'!$A$4:$A$22,0)),"Pendiente"))</f>
        <v/>
      </c>
      <c r="O775" s="24">
        <f>IF($J775="","",YEAR($J775+4-WEEKDAY($J775,2))&amp;"-S"&amp;TEXT(_xlfn.ISOWEEKNUM($J775),"00"))</f>
        <v/>
      </c>
      <c r="P775" s="24">
        <f>IF($J775="","",YEAR($J775))</f>
        <v/>
      </c>
      <c r="Q775" s="24">
        <f>IF($J775="","",MONTH($J775))</f>
        <v/>
      </c>
      <c r="R775" s="24">
        <f>IF($J775="","",$P775&amp;"-"&amp;TEXT($Q775,"00"))</f>
        <v/>
      </c>
      <c r="S775" s="24">
        <f>IF($J775="","",INDEX(lista_dias,WEEKDAY($J775,2)))</f>
        <v/>
      </c>
      <c r="T775" s="24">
        <f>IF($J775="","",IFERROR(INDEX('CALENDARIO'!$C$15:$C$214,MATCH(TEXT($J775,"yyyy-mm-dd")&amp;"|"&amp;$Y775&amp;"|"&amp;$Z775,'CALENDARIO'!$G$15:$G$214,0)),IFERROR(INDEX('CALENDARIO'!$C$15:$C$214,MATCH(TEXT($J775,"yyyy-mm-dd")&amp;"|"&amp;$Y775&amp;"|",'CALENDARIO'!$G$15:$G$214,0)),IFERROR(INDEX('CALENDARIO'!$C$15:$C$214,MATCH(TEXT($J775,"yyyy-mm-dd")&amp;"||",'CALENDARIO'!$G$15:$G$214,0)),INDEX(patronHabil,WEEKDAY($J775,2))))))</f>
        <v/>
      </c>
      <c r="U775" s="24">
        <f>IF($I775="","",IFERROR(INDEX('CAT_TIPOS_OT'!$C$4:$C$23,MATCH($I775,'CAT_TIPOS_OT'!$A$4:$A$23,0)),"sin_clasificar"))</f>
        <v/>
      </c>
      <c r="V775" s="24">
        <f>IF($I775="","",IF(IFERROR(INDEX('CAT_TIPOS_OT'!$D$4:$D$23,MATCH($I775,'CAT_TIPOS_OT'!$A$4:$A$23,0)),"SIN CLASIFICAR")="","SIN CLASIFICAR",IFERROR(INDEX('CAT_TIPOS_OT'!$D$4:$D$23,MATCH($I775,'CAT_TIPOS_OT'!$A$4:$A$23,0)),"SIN CLASIFICAR")))</f>
        <v/>
      </c>
      <c r="W775" s="24">
        <f>IF($H775="","",IF(IFERROR(INDEX('CAT_ACTIVIDADES'!$F$4:$F$26,MATCH($H775,'CAT_ACTIVIDADES'!$A$4:$A$26,0)),"")=0,"",IFERROR(INDEX('CAT_ACTIVIDADES'!$F$4:$F$26,MATCH($H775,'CAT_ACTIVIDADES'!$A$4:$A$26,0)),"")))</f>
        <v/>
      </c>
      <c r="X775" s="24">
        <f>IF($F775="","",IFERROR(INDEX('CAT_CENTROS_COSTO'!$F$4:$F$28,MATCH($F775,'CAT_CENTROS_COSTO'!$A$4:$A$28,0)),"(sin catálogo)"))</f>
        <v/>
      </c>
      <c r="Y775" s="24">
        <f>IF($F775="","",IFERROR(INDEX('CAT_CENTROS_COSTO'!$D$4:$D$28,MATCH($F775,'CAT_CENTROS_COSTO'!$A$4:$A$28,0)),"(sin catálogo)"))</f>
        <v/>
      </c>
      <c r="Z775" s="24">
        <f>IF($F775="","",IF((IFERROR(INDEX('CAT_CENTROS_COSTO'!$E$4:$E$28,MATCH($F775,'CAT_CENTROS_COSTO'!$A$4:$A$28,0)),""))&lt;&gt;"",IFERROR(INDEX('CAT_CENTROS_COSTO'!$E$4:$E$28,MATCH($F775,'CAT_CENTROS_COSTO'!$A$4:$A$28,0)),""),$Y775))</f>
        <v/>
      </c>
      <c r="AA775" s="24">
        <f>IF($F775="","",IFERROR(INDEX('CAT_CENTROS_COSTO'!$G$4:$G$28,MATCH($F775,'CAT_CENTROS_COSTO'!$A$4:$A$28,0)),"(sin catálogo)"))</f>
        <v/>
      </c>
      <c r="AB775" s="24">
        <f>IF($G775="","",IFERROR(INDEX('CAT_PUESTOS'!$B$4:$B$23,MATCH($G775,'CAT_PUESTOS'!$A$4:$A$23,0)),"(sin catálogo)"))</f>
        <v/>
      </c>
      <c r="AC775" s="24">
        <f>IF($H775="","",IFERROR(INDEX('CAT_ACTIVIDADES'!$B$4:$B$26,MATCH($H775,'CAT_ACTIVIDADES'!$A$4:$A$26,0)),"(sin catálogo)"))</f>
        <v/>
      </c>
      <c r="AD775" s="26">
        <f>IF($J775="","",TODAY()-$J775)</f>
        <v/>
      </c>
      <c r="AE775" s="26">
        <f>IF($J775="","",IF($J775&lt;=TODAY(),COUNTIFS(cal_fechas,"&gt;="&amp;$J775,cal_fechas,"&lt;"&amp;TODAY(),cal_habil,"sí"),-COUNTIFS(cal_fechas,"&gt;="&amp;TODAY(),cal_fechas,"&lt;"&amp;$J775,cal_habil,"sí")))</f>
        <v/>
      </c>
      <c r="AF775" s="24">
        <f>IF($AE775="","",IF($AE775&lt;0,"FUTURO",IF($AE775&gt;p_dias_backlog_max,"BACKLOG","MES CORRIENTE")))</f>
        <v/>
      </c>
      <c r="AG775" s="24">
        <f>IF($AE775="",FALSE,AND($AE775&gt;p_dias_backlog_min,$AE775&lt;=p_dias_backlog_max))</f>
        <v/>
      </c>
      <c r="AH775" s="4" t="n"/>
      <c r="AI775" s="24">
        <f>IF($AH775="","",IF((IFERROR(INDEX('ASIGNACIONES'!$J$4:$J$451,MATCH($O775&amp;"|"&amp;$S775&amp;"|"&amp;$AH775,'ASIGNACIONES'!$N$4:$N$451,0)),""))=0,"",IFERROR(INDEX('ASIGNACIONES'!$J$4:$J$451,MATCH($O775&amp;"|"&amp;$S775&amp;"|"&amp;$AH775,'ASIGNACIONES'!$N$4:$N$451,0)),"")))</f>
        <v/>
      </c>
      <c r="AJ775" s="42">
        <f>IF($AH775="","",SUMIFS('ORDENES'!$M$4:$M$1203,'ORDENES'!$AH$4:$AH$1203,$AH775,'ORDENES'!$O$4:$O$1203,$O775,'ORDENES'!$S$4:$S$1203,$S775))</f>
        <v/>
      </c>
      <c r="AK775" s="42">
        <f>IF($AJ775="","",p_factor_productividad*IFERROR(INDEX('ASIGNACIONES'!$M$4:$M$451,MATCH($O775&amp;"|"&amp;$S775&amp;"|"&amp;$AH775,'ASIGNACIONES'!$N$4:$N$451,0)),0)-$AJ775)</f>
        <v/>
      </c>
      <c r="AL775" s="32">
        <f>IF($A775="","",IFERROR(INDEX('2_IMPORTAR_EJECUCION'!$F$9:$F$1208,MATCH($AU775,'2_IMPORTAR_EJECUCION'!$J$9:$J$1208,0)),0))</f>
        <v/>
      </c>
      <c r="AM775" s="32">
        <f>IF($A775="","",MAX(0,IFERROR(INDEX('2_IMPORTAR_EJECUCION'!$H$9:$H$1208,MATCH($AU775,'2_IMPORTAR_EJECUCION'!$J$9:$J$1208,0)),0)-$AL775))</f>
        <v/>
      </c>
      <c r="AN775" s="32">
        <f>IF($A775="","",$AL775+$AM775)</f>
        <v/>
      </c>
      <c r="AO775" s="24">
        <f>IF($A775="","",IF(OR((IFERROR(INDEX('CAT_ACTIVIDADES'!$D$4:$D$26,MATCH($H775,'CAT_ACTIVIDADES'!$A$4:$A$26,0)),""))=0,(IFERROR(INDEX('CAT_ACTIVIDADES'!$D$4:$D$26,MATCH($H775,'CAT_ACTIVIDADES'!$A$4:$A$26,0)),""))=""),"SIN CLASIFICAR",IFERROR(INDEX('CAT_ACTIVIDADES'!$D$4:$D$26,MATCH($H775,'CAT_ACTIVIDADES'!$A$4:$A$26,0)),"")))</f>
        <v/>
      </c>
      <c r="AP775" s="4" t="n"/>
      <c r="AQ775" s="4" t="n"/>
      <c r="AR775" s="4" t="n"/>
      <c r="AS775" s="24">
        <f>IF($AR775="","",HYPERLINK(p_ruta_base_checklists&amp;$AR775,"abrir"))</f>
        <v/>
      </c>
      <c r="AT775" s="4" t="n"/>
      <c r="AU775" s="24">
        <f>IF($A775="","",$A775&amp;IF($B775="","0010",$B775))</f>
        <v/>
      </c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41" t="n"/>
      <c r="K776" s="5" t="n"/>
      <c r="L776" s="18" t="n"/>
      <c r="M776" s="24">
        <f>IF($A776="","",IFERROR(INDEX('AJUSTES'!$B$4:$B$303,MATCH($AU776,'AJUSTES'!$A$4:$A$303,0)),IF($K776="","",$K776)))</f>
        <v/>
      </c>
      <c r="N776" s="24">
        <f>IF($A776="","",IFERROR(INDEX('CAT_ESTADOS_ERP'!$B$4:$B$22,MATCH(IFERROR(INDEX('2_IMPORTAR_EJECUCION'!$C$9:$C$1208,MATCH($AU776,'2_IMPORTAR_EJECUCION'!$J$9:$J$1208,0)),""),'CAT_ESTADOS_ERP'!$A$4:$A$22,0)),"Pendiente"))</f>
        <v/>
      </c>
      <c r="O776" s="24">
        <f>IF($J776="","",YEAR($J776+4-WEEKDAY($J776,2))&amp;"-S"&amp;TEXT(_xlfn.ISOWEEKNUM($J776),"00"))</f>
        <v/>
      </c>
      <c r="P776" s="24">
        <f>IF($J776="","",YEAR($J776))</f>
        <v/>
      </c>
      <c r="Q776" s="24">
        <f>IF($J776="","",MONTH($J776))</f>
        <v/>
      </c>
      <c r="R776" s="24">
        <f>IF($J776="","",$P776&amp;"-"&amp;TEXT($Q776,"00"))</f>
        <v/>
      </c>
      <c r="S776" s="24">
        <f>IF($J776="","",INDEX(lista_dias,WEEKDAY($J776,2)))</f>
        <v/>
      </c>
      <c r="T776" s="24">
        <f>IF($J776="","",IFERROR(INDEX('CALENDARIO'!$C$15:$C$214,MATCH(TEXT($J776,"yyyy-mm-dd")&amp;"|"&amp;$Y776&amp;"|"&amp;$Z776,'CALENDARIO'!$G$15:$G$214,0)),IFERROR(INDEX('CALENDARIO'!$C$15:$C$214,MATCH(TEXT($J776,"yyyy-mm-dd")&amp;"|"&amp;$Y776&amp;"|",'CALENDARIO'!$G$15:$G$214,0)),IFERROR(INDEX('CALENDARIO'!$C$15:$C$214,MATCH(TEXT($J776,"yyyy-mm-dd")&amp;"||",'CALENDARIO'!$G$15:$G$214,0)),INDEX(patronHabil,WEEKDAY($J776,2))))))</f>
        <v/>
      </c>
      <c r="U776" s="24">
        <f>IF($I776="","",IFERROR(INDEX('CAT_TIPOS_OT'!$C$4:$C$23,MATCH($I776,'CAT_TIPOS_OT'!$A$4:$A$23,0)),"sin_clasificar"))</f>
        <v/>
      </c>
      <c r="V776" s="24">
        <f>IF($I776="","",IF(IFERROR(INDEX('CAT_TIPOS_OT'!$D$4:$D$23,MATCH($I776,'CAT_TIPOS_OT'!$A$4:$A$23,0)),"SIN CLASIFICAR")="","SIN CLASIFICAR",IFERROR(INDEX('CAT_TIPOS_OT'!$D$4:$D$23,MATCH($I776,'CAT_TIPOS_OT'!$A$4:$A$23,0)),"SIN CLASIFICAR")))</f>
        <v/>
      </c>
      <c r="W776" s="24">
        <f>IF($H776="","",IF(IFERROR(INDEX('CAT_ACTIVIDADES'!$F$4:$F$26,MATCH($H776,'CAT_ACTIVIDADES'!$A$4:$A$26,0)),"")=0,"",IFERROR(INDEX('CAT_ACTIVIDADES'!$F$4:$F$26,MATCH($H776,'CAT_ACTIVIDADES'!$A$4:$A$26,0)),"")))</f>
        <v/>
      </c>
      <c r="X776" s="24">
        <f>IF($F776="","",IFERROR(INDEX('CAT_CENTROS_COSTO'!$F$4:$F$28,MATCH($F776,'CAT_CENTROS_COSTO'!$A$4:$A$28,0)),"(sin catálogo)"))</f>
        <v/>
      </c>
      <c r="Y776" s="24">
        <f>IF($F776="","",IFERROR(INDEX('CAT_CENTROS_COSTO'!$D$4:$D$28,MATCH($F776,'CAT_CENTROS_COSTO'!$A$4:$A$28,0)),"(sin catálogo)"))</f>
        <v/>
      </c>
      <c r="Z776" s="24">
        <f>IF($F776="","",IF((IFERROR(INDEX('CAT_CENTROS_COSTO'!$E$4:$E$28,MATCH($F776,'CAT_CENTROS_COSTO'!$A$4:$A$28,0)),""))&lt;&gt;"",IFERROR(INDEX('CAT_CENTROS_COSTO'!$E$4:$E$28,MATCH($F776,'CAT_CENTROS_COSTO'!$A$4:$A$28,0)),""),$Y776))</f>
        <v/>
      </c>
      <c r="AA776" s="24">
        <f>IF($F776="","",IFERROR(INDEX('CAT_CENTROS_COSTO'!$G$4:$G$28,MATCH($F776,'CAT_CENTROS_COSTO'!$A$4:$A$28,0)),"(sin catálogo)"))</f>
        <v/>
      </c>
      <c r="AB776" s="24">
        <f>IF($G776="","",IFERROR(INDEX('CAT_PUESTOS'!$B$4:$B$23,MATCH($G776,'CAT_PUESTOS'!$A$4:$A$23,0)),"(sin catálogo)"))</f>
        <v/>
      </c>
      <c r="AC776" s="24">
        <f>IF($H776="","",IFERROR(INDEX('CAT_ACTIVIDADES'!$B$4:$B$26,MATCH($H776,'CAT_ACTIVIDADES'!$A$4:$A$26,0)),"(sin catálogo)"))</f>
        <v/>
      </c>
      <c r="AD776" s="26">
        <f>IF($J776="","",TODAY()-$J776)</f>
        <v/>
      </c>
      <c r="AE776" s="26">
        <f>IF($J776="","",IF($J776&lt;=TODAY(),COUNTIFS(cal_fechas,"&gt;="&amp;$J776,cal_fechas,"&lt;"&amp;TODAY(),cal_habil,"sí"),-COUNTIFS(cal_fechas,"&gt;="&amp;TODAY(),cal_fechas,"&lt;"&amp;$J776,cal_habil,"sí")))</f>
        <v/>
      </c>
      <c r="AF776" s="24">
        <f>IF($AE776="","",IF($AE776&lt;0,"FUTURO",IF($AE776&gt;p_dias_backlog_max,"BACKLOG","MES CORRIENTE")))</f>
        <v/>
      </c>
      <c r="AG776" s="24">
        <f>IF($AE776="",FALSE,AND($AE776&gt;p_dias_backlog_min,$AE776&lt;=p_dias_backlog_max))</f>
        <v/>
      </c>
      <c r="AH776" s="4" t="n"/>
      <c r="AI776" s="24">
        <f>IF($AH776="","",IF((IFERROR(INDEX('ASIGNACIONES'!$J$4:$J$451,MATCH($O776&amp;"|"&amp;$S776&amp;"|"&amp;$AH776,'ASIGNACIONES'!$N$4:$N$451,0)),""))=0,"",IFERROR(INDEX('ASIGNACIONES'!$J$4:$J$451,MATCH($O776&amp;"|"&amp;$S776&amp;"|"&amp;$AH776,'ASIGNACIONES'!$N$4:$N$451,0)),"")))</f>
        <v/>
      </c>
      <c r="AJ776" s="42">
        <f>IF($AH776="","",SUMIFS('ORDENES'!$M$4:$M$1203,'ORDENES'!$AH$4:$AH$1203,$AH776,'ORDENES'!$O$4:$O$1203,$O776,'ORDENES'!$S$4:$S$1203,$S776))</f>
        <v/>
      </c>
      <c r="AK776" s="42">
        <f>IF($AJ776="","",p_factor_productividad*IFERROR(INDEX('ASIGNACIONES'!$M$4:$M$451,MATCH($O776&amp;"|"&amp;$S776&amp;"|"&amp;$AH776,'ASIGNACIONES'!$N$4:$N$451,0)),0)-$AJ776)</f>
        <v/>
      </c>
      <c r="AL776" s="32">
        <f>IF($A776="","",IFERROR(INDEX('2_IMPORTAR_EJECUCION'!$F$9:$F$1208,MATCH($AU776,'2_IMPORTAR_EJECUCION'!$J$9:$J$1208,0)),0))</f>
        <v/>
      </c>
      <c r="AM776" s="32">
        <f>IF($A776="","",MAX(0,IFERROR(INDEX('2_IMPORTAR_EJECUCION'!$H$9:$H$1208,MATCH($AU776,'2_IMPORTAR_EJECUCION'!$J$9:$J$1208,0)),0)-$AL776))</f>
        <v/>
      </c>
      <c r="AN776" s="32">
        <f>IF($A776="","",$AL776+$AM776)</f>
        <v/>
      </c>
      <c r="AO776" s="24">
        <f>IF($A776="","",IF(OR((IFERROR(INDEX('CAT_ACTIVIDADES'!$D$4:$D$26,MATCH($H776,'CAT_ACTIVIDADES'!$A$4:$A$26,0)),""))=0,(IFERROR(INDEX('CAT_ACTIVIDADES'!$D$4:$D$26,MATCH($H776,'CAT_ACTIVIDADES'!$A$4:$A$26,0)),""))=""),"SIN CLASIFICAR",IFERROR(INDEX('CAT_ACTIVIDADES'!$D$4:$D$26,MATCH($H776,'CAT_ACTIVIDADES'!$A$4:$A$26,0)),"")))</f>
        <v/>
      </c>
      <c r="AP776" s="4" t="n"/>
      <c r="AQ776" s="4" t="n"/>
      <c r="AR776" s="4" t="n"/>
      <c r="AS776" s="24">
        <f>IF($AR776="","",HYPERLINK(p_ruta_base_checklists&amp;$AR776,"abrir"))</f>
        <v/>
      </c>
      <c r="AT776" s="4" t="n"/>
      <c r="AU776" s="24">
        <f>IF($A776="","",$A776&amp;IF($B776="","0010",$B776))</f>
        <v/>
      </c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41" t="n"/>
      <c r="K777" s="5" t="n"/>
      <c r="L777" s="18" t="n"/>
      <c r="M777" s="24">
        <f>IF($A777="","",IFERROR(INDEX('AJUSTES'!$B$4:$B$303,MATCH($AU777,'AJUSTES'!$A$4:$A$303,0)),IF($K777="","",$K777)))</f>
        <v/>
      </c>
      <c r="N777" s="24">
        <f>IF($A777="","",IFERROR(INDEX('CAT_ESTADOS_ERP'!$B$4:$B$22,MATCH(IFERROR(INDEX('2_IMPORTAR_EJECUCION'!$C$9:$C$1208,MATCH($AU777,'2_IMPORTAR_EJECUCION'!$J$9:$J$1208,0)),""),'CAT_ESTADOS_ERP'!$A$4:$A$22,0)),"Pendiente"))</f>
        <v/>
      </c>
      <c r="O777" s="24">
        <f>IF($J777="","",YEAR($J777+4-WEEKDAY($J777,2))&amp;"-S"&amp;TEXT(_xlfn.ISOWEEKNUM($J777),"00"))</f>
        <v/>
      </c>
      <c r="P777" s="24">
        <f>IF($J777="","",YEAR($J777))</f>
        <v/>
      </c>
      <c r="Q777" s="24">
        <f>IF($J777="","",MONTH($J777))</f>
        <v/>
      </c>
      <c r="R777" s="24">
        <f>IF($J777="","",$P777&amp;"-"&amp;TEXT($Q777,"00"))</f>
        <v/>
      </c>
      <c r="S777" s="24">
        <f>IF($J777="","",INDEX(lista_dias,WEEKDAY($J777,2)))</f>
        <v/>
      </c>
      <c r="T777" s="24">
        <f>IF($J777="","",IFERROR(INDEX('CALENDARIO'!$C$15:$C$214,MATCH(TEXT($J777,"yyyy-mm-dd")&amp;"|"&amp;$Y777&amp;"|"&amp;$Z777,'CALENDARIO'!$G$15:$G$214,0)),IFERROR(INDEX('CALENDARIO'!$C$15:$C$214,MATCH(TEXT($J777,"yyyy-mm-dd")&amp;"|"&amp;$Y777&amp;"|",'CALENDARIO'!$G$15:$G$214,0)),IFERROR(INDEX('CALENDARIO'!$C$15:$C$214,MATCH(TEXT($J777,"yyyy-mm-dd")&amp;"||",'CALENDARIO'!$G$15:$G$214,0)),INDEX(patronHabil,WEEKDAY($J777,2))))))</f>
        <v/>
      </c>
      <c r="U777" s="24">
        <f>IF($I777="","",IFERROR(INDEX('CAT_TIPOS_OT'!$C$4:$C$23,MATCH($I777,'CAT_TIPOS_OT'!$A$4:$A$23,0)),"sin_clasificar"))</f>
        <v/>
      </c>
      <c r="V777" s="24">
        <f>IF($I777="","",IF(IFERROR(INDEX('CAT_TIPOS_OT'!$D$4:$D$23,MATCH($I777,'CAT_TIPOS_OT'!$A$4:$A$23,0)),"SIN CLASIFICAR")="","SIN CLASIFICAR",IFERROR(INDEX('CAT_TIPOS_OT'!$D$4:$D$23,MATCH($I777,'CAT_TIPOS_OT'!$A$4:$A$23,0)),"SIN CLASIFICAR")))</f>
        <v/>
      </c>
      <c r="W777" s="24">
        <f>IF($H777="","",IF(IFERROR(INDEX('CAT_ACTIVIDADES'!$F$4:$F$26,MATCH($H777,'CAT_ACTIVIDADES'!$A$4:$A$26,0)),"")=0,"",IFERROR(INDEX('CAT_ACTIVIDADES'!$F$4:$F$26,MATCH($H777,'CAT_ACTIVIDADES'!$A$4:$A$26,0)),"")))</f>
        <v/>
      </c>
      <c r="X777" s="24">
        <f>IF($F777="","",IFERROR(INDEX('CAT_CENTROS_COSTO'!$F$4:$F$28,MATCH($F777,'CAT_CENTROS_COSTO'!$A$4:$A$28,0)),"(sin catálogo)"))</f>
        <v/>
      </c>
      <c r="Y777" s="24">
        <f>IF($F777="","",IFERROR(INDEX('CAT_CENTROS_COSTO'!$D$4:$D$28,MATCH($F777,'CAT_CENTROS_COSTO'!$A$4:$A$28,0)),"(sin catálogo)"))</f>
        <v/>
      </c>
      <c r="Z777" s="24">
        <f>IF($F777="","",IF((IFERROR(INDEX('CAT_CENTROS_COSTO'!$E$4:$E$28,MATCH($F777,'CAT_CENTROS_COSTO'!$A$4:$A$28,0)),""))&lt;&gt;"",IFERROR(INDEX('CAT_CENTROS_COSTO'!$E$4:$E$28,MATCH($F777,'CAT_CENTROS_COSTO'!$A$4:$A$28,0)),""),$Y777))</f>
        <v/>
      </c>
      <c r="AA777" s="24">
        <f>IF($F777="","",IFERROR(INDEX('CAT_CENTROS_COSTO'!$G$4:$G$28,MATCH($F777,'CAT_CENTROS_COSTO'!$A$4:$A$28,0)),"(sin catálogo)"))</f>
        <v/>
      </c>
      <c r="AB777" s="24">
        <f>IF($G777="","",IFERROR(INDEX('CAT_PUESTOS'!$B$4:$B$23,MATCH($G777,'CAT_PUESTOS'!$A$4:$A$23,0)),"(sin catálogo)"))</f>
        <v/>
      </c>
      <c r="AC777" s="24">
        <f>IF($H777="","",IFERROR(INDEX('CAT_ACTIVIDADES'!$B$4:$B$26,MATCH($H777,'CAT_ACTIVIDADES'!$A$4:$A$26,0)),"(sin catálogo)"))</f>
        <v/>
      </c>
      <c r="AD777" s="26">
        <f>IF($J777="","",TODAY()-$J777)</f>
        <v/>
      </c>
      <c r="AE777" s="26">
        <f>IF($J777="","",IF($J777&lt;=TODAY(),COUNTIFS(cal_fechas,"&gt;="&amp;$J777,cal_fechas,"&lt;"&amp;TODAY(),cal_habil,"sí"),-COUNTIFS(cal_fechas,"&gt;="&amp;TODAY(),cal_fechas,"&lt;"&amp;$J777,cal_habil,"sí")))</f>
        <v/>
      </c>
      <c r="AF777" s="24">
        <f>IF($AE777="","",IF($AE777&lt;0,"FUTURO",IF($AE777&gt;p_dias_backlog_max,"BACKLOG","MES CORRIENTE")))</f>
        <v/>
      </c>
      <c r="AG777" s="24">
        <f>IF($AE777="",FALSE,AND($AE777&gt;p_dias_backlog_min,$AE777&lt;=p_dias_backlog_max))</f>
        <v/>
      </c>
      <c r="AH777" s="4" t="n"/>
      <c r="AI777" s="24">
        <f>IF($AH777="","",IF((IFERROR(INDEX('ASIGNACIONES'!$J$4:$J$451,MATCH($O777&amp;"|"&amp;$S777&amp;"|"&amp;$AH777,'ASIGNACIONES'!$N$4:$N$451,0)),""))=0,"",IFERROR(INDEX('ASIGNACIONES'!$J$4:$J$451,MATCH($O777&amp;"|"&amp;$S777&amp;"|"&amp;$AH777,'ASIGNACIONES'!$N$4:$N$451,0)),"")))</f>
        <v/>
      </c>
      <c r="AJ777" s="42">
        <f>IF($AH777="","",SUMIFS('ORDENES'!$M$4:$M$1203,'ORDENES'!$AH$4:$AH$1203,$AH777,'ORDENES'!$O$4:$O$1203,$O777,'ORDENES'!$S$4:$S$1203,$S777))</f>
        <v/>
      </c>
      <c r="AK777" s="42">
        <f>IF($AJ777="","",p_factor_productividad*IFERROR(INDEX('ASIGNACIONES'!$M$4:$M$451,MATCH($O777&amp;"|"&amp;$S777&amp;"|"&amp;$AH777,'ASIGNACIONES'!$N$4:$N$451,0)),0)-$AJ777)</f>
        <v/>
      </c>
      <c r="AL777" s="32">
        <f>IF($A777="","",IFERROR(INDEX('2_IMPORTAR_EJECUCION'!$F$9:$F$1208,MATCH($AU777,'2_IMPORTAR_EJECUCION'!$J$9:$J$1208,0)),0))</f>
        <v/>
      </c>
      <c r="AM777" s="32">
        <f>IF($A777="","",MAX(0,IFERROR(INDEX('2_IMPORTAR_EJECUCION'!$H$9:$H$1208,MATCH($AU777,'2_IMPORTAR_EJECUCION'!$J$9:$J$1208,0)),0)-$AL777))</f>
        <v/>
      </c>
      <c r="AN777" s="32">
        <f>IF($A777="","",$AL777+$AM777)</f>
        <v/>
      </c>
      <c r="AO777" s="24">
        <f>IF($A777="","",IF(OR((IFERROR(INDEX('CAT_ACTIVIDADES'!$D$4:$D$26,MATCH($H777,'CAT_ACTIVIDADES'!$A$4:$A$26,0)),""))=0,(IFERROR(INDEX('CAT_ACTIVIDADES'!$D$4:$D$26,MATCH($H777,'CAT_ACTIVIDADES'!$A$4:$A$26,0)),""))=""),"SIN CLASIFICAR",IFERROR(INDEX('CAT_ACTIVIDADES'!$D$4:$D$26,MATCH($H777,'CAT_ACTIVIDADES'!$A$4:$A$26,0)),"")))</f>
        <v/>
      </c>
      <c r="AP777" s="4" t="n"/>
      <c r="AQ777" s="4" t="n"/>
      <c r="AR777" s="4" t="n"/>
      <c r="AS777" s="24">
        <f>IF($AR777="","",HYPERLINK(p_ruta_base_checklists&amp;$AR777,"abrir"))</f>
        <v/>
      </c>
      <c r="AT777" s="4" t="n"/>
      <c r="AU777" s="24">
        <f>IF($A777="","",$A777&amp;IF($B777="","0010",$B777))</f>
        <v/>
      </c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41" t="n"/>
      <c r="K778" s="5" t="n"/>
      <c r="L778" s="18" t="n"/>
      <c r="M778" s="24">
        <f>IF($A778="","",IFERROR(INDEX('AJUSTES'!$B$4:$B$303,MATCH($AU778,'AJUSTES'!$A$4:$A$303,0)),IF($K778="","",$K778)))</f>
        <v/>
      </c>
      <c r="N778" s="24">
        <f>IF($A778="","",IFERROR(INDEX('CAT_ESTADOS_ERP'!$B$4:$B$22,MATCH(IFERROR(INDEX('2_IMPORTAR_EJECUCION'!$C$9:$C$1208,MATCH($AU778,'2_IMPORTAR_EJECUCION'!$J$9:$J$1208,0)),""),'CAT_ESTADOS_ERP'!$A$4:$A$22,0)),"Pendiente"))</f>
        <v/>
      </c>
      <c r="O778" s="24">
        <f>IF($J778="","",YEAR($J778+4-WEEKDAY($J778,2))&amp;"-S"&amp;TEXT(_xlfn.ISOWEEKNUM($J778),"00"))</f>
        <v/>
      </c>
      <c r="P778" s="24">
        <f>IF($J778="","",YEAR($J778))</f>
        <v/>
      </c>
      <c r="Q778" s="24">
        <f>IF($J778="","",MONTH($J778))</f>
        <v/>
      </c>
      <c r="R778" s="24">
        <f>IF($J778="","",$P778&amp;"-"&amp;TEXT($Q778,"00"))</f>
        <v/>
      </c>
      <c r="S778" s="24">
        <f>IF($J778="","",INDEX(lista_dias,WEEKDAY($J778,2)))</f>
        <v/>
      </c>
      <c r="T778" s="24">
        <f>IF($J778="","",IFERROR(INDEX('CALENDARIO'!$C$15:$C$214,MATCH(TEXT($J778,"yyyy-mm-dd")&amp;"|"&amp;$Y778&amp;"|"&amp;$Z778,'CALENDARIO'!$G$15:$G$214,0)),IFERROR(INDEX('CALENDARIO'!$C$15:$C$214,MATCH(TEXT($J778,"yyyy-mm-dd")&amp;"|"&amp;$Y778&amp;"|",'CALENDARIO'!$G$15:$G$214,0)),IFERROR(INDEX('CALENDARIO'!$C$15:$C$214,MATCH(TEXT($J778,"yyyy-mm-dd")&amp;"||",'CALENDARIO'!$G$15:$G$214,0)),INDEX(patronHabil,WEEKDAY($J778,2))))))</f>
        <v/>
      </c>
      <c r="U778" s="24">
        <f>IF($I778="","",IFERROR(INDEX('CAT_TIPOS_OT'!$C$4:$C$23,MATCH($I778,'CAT_TIPOS_OT'!$A$4:$A$23,0)),"sin_clasificar"))</f>
        <v/>
      </c>
      <c r="V778" s="24">
        <f>IF($I778="","",IF(IFERROR(INDEX('CAT_TIPOS_OT'!$D$4:$D$23,MATCH($I778,'CAT_TIPOS_OT'!$A$4:$A$23,0)),"SIN CLASIFICAR")="","SIN CLASIFICAR",IFERROR(INDEX('CAT_TIPOS_OT'!$D$4:$D$23,MATCH($I778,'CAT_TIPOS_OT'!$A$4:$A$23,0)),"SIN CLASIFICAR")))</f>
        <v/>
      </c>
      <c r="W778" s="24">
        <f>IF($H778="","",IF(IFERROR(INDEX('CAT_ACTIVIDADES'!$F$4:$F$26,MATCH($H778,'CAT_ACTIVIDADES'!$A$4:$A$26,0)),"")=0,"",IFERROR(INDEX('CAT_ACTIVIDADES'!$F$4:$F$26,MATCH($H778,'CAT_ACTIVIDADES'!$A$4:$A$26,0)),"")))</f>
        <v/>
      </c>
      <c r="X778" s="24">
        <f>IF($F778="","",IFERROR(INDEX('CAT_CENTROS_COSTO'!$F$4:$F$28,MATCH($F778,'CAT_CENTROS_COSTO'!$A$4:$A$28,0)),"(sin catálogo)"))</f>
        <v/>
      </c>
      <c r="Y778" s="24">
        <f>IF($F778="","",IFERROR(INDEX('CAT_CENTROS_COSTO'!$D$4:$D$28,MATCH($F778,'CAT_CENTROS_COSTO'!$A$4:$A$28,0)),"(sin catálogo)"))</f>
        <v/>
      </c>
      <c r="Z778" s="24">
        <f>IF($F778="","",IF((IFERROR(INDEX('CAT_CENTROS_COSTO'!$E$4:$E$28,MATCH($F778,'CAT_CENTROS_COSTO'!$A$4:$A$28,0)),""))&lt;&gt;"",IFERROR(INDEX('CAT_CENTROS_COSTO'!$E$4:$E$28,MATCH($F778,'CAT_CENTROS_COSTO'!$A$4:$A$28,0)),""),$Y778))</f>
        <v/>
      </c>
      <c r="AA778" s="24">
        <f>IF($F778="","",IFERROR(INDEX('CAT_CENTROS_COSTO'!$G$4:$G$28,MATCH($F778,'CAT_CENTROS_COSTO'!$A$4:$A$28,0)),"(sin catálogo)"))</f>
        <v/>
      </c>
      <c r="AB778" s="24">
        <f>IF($G778="","",IFERROR(INDEX('CAT_PUESTOS'!$B$4:$B$23,MATCH($G778,'CAT_PUESTOS'!$A$4:$A$23,0)),"(sin catálogo)"))</f>
        <v/>
      </c>
      <c r="AC778" s="24">
        <f>IF($H778="","",IFERROR(INDEX('CAT_ACTIVIDADES'!$B$4:$B$26,MATCH($H778,'CAT_ACTIVIDADES'!$A$4:$A$26,0)),"(sin catálogo)"))</f>
        <v/>
      </c>
      <c r="AD778" s="26">
        <f>IF($J778="","",TODAY()-$J778)</f>
        <v/>
      </c>
      <c r="AE778" s="26">
        <f>IF($J778="","",IF($J778&lt;=TODAY(),COUNTIFS(cal_fechas,"&gt;="&amp;$J778,cal_fechas,"&lt;"&amp;TODAY(),cal_habil,"sí"),-COUNTIFS(cal_fechas,"&gt;="&amp;TODAY(),cal_fechas,"&lt;"&amp;$J778,cal_habil,"sí")))</f>
        <v/>
      </c>
      <c r="AF778" s="24">
        <f>IF($AE778="","",IF($AE778&lt;0,"FUTURO",IF($AE778&gt;p_dias_backlog_max,"BACKLOG","MES CORRIENTE")))</f>
        <v/>
      </c>
      <c r="AG778" s="24">
        <f>IF($AE778="",FALSE,AND($AE778&gt;p_dias_backlog_min,$AE778&lt;=p_dias_backlog_max))</f>
        <v/>
      </c>
      <c r="AH778" s="4" t="n"/>
      <c r="AI778" s="24">
        <f>IF($AH778="","",IF((IFERROR(INDEX('ASIGNACIONES'!$J$4:$J$451,MATCH($O778&amp;"|"&amp;$S778&amp;"|"&amp;$AH778,'ASIGNACIONES'!$N$4:$N$451,0)),""))=0,"",IFERROR(INDEX('ASIGNACIONES'!$J$4:$J$451,MATCH($O778&amp;"|"&amp;$S778&amp;"|"&amp;$AH778,'ASIGNACIONES'!$N$4:$N$451,0)),"")))</f>
        <v/>
      </c>
      <c r="AJ778" s="42">
        <f>IF($AH778="","",SUMIFS('ORDENES'!$M$4:$M$1203,'ORDENES'!$AH$4:$AH$1203,$AH778,'ORDENES'!$O$4:$O$1203,$O778,'ORDENES'!$S$4:$S$1203,$S778))</f>
        <v/>
      </c>
      <c r="AK778" s="42">
        <f>IF($AJ778="","",p_factor_productividad*IFERROR(INDEX('ASIGNACIONES'!$M$4:$M$451,MATCH($O778&amp;"|"&amp;$S778&amp;"|"&amp;$AH778,'ASIGNACIONES'!$N$4:$N$451,0)),0)-$AJ778)</f>
        <v/>
      </c>
      <c r="AL778" s="32">
        <f>IF($A778="","",IFERROR(INDEX('2_IMPORTAR_EJECUCION'!$F$9:$F$1208,MATCH($AU778,'2_IMPORTAR_EJECUCION'!$J$9:$J$1208,0)),0))</f>
        <v/>
      </c>
      <c r="AM778" s="32">
        <f>IF($A778="","",MAX(0,IFERROR(INDEX('2_IMPORTAR_EJECUCION'!$H$9:$H$1208,MATCH($AU778,'2_IMPORTAR_EJECUCION'!$J$9:$J$1208,0)),0)-$AL778))</f>
        <v/>
      </c>
      <c r="AN778" s="32">
        <f>IF($A778="","",$AL778+$AM778)</f>
        <v/>
      </c>
      <c r="AO778" s="24">
        <f>IF($A778="","",IF(OR((IFERROR(INDEX('CAT_ACTIVIDADES'!$D$4:$D$26,MATCH($H778,'CAT_ACTIVIDADES'!$A$4:$A$26,0)),""))=0,(IFERROR(INDEX('CAT_ACTIVIDADES'!$D$4:$D$26,MATCH($H778,'CAT_ACTIVIDADES'!$A$4:$A$26,0)),""))=""),"SIN CLASIFICAR",IFERROR(INDEX('CAT_ACTIVIDADES'!$D$4:$D$26,MATCH($H778,'CAT_ACTIVIDADES'!$A$4:$A$26,0)),"")))</f>
        <v/>
      </c>
      <c r="AP778" s="4" t="n"/>
      <c r="AQ778" s="4" t="n"/>
      <c r="AR778" s="4" t="n"/>
      <c r="AS778" s="24">
        <f>IF($AR778="","",HYPERLINK(p_ruta_base_checklists&amp;$AR778,"abrir"))</f>
        <v/>
      </c>
      <c r="AT778" s="4" t="n"/>
      <c r="AU778" s="24">
        <f>IF($A778="","",$A778&amp;IF($B778="","0010",$B778))</f>
        <v/>
      </c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41" t="n"/>
      <c r="K779" s="5" t="n"/>
      <c r="L779" s="18" t="n"/>
      <c r="M779" s="24">
        <f>IF($A779="","",IFERROR(INDEX('AJUSTES'!$B$4:$B$303,MATCH($AU779,'AJUSTES'!$A$4:$A$303,0)),IF($K779="","",$K779)))</f>
        <v/>
      </c>
      <c r="N779" s="24">
        <f>IF($A779="","",IFERROR(INDEX('CAT_ESTADOS_ERP'!$B$4:$B$22,MATCH(IFERROR(INDEX('2_IMPORTAR_EJECUCION'!$C$9:$C$1208,MATCH($AU779,'2_IMPORTAR_EJECUCION'!$J$9:$J$1208,0)),""),'CAT_ESTADOS_ERP'!$A$4:$A$22,0)),"Pendiente"))</f>
        <v/>
      </c>
      <c r="O779" s="24">
        <f>IF($J779="","",YEAR($J779+4-WEEKDAY($J779,2))&amp;"-S"&amp;TEXT(_xlfn.ISOWEEKNUM($J779),"00"))</f>
        <v/>
      </c>
      <c r="P779" s="24">
        <f>IF($J779="","",YEAR($J779))</f>
        <v/>
      </c>
      <c r="Q779" s="24">
        <f>IF($J779="","",MONTH($J779))</f>
        <v/>
      </c>
      <c r="R779" s="24">
        <f>IF($J779="","",$P779&amp;"-"&amp;TEXT($Q779,"00"))</f>
        <v/>
      </c>
      <c r="S779" s="24">
        <f>IF($J779="","",INDEX(lista_dias,WEEKDAY($J779,2)))</f>
        <v/>
      </c>
      <c r="T779" s="24">
        <f>IF($J779="","",IFERROR(INDEX('CALENDARIO'!$C$15:$C$214,MATCH(TEXT($J779,"yyyy-mm-dd")&amp;"|"&amp;$Y779&amp;"|"&amp;$Z779,'CALENDARIO'!$G$15:$G$214,0)),IFERROR(INDEX('CALENDARIO'!$C$15:$C$214,MATCH(TEXT($J779,"yyyy-mm-dd")&amp;"|"&amp;$Y779&amp;"|",'CALENDARIO'!$G$15:$G$214,0)),IFERROR(INDEX('CALENDARIO'!$C$15:$C$214,MATCH(TEXT($J779,"yyyy-mm-dd")&amp;"||",'CALENDARIO'!$G$15:$G$214,0)),INDEX(patronHabil,WEEKDAY($J779,2))))))</f>
        <v/>
      </c>
      <c r="U779" s="24">
        <f>IF($I779="","",IFERROR(INDEX('CAT_TIPOS_OT'!$C$4:$C$23,MATCH($I779,'CAT_TIPOS_OT'!$A$4:$A$23,0)),"sin_clasificar"))</f>
        <v/>
      </c>
      <c r="V779" s="24">
        <f>IF($I779="","",IF(IFERROR(INDEX('CAT_TIPOS_OT'!$D$4:$D$23,MATCH($I779,'CAT_TIPOS_OT'!$A$4:$A$23,0)),"SIN CLASIFICAR")="","SIN CLASIFICAR",IFERROR(INDEX('CAT_TIPOS_OT'!$D$4:$D$23,MATCH($I779,'CAT_TIPOS_OT'!$A$4:$A$23,0)),"SIN CLASIFICAR")))</f>
        <v/>
      </c>
      <c r="W779" s="24">
        <f>IF($H779="","",IF(IFERROR(INDEX('CAT_ACTIVIDADES'!$F$4:$F$26,MATCH($H779,'CAT_ACTIVIDADES'!$A$4:$A$26,0)),"")=0,"",IFERROR(INDEX('CAT_ACTIVIDADES'!$F$4:$F$26,MATCH($H779,'CAT_ACTIVIDADES'!$A$4:$A$26,0)),"")))</f>
        <v/>
      </c>
      <c r="X779" s="24">
        <f>IF($F779="","",IFERROR(INDEX('CAT_CENTROS_COSTO'!$F$4:$F$28,MATCH($F779,'CAT_CENTROS_COSTO'!$A$4:$A$28,0)),"(sin catálogo)"))</f>
        <v/>
      </c>
      <c r="Y779" s="24">
        <f>IF($F779="","",IFERROR(INDEX('CAT_CENTROS_COSTO'!$D$4:$D$28,MATCH($F779,'CAT_CENTROS_COSTO'!$A$4:$A$28,0)),"(sin catálogo)"))</f>
        <v/>
      </c>
      <c r="Z779" s="24">
        <f>IF($F779="","",IF((IFERROR(INDEX('CAT_CENTROS_COSTO'!$E$4:$E$28,MATCH($F779,'CAT_CENTROS_COSTO'!$A$4:$A$28,0)),""))&lt;&gt;"",IFERROR(INDEX('CAT_CENTROS_COSTO'!$E$4:$E$28,MATCH($F779,'CAT_CENTROS_COSTO'!$A$4:$A$28,0)),""),$Y779))</f>
        <v/>
      </c>
      <c r="AA779" s="24">
        <f>IF($F779="","",IFERROR(INDEX('CAT_CENTROS_COSTO'!$G$4:$G$28,MATCH($F779,'CAT_CENTROS_COSTO'!$A$4:$A$28,0)),"(sin catálogo)"))</f>
        <v/>
      </c>
      <c r="AB779" s="24">
        <f>IF($G779="","",IFERROR(INDEX('CAT_PUESTOS'!$B$4:$B$23,MATCH($G779,'CAT_PUESTOS'!$A$4:$A$23,0)),"(sin catálogo)"))</f>
        <v/>
      </c>
      <c r="AC779" s="24">
        <f>IF($H779="","",IFERROR(INDEX('CAT_ACTIVIDADES'!$B$4:$B$26,MATCH($H779,'CAT_ACTIVIDADES'!$A$4:$A$26,0)),"(sin catálogo)"))</f>
        <v/>
      </c>
      <c r="AD779" s="26">
        <f>IF($J779="","",TODAY()-$J779)</f>
        <v/>
      </c>
      <c r="AE779" s="26">
        <f>IF($J779="","",IF($J779&lt;=TODAY(),COUNTIFS(cal_fechas,"&gt;="&amp;$J779,cal_fechas,"&lt;"&amp;TODAY(),cal_habil,"sí"),-COUNTIFS(cal_fechas,"&gt;="&amp;TODAY(),cal_fechas,"&lt;"&amp;$J779,cal_habil,"sí")))</f>
        <v/>
      </c>
      <c r="AF779" s="24">
        <f>IF($AE779="","",IF($AE779&lt;0,"FUTURO",IF($AE779&gt;p_dias_backlog_max,"BACKLOG","MES CORRIENTE")))</f>
        <v/>
      </c>
      <c r="AG779" s="24">
        <f>IF($AE779="",FALSE,AND($AE779&gt;p_dias_backlog_min,$AE779&lt;=p_dias_backlog_max))</f>
        <v/>
      </c>
      <c r="AH779" s="4" t="n"/>
      <c r="AI779" s="24">
        <f>IF($AH779="","",IF((IFERROR(INDEX('ASIGNACIONES'!$J$4:$J$451,MATCH($O779&amp;"|"&amp;$S779&amp;"|"&amp;$AH779,'ASIGNACIONES'!$N$4:$N$451,0)),""))=0,"",IFERROR(INDEX('ASIGNACIONES'!$J$4:$J$451,MATCH($O779&amp;"|"&amp;$S779&amp;"|"&amp;$AH779,'ASIGNACIONES'!$N$4:$N$451,0)),"")))</f>
        <v/>
      </c>
      <c r="AJ779" s="42">
        <f>IF($AH779="","",SUMIFS('ORDENES'!$M$4:$M$1203,'ORDENES'!$AH$4:$AH$1203,$AH779,'ORDENES'!$O$4:$O$1203,$O779,'ORDENES'!$S$4:$S$1203,$S779))</f>
        <v/>
      </c>
      <c r="AK779" s="42">
        <f>IF($AJ779="","",p_factor_productividad*IFERROR(INDEX('ASIGNACIONES'!$M$4:$M$451,MATCH($O779&amp;"|"&amp;$S779&amp;"|"&amp;$AH779,'ASIGNACIONES'!$N$4:$N$451,0)),0)-$AJ779)</f>
        <v/>
      </c>
      <c r="AL779" s="32">
        <f>IF($A779="","",IFERROR(INDEX('2_IMPORTAR_EJECUCION'!$F$9:$F$1208,MATCH($AU779,'2_IMPORTAR_EJECUCION'!$J$9:$J$1208,0)),0))</f>
        <v/>
      </c>
      <c r="AM779" s="32">
        <f>IF($A779="","",MAX(0,IFERROR(INDEX('2_IMPORTAR_EJECUCION'!$H$9:$H$1208,MATCH($AU779,'2_IMPORTAR_EJECUCION'!$J$9:$J$1208,0)),0)-$AL779))</f>
        <v/>
      </c>
      <c r="AN779" s="32">
        <f>IF($A779="","",$AL779+$AM779)</f>
        <v/>
      </c>
      <c r="AO779" s="24">
        <f>IF($A779="","",IF(OR((IFERROR(INDEX('CAT_ACTIVIDADES'!$D$4:$D$26,MATCH($H779,'CAT_ACTIVIDADES'!$A$4:$A$26,0)),""))=0,(IFERROR(INDEX('CAT_ACTIVIDADES'!$D$4:$D$26,MATCH($H779,'CAT_ACTIVIDADES'!$A$4:$A$26,0)),""))=""),"SIN CLASIFICAR",IFERROR(INDEX('CAT_ACTIVIDADES'!$D$4:$D$26,MATCH($H779,'CAT_ACTIVIDADES'!$A$4:$A$26,0)),"")))</f>
        <v/>
      </c>
      <c r="AP779" s="4" t="n"/>
      <c r="AQ779" s="4" t="n"/>
      <c r="AR779" s="4" t="n"/>
      <c r="AS779" s="24">
        <f>IF($AR779="","",HYPERLINK(p_ruta_base_checklists&amp;$AR779,"abrir"))</f>
        <v/>
      </c>
      <c r="AT779" s="4" t="n"/>
      <c r="AU779" s="24">
        <f>IF($A779="","",$A779&amp;IF($B779="","0010",$B779))</f>
        <v/>
      </c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41" t="n"/>
      <c r="K780" s="5" t="n"/>
      <c r="L780" s="18" t="n"/>
      <c r="M780" s="24">
        <f>IF($A780="","",IFERROR(INDEX('AJUSTES'!$B$4:$B$303,MATCH($AU780,'AJUSTES'!$A$4:$A$303,0)),IF($K780="","",$K780)))</f>
        <v/>
      </c>
      <c r="N780" s="24">
        <f>IF($A780="","",IFERROR(INDEX('CAT_ESTADOS_ERP'!$B$4:$B$22,MATCH(IFERROR(INDEX('2_IMPORTAR_EJECUCION'!$C$9:$C$1208,MATCH($AU780,'2_IMPORTAR_EJECUCION'!$J$9:$J$1208,0)),""),'CAT_ESTADOS_ERP'!$A$4:$A$22,0)),"Pendiente"))</f>
        <v/>
      </c>
      <c r="O780" s="24">
        <f>IF($J780="","",YEAR($J780+4-WEEKDAY($J780,2))&amp;"-S"&amp;TEXT(_xlfn.ISOWEEKNUM($J780),"00"))</f>
        <v/>
      </c>
      <c r="P780" s="24">
        <f>IF($J780="","",YEAR($J780))</f>
        <v/>
      </c>
      <c r="Q780" s="24">
        <f>IF($J780="","",MONTH($J780))</f>
        <v/>
      </c>
      <c r="R780" s="24">
        <f>IF($J780="","",$P780&amp;"-"&amp;TEXT($Q780,"00"))</f>
        <v/>
      </c>
      <c r="S780" s="24">
        <f>IF($J780="","",INDEX(lista_dias,WEEKDAY($J780,2)))</f>
        <v/>
      </c>
      <c r="T780" s="24">
        <f>IF($J780="","",IFERROR(INDEX('CALENDARIO'!$C$15:$C$214,MATCH(TEXT($J780,"yyyy-mm-dd")&amp;"|"&amp;$Y780&amp;"|"&amp;$Z780,'CALENDARIO'!$G$15:$G$214,0)),IFERROR(INDEX('CALENDARIO'!$C$15:$C$214,MATCH(TEXT($J780,"yyyy-mm-dd")&amp;"|"&amp;$Y780&amp;"|",'CALENDARIO'!$G$15:$G$214,0)),IFERROR(INDEX('CALENDARIO'!$C$15:$C$214,MATCH(TEXT($J780,"yyyy-mm-dd")&amp;"||",'CALENDARIO'!$G$15:$G$214,0)),INDEX(patronHabil,WEEKDAY($J780,2))))))</f>
        <v/>
      </c>
      <c r="U780" s="24">
        <f>IF($I780="","",IFERROR(INDEX('CAT_TIPOS_OT'!$C$4:$C$23,MATCH($I780,'CAT_TIPOS_OT'!$A$4:$A$23,0)),"sin_clasificar"))</f>
        <v/>
      </c>
      <c r="V780" s="24">
        <f>IF($I780="","",IF(IFERROR(INDEX('CAT_TIPOS_OT'!$D$4:$D$23,MATCH($I780,'CAT_TIPOS_OT'!$A$4:$A$23,0)),"SIN CLASIFICAR")="","SIN CLASIFICAR",IFERROR(INDEX('CAT_TIPOS_OT'!$D$4:$D$23,MATCH($I780,'CAT_TIPOS_OT'!$A$4:$A$23,0)),"SIN CLASIFICAR")))</f>
        <v/>
      </c>
      <c r="W780" s="24">
        <f>IF($H780="","",IF(IFERROR(INDEX('CAT_ACTIVIDADES'!$F$4:$F$26,MATCH($H780,'CAT_ACTIVIDADES'!$A$4:$A$26,0)),"")=0,"",IFERROR(INDEX('CAT_ACTIVIDADES'!$F$4:$F$26,MATCH($H780,'CAT_ACTIVIDADES'!$A$4:$A$26,0)),"")))</f>
        <v/>
      </c>
      <c r="X780" s="24">
        <f>IF($F780="","",IFERROR(INDEX('CAT_CENTROS_COSTO'!$F$4:$F$28,MATCH($F780,'CAT_CENTROS_COSTO'!$A$4:$A$28,0)),"(sin catálogo)"))</f>
        <v/>
      </c>
      <c r="Y780" s="24">
        <f>IF($F780="","",IFERROR(INDEX('CAT_CENTROS_COSTO'!$D$4:$D$28,MATCH($F780,'CAT_CENTROS_COSTO'!$A$4:$A$28,0)),"(sin catálogo)"))</f>
        <v/>
      </c>
      <c r="Z780" s="24">
        <f>IF($F780="","",IF((IFERROR(INDEX('CAT_CENTROS_COSTO'!$E$4:$E$28,MATCH($F780,'CAT_CENTROS_COSTO'!$A$4:$A$28,0)),""))&lt;&gt;"",IFERROR(INDEX('CAT_CENTROS_COSTO'!$E$4:$E$28,MATCH($F780,'CAT_CENTROS_COSTO'!$A$4:$A$28,0)),""),$Y780))</f>
        <v/>
      </c>
      <c r="AA780" s="24">
        <f>IF($F780="","",IFERROR(INDEX('CAT_CENTROS_COSTO'!$G$4:$G$28,MATCH($F780,'CAT_CENTROS_COSTO'!$A$4:$A$28,0)),"(sin catálogo)"))</f>
        <v/>
      </c>
      <c r="AB780" s="24">
        <f>IF($G780="","",IFERROR(INDEX('CAT_PUESTOS'!$B$4:$B$23,MATCH($G780,'CAT_PUESTOS'!$A$4:$A$23,0)),"(sin catálogo)"))</f>
        <v/>
      </c>
      <c r="AC780" s="24">
        <f>IF($H780="","",IFERROR(INDEX('CAT_ACTIVIDADES'!$B$4:$B$26,MATCH($H780,'CAT_ACTIVIDADES'!$A$4:$A$26,0)),"(sin catálogo)"))</f>
        <v/>
      </c>
      <c r="AD780" s="26">
        <f>IF($J780="","",TODAY()-$J780)</f>
        <v/>
      </c>
      <c r="AE780" s="26">
        <f>IF($J780="","",IF($J780&lt;=TODAY(),COUNTIFS(cal_fechas,"&gt;="&amp;$J780,cal_fechas,"&lt;"&amp;TODAY(),cal_habil,"sí"),-COUNTIFS(cal_fechas,"&gt;="&amp;TODAY(),cal_fechas,"&lt;"&amp;$J780,cal_habil,"sí")))</f>
        <v/>
      </c>
      <c r="AF780" s="24">
        <f>IF($AE780="","",IF($AE780&lt;0,"FUTURO",IF($AE780&gt;p_dias_backlog_max,"BACKLOG","MES CORRIENTE")))</f>
        <v/>
      </c>
      <c r="AG780" s="24">
        <f>IF($AE780="",FALSE,AND($AE780&gt;p_dias_backlog_min,$AE780&lt;=p_dias_backlog_max))</f>
        <v/>
      </c>
      <c r="AH780" s="4" t="n"/>
      <c r="AI780" s="24">
        <f>IF($AH780="","",IF((IFERROR(INDEX('ASIGNACIONES'!$J$4:$J$451,MATCH($O780&amp;"|"&amp;$S780&amp;"|"&amp;$AH780,'ASIGNACIONES'!$N$4:$N$451,0)),""))=0,"",IFERROR(INDEX('ASIGNACIONES'!$J$4:$J$451,MATCH($O780&amp;"|"&amp;$S780&amp;"|"&amp;$AH780,'ASIGNACIONES'!$N$4:$N$451,0)),"")))</f>
        <v/>
      </c>
      <c r="AJ780" s="42">
        <f>IF($AH780="","",SUMIFS('ORDENES'!$M$4:$M$1203,'ORDENES'!$AH$4:$AH$1203,$AH780,'ORDENES'!$O$4:$O$1203,$O780,'ORDENES'!$S$4:$S$1203,$S780))</f>
        <v/>
      </c>
      <c r="AK780" s="42">
        <f>IF($AJ780="","",p_factor_productividad*IFERROR(INDEX('ASIGNACIONES'!$M$4:$M$451,MATCH($O780&amp;"|"&amp;$S780&amp;"|"&amp;$AH780,'ASIGNACIONES'!$N$4:$N$451,0)),0)-$AJ780)</f>
        <v/>
      </c>
      <c r="AL780" s="32">
        <f>IF($A780="","",IFERROR(INDEX('2_IMPORTAR_EJECUCION'!$F$9:$F$1208,MATCH($AU780,'2_IMPORTAR_EJECUCION'!$J$9:$J$1208,0)),0))</f>
        <v/>
      </c>
      <c r="AM780" s="32">
        <f>IF($A780="","",MAX(0,IFERROR(INDEX('2_IMPORTAR_EJECUCION'!$H$9:$H$1208,MATCH($AU780,'2_IMPORTAR_EJECUCION'!$J$9:$J$1208,0)),0)-$AL780))</f>
        <v/>
      </c>
      <c r="AN780" s="32">
        <f>IF($A780="","",$AL780+$AM780)</f>
        <v/>
      </c>
      <c r="AO780" s="24">
        <f>IF($A780="","",IF(OR((IFERROR(INDEX('CAT_ACTIVIDADES'!$D$4:$D$26,MATCH($H780,'CAT_ACTIVIDADES'!$A$4:$A$26,0)),""))=0,(IFERROR(INDEX('CAT_ACTIVIDADES'!$D$4:$D$26,MATCH($H780,'CAT_ACTIVIDADES'!$A$4:$A$26,0)),""))=""),"SIN CLASIFICAR",IFERROR(INDEX('CAT_ACTIVIDADES'!$D$4:$D$26,MATCH($H780,'CAT_ACTIVIDADES'!$A$4:$A$26,0)),"")))</f>
        <v/>
      </c>
      <c r="AP780" s="4" t="n"/>
      <c r="AQ780" s="4" t="n"/>
      <c r="AR780" s="4" t="n"/>
      <c r="AS780" s="24">
        <f>IF($AR780="","",HYPERLINK(p_ruta_base_checklists&amp;$AR780,"abrir"))</f>
        <v/>
      </c>
      <c r="AT780" s="4" t="n"/>
      <c r="AU780" s="24">
        <f>IF($A780="","",$A780&amp;IF($B780="","0010",$B780))</f>
        <v/>
      </c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41" t="n"/>
      <c r="K781" s="5" t="n"/>
      <c r="L781" s="18" t="n"/>
      <c r="M781" s="24">
        <f>IF($A781="","",IFERROR(INDEX('AJUSTES'!$B$4:$B$303,MATCH($AU781,'AJUSTES'!$A$4:$A$303,0)),IF($K781="","",$K781)))</f>
        <v/>
      </c>
      <c r="N781" s="24">
        <f>IF($A781="","",IFERROR(INDEX('CAT_ESTADOS_ERP'!$B$4:$B$22,MATCH(IFERROR(INDEX('2_IMPORTAR_EJECUCION'!$C$9:$C$1208,MATCH($AU781,'2_IMPORTAR_EJECUCION'!$J$9:$J$1208,0)),""),'CAT_ESTADOS_ERP'!$A$4:$A$22,0)),"Pendiente"))</f>
        <v/>
      </c>
      <c r="O781" s="24">
        <f>IF($J781="","",YEAR($J781+4-WEEKDAY($J781,2))&amp;"-S"&amp;TEXT(_xlfn.ISOWEEKNUM($J781),"00"))</f>
        <v/>
      </c>
      <c r="P781" s="24">
        <f>IF($J781="","",YEAR($J781))</f>
        <v/>
      </c>
      <c r="Q781" s="24">
        <f>IF($J781="","",MONTH($J781))</f>
        <v/>
      </c>
      <c r="R781" s="24">
        <f>IF($J781="","",$P781&amp;"-"&amp;TEXT($Q781,"00"))</f>
        <v/>
      </c>
      <c r="S781" s="24">
        <f>IF($J781="","",INDEX(lista_dias,WEEKDAY($J781,2)))</f>
        <v/>
      </c>
      <c r="T781" s="24">
        <f>IF($J781="","",IFERROR(INDEX('CALENDARIO'!$C$15:$C$214,MATCH(TEXT($J781,"yyyy-mm-dd")&amp;"|"&amp;$Y781&amp;"|"&amp;$Z781,'CALENDARIO'!$G$15:$G$214,0)),IFERROR(INDEX('CALENDARIO'!$C$15:$C$214,MATCH(TEXT($J781,"yyyy-mm-dd")&amp;"|"&amp;$Y781&amp;"|",'CALENDARIO'!$G$15:$G$214,0)),IFERROR(INDEX('CALENDARIO'!$C$15:$C$214,MATCH(TEXT($J781,"yyyy-mm-dd")&amp;"||",'CALENDARIO'!$G$15:$G$214,0)),INDEX(patronHabil,WEEKDAY($J781,2))))))</f>
        <v/>
      </c>
      <c r="U781" s="24">
        <f>IF($I781="","",IFERROR(INDEX('CAT_TIPOS_OT'!$C$4:$C$23,MATCH($I781,'CAT_TIPOS_OT'!$A$4:$A$23,0)),"sin_clasificar"))</f>
        <v/>
      </c>
      <c r="V781" s="24">
        <f>IF($I781="","",IF(IFERROR(INDEX('CAT_TIPOS_OT'!$D$4:$D$23,MATCH($I781,'CAT_TIPOS_OT'!$A$4:$A$23,0)),"SIN CLASIFICAR")="","SIN CLASIFICAR",IFERROR(INDEX('CAT_TIPOS_OT'!$D$4:$D$23,MATCH($I781,'CAT_TIPOS_OT'!$A$4:$A$23,0)),"SIN CLASIFICAR")))</f>
        <v/>
      </c>
      <c r="W781" s="24">
        <f>IF($H781="","",IF(IFERROR(INDEX('CAT_ACTIVIDADES'!$F$4:$F$26,MATCH($H781,'CAT_ACTIVIDADES'!$A$4:$A$26,0)),"")=0,"",IFERROR(INDEX('CAT_ACTIVIDADES'!$F$4:$F$26,MATCH($H781,'CAT_ACTIVIDADES'!$A$4:$A$26,0)),"")))</f>
        <v/>
      </c>
      <c r="X781" s="24">
        <f>IF($F781="","",IFERROR(INDEX('CAT_CENTROS_COSTO'!$F$4:$F$28,MATCH($F781,'CAT_CENTROS_COSTO'!$A$4:$A$28,0)),"(sin catálogo)"))</f>
        <v/>
      </c>
      <c r="Y781" s="24">
        <f>IF($F781="","",IFERROR(INDEX('CAT_CENTROS_COSTO'!$D$4:$D$28,MATCH($F781,'CAT_CENTROS_COSTO'!$A$4:$A$28,0)),"(sin catálogo)"))</f>
        <v/>
      </c>
      <c r="Z781" s="24">
        <f>IF($F781="","",IF((IFERROR(INDEX('CAT_CENTROS_COSTO'!$E$4:$E$28,MATCH($F781,'CAT_CENTROS_COSTO'!$A$4:$A$28,0)),""))&lt;&gt;"",IFERROR(INDEX('CAT_CENTROS_COSTO'!$E$4:$E$28,MATCH($F781,'CAT_CENTROS_COSTO'!$A$4:$A$28,0)),""),$Y781))</f>
        <v/>
      </c>
      <c r="AA781" s="24">
        <f>IF($F781="","",IFERROR(INDEX('CAT_CENTROS_COSTO'!$G$4:$G$28,MATCH($F781,'CAT_CENTROS_COSTO'!$A$4:$A$28,0)),"(sin catálogo)"))</f>
        <v/>
      </c>
      <c r="AB781" s="24">
        <f>IF($G781="","",IFERROR(INDEX('CAT_PUESTOS'!$B$4:$B$23,MATCH($G781,'CAT_PUESTOS'!$A$4:$A$23,0)),"(sin catálogo)"))</f>
        <v/>
      </c>
      <c r="AC781" s="24">
        <f>IF($H781="","",IFERROR(INDEX('CAT_ACTIVIDADES'!$B$4:$B$26,MATCH($H781,'CAT_ACTIVIDADES'!$A$4:$A$26,0)),"(sin catálogo)"))</f>
        <v/>
      </c>
      <c r="AD781" s="26">
        <f>IF($J781="","",TODAY()-$J781)</f>
        <v/>
      </c>
      <c r="AE781" s="26">
        <f>IF($J781="","",IF($J781&lt;=TODAY(),COUNTIFS(cal_fechas,"&gt;="&amp;$J781,cal_fechas,"&lt;"&amp;TODAY(),cal_habil,"sí"),-COUNTIFS(cal_fechas,"&gt;="&amp;TODAY(),cal_fechas,"&lt;"&amp;$J781,cal_habil,"sí")))</f>
        <v/>
      </c>
      <c r="AF781" s="24">
        <f>IF($AE781="","",IF($AE781&lt;0,"FUTURO",IF($AE781&gt;p_dias_backlog_max,"BACKLOG","MES CORRIENTE")))</f>
        <v/>
      </c>
      <c r="AG781" s="24">
        <f>IF($AE781="",FALSE,AND($AE781&gt;p_dias_backlog_min,$AE781&lt;=p_dias_backlog_max))</f>
        <v/>
      </c>
      <c r="AH781" s="4" t="n"/>
      <c r="AI781" s="24">
        <f>IF($AH781="","",IF((IFERROR(INDEX('ASIGNACIONES'!$J$4:$J$451,MATCH($O781&amp;"|"&amp;$S781&amp;"|"&amp;$AH781,'ASIGNACIONES'!$N$4:$N$451,0)),""))=0,"",IFERROR(INDEX('ASIGNACIONES'!$J$4:$J$451,MATCH($O781&amp;"|"&amp;$S781&amp;"|"&amp;$AH781,'ASIGNACIONES'!$N$4:$N$451,0)),"")))</f>
        <v/>
      </c>
      <c r="AJ781" s="42">
        <f>IF($AH781="","",SUMIFS('ORDENES'!$M$4:$M$1203,'ORDENES'!$AH$4:$AH$1203,$AH781,'ORDENES'!$O$4:$O$1203,$O781,'ORDENES'!$S$4:$S$1203,$S781))</f>
        <v/>
      </c>
      <c r="AK781" s="42">
        <f>IF($AJ781="","",p_factor_productividad*IFERROR(INDEX('ASIGNACIONES'!$M$4:$M$451,MATCH($O781&amp;"|"&amp;$S781&amp;"|"&amp;$AH781,'ASIGNACIONES'!$N$4:$N$451,0)),0)-$AJ781)</f>
        <v/>
      </c>
      <c r="AL781" s="32">
        <f>IF($A781="","",IFERROR(INDEX('2_IMPORTAR_EJECUCION'!$F$9:$F$1208,MATCH($AU781,'2_IMPORTAR_EJECUCION'!$J$9:$J$1208,0)),0))</f>
        <v/>
      </c>
      <c r="AM781" s="32">
        <f>IF($A781="","",MAX(0,IFERROR(INDEX('2_IMPORTAR_EJECUCION'!$H$9:$H$1208,MATCH($AU781,'2_IMPORTAR_EJECUCION'!$J$9:$J$1208,0)),0)-$AL781))</f>
        <v/>
      </c>
      <c r="AN781" s="32">
        <f>IF($A781="","",$AL781+$AM781)</f>
        <v/>
      </c>
      <c r="AO781" s="24">
        <f>IF($A781="","",IF(OR((IFERROR(INDEX('CAT_ACTIVIDADES'!$D$4:$D$26,MATCH($H781,'CAT_ACTIVIDADES'!$A$4:$A$26,0)),""))=0,(IFERROR(INDEX('CAT_ACTIVIDADES'!$D$4:$D$26,MATCH($H781,'CAT_ACTIVIDADES'!$A$4:$A$26,0)),""))=""),"SIN CLASIFICAR",IFERROR(INDEX('CAT_ACTIVIDADES'!$D$4:$D$26,MATCH($H781,'CAT_ACTIVIDADES'!$A$4:$A$26,0)),"")))</f>
        <v/>
      </c>
      <c r="AP781" s="4" t="n"/>
      <c r="AQ781" s="4" t="n"/>
      <c r="AR781" s="4" t="n"/>
      <c r="AS781" s="24">
        <f>IF($AR781="","",HYPERLINK(p_ruta_base_checklists&amp;$AR781,"abrir"))</f>
        <v/>
      </c>
      <c r="AT781" s="4" t="n"/>
      <c r="AU781" s="24">
        <f>IF($A781="","",$A781&amp;IF($B781="","0010",$B781))</f>
        <v/>
      </c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41" t="n"/>
      <c r="K782" s="5" t="n"/>
      <c r="L782" s="18" t="n"/>
      <c r="M782" s="24">
        <f>IF($A782="","",IFERROR(INDEX('AJUSTES'!$B$4:$B$303,MATCH($AU782,'AJUSTES'!$A$4:$A$303,0)),IF($K782="","",$K782)))</f>
        <v/>
      </c>
      <c r="N782" s="24">
        <f>IF($A782="","",IFERROR(INDEX('CAT_ESTADOS_ERP'!$B$4:$B$22,MATCH(IFERROR(INDEX('2_IMPORTAR_EJECUCION'!$C$9:$C$1208,MATCH($AU782,'2_IMPORTAR_EJECUCION'!$J$9:$J$1208,0)),""),'CAT_ESTADOS_ERP'!$A$4:$A$22,0)),"Pendiente"))</f>
        <v/>
      </c>
      <c r="O782" s="24">
        <f>IF($J782="","",YEAR($J782+4-WEEKDAY($J782,2))&amp;"-S"&amp;TEXT(_xlfn.ISOWEEKNUM($J782),"00"))</f>
        <v/>
      </c>
      <c r="P782" s="24">
        <f>IF($J782="","",YEAR($J782))</f>
        <v/>
      </c>
      <c r="Q782" s="24">
        <f>IF($J782="","",MONTH($J782))</f>
        <v/>
      </c>
      <c r="R782" s="24">
        <f>IF($J782="","",$P782&amp;"-"&amp;TEXT($Q782,"00"))</f>
        <v/>
      </c>
      <c r="S782" s="24">
        <f>IF($J782="","",INDEX(lista_dias,WEEKDAY($J782,2)))</f>
        <v/>
      </c>
      <c r="T782" s="24">
        <f>IF($J782="","",IFERROR(INDEX('CALENDARIO'!$C$15:$C$214,MATCH(TEXT($J782,"yyyy-mm-dd")&amp;"|"&amp;$Y782&amp;"|"&amp;$Z782,'CALENDARIO'!$G$15:$G$214,0)),IFERROR(INDEX('CALENDARIO'!$C$15:$C$214,MATCH(TEXT($J782,"yyyy-mm-dd")&amp;"|"&amp;$Y782&amp;"|",'CALENDARIO'!$G$15:$G$214,0)),IFERROR(INDEX('CALENDARIO'!$C$15:$C$214,MATCH(TEXT($J782,"yyyy-mm-dd")&amp;"||",'CALENDARIO'!$G$15:$G$214,0)),INDEX(patronHabil,WEEKDAY($J782,2))))))</f>
        <v/>
      </c>
      <c r="U782" s="24">
        <f>IF($I782="","",IFERROR(INDEX('CAT_TIPOS_OT'!$C$4:$C$23,MATCH($I782,'CAT_TIPOS_OT'!$A$4:$A$23,0)),"sin_clasificar"))</f>
        <v/>
      </c>
      <c r="V782" s="24">
        <f>IF($I782="","",IF(IFERROR(INDEX('CAT_TIPOS_OT'!$D$4:$D$23,MATCH($I782,'CAT_TIPOS_OT'!$A$4:$A$23,0)),"SIN CLASIFICAR")="","SIN CLASIFICAR",IFERROR(INDEX('CAT_TIPOS_OT'!$D$4:$D$23,MATCH($I782,'CAT_TIPOS_OT'!$A$4:$A$23,0)),"SIN CLASIFICAR")))</f>
        <v/>
      </c>
      <c r="W782" s="24">
        <f>IF($H782="","",IF(IFERROR(INDEX('CAT_ACTIVIDADES'!$F$4:$F$26,MATCH($H782,'CAT_ACTIVIDADES'!$A$4:$A$26,0)),"")=0,"",IFERROR(INDEX('CAT_ACTIVIDADES'!$F$4:$F$26,MATCH($H782,'CAT_ACTIVIDADES'!$A$4:$A$26,0)),"")))</f>
        <v/>
      </c>
      <c r="X782" s="24">
        <f>IF($F782="","",IFERROR(INDEX('CAT_CENTROS_COSTO'!$F$4:$F$28,MATCH($F782,'CAT_CENTROS_COSTO'!$A$4:$A$28,0)),"(sin catálogo)"))</f>
        <v/>
      </c>
      <c r="Y782" s="24">
        <f>IF($F782="","",IFERROR(INDEX('CAT_CENTROS_COSTO'!$D$4:$D$28,MATCH($F782,'CAT_CENTROS_COSTO'!$A$4:$A$28,0)),"(sin catálogo)"))</f>
        <v/>
      </c>
      <c r="Z782" s="24">
        <f>IF($F782="","",IF((IFERROR(INDEX('CAT_CENTROS_COSTO'!$E$4:$E$28,MATCH($F782,'CAT_CENTROS_COSTO'!$A$4:$A$28,0)),""))&lt;&gt;"",IFERROR(INDEX('CAT_CENTROS_COSTO'!$E$4:$E$28,MATCH($F782,'CAT_CENTROS_COSTO'!$A$4:$A$28,0)),""),$Y782))</f>
        <v/>
      </c>
      <c r="AA782" s="24">
        <f>IF($F782="","",IFERROR(INDEX('CAT_CENTROS_COSTO'!$G$4:$G$28,MATCH($F782,'CAT_CENTROS_COSTO'!$A$4:$A$28,0)),"(sin catálogo)"))</f>
        <v/>
      </c>
      <c r="AB782" s="24">
        <f>IF($G782="","",IFERROR(INDEX('CAT_PUESTOS'!$B$4:$B$23,MATCH($G782,'CAT_PUESTOS'!$A$4:$A$23,0)),"(sin catálogo)"))</f>
        <v/>
      </c>
      <c r="AC782" s="24">
        <f>IF($H782="","",IFERROR(INDEX('CAT_ACTIVIDADES'!$B$4:$B$26,MATCH($H782,'CAT_ACTIVIDADES'!$A$4:$A$26,0)),"(sin catálogo)"))</f>
        <v/>
      </c>
      <c r="AD782" s="26">
        <f>IF($J782="","",TODAY()-$J782)</f>
        <v/>
      </c>
      <c r="AE782" s="26">
        <f>IF($J782="","",IF($J782&lt;=TODAY(),COUNTIFS(cal_fechas,"&gt;="&amp;$J782,cal_fechas,"&lt;"&amp;TODAY(),cal_habil,"sí"),-COUNTIFS(cal_fechas,"&gt;="&amp;TODAY(),cal_fechas,"&lt;"&amp;$J782,cal_habil,"sí")))</f>
        <v/>
      </c>
      <c r="AF782" s="24">
        <f>IF($AE782="","",IF($AE782&lt;0,"FUTURO",IF($AE782&gt;p_dias_backlog_max,"BACKLOG","MES CORRIENTE")))</f>
        <v/>
      </c>
      <c r="AG782" s="24">
        <f>IF($AE782="",FALSE,AND($AE782&gt;p_dias_backlog_min,$AE782&lt;=p_dias_backlog_max))</f>
        <v/>
      </c>
      <c r="AH782" s="4" t="n"/>
      <c r="AI782" s="24">
        <f>IF($AH782="","",IF((IFERROR(INDEX('ASIGNACIONES'!$J$4:$J$451,MATCH($O782&amp;"|"&amp;$S782&amp;"|"&amp;$AH782,'ASIGNACIONES'!$N$4:$N$451,0)),""))=0,"",IFERROR(INDEX('ASIGNACIONES'!$J$4:$J$451,MATCH($O782&amp;"|"&amp;$S782&amp;"|"&amp;$AH782,'ASIGNACIONES'!$N$4:$N$451,0)),"")))</f>
        <v/>
      </c>
      <c r="AJ782" s="42">
        <f>IF($AH782="","",SUMIFS('ORDENES'!$M$4:$M$1203,'ORDENES'!$AH$4:$AH$1203,$AH782,'ORDENES'!$O$4:$O$1203,$O782,'ORDENES'!$S$4:$S$1203,$S782))</f>
        <v/>
      </c>
      <c r="AK782" s="42">
        <f>IF($AJ782="","",p_factor_productividad*IFERROR(INDEX('ASIGNACIONES'!$M$4:$M$451,MATCH($O782&amp;"|"&amp;$S782&amp;"|"&amp;$AH782,'ASIGNACIONES'!$N$4:$N$451,0)),0)-$AJ782)</f>
        <v/>
      </c>
      <c r="AL782" s="32">
        <f>IF($A782="","",IFERROR(INDEX('2_IMPORTAR_EJECUCION'!$F$9:$F$1208,MATCH($AU782,'2_IMPORTAR_EJECUCION'!$J$9:$J$1208,0)),0))</f>
        <v/>
      </c>
      <c r="AM782" s="32">
        <f>IF($A782="","",MAX(0,IFERROR(INDEX('2_IMPORTAR_EJECUCION'!$H$9:$H$1208,MATCH($AU782,'2_IMPORTAR_EJECUCION'!$J$9:$J$1208,0)),0)-$AL782))</f>
        <v/>
      </c>
      <c r="AN782" s="32">
        <f>IF($A782="","",$AL782+$AM782)</f>
        <v/>
      </c>
      <c r="AO782" s="24">
        <f>IF($A782="","",IF(OR((IFERROR(INDEX('CAT_ACTIVIDADES'!$D$4:$D$26,MATCH($H782,'CAT_ACTIVIDADES'!$A$4:$A$26,0)),""))=0,(IFERROR(INDEX('CAT_ACTIVIDADES'!$D$4:$D$26,MATCH($H782,'CAT_ACTIVIDADES'!$A$4:$A$26,0)),""))=""),"SIN CLASIFICAR",IFERROR(INDEX('CAT_ACTIVIDADES'!$D$4:$D$26,MATCH($H782,'CAT_ACTIVIDADES'!$A$4:$A$26,0)),"")))</f>
        <v/>
      </c>
      <c r="AP782" s="4" t="n"/>
      <c r="AQ782" s="4" t="n"/>
      <c r="AR782" s="4" t="n"/>
      <c r="AS782" s="24">
        <f>IF($AR782="","",HYPERLINK(p_ruta_base_checklists&amp;$AR782,"abrir"))</f>
        <v/>
      </c>
      <c r="AT782" s="4" t="n"/>
      <c r="AU782" s="24">
        <f>IF($A782="","",$A782&amp;IF($B782="","0010",$B782))</f>
        <v/>
      </c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41" t="n"/>
      <c r="K783" s="5" t="n"/>
      <c r="L783" s="18" t="n"/>
      <c r="M783" s="24">
        <f>IF($A783="","",IFERROR(INDEX('AJUSTES'!$B$4:$B$303,MATCH($AU783,'AJUSTES'!$A$4:$A$303,0)),IF($K783="","",$K783)))</f>
        <v/>
      </c>
      <c r="N783" s="24">
        <f>IF($A783="","",IFERROR(INDEX('CAT_ESTADOS_ERP'!$B$4:$B$22,MATCH(IFERROR(INDEX('2_IMPORTAR_EJECUCION'!$C$9:$C$1208,MATCH($AU783,'2_IMPORTAR_EJECUCION'!$J$9:$J$1208,0)),""),'CAT_ESTADOS_ERP'!$A$4:$A$22,0)),"Pendiente"))</f>
        <v/>
      </c>
      <c r="O783" s="24">
        <f>IF($J783="","",YEAR($J783+4-WEEKDAY($J783,2))&amp;"-S"&amp;TEXT(_xlfn.ISOWEEKNUM($J783),"00"))</f>
        <v/>
      </c>
      <c r="P783" s="24">
        <f>IF($J783="","",YEAR($J783))</f>
        <v/>
      </c>
      <c r="Q783" s="24">
        <f>IF($J783="","",MONTH($J783))</f>
        <v/>
      </c>
      <c r="R783" s="24">
        <f>IF($J783="","",$P783&amp;"-"&amp;TEXT($Q783,"00"))</f>
        <v/>
      </c>
      <c r="S783" s="24">
        <f>IF($J783="","",INDEX(lista_dias,WEEKDAY($J783,2)))</f>
        <v/>
      </c>
      <c r="T783" s="24">
        <f>IF($J783="","",IFERROR(INDEX('CALENDARIO'!$C$15:$C$214,MATCH(TEXT($J783,"yyyy-mm-dd")&amp;"|"&amp;$Y783&amp;"|"&amp;$Z783,'CALENDARIO'!$G$15:$G$214,0)),IFERROR(INDEX('CALENDARIO'!$C$15:$C$214,MATCH(TEXT($J783,"yyyy-mm-dd")&amp;"|"&amp;$Y783&amp;"|",'CALENDARIO'!$G$15:$G$214,0)),IFERROR(INDEX('CALENDARIO'!$C$15:$C$214,MATCH(TEXT($J783,"yyyy-mm-dd")&amp;"||",'CALENDARIO'!$G$15:$G$214,0)),INDEX(patronHabil,WEEKDAY($J783,2))))))</f>
        <v/>
      </c>
      <c r="U783" s="24">
        <f>IF($I783="","",IFERROR(INDEX('CAT_TIPOS_OT'!$C$4:$C$23,MATCH($I783,'CAT_TIPOS_OT'!$A$4:$A$23,0)),"sin_clasificar"))</f>
        <v/>
      </c>
      <c r="V783" s="24">
        <f>IF($I783="","",IF(IFERROR(INDEX('CAT_TIPOS_OT'!$D$4:$D$23,MATCH($I783,'CAT_TIPOS_OT'!$A$4:$A$23,0)),"SIN CLASIFICAR")="","SIN CLASIFICAR",IFERROR(INDEX('CAT_TIPOS_OT'!$D$4:$D$23,MATCH($I783,'CAT_TIPOS_OT'!$A$4:$A$23,0)),"SIN CLASIFICAR")))</f>
        <v/>
      </c>
      <c r="W783" s="24">
        <f>IF($H783="","",IF(IFERROR(INDEX('CAT_ACTIVIDADES'!$F$4:$F$26,MATCH($H783,'CAT_ACTIVIDADES'!$A$4:$A$26,0)),"")=0,"",IFERROR(INDEX('CAT_ACTIVIDADES'!$F$4:$F$26,MATCH($H783,'CAT_ACTIVIDADES'!$A$4:$A$26,0)),"")))</f>
        <v/>
      </c>
      <c r="X783" s="24">
        <f>IF($F783="","",IFERROR(INDEX('CAT_CENTROS_COSTO'!$F$4:$F$28,MATCH($F783,'CAT_CENTROS_COSTO'!$A$4:$A$28,0)),"(sin catálogo)"))</f>
        <v/>
      </c>
      <c r="Y783" s="24">
        <f>IF($F783="","",IFERROR(INDEX('CAT_CENTROS_COSTO'!$D$4:$D$28,MATCH($F783,'CAT_CENTROS_COSTO'!$A$4:$A$28,0)),"(sin catálogo)"))</f>
        <v/>
      </c>
      <c r="Z783" s="24">
        <f>IF($F783="","",IF((IFERROR(INDEX('CAT_CENTROS_COSTO'!$E$4:$E$28,MATCH($F783,'CAT_CENTROS_COSTO'!$A$4:$A$28,0)),""))&lt;&gt;"",IFERROR(INDEX('CAT_CENTROS_COSTO'!$E$4:$E$28,MATCH($F783,'CAT_CENTROS_COSTO'!$A$4:$A$28,0)),""),$Y783))</f>
        <v/>
      </c>
      <c r="AA783" s="24">
        <f>IF($F783="","",IFERROR(INDEX('CAT_CENTROS_COSTO'!$G$4:$G$28,MATCH($F783,'CAT_CENTROS_COSTO'!$A$4:$A$28,0)),"(sin catálogo)"))</f>
        <v/>
      </c>
      <c r="AB783" s="24">
        <f>IF($G783="","",IFERROR(INDEX('CAT_PUESTOS'!$B$4:$B$23,MATCH($G783,'CAT_PUESTOS'!$A$4:$A$23,0)),"(sin catálogo)"))</f>
        <v/>
      </c>
      <c r="AC783" s="24">
        <f>IF($H783="","",IFERROR(INDEX('CAT_ACTIVIDADES'!$B$4:$B$26,MATCH($H783,'CAT_ACTIVIDADES'!$A$4:$A$26,0)),"(sin catálogo)"))</f>
        <v/>
      </c>
      <c r="AD783" s="26">
        <f>IF($J783="","",TODAY()-$J783)</f>
        <v/>
      </c>
      <c r="AE783" s="26">
        <f>IF($J783="","",IF($J783&lt;=TODAY(),COUNTIFS(cal_fechas,"&gt;="&amp;$J783,cal_fechas,"&lt;"&amp;TODAY(),cal_habil,"sí"),-COUNTIFS(cal_fechas,"&gt;="&amp;TODAY(),cal_fechas,"&lt;"&amp;$J783,cal_habil,"sí")))</f>
        <v/>
      </c>
      <c r="AF783" s="24">
        <f>IF($AE783="","",IF($AE783&lt;0,"FUTURO",IF($AE783&gt;p_dias_backlog_max,"BACKLOG","MES CORRIENTE")))</f>
        <v/>
      </c>
      <c r="AG783" s="24">
        <f>IF($AE783="",FALSE,AND($AE783&gt;p_dias_backlog_min,$AE783&lt;=p_dias_backlog_max))</f>
        <v/>
      </c>
      <c r="AH783" s="4" t="n"/>
      <c r="AI783" s="24">
        <f>IF($AH783="","",IF((IFERROR(INDEX('ASIGNACIONES'!$J$4:$J$451,MATCH($O783&amp;"|"&amp;$S783&amp;"|"&amp;$AH783,'ASIGNACIONES'!$N$4:$N$451,0)),""))=0,"",IFERROR(INDEX('ASIGNACIONES'!$J$4:$J$451,MATCH($O783&amp;"|"&amp;$S783&amp;"|"&amp;$AH783,'ASIGNACIONES'!$N$4:$N$451,0)),"")))</f>
        <v/>
      </c>
      <c r="AJ783" s="42">
        <f>IF($AH783="","",SUMIFS('ORDENES'!$M$4:$M$1203,'ORDENES'!$AH$4:$AH$1203,$AH783,'ORDENES'!$O$4:$O$1203,$O783,'ORDENES'!$S$4:$S$1203,$S783))</f>
        <v/>
      </c>
      <c r="AK783" s="42">
        <f>IF($AJ783="","",p_factor_productividad*IFERROR(INDEX('ASIGNACIONES'!$M$4:$M$451,MATCH($O783&amp;"|"&amp;$S783&amp;"|"&amp;$AH783,'ASIGNACIONES'!$N$4:$N$451,0)),0)-$AJ783)</f>
        <v/>
      </c>
      <c r="AL783" s="32">
        <f>IF($A783="","",IFERROR(INDEX('2_IMPORTAR_EJECUCION'!$F$9:$F$1208,MATCH($AU783,'2_IMPORTAR_EJECUCION'!$J$9:$J$1208,0)),0))</f>
        <v/>
      </c>
      <c r="AM783" s="32">
        <f>IF($A783="","",MAX(0,IFERROR(INDEX('2_IMPORTAR_EJECUCION'!$H$9:$H$1208,MATCH($AU783,'2_IMPORTAR_EJECUCION'!$J$9:$J$1208,0)),0)-$AL783))</f>
        <v/>
      </c>
      <c r="AN783" s="32">
        <f>IF($A783="","",$AL783+$AM783)</f>
        <v/>
      </c>
      <c r="AO783" s="24">
        <f>IF($A783="","",IF(OR((IFERROR(INDEX('CAT_ACTIVIDADES'!$D$4:$D$26,MATCH($H783,'CAT_ACTIVIDADES'!$A$4:$A$26,0)),""))=0,(IFERROR(INDEX('CAT_ACTIVIDADES'!$D$4:$D$26,MATCH($H783,'CAT_ACTIVIDADES'!$A$4:$A$26,0)),""))=""),"SIN CLASIFICAR",IFERROR(INDEX('CAT_ACTIVIDADES'!$D$4:$D$26,MATCH($H783,'CAT_ACTIVIDADES'!$A$4:$A$26,0)),"")))</f>
        <v/>
      </c>
      <c r="AP783" s="4" t="n"/>
      <c r="AQ783" s="4" t="n"/>
      <c r="AR783" s="4" t="n"/>
      <c r="AS783" s="24">
        <f>IF($AR783="","",HYPERLINK(p_ruta_base_checklists&amp;$AR783,"abrir"))</f>
        <v/>
      </c>
      <c r="AT783" s="4" t="n"/>
      <c r="AU783" s="24">
        <f>IF($A783="","",$A783&amp;IF($B783="","0010",$B783))</f>
        <v/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41" t="n"/>
      <c r="K784" s="5" t="n"/>
      <c r="L784" s="18" t="n"/>
      <c r="M784" s="24">
        <f>IF($A784="","",IFERROR(INDEX('AJUSTES'!$B$4:$B$303,MATCH($AU784,'AJUSTES'!$A$4:$A$303,0)),IF($K784="","",$K784)))</f>
        <v/>
      </c>
      <c r="N784" s="24">
        <f>IF($A784="","",IFERROR(INDEX('CAT_ESTADOS_ERP'!$B$4:$B$22,MATCH(IFERROR(INDEX('2_IMPORTAR_EJECUCION'!$C$9:$C$1208,MATCH($AU784,'2_IMPORTAR_EJECUCION'!$J$9:$J$1208,0)),""),'CAT_ESTADOS_ERP'!$A$4:$A$22,0)),"Pendiente"))</f>
        <v/>
      </c>
      <c r="O784" s="24">
        <f>IF($J784="","",YEAR($J784+4-WEEKDAY($J784,2))&amp;"-S"&amp;TEXT(_xlfn.ISOWEEKNUM($J784),"00"))</f>
        <v/>
      </c>
      <c r="P784" s="24">
        <f>IF($J784="","",YEAR($J784))</f>
        <v/>
      </c>
      <c r="Q784" s="24">
        <f>IF($J784="","",MONTH($J784))</f>
        <v/>
      </c>
      <c r="R784" s="24">
        <f>IF($J784="","",$P784&amp;"-"&amp;TEXT($Q784,"00"))</f>
        <v/>
      </c>
      <c r="S784" s="24">
        <f>IF($J784="","",INDEX(lista_dias,WEEKDAY($J784,2)))</f>
        <v/>
      </c>
      <c r="T784" s="24">
        <f>IF($J784="","",IFERROR(INDEX('CALENDARIO'!$C$15:$C$214,MATCH(TEXT($J784,"yyyy-mm-dd")&amp;"|"&amp;$Y784&amp;"|"&amp;$Z784,'CALENDARIO'!$G$15:$G$214,0)),IFERROR(INDEX('CALENDARIO'!$C$15:$C$214,MATCH(TEXT($J784,"yyyy-mm-dd")&amp;"|"&amp;$Y784&amp;"|",'CALENDARIO'!$G$15:$G$214,0)),IFERROR(INDEX('CALENDARIO'!$C$15:$C$214,MATCH(TEXT($J784,"yyyy-mm-dd")&amp;"||",'CALENDARIO'!$G$15:$G$214,0)),INDEX(patronHabil,WEEKDAY($J784,2))))))</f>
        <v/>
      </c>
      <c r="U784" s="24">
        <f>IF($I784="","",IFERROR(INDEX('CAT_TIPOS_OT'!$C$4:$C$23,MATCH($I784,'CAT_TIPOS_OT'!$A$4:$A$23,0)),"sin_clasificar"))</f>
        <v/>
      </c>
      <c r="V784" s="24">
        <f>IF($I784="","",IF(IFERROR(INDEX('CAT_TIPOS_OT'!$D$4:$D$23,MATCH($I784,'CAT_TIPOS_OT'!$A$4:$A$23,0)),"SIN CLASIFICAR")="","SIN CLASIFICAR",IFERROR(INDEX('CAT_TIPOS_OT'!$D$4:$D$23,MATCH($I784,'CAT_TIPOS_OT'!$A$4:$A$23,0)),"SIN CLASIFICAR")))</f>
        <v/>
      </c>
      <c r="W784" s="24">
        <f>IF($H784="","",IF(IFERROR(INDEX('CAT_ACTIVIDADES'!$F$4:$F$26,MATCH($H784,'CAT_ACTIVIDADES'!$A$4:$A$26,0)),"")=0,"",IFERROR(INDEX('CAT_ACTIVIDADES'!$F$4:$F$26,MATCH($H784,'CAT_ACTIVIDADES'!$A$4:$A$26,0)),"")))</f>
        <v/>
      </c>
      <c r="X784" s="24">
        <f>IF($F784="","",IFERROR(INDEX('CAT_CENTROS_COSTO'!$F$4:$F$28,MATCH($F784,'CAT_CENTROS_COSTO'!$A$4:$A$28,0)),"(sin catálogo)"))</f>
        <v/>
      </c>
      <c r="Y784" s="24">
        <f>IF($F784="","",IFERROR(INDEX('CAT_CENTROS_COSTO'!$D$4:$D$28,MATCH($F784,'CAT_CENTROS_COSTO'!$A$4:$A$28,0)),"(sin catálogo)"))</f>
        <v/>
      </c>
      <c r="Z784" s="24">
        <f>IF($F784="","",IF((IFERROR(INDEX('CAT_CENTROS_COSTO'!$E$4:$E$28,MATCH($F784,'CAT_CENTROS_COSTO'!$A$4:$A$28,0)),""))&lt;&gt;"",IFERROR(INDEX('CAT_CENTROS_COSTO'!$E$4:$E$28,MATCH($F784,'CAT_CENTROS_COSTO'!$A$4:$A$28,0)),""),$Y784))</f>
        <v/>
      </c>
      <c r="AA784" s="24">
        <f>IF($F784="","",IFERROR(INDEX('CAT_CENTROS_COSTO'!$G$4:$G$28,MATCH($F784,'CAT_CENTROS_COSTO'!$A$4:$A$28,0)),"(sin catálogo)"))</f>
        <v/>
      </c>
      <c r="AB784" s="24">
        <f>IF($G784="","",IFERROR(INDEX('CAT_PUESTOS'!$B$4:$B$23,MATCH($G784,'CAT_PUESTOS'!$A$4:$A$23,0)),"(sin catálogo)"))</f>
        <v/>
      </c>
      <c r="AC784" s="24">
        <f>IF($H784="","",IFERROR(INDEX('CAT_ACTIVIDADES'!$B$4:$B$26,MATCH($H784,'CAT_ACTIVIDADES'!$A$4:$A$26,0)),"(sin catálogo)"))</f>
        <v/>
      </c>
      <c r="AD784" s="26">
        <f>IF($J784="","",TODAY()-$J784)</f>
        <v/>
      </c>
      <c r="AE784" s="26">
        <f>IF($J784="","",IF($J784&lt;=TODAY(),COUNTIFS(cal_fechas,"&gt;="&amp;$J784,cal_fechas,"&lt;"&amp;TODAY(),cal_habil,"sí"),-COUNTIFS(cal_fechas,"&gt;="&amp;TODAY(),cal_fechas,"&lt;"&amp;$J784,cal_habil,"sí")))</f>
        <v/>
      </c>
      <c r="AF784" s="24">
        <f>IF($AE784="","",IF($AE784&lt;0,"FUTURO",IF($AE784&gt;p_dias_backlog_max,"BACKLOG","MES CORRIENTE")))</f>
        <v/>
      </c>
      <c r="AG784" s="24">
        <f>IF($AE784="",FALSE,AND($AE784&gt;p_dias_backlog_min,$AE784&lt;=p_dias_backlog_max))</f>
        <v/>
      </c>
      <c r="AH784" s="4" t="n"/>
      <c r="AI784" s="24">
        <f>IF($AH784="","",IF((IFERROR(INDEX('ASIGNACIONES'!$J$4:$J$451,MATCH($O784&amp;"|"&amp;$S784&amp;"|"&amp;$AH784,'ASIGNACIONES'!$N$4:$N$451,0)),""))=0,"",IFERROR(INDEX('ASIGNACIONES'!$J$4:$J$451,MATCH($O784&amp;"|"&amp;$S784&amp;"|"&amp;$AH784,'ASIGNACIONES'!$N$4:$N$451,0)),"")))</f>
        <v/>
      </c>
      <c r="AJ784" s="42">
        <f>IF($AH784="","",SUMIFS('ORDENES'!$M$4:$M$1203,'ORDENES'!$AH$4:$AH$1203,$AH784,'ORDENES'!$O$4:$O$1203,$O784,'ORDENES'!$S$4:$S$1203,$S784))</f>
        <v/>
      </c>
      <c r="AK784" s="42">
        <f>IF($AJ784="","",p_factor_productividad*IFERROR(INDEX('ASIGNACIONES'!$M$4:$M$451,MATCH($O784&amp;"|"&amp;$S784&amp;"|"&amp;$AH784,'ASIGNACIONES'!$N$4:$N$451,0)),0)-$AJ784)</f>
        <v/>
      </c>
      <c r="AL784" s="32">
        <f>IF($A784="","",IFERROR(INDEX('2_IMPORTAR_EJECUCION'!$F$9:$F$1208,MATCH($AU784,'2_IMPORTAR_EJECUCION'!$J$9:$J$1208,0)),0))</f>
        <v/>
      </c>
      <c r="AM784" s="32">
        <f>IF($A784="","",MAX(0,IFERROR(INDEX('2_IMPORTAR_EJECUCION'!$H$9:$H$1208,MATCH($AU784,'2_IMPORTAR_EJECUCION'!$J$9:$J$1208,0)),0)-$AL784))</f>
        <v/>
      </c>
      <c r="AN784" s="32">
        <f>IF($A784="","",$AL784+$AM784)</f>
        <v/>
      </c>
      <c r="AO784" s="24">
        <f>IF($A784="","",IF(OR((IFERROR(INDEX('CAT_ACTIVIDADES'!$D$4:$D$26,MATCH($H784,'CAT_ACTIVIDADES'!$A$4:$A$26,0)),""))=0,(IFERROR(INDEX('CAT_ACTIVIDADES'!$D$4:$D$26,MATCH($H784,'CAT_ACTIVIDADES'!$A$4:$A$26,0)),""))=""),"SIN CLASIFICAR",IFERROR(INDEX('CAT_ACTIVIDADES'!$D$4:$D$26,MATCH($H784,'CAT_ACTIVIDADES'!$A$4:$A$26,0)),"")))</f>
        <v/>
      </c>
      <c r="AP784" s="4" t="n"/>
      <c r="AQ784" s="4" t="n"/>
      <c r="AR784" s="4" t="n"/>
      <c r="AS784" s="24">
        <f>IF($AR784="","",HYPERLINK(p_ruta_base_checklists&amp;$AR784,"abrir"))</f>
        <v/>
      </c>
      <c r="AT784" s="4" t="n"/>
      <c r="AU784" s="24">
        <f>IF($A784="","",$A784&amp;IF($B784="","0010",$B784))</f>
        <v/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41" t="n"/>
      <c r="K785" s="5" t="n"/>
      <c r="L785" s="18" t="n"/>
      <c r="M785" s="24">
        <f>IF($A785="","",IFERROR(INDEX('AJUSTES'!$B$4:$B$303,MATCH($AU785,'AJUSTES'!$A$4:$A$303,0)),IF($K785="","",$K785)))</f>
        <v/>
      </c>
      <c r="N785" s="24">
        <f>IF($A785="","",IFERROR(INDEX('CAT_ESTADOS_ERP'!$B$4:$B$22,MATCH(IFERROR(INDEX('2_IMPORTAR_EJECUCION'!$C$9:$C$1208,MATCH($AU785,'2_IMPORTAR_EJECUCION'!$J$9:$J$1208,0)),""),'CAT_ESTADOS_ERP'!$A$4:$A$22,0)),"Pendiente"))</f>
        <v/>
      </c>
      <c r="O785" s="24">
        <f>IF($J785="","",YEAR($J785+4-WEEKDAY($J785,2))&amp;"-S"&amp;TEXT(_xlfn.ISOWEEKNUM($J785),"00"))</f>
        <v/>
      </c>
      <c r="P785" s="24">
        <f>IF($J785="","",YEAR($J785))</f>
        <v/>
      </c>
      <c r="Q785" s="24">
        <f>IF($J785="","",MONTH($J785))</f>
        <v/>
      </c>
      <c r="R785" s="24">
        <f>IF($J785="","",$P785&amp;"-"&amp;TEXT($Q785,"00"))</f>
        <v/>
      </c>
      <c r="S785" s="24">
        <f>IF($J785="","",INDEX(lista_dias,WEEKDAY($J785,2)))</f>
        <v/>
      </c>
      <c r="T785" s="24">
        <f>IF($J785="","",IFERROR(INDEX('CALENDARIO'!$C$15:$C$214,MATCH(TEXT($J785,"yyyy-mm-dd")&amp;"|"&amp;$Y785&amp;"|"&amp;$Z785,'CALENDARIO'!$G$15:$G$214,0)),IFERROR(INDEX('CALENDARIO'!$C$15:$C$214,MATCH(TEXT($J785,"yyyy-mm-dd")&amp;"|"&amp;$Y785&amp;"|",'CALENDARIO'!$G$15:$G$214,0)),IFERROR(INDEX('CALENDARIO'!$C$15:$C$214,MATCH(TEXT($J785,"yyyy-mm-dd")&amp;"||",'CALENDARIO'!$G$15:$G$214,0)),INDEX(patronHabil,WEEKDAY($J785,2))))))</f>
        <v/>
      </c>
      <c r="U785" s="24">
        <f>IF($I785="","",IFERROR(INDEX('CAT_TIPOS_OT'!$C$4:$C$23,MATCH($I785,'CAT_TIPOS_OT'!$A$4:$A$23,0)),"sin_clasificar"))</f>
        <v/>
      </c>
      <c r="V785" s="24">
        <f>IF($I785="","",IF(IFERROR(INDEX('CAT_TIPOS_OT'!$D$4:$D$23,MATCH($I785,'CAT_TIPOS_OT'!$A$4:$A$23,0)),"SIN CLASIFICAR")="","SIN CLASIFICAR",IFERROR(INDEX('CAT_TIPOS_OT'!$D$4:$D$23,MATCH($I785,'CAT_TIPOS_OT'!$A$4:$A$23,0)),"SIN CLASIFICAR")))</f>
        <v/>
      </c>
      <c r="W785" s="24">
        <f>IF($H785="","",IF(IFERROR(INDEX('CAT_ACTIVIDADES'!$F$4:$F$26,MATCH($H785,'CAT_ACTIVIDADES'!$A$4:$A$26,0)),"")=0,"",IFERROR(INDEX('CAT_ACTIVIDADES'!$F$4:$F$26,MATCH($H785,'CAT_ACTIVIDADES'!$A$4:$A$26,0)),"")))</f>
        <v/>
      </c>
      <c r="X785" s="24">
        <f>IF($F785="","",IFERROR(INDEX('CAT_CENTROS_COSTO'!$F$4:$F$28,MATCH($F785,'CAT_CENTROS_COSTO'!$A$4:$A$28,0)),"(sin catálogo)"))</f>
        <v/>
      </c>
      <c r="Y785" s="24">
        <f>IF($F785="","",IFERROR(INDEX('CAT_CENTROS_COSTO'!$D$4:$D$28,MATCH($F785,'CAT_CENTROS_COSTO'!$A$4:$A$28,0)),"(sin catálogo)"))</f>
        <v/>
      </c>
      <c r="Z785" s="24">
        <f>IF($F785="","",IF((IFERROR(INDEX('CAT_CENTROS_COSTO'!$E$4:$E$28,MATCH($F785,'CAT_CENTROS_COSTO'!$A$4:$A$28,0)),""))&lt;&gt;"",IFERROR(INDEX('CAT_CENTROS_COSTO'!$E$4:$E$28,MATCH($F785,'CAT_CENTROS_COSTO'!$A$4:$A$28,0)),""),$Y785))</f>
        <v/>
      </c>
      <c r="AA785" s="24">
        <f>IF($F785="","",IFERROR(INDEX('CAT_CENTROS_COSTO'!$G$4:$G$28,MATCH($F785,'CAT_CENTROS_COSTO'!$A$4:$A$28,0)),"(sin catálogo)"))</f>
        <v/>
      </c>
      <c r="AB785" s="24">
        <f>IF($G785="","",IFERROR(INDEX('CAT_PUESTOS'!$B$4:$B$23,MATCH($G785,'CAT_PUESTOS'!$A$4:$A$23,0)),"(sin catálogo)"))</f>
        <v/>
      </c>
      <c r="AC785" s="24">
        <f>IF($H785="","",IFERROR(INDEX('CAT_ACTIVIDADES'!$B$4:$B$26,MATCH($H785,'CAT_ACTIVIDADES'!$A$4:$A$26,0)),"(sin catálogo)"))</f>
        <v/>
      </c>
      <c r="AD785" s="26">
        <f>IF($J785="","",TODAY()-$J785)</f>
        <v/>
      </c>
      <c r="AE785" s="26">
        <f>IF($J785="","",IF($J785&lt;=TODAY(),COUNTIFS(cal_fechas,"&gt;="&amp;$J785,cal_fechas,"&lt;"&amp;TODAY(),cal_habil,"sí"),-COUNTIFS(cal_fechas,"&gt;="&amp;TODAY(),cal_fechas,"&lt;"&amp;$J785,cal_habil,"sí")))</f>
        <v/>
      </c>
      <c r="AF785" s="24">
        <f>IF($AE785="","",IF($AE785&lt;0,"FUTURO",IF($AE785&gt;p_dias_backlog_max,"BACKLOG","MES CORRIENTE")))</f>
        <v/>
      </c>
      <c r="AG785" s="24">
        <f>IF($AE785="",FALSE,AND($AE785&gt;p_dias_backlog_min,$AE785&lt;=p_dias_backlog_max))</f>
        <v/>
      </c>
      <c r="AH785" s="4" t="n"/>
      <c r="AI785" s="24">
        <f>IF($AH785="","",IF((IFERROR(INDEX('ASIGNACIONES'!$J$4:$J$451,MATCH($O785&amp;"|"&amp;$S785&amp;"|"&amp;$AH785,'ASIGNACIONES'!$N$4:$N$451,0)),""))=0,"",IFERROR(INDEX('ASIGNACIONES'!$J$4:$J$451,MATCH($O785&amp;"|"&amp;$S785&amp;"|"&amp;$AH785,'ASIGNACIONES'!$N$4:$N$451,0)),"")))</f>
        <v/>
      </c>
      <c r="AJ785" s="42">
        <f>IF($AH785="","",SUMIFS('ORDENES'!$M$4:$M$1203,'ORDENES'!$AH$4:$AH$1203,$AH785,'ORDENES'!$O$4:$O$1203,$O785,'ORDENES'!$S$4:$S$1203,$S785))</f>
        <v/>
      </c>
      <c r="AK785" s="42">
        <f>IF($AJ785="","",p_factor_productividad*IFERROR(INDEX('ASIGNACIONES'!$M$4:$M$451,MATCH($O785&amp;"|"&amp;$S785&amp;"|"&amp;$AH785,'ASIGNACIONES'!$N$4:$N$451,0)),0)-$AJ785)</f>
        <v/>
      </c>
      <c r="AL785" s="32">
        <f>IF($A785="","",IFERROR(INDEX('2_IMPORTAR_EJECUCION'!$F$9:$F$1208,MATCH($AU785,'2_IMPORTAR_EJECUCION'!$J$9:$J$1208,0)),0))</f>
        <v/>
      </c>
      <c r="AM785" s="32">
        <f>IF($A785="","",MAX(0,IFERROR(INDEX('2_IMPORTAR_EJECUCION'!$H$9:$H$1208,MATCH($AU785,'2_IMPORTAR_EJECUCION'!$J$9:$J$1208,0)),0)-$AL785))</f>
        <v/>
      </c>
      <c r="AN785" s="32">
        <f>IF($A785="","",$AL785+$AM785)</f>
        <v/>
      </c>
      <c r="AO785" s="24">
        <f>IF($A785="","",IF(OR((IFERROR(INDEX('CAT_ACTIVIDADES'!$D$4:$D$26,MATCH($H785,'CAT_ACTIVIDADES'!$A$4:$A$26,0)),""))=0,(IFERROR(INDEX('CAT_ACTIVIDADES'!$D$4:$D$26,MATCH($H785,'CAT_ACTIVIDADES'!$A$4:$A$26,0)),""))=""),"SIN CLASIFICAR",IFERROR(INDEX('CAT_ACTIVIDADES'!$D$4:$D$26,MATCH($H785,'CAT_ACTIVIDADES'!$A$4:$A$26,0)),"")))</f>
        <v/>
      </c>
      <c r="AP785" s="4" t="n"/>
      <c r="AQ785" s="4" t="n"/>
      <c r="AR785" s="4" t="n"/>
      <c r="AS785" s="24">
        <f>IF($AR785="","",HYPERLINK(p_ruta_base_checklists&amp;$AR785,"abrir"))</f>
        <v/>
      </c>
      <c r="AT785" s="4" t="n"/>
      <c r="AU785" s="24">
        <f>IF($A785="","",$A785&amp;IF($B785="","0010",$B785))</f>
        <v/>
      </c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41" t="n"/>
      <c r="K786" s="5" t="n"/>
      <c r="L786" s="18" t="n"/>
      <c r="M786" s="24">
        <f>IF($A786="","",IFERROR(INDEX('AJUSTES'!$B$4:$B$303,MATCH($AU786,'AJUSTES'!$A$4:$A$303,0)),IF($K786="","",$K786)))</f>
        <v/>
      </c>
      <c r="N786" s="24">
        <f>IF($A786="","",IFERROR(INDEX('CAT_ESTADOS_ERP'!$B$4:$B$22,MATCH(IFERROR(INDEX('2_IMPORTAR_EJECUCION'!$C$9:$C$1208,MATCH($AU786,'2_IMPORTAR_EJECUCION'!$J$9:$J$1208,0)),""),'CAT_ESTADOS_ERP'!$A$4:$A$22,0)),"Pendiente"))</f>
        <v/>
      </c>
      <c r="O786" s="24">
        <f>IF($J786="","",YEAR($J786+4-WEEKDAY($J786,2))&amp;"-S"&amp;TEXT(_xlfn.ISOWEEKNUM($J786),"00"))</f>
        <v/>
      </c>
      <c r="P786" s="24">
        <f>IF($J786="","",YEAR($J786))</f>
        <v/>
      </c>
      <c r="Q786" s="24">
        <f>IF($J786="","",MONTH($J786))</f>
        <v/>
      </c>
      <c r="R786" s="24">
        <f>IF($J786="","",$P786&amp;"-"&amp;TEXT($Q786,"00"))</f>
        <v/>
      </c>
      <c r="S786" s="24">
        <f>IF($J786="","",INDEX(lista_dias,WEEKDAY($J786,2)))</f>
        <v/>
      </c>
      <c r="T786" s="24">
        <f>IF($J786="","",IFERROR(INDEX('CALENDARIO'!$C$15:$C$214,MATCH(TEXT($J786,"yyyy-mm-dd")&amp;"|"&amp;$Y786&amp;"|"&amp;$Z786,'CALENDARIO'!$G$15:$G$214,0)),IFERROR(INDEX('CALENDARIO'!$C$15:$C$214,MATCH(TEXT($J786,"yyyy-mm-dd")&amp;"|"&amp;$Y786&amp;"|",'CALENDARIO'!$G$15:$G$214,0)),IFERROR(INDEX('CALENDARIO'!$C$15:$C$214,MATCH(TEXT($J786,"yyyy-mm-dd")&amp;"||",'CALENDARIO'!$G$15:$G$214,0)),INDEX(patronHabil,WEEKDAY($J786,2))))))</f>
        <v/>
      </c>
      <c r="U786" s="24">
        <f>IF($I786="","",IFERROR(INDEX('CAT_TIPOS_OT'!$C$4:$C$23,MATCH($I786,'CAT_TIPOS_OT'!$A$4:$A$23,0)),"sin_clasificar"))</f>
        <v/>
      </c>
      <c r="V786" s="24">
        <f>IF($I786="","",IF(IFERROR(INDEX('CAT_TIPOS_OT'!$D$4:$D$23,MATCH($I786,'CAT_TIPOS_OT'!$A$4:$A$23,0)),"SIN CLASIFICAR")="","SIN CLASIFICAR",IFERROR(INDEX('CAT_TIPOS_OT'!$D$4:$D$23,MATCH($I786,'CAT_TIPOS_OT'!$A$4:$A$23,0)),"SIN CLASIFICAR")))</f>
        <v/>
      </c>
      <c r="W786" s="24">
        <f>IF($H786="","",IF(IFERROR(INDEX('CAT_ACTIVIDADES'!$F$4:$F$26,MATCH($H786,'CAT_ACTIVIDADES'!$A$4:$A$26,0)),"")=0,"",IFERROR(INDEX('CAT_ACTIVIDADES'!$F$4:$F$26,MATCH($H786,'CAT_ACTIVIDADES'!$A$4:$A$26,0)),"")))</f>
        <v/>
      </c>
      <c r="X786" s="24">
        <f>IF($F786="","",IFERROR(INDEX('CAT_CENTROS_COSTO'!$F$4:$F$28,MATCH($F786,'CAT_CENTROS_COSTO'!$A$4:$A$28,0)),"(sin catálogo)"))</f>
        <v/>
      </c>
      <c r="Y786" s="24">
        <f>IF($F786="","",IFERROR(INDEX('CAT_CENTROS_COSTO'!$D$4:$D$28,MATCH($F786,'CAT_CENTROS_COSTO'!$A$4:$A$28,0)),"(sin catálogo)"))</f>
        <v/>
      </c>
      <c r="Z786" s="24">
        <f>IF($F786="","",IF((IFERROR(INDEX('CAT_CENTROS_COSTO'!$E$4:$E$28,MATCH($F786,'CAT_CENTROS_COSTO'!$A$4:$A$28,0)),""))&lt;&gt;"",IFERROR(INDEX('CAT_CENTROS_COSTO'!$E$4:$E$28,MATCH($F786,'CAT_CENTROS_COSTO'!$A$4:$A$28,0)),""),$Y786))</f>
        <v/>
      </c>
      <c r="AA786" s="24">
        <f>IF($F786="","",IFERROR(INDEX('CAT_CENTROS_COSTO'!$G$4:$G$28,MATCH($F786,'CAT_CENTROS_COSTO'!$A$4:$A$28,0)),"(sin catálogo)"))</f>
        <v/>
      </c>
      <c r="AB786" s="24">
        <f>IF($G786="","",IFERROR(INDEX('CAT_PUESTOS'!$B$4:$B$23,MATCH($G786,'CAT_PUESTOS'!$A$4:$A$23,0)),"(sin catálogo)"))</f>
        <v/>
      </c>
      <c r="AC786" s="24">
        <f>IF($H786="","",IFERROR(INDEX('CAT_ACTIVIDADES'!$B$4:$B$26,MATCH($H786,'CAT_ACTIVIDADES'!$A$4:$A$26,0)),"(sin catálogo)"))</f>
        <v/>
      </c>
      <c r="AD786" s="26">
        <f>IF($J786="","",TODAY()-$J786)</f>
        <v/>
      </c>
      <c r="AE786" s="26">
        <f>IF($J786="","",IF($J786&lt;=TODAY(),COUNTIFS(cal_fechas,"&gt;="&amp;$J786,cal_fechas,"&lt;"&amp;TODAY(),cal_habil,"sí"),-COUNTIFS(cal_fechas,"&gt;="&amp;TODAY(),cal_fechas,"&lt;"&amp;$J786,cal_habil,"sí")))</f>
        <v/>
      </c>
      <c r="AF786" s="24">
        <f>IF($AE786="","",IF($AE786&lt;0,"FUTURO",IF($AE786&gt;p_dias_backlog_max,"BACKLOG","MES CORRIENTE")))</f>
        <v/>
      </c>
      <c r="AG786" s="24">
        <f>IF($AE786="",FALSE,AND($AE786&gt;p_dias_backlog_min,$AE786&lt;=p_dias_backlog_max))</f>
        <v/>
      </c>
      <c r="AH786" s="4" t="n"/>
      <c r="AI786" s="24">
        <f>IF($AH786="","",IF((IFERROR(INDEX('ASIGNACIONES'!$J$4:$J$451,MATCH($O786&amp;"|"&amp;$S786&amp;"|"&amp;$AH786,'ASIGNACIONES'!$N$4:$N$451,0)),""))=0,"",IFERROR(INDEX('ASIGNACIONES'!$J$4:$J$451,MATCH($O786&amp;"|"&amp;$S786&amp;"|"&amp;$AH786,'ASIGNACIONES'!$N$4:$N$451,0)),"")))</f>
        <v/>
      </c>
      <c r="AJ786" s="42">
        <f>IF($AH786="","",SUMIFS('ORDENES'!$M$4:$M$1203,'ORDENES'!$AH$4:$AH$1203,$AH786,'ORDENES'!$O$4:$O$1203,$O786,'ORDENES'!$S$4:$S$1203,$S786))</f>
        <v/>
      </c>
      <c r="AK786" s="42">
        <f>IF($AJ786="","",p_factor_productividad*IFERROR(INDEX('ASIGNACIONES'!$M$4:$M$451,MATCH($O786&amp;"|"&amp;$S786&amp;"|"&amp;$AH786,'ASIGNACIONES'!$N$4:$N$451,0)),0)-$AJ786)</f>
        <v/>
      </c>
      <c r="AL786" s="32">
        <f>IF($A786="","",IFERROR(INDEX('2_IMPORTAR_EJECUCION'!$F$9:$F$1208,MATCH($AU786,'2_IMPORTAR_EJECUCION'!$J$9:$J$1208,0)),0))</f>
        <v/>
      </c>
      <c r="AM786" s="32">
        <f>IF($A786="","",MAX(0,IFERROR(INDEX('2_IMPORTAR_EJECUCION'!$H$9:$H$1208,MATCH($AU786,'2_IMPORTAR_EJECUCION'!$J$9:$J$1208,0)),0)-$AL786))</f>
        <v/>
      </c>
      <c r="AN786" s="32">
        <f>IF($A786="","",$AL786+$AM786)</f>
        <v/>
      </c>
      <c r="AO786" s="24">
        <f>IF($A786="","",IF(OR((IFERROR(INDEX('CAT_ACTIVIDADES'!$D$4:$D$26,MATCH($H786,'CAT_ACTIVIDADES'!$A$4:$A$26,0)),""))=0,(IFERROR(INDEX('CAT_ACTIVIDADES'!$D$4:$D$26,MATCH($H786,'CAT_ACTIVIDADES'!$A$4:$A$26,0)),""))=""),"SIN CLASIFICAR",IFERROR(INDEX('CAT_ACTIVIDADES'!$D$4:$D$26,MATCH($H786,'CAT_ACTIVIDADES'!$A$4:$A$26,0)),"")))</f>
        <v/>
      </c>
      <c r="AP786" s="4" t="n"/>
      <c r="AQ786" s="4" t="n"/>
      <c r="AR786" s="4" t="n"/>
      <c r="AS786" s="24">
        <f>IF($AR786="","",HYPERLINK(p_ruta_base_checklists&amp;$AR786,"abrir"))</f>
        <v/>
      </c>
      <c r="AT786" s="4" t="n"/>
      <c r="AU786" s="24">
        <f>IF($A786="","",$A786&amp;IF($B786="","0010",$B786))</f>
        <v/>
      </c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41" t="n"/>
      <c r="K787" s="5" t="n"/>
      <c r="L787" s="18" t="n"/>
      <c r="M787" s="24">
        <f>IF($A787="","",IFERROR(INDEX('AJUSTES'!$B$4:$B$303,MATCH($AU787,'AJUSTES'!$A$4:$A$303,0)),IF($K787="","",$K787)))</f>
        <v/>
      </c>
      <c r="N787" s="24">
        <f>IF($A787="","",IFERROR(INDEX('CAT_ESTADOS_ERP'!$B$4:$B$22,MATCH(IFERROR(INDEX('2_IMPORTAR_EJECUCION'!$C$9:$C$1208,MATCH($AU787,'2_IMPORTAR_EJECUCION'!$J$9:$J$1208,0)),""),'CAT_ESTADOS_ERP'!$A$4:$A$22,0)),"Pendiente"))</f>
        <v/>
      </c>
      <c r="O787" s="24">
        <f>IF($J787="","",YEAR($J787+4-WEEKDAY($J787,2))&amp;"-S"&amp;TEXT(_xlfn.ISOWEEKNUM($J787),"00"))</f>
        <v/>
      </c>
      <c r="P787" s="24">
        <f>IF($J787="","",YEAR($J787))</f>
        <v/>
      </c>
      <c r="Q787" s="24">
        <f>IF($J787="","",MONTH($J787))</f>
        <v/>
      </c>
      <c r="R787" s="24">
        <f>IF($J787="","",$P787&amp;"-"&amp;TEXT($Q787,"00"))</f>
        <v/>
      </c>
      <c r="S787" s="24">
        <f>IF($J787="","",INDEX(lista_dias,WEEKDAY($J787,2)))</f>
        <v/>
      </c>
      <c r="T787" s="24">
        <f>IF($J787="","",IFERROR(INDEX('CALENDARIO'!$C$15:$C$214,MATCH(TEXT($J787,"yyyy-mm-dd")&amp;"|"&amp;$Y787&amp;"|"&amp;$Z787,'CALENDARIO'!$G$15:$G$214,0)),IFERROR(INDEX('CALENDARIO'!$C$15:$C$214,MATCH(TEXT($J787,"yyyy-mm-dd")&amp;"|"&amp;$Y787&amp;"|",'CALENDARIO'!$G$15:$G$214,0)),IFERROR(INDEX('CALENDARIO'!$C$15:$C$214,MATCH(TEXT($J787,"yyyy-mm-dd")&amp;"||",'CALENDARIO'!$G$15:$G$214,0)),INDEX(patronHabil,WEEKDAY($J787,2))))))</f>
        <v/>
      </c>
      <c r="U787" s="24">
        <f>IF($I787="","",IFERROR(INDEX('CAT_TIPOS_OT'!$C$4:$C$23,MATCH($I787,'CAT_TIPOS_OT'!$A$4:$A$23,0)),"sin_clasificar"))</f>
        <v/>
      </c>
      <c r="V787" s="24">
        <f>IF($I787="","",IF(IFERROR(INDEX('CAT_TIPOS_OT'!$D$4:$D$23,MATCH($I787,'CAT_TIPOS_OT'!$A$4:$A$23,0)),"SIN CLASIFICAR")="","SIN CLASIFICAR",IFERROR(INDEX('CAT_TIPOS_OT'!$D$4:$D$23,MATCH($I787,'CAT_TIPOS_OT'!$A$4:$A$23,0)),"SIN CLASIFICAR")))</f>
        <v/>
      </c>
      <c r="W787" s="24">
        <f>IF($H787="","",IF(IFERROR(INDEX('CAT_ACTIVIDADES'!$F$4:$F$26,MATCH($H787,'CAT_ACTIVIDADES'!$A$4:$A$26,0)),"")=0,"",IFERROR(INDEX('CAT_ACTIVIDADES'!$F$4:$F$26,MATCH($H787,'CAT_ACTIVIDADES'!$A$4:$A$26,0)),"")))</f>
        <v/>
      </c>
      <c r="X787" s="24">
        <f>IF($F787="","",IFERROR(INDEX('CAT_CENTROS_COSTO'!$F$4:$F$28,MATCH($F787,'CAT_CENTROS_COSTO'!$A$4:$A$28,0)),"(sin catálogo)"))</f>
        <v/>
      </c>
      <c r="Y787" s="24">
        <f>IF($F787="","",IFERROR(INDEX('CAT_CENTROS_COSTO'!$D$4:$D$28,MATCH($F787,'CAT_CENTROS_COSTO'!$A$4:$A$28,0)),"(sin catálogo)"))</f>
        <v/>
      </c>
      <c r="Z787" s="24">
        <f>IF($F787="","",IF((IFERROR(INDEX('CAT_CENTROS_COSTO'!$E$4:$E$28,MATCH($F787,'CAT_CENTROS_COSTO'!$A$4:$A$28,0)),""))&lt;&gt;"",IFERROR(INDEX('CAT_CENTROS_COSTO'!$E$4:$E$28,MATCH($F787,'CAT_CENTROS_COSTO'!$A$4:$A$28,0)),""),$Y787))</f>
        <v/>
      </c>
      <c r="AA787" s="24">
        <f>IF($F787="","",IFERROR(INDEX('CAT_CENTROS_COSTO'!$G$4:$G$28,MATCH($F787,'CAT_CENTROS_COSTO'!$A$4:$A$28,0)),"(sin catálogo)"))</f>
        <v/>
      </c>
      <c r="AB787" s="24">
        <f>IF($G787="","",IFERROR(INDEX('CAT_PUESTOS'!$B$4:$B$23,MATCH($G787,'CAT_PUESTOS'!$A$4:$A$23,0)),"(sin catálogo)"))</f>
        <v/>
      </c>
      <c r="AC787" s="24">
        <f>IF($H787="","",IFERROR(INDEX('CAT_ACTIVIDADES'!$B$4:$B$26,MATCH($H787,'CAT_ACTIVIDADES'!$A$4:$A$26,0)),"(sin catálogo)"))</f>
        <v/>
      </c>
      <c r="AD787" s="26">
        <f>IF($J787="","",TODAY()-$J787)</f>
        <v/>
      </c>
      <c r="AE787" s="26">
        <f>IF($J787="","",IF($J787&lt;=TODAY(),COUNTIFS(cal_fechas,"&gt;="&amp;$J787,cal_fechas,"&lt;"&amp;TODAY(),cal_habil,"sí"),-COUNTIFS(cal_fechas,"&gt;="&amp;TODAY(),cal_fechas,"&lt;"&amp;$J787,cal_habil,"sí")))</f>
        <v/>
      </c>
      <c r="AF787" s="24">
        <f>IF($AE787="","",IF($AE787&lt;0,"FUTURO",IF($AE787&gt;p_dias_backlog_max,"BACKLOG","MES CORRIENTE")))</f>
        <v/>
      </c>
      <c r="AG787" s="24">
        <f>IF($AE787="",FALSE,AND($AE787&gt;p_dias_backlog_min,$AE787&lt;=p_dias_backlog_max))</f>
        <v/>
      </c>
      <c r="AH787" s="4" t="n"/>
      <c r="AI787" s="24">
        <f>IF($AH787="","",IF((IFERROR(INDEX('ASIGNACIONES'!$J$4:$J$451,MATCH($O787&amp;"|"&amp;$S787&amp;"|"&amp;$AH787,'ASIGNACIONES'!$N$4:$N$451,0)),""))=0,"",IFERROR(INDEX('ASIGNACIONES'!$J$4:$J$451,MATCH($O787&amp;"|"&amp;$S787&amp;"|"&amp;$AH787,'ASIGNACIONES'!$N$4:$N$451,0)),"")))</f>
        <v/>
      </c>
      <c r="AJ787" s="42">
        <f>IF($AH787="","",SUMIFS('ORDENES'!$M$4:$M$1203,'ORDENES'!$AH$4:$AH$1203,$AH787,'ORDENES'!$O$4:$O$1203,$O787,'ORDENES'!$S$4:$S$1203,$S787))</f>
        <v/>
      </c>
      <c r="AK787" s="42">
        <f>IF($AJ787="","",p_factor_productividad*IFERROR(INDEX('ASIGNACIONES'!$M$4:$M$451,MATCH($O787&amp;"|"&amp;$S787&amp;"|"&amp;$AH787,'ASIGNACIONES'!$N$4:$N$451,0)),0)-$AJ787)</f>
        <v/>
      </c>
      <c r="AL787" s="32">
        <f>IF($A787="","",IFERROR(INDEX('2_IMPORTAR_EJECUCION'!$F$9:$F$1208,MATCH($AU787,'2_IMPORTAR_EJECUCION'!$J$9:$J$1208,0)),0))</f>
        <v/>
      </c>
      <c r="AM787" s="32">
        <f>IF($A787="","",MAX(0,IFERROR(INDEX('2_IMPORTAR_EJECUCION'!$H$9:$H$1208,MATCH($AU787,'2_IMPORTAR_EJECUCION'!$J$9:$J$1208,0)),0)-$AL787))</f>
        <v/>
      </c>
      <c r="AN787" s="32">
        <f>IF($A787="","",$AL787+$AM787)</f>
        <v/>
      </c>
      <c r="AO787" s="24">
        <f>IF($A787="","",IF(OR((IFERROR(INDEX('CAT_ACTIVIDADES'!$D$4:$D$26,MATCH($H787,'CAT_ACTIVIDADES'!$A$4:$A$26,0)),""))=0,(IFERROR(INDEX('CAT_ACTIVIDADES'!$D$4:$D$26,MATCH($H787,'CAT_ACTIVIDADES'!$A$4:$A$26,0)),""))=""),"SIN CLASIFICAR",IFERROR(INDEX('CAT_ACTIVIDADES'!$D$4:$D$26,MATCH($H787,'CAT_ACTIVIDADES'!$A$4:$A$26,0)),"")))</f>
        <v/>
      </c>
      <c r="AP787" s="4" t="n"/>
      <c r="AQ787" s="4" t="n"/>
      <c r="AR787" s="4" t="n"/>
      <c r="AS787" s="24">
        <f>IF($AR787="","",HYPERLINK(p_ruta_base_checklists&amp;$AR787,"abrir"))</f>
        <v/>
      </c>
      <c r="AT787" s="4" t="n"/>
      <c r="AU787" s="24">
        <f>IF($A787="","",$A787&amp;IF($B787="","0010",$B787))</f>
        <v/>
      </c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41" t="n"/>
      <c r="K788" s="5" t="n"/>
      <c r="L788" s="18" t="n"/>
      <c r="M788" s="24">
        <f>IF($A788="","",IFERROR(INDEX('AJUSTES'!$B$4:$B$303,MATCH($AU788,'AJUSTES'!$A$4:$A$303,0)),IF($K788="","",$K788)))</f>
        <v/>
      </c>
      <c r="N788" s="24">
        <f>IF($A788="","",IFERROR(INDEX('CAT_ESTADOS_ERP'!$B$4:$B$22,MATCH(IFERROR(INDEX('2_IMPORTAR_EJECUCION'!$C$9:$C$1208,MATCH($AU788,'2_IMPORTAR_EJECUCION'!$J$9:$J$1208,0)),""),'CAT_ESTADOS_ERP'!$A$4:$A$22,0)),"Pendiente"))</f>
        <v/>
      </c>
      <c r="O788" s="24">
        <f>IF($J788="","",YEAR($J788+4-WEEKDAY($J788,2))&amp;"-S"&amp;TEXT(_xlfn.ISOWEEKNUM($J788),"00"))</f>
        <v/>
      </c>
      <c r="P788" s="24">
        <f>IF($J788="","",YEAR($J788))</f>
        <v/>
      </c>
      <c r="Q788" s="24">
        <f>IF($J788="","",MONTH($J788))</f>
        <v/>
      </c>
      <c r="R788" s="24">
        <f>IF($J788="","",$P788&amp;"-"&amp;TEXT($Q788,"00"))</f>
        <v/>
      </c>
      <c r="S788" s="24">
        <f>IF($J788="","",INDEX(lista_dias,WEEKDAY($J788,2)))</f>
        <v/>
      </c>
      <c r="T788" s="24">
        <f>IF($J788="","",IFERROR(INDEX('CALENDARIO'!$C$15:$C$214,MATCH(TEXT($J788,"yyyy-mm-dd")&amp;"|"&amp;$Y788&amp;"|"&amp;$Z788,'CALENDARIO'!$G$15:$G$214,0)),IFERROR(INDEX('CALENDARIO'!$C$15:$C$214,MATCH(TEXT($J788,"yyyy-mm-dd")&amp;"|"&amp;$Y788&amp;"|",'CALENDARIO'!$G$15:$G$214,0)),IFERROR(INDEX('CALENDARIO'!$C$15:$C$214,MATCH(TEXT($J788,"yyyy-mm-dd")&amp;"||",'CALENDARIO'!$G$15:$G$214,0)),INDEX(patronHabil,WEEKDAY($J788,2))))))</f>
        <v/>
      </c>
      <c r="U788" s="24">
        <f>IF($I788="","",IFERROR(INDEX('CAT_TIPOS_OT'!$C$4:$C$23,MATCH($I788,'CAT_TIPOS_OT'!$A$4:$A$23,0)),"sin_clasificar"))</f>
        <v/>
      </c>
      <c r="V788" s="24">
        <f>IF($I788="","",IF(IFERROR(INDEX('CAT_TIPOS_OT'!$D$4:$D$23,MATCH($I788,'CAT_TIPOS_OT'!$A$4:$A$23,0)),"SIN CLASIFICAR")="","SIN CLASIFICAR",IFERROR(INDEX('CAT_TIPOS_OT'!$D$4:$D$23,MATCH($I788,'CAT_TIPOS_OT'!$A$4:$A$23,0)),"SIN CLASIFICAR")))</f>
        <v/>
      </c>
      <c r="W788" s="24">
        <f>IF($H788="","",IF(IFERROR(INDEX('CAT_ACTIVIDADES'!$F$4:$F$26,MATCH($H788,'CAT_ACTIVIDADES'!$A$4:$A$26,0)),"")=0,"",IFERROR(INDEX('CAT_ACTIVIDADES'!$F$4:$F$26,MATCH($H788,'CAT_ACTIVIDADES'!$A$4:$A$26,0)),"")))</f>
        <v/>
      </c>
      <c r="X788" s="24">
        <f>IF($F788="","",IFERROR(INDEX('CAT_CENTROS_COSTO'!$F$4:$F$28,MATCH($F788,'CAT_CENTROS_COSTO'!$A$4:$A$28,0)),"(sin catálogo)"))</f>
        <v/>
      </c>
      <c r="Y788" s="24">
        <f>IF($F788="","",IFERROR(INDEX('CAT_CENTROS_COSTO'!$D$4:$D$28,MATCH($F788,'CAT_CENTROS_COSTO'!$A$4:$A$28,0)),"(sin catálogo)"))</f>
        <v/>
      </c>
      <c r="Z788" s="24">
        <f>IF($F788="","",IF((IFERROR(INDEX('CAT_CENTROS_COSTO'!$E$4:$E$28,MATCH($F788,'CAT_CENTROS_COSTO'!$A$4:$A$28,0)),""))&lt;&gt;"",IFERROR(INDEX('CAT_CENTROS_COSTO'!$E$4:$E$28,MATCH($F788,'CAT_CENTROS_COSTO'!$A$4:$A$28,0)),""),$Y788))</f>
        <v/>
      </c>
      <c r="AA788" s="24">
        <f>IF($F788="","",IFERROR(INDEX('CAT_CENTROS_COSTO'!$G$4:$G$28,MATCH($F788,'CAT_CENTROS_COSTO'!$A$4:$A$28,0)),"(sin catálogo)"))</f>
        <v/>
      </c>
      <c r="AB788" s="24">
        <f>IF($G788="","",IFERROR(INDEX('CAT_PUESTOS'!$B$4:$B$23,MATCH($G788,'CAT_PUESTOS'!$A$4:$A$23,0)),"(sin catálogo)"))</f>
        <v/>
      </c>
      <c r="AC788" s="24">
        <f>IF($H788="","",IFERROR(INDEX('CAT_ACTIVIDADES'!$B$4:$B$26,MATCH($H788,'CAT_ACTIVIDADES'!$A$4:$A$26,0)),"(sin catálogo)"))</f>
        <v/>
      </c>
      <c r="AD788" s="26">
        <f>IF($J788="","",TODAY()-$J788)</f>
        <v/>
      </c>
      <c r="AE788" s="26">
        <f>IF($J788="","",IF($J788&lt;=TODAY(),COUNTIFS(cal_fechas,"&gt;="&amp;$J788,cal_fechas,"&lt;"&amp;TODAY(),cal_habil,"sí"),-COUNTIFS(cal_fechas,"&gt;="&amp;TODAY(),cal_fechas,"&lt;"&amp;$J788,cal_habil,"sí")))</f>
        <v/>
      </c>
      <c r="AF788" s="24">
        <f>IF($AE788="","",IF($AE788&lt;0,"FUTURO",IF($AE788&gt;p_dias_backlog_max,"BACKLOG","MES CORRIENTE")))</f>
        <v/>
      </c>
      <c r="AG788" s="24">
        <f>IF($AE788="",FALSE,AND($AE788&gt;p_dias_backlog_min,$AE788&lt;=p_dias_backlog_max))</f>
        <v/>
      </c>
      <c r="AH788" s="4" t="n"/>
      <c r="AI788" s="24">
        <f>IF($AH788="","",IF((IFERROR(INDEX('ASIGNACIONES'!$J$4:$J$451,MATCH($O788&amp;"|"&amp;$S788&amp;"|"&amp;$AH788,'ASIGNACIONES'!$N$4:$N$451,0)),""))=0,"",IFERROR(INDEX('ASIGNACIONES'!$J$4:$J$451,MATCH($O788&amp;"|"&amp;$S788&amp;"|"&amp;$AH788,'ASIGNACIONES'!$N$4:$N$451,0)),"")))</f>
        <v/>
      </c>
      <c r="AJ788" s="42">
        <f>IF($AH788="","",SUMIFS('ORDENES'!$M$4:$M$1203,'ORDENES'!$AH$4:$AH$1203,$AH788,'ORDENES'!$O$4:$O$1203,$O788,'ORDENES'!$S$4:$S$1203,$S788))</f>
        <v/>
      </c>
      <c r="AK788" s="42">
        <f>IF($AJ788="","",p_factor_productividad*IFERROR(INDEX('ASIGNACIONES'!$M$4:$M$451,MATCH($O788&amp;"|"&amp;$S788&amp;"|"&amp;$AH788,'ASIGNACIONES'!$N$4:$N$451,0)),0)-$AJ788)</f>
        <v/>
      </c>
      <c r="AL788" s="32">
        <f>IF($A788="","",IFERROR(INDEX('2_IMPORTAR_EJECUCION'!$F$9:$F$1208,MATCH($AU788,'2_IMPORTAR_EJECUCION'!$J$9:$J$1208,0)),0))</f>
        <v/>
      </c>
      <c r="AM788" s="32">
        <f>IF($A788="","",MAX(0,IFERROR(INDEX('2_IMPORTAR_EJECUCION'!$H$9:$H$1208,MATCH($AU788,'2_IMPORTAR_EJECUCION'!$J$9:$J$1208,0)),0)-$AL788))</f>
        <v/>
      </c>
      <c r="AN788" s="32">
        <f>IF($A788="","",$AL788+$AM788)</f>
        <v/>
      </c>
      <c r="AO788" s="24">
        <f>IF($A788="","",IF(OR((IFERROR(INDEX('CAT_ACTIVIDADES'!$D$4:$D$26,MATCH($H788,'CAT_ACTIVIDADES'!$A$4:$A$26,0)),""))=0,(IFERROR(INDEX('CAT_ACTIVIDADES'!$D$4:$D$26,MATCH($H788,'CAT_ACTIVIDADES'!$A$4:$A$26,0)),""))=""),"SIN CLASIFICAR",IFERROR(INDEX('CAT_ACTIVIDADES'!$D$4:$D$26,MATCH($H788,'CAT_ACTIVIDADES'!$A$4:$A$26,0)),"")))</f>
        <v/>
      </c>
      <c r="AP788" s="4" t="n"/>
      <c r="AQ788" s="4" t="n"/>
      <c r="AR788" s="4" t="n"/>
      <c r="AS788" s="24">
        <f>IF($AR788="","",HYPERLINK(p_ruta_base_checklists&amp;$AR788,"abrir"))</f>
        <v/>
      </c>
      <c r="AT788" s="4" t="n"/>
      <c r="AU788" s="24">
        <f>IF($A788="","",$A788&amp;IF($B788="","0010",$B788))</f>
        <v/>
      </c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41" t="n"/>
      <c r="K789" s="5" t="n"/>
      <c r="L789" s="18" t="n"/>
      <c r="M789" s="24">
        <f>IF($A789="","",IFERROR(INDEX('AJUSTES'!$B$4:$B$303,MATCH($AU789,'AJUSTES'!$A$4:$A$303,0)),IF($K789="","",$K789)))</f>
        <v/>
      </c>
      <c r="N789" s="24">
        <f>IF($A789="","",IFERROR(INDEX('CAT_ESTADOS_ERP'!$B$4:$B$22,MATCH(IFERROR(INDEX('2_IMPORTAR_EJECUCION'!$C$9:$C$1208,MATCH($AU789,'2_IMPORTAR_EJECUCION'!$J$9:$J$1208,0)),""),'CAT_ESTADOS_ERP'!$A$4:$A$22,0)),"Pendiente"))</f>
        <v/>
      </c>
      <c r="O789" s="24">
        <f>IF($J789="","",YEAR($J789+4-WEEKDAY($J789,2))&amp;"-S"&amp;TEXT(_xlfn.ISOWEEKNUM($J789),"00"))</f>
        <v/>
      </c>
      <c r="P789" s="24">
        <f>IF($J789="","",YEAR($J789))</f>
        <v/>
      </c>
      <c r="Q789" s="24">
        <f>IF($J789="","",MONTH($J789))</f>
        <v/>
      </c>
      <c r="R789" s="24">
        <f>IF($J789="","",$P789&amp;"-"&amp;TEXT($Q789,"00"))</f>
        <v/>
      </c>
      <c r="S789" s="24">
        <f>IF($J789="","",INDEX(lista_dias,WEEKDAY($J789,2)))</f>
        <v/>
      </c>
      <c r="T789" s="24">
        <f>IF($J789="","",IFERROR(INDEX('CALENDARIO'!$C$15:$C$214,MATCH(TEXT($J789,"yyyy-mm-dd")&amp;"|"&amp;$Y789&amp;"|"&amp;$Z789,'CALENDARIO'!$G$15:$G$214,0)),IFERROR(INDEX('CALENDARIO'!$C$15:$C$214,MATCH(TEXT($J789,"yyyy-mm-dd")&amp;"|"&amp;$Y789&amp;"|",'CALENDARIO'!$G$15:$G$214,0)),IFERROR(INDEX('CALENDARIO'!$C$15:$C$214,MATCH(TEXT($J789,"yyyy-mm-dd")&amp;"||",'CALENDARIO'!$G$15:$G$214,0)),INDEX(patronHabil,WEEKDAY($J789,2))))))</f>
        <v/>
      </c>
      <c r="U789" s="24">
        <f>IF($I789="","",IFERROR(INDEX('CAT_TIPOS_OT'!$C$4:$C$23,MATCH($I789,'CAT_TIPOS_OT'!$A$4:$A$23,0)),"sin_clasificar"))</f>
        <v/>
      </c>
      <c r="V789" s="24">
        <f>IF($I789="","",IF(IFERROR(INDEX('CAT_TIPOS_OT'!$D$4:$D$23,MATCH($I789,'CAT_TIPOS_OT'!$A$4:$A$23,0)),"SIN CLASIFICAR")="","SIN CLASIFICAR",IFERROR(INDEX('CAT_TIPOS_OT'!$D$4:$D$23,MATCH($I789,'CAT_TIPOS_OT'!$A$4:$A$23,0)),"SIN CLASIFICAR")))</f>
        <v/>
      </c>
      <c r="W789" s="24">
        <f>IF($H789="","",IF(IFERROR(INDEX('CAT_ACTIVIDADES'!$F$4:$F$26,MATCH($H789,'CAT_ACTIVIDADES'!$A$4:$A$26,0)),"")=0,"",IFERROR(INDEX('CAT_ACTIVIDADES'!$F$4:$F$26,MATCH($H789,'CAT_ACTIVIDADES'!$A$4:$A$26,0)),"")))</f>
        <v/>
      </c>
      <c r="X789" s="24">
        <f>IF($F789="","",IFERROR(INDEX('CAT_CENTROS_COSTO'!$F$4:$F$28,MATCH($F789,'CAT_CENTROS_COSTO'!$A$4:$A$28,0)),"(sin catálogo)"))</f>
        <v/>
      </c>
      <c r="Y789" s="24">
        <f>IF($F789="","",IFERROR(INDEX('CAT_CENTROS_COSTO'!$D$4:$D$28,MATCH($F789,'CAT_CENTROS_COSTO'!$A$4:$A$28,0)),"(sin catálogo)"))</f>
        <v/>
      </c>
      <c r="Z789" s="24">
        <f>IF($F789="","",IF((IFERROR(INDEX('CAT_CENTROS_COSTO'!$E$4:$E$28,MATCH($F789,'CAT_CENTROS_COSTO'!$A$4:$A$28,0)),""))&lt;&gt;"",IFERROR(INDEX('CAT_CENTROS_COSTO'!$E$4:$E$28,MATCH($F789,'CAT_CENTROS_COSTO'!$A$4:$A$28,0)),""),$Y789))</f>
        <v/>
      </c>
      <c r="AA789" s="24">
        <f>IF($F789="","",IFERROR(INDEX('CAT_CENTROS_COSTO'!$G$4:$G$28,MATCH($F789,'CAT_CENTROS_COSTO'!$A$4:$A$28,0)),"(sin catálogo)"))</f>
        <v/>
      </c>
      <c r="AB789" s="24">
        <f>IF($G789="","",IFERROR(INDEX('CAT_PUESTOS'!$B$4:$B$23,MATCH($G789,'CAT_PUESTOS'!$A$4:$A$23,0)),"(sin catálogo)"))</f>
        <v/>
      </c>
      <c r="AC789" s="24">
        <f>IF($H789="","",IFERROR(INDEX('CAT_ACTIVIDADES'!$B$4:$B$26,MATCH($H789,'CAT_ACTIVIDADES'!$A$4:$A$26,0)),"(sin catálogo)"))</f>
        <v/>
      </c>
      <c r="AD789" s="26">
        <f>IF($J789="","",TODAY()-$J789)</f>
        <v/>
      </c>
      <c r="AE789" s="26">
        <f>IF($J789="","",IF($J789&lt;=TODAY(),COUNTIFS(cal_fechas,"&gt;="&amp;$J789,cal_fechas,"&lt;"&amp;TODAY(),cal_habil,"sí"),-COUNTIFS(cal_fechas,"&gt;="&amp;TODAY(),cal_fechas,"&lt;"&amp;$J789,cal_habil,"sí")))</f>
        <v/>
      </c>
      <c r="AF789" s="24">
        <f>IF($AE789="","",IF($AE789&lt;0,"FUTURO",IF($AE789&gt;p_dias_backlog_max,"BACKLOG","MES CORRIENTE")))</f>
        <v/>
      </c>
      <c r="AG789" s="24">
        <f>IF($AE789="",FALSE,AND($AE789&gt;p_dias_backlog_min,$AE789&lt;=p_dias_backlog_max))</f>
        <v/>
      </c>
      <c r="AH789" s="4" t="n"/>
      <c r="AI789" s="24">
        <f>IF($AH789="","",IF((IFERROR(INDEX('ASIGNACIONES'!$J$4:$J$451,MATCH($O789&amp;"|"&amp;$S789&amp;"|"&amp;$AH789,'ASIGNACIONES'!$N$4:$N$451,0)),""))=0,"",IFERROR(INDEX('ASIGNACIONES'!$J$4:$J$451,MATCH($O789&amp;"|"&amp;$S789&amp;"|"&amp;$AH789,'ASIGNACIONES'!$N$4:$N$451,0)),"")))</f>
        <v/>
      </c>
      <c r="AJ789" s="42">
        <f>IF($AH789="","",SUMIFS('ORDENES'!$M$4:$M$1203,'ORDENES'!$AH$4:$AH$1203,$AH789,'ORDENES'!$O$4:$O$1203,$O789,'ORDENES'!$S$4:$S$1203,$S789))</f>
        <v/>
      </c>
      <c r="AK789" s="42">
        <f>IF($AJ789="","",p_factor_productividad*IFERROR(INDEX('ASIGNACIONES'!$M$4:$M$451,MATCH($O789&amp;"|"&amp;$S789&amp;"|"&amp;$AH789,'ASIGNACIONES'!$N$4:$N$451,0)),0)-$AJ789)</f>
        <v/>
      </c>
      <c r="AL789" s="32">
        <f>IF($A789="","",IFERROR(INDEX('2_IMPORTAR_EJECUCION'!$F$9:$F$1208,MATCH($AU789,'2_IMPORTAR_EJECUCION'!$J$9:$J$1208,0)),0))</f>
        <v/>
      </c>
      <c r="AM789" s="32">
        <f>IF($A789="","",MAX(0,IFERROR(INDEX('2_IMPORTAR_EJECUCION'!$H$9:$H$1208,MATCH($AU789,'2_IMPORTAR_EJECUCION'!$J$9:$J$1208,0)),0)-$AL789))</f>
        <v/>
      </c>
      <c r="AN789" s="32">
        <f>IF($A789="","",$AL789+$AM789)</f>
        <v/>
      </c>
      <c r="AO789" s="24">
        <f>IF($A789="","",IF(OR((IFERROR(INDEX('CAT_ACTIVIDADES'!$D$4:$D$26,MATCH($H789,'CAT_ACTIVIDADES'!$A$4:$A$26,0)),""))=0,(IFERROR(INDEX('CAT_ACTIVIDADES'!$D$4:$D$26,MATCH($H789,'CAT_ACTIVIDADES'!$A$4:$A$26,0)),""))=""),"SIN CLASIFICAR",IFERROR(INDEX('CAT_ACTIVIDADES'!$D$4:$D$26,MATCH($H789,'CAT_ACTIVIDADES'!$A$4:$A$26,0)),"")))</f>
        <v/>
      </c>
      <c r="AP789" s="4" t="n"/>
      <c r="AQ789" s="4" t="n"/>
      <c r="AR789" s="4" t="n"/>
      <c r="AS789" s="24">
        <f>IF($AR789="","",HYPERLINK(p_ruta_base_checklists&amp;$AR789,"abrir"))</f>
        <v/>
      </c>
      <c r="AT789" s="4" t="n"/>
      <c r="AU789" s="24">
        <f>IF($A789="","",$A789&amp;IF($B789="","0010",$B789))</f>
        <v/>
      </c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41" t="n"/>
      <c r="K790" s="5" t="n"/>
      <c r="L790" s="18" t="n"/>
      <c r="M790" s="24">
        <f>IF($A790="","",IFERROR(INDEX('AJUSTES'!$B$4:$B$303,MATCH($AU790,'AJUSTES'!$A$4:$A$303,0)),IF($K790="","",$K790)))</f>
        <v/>
      </c>
      <c r="N790" s="24">
        <f>IF($A790="","",IFERROR(INDEX('CAT_ESTADOS_ERP'!$B$4:$B$22,MATCH(IFERROR(INDEX('2_IMPORTAR_EJECUCION'!$C$9:$C$1208,MATCH($AU790,'2_IMPORTAR_EJECUCION'!$J$9:$J$1208,0)),""),'CAT_ESTADOS_ERP'!$A$4:$A$22,0)),"Pendiente"))</f>
        <v/>
      </c>
      <c r="O790" s="24">
        <f>IF($J790="","",YEAR($J790+4-WEEKDAY($J790,2))&amp;"-S"&amp;TEXT(_xlfn.ISOWEEKNUM($J790),"00"))</f>
        <v/>
      </c>
      <c r="P790" s="24">
        <f>IF($J790="","",YEAR($J790))</f>
        <v/>
      </c>
      <c r="Q790" s="24">
        <f>IF($J790="","",MONTH($J790))</f>
        <v/>
      </c>
      <c r="R790" s="24">
        <f>IF($J790="","",$P790&amp;"-"&amp;TEXT($Q790,"00"))</f>
        <v/>
      </c>
      <c r="S790" s="24">
        <f>IF($J790="","",INDEX(lista_dias,WEEKDAY($J790,2)))</f>
        <v/>
      </c>
      <c r="T790" s="24">
        <f>IF($J790="","",IFERROR(INDEX('CALENDARIO'!$C$15:$C$214,MATCH(TEXT($J790,"yyyy-mm-dd")&amp;"|"&amp;$Y790&amp;"|"&amp;$Z790,'CALENDARIO'!$G$15:$G$214,0)),IFERROR(INDEX('CALENDARIO'!$C$15:$C$214,MATCH(TEXT($J790,"yyyy-mm-dd")&amp;"|"&amp;$Y790&amp;"|",'CALENDARIO'!$G$15:$G$214,0)),IFERROR(INDEX('CALENDARIO'!$C$15:$C$214,MATCH(TEXT($J790,"yyyy-mm-dd")&amp;"||",'CALENDARIO'!$G$15:$G$214,0)),INDEX(patronHabil,WEEKDAY($J790,2))))))</f>
        <v/>
      </c>
      <c r="U790" s="24">
        <f>IF($I790="","",IFERROR(INDEX('CAT_TIPOS_OT'!$C$4:$C$23,MATCH($I790,'CAT_TIPOS_OT'!$A$4:$A$23,0)),"sin_clasificar"))</f>
        <v/>
      </c>
      <c r="V790" s="24">
        <f>IF($I790="","",IF(IFERROR(INDEX('CAT_TIPOS_OT'!$D$4:$D$23,MATCH($I790,'CAT_TIPOS_OT'!$A$4:$A$23,0)),"SIN CLASIFICAR")="","SIN CLASIFICAR",IFERROR(INDEX('CAT_TIPOS_OT'!$D$4:$D$23,MATCH($I790,'CAT_TIPOS_OT'!$A$4:$A$23,0)),"SIN CLASIFICAR")))</f>
        <v/>
      </c>
      <c r="W790" s="24">
        <f>IF($H790="","",IF(IFERROR(INDEX('CAT_ACTIVIDADES'!$F$4:$F$26,MATCH($H790,'CAT_ACTIVIDADES'!$A$4:$A$26,0)),"")=0,"",IFERROR(INDEX('CAT_ACTIVIDADES'!$F$4:$F$26,MATCH($H790,'CAT_ACTIVIDADES'!$A$4:$A$26,0)),"")))</f>
        <v/>
      </c>
      <c r="X790" s="24">
        <f>IF($F790="","",IFERROR(INDEX('CAT_CENTROS_COSTO'!$F$4:$F$28,MATCH($F790,'CAT_CENTROS_COSTO'!$A$4:$A$28,0)),"(sin catálogo)"))</f>
        <v/>
      </c>
      <c r="Y790" s="24">
        <f>IF($F790="","",IFERROR(INDEX('CAT_CENTROS_COSTO'!$D$4:$D$28,MATCH($F790,'CAT_CENTROS_COSTO'!$A$4:$A$28,0)),"(sin catálogo)"))</f>
        <v/>
      </c>
      <c r="Z790" s="24">
        <f>IF($F790="","",IF((IFERROR(INDEX('CAT_CENTROS_COSTO'!$E$4:$E$28,MATCH($F790,'CAT_CENTROS_COSTO'!$A$4:$A$28,0)),""))&lt;&gt;"",IFERROR(INDEX('CAT_CENTROS_COSTO'!$E$4:$E$28,MATCH($F790,'CAT_CENTROS_COSTO'!$A$4:$A$28,0)),""),$Y790))</f>
        <v/>
      </c>
      <c r="AA790" s="24">
        <f>IF($F790="","",IFERROR(INDEX('CAT_CENTROS_COSTO'!$G$4:$G$28,MATCH($F790,'CAT_CENTROS_COSTO'!$A$4:$A$28,0)),"(sin catálogo)"))</f>
        <v/>
      </c>
      <c r="AB790" s="24">
        <f>IF($G790="","",IFERROR(INDEX('CAT_PUESTOS'!$B$4:$B$23,MATCH($G790,'CAT_PUESTOS'!$A$4:$A$23,0)),"(sin catálogo)"))</f>
        <v/>
      </c>
      <c r="AC790" s="24">
        <f>IF($H790="","",IFERROR(INDEX('CAT_ACTIVIDADES'!$B$4:$B$26,MATCH($H790,'CAT_ACTIVIDADES'!$A$4:$A$26,0)),"(sin catálogo)"))</f>
        <v/>
      </c>
      <c r="AD790" s="26">
        <f>IF($J790="","",TODAY()-$J790)</f>
        <v/>
      </c>
      <c r="AE790" s="26">
        <f>IF($J790="","",IF($J790&lt;=TODAY(),COUNTIFS(cal_fechas,"&gt;="&amp;$J790,cal_fechas,"&lt;"&amp;TODAY(),cal_habil,"sí"),-COUNTIFS(cal_fechas,"&gt;="&amp;TODAY(),cal_fechas,"&lt;"&amp;$J790,cal_habil,"sí")))</f>
        <v/>
      </c>
      <c r="AF790" s="24">
        <f>IF($AE790="","",IF($AE790&lt;0,"FUTURO",IF($AE790&gt;p_dias_backlog_max,"BACKLOG","MES CORRIENTE")))</f>
        <v/>
      </c>
      <c r="AG790" s="24">
        <f>IF($AE790="",FALSE,AND($AE790&gt;p_dias_backlog_min,$AE790&lt;=p_dias_backlog_max))</f>
        <v/>
      </c>
      <c r="AH790" s="4" t="n"/>
      <c r="AI790" s="24">
        <f>IF($AH790="","",IF((IFERROR(INDEX('ASIGNACIONES'!$J$4:$J$451,MATCH($O790&amp;"|"&amp;$S790&amp;"|"&amp;$AH790,'ASIGNACIONES'!$N$4:$N$451,0)),""))=0,"",IFERROR(INDEX('ASIGNACIONES'!$J$4:$J$451,MATCH($O790&amp;"|"&amp;$S790&amp;"|"&amp;$AH790,'ASIGNACIONES'!$N$4:$N$451,0)),"")))</f>
        <v/>
      </c>
      <c r="AJ790" s="42">
        <f>IF($AH790="","",SUMIFS('ORDENES'!$M$4:$M$1203,'ORDENES'!$AH$4:$AH$1203,$AH790,'ORDENES'!$O$4:$O$1203,$O790,'ORDENES'!$S$4:$S$1203,$S790))</f>
        <v/>
      </c>
      <c r="AK790" s="42">
        <f>IF($AJ790="","",p_factor_productividad*IFERROR(INDEX('ASIGNACIONES'!$M$4:$M$451,MATCH($O790&amp;"|"&amp;$S790&amp;"|"&amp;$AH790,'ASIGNACIONES'!$N$4:$N$451,0)),0)-$AJ790)</f>
        <v/>
      </c>
      <c r="AL790" s="32">
        <f>IF($A790="","",IFERROR(INDEX('2_IMPORTAR_EJECUCION'!$F$9:$F$1208,MATCH($AU790,'2_IMPORTAR_EJECUCION'!$J$9:$J$1208,0)),0))</f>
        <v/>
      </c>
      <c r="AM790" s="32">
        <f>IF($A790="","",MAX(0,IFERROR(INDEX('2_IMPORTAR_EJECUCION'!$H$9:$H$1208,MATCH($AU790,'2_IMPORTAR_EJECUCION'!$J$9:$J$1208,0)),0)-$AL790))</f>
        <v/>
      </c>
      <c r="AN790" s="32">
        <f>IF($A790="","",$AL790+$AM790)</f>
        <v/>
      </c>
      <c r="AO790" s="24">
        <f>IF($A790="","",IF(OR((IFERROR(INDEX('CAT_ACTIVIDADES'!$D$4:$D$26,MATCH($H790,'CAT_ACTIVIDADES'!$A$4:$A$26,0)),""))=0,(IFERROR(INDEX('CAT_ACTIVIDADES'!$D$4:$D$26,MATCH($H790,'CAT_ACTIVIDADES'!$A$4:$A$26,0)),""))=""),"SIN CLASIFICAR",IFERROR(INDEX('CAT_ACTIVIDADES'!$D$4:$D$26,MATCH($H790,'CAT_ACTIVIDADES'!$A$4:$A$26,0)),"")))</f>
        <v/>
      </c>
      <c r="AP790" s="4" t="n"/>
      <c r="AQ790" s="4" t="n"/>
      <c r="AR790" s="4" t="n"/>
      <c r="AS790" s="24">
        <f>IF($AR790="","",HYPERLINK(p_ruta_base_checklists&amp;$AR790,"abrir"))</f>
        <v/>
      </c>
      <c r="AT790" s="4" t="n"/>
      <c r="AU790" s="24">
        <f>IF($A790="","",$A790&amp;IF($B790="","0010",$B790))</f>
        <v/>
      </c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41" t="n"/>
      <c r="K791" s="5" t="n"/>
      <c r="L791" s="18" t="n"/>
      <c r="M791" s="24">
        <f>IF($A791="","",IFERROR(INDEX('AJUSTES'!$B$4:$B$303,MATCH($AU791,'AJUSTES'!$A$4:$A$303,0)),IF($K791="","",$K791)))</f>
        <v/>
      </c>
      <c r="N791" s="24">
        <f>IF($A791="","",IFERROR(INDEX('CAT_ESTADOS_ERP'!$B$4:$B$22,MATCH(IFERROR(INDEX('2_IMPORTAR_EJECUCION'!$C$9:$C$1208,MATCH($AU791,'2_IMPORTAR_EJECUCION'!$J$9:$J$1208,0)),""),'CAT_ESTADOS_ERP'!$A$4:$A$22,0)),"Pendiente"))</f>
        <v/>
      </c>
      <c r="O791" s="24">
        <f>IF($J791="","",YEAR($J791+4-WEEKDAY($J791,2))&amp;"-S"&amp;TEXT(_xlfn.ISOWEEKNUM($J791),"00"))</f>
        <v/>
      </c>
      <c r="P791" s="24">
        <f>IF($J791="","",YEAR($J791))</f>
        <v/>
      </c>
      <c r="Q791" s="24">
        <f>IF($J791="","",MONTH($J791))</f>
        <v/>
      </c>
      <c r="R791" s="24">
        <f>IF($J791="","",$P791&amp;"-"&amp;TEXT($Q791,"00"))</f>
        <v/>
      </c>
      <c r="S791" s="24">
        <f>IF($J791="","",INDEX(lista_dias,WEEKDAY($J791,2)))</f>
        <v/>
      </c>
      <c r="T791" s="24">
        <f>IF($J791="","",IFERROR(INDEX('CALENDARIO'!$C$15:$C$214,MATCH(TEXT($J791,"yyyy-mm-dd")&amp;"|"&amp;$Y791&amp;"|"&amp;$Z791,'CALENDARIO'!$G$15:$G$214,0)),IFERROR(INDEX('CALENDARIO'!$C$15:$C$214,MATCH(TEXT($J791,"yyyy-mm-dd")&amp;"|"&amp;$Y791&amp;"|",'CALENDARIO'!$G$15:$G$214,0)),IFERROR(INDEX('CALENDARIO'!$C$15:$C$214,MATCH(TEXT($J791,"yyyy-mm-dd")&amp;"||",'CALENDARIO'!$G$15:$G$214,0)),INDEX(patronHabil,WEEKDAY($J791,2))))))</f>
        <v/>
      </c>
      <c r="U791" s="24">
        <f>IF($I791="","",IFERROR(INDEX('CAT_TIPOS_OT'!$C$4:$C$23,MATCH($I791,'CAT_TIPOS_OT'!$A$4:$A$23,0)),"sin_clasificar"))</f>
        <v/>
      </c>
      <c r="V791" s="24">
        <f>IF($I791="","",IF(IFERROR(INDEX('CAT_TIPOS_OT'!$D$4:$D$23,MATCH($I791,'CAT_TIPOS_OT'!$A$4:$A$23,0)),"SIN CLASIFICAR")="","SIN CLASIFICAR",IFERROR(INDEX('CAT_TIPOS_OT'!$D$4:$D$23,MATCH($I791,'CAT_TIPOS_OT'!$A$4:$A$23,0)),"SIN CLASIFICAR")))</f>
        <v/>
      </c>
      <c r="W791" s="24">
        <f>IF($H791="","",IF(IFERROR(INDEX('CAT_ACTIVIDADES'!$F$4:$F$26,MATCH($H791,'CAT_ACTIVIDADES'!$A$4:$A$26,0)),"")=0,"",IFERROR(INDEX('CAT_ACTIVIDADES'!$F$4:$F$26,MATCH($H791,'CAT_ACTIVIDADES'!$A$4:$A$26,0)),"")))</f>
        <v/>
      </c>
      <c r="X791" s="24">
        <f>IF($F791="","",IFERROR(INDEX('CAT_CENTROS_COSTO'!$F$4:$F$28,MATCH($F791,'CAT_CENTROS_COSTO'!$A$4:$A$28,0)),"(sin catálogo)"))</f>
        <v/>
      </c>
      <c r="Y791" s="24">
        <f>IF($F791="","",IFERROR(INDEX('CAT_CENTROS_COSTO'!$D$4:$D$28,MATCH($F791,'CAT_CENTROS_COSTO'!$A$4:$A$28,0)),"(sin catálogo)"))</f>
        <v/>
      </c>
      <c r="Z791" s="24">
        <f>IF($F791="","",IF((IFERROR(INDEX('CAT_CENTROS_COSTO'!$E$4:$E$28,MATCH($F791,'CAT_CENTROS_COSTO'!$A$4:$A$28,0)),""))&lt;&gt;"",IFERROR(INDEX('CAT_CENTROS_COSTO'!$E$4:$E$28,MATCH($F791,'CAT_CENTROS_COSTO'!$A$4:$A$28,0)),""),$Y791))</f>
        <v/>
      </c>
      <c r="AA791" s="24">
        <f>IF($F791="","",IFERROR(INDEX('CAT_CENTROS_COSTO'!$G$4:$G$28,MATCH($F791,'CAT_CENTROS_COSTO'!$A$4:$A$28,0)),"(sin catálogo)"))</f>
        <v/>
      </c>
      <c r="AB791" s="24">
        <f>IF($G791="","",IFERROR(INDEX('CAT_PUESTOS'!$B$4:$B$23,MATCH($G791,'CAT_PUESTOS'!$A$4:$A$23,0)),"(sin catálogo)"))</f>
        <v/>
      </c>
      <c r="AC791" s="24">
        <f>IF($H791="","",IFERROR(INDEX('CAT_ACTIVIDADES'!$B$4:$B$26,MATCH($H791,'CAT_ACTIVIDADES'!$A$4:$A$26,0)),"(sin catálogo)"))</f>
        <v/>
      </c>
      <c r="AD791" s="26">
        <f>IF($J791="","",TODAY()-$J791)</f>
        <v/>
      </c>
      <c r="AE791" s="26">
        <f>IF($J791="","",IF($J791&lt;=TODAY(),COUNTIFS(cal_fechas,"&gt;="&amp;$J791,cal_fechas,"&lt;"&amp;TODAY(),cal_habil,"sí"),-COUNTIFS(cal_fechas,"&gt;="&amp;TODAY(),cal_fechas,"&lt;"&amp;$J791,cal_habil,"sí")))</f>
        <v/>
      </c>
      <c r="AF791" s="24">
        <f>IF($AE791="","",IF($AE791&lt;0,"FUTURO",IF($AE791&gt;p_dias_backlog_max,"BACKLOG","MES CORRIENTE")))</f>
        <v/>
      </c>
      <c r="AG791" s="24">
        <f>IF($AE791="",FALSE,AND($AE791&gt;p_dias_backlog_min,$AE791&lt;=p_dias_backlog_max))</f>
        <v/>
      </c>
      <c r="AH791" s="4" t="n"/>
      <c r="AI791" s="24">
        <f>IF($AH791="","",IF((IFERROR(INDEX('ASIGNACIONES'!$J$4:$J$451,MATCH($O791&amp;"|"&amp;$S791&amp;"|"&amp;$AH791,'ASIGNACIONES'!$N$4:$N$451,0)),""))=0,"",IFERROR(INDEX('ASIGNACIONES'!$J$4:$J$451,MATCH($O791&amp;"|"&amp;$S791&amp;"|"&amp;$AH791,'ASIGNACIONES'!$N$4:$N$451,0)),"")))</f>
        <v/>
      </c>
      <c r="AJ791" s="42">
        <f>IF($AH791="","",SUMIFS('ORDENES'!$M$4:$M$1203,'ORDENES'!$AH$4:$AH$1203,$AH791,'ORDENES'!$O$4:$O$1203,$O791,'ORDENES'!$S$4:$S$1203,$S791))</f>
        <v/>
      </c>
      <c r="AK791" s="42">
        <f>IF($AJ791="","",p_factor_productividad*IFERROR(INDEX('ASIGNACIONES'!$M$4:$M$451,MATCH($O791&amp;"|"&amp;$S791&amp;"|"&amp;$AH791,'ASIGNACIONES'!$N$4:$N$451,0)),0)-$AJ791)</f>
        <v/>
      </c>
      <c r="AL791" s="32">
        <f>IF($A791="","",IFERROR(INDEX('2_IMPORTAR_EJECUCION'!$F$9:$F$1208,MATCH($AU791,'2_IMPORTAR_EJECUCION'!$J$9:$J$1208,0)),0))</f>
        <v/>
      </c>
      <c r="AM791" s="32">
        <f>IF($A791="","",MAX(0,IFERROR(INDEX('2_IMPORTAR_EJECUCION'!$H$9:$H$1208,MATCH($AU791,'2_IMPORTAR_EJECUCION'!$J$9:$J$1208,0)),0)-$AL791))</f>
        <v/>
      </c>
      <c r="AN791" s="32">
        <f>IF($A791="","",$AL791+$AM791)</f>
        <v/>
      </c>
      <c r="AO791" s="24">
        <f>IF($A791="","",IF(OR((IFERROR(INDEX('CAT_ACTIVIDADES'!$D$4:$D$26,MATCH($H791,'CAT_ACTIVIDADES'!$A$4:$A$26,0)),""))=0,(IFERROR(INDEX('CAT_ACTIVIDADES'!$D$4:$D$26,MATCH($H791,'CAT_ACTIVIDADES'!$A$4:$A$26,0)),""))=""),"SIN CLASIFICAR",IFERROR(INDEX('CAT_ACTIVIDADES'!$D$4:$D$26,MATCH($H791,'CAT_ACTIVIDADES'!$A$4:$A$26,0)),"")))</f>
        <v/>
      </c>
      <c r="AP791" s="4" t="n"/>
      <c r="AQ791" s="4" t="n"/>
      <c r="AR791" s="4" t="n"/>
      <c r="AS791" s="24">
        <f>IF($AR791="","",HYPERLINK(p_ruta_base_checklists&amp;$AR791,"abrir"))</f>
        <v/>
      </c>
      <c r="AT791" s="4" t="n"/>
      <c r="AU791" s="24">
        <f>IF($A791="","",$A791&amp;IF($B791="","0010",$B791))</f>
        <v/>
      </c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41" t="n"/>
      <c r="K792" s="5" t="n"/>
      <c r="L792" s="18" t="n"/>
      <c r="M792" s="24">
        <f>IF($A792="","",IFERROR(INDEX('AJUSTES'!$B$4:$B$303,MATCH($AU792,'AJUSTES'!$A$4:$A$303,0)),IF($K792="","",$K792)))</f>
        <v/>
      </c>
      <c r="N792" s="24">
        <f>IF($A792="","",IFERROR(INDEX('CAT_ESTADOS_ERP'!$B$4:$B$22,MATCH(IFERROR(INDEX('2_IMPORTAR_EJECUCION'!$C$9:$C$1208,MATCH($AU792,'2_IMPORTAR_EJECUCION'!$J$9:$J$1208,0)),""),'CAT_ESTADOS_ERP'!$A$4:$A$22,0)),"Pendiente"))</f>
        <v/>
      </c>
      <c r="O792" s="24">
        <f>IF($J792="","",YEAR($J792+4-WEEKDAY($J792,2))&amp;"-S"&amp;TEXT(_xlfn.ISOWEEKNUM($J792),"00"))</f>
        <v/>
      </c>
      <c r="P792" s="24">
        <f>IF($J792="","",YEAR($J792))</f>
        <v/>
      </c>
      <c r="Q792" s="24">
        <f>IF($J792="","",MONTH($J792))</f>
        <v/>
      </c>
      <c r="R792" s="24">
        <f>IF($J792="","",$P792&amp;"-"&amp;TEXT($Q792,"00"))</f>
        <v/>
      </c>
      <c r="S792" s="24">
        <f>IF($J792="","",INDEX(lista_dias,WEEKDAY($J792,2)))</f>
        <v/>
      </c>
      <c r="T792" s="24">
        <f>IF($J792="","",IFERROR(INDEX('CALENDARIO'!$C$15:$C$214,MATCH(TEXT($J792,"yyyy-mm-dd")&amp;"|"&amp;$Y792&amp;"|"&amp;$Z792,'CALENDARIO'!$G$15:$G$214,0)),IFERROR(INDEX('CALENDARIO'!$C$15:$C$214,MATCH(TEXT($J792,"yyyy-mm-dd")&amp;"|"&amp;$Y792&amp;"|",'CALENDARIO'!$G$15:$G$214,0)),IFERROR(INDEX('CALENDARIO'!$C$15:$C$214,MATCH(TEXT($J792,"yyyy-mm-dd")&amp;"||",'CALENDARIO'!$G$15:$G$214,0)),INDEX(patronHabil,WEEKDAY($J792,2))))))</f>
        <v/>
      </c>
      <c r="U792" s="24">
        <f>IF($I792="","",IFERROR(INDEX('CAT_TIPOS_OT'!$C$4:$C$23,MATCH($I792,'CAT_TIPOS_OT'!$A$4:$A$23,0)),"sin_clasificar"))</f>
        <v/>
      </c>
      <c r="V792" s="24">
        <f>IF($I792="","",IF(IFERROR(INDEX('CAT_TIPOS_OT'!$D$4:$D$23,MATCH($I792,'CAT_TIPOS_OT'!$A$4:$A$23,0)),"SIN CLASIFICAR")="","SIN CLASIFICAR",IFERROR(INDEX('CAT_TIPOS_OT'!$D$4:$D$23,MATCH($I792,'CAT_TIPOS_OT'!$A$4:$A$23,0)),"SIN CLASIFICAR")))</f>
        <v/>
      </c>
      <c r="W792" s="24">
        <f>IF($H792="","",IF(IFERROR(INDEX('CAT_ACTIVIDADES'!$F$4:$F$26,MATCH($H792,'CAT_ACTIVIDADES'!$A$4:$A$26,0)),"")=0,"",IFERROR(INDEX('CAT_ACTIVIDADES'!$F$4:$F$26,MATCH($H792,'CAT_ACTIVIDADES'!$A$4:$A$26,0)),"")))</f>
        <v/>
      </c>
      <c r="X792" s="24">
        <f>IF($F792="","",IFERROR(INDEX('CAT_CENTROS_COSTO'!$F$4:$F$28,MATCH($F792,'CAT_CENTROS_COSTO'!$A$4:$A$28,0)),"(sin catálogo)"))</f>
        <v/>
      </c>
      <c r="Y792" s="24">
        <f>IF($F792="","",IFERROR(INDEX('CAT_CENTROS_COSTO'!$D$4:$D$28,MATCH($F792,'CAT_CENTROS_COSTO'!$A$4:$A$28,0)),"(sin catálogo)"))</f>
        <v/>
      </c>
      <c r="Z792" s="24">
        <f>IF($F792="","",IF((IFERROR(INDEX('CAT_CENTROS_COSTO'!$E$4:$E$28,MATCH($F792,'CAT_CENTROS_COSTO'!$A$4:$A$28,0)),""))&lt;&gt;"",IFERROR(INDEX('CAT_CENTROS_COSTO'!$E$4:$E$28,MATCH($F792,'CAT_CENTROS_COSTO'!$A$4:$A$28,0)),""),$Y792))</f>
        <v/>
      </c>
      <c r="AA792" s="24">
        <f>IF($F792="","",IFERROR(INDEX('CAT_CENTROS_COSTO'!$G$4:$G$28,MATCH($F792,'CAT_CENTROS_COSTO'!$A$4:$A$28,0)),"(sin catálogo)"))</f>
        <v/>
      </c>
      <c r="AB792" s="24">
        <f>IF($G792="","",IFERROR(INDEX('CAT_PUESTOS'!$B$4:$B$23,MATCH($G792,'CAT_PUESTOS'!$A$4:$A$23,0)),"(sin catálogo)"))</f>
        <v/>
      </c>
      <c r="AC792" s="24">
        <f>IF($H792="","",IFERROR(INDEX('CAT_ACTIVIDADES'!$B$4:$B$26,MATCH($H792,'CAT_ACTIVIDADES'!$A$4:$A$26,0)),"(sin catálogo)"))</f>
        <v/>
      </c>
      <c r="AD792" s="26">
        <f>IF($J792="","",TODAY()-$J792)</f>
        <v/>
      </c>
      <c r="AE792" s="26">
        <f>IF($J792="","",IF($J792&lt;=TODAY(),COUNTIFS(cal_fechas,"&gt;="&amp;$J792,cal_fechas,"&lt;"&amp;TODAY(),cal_habil,"sí"),-COUNTIFS(cal_fechas,"&gt;="&amp;TODAY(),cal_fechas,"&lt;"&amp;$J792,cal_habil,"sí")))</f>
        <v/>
      </c>
      <c r="AF792" s="24">
        <f>IF($AE792="","",IF($AE792&lt;0,"FUTURO",IF($AE792&gt;p_dias_backlog_max,"BACKLOG","MES CORRIENTE")))</f>
        <v/>
      </c>
      <c r="AG792" s="24">
        <f>IF($AE792="",FALSE,AND($AE792&gt;p_dias_backlog_min,$AE792&lt;=p_dias_backlog_max))</f>
        <v/>
      </c>
      <c r="AH792" s="4" t="n"/>
      <c r="AI792" s="24">
        <f>IF($AH792="","",IF((IFERROR(INDEX('ASIGNACIONES'!$J$4:$J$451,MATCH($O792&amp;"|"&amp;$S792&amp;"|"&amp;$AH792,'ASIGNACIONES'!$N$4:$N$451,0)),""))=0,"",IFERROR(INDEX('ASIGNACIONES'!$J$4:$J$451,MATCH($O792&amp;"|"&amp;$S792&amp;"|"&amp;$AH792,'ASIGNACIONES'!$N$4:$N$451,0)),"")))</f>
        <v/>
      </c>
      <c r="AJ792" s="42">
        <f>IF($AH792="","",SUMIFS('ORDENES'!$M$4:$M$1203,'ORDENES'!$AH$4:$AH$1203,$AH792,'ORDENES'!$O$4:$O$1203,$O792,'ORDENES'!$S$4:$S$1203,$S792))</f>
        <v/>
      </c>
      <c r="AK792" s="42">
        <f>IF($AJ792="","",p_factor_productividad*IFERROR(INDEX('ASIGNACIONES'!$M$4:$M$451,MATCH($O792&amp;"|"&amp;$S792&amp;"|"&amp;$AH792,'ASIGNACIONES'!$N$4:$N$451,0)),0)-$AJ792)</f>
        <v/>
      </c>
      <c r="AL792" s="32">
        <f>IF($A792="","",IFERROR(INDEX('2_IMPORTAR_EJECUCION'!$F$9:$F$1208,MATCH($AU792,'2_IMPORTAR_EJECUCION'!$J$9:$J$1208,0)),0))</f>
        <v/>
      </c>
      <c r="AM792" s="32">
        <f>IF($A792="","",MAX(0,IFERROR(INDEX('2_IMPORTAR_EJECUCION'!$H$9:$H$1208,MATCH($AU792,'2_IMPORTAR_EJECUCION'!$J$9:$J$1208,0)),0)-$AL792))</f>
        <v/>
      </c>
      <c r="AN792" s="32">
        <f>IF($A792="","",$AL792+$AM792)</f>
        <v/>
      </c>
      <c r="AO792" s="24">
        <f>IF($A792="","",IF(OR((IFERROR(INDEX('CAT_ACTIVIDADES'!$D$4:$D$26,MATCH($H792,'CAT_ACTIVIDADES'!$A$4:$A$26,0)),""))=0,(IFERROR(INDEX('CAT_ACTIVIDADES'!$D$4:$D$26,MATCH($H792,'CAT_ACTIVIDADES'!$A$4:$A$26,0)),""))=""),"SIN CLASIFICAR",IFERROR(INDEX('CAT_ACTIVIDADES'!$D$4:$D$26,MATCH($H792,'CAT_ACTIVIDADES'!$A$4:$A$26,0)),"")))</f>
        <v/>
      </c>
      <c r="AP792" s="4" t="n"/>
      <c r="AQ792" s="4" t="n"/>
      <c r="AR792" s="4" t="n"/>
      <c r="AS792" s="24">
        <f>IF($AR792="","",HYPERLINK(p_ruta_base_checklists&amp;$AR792,"abrir"))</f>
        <v/>
      </c>
      <c r="AT792" s="4" t="n"/>
      <c r="AU792" s="24">
        <f>IF($A792="","",$A792&amp;IF($B792="","0010",$B792))</f>
        <v/>
      </c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41" t="n"/>
      <c r="K793" s="5" t="n"/>
      <c r="L793" s="18" t="n"/>
      <c r="M793" s="24">
        <f>IF($A793="","",IFERROR(INDEX('AJUSTES'!$B$4:$B$303,MATCH($AU793,'AJUSTES'!$A$4:$A$303,0)),IF($K793="","",$K793)))</f>
        <v/>
      </c>
      <c r="N793" s="24">
        <f>IF($A793="","",IFERROR(INDEX('CAT_ESTADOS_ERP'!$B$4:$B$22,MATCH(IFERROR(INDEX('2_IMPORTAR_EJECUCION'!$C$9:$C$1208,MATCH($AU793,'2_IMPORTAR_EJECUCION'!$J$9:$J$1208,0)),""),'CAT_ESTADOS_ERP'!$A$4:$A$22,0)),"Pendiente"))</f>
        <v/>
      </c>
      <c r="O793" s="24">
        <f>IF($J793="","",YEAR($J793+4-WEEKDAY($J793,2))&amp;"-S"&amp;TEXT(_xlfn.ISOWEEKNUM($J793),"00"))</f>
        <v/>
      </c>
      <c r="P793" s="24">
        <f>IF($J793="","",YEAR($J793))</f>
        <v/>
      </c>
      <c r="Q793" s="24">
        <f>IF($J793="","",MONTH($J793))</f>
        <v/>
      </c>
      <c r="R793" s="24">
        <f>IF($J793="","",$P793&amp;"-"&amp;TEXT($Q793,"00"))</f>
        <v/>
      </c>
      <c r="S793" s="24">
        <f>IF($J793="","",INDEX(lista_dias,WEEKDAY($J793,2)))</f>
        <v/>
      </c>
      <c r="T793" s="24">
        <f>IF($J793="","",IFERROR(INDEX('CALENDARIO'!$C$15:$C$214,MATCH(TEXT($J793,"yyyy-mm-dd")&amp;"|"&amp;$Y793&amp;"|"&amp;$Z793,'CALENDARIO'!$G$15:$G$214,0)),IFERROR(INDEX('CALENDARIO'!$C$15:$C$214,MATCH(TEXT($J793,"yyyy-mm-dd")&amp;"|"&amp;$Y793&amp;"|",'CALENDARIO'!$G$15:$G$214,0)),IFERROR(INDEX('CALENDARIO'!$C$15:$C$214,MATCH(TEXT($J793,"yyyy-mm-dd")&amp;"||",'CALENDARIO'!$G$15:$G$214,0)),INDEX(patronHabil,WEEKDAY($J793,2))))))</f>
        <v/>
      </c>
      <c r="U793" s="24">
        <f>IF($I793="","",IFERROR(INDEX('CAT_TIPOS_OT'!$C$4:$C$23,MATCH($I793,'CAT_TIPOS_OT'!$A$4:$A$23,0)),"sin_clasificar"))</f>
        <v/>
      </c>
      <c r="V793" s="24">
        <f>IF($I793="","",IF(IFERROR(INDEX('CAT_TIPOS_OT'!$D$4:$D$23,MATCH($I793,'CAT_TIPOS_OT'!$A$4:$A$23,0)),"SIN CLASIFICAR")="","SIN CLASIFICAR",IFERROR(INDEX('CAT_TIPOS_OT'!$D$4:$D$23,MATCH($I793,'CAT_TIPOS_OT'!$A$4:$A$23,0)),"SIN CLASIFICAR")))</f>
        <v/>
      </c>
      <c r="W793" s="24">
        <f>IF($H793="","",IF(IFERROR(INDEX('CAT_ACTIVIDADES'!$F$4:$F$26,MATCH($H793,'CAT_ACTIVIDADES'!$A$4:$A$26,0)),"")=0,"",IFERROR(INDEX('CAT_ACTIVIDADES'!$F$4:$F$26,MATCH($H793,'CAT_ACTIVIDADES'!$A$4:$A$26,0)),"")))</f>
        <v/>
      </c>
      <c r="X793" s="24">
        <f>IF($F793="","",IFERROR(INDEX('CAT_CENTROS_COSTO'!$F$4:$F$28,MATCH($F793,'CAT_CENTROS_COSTO'!$A$4:$A$28,0)),"(sin catálogo)"))</f>
        <v/>
      </c>
      <c r="Y793" s="24">
        <f>IF($F793="","",IFERROR(INDEX('CAT_CENTROS_COSTO'!$D$4:$D$28,MATCH($F793,'CAT_CENTROS_COSTO'!$A$4:$A$28,0)),"(sin catálogo)"))</f>
        <v/>
      </c>
      <c r="Z793" s="24">
        <f>IF($F793="","",IF((IFERROR(INDEX('CAT_CENTROS_COSTO'!$E$4:$E$28,MATCH($F793,'CAT_CENTROS_COSTO'!$A$4:$A$28,0)),""))&lt;&gt;"",IFERROR(INDEX('CAT_CENTROS_COSTO'!$E$4:$E$28,MATCH($F793,'CAT_CENTROS_COSTO'!$A$4:$A$28,0)),""),$Y793))</f>
        <v/>
      </c>
      <c r="AA793" s="24">
        <f>IF($F793="","",IFERROR(INDEX('CAT_CENTROS_COSTO'!$G$4:$G$28,MATCH($F793,'CAT_CENTROS_COSTO'!$A$4:$A$28,0)),"(sin catálogo)"))</f>
        <v/>
      </c>
      <c r="AB793" s="24">
        <f>IF($G793="","",IFERROR(INDEX('CAT_PUESTOS'!$B$4:$B$23,MATCH($G793,'CAT_PUESTOS'!$A$4:$A$23,0)),"(sin catálogo)"))</f>
        <v/>
      </c>
      <c r="AC793" s="24">
        <f>IF($H793="","",IFERROR(INDEX('CAT_ACTIVIDADES'!$B$4:$B$26,MATCH($H793,'CAT_ACTIVIDADES'!$A$4:$A$26,0)),"(sin catálogo)"))</f>
        <v/>
      </c>
      <c r="AD793" s="26">
        <f>IF($J793="","",TODAY()-$J793)</f>
        <v/>
      </c>
      <c r="AE793" s="26">
        <f>IF($J793="","",IF($J793&lt;=TODAY(),COUNTIFS(cal_fechas,"&gt;="&amp;$J793,cal_fechas,"&lt;"&amp;TODAY(),cal_habil,"sí"),-COUNTIFS(cal_fechas,"&gt;="&amp;TODAY(),cal_fechas,"&lt;"&amp;$J793,cal_habil,"sí")))</f>
        <v/>
      </c>
      <c r="AF793" s="24">
        <f>IF($AE793="","",IF($AE793&lt;0,"FUTURO",IF($AE793&gt;p_dias_backlog_max,"BACKLOG","MES CORRIENTE")))</f>
        <v/>
      </c>
      <c r="AG793" s="24">
        <f>IF($AE793="",FALSE,AND($AE793&gt;p_dias_backlog_min,$AE793&lt;=p_dias_backlog_max))</f>
        <v/>
      </c>
      <c r="AH793" s="4" t="n"/>
      <c r="AI793" s="24">
        <f>IF($AH793="","",IF((IFERROR(INDEX('ASIGNACIONES'!$J$4:$J$451,MATCH($O793&amp;"|"&amp;$S793&amp;"|"&amp;$AH793,'ASIGNACIONES'!$N$4:$N$451,0)),""))=0,"",IFERROR(INDEX('ASIGNACIONES'!$J$4:$J$451,MATCH($O793&amp;"|"&amp;$S793&amp;"|"&amp;$AH793,'ASIGNACIONES'!$N$4:$N$451,0)),"")))</f>
        <v/>
      </c>
      <c r="AJ793" s="42">
        <f>IF($AH793="","",SUMIFS('ORDENES'!$M$4:$M$1203,'ORDENES'!$AH$4:$AH$1203,$AH793,'ORDENES'!$O$4:$O$1203,$O793,'ORDENES'!$S$4:$S$1203,$S793))</f>
        <v/>
      </c>
      <c r="AK793" s="42">
        <f>IF($AJ793="","",p_factor_productividad*IFERROR(INDEX('ASIGNACIONES'!$M$4:$M$451,MATCH($O793&amp;"|"&amp;$S793&amp;"|"&amp;$AH793,'ASIGNACIONES'!$N$4:$N$451,0)),0)-$AJ793)</f>
        <v/>
      </c>
      <c r="AL793" s="32">
        <f>IF($A793="","",IFERROR(INDEX('2_IMPORTAR_EJECUCION'!$F$9:$F$1208,MATCH($AU793,'2_IMPORTAR_EJECUCION'!$J$9:$J$1208,0)),0))</f>
        <v/>
      </c>
      <c r="AM793" s="32">
        <f>IF($A793="","",MAX(0,IFERROR(INDEX('2_IMPORTAR_EJECUCION'!$H$9:$H$1208,MATCH($AU793,'2_IMPORTAR_EJECUCION'!$J$9:$J$1208,0)),0)-$AL793))</f>
        <v/>
      </c>
      <c r="AN793" s="32">
        <f>IF($A793="","",$AL793+$AM793)</f>
        <v/>
      </c>
      <c r="AO793" s="24">
        <f>IF($A793="","",IF(OR((IFERROR(INDEX('CAT_ACTIVIDADES'!$D$4:$D$26,MATCH($H793,'CAT_ACTIVIDADES'!$A$4:$A$26,0)),""))=0,(IFERROR(INDEX('CAT_ACTIVIDADES'!$D$4:$D$26,MATCH($H793,'CAT_ACTIVIDADES'!$A$4:$A$26,0)),""))=""),"SIN CLASIFICAR",IFERROR(INDEX('CAT_ACTIVIDADES'!$D$4:$D$26,MATCH($H793,'CAT_ACTIVIDADES'!$A$4:$A$26,0)),"")))</f>
        <v/>
      </c>
      <c r="AP793" s="4" t="n"/>
      <c r="AQ793" s="4" t="n"/>
      <c r="AR793" s="4" t="n"/>
      <c r="AS793" s="24">
        <f>IF($AR793="","",HYPERLINK(p_ruta_base_checklists&amp;$AR793,"abrir"))</f>
        <v/>
      </c>
      <c r="AT793" s="4" t="n"/>
      <c r="AU793" s="24">
        <f>IF($A793="","",$A793&amp;IF($B793="","0010",$B793))</f>
        <v/>
      </c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41" t="n"/>
      <c r="K794" s="5" t="n"/>
      <c r="L794" s="18" t="n"/>
      <c r="M794" s="24">
        <f>IF($A794="","",IFERROR(INDEX('AJUSTES'!$B$4:$B$303,MATCH($AU794,'AJUSTES'!$A$4:$A$303,0)),IF($K794="","",$K794)))</f>
        <v/>
      </c>
      <c r="N794" s="24">
        <f>IF($A794="","",IFERROR(INDEX('CAT_ESTADOS_ERP'!$B$4:$B$22,MATCH(IFERROR(INDEX('2_IMPORTAR_EJECUCION'!$C$9:$C$1208,MATCH($AU794,'2_IMPORTAR_EJECUCION'!$J$9:$J$1208,0)),""),'CAT_ESTADOS_ERP'!$A$4:$A$22,0)),"Pendiente"))</f>
        <v/>
      </c>
      <c r="O794" s="24">
        <f>IF($J794="","",YEAR($J794+4-WEEKDAY($J794,2))&amp;"-S"&amp;TEXT(_xlfn.ISOWEEKNUM($J794),"00"))</f>
        <v/>
      </c>
      <c r="P794" s="24">
        <f>IF($J794="","",YEAR($J794))</f>
        <v/>
      </c>
      <c r="Q794" s="24">
        <f>IF($J794="","",MONTH($J794))</f>
        <v/>
      </c>
      <c r="R794" s="24">
        <f>IF($J794="","",$P794&amp;"-"&amp;TEXT($Q794,"00"))</f>
        <v/>
      </c>
      <c r="S794" s="24">
        <f>IF($J794="","",INDEX(lista_dias,WEEKDAY($J794,2)))</f>
        <v/>
      </c>
      <c r="T794" s="24">
        <f>IF($J794="","",IFERROR(INDEX('CALENDARIO'!$C$15:$C$214,MATCH(TEXT($J794,"yyyy-mm-dd")&amp;"|"&amp;$Y794&amp;"|"&amp;$Z794,'CALENDARIO'!$G$15:$G$214,0)),IFERROR(INDEX('CALENDARIO'!$C$15:$C$214,MATCH(TEXT($J794,"yyyy-mm-dd")&amp;"|"&amp;$Y794&amp;"|",'CALENDARIO'!$G$15:$G$214,0)),IFERROR(INDEX('CALENDARIO'!$C$15:$C$214,MATCH(TEXT($J794,"yyyy-mm-dd")&amp;"||",'CALENDARIO'!$G$15:$G$214,0)),INDEX(patronHabil,WEEKDAY($J794,2))))))</f>
        <v/>
      </c>
      <c r="U794" s="24">
        <f>IF($I794="","",IFERROR(INDEX('CAT_TIPOS_OT'!$C$4:$C$23,MATCH($I794,'CAT_TIPOS_OT'!$A$4:$A$23,0)),"sin_clasificar"))</f>
        <v/>
      </c>
      <c r="V794" s="24">
        <f>IF($I794="","",IF(IFERROR(INDEX('CAT_TIPOS_OT'!$D$4:$D$23,MATCH($I794,'CAT_TIPOS_OT'!$A$4:$A$23,0)),"SIN CLASIFICAR")="","SIN CLASIFICAR",IFERROR(INDEX('CAT_TIPOS_OT'!$D$4:$D$23,MATCH($I794,'CAT_TIPOS_OT'!$A$4:$A$23,0)),"SIN CLASIFICAR")))</f>
        <v/>
      </c>
      <c r="W794" s="24">
        <f>IF($H794="","",IF(IFERROR(INDEX('CAT_ACTIVIDADES'!$F$4:$F$26,MATCH($H794,'CAT_ACTIVIDADES'!$A$4:$A$26,0)),"")=0,"",IFERROR(INDEX('CAT_ACTIVIDADES'!$F$4:$F$26,MATCH($H794,'CAT_ACTIVIDADES'!$A$4:$A$26,0)),"")))</f>
        <v/>
      </c>
      <c r="X794" s="24">
        <f>IF($F794="","",IFERROR(INDEX('CAT_CENTROS_COSTO'!$F$4:$F$28,MATCH($F794,'CAT_CENTROS_COSTO'!$A$4:$A$28,0)),"(sin catálogo)"))</f>
        <v/>
      </c>
      <c r="Y794" s="24">
        <f>IF($F794="","",IFERROR(INDEX('CAT_CENTROS_COSTO'!$D$4:$D$28,MATCH($F794,'CAT_CENTROS_COSTO'!$A$4:$A$28,0)),"(sin catálogo)"))</f>
        <v/>
      </c>
      <c r="Z794" s="24">
        <f>IF($F794="","",IF((IFERROR(INDEX('CAT_CENTROS_COSTO'!$E$4:$E$28,MATCH($F794,'CAT_CENTROS_COSTO'!$A$4:$A$28,0)),""))&lt;&gt;"",IFERROR(INDEX('CAT_CENTROS_COSTO'!$E$4:$E$28,MATCH($F794,'CAT_CENTROS_COSTO'!$A$4:$A$28,0)),""),$Y794))</f>
        <v/>
      </c>
      <c r="AA794" s="24">
        <f>IF($F794="","",IFERROR(INDEX('CAT_CENTROS_COSTO'!$G$4:$G$28,MATCH($F794,'CAT_CENTROS_COSTO'!$A$4:$A$28,0)),"(sin catálogo)"))</f>
        <v/>
      </c>
      <c r="AB794" s="24">
        <f>IF($G794="","",IFERROR(INDEX('CAT_PUESTOS'!$B$4:$B$23,MATCH($G794,'CAT_PUESTOS'!$A$4:$A$23,0)),"(sin catálogo)"))</f>
        <v/>
      </c>
      <c r="AC794" s="24">
        <f>IF($H794="","",IFERROR(INDEX('CAT_ACTIVIDADES'!$B$4:$B$26,MATCH($H794,'CAT_ACTIVIDADES'!$A$4:$A$26,0)),"(sin catálogo)"))</f>
        <v/>
      </c>
      <c r="AD794" s="26">
        <f>IF($J794="","",TODAY()-$J794)</f>
        <v/>
      </c>
      <c r="AE794" s="26">
        <f>IF($J794="","",IF($J794&lt;=TODAY(),COUNTIFS(cal_fechas,"&gt;="&amp;$J794,cal_fechas,"&lt;"&amp;TODAY(),cal_habil,"sí"),-COUNTIFS(cal_fechas,"&gt;="&amp;TODAY(),cal_fechas,"&lt;"&amp;$J794,cal_habil,"sí")))</f>
        <v/>
      </c>
      <c r="AF794" s="24">
        <f>IF($AE794="","",IF($AE794&lt;0,"FUTURO",IF($AE794&gt;p_dias_backlog_max,"BACKLOG","MES CORRIENTE")))</f>
        <v/>
      </c>
      <c r="AG794" s="24">
        <f>IF($AE794="",FALSE,AND($AE794&gt;p_dias_backlog_min,$AE794&lt;=p_dias_backlog_max))</f>
        <v/>
      </c>
      <c r="AH794" s="4" t="n"/>
      <c r="AI794" s="24">
        <f>IF($AH794="","",IF((IFERROR(INDEX('ASIGNACIONES'!$J$4:$J$451,MATCH($O794&amp;"|"&amp;$S794&amp;"|"&amp;$AH794,'ASIGNACIONES'!$N$4:$N$451,0)),""))=0,"",IFERROR(INDEX('ASIGNACIONES'!$J$4:$J$451,MATCH($O794&amp;"|"&amp;$S794&amp;"|"&amp;$AH794,'ASIGNACIONES'!$N$4:$N$451,0)),"")))</f>
        <v/>
      </c>
      <c r="AJ794" s="42">
        <f>IF($AH794="","",SUMIFS('ORDENES'!$M$4:$M$1203,'ORDENES'!$AH$4:$AH$1203,$AH794,'ORDENES'!$O$4:$O$1203,$O794,'ORDENES'!$S$4:$S$1203,$S794))</f>
        <v/>
      </c>
      <c r="AK794" s="42">
        <f>IF($AJ794="","",p_factor_productividad*IFERROR(INDEX('ASIGNACIONES'!$M$4:$M$451,MATCH($O794&amp;"|"&amp;$S794&amp;"|"&amp;$AH794,'ASIGNACIONES'!$N$4:$N$451,0)),0)-$AJ794)</f>
        <v/>
      </c>
      <c r="AL794" s="32">
        <f>IF($A794="","",IFERROR(INDEX('2_IMPORTAR_EJECUCION'!$F$9:$F$1208,MATCH($AU794,'2_IMPORTAR_EJECUCION'!$J$9:$J$1208,0)),0))</f>
        <v/>
      </c>
      <c r="AM794" s="32">
        <f>IF($A794="","",MAX(0,IFERROR(INDEX('2_IMPORTAR_EJECUCION'!$H$9:$H$1208,MATCH($AU794,'2_IMPORTAR_EJECUCION'!$J$9:$J$1208,0)),0)-$AL794))</f>
        <v/>
      </c>
      <c r="AN794" s="32">
        <f>IF($A794="","",$AL794+$AM794)</f>
        <v/>
      </c>
      <c r="AO794" s="24">
        <f>IF($A794="","",IF(OR((IFERROR(INDEX('CAT_ACTIVIDADES'!$D$4:$D$26,MATCH($H794,'CAT_ACTIVIDADES'!$A$4:$A$26,0)),""))=0,(IFERROR(INDEX('CAT_ACTIVIDADES'!$D$4:$D$26,MATCH($H794,'CAT_ACTIVIDADES'!$A$4:$A$26,0)),""))=""),"SIN CLASIFICAR",IFERROR(INDEX('CAT_ACTIVIDADES'!$D$4:$D$26,MATCH($H794,'CAT_ACTIVIDADES'!$A$4:$A$26,0)),"")))</f>
        <v/>
      </c>
      <c r="AP794" s="4" t="n"/>
      <c r="AQ794" s="4" t="n"/>
      <c r="AR794" s="4" t="n"/>
      <c r="AS794" s="24">
        <f>IF($AR794="","",HYPERLINK(p_ruta_base_checklists&amp;$AR794,"abrir"))</f>
        <v/>
      </c>
      <c r="AT794" s="4" t="n"/>
      <c r="AU794" s="24">
        <f>IF($A794="","",$A794&amp;IF($B794="","0010",$B794))</f>
        <v/>
      </c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41" t="n"/>
      <c r="K795" s="5" t="n"/>
      <c r="L795" s="18" t="n"/>
      <c r="M795" s="24">
        <f>IF($A795="","",IFERROR(INDEX('AJUSTES'!$B$4:$B$303,MATCH($AU795,'AJUSTES'!$A$4:$A$303,0)),IF($K795="","",$K795)))</f>
        <v/>
      </c>
      <c r="N795" s="24">
        <f>IF($A795="","",IFERROR(INDEX('CAT_ESTADOS_ERP'!$B$4:$B$22,MATCH(IFERROR(INDEX('2_IMPORTAR_EJECUCION'!$C$9:$C$1208,MATCH($AU795,'2_IMPORTAR_EJECUCION'!$J$9:$J$1208,0)),""),'CAT_ESTADOS_ERP'!$A$4:$A$22,0)),"Pendiente"))</f>
        <v/>
      </c>
      <c r="O795" s="24">
        <f>IF($J795="","",YEAR($J795+4-WEEKDAY($J795,2))&amp;"-S"&amp;TEXT(_xlfn.ISOWEEKNUM($J795),"00"))</f>
        <v/>
      </c>
      <c r="P795" s="24">
        <f>IF($J795="","",YEAR($J795))</f>
        <v/>
      </c>
      <c r="Q795" s="24">
        <f>IF($J795="","",MONTH($J795))</f>
        <v/>
      </c>
      <c r="R795" s="24">
        <f>IF($J795="","",$P795&amp;"-"&amp;TEXT($Q795,"00"))</f>
        <v/>
      </c>
      <c r="S795" s="24">
        <f>IF($J795="","",INDEX(lista_dias,WEEKDAY($J795,2)))</f>
        <v/>
      </c>
      <c r="T795" s="24">
        <f>IF($J795="","",IFERROR(INDEX('CALENDARIO'!$C$15:$C$214,MATCH(TEXT($J795,"yyyy-mm-dd")&amp;"|"&amp;$Y795&amp;"|"&amp;$Z795,'CALENDARIO'!$G$15:$G$214,0)),IFERROR(INDEX('CALENDARIO'!$C$15:$C$214,MATCH(TEXT($J795,"yyyy-mm-dd")&amp;"|"&amp;$Y795&amp;"|",'CALENDARIO'!$G$15:$G$214,0)),IFERROR(INDEX('CALENDARIO'!$C$15:$C$214,MATCH(TEXT($J795,"yyyy-mm-dd")&amp;"||",'CALENDARIO'!$G$15:$G$214,0)),INDEX(patronHabil,WEEKDAY($J795,2))))))</f>
        <v/>
      </c>
      <c r="U795" s="24">
        <f>IF($I795="","",IFERROR(INDEX('CAT_TIPOS_OT'!$C$4:$C$23,MATCH($I795,'CAT_TIPOS_OT'!$A$4:$A$23,0)),"sin_clasificar"))</f>
        <v/>
      </c>
      <c r="V795" s="24">
        <f>IF($I795="","",IF(IFERROR(INDEX('CAT_TIPOS_OT'!$D$4:$D$23,MATCH($I795,'CAT_TIPOS_OT'!$A$4:$A$23,0)),"SIN CLASIFICAR")="","SIN CLASIFICAR",IFERROR(INDEX('CAT_TIPOS_OT'!$D$4:$D$23,MATCH($I795,'CAT_TIPOS_OT'!$A$4:$A$23,0)),"SIN CLASIFICAR")))</f>
        <v/>
      </c>
      <c r="W795" s="24">
        <f>IF($H795="","",IF(IFERROR(INDEX('CAT_ACTIVIDADES'!$F$4:$F$26,MATCH($H795,'CAT_ACTIVIDADES'!$A$4:$A$26,0)),"")=0,"",IFERROR(INDEX('CAT_ACTIVIDADES'!$F$4:$F$26,MATCH($H795,'CAT_ACTIVIDADES'!$A$4:$A$26,0)),"")))</f>
        <v/>
      </c>
      <c r="X795" s="24">
        <f>IF($F795="","",IFERROR(INDEX('CAT_CENTROS_COSTO'!$F$4:$F$28,MATCH($F795,'CAT_CENTROS_COSTO'!$A$4:$A$28,0)),"(sin catálogo)"))</f>
        <v/>
      </c>
      <c r="Y795" s="24">
        <f>IF($F795="","",IFERROR(INDEX('CAT_CENTROS_COSTO'!$D$4:$D$28,MATCH($F795,'CAT_CENTROS_COSTO'!$A$4:$A$28,0)),"(sin catálogo)"))</f>
        <v/>
      </c>
      <c r="Z795" s="24">
        <f>IF($F795="","",IF((IFERROR(INDEX('CAT_CENTROS_COSTO'!$E$4:$E$28,MATCH($F795,'CAT_CENTROS_COSTO'!$A$4:$A$28,0)),""))&lt;&gt;"",IFERROR(INDEX('CAT_CENTROS_COSTO'!$E$4:$E$28,MATCH($F795,'CAT_CENTROS_COSTO'!$A$4:$A$28,0)),""),$Y795))</f>
        <v/>
      </c>
      <c r="AA795" s="24">
        <f>IF($F795="","",IFERROR(INDEX('CAT_CENTROS_COSTO'!$G$4:$G$28,MATCH($F795,'CAT_CENTROS_COSTO'!$A$4:$A$28,0)),"(sin catálogo)"))</f>
        <v/>
      </c>
      <c r="AB795" s="24">
        <f>IF($G795="","",IFERROR(INDEX('CAT_PUESTOS'!$B$4:$B$23,MATCH($G795,'CAT_PUESTOS'!$A$4:$A$23,0)),"(sin catálogo)"))</f>
        <v/>
      </c>
      <c r="AC795" s="24">
        <f>IF($H795="","",IFERROR(INDEX('CAT_ACTIVIDADES'!$B$4:$B$26,MATCH($H795,'CAT_ACTIVIDADES'!$A$4:$A$26,0)),"(sin catálogo)"))</f>
        <v/>
      </c>
      <c r="AD795" s="26">
        <f>IF($J795="","",TODAY()-$J795)</f>
        <v/>
      </c>
      <c r="AE795" s="26">
        <f>IF($J795="","",IF($J795&lt;=TODAY(),COUNTIFS(cal_fechas,"&gt;="&amp;$J795,cal_fechas,"&lt;"&amp;TODAY(),cal_habil,"sí"),-COUNTIFS(cal_fechas,"&gt;="&amp;TODAY(),cal_fechas,"&lt;"&amp;$J795,cal_habil,"sí")))</f>
        <v/>
      </c>
      <c r="AF795" s="24">
        <f>IF($AE795="","",IF($AE795&lt;0,"FUTURO",IF($AE795&gt;p_dias_backlog_max,"BACKLOG","MES CORRIENTE")))</f>
        <v/>
      </c>
      <c r="AG795" s="24">
        <f>IF($AE795="",FALSE,AND($AE795&gt;p_dias_backlog_min,$AE795&lt;=p_dias_backlog_max))</f>
        <v/>
      </c>
      <c r="AH795" s="4" t="n"/>
      <c r="AI795" s="24">
        <f>IF($AH795="","",IF((IFERROR(INDEX('ASIGNACIONES'!$J$4:$J$451,MATCH($O795&amp;"|"&amp;$S795&amp;"|"&amp;$AH795,'ASIGNACIONES'!$N$4:$N$451,0)),""))=0,"",IFERROR(INDEX('ASIGNACIONES'!$J$4:$J$451,MATCH($O795&amp;"|"&amp;$S795&amp;"|"&amp;$AH795,'ASIGNACIONES'!$N$4:$N$451,0)),"")))</f>
        <v/>
      </c>
      <c r="AJ795" s="42">
        <f>IF($AH795="","",SUMIFS('ORDENES'!$M$4:$M$1203,'ORDENES'!$AH$4:$AH$1203,$AH795,'ORDENES'!$O$4:$O$1203,$O795,'ORDENES'!$S$4:$S$1203,$S795))</f>
        <v/>
      </c>
      <c r="AK795" s="42">
        <f>IF($AJ795="","",p_factor_productividad*IFERROR(INDEX('ASIGNACIONES'!$M$4:$M$451,MATCH($O795&amp;"|"&amp;$S795&amp;"|"&amp;$AH795,'ASIGNACIONES'!$N$4:$N$451,0)),0)-$AJ795)</f>
        <v/>
      </c>
      <c r="AL795" s="32">
        <f>IF($A795="","",IFERROR(INDEX('2_IMPORTAR_EJECUCION'!$F$9:$F$1208,MATCH($AU795,'2_IMPORTAR_EJECUCION'!$J$9:$J$1208,0)),0))</f>
        <v/>
      </c>
      <c r="AM795" s="32">
        <f>IF($A795="","",MAX(0,IFERROR(INDEX('2_IMPORTAR_EJECUCION'!$H$9:$H$1208,MATCH($AU795,'2_IMPORTAR_EJECUCION'!$J$9:$J$1208,0)),0)-$AL795))</f>
        <v/>
      </c>
      <c r="AN795" s="32">
        <f>IF($A795="","",$AL795+$AM795)</f>
        <v/>
      </c>
      <c r="AO795" s="24">
        <f>IF($A795="","",IF(OR((IFERROR(INDEX('CAT_ACTIVIDADES'!$D$4:$D$26,MATCH($H795,'CAT_ACTIVIDADES'!$A$4:$A$26,0)),""))=0,(IFERROR(INDEX('CAT_ACTIVIDADES'!$D$4:$D$26,MATCH($H795,'CAT_ACTIVIDADES'!$A$4:$A$26,0)),""))=""),"SIN CLASIFICAR",IFERROR(INDEX('CAT_ACTIVIDADES'!$D$4:$D$26,MATCH($H795,'CAT_ACTIVIDADES'!$A$4:$A$26,0)),"")))</f>
        <v/>
      </c>
      <c r="AP795" s="4" t="n"/>
      <c r="AQ795" s="4" t="n"/>
      <c r="AR795" s="4" t="n"/>
      <c r="AS795" s="24">
        <f>IF($AR795="","",HYPERLINK(p_ruta_base_checklists&amp;$AR795,"abrir"))</f>
        <v/>
      </c>
      <c r="AT795" s="4" t="n"/>
      <c r="AU795" s="24">
        <f>IF($A795="","",$A795&amp;IF($B795="","0010",$B795))</f>
        <v/>
      </c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41" t="n"/>
      <c r="K796" s="5" t="n"/>
      <c r="L796" s="18" t="n"/>
      <c r="M796" s="24">
        <f>IF($A796="","",IFERROR(INDEX('AJUSTES'!$B$4:$B$303,MATCH($AU796,'AJUSTES'!$A$4:$A$303,0)),IF($K796="","",$K796)))</f>
        <v/>
      </c>
      <c r="N796" s="24">
        <f>IF($A796="","",IFERROR(INDEX('CAT_ESTADOS_ERP'!$B$4:$B$22,MATCH(IFERROR(INDEX('2_IMPORTAR_EJECUCION'!$C$9:$C$1208,MATCH($AU796,'2_IMPORTAR_EJECUCION'!$J$9:$J$1208,0)),""),'CAT_ESTADOS_ERP'!$A$4:$A$22,0)),"Pendiente"))</f>
        <v/>
      </c>
      <c r="O796" s="24">
        <f>IF($J796="","",YEAR($J796+4-WEEKDAY($J796,2))&amp;"-S"&amp;TEXT(_xlfn.ISOWEEKNUM($J796),"00"))</f>
        <v/>
      </c>
      <c r="P796" s="24">
        <f>IF($J796="","",YEAR($J796))</f>
        <v/>
      </c>
      <c r="Q796" s="24">
        <f>IF($J796="","",MONTH($J796))</f>
        <v/>
      </c>
      <c r="R796" s="24">
        <f>IF($J796="","",$P796&amp;"-"&amp;TEXT($Q796,"00"))</f>
        <v/>
      </c>
      <c r="S796" s="24">
        <f>IF($J796="","",INDEX(lista_dias,WEEKDAY($J796,2)))</f>
        <v/>
      </c>
      <c r="T796" s="24">
        <f>IF($J796="","",IFERROR(INDEX('CALENDARIO'!$C$15:$C$214,MATCH(TEXT($J796,"yyyy-mm-dd")&amp;"|"&amp;$Y796&amp;"|"&amp;$Z796,'CALENDARIO'!$G$15:$G$214,0)),IFERROR(INDEX('CALENDARIO'!$C$15:$C$214,MATCH(TEXT($J796,"yyyy-mm-dd")&amp;"|"&amp;$Y796&amp;"|",'CALENDARIO'!$G$15:$G$214,0)),IFERROR(INDEX('CALENDARIO'!$C$15:$C$214,MATCH(TEXT($J796,"yyyy-mm-dd")&amp;"||",'CALENDARIO'!$G$15:$G$214,0)),INDEX(patronHabil,WEEKDAY($J796,2))))))</f>
        <v/>
      </c>
      <c r="U796" s="24">
        <f>IF($I796="","",IFERROR(INDEX('CAT_TIPOS_OT'!$C$4:$C$23,MATCH($I796,'CAT_TIPOS_OT'!$A$4:$A$23,0)),"sin_clasificar"))</f>
        <v/>
      </c>
      <c r="V796" s="24">
        <f>IF($I796="","",IF(IFERROR(INDEX('CAT_TIPOS_OT'!$D$4:$D$23,MATCH($I796,'CAT_TIPOS_OT'!$A$4:$A$23,0)),"SIN CLASIFICAR")="","SIN CLASIFICAR",IFERROR(INDEX('CAT_TIPOS_OT'!$D$4:$D$23,MATCH($I796,'CAT_TIPOS_OT'!$A$4:$A$23,0)),"SIN CLASIFICAR")))</f>
        <v/>
      </c>
      <c r="W796" s="24">
        <f>IF($H796="","",IF(IFERROR(INDEX('CAT_ACTIVIDADES'!$F$4:$F$26,MATCH($H796,'CAT_ACTIVIDADES'!$A$4:$A$26,0)),"")=0,"",IFERROR(INDEX('CAT_ACTIVIDADES'!$F$4:$F$26,MATCH($H796,'CAT_ACTIVIDADES'!$A$4:$A$26,0)),"")))</f>
        <v/>
      </c>
      <c r="X796" s="24">
        <f>IF($F796="","",IFERROR(INDEX('CAT_CENTROS_COSTO'!$F$4:$F$28,MATCH($F796,'CAT_CENTROS_COSTO'!$A$4:$A$28,0)),"(sin catálogo)"))</f>
        <v/>
      </c>
      <c r="Y796" s="24">
        <f>IF($F796="","",IFERROR(INDEX('CAT_CENTROS_COSTO'!$D$4:$D$28,MATCH($F796,'CAT_CENTROS_COSTO'!$A$4:$A$28,0)),"(sin catálogo)"))</f>
        <v/>
      </c>
      <c r="Z796" s="24">
        <f>IF($F796="","",IF((IFERROR(INDEX('CAT_CENTROS_COSTO'!$E$4:$E$28,MATCH($F796,'CAT_CENTROS_COSTO'!$A$4:$A$28,0)),""))&lt;&gt;"",IFERROR(INDEX('CAT_CENTROS_COSTO'!$E$4:$E$28,MATCH($F796,'CAT_CENTROS_COSTO'!$A$4:$A$28,0)),""),$Y796))</f>
        <v/>
      </c>
      <c r="AA796" s="24">
        <f>IF($F796="","",IFERROR(INDEX('CAT_CENTROS_COSTO'!$G$4:$G$28,MATCH($F796,'CAT_CENTROS_COSTO'!$A$4:$A$28,0)),"(sin catálogo)"))</f>
        <v/>
      </c>
      <c r="AB796" s="24">
        <f>IF($G796="","",IFERROR(INDEX('CAT_PUESTOS'!$B$4:$B$23,MATCH($G796,'CAT_PUESTOS'!$A$4:$A$23,0)),"(sin catálogo)"))</f>
        <v/>
      </c>
      <c r="AC796" s="24">
        <f>IF($H796="","",IFERROR(INDEX('CAT_ACTIVIDADES'!$B$4:$B$26,MATCH($H796,'CAT_ACTIVIDADES'!$A$4:$A$26,0)),"(sin catálogo)"))</f>
        <v/>
      </c>
      <c r="AD796" s="26">
        <f>IF($J796="","",TODAY()-$J796)</f>
        <v/>
      </c>
      <c r="AE796" s="26">
        <f>IF($J796="","",IF($J796&lt;=TODAY(),COUNTIFS(cal_fechas,"&gt;="&amp;$J796,cal_fechas,"&lt;"&amp;TODAY(),cal_habil,"sí"),-COUNTIFS(cal_fechas,"&gt;="&amp;TODAY(),cal_fechas,"&lt;"&amp;$J796,cal_habil,"sí")))</f>
        <v/>
      </c>
      <c r="AF796" s="24">
        <f>IF($AE796="","",IF($AE796&lt;0,"FUTURO",IF($AE796&gt;p_dias_backlog_max,"BACKLOG","MES CORRIENTE")))</f>
        <v/>
      </c>
      <c r="AG796" s="24">
        <f>IF($AE796="",FALSE,AND($AE796&gt;p_dias_backlog_min,$AE796&lt;=p_dias_backlog_max))</f>
        <v/>
      </c>
      <c r="AH796" s="4" t="n"/>
      <c r="AI796" s="24">
        <f>IF($AH796="","",IF((IFERROR(INDEX('ASIGNACIONES'!$J$4:$J$451,MATCH($O796&amp;"|"&amp;$S796&amp;"|"&amp;$AH796,'ASIGNACIONES'!$N$4:$N$451,0)),""))=0,"",IFERROR(INDEX('ASIGNACIONES'!$J$4:$J$451,MATCH($O796&amp;"|"&amp;$S796&amp;"|"&amp;$AH796,'ASIGNACIONES'!$N$4:$N$451,0)),"")))</f>
        <v/>
      </c>
      <c r="AJ796" s="42">
        <f>IF($AH796="","",SUMIFS('ORDENES'!$M$4:$M$1203,'ORDENES'!$AH$4:$AH$1203,$AH796,'ORDENES'!$O$4:$O$1203,$O796,'ORDENES'!$S$4:$S$1203,$S796))</f>
        <v/>
      </c>
      <c r="AK796" s="42">
        <f>IF($AJ796="","",p_factor_productividad*IFERROR(INDEX('ASIGNACIONES'!$M$4:$M$451,MATCH($O796&amp;"|"&amp;$S796&amp;"|"&amp;$AH796,'ASIGNACIONES'!$N$4:$N$451,0)),0)-$AJ796)</f>
        <v/>
      </c>
      <c r="AL796" s="32">
        <f>IF($A796="","",IFERROR(INDEX('2_IMPORTAR_EJECUCION'!$F$9:$F$1208,MATCH($AU796,'2_IMPORTAR_EJECUCION'!$J$9:$J$1208,0)),0))</f>
        <v/>
      </c>
      <c r="AM796" s="32">
        <f>IF($A796="","",MAX(0,IFERROR(INDEX('2_IMPORTAR_EJECUCION'!$H$9:$H$1208,MATCH($AU796,'2_IMPORTAR_EJECUCION'!$J$9:$J$1208,0)),0)-$AL796))</f>
        <v/>
      </c>
      <c r="AN796" s="32">
        <f>IF($A796="","",$AL796+$AM796)</f>
        <v/>
      </c>
      <c r="AO796" s="24">
        <f>IF($A796="","",IF(OR((IFERROR(INDEX('CAT_ACTIVIDADES'!$D$4:$D$26,MATCH($H796,'CAT_ACTIVIDADES'!$A$4:$A$26,0)),""))=0,(IFERROR(INDEX('CAT_ACTIVIDADES'!$D$4:$D$26,MATCH($H796,'CAT_ACTIVIDADES'!$A$4:$A$26,0)),""))=""),"SIN CLASIFICAR",IFERROR(INDEX('CAT_ACTIVIDADES'!$D$4:$D$26,MATCH($H796,'CAT_ACTIVIDADES'!$A$4:$A$26,0)),"")))</f>
        <v/>
      </c>
      <c r="AP796" s="4" t="n"/>
      <c r="AQ796" s="4" t="n"/>
      <c r="AR796" s="4" t="n"/>
      <c r="AS796" s="24">
        <f>IF($AR796="","",HYPERLINK(p_ruta_base_checklists&amp;$AR796,"abrir"))</f>
        <v/>
      </c>
      <c r="AT796" s="4" t="n"/>
      <c r="AU796" s="24">
        <f>IF($A796="","",$A796&amp;IF($B796="","0010",$B796))</f>
        <v/>
      </c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41" t="n"/>
      <c r="K797" s="5" t="n"/>
      <c r="L797" s="18" t="n"/>
      <c r="M797" s="24">
        <f>IF($A797="","",IFERROR(INDEX('AJUSTES'!$B$4:$B$303,MATCH($AU797,'AJUSTES'!$A$4:$A$303,0)),IF($K797="","",$K797)))</f>
        <v/>
      </c>
      <c r="N797" s="24">
        <f>IF($A797="","",IFERROR(INDEX('CAT_ESTADOS_ERP'!$B$4:$B$22,MATCH(IFERROR(INDEX('2_IMPORTAR_EJECUCION'!$C$9:$C$1208,MATCH($AU797,'2_IMPORTAR_EJECUCION'!$J$9:$J$1208,0)),""),'CAT_ESTADOS_ERP'!$A$4:$A$22,0)),"Pendiente"))</f>
        <v/>
      </c>
      <c r="O797" s="24">
        <f>IF($J797="","",YEAR($J797+4-WEEKDAY($J797,2))&amp;"-S"&amp;TEXT(_xlfn.ISOWEEKNUM($J797),"00"))</f>
        <v/>
      </c>
      <c r="P797" s="24">
        <f>IF($J797="","",YEAR($J797))</f>
        <v/>
      </c>
      <c r="Q797" s="24">
        <f>IF($J797="","",MONTH($J797))</f>
        <v/>
      </c>
      <c r="R797" s="24">
        <f>IF($J797="","",$P797&amp;"-"&amp;TEXT($Q797,"00"))</f>
        <v/>
      </c>
      <c r="S797" s="24">
        <f>IF($J797="","",INDEX(lista_dias,WEEKDAY($J797,2)))</f>
        <v/>
      </c>
      <c r="T797" s="24">
        <f>IF($J797="","",IFERROR(INDEX('CALENDARIO'!$C$15:$C$214,MATCH(TEXT($J797,"yyyy-mm-dd")&amp;"|"&amp;$Y797&amp;"|"&amp;$Z797,'CALENDARIO'!$G$15:$G$214,0)),IFERROR(INDEX('CALENDARIO'!$C$15:$C$214,MATCH(TEXT($J797,"yyyy-mm-dd")&amp;"|"&amp;$Y797&amp;"|",'CALENDARIO'!$G$15:$G$214,0)),IFERROR(INDEX('CALENDARIO'!$C$15:$C$214,MATCH(TEXT($J797,"yyyy-mm-dd")&amp;"||",'CALENDARIO'!$G$15:$G$214,0)),INDEX(patronHabil,WEEKDAY($J797,2))))))</f>
        <v/>
      </c>
      <c r="U797" s="24">
        <f>IF($I797="","",IFERROR(INDEX('CAT_TIPOS_OT'!$C$4:$C$23,MATCH($I797,'CAT_TIPOS_OT'!$A$4:$A$23,0)),"sin_clasificar"))</f>
        <v/>
      </c>
      <c r="V797" s="24">
        <f>IF($I797="","",IF(IFERROR(INDEX('CAT_TIPOS_OT'!$D$4:$D$23,MATCH($I797,'CAT_TIPOS_OT'!$A$4:$A$23,0)),"SIN CLASIFICAR")="","SIN CLASIFICAR",IFERROR(INDEX('CAT_TIPOS_OT'!$D$4:$D$23,MATCH($I797,'CAT_TIPOS_OT'!$A$4:$A$23,0)),"SIN CLASIFICAR")))</f>
        <v/>
      </c>
      <c r="W797" s="24">
        <f>IF($H797="","",IF(IFERROR(INDEX('CAT_ACTIVIDADES'!$F$4:$F$26,MATCH($H797,'CAT_ACTIVIDADES'!$A$4:$A$26,0)),"")=0,"",IFERROR(INDEX('CAT_ACTIVIDADES'!$F$4:$F$26,MATCH($H797,'CAT_ACTIVIDADES'!$A$4:$A$26,0)),"")))</f>
        <v/>
      </c>
      <c r="X797" s="24">
        <f>IF($F797="","",IFERROR(INDEX('CAT_CENTROS_COSTO'!$F$4:$F$28,MATCH($F797,'CAT_CENTROS_COSTO'!$A$4:$A$28,0)),"(sin catálogo)"))</f>
        <v/>
      </c>
      <c r="Y797" s="24">
        <f>IF($F797="","",IFERROR(INDEX('CAT_CENTROS_COSTO'!$D$4:$D$28,MATCH($F797,'CAT_CENTROS_COSTO'!$A$4:$A$28,0)),"(sin catálogo)"))</f>
        <v/>
      </c>
      <c r="Z797" s="24">
        <f>IF($F797="","",IF((IFERROR(INDEX('CAT_CENTROS_COSTO'!$E$4:$E$28,MATCH($F797,'CAT_CENTROS_COSTO'!$A$4:$A$28,0)),""))&lt;&gt;"",IFERROR(INDEX('CAT_CENTROS_COSTO'!$E$4:$E$28,MATCH($F797,'CAT_CENTROS_COSTO'!$A$4:$A$28,0)),""),$Y797))</f>
        <v/>
      </c>
      <c r="AA797" s="24">
        <f>IF($F797="","",IFERROR(INDEX('CAT_CENTROS_COSTO'!$G$4:$G$28,MATCH($F797,'CAT_CENTROS_COSTO'!$A$4:$A$28,0)),"(sin catálogo)"))</f>
        <v/>
      </c>
      <c r="AB797" s="24">
        <f>IF($G797="","",IFERROR(INDEX('CAT_PUESTOS'!$B$4:$B$23,MATCH($G797,'CAT_PUESTOS'!$A$4:$A$23,0)),"(sin catálogo)"))</f>
        <v/>
      </c>
      <c r="AC797" s="24">
        <f>IF($H797="","",IFERROR(INDEX('CAT_ACTIVIDADES'!$B$4:$B$26,MATCH($H797,'CAT_ACTIVIDADES'!$A$4:$A$26,0)),"(sin catálogo)"))</f>
        <v/>
      </c>
      <c r="AD797" s="26">
        <f>IF($J797="","",TODAY()-$J797)</f>
        <v/>
      </c>
      <c r="AE797" s="26">
        <f>IF($J797="","",IF($J797&lt;=TODAY(),COUNTIFS(cal_fechas,"&gt;="&amp;$J797,cal_fechas,"&lt;"&amp;TODAY(),cal_habil,"sí"),-COUNTIFS(cal_fechas,"&gt;="&amp;TODAY(),cal_fechas,"&lt;"&amp;$J797,cal_habil,"sí")))</f>
        <v/>
      </c>
      <c r="AF797" s="24">
        <f>IF($AE797="","",IF($AE797&lt;0,"FUTURO",IF($AE797&gt;p_dias_backlog_max,"BACKLOG","MES CORRIENTE")))</f>
        <v/>
      </c>
      <c r="AG797" s="24">
        <f>IF($AE797="",FALSE,AND($AE797&gt;p_dias_backlog_min,$AE797&lt;=p_dias_backlog_max))</f>
        <v/>
      </c>
      <c r="AH797" s="4" t="n"/>
      <c r="AI797" s="24">
        <f>IF($AH797="","",IF((IFERROR(INDEX('ASIGNACIONES'!$J$4:$J$451,MATCH($O797&amp;"|"&amp;$S797&amp;"|"&amp;$AH797,'ASIGNACIONES'!$N$4:$N$451,0)),""))=0,"",IFERROR(INDEX('ASIGNACIONES'!$J$4:$J$451,MATCH($O797&amp;"|"&amp;$S797&amp;"|"&amp;$AH797,'ASIGNACIONES'!$N$4:$N$451,0)),"")))</f>
        <v/>
      </c>
      <c r="AJ797" s="42">
        <f>IF($AH797="","",SUMIFS('ORDENES'!$M$4:$M$1203,'ORDENES'!$AH$4:$AH$1203,$AH797,'ORDENES'!$O$4:$O$1203,$O797,'ORDENES'!$S$4:$S$1203,$S797))</f>
        <v/>
      </c>
      <c r="AK797" s="42">
        <f>IF($AJ797="","",p_factor_productividad*IFERROR(INDEX('ASIGNACIONES'!$M$4:$M$451,MATCH($O797&amp;"|"&amp;$S797&amp;"|"&amp;$AH797,'ASIGNACIONES'!$N$4:$N$451,0)),0)-$AJ797)</f>
        <v/>
      </c>
      <c r="AL797" s="32">
        <f>IF($A797="","",IFERROR(INDEX('2_IMPORTAR_EJECUCION'!$F$9:$F$1208,MATCH($AU797,'2_IMPORTAR_EJECUCION'!$J$9:$J$1208,0)),0))</f>
        <v/>
      </c>
      <c r="AM797" s="32">
        <f>IF($A797="","",MAX(0,IFERROR(INDEX('2_IMPORTAR_EJECUCION'!$H$9:$H$1208,MATCH($AU797,'2_IMPORTAR_EJECUCION'!$J$9:$J$1208,0)),0)-$AL797))</f>
        <v/>
      </c>
      <c r="AN797" s="32">
        <f>IF($A797="","",$AL797+$AM797)</f>
        <v/>
      </c>
      <c r="AO797" s="24">
        <f>IF($A797="","",IF(OR((IFERROR(INDEX('CAT_ACTIVIDADES'!$D$4:$D$26,MATCH($H797,'CAT_ACTIVIDADES'!$A$4:$A$26,0)),""))=0,(IFERROR(INDEX('CAT_ACTIVIDADES'!$D$4:$D$26,MATCH($H797,'CAT_ACTIVIDADES'!$A$4:$A$26,0)),""))=""),"SIN CLASIFICAR",IFERROR(INDEX('CAT_ACTIVIDADES'!$D$4:$D$26,MATCH($H797,'CAT_ACTIVIDADES'!$A$4:$A$26,0)),"")))</f>
        <v/>
      </c>
      <c r="AP797" s="4" t="n"/>
      <c r="AQ797" s="4" t="n"/>
      <c r="AR797" s="4" t="n"/>
      <c r="AS797" s="24">
        <f>IF($AR797="","",HYPERLINK(p_ruta_base_checklists&amp;$AR797,"abrir"))</f>
        <v/>
      </c>
      <c r="AT797" s="4" t="n"/>
      <c r="AU797" s="24">
        <f>IF($A797="","",$A797&amp;IF($B797="","0010",$B797))</f>
        <v/>
      </c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41" t="n"/>
      <c r="K798" s="5" t="n"/>
      <c r="L798" s="18" t="n"/>
      <c r="M798" s="24">
        <f>IF($A798="","",IFERROR(INDEX('AJUSTES'!$B$4:$B$303,MATCH($AU798,'AJUSTES'!$A$4:$A$303,0)),IF($K798="","",$K798)))</f>
        <v/>
      </c>
      <c r="N798" s="24">
        <f>IF($A798="","",IFERROR(INDEX('CAT_ESTADOS_ERP'!$B$4:$B$22,MATCH(IFERROR(INDEX('2_IMPORTAR_EJECUCION'!$C$9:$C$1208,MATCH($AU798,'2_IMPORTAR_EJECUCION'!$J$9:$J$1208,0)),""),'CAT_ESTADOS_ERP'!$A$4:$A$22,0)),"Pendiente"))</f>
        <v/>
      </c>
      <c r="O798" s="24">
        <f>IF($J798="","",YEAR($J798+4-WEEKDAY($J798,2))&amp;"-S"&amp;TEXT(_xlfn.ISOWEEKNUM($J798),"00"))</f>
        <v/>
      </c>
      <c r="P798" s="24">
        <f>IF($J798="","",YEAR($J798))</f>
        <v/>
      </c>
      <c r="Q798" s="24">
        <f>IF($J798="","",MONTH($J798))</f>
        <v/>
      </c>
      <c r="R798" s="24">
        <f>IF($J798="","",$P798&amp;"-"&amp;TEXT($Q798,"00"))</f>
        <v/>
      </c>
      <c r="S798" s="24">
        <f>IF($J798="","",INDEX(lista_dias,WEEKDAY($J798,2)))</f>
        <v/>
      </c>
      <c r="T798" s="24">
        <f>IF($J798="","",IFERROR(INDEX('CALENDARIO'!$C$15:$C$214,MATCH(TEXT($J798,"yyyy-mm-dd")&amp;"|"&amp;$Y798&amp;"|"&amp;$Z798,'CALENDARIO'!$G$15:$G$214,0)),IFERROR(INDEX('CALENDARIO'!$C$15:$C$214,MATCH(TEXT($J798,"yyyy-mm-dd")&amp;"|"&amp;$Y798&amp;"|",'CALENDARIO'!$G$15:$G$214,0)),IFERROR(INDEX('CALENDARIO'!$C$15:$C$214,MATCH(TEXT($J798,"yyyy-mm-dd")&amp;"||",'CALENDARIO'!$G$15:$G$214,0)),INDEX(patronHabil,WEEKDAY($J798,2))))))</f>
        <v/>
      </c>
      <c r="U798" s="24">
        <f>IF($I798="","",IFERROR(INDEX('CAT_TIPOS_OT'!$C$4:$C$23,MATCH($I798,'CAT_TIPOS_OT'!$A$4:$A$23,0)),"sin_clasificar"))</f>
        <v/>
      </c>
      <c r="V798" s="24">
        <f>IF($I798="","",IF(IFERROR(INDEX('CAT_TIPOS_OT'!$D$4:$D$23,MATCH($I798,'CAT_TIPOS_OT'!$A$4:$A$23,0)),"SIN CLASIFICAR")="","SIN CLASIFICAR",IFERROR(INDEX('CAT_TIPOS_OT'!$D$4:$D$23,MATCH($I798,'CAT_TIPOS_OT'!$A$4:$A$23,0)),"SIN CLASIFICAR")))</f>
        <v/>
      </c>
      <c r="W798" s="24">
        <f>IF($H798="","",IF(IFERROR(INDEX('CAT_ACTIVIDADES'!$F$4:$F$26,MATCH($H798,'CAT_ACTIVIDADES'!$A$4:$A$26,0)),"")=0,"",IFERROR(INDEX('CAT_ACTIVIDADES'!$F$4:$F$26,MATCH($H798,'CAT_ACTIVIDADES'!$A$4:$A$26,0)),"")))</f>
        <v/>
      </c>
      <c r="X798" s="24">
        <f>IF($F798="","",IFERROR(INDEX('CAT_CENTROS_COSTO'!$F$4:$F$28,MATCH($F798,'CAT_CENTROS_COSTO'!$A$4:$A$28,0)),"(sin catálogo)"))</f>
        <v/>
      </c>
      <c r="Y798" s="24">
        <f>IF($F798="","",IFERROR(INDEX('CAT_CENTROS_COSTO'!$D$4:$D$28,MATCH($F798,'CAT_CENTROS_COSTO'!$A$4:$A$28,0)),"(sin catálogo)"))</f>
        <v/>
      </c>
      <c r="Z798" s="24">
        <f>IF($F798="","",IF((IFERROR(INDEX('CAT_CENTROS_COSTO'!$E$4:$E$28,MATCH($F798,'CAT_CENTROS_COSTO'!$A$4:$A$28,0)),""))&lt;&gt;"",IFERROR(INDEX('CAT_CENTROS_COSTO'!$E$4:$E$28,MATCH($F798,'CAT_CENTROS_COSTO'!$A$4:$A$28,0)),""),$Y798))</f>
        <v/>
      </c>
      <c r="AA798" s="24">
        <f>IF($F798="","",IFERROR(INDEX('CAT_CENTROS_COSTO'!$G$4:$G$28,MATCH($F798,'CAT_CENTROS_COSTO'!$A$4:$A$28,0)),"(sin catálogo)"))</f>
        <v/>
      </c>
      <c r="AB798" s="24">
        <f>IF($G798="","",IFERROR(INDEX('CAT_PUESTOS'!$B$4:$B$23,MATCH($G798,'CAT_PUESTOS'!$A$4:$A$23,0)),"(sin catálogo)"))</f>
        <v/>
      </c>
      <c r="AC798" s="24">
        <f>IF($H798="","",IFERROR(INDEX('CAT_ACTIVIDADES'!$B$4:$B$26,MATCH($H798,'CAT_ACTIVIDADES'!$A$4:$A$26,0)),"(sin catálogo)"))</f>
        <v/>
      </c>
      <c r="AD798" s="26">
        <f>IF($J798="","",TODAY()-$J798)</f>
        <v/>
      </c>
      <c r="AE798" s="26">
        <f>IF($J798="","",IF($J798&lt;=TODAY(),COUNTIFS(cal_fechas,"&gt;="&amp;$J798,cal_fechas,"&lt;"&amp;TODAY(),cal_habil,"sí"),-COUNTIFS(cal_fechas,"&gt;="&amp;TODAY(),cal_fechas,"&lt;"&amp;$J798,cal_habil,"sí")))</f>
        <v/>
      </c>
      <c r="AF798" s="24">
        <f>IF($AE798="","",IF($AE798&lt;0,"FUTURO",IF($AE798&gt;p_dias_backlog_max,"BACKLOG","MES CORRIENTE")))</f>
        <v/>
      </c>
      <c r="AG798" s="24">
        <f>IF($AE798="",FALSE,AND($AE798&gt;p_dias_backlog_min,$AE798&lt;=p_dias_backlog_max))</f>
        <v/>
      </c>
      <c r="AH798" s="4" t="n"/>
      <c r="AI798" s="24">
        <f>IF($AH798="","",IF((IFERROR(INDEX('ASIGNACIONES'!$J$4:$J$451,MATCH($O798&amp;"|"&amp;$S798&amp;"|"&amp;$AH798,'ASIGNACIONES'!$N$4:$N$451,0)),""))=0,"",IFERROR(INDEX('ASIGNACIONES'!$J$4:$J$451,MATCH($O798&amp;"|"&amp;$S798&amp;"|"&amp;$AH798,'ASIGNACIONES'!$N$4:$N$451,0)),"")))</f>
        <v/>
      </c>
      <c r="AJ798" s="42">
        <f>IF($AH798="","",SUMIFS('ORDENES'!$M$4:$M$1203,'ORDENES'!$AH$4:$AH$1203,$AH798,'ORDENES'!$O$4:$O$1203,$O798,'ORDENES'!$S$4:$S$1203,$S798))</f>
        <v/>
      </c>
      <c r="AK798" s="42">
        <f>IF($AJ798="","",p_factor_productividad*IFERROR(INDEX('ASIGNACIONES'!$M$4:$M$451,MATCH($O798&amp;"|"&amp;$S798&amp;"|"&amp;$AH798,'ASIGNACIONES'!$N$4:$N$451,0)),0)-$AJ798)</f>
        <v/>
      </c>
      <c r="AL798" s="32">
        <f>IF($A798="","",IFERROR(INDEX('2_IMPORTAR_EJECUCION'!$F$9:$F$1208,MATCH($AU798,'2_IMPORTAR_EJECUCION'!$J$9:$J$1208,0)),0))</f>
        <v/>
      </c>
      <c r="AM798" s="32">
        <f>IF($A798="","",MAX(0,IFERROR(INDEX('2_IMPORTAR_EJECUCION'!$H$9:$H$1208,MATCH($AU798,'2_IMPORTAR_EJECUCION'!$J$9:$J$1208,0)),0)-$AL798))</f>
        <v/>
      </c>
      <c r="AN798" s="32">
        <f>IF($A798="","",$AL798+$AM798)</f>
        <v/>
      </c>
      <c r="AO798" s="24">
        <f>IF($A798="","",IF(OR((IFERROR(INDEX('CAT_ACTIVIDADES'!$D$4:$D$26,MATCH($H798,'CAT_ACTIVIDADES'!$A$4:$A$26,0)),""))=0,(IFERROR(INDEX('CAT_ACTIVIDADES'!$D$4:$D$26,MATCH($H798,'CAT_ACTIVIDADES'!$A$4:$A$26,0)),""))=""),"SIN CLASIFICAR",IFERROR(INDEX('CAT_ACTIVIDADES'!$D$4:$D$26,MATCH($H798,'CAT_ACTIVIDADES'!$A$4:$A$26,0)),"")))</f>
        <v/>
      </c>
      <c r="AP798" s="4" t="n"/>
      <c r="AQ798" s="4" t="n"/>
      <c r="AR798" s="4" t="n"/>
      <c r="AS798" s="24">
        <f>IF($AR798="","",HYPERLINK(p_ruta_base_checklists&amp;$AR798,"abrir"))</f>
        <v/>
      </c>
      <c r="AT798" s="4" t="n"/>
      <c r="AU798" s="24">
        <f>IF($A798="","",$A798&amp;IF($B798="","0010",$B798))</f>
        <v/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41" t="n"/>
      <c r="K799" s="5" t="n"/>
      <c r="L799" s="18" t="n"/>
      <c r="M799" s="24">
        <f>IF($A799="","",IFERROR(INDEX('AJUSTES'!$B$4:$B$303,MATCH($AU799,'AJUSTES'!$A$4:$A$303,0)),IF($K799="","",$K799)))</f>
        <v/>
      </c>
      <c r="N799" s="24">
        <f>IF($A799="","",IFERROR(INDEX('CAT_ESTADOS_ERP'!$B$4:$B$22,MATCH(IFERROR(INDEX('2_IMPORTAR_EJECUCION'!$C$9:$C$1208,MATCH($AU799,'2_IMPORTAR_EJECUCION'!$J$9:$J$1208,0)),""),'CAT_ESTADOS_ERP'!$A$4:$A$22,0)),"Pendiente"))</f>
        <v/>
      </c>
      <c r="O799" s="24">
        <f>IF($J799="","",YEAR($J799+4-WEEKDAY($J799,2))&amp;"-S"&amp;TEXT(_xlfn.ISOWEEKNUM($J799),"00"))</f>
        <v/>
      </c>
      <c r="P799" s="24">
        <f>IF($J799="","",YEAR($J799))</f>
        <v/>
      </c>
      <c r="Q799" s="24">
        <f>IF($J799="","",MONTH($J799))</f>
        <v/>
      </c>
      <c r="R799" s="24">
        <f>IF($J799="","",$P799&amp;"-"&amp;TEXT($Q799,"00"))</f>
        <v/>
      </c>
      <c r="S799" s="24">
        <f>IF($J799="","",INDEX(lista_dias,WEEKDAY($J799,2)))</f>
        <v/>
      </c>
      <c r="T799" s="24">
        <f>IF($J799="","",IFERROR(INDEX('CALENDARIO'!$C$15:$C$214,MATCH(TEXT($J799,"yyyy-mm-dd")&amp;"|"&amp;$Y799&amp;"|"&amp;$Z799,'CALENDARIO'!$G$15:$G$214,0)),IFERROR(INDEX('CALENDARIO'!$C$15:$C$214,MATCH(TEXT($J799,"yyyy-mm-dd")&amp;"|"&amp;$Y799&amp;"|",'CALENDARIO'!$G$15:$G$214,0)),IFERROR(INDEX('CALENDARIO'!$C$15:$C$214,MATCH(TEXT($J799,"yyyy-mm-dd")&amp;"||",'CALENDARIO'!$G$15:$G$214,0)),INDEX(patronHabil,WEEKDAY($J799,2))))))</f>
        <v/>
      </c>
      <c r="U799" s="24">
        <f>IF($I799="","",IFERROR(INDEX('CAT_TIPOS_OT'!$C$4:$C$23,MATCH($I799,'CAT_TIPOS_OT'!$A$4:$A$23,0)),"sin_clasificar"))</f>
        <v/>
      </c>
      <c r="V799" s="24">
        <f>IF($I799="","",IF(IFERROR(INDEX('CAT_TIPOS_OT'!$D$4:$D$23,MATCH($I799,'CAT_TIPOS_OT'!$A$4:$A$23,0)),"SIN CLASIFICAR")="","SIN CLASIFICAR",IFERROR(INDEX('CAT_TIPOS_OT'!$D$4:$D$23,MATCH($I799,'CAT_TIPOS_OT'!$A$4:$A$23,0)),"SIN CLASIFICAR")))</f>
        <v/>
      </c>
      <c r="W799" s="24">
        <f>IF($H799="","",IF(IFERROR(INDEX('CAT_ACTIVIDADES'!$F$4:$F$26,MATCH($H799,'CAT_ACTIVIDADES'!$A$4:$A$26,0)),"")=0,"",IFERROR(INDEX('CAT_ACTIVIDADES'!$F$4:$F$26,MATCH($H799,'CAT_ACTIVIDADES'!$A$4:$A$26,0)),"")))</f>
        <v/>
      </c>
      <c r="X799" s="24">
        <f>IF($F799="","",IFERROR(INDEX('CAT_CENTROS_COSTO'!$F$4:$F$28,MATCH($F799,'CAT_CENTROS_COSTO'!$A$4:$A$28,0)),"(sin catálogo)"))</f>
        <v/>
      </c>
      <c r="Y799" s="24">
        <f>IF($F799="","",IFERROR(INDEX('CAT_CENTROS_COSTO'!$D$4:$D$28,MATCH($F799,'CAT_CENTROS_COSTO'!$A$4:$A$28,0)),"(sin catálogo)"))</f>
        <v/>
      </c>
      <c r="Z799" s="24">
        <f>IF($F799="","",IF((IFERROR(INDEX('CAT_CENTROS_COSTO'!$E$4:$E$28,MATCH($F799,'CAT_CENTROS_COSTO'!$A$4:$A$28,0)),""))&lt;&gt;"",IFERROR(INDEX('CAT_CENTROS_COSTO'!$E$4:$E$28,MATCH($F799,'CAT_CENTROS_COSTO'!$A$4:$A$28,0)),""),$Y799))</f>
        <v/>
      </c>
      <c r="AA799" s="24">
        <f>IF($F799="","",IFERROR(INDEX('CAT_CENTROS_COSTO'!$G$4:$G$28,MATCH($F799,'CAT_CENTROS_COSTO'!$A$4:$A$28,0)),"(sin catálogo)"))</f>
        <v/>
      </c>
      <c r="AB799" s="24">
        <f>IF($G799="","",IFERROR(INDEX('CAT_PUESTOS'!$B$4:$B$23,MATCH($G799,'CAT_PUESTOS'!$A$4:$A$23,0)),"(sin catálogo)"))</f>
        <v/>
      </c>
      <c r="AC799" s="24">
        <f>IF($H799="","",IFERROR(INDEX('CAT_ACTIVIDADES'!$B$4:$B$26,MATCH($H799,'CAT_ACTIVIDADES'!$A$4:$A$26,0)),"(sin catálogo)"))</f>
        <v/>
      </c>
      <c r="AD799" s="26">
        <f>IF($J799="","",TODAY()-$J799)</f>
        <v/>
      </c>
      <c r="AE799" s="26">
        <f>IF($J799="","",IF($J799&lt;=TODAY(),COUNTIFS(cal_fechas,"&gt;="&amp;$J799,cal_fechas,"&lt;"&amp;TODAY(),cal_habil,"sí"),-COUNTIFS(cal_fechas,"&gt;="&amp;TODAY(),cal_fechas,"&lt;"&amp;$J799,cal_habil,"sí")))</f>
        <v/>
      </c>
      <c r="AF799" s="24">
        <f>IF($AE799="","",IF($AE799&lt;0,"FUTURO",IF($AE799&gt;p_dias_backlog_max,"BACKLOG","MES CORRIENTE")))</f>
        <v/>
      </c>
      <c r="AG799" s="24">
        <f>IF($AE799="",FALSE,AND($AE799&gt;p_dias_backlog_min,$AE799&lt;=p_dias_backlog_max))</f>
        <v/>
      </c>
      <c r="AH799" s="4" t="n"/>
      <c r="AI799" s="24">
        <f>IF($AH799="","",IF((IFERROR(INDEX('ASIGNACIONES'!$J$4:$J$451,MATCH($O799&amp;"|"&amp;$S799&amp;"|"&amp;$AH799,'ASIGNACIONES'!$N$4:$N$451,0)),""))=0,"",IFERROR(INDEX('ASIGNACIONES'!$J$4:$J$451,MATCH($O799&amp;"|"&amp;$S799&amp;"|"&amp;$AH799,'ASIGNACIONES'!$N$4:$N$451,0)),"")))</f>
        <v/>
      </c>
      <c r="AJ799" s="42">
        <f>IF($AH799="","",SUMIFS('ORDENES'!$M$4:$M$1203,'ORDENES'!$AH$4:$AH$1203,$AH799,'ORDENES'!$O$4:$O$1203,$O799,'ORDENES'!$S$4:$S$1203,$S799))</f>
        <v/>
      </c>
      <c r="AK799" s="42">
        <f>IF($AJ799="","",p_factor_productividad*IFERROR(INDEX('ASIGNACIONES'!$M$4:$M$451,MATCH($O799&amp;"|"&amp;$S799&amp;"|"&amp;$AH799,'ASIGNACIONES'!$N$4:$N$451,0)),0)-$AJ799)</f>
        <v/>
      </c>
      <c r="AL799" s="32">
        <f>IF($A799="","",IFERROR(INDEX('2_IMPORTAR_EJECUCION'!$F$9:$F$1208,MATCH($AU799,'2_IMPORTAR_EJECUCION'!$J$9:$J$1208,0)),0))</f>
        <v/>
      </c>
      <c r="AM799" s="32">
        <f>IF($A799="","",MAX(0,IFERROR(INDEX('2_IMPORTAR_EJECUCION'!$H$9:$H$1208,MATCH($AU799,'2_IMPORTAR_EJECUCION'!$J$9:$J$1208,0)),0)-$AL799))</f>
        <v/>
      </c>
      <c r="AN799" s="32">
        <f>IF($A799="","",$AL799+$AM799)</f>
        <v/>
      </c>
      <c r="AO799" s="24">
        <f>IF($A799="","",IF(OR((IFERROR(INDEX('CAT_ACTIVIDADES'!$D$4:$D$26,MATCH($H799,'CAT_ACTIVIDADES'!$A$4:$A$26,0)),""))=0,(IFERROR(INDEX('CAT_ACTIVIDADES'!$D$4:$D$26,MATCH($H799,'CAT_ACTIVIDADES'!$A$4:$A$26,0)),""))=""),"SIN CLASIFICAR",IFERROR(INDEX('CAT_ACTIVIDADES'!$D$4:$D$26,MATCH($H799,'CAT_ACTIVIDADES'!$A$4:$A$26,0)),"")))</f>
        <v/>
      </c>
      <c r="AP799" s="4" t="n"/>
      <c r="AQ799" s="4" t="n"/>
      <c r="AR799" s="4" t="n"/>
      <c r="AS799" s="24">
        <f>IF($AR799="","",HYPERLINK(p_ruta_base_checklists&amp;$AR799,"abrir"))</f>
        <v/>
      </c>
      <c r="AT799" s="4" t="n"/>
      <c r="AU799" s="24">
        <f>IF($A799="","",$A799&amp;IF($B799="","0010",$B799))</f>
        <v/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41" t="n"/>
      <c r="K800" s="5" t="n"/>
      <c r="L800" s="18" t="n"/>
      <c r="M800" s="24">
        <f>IF($A800="","",IFERROR(INDEX('AJUSTES'!$B$4:$B$303,MATCH($AU800,'AJUSTES'!$A$4:$A$303,0)),IF($K800="","",$K800)))</f>
        <v/>
      </c>
      <c r="N800" s="24">
        <f>IF($A800="","",IFERROR(INDEX('CAT_ESTADOS_ERP'!$B$4:$B$22,MATCH(IFERROR(INDEX('2_IMPORTAR_EJECUCION'!$C$9:$C$1208,MATCH($AU800,'2_IMPORTAR_EJECUCION'!$J$9:$J$1208,0)),""),'CAT_ESTADOS_ERP'!$A$4:$A$22,0)),"Pendiente"))</f>
        <v/>
      </c>
      <c r="O800" s="24">
        <f>IF($J800="","",YEAR($J800+4-WEEKDAY($J800,2))&amp;"-S"&amp;TEXT(_xlfn.ISOWEEKNUM($J800),"00"))</f>
        <v/>
      </c>
      <c r="P800" s="24">
        <f>IF($J800="","",YEAR($J800))</f>
        <v/>
      </c>
      <c r="Q800" s="24">
        <f>IF($J800="","",MONTH($J800))</f>
        <v/>
      </c>
      <c r="R800" s="24">
        <f>IF($J800="","",$P800&amp;"-"&amp;TEXT($Q800,"00"))</f>
        <v/>
      </c>
      <c r="S800" s="24">
        <f>IF($J800="","",INDEX(lista_dias,WEEKDAY($J800,2)))</f>
        <v/>
      </c>
      <c r="T800" s="24">
        <f>IF($J800="","",IFERROR(INDEX('CALENDARIO'!$C$15:$C$214,MATCH(TEXT($J800,"yyyy-mm-dd")&amp;"|"&amp;$Y800&amp;"|"&amp;$Z800,'CALENDARIO'!$G$15:$G$214,0)),IFERROR(INDEX('CALENDARIO'!$C$15:$C$214,MATCH(TEXT($J800,"yyyy-mm-dd")&amp;"|"&amp;$Y800&amp;"|",'CALENDARIO'!$G$15:$G$214,0)),IFERROR(INDEX('CALENDARIO'!$C$15:$C$214,MATCH(TEXT($J800,"yyyy-mm-dd")&amp;"||",'CALENDARIO'!$G$15:$G$214,0)),INDEX(patronHabil,WEEKDAY($J800,2))))))</f>
        <v/>
      </c>
      <c r="U800" s="24">
        <f>IF($I800="","",IFERROR(INDEX('CAT_TIPOS_OT'!$C$4:$C$23,MATCH($I800,'CAT_TIPOS_OT'!$A$4:$A$23,0)),"sin_clasificar"))</f>
        <v/>
      </c>
      <c r="V800" s="24">
        <f>IF($I800="","",IF(IFERROR(INDEX('CAT_TIPOS_OT'!$D$4:$D$23,MATCH($I800,'CAT_TIPOS_OT'!$A$4:$A$23,0)),"SIN CLASIFICAR")="","SIN CLASIFICAR",IFERROR(INDEX('CAT_TIPOS_OT'!$D$4:$D$23,MATCH($I800,'CAT_TIPOS_OT'!$A$4:$A$23,0)),"SIN CLASIFICAR")))</f>
        <v/>
      </c>
      <c r="W800" s="24">
        <f>IF($H800="","",IF(IFERROR(INDEX('CAT_ACTIVIDADES'!$F$4:$F$26,MATCH($H800,'CAT_ACTIVIDADES'!$A$4:$A$26,0)),"")=0,"",IFERROR(INDEX('CAT_ACTIVIDADES'!$F$4:$F$26,MATCH($H800,'CAT_ACTIVIDADES'!$A$4:$A$26,0)),"")))</f>
        <v/>
      </c>
      <c r="X800" s="24">
        <f>IF($F800="","",IFERROR(INDEX('CAT_CENTROS_COSTO'!$F$4:$F$28,MATCH($F800,'CAT_CENTROS_COSTO'!$A$4:$A$28,0)),"(sin catálogo)"))</f>
        <v/>
      </c>
      <c r="Y800" s="24">
        <f>IF($F800="","",IFERROR(INDEX('CAT_CENTROS_COSTO'!$D$4:$D$28,MATCH($F800,'CAT_CENTROS_COSTO'!$A$4:$A$28,0)),"(sin catálogo)"))</f>
        <v/>
      </c>
      <c r="Z800" s="24">
        <f>IF($F800="","",IF((IFERROR(INDEX('CAT_CENTROS_COSTO'!$E$4:$E$28,MATCH($F800,'CAT_CENTROS_COSTO'!$A$4:$A$28,0)),""))&lt;&gt;"",IFERROR(INDEX('CAT_CENTROS_COSTO'!$E$4:$E$28,MATCH($F800,'CAT_CENTROS_COSTO'!$A$4:$A$28,0)),""),$Y800))</f>
        <v/>
      </c>
      <c r="AA800" s="24">
        <f>IF($F800="","",IFERROR(INDEX('CAT_CENTROS_COSTO'!$G$4:$G$28,MATCH($F800,'CAT_CENTROS_COSTO'!$A$4:$A$28,0)),"(sin catálogo)"))</f>
        <v/>
      </c>
      <c r="AB800" s="24">
        <f>IF($G800="","",IFERROR(INDEX('CAT_PUESTOS'!$B$4:$B$23,MATCH($G800,'CAT_PUESTOS'!$A$4:$A$23,0)),"(sin catálogo)"))</f>
        <v/>
      </c>
      <c r="AC800" s="24">
        <f>IF($H800="","",IFERROR(INDEX('CAT_ACTIVIDADES'!$B$4:$B$26,MATCH($H800,'CAT_ACTIVIDADES'!$A$4:$A$26,0)),"(sin catálogo)"))</f>
        <v/>
      </c>
      <c r="AD800" s="26">
        <f>IF($J800="","",TODAY()-$J800)</f>
        <v/>
      </c>
      <c r="AE800" s="26">
        <f>IF($J800="","",IF($J800&lt;=TODAY(),COUNTIFS(cal_fechas,"&gt;="&amp;$J800,cal_fechas,"&lt;"&amp;TODAY(),cal_habil,"sí"),-COUNTIFS(cal_fechas,"&gt;="&amp;TODAY(),cal_fechas,"&lt;"&amp;$J800,cal_habil,"sí")))</f>
        <v/>
      </c>
      <c r="AF800" s="24">
        <f>IF($AE800="","",IF($AE800&lt;0,"FUTURO",IF($AE800&gt;p_dias_backlog_max,"BACKLOG","MES CORRIENTE")))</f>
        <v/>
      </c>
      <c r="AG800" s="24">
        <f>IF($AE800="",FALSE,AND($AE800&gt;p_dias_backlog_min,$AE800&lt;=p_dias_backlog_max))</f>
        <v/>
      </c>
      <c r="AH800" s="4" t="n"/>
      <c r="AI800" s="24">
        <f>IF($AH800="","",IF((IFERROR(INDEX('ASIGNACIONES'!$J$4:$J$451,MATCH($O800&amp;"|"&amp;$S800&amp;"|"&amp;$AH800,'ASIGNACIONES'!$N$4:$N$451,0)),""))=0,"",IFERROR(INDEX('ASIGNACIONES'!$J$4:$J$451,MATCH($O800&amp;"|"&amp;$S800&amp;"|"&amp;$AH800,'ASIGNACIONES'!$N$4:$N$451,0)),"")))</f>
        <v/>
      </c>
      <c r="AJ800" s="42">
        <f>IF($AH800="","",SUMIFS('ORDENES'!$M$4:$M$1203,'ORDENES'!$AH$4:$AH$1203,$AH800,'ORDENES'!$O$4:$O$1203,$O800,'ORDENES'!$S$4:$S$1203,$S800))</f>
        <v/>
      </c>
      <c r="AK800" s="42">
        <f>IF($AJ800="","",p_factor_productividad*IFERROR(INDEX('ASIGNACIONES'!$M$4:$M$451,MATCH($O800&amp;"|"&amp;$S800&amp;"|"&amp;$AH800,'ASIGNACIONES'!$N$4:$N$451,0)),0)-$AJ800)</f>
        <v/>
      </c>
      <c r="AL800" s="32">
        <f>IF($A800="","",IFERROR(INDEX('2_IMPORTAR_EJECUCION'!$F$9:$F$1208,MATCH($AU800,'2_IMPORTAR_EJECUCION'!$J$9:$J$1208,0)),0))</f>
        <v/>
      </c>
      <c r="AM800" s="32">
        <f>IF($A800="","",MAX(0,IFERROR(INDEX('2_IMPORTAR_EJECUCION'!$H$9:$H$1208,MATCH($AU800,'2_IMPORTAR_EJECUCION'!$J$9:$J$1208,0)),0)-$AL800))</f>
        <v/>
      </c>
      <c r="AN800" s="32">
        <f>IF($A800="","",$AL800+$AM800)</f>
        <v/>
      </c>
      <c r="AO800" s="24">
        <f>IF($A800="","",IF(OR((IFERROR(INDEX('CAT_ACTIVIDADES'!$D$4:$D$26,MATCH($H800,'CAT_ACTIVIDADES'!$A$4:$A$26,0)),""))=0,(IFERROR(INDEX('CAT_ACTIVIDADES'!$D$4:$D$26,MATCH($H800,'CAT_ACTIVIDADES'!$A$4:$A$26,0)),""))=""),"SIN CLASIFICAR",IFERROR(INDEX('CAT_ACTIVIDADES'!$D$4:$D$26,MATCH($H800,'CAT_ACTIVIDADES'!$A$4:$A$26,0)),"")))</f>
        <v/>
      </c>
      <c r="AP800" s="4" t="n"/>
      <c r="AQ800" s="4" t="n"/>
      <c r="AR800" s="4" t="n"/>
      <c r="AS800" s="24">
        <f>IF($AR800="","",HYPERLINK(p_ruta_base_checklists&amp;$AR800,"abrir"))</f>
        <v/>
      </c>
      <c r="AT800" s="4" t="n"/>
      <c r="AU800" s="24">
        <f>IF($A800="","",$A800&amp;IF($B800="","0010",$B800))</f>
        <v/>
      </c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41" t="n"/>
      <c r="K801" s="5" t="n"/>
      <c r="L801" s="18" t="n"/>
      <c r="M801" s="24">
        <f>IF($A801="","",IFERROR(INDEX('AJUSTES'!$B$4:$B$303,MATCH($AU801,'AJUSTES'!$A$4:$A$303,0)),IF($K801="","",$K801)))</f>
        <v/>
      </c>
      <c r="N801" s="24">
        <f>IF($A801="","",IFERROR(INDEX('CAT_ESTADOS_ERP'!$B$4:$B$22,MATCH(IFERROR(INDEX('2_IMPORTAR_EJECUCION'!$C$9:$C$1208,MATCH($AU801,'2_IMPORTAR_EJECUCION'!$J$9:$J$1208,0)),""),'CAT_ESTADOS_ERP'!$A$4:$A$22,0)),"Pendiente"))</f>
        <v/>
      </c>
      <c r="O801" s="24">
        <f>IF($J801="","",YEAR($J801+4-WEEKDAY($J801,2))&amp;"-S"&amp;TEXT(_xlfn.ISOWEEKNUM($J801),"00"))</f>
        <v/>
      </c>
      <c r="P801" s="24">
        <f>IF($J801="","",YEAR($J801))</f>
        <v/>
      </c>
      <c r="Q801" s="24">
        <f>IF($J801="","",MONTH($J801))</f>
        <v/>
      </c>
      <c r="R801" s="24">
        <f>IF($J801="","",$P801&amp;"-"&amp;TEXT($Q801,"00"))</f>
        <v/>
      </c>
      <c r="S801" s="24">
        <f>IF($J801="","",INDEX(lista_dias,WEEKDAY($J801,2)))</f>
        <v/>
      </c>
      <c r="T801" s="24">
        <f>IF($J801="","",IFERROR(INDEX('CALENDARIO'!$C$15:$C$214,MATCH(TEXT($J801,"yyyy-mm-dd")&amp;"|"&amp;$Y801&amp;"|"&amp;$Z801,'CALENDARIO'!$G$15:$G$214,0)),IFERROR(INDEX('CALENDARIO'!$C$15:$C$214,MATCH(TEXT($J801,"yyyy-mm-dd")&amp;"|"&amp;$Y801&amp;"|",'CALENDARIO'!$G$15:$G$214,0)),IFERROR(INDEX('CALENDARIO'!$C$15:$C$214,MATCH(TEXT($J801,"yyyy-mm-dd")&amp;"||",'CALENDARIO'!$G$15:$G$214,0)),INDEX(patronHabil,WEEKDAY($J801,2))))))</f>
        <v/>
      </c>
      <c r="U801" s="24">
        <f>IF($I801="","",IFERROR(INDEX('CAT_TIPOS_OT'!$C$4:$C$23,MATCH($I801,'CAT_TIPOS_OT'!$A$4:$A$23,0)),"sin_clasificar"))</f>
        <v/>
      </c>
      <c r="V801" s="24">
        <f>IF($I801="","",IF(IFERROR(INDEX('CAT_TIPOS_OT'!$D$4:$D$23,MATCH($I801,'CAT_TIPOS_OT'!$A$4:$A$23,0)),"SIN CLASIFICAR")="","SIN CLASIFICAR",IFERROR(INDEX('CAT_TIPOS_OT'!$D$4:$D$23,MATCH($I801,'CAT_TIPOS_OT'!$A$4:$A$23,0)),"SIN CLASIFICAR")))</f>
        <v/>
      </c>
      <c r="W801" s="24">
        <f>IF($H801="","",IF(IFERROR(INDEX('CAT_ACTIVIDADES'!$F$4:$F$26,MATCH($H801,'CAT_ACTIVIDADES'!$A$4:$A$26,0)),"")=0,"",IFERROR(INDEX('CAT_ACTIVIDADES'!$F$4:$F$26,MATCH($H801,'CAT_ACTIVIDADES'!$A$4:$A$26,0)),"")))</f>
        <v/>
      </c>
      <c r="X801" s="24">
        <f>IF($F801="","",IFERROR(INDEX('CAT_CENTROS_COSTO'!$F$4:$F$28,MATCH($F801,'CAT_CENTROS_COSTO'!$A$4:$A$28,0)),"(sin catálogo)"))</f>
        <v/>
      </c>
      <c r="Y801" s="24">
        <f>IF($F801="","",IFERROR(INDEX('CAT_CENTROS_COSTO'!$D$4:$D$28,MATCH($F801,'CAT_CENTROS_COSTO'!$A$4:$A$28,0)),"(sin catálogo)"))</f>
        <v/>
      </c>
      <c r="Z801" s="24">
        <f>IF($F801="","",IF((IFERROR(INDEX('CAT_CENTROS_COSTO'!$E$4:$E$28,MATCH($F801,'CAT_CENTROS_COSTO'!$A$4:$A$28,0)),""))&lt;&gt;"",IFERROR(INDEX('CAT_CENTROS_COSTO'!$E$4:$E$28,MATCH($F801,'CAT_CENTROS_COSTO'!$A$4:$A$28,0)),""),$Y801))</f>
        <v/>
      </c>
      <c r="AA801" s="24">
        <f>IF($F801="","",IFERROR(INDEX('CAT_CENTROS_COSTO'!$G$4:$G$28,MATCH($F801,'CAT_CENTROS_COSTO'!$A$4:$A$28,0)),"(sin catálogo)"))</f>
        <v/>
      </c>
      <c r="AB801" s="24">
        <f>IF($G801="","",IFERROR(INDEX('CAT_PUESTOS'!$B$4:$B$23,MATCH($G801,'CAT_PUESTOS'!$A$4:$A$23,0)),"(sin catálogo)"))</f>
        <v/>
      </c>
      <c r="AC801" s="24">
        <f>IF($H801="","",IFERROR(INDEX('CAT_ACTIVIDADES'!$B$4:$B$26,MATCH($H801,'CAT_ACTIVIDADES'!$A$4:$A$26,0)),"(sin catálogo)"))</f>
        <v/>
      </c>
      <c r="AD801" s="26">
        <f>IF($J801="","",TODAY()-$J801)</f>
        <v/>
      </c>
      <c r="AE801" s="26">
        <f>IF($J801="","",IF($J801&lt;=TODAY(),COUNTIFS(cal_fechas,"&gt;="&amp;$J801,cal_fechas,"&lt;"&amp;TODAY(),cal_habil,"sí"),-COUNTIFS(cal_fechas,"&gt;="&amp;TODAY(),cal_fechas,"&lt;"&amp;$J801,cal_habil,"sí")))</f>
        <v/>
      </c>
      <c r="AF801" s="24">
        <f>IF($AE801="","",IF($AE801&lt;0,"FUTURO",IF($AE801&gt;p_dias_backlog_max,"BACKLOG","MES CORRIENTE")))</f>
        <v/>
      </c>
      <c r="AG801" s="24">
        <f>IF($AE801="",FALSE,AND($AE801&gt;p_dias_backlog_min,$AE801&lt;=p_dias_backlog_max))</f>
        <v/>
      </c>
      <c r="AH801" s="4" t="n"/>
      <c r="AI801" s="24">
        <f>IF($AH801="","",IF((IFERROR(INDEX('ASIGNACIONES'!$J$4:$J$451,MATCH($O801&amp;"|"&amp;$S801&amp;"|"&amp;$AH801,'ASIGNACIONES'!$N$4:$N$451,0)),""))=0,"",IFERROR(INDEX('ASIGNACIONES'!$J$4:$J$451,MATCH($O801&amp;"|"&amp;$S801&amp;"|"&amp;$AH801,'ASIGNACIONES'!$N$4:$N$451,0)),"")))</f>
        <v/>
      </c>
      <c r="AJ801" s="42">
        <f>IF($AH801="","",SUMIFS('ORDENES'!$M$4:$M$1203,'ORDENES'!$AH$4:$AH$1203,$AH801,'ORDENES'!$O$4:$O$1203,$O801,'ORDENES'!$S$4:$S$1203,$S801))</f>
        <v/>
      </c>
      <c r="AK801" s="42">
        <f>IF($AJ801="","",p_factor_productividad*IFERROR(INDEX('ASIGNACIONES'!$M$4:$M$451,MATCH($O801&amp;"|"&amp;$S801&amp;"|"&amp;$AH801,'ASIGNACIONES'!$N$4:$N$451,0)),0)-$AJ801)</f>
        <v/>
      </c>
      <c r="AL801" s="32">
        <f>IF($A801="","",IFERROR(INDEX('2_IMPORTAR_EJECUCION'!$F$9:$F$1208,MATCH($AU801,'2_IMPORTAR_EJECUCION'!$J$9:$J$1208,0)),0))</f>
        <v/>
      </c>
      <c r="AM801" s="32">
        <f>IF($A801="","",MAX(0,IFERROR(INDEX('2_IMPORTAR_EJECUCION'!$H$9:$H$1208,MATCH($AU801,'2_IMPORTAR_EJECUCION'!$J$9:$J$1208,0)),0)-$AL801))</f>
        <v/>
      </c>
      <c r="AN801" s="32">
        <f>IF($A801="","",$AL801+$AM801)</f>
        <v/>
      </c>
      <c r="AO801" s="24">
        <f>IF($A801="","",IF(OR((IFERROR(INDEX('CAT_ACTIVIDADES'!$D$4:$D$26,MATCH($H801,'CAT_ACTIVIDADES'!$A$4:$A$26,0)),""))=0,(IFERROR(INDEX('CAT_ACTIVIDADES'!$D$4:$D$26,MATCH($H801,'CAT_ACTIVIDADES'!$A$4:$A$26,0)),""))=""),"SIN CLASIFICAR",IFERROR(INDEX('CAT_ACTIVIDADES'!$D$4:$D$26,MATCH($H801,'CAT_ACTIVIDADES'!$A$4:$A$26,0)),"")))</f>
        <v/>
      </c>
      <c r="AP801" s="4" t="n"/>
      <c r="AQ801" s="4" t="n"/>
      <c r="AR801" s="4" t="n"/>
      <c r="AS801" s="24">
        <f>IF($AR801="","",HYPERLINK(p_ruta_base_checklists&amp;$AR801,"abrir"))</f>
        <v/>
      </c>
      <c r="AT801" s="4" t="n"/>
      <c r="AU801" s="24">
        <f>IF($A801="","",$A801&amp;IF($B801="","0010",$B801))</f>
        <v/>
      </c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41" t="n"/>
      <c r="K802" s="5" t="n"/>
      <c r="L802" s="18" t="n"/>
      <c r="M802" s="24">
        <f>IF($A802="","",IFERROR(INDEX('AJUSTES'!$B$4:$B$303,MATCH($AU802,'AJUSTES'!$A$4:$A$303,0)),IF($K802="","",$K802)))</f>
        <v/>
      </c>
      <c r="N802" s="24">
        <f>IF($A802="","",IFERROR(INDEX('CAT_ESTADOS_ERP'!$B$4:$B$22,MATCH(IFERROR(INDEX('2_IMPORTAR_EJECUCION'!$C$9:$C$1208,MATCH($AU802,'2_IMPORTAR_EJECUCION'!$J$9:$J$1208,0)),""),'CAT_ESTADOS_ERP'!$A$4:$A$22,0)),"Pendiente"))</f>
        <v/>
      </c>
      <c r="O802" s="24">
        <f>IF($J802="","",YEAR($J802+4-WEEKDAY($J802,2))&amp;"-S"&amp;TEXT(_xlfn.ISOWEEKNUM($J802),"00"))</f>
        <v/>
      </c>
      <c r="P802" s="24">
        <f>IF($J802="","",YEAR($J802))</f>
        <v/>
      </c>
      <c r="Q802" s="24">
        <f>IF($J802="","",MONTH($J802))</f>
        <v/>
      </c>
      <c r="R802" s="24">
        <f>IF($J802="","",$P802&amp;"-"&amp;TEXT($Q802,"00"))</f>
        <v/>
      </c>
      <c r="S802" s="24">
        <f>IF($J802="","",INDEX(lista_dias,WEEKDAY($J802,2)))</f>
        <v/>
      </c>
      <c r="T802" s="24">
        <f>IF($J802="","",IFERROR(INDEX('CALENDARIO'!$C$15:$C$214,MATCH(TEXT($J802,"yyyy-mm-dd")&amp;"|"&amp;$Y802&amp;"|"&amp;$Z802,'CALENDARIO'!$G$15:$G$214,0)),IFERROR(INDEX('CALENDARIO'!$C$15:$C$214,MATCH(TEXT($J802,"yyyy-mm-dd")&amp;"|"&amp;$Y802&amp;"|",'CALENDARIO'!$G$15:$G$214,0)),IFERROR(INDEX('CALENDARIO'!$C$15:$C$214,MATCH(TEXT($J802,"yyyy-mm-dd")&amp;"||",'CALENDARIO'!$G$15:$G$214,0)),INDEX(patronHabil,WEEKDAY($J802,2))))))</f>
        <v/>
      </c>
      <c r="U802" s="24">
        <f>IF($I802="","",IFERROR(INDEX('CAT_TIPOS_OT'!$C$4:$C$23,MATCH($I802,'CAT_TIPOS_OT'!$A$4:$A$23,0)),"sin_clasificar"))</f>
        <v/>
      </c>
      <c r="V802" s="24">
        <f>IF($I802="","",IF(IFERROR(INDEX('CAT_TIPOS_OT'!$D$4:$D$23,MATCH($I802,'CAT_TIPOS_OT'!$A$4:$A$23,0)),"SIN CLASIFICAR")="","SIN CLASIFICAR",IFERROR(INDEX('CAT_TIPOS_OT'!$D$4:$D$23,MATCH($I802,'CAT_TIPOS_OT'!$A$4:$A$23,0)),"SIN CLASIFICAR")))</f>
        <v/>
      </c>
      <c r="W802" s="24">
        <f>IF($H802="","",IF(IFERROR(INDEX('CAT_ACTIVIDADES'!$F$4:$F$26,MATCH($H802,'CAT_ACTIVIDADES'!$A$4:$A$26,0)),"")=0,"",IFERROR(INDEX('CAT_ACTIVIDADES'!$F$4:$F$26,MATCH($H802,'CAT_ACTIVIDADES'!$A$4:$A$26,0)),"")))</f>
        <v/>
      </c>
      <c r="X802" s="24">
        <f>IF($F802="","",IFERROR(INDEX('CAT_CENTROS_COSTO'!$F$4:$F$28,MATCH($F802,'CAT_CENTROS_COSTO'!$A$4:$A$28,0)),"(sin catálogo)"))</f>
        <v/>
      </c>
      <c r="Y802" s="24">
        <f>IF($F802="","",IFERROR(INDEX('CAT_CENTROS_COSTO'!$D$4:$D$28,MATCH($F802,'CAT_CENTROS_COSTO'!$A$4:$A$28,0)),"(sin catálogo)"))</f>
        <v/>
      </c>
      <c r="Z802" s="24">
        <f>IF($F802="","",IF((IFERROR(INDEX('CAT_CENTROS_COSTO'!$E$4:$E$28,MATCH($F802,'CAT_CENTROS_COSTO'!$A$4:$A$28,0)),""))&lt;&gt;"",IFERROR(INDEX('CAT_CENTROS_COSTO'!$E$4:$E$28,MATCH($F802,'CAT_CENTROS_COSTO'!$A$4:$A$28,0)),""),$Y802))</f>
        <v/>
      </c>
      <c r="AA802" s="24">
        <f>IF($F802="","",IFERROR(INDEX('CAT_CENTROS_COSTO'!$G$4:$G$28,MATCH($F802,'CAT_CENTROS_COSTO'!$A$4:$A$28,0)),"(sin catálogo)"))</f>
        <v/>
      </c>
      <c r="AB802" s="24">
        <f>IF($G802="","",IFERROR(INDEX('CAT_PUESTOS'!$B$4:$B$23,MATCH($G802,'CAT_PUESTOS'!$A$4:$A$23,0)),"(sin catálogo)"))</f>
        <v/>
      </c>
      <c r="AC802" s="24">
        <f>IF($H802="","",IFERROR(INDEX('CAT_ACTIVIDADES'!$B$4:$B$26,MATCH($H802,'CAT_ACTIVIDADES'!$A$4:$A$26,0)),"(sin catálogo)"))</f>
        <v/>
      </c>
      <c r="AD802" s="26">
        <f>IF($J802="","",TODAY()-$J802)</f>
        <v/>
      </c>
      <c r="AE802" s="26">
        <f>IF($J802="","",IF($J802&lt;=TODAY(),COUNTIFS(cal_fechas,"&gt;="&amp;$J802,cal_fechas,"&lt;"&amp;TODAY(),cal_habil,"sí"),-COUNTIFS(cal_fechas,"&gt;="&amp;TODAY(),cal_fechas,"&lt;"&amp;$J802,cal_habil,"sí")))</f>
        <v/>
      </c>
      <c r="AF802" s="24">
        <f>IF($AE802="","",IF($AE802&lt;0,"FUTURO",IF($AE802&gt;p_dias_backlog_max,"BACKLOG","MES CORRIENTE")))</f>
        <v/>
      </c>
      <c r="AG802" s="24">
        <f>IF($AE802="",FALSE,AND($AE802&gt;p_dias_backlog_min,$AE802&lt;=p_dias_backlog_max))</f>
        <v/>
      </c>
      <c r="AH802" s="4" t="n"/>
      <c r="AI802" s="24">
        <f>IF($AH802="","",IF((IFERROR(INDEX('ASIGNACIONES'!$J$4:$J$451,MATCH($O802&amp;"|"&amp;$S802&amp;"|"&amp;$AH802,'ASIGNACIONES'!$N$4:$N$451,0)),""))=0,"",IFERROR(INDEX('ASIGNACIONES'!$J$4:$J$451,MATCH($O802&amp;"|"&amp;$S802&amp;"|"&amp;$AH802,'ASIGNACIONES'!$N$4:$N$451,0)),"")))</f>
        <v/>
      </c>
      <c r="AJ802" s="42">
        <f>IF($AH802="","",SUMIFS('ORDENES'!$M$4:$M$1203,'ORDENES'!$AH$4:$AH$1203,$AH802,'ORDENES'!$O$4:$O$1203,$O802,'ORDENES'!$S$4:$S$1203,$S802))</f>
        <v/>
      </c>
      <c r="AK802" s="42">
        <f>IF($AJ802="","",p_factor_productividad*IFERROR(INDEX('ASIGNACIONES'!$M$4:$M$451,MATCH($O802&amp;"|"&amp;$S802&amp;"|"&amp;$AH802,'ASIGNACIONES'!$N$4:$N$451,0)),0)-$AJ802)</f>
        <v/>
      </c>
      <c r="AL802" s="32">
        <f>IF($A802="","",IFERROR(INDEX('2_IMPORTAR_EJECUCION'!$F$9:$F$1208,MATCH($AU802,'2_IMPORTAR_EJECUCION'!$J$9:$J$1208,0)),0))</f>
        <v/>
      </c>
      <c r="AM802" s="32">
        <f>IF($A802="","",MAX(0,IFERROR(INDEX('2_IMPORTAR_EJECUCION'!$H$9:$H$1208,MATCH($AU802,'2_IMPORTAR_EJECUCION'!$J$9:$J$1208,0)),0)-$AL802))</f>
        <v/>
      </c>
      <c r="AN802" s="32">
        <f>IF($A802="","",$AL802+$AM802)</f>
        <v/>
      </c>
      <c r="AO802" s="24">
        <f>IF($A802="","",IF(OR((IFERROR(INDEX('CAT_ACTIVIDADES'!$D$4:$D$26,MATCH($H802,'CAT_ACTIVIDADES'!$A$4:$A$26,0)),""))=0,(IFERROR(INDEX('CAT_ACTIVIDADES'!$D$4:$D$26,MATCH($H802,'CAT_ACTIVIDADES'!$A$4:$A$26,0)),""))=""),"SIN CLASIFICAR",IFERROR(INDEX('CAT_ACTIVIDADES'!$D$4:$D$26,MATCH($H802,'CAT_ACTIVIDADES'!$A$4:$A$26,0)),"")))</f>
        <v/>
      </c>
      <c r="AP802" s="4" t="n"/>
      <c r="AQ802" s="4" t="n"/>
      <c r="AR802" s="4" t="n"/>
      <c r="AS802" s="24">
        <f>IF($AR802="","",HYPERLINK(p_ruta_base_checklists&amp;$AR802,"abrir"))</f>
        <v/>
      </c>
      <c r="AT802" s="4" t="n"/>
      <c r="AU802" s="24">
        <f>IF($A802="","",$A802&amp;IF($B802="","0010",$B802))</f>
        <v/>
      </c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41" t="n"/>
      <c r="K803" s="5" t="n"/>
      <c r="L803" s="18" t="n"/>
      <c r="M803" s="24">
        <f>IF($A803="","",IFERROR(INDEX('AJUSTES'!$B$4:$B$303,MATCH($AU803,'AJUSTES'!$A$4:$A$303,0)),IF($K803="","",$K803)))</f>
        <v/>
      </c>
      <c r="N803" s="24">
        <f>IF($A803="","",IFERROR(INDEX('CAT_ESTADOS_ERP'!$B$4:$B$22,MATCH(IFERROR(INDEX('2_IMPORTAR_EJECUCION'!$C$9:$C$1208,MATCH($AU803,'2_IMPORTAR_EJECUCION'!$J$9:$J$1208,0)),""),'CAT_ESTADOS_ERP'!$A$4:$A$22,0)),"Pendiente"))</f>
        <v/>
      </c>
      <c r="O803" s="24">
        <f>IF($J803="","",YEAR($J803+4-WEEKDAY($J803,2))&amp;"-S"&amp;TEXT(_xlfn.ISOWEEKNUM($J803),"00"))</f>
        <v/>
      </c>
      <c r="P803" s="24">
        <f>IF($J803="","",YEAR($J803))</f>
        <v/>
      </c>
      <c r="Q803" s="24">
        <f>IF($J803="","",MONTH($J803))</f>
        <v/>
      </c>
      <c r="R803" s="24">
        <f>IF($J803="","",$P803&amp;"-"&amp;TEXT($Q803,"00"))</f>
        <v/>
      </c>
      <c r="S803" s="24">
        <f>IF($J803="","",INDEX(lista_dias,WEEKDAY($J803,2)))</f>
        <v/>
      </c>
      <c r="T803" s="24">
        <f>IF($J803="","",IFERROR(INDEX('CALENDARIO'!$C$15:$C$214,MATCH(TEXT($J803,"yyyy-mm-dd")&amp;"|"&amp;$Y803&amp;"|"&amp;$Z803,'CALENDARIO'!$G$15:$G$214,0)),IFERROR(INDEX('CALENDARIO'!$C$15:$C$214,MATCH(TEXT($J803,"yyyy-mm-dd")&amp;"|"&amp;$Y803&amp;"|",'CALENDARIO'!$G$15:$G$214,0)),IFERROR(INDEX('CALENDARIO'!$C$15:$C$214,MATCH(TEXT($J803,"yyyy-mm-dd")&amp;"||",'CALENDARIO'!$G$15:$G$214,0)),INDEX(patronHabil,WEEKDAY($J803,2))))))</f>
        <v/>
      </c>
      <c r="U803" s="24">
        <f>IF($I803="","",IFERROR(INDEX('CAT_TIPOS_OT'!$C$4:$C$23,MATCH($I803,'CAT_TIPOS_OT'!$A$4:$A$23,0)),"sin_clasificar"))</f>
        <v/>
      </c>
      <c r="V803" s="24">
        <f>IF($I803="","",IF(IFERROR(INDEX('CAT_TIPOS_OT'!$D$4:$D$23,MATCH($I803,'CAT_TIPOS_OT'!$A$4:$A$23,0)),"SIN CLASIFICAR")="","SIN CLASIFICAR",IFERROR(INDEX('CAT_TIPOS_OT'!$D$4:$D$23,MATCH($I803,'CAT_TIPOS_OT'!$A$4:$A$23,0)),"SIN CLASIFICAR")))</f>
        <v/>
      </c>
      <c r="W803" s="24">
        <f>IF($H803="","",IF(IFERROR(INDEX('CAT_ACTIVIDADES'!$F$4:$F$26,MATCH($H803,'CAT_ACTIVIDADES'!$A$4:$A$26,0)),"")=0,"",IFERROR(INDEX('CAT_ACTIVIDADES'!$F$4:$F$26,MATCH($H803,'CAT_ACTIVIDADES'!$A$4:$A$26,0)),"")))</f>
        <v/>
      </c>
      <c r="X803" s="24">
        <f>IF($F803="","",IFERROR(INDEX('CAT_CENTROS_COSTO'!$F$4:$F$28,MATCH($F803,'CAT_CENTROS_COSTO'!$A$4:$A$28,0)),"(sin catálogo)"))</f>
        <v/>
      </c>
      <c r="Y803" s="24">
        <f>IF($F803="","",IFERROR(INDEX('CAT_CENTROS_COSTO'!$D$4:$D$28,MATCH($F803,'CAT_CENTROS_COSTO'!$A$4:$A$28,0)),"(sin catálogo)"))</f>
        <v/>
      </c>
      <c r="Z803" s="24">
        <f>IF($F803="","",IF((IFERROR(INDEX('CAT_CENTROS_COSTO'!$E$4:$E$28,MATCH($F803,'CAT_CENTROS_COSTO'!$A$4:$A$28,0)),""))&lt;&gt;"",IFERROR(INDEX('CAT_CENTROS_COSTO'!$E$4:$E$28,MATCH($F803,'CAT_CENTROS_COSTO'!$A$4:$A$28,0)),""),$Y803))</f>
        <v/>
      </c>
      <c r="AA803" s="24">
        <f>IF($F803="","",IFERROR(INDEX('CAT_CENTROS_COSTO'!$G$4:$G$28,MATCH($F803,'CAT_CENTROS_COSTO'!$A$4:$A$28,0)),"(sin catálogo)"))</f>
        <v/>
      </c>
      <c r="AB803" s="24">
        <f>IF($G803="","",IFERROR(INDEX('CAT_PUESTOS'!$B$4:$B$23,MATCH($G803,'CAT_PUESTOS'!$A$4:$A$23,0)),"(sin catálogo)"))</f>
        <v/>
      </c>
      <c r="AC803" s="24">
        <f>IF($H803="","",IFERROR(INDEX('CAT_ACTIVIDADES'!$B$4:$B$26,MATCH($H803,'CAT_ACTIVIDADES'!$A$4:$A$26,0)),"(sin catálogo)"))</f>
        <v/>
      </c>
      <c r="AD803" s="26">
        <f>IF($J803="","",TODAY()-$J803)</f>
        <v/>
      </c>
      <c r="AE803" s="26">
        <f>IF($J803="","",IF($J803&lt;=TODAY(),COUNTIFS(cal_fechas,"&gt;="&amp;$J803,cal_fechas,"&lt;"&amp;TODAY(),cal_habil,"sí"),-COUNTIFS(cal_fechas,"&gt;="&amp;TODAY(),cal_fechas,"&lt;"&amp;$J803,cal_habil,"sí")))</f>
        <v/>
      </c>
      <c r="AF803" s="24">
        <f>IF($AE803="","",IF($AE803&lt;0,"FUTURO",IF($AE803&gt;p_dias_backlog_max,"BACKLOG","MES CORRIENTE")))</f>
        <v/>
      </c>
      <c r="AG803" s="24">
        <f>IF($AE803="",FALSE,AND($AE803&gt;p_dias_backlog_min,$AE803&lt;=p_dias_backlog_max))</f>
        <v/>
      </c>
      <c r="AH803" s="4" t="n"/>
      <c r="AI803" s="24">
        <f>IF($AH803="","",IF((IFERROR(INDEX('ASIGNACIONES'!$J$4:$J$451,MATCH($O803&amp;"|"&amp;$S803&amp;"|"&amp;$AH803,'ASIGNACIONES'!$N$4:$N$451,0)),""))=0,"",IFERROR(INDEX('ASIGNACIONES'!$J$4:$J$451,MATCH($O803&amp;"|"&amp;$S803&amp;"|"&amp;$AH803,'ASIGNACIONES'!$N$4:$N$451,0)),"")))</f>
        <v/>
      </c>
      <c r="AJ803" s="42">
        <f>IF($AH803="","",SUMIFS('ORDENES'!$M$4:$M$1203,'ORDENES'!$AH$4:$AH$1203,$AH803,'ORDENES'!$O$4:$O$1203,$O803,'ORDENES'!$S$4:$S$1203,$S803))</f>
        <v/>
      </c>
      <c r="AK803" s="42">
        <f>IF($AJ803="","",p_factor_productividad*IFERROR(INDEX('ASIGNACIONES'!$M$4:$M$451,MATCH($O803&amp;"|"&amp;$S803&amp;"|"&amp;$AH803,'ASIGNACIONES'!$N$4:$N$451,0)),0)-$AJ803)</f>
        <v/>
      </c>
      <c r="AL803" s="32">
        <f>IF($A803="","",IFERROR(INDEX('2_IMPORTAR_EJECUCION'!$F$9:$F$1208,MATCH($AU803,'2_IMPORTAR_EJECUCION'!$J$9:$J$1208,0)),0))</f>
        <v/>
      </c>
      <c r="AM803" s="32">
        <f>IF($A803="","",MAX(0,IFERROR(INDEX('2_IMPORTAR_EJECUCION'!$H$9:$H$1208,MATCH($AU803,'2_IMPORTAR_EJECUCION'!$J$9:$J$1208,0)),0)-$AL803))</f>
        <v/>
      </c>
      <c r="AN803" s="32">
        <f>IF($A803="","",$AL803+$AM803)</f>
        <v/>
      </c>
      <c r="AO803" s="24">
        <f>IF($A803="","",IF(OR((IFERROR(INDEX('CAT_ACTIVIDADES'!$D$4:$D$26,MATCH($H803,'CAT_ACTIVIDADES'!$A$4:$A$26,0)),""))=0,(IFERROR(INDEX('CAT_ACTIVIDADES'!$D$4:$D$26,MATCH($H803,'CAT_ACTIVIDADES'!$A$4:$A$26,0)),""))=""),"SIN CLASIFICAR",IFERROR(INDEX('CAT_ACTIVIDADES'!$D$4:$D$26,MATCH($H803,'CAT_ACTIVIDADES'!$A$4:$A$26,0)),"")))</f>
        <v/>
      </c>
      <c r="AP803" s="4" t="n"/>
      <c r="AQ803" s="4" t="n"/>
      <c r="AR803" s="4" t="n"/>
      <c r="AS803" s="24">
        <f>IF($AR803="","",HYPERLINK(p_ruta_base_checklists&amp;$AR803,"abrir"))</f>
        <v/>
      </c>
      <c r="AT803" s="4" t="n"/>
      <c r="AU803" s="24">
        <f>IF($A803="","",$A803&amp;IF($B803="","0010",$B803))</f>
        <v/>
      </c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41" t="n"/>
      <c r="K804" s="5" t="n"/>
      <c r="L804" s="18" t="n"/>
      <c r="M804" s="24">
        <f>IF($A804="","",IFERROR(INDEX('AJUSTES'!$B$4:$B$303,MATCH($AU804,'AJUSTES'!$A$4:$A$303,0)),IF($K804="","",$K804)))</f>
        <v/>
      </c>
      <c r="N804" s="24">
        <f>IF($A804="","",IFERROR(INDEX('CAT_ESTADOS_ERP'!$B$4:$B$22,MATCH(IFERROR(INDEX('2_IMPORTAR_EJECUCION'!$C$9:$C$1208,MATCH($AU804,'2_IMPORTAR_EJECUCION'!$J$9:$J$1208,0)),""),'CAT_ESTADOS_ERP'!$A$4:$A$22,0)),"Pendiente"))</f>
        <v/>
      </c>
      <c r="O804" s="24">
        <f>IF($J804="","",YEAR($J804+4-WEEKDAY($J804,2))&amp;"-S"&amp;TEXT(_xlfn.ISOWEEKNUM($J804),"00"))</f>
        <v/>
      </c>
      <c r="P804" s="24">
        <f>IF($J804="","",YEAR($J804))</f>
        <v/>
      </c>
      <c r="Q804" s="24">
        <f>IF($J804="","",MONTH($J804))</f>
        <v/>
      </c>
      <c r="R804" s="24">
        <f>IF($J804="","",$P804&amp;"-"&amp;TEXT($Q804,"00"))</f>
        <v/>
      </c>
      <c r="S804" s="24">
        <f>IF($J804="","",INDEX(lista_dias,WEEKDAY($J804,2)))</f>
        <v/>
      </c>
      <c r="T804" s="24">
        <f>IF($J804="","",IFERROR(INDEX('CALENDARIO'!$C$15:$C$214,MATCH(TEXT($J804,"yyyy-mm-dd")&amp;"|"&amp;$Y804&amp;"|"&amp;$Z804,'CALENDARIO'!$G$15:$G$214,0)),IFERROR(INDEX('CALENDARIO'!$C$15:$C$214,MATCH(TEXT($J804,"yyyy-mm-dd")&amp;"|"&amp;$Y804&amp;"|",'CALENDARIO'!$G$15:$G$214,0)),IFERROR(INDEX('CALENDARIO'!$C$15:$C$214,MATCH(TEXT($J804,"yyyy-mm-dd")&amp;"||",'CALENDARIO'!$G$15:$G$214,0)),INDEX(patronHabil,WEEKDAY($J804,2))))))</f>
        <v/>
      </c>
      <c r="U804" s="24">
        <f>IF($I804="","",IFERROR(INDEX('CAT_TIPOS_OT'!$C$4:$C$23,MATCH($I804,'CAT_TIPOS_OT'!$A$4:$A$23,0)),"sin_clasificar"))</f>
        <v/>
      </c>
      <c r="V804" s="24">
        <f>IF($I804="","",IF(IFERROR(INDEX('CAT_TIPOS_OT'!$D$4:$D$23,MATCH($I804,'CAT_TIPOS_OT'!$A$4:$A$23,0)),"SIN CLASIFICAR")="","SIN CLASIFICAR",IFERROR(INDEX('CAT_TIPOS_OT'!$D$4:$D$23,MATCH($I804,'CAT_TIPOS_OT'!$A$4:$A$23,0)),"SIN CLASIFICAR")))</f>
        <v/>
      </c>
      <c r="W804" s="24">
        <f>IF($H804="","",IF(IFERROR(INDEX('CAT_ACTIVIDADES'!$F$4:$F$26,MATCH($H804,'CAT_ACTIVIDADES'!$A$4:$A$26,0)),"")=0,"",IFERROR(INDEX('CAT_ACTIVIDADES'!$F$4:$F$26,MATCH($H804,'CAT_ACTIVIDADES'!$A$4:$A$26,0)),"")))</f>
        <v/>
      </c>
      <c r="X804" s="24">
        <f>IF($F804="","",IFERROR(INDEX('CAT_CENTROS_COSTO'!$F$4:$F$28,MATCH($F804,'CAT_CENTROS_COSTO'!$A$4:$A$28,0)),"(sin catálogo)"))</f>
        <v/>
      </c>
      <c r="Y804" s="24">
        <f>IF($F804="","",IFERROR(INDEX('CAT_CENTROS_COSTO'!$D$4:$D$28,MATCH($F804,'CAT_CENTROS_COSTO'!$A$4:$A$28,0)),"(sin catálogo)"))</f>
        <v/>
      </c>
      <c r="Z804" s="24">
        <f>IF($F804="","",IF((IFERROR(INDEX('CAT_CENTROS_COSTO'!$E$4:$E$28,MATCH($F804,'CAT_CENTROS_COSTO'!$A$4:$A$28,0)),""))&lt;&gt;"",IFERROR(INDEX('CAT_CENTROS_COSTO'!$E$4:$E$28,MATCH($F804,'CAT_CENTROS_COSTO'!$A$4:$A$28,0)),""),$Y804))</f>
        <v/>
      </c>
      <c r="AA804" s="24">
        <f>IF($F804="","",IFERROR(INDEX('CAT_CENTROS_COSTO'!$G$4:$G$28,MATCH($F804,'CAT_CENTROS_COSTO'!$A$4:$A$28,0)),"(sin catálogo)"))</f>
        <v/>
      </c>
      <c r="AB804" s="24">
        <f>IF($G804="","",IFERROR(INDEX('CAT_PUESTOS'!$B$4:$B$23,MATCH($G804,'CAT_PUESTOS'!$A$4:$A$23,0)),"(sin catálogo)"))</f>
        <v/>
      </c>
      <c r="AC804" s="24">
        <f>IF($H804="","",IFERROR(INDEX('CAT_ACTIVIDADES'!$B$4:$B$26,MATCH($H804,'CAT_ACTIVIDADES'!$A$4:$A$26,0)),"(sin catálogo)"))</f>
        <v/>
      </c>
      <c r="AD804" s="26">
        <f>IF($J804="","",TODAY()-$J804)</f>
        <v/>
      </c>
      <c r="AE804" s="26">
        <f>IF($J804="","",IF($J804&lt;=TODAY(),COUNTIFS(cal_fechas,"&gt;="&amp;$J804,cal_fechas,"&lt;"&amp;TODAY(),cal_habil,"sí"),-COUNTIFS(cal_fechas,"&gt;="&amp;TODAY(),cal_fechas,"&lt;"&amp;$J804,cal_habil,"sí")))</f>
        <v/>
      </c>
      <c r="AF804" s="24">
        <f>IF($AE804="","",IF($AE804&lt;0,"FUTURO",IF($AE804&gt;p_dias_backlog_max,"BACKLOG","MES CORRIENTE")))</f>
        <v/>
      </c>
      <c r="AG804" s="24">
        <f>IF($AE804="",FALSE,AND($AE804&gt;p_dias_backlog_min,$AE804&lt;=p_dias_backlog_max))</f>
        <v/>
      </c>
      <c r="AH804" s="4" t="n"/>
      <c r="AI804" s="24">
        <f>IF($AH804="","",IF((IFERROR(INDEX('ASIGNACIONES'!$J$4:$J$451,MATCH($O804&amp;"|"&amp;$S804&amp;"|"&amp;$AH804,'ASIGNACIONES'!$N$4:$N$451,0)),""))=0,"",IFERROR(INDEX('ASIGNACIONES'!$J$4:$J$451,MATCH($O804&amp;"|"&amp;$S804&amp;"|"&amp;$AH804,'ASIGNACIONES'!$N$4:$N$451,0)),"")))</f>
        <v/>
      </c>
      <c r="AJ804" s="42">
        <f>IF($AH804="","",SUMIFS('ORDENES'!$M$4:$M$1203,'ORDENES'!$AH$4:$AH$1203,$AH804,'ORDENES'!$O$4:$O$1203,$O804,'ORDENES'!$S$4:$S$1203,$S804))</f>
        <v/>
      </c>
      <c r="AK804" s="42">
        <f>IF($AJ804="","",p_factor_productividad*IFERROR(INDEX('ASIGNACIONES'!$M$4:$M$451,MATCH($O804&amp;"|"&amp;$S804&amp;"|"&amp;$AH804,'ASIGNACIONES'!$N$4:$N$451,0)),0)-$AJ804)</f>
        <v/>
      </c>
      <c r="AL804" s="32">
        <f>IF($A804="","",IFERROR(INDEX('2_IMPORTAR_EJECUCION'!$F$9:$F$1208,MATCH($AU804,'2_IMPORTAR_EJECUCION'!$J$9:$J$1208,0)),0))</f>
        <v/>
      </c>
      <c r="AM804" s="32">
        <f>IF($A804="","",MAX(0,IFERROR(INDEX('2_IMPORTAR_EJECUCION'!$H$9:$H$1208,MATCH($AU804,'2_IMPORTAR_EJECUCION'!$J$9:$J$1208,0)),0)-$AL804))</f>
        <v/>
      </c>
      <c r="AN804" s="32">
        <f>IF($A804="","",$AL804+$AM804)</f>
        <v/>
      </c>
      <c r="AO804" s="24">
        <f>IF($A804="","",IF(OR((IFERROR(INDEX('CAT_ACTIVIDADES'!$D$4:$D$26,MATCH($H804,'CAT_ACTIVIDADES'!$A$4:$A$26,0)),""))=0,(IFERROR(INDEX('CAT_ACTIVIDADES'!$D$4:$D$26,MATCH($H804,'CAT_ACTIVIDADES'!$A$4:$A$26,0)),""))=""),"SIN CLASIFICAR",IFERROR(INDEX('CAT_ACTIVIDADES'!$D$4:$D$26,MATCH($H804,'CAT_ACTIVIDADES'!$A$4:$A$26,0)),"")))</f>
        <v/>
      </c>
      <c r="AP804" s="4" t="n"/>
      <c r="AQ804" s="4" t="n"/>
      <c r="AR804" s="4" t="n"/>
      <c r="AS804" s="24">
        <f>IF($AR804="","",HYPERLINK(p_ruta_base_checklists&amp;$AR804,"abrir"))</f>
        <v/>
      </c>
      <c r="AT804" s="4" t="n"/>
      <c r="AU804" s="24">
        <f>IF($A804="","",$A804&amp;IF($B804="","0010",$B804))</f>
        <v/>
      </c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41" t="n"/>
      <c r="K805" s="5" t="n"/>
      <c r="L805" s="18" t="n"/>
      <c r="M805" s="24">
        <f>IF($A805="","",IFERROR(INDEX('AJUSTES'!$B$4:$B$303,MATCH($AU805,'AJUSTES'!$A$4:$A$303,0)),IF($K805="","",$K805)))</f>
        <v/>
      </c>
      <c r="N805" s="24">
        <f>IF($A805="","",IFERROR(INDEX('CAT_ESTADOS_ERP'!$B$4:$B$22,MATCH(IFERROR(INDEX('2_IMPORTAR_EJECUCION'!$C$9:$C$1208,MATCH($AU805,'2_IMPORTAR_EJECUCION'!$J$9:$J$1208,0)),""),'CAT_ESTADOS_ERP'!$A$4:$A$22,0)),"Pendiente"))</f>
        <v/>
      </c>
      <c r="O805" s="24">
        <f>IF($J805="","",YEAR($J805+4-WEEKDAY($J805,2))&amp;"-S"&amp;TEXT(_xlfn.ISOWEEKNUM($J805),"00"))</f>
        <v/>
      </c>
      <c r="P805" s="24">
        <f>IF($J805="","",YEAR($J805))</f>
        <v/>
      </c>
      <c r="Q805" s="24">
        <f>IF($J805="","",MONTH($J805))</f>
        <v/>
      </c>
      <c r="R805" s="24">
        <f>IF($J805="","",$P805&amp;"-"&amp;TEXT($Q805,"00"))</f>
        <v/>
      </c>
      <c r="S805" s="24">
        <f>IF($J805="","",INDEX(lista_dias,WEEKDAY($J805,2)))</f>
        <v/>
      </c>
      <c r="T805" s="24">
        <f>IF($J805="","",IFERROR(INDEX('CALENDARIO'!$C$15:$C$214,MATCH(TEXT($J805,"yyyy-mm-dd")&amp;"|"&amp;$Y805&amp;"|"&amp;$Z805,'CALENDARIO'!$G$15:$G$214,0)),IFERROR(INDEX('CALENDARIO'!$C$15:$C$214,MATCH(TEXT($J805,"yyyy-mm-dd")&amp;"|"&amp;$Y805&amp;"|",'CALENDARIO'!$G$15:$G$214,0)),IFERROR(INDEX('CALENDARIO'!$C$15:$C$214,MATCH(TEXT($J805,"yyyy-mm-dd")&amp;"||",'CALENDARIO'!$G$15:$G$214,0)),INDEX(patronHabil,WEEKDAY($J805,2))))))</f>
        <v/>
      </c>
      <c r="U805" s="24">
        <f>IF($I805="","",IFERROR(INDEX('CAT_TIPOS_OT'!$C$4:$C$23,MATCH($I805,'CAT_TIPOS_OT'!$A$4:$A$23,0)),"sin_clasificar"))</f>
        <v/>
      </c>
      <c r="V805" s="24">
        <f>IF($I805="","",IF(IFERROR(INDEX('CAT_TIPOS_OT'!$D$4:$D$23,MATCH($I805,'CAT_TIPOS_OT'!$A$4:$A$23,0)),"SIN CLASIFICAR")="","SIN CLASIFICAR",IFERROR(INDEX('CAT_TIPOS_OT'!$D$4:$D$23,MATCH($I805,'CAT_TIPOS_OT'!$A$4:$A$23,0)),"SIN CLASIFICAR")))</f>
        <v/>
      </c>
      <c r="W805" s="24">
        <f>IF($H805="","",IF(IFERROR(INDEX('CAT_ACTIVIDADES'!$F$4:$F$26,MATCH($H805,'CAT_ACTIVIDADES'!$A$4:$A$26,0)),"")=0,"",IFERROR(INDEX('CAT_ACTIVIDADES'!$F$4:$F$26,MATCH($H805,'CAT_ACTIVIDADES'!$A$4:$A$26,0)),"")))</f>
        <v/>
      </c>
      <c r="X805" s="24">
        <f>IF($F805="","",IFERROR(INDEX('CAT_CENTROS_COSTO'!$F$4:$F$28,MATCH($F805,'CAT_CENTROS_COSTO'!$A$4:$A$28,0)),"(sin catálogo)"))</f>
        <v/>
      </c>
      <c r="Y805" s="24">
        <f>IF($F805="","",IFERROR(INDEX('CAT_CENTROS_COSTO'!$D$4:$D$28,MATCH($F805,'CAT_CENTROS_COSTO'!$A$4:$A$28,0)),"(sin catálogo)"))</f>
        <v/>
      </c>
      <c r="Z805" s="24">
        <f>IF($F805="","",IF((IFERROR(INDEX('CAT_CENTROS_COSTO'!$E$4:$E$28,MATCH($F805,'CAT_CENTROS_COSTO'!$A$4:$A$28,0)),""))&lt;&gt;"",IFERROR(INDEX('CAT_CENTROS_COSTO'!$E$4:$E$28,MATCH($F805,'CAT_CENTROS_COSTO'!$A$4:$A$28,0)),""),$Y805))</f>
        <v/>
      </c>
      <c r="AA805" s="24">
        <f>IF($F805="","",IFERROR(INDEX('CAT_CENTROS_COSTO'!$G$4:$G$28,MATCH($F805,'CAT_CENTROS_COSTO'!$A$4:$A$28,0)),"(sin catálogo)"))</f>
        <v/>
      </c>
      <c r="AB805" s="24">
        <f>IF($G805="","",IFERROR(INDEX('CAT_PUESTOS'!$B$4:$B$23,MATCH($G805,'CAT_PUESTOS'!$A$4:$A$23,0)),"(sin catálogo)"))</f>
        <v/>
      </c>
      <c r="AC805" s="24">
        <f>IF($H805="","",IFERROR(INDEX('CAT_ACTIVIDADES'!$B$4:$B$26,MATCH($H805,'CAT_ACTIVIDADES'!$A$4:$A$26,0)),"(sin catálogo)"))</f>
        <v/>
      </c>
      <c r="AD805" s="26">
        <f>IF($J805="","",TODAY()-$J805)</f>
        <v/>
      </c>
      <c r="AE805" s="26">
        <f>IF($J805="","",IF($J805&lt;=TODAY(),COUNTIFS(cal_fechas,"&gt;="&amp;$J805,cal_fechas,"&lt;"&amp;TODAY(),cal_habil,"sí"),-COUNTIFS(cal_fechas,"&gt;="&amp;TODAY(),cal_fechas,"&lt;"&amp;$J805,cal_habil,"sí")))</f>
        <v/>
      </c>
      <c r="AF805" s="24">
        <f>IF($AE805="","",IF($AE805&lt;0,"FUTURO",IF($AE805&gt;p_dias_backlog_max,"BACKLOG","MES CORRIENTE")))</f>
        <v/>
      </c>
      <c r="AG805" s="24">
        <f>IF($AE805="",FALSE,AND($AE805&gt;p_dias_backlog_min,$AE805&lt;=p_dias_backlog_max))</f>
        <v/>
      </c>
      <c r="AH805" s="4" t="n"/>
      <c r="AI805" s="24">
        <f>IF($AH805="","",IF((IFERROR(INDEX('ASIGNACIONES'!$J$4:$J$451,MATCH($O805&amp;"|"&amp;$S805&amp;"|"&amp;$AH805,'ASIGNACIONES'!$N$4:$N$451,0)),""))=0,"",IFERROR(INDEX('ASIGNACIONES'!$J$4:$J$451,MATCH($O805&amp;"|"&amp;$S805&amp;"|"&amp;$AH805,'ASIGNACIONES'!$N$4:$N$451,0)),"")))</f>
        <v/>
      </c>
      <c r="AJ805" s="42">
        <f>IF($AH805="","",SUMIFS('ORDENES'!$M$4:$M$1203,'ORDENES'!$AH$4:$AH$1203,$AH805,'ORDENES'!$O$4:$O$1203,$O805,'ORDENES'!$S$4:$S$1203,$S805))</f>
        <v/>
      </c>
      <c r="AK805" s="42">
        <f>IF($AJ805="","",p_factor_productividad*IFERROR(INDEX('ASIGNACIONES'!$M$4:$M$451,MATCH($O805&amp;"|"&amp;$S805&amp;"|"&amp;$AH805,'ASIGNACIONES'!$N$4:$N$451,0)),0)-$AJ805)</f>
        <v/>
      </c>
      <c r="AL805" s="32">
        <f>IF($A805="","",IFERROR(INDEX('2_IMPORTAR_EJECUCION'!$F$9:$F$1208,MATCH($AU805,'2_IMPORTAR_EJECUCION'!$J$9:$J$1208,0)),0))</f>
        <v/>
      </c>
      <c r="AM805" s="32">
        <f>IF($A805="","",MAX(0,IFERROR(INDEX('2_IMPORTAR_EJECUCION'!$H$9:$H$1208,MATCH($AU805,'2_IMPORTAR_EJECUCION'!$J$9:$J$1208,0)),0)-$AL805))</f>
        <v/>
      </c>
      <c r="AN805" s="32">
        <f>IF($A805="","",$AL805+$AM805)</f>
        <v/>
      </c>
      <c r="AO805" s="24">
        <f>IF($A805="","",IF(OR((IFERROR(INDEX('CAT_ACTIVIDADES'!$D$4:$D$26,MATCH($H805,'CAT_ACTIVIDADES'!$A$4:$A$26,0)),""))=0,(IFERROR(INDEX('CAT_ACTIVIDADES'!$D$4:$D$26,MATCH($H805,'CAT_ACTIVIDADES'!$A$4:$A$26,0)),""))=""),"SIN CLASIFICAR",IFERROR(INDEX('CAT_ACTIVIDADES'!$D$4:$D$26,MATCH($H805,'CAT_ACTIVIDADES'!$A$4:$A$26,0)),"")))</f>
        <v/>
      </c>
      <c r="AP805" s="4" t="n"/>
      <c r="AQ805" s="4" t="n"/>
      <c r="AR805" s="4" t="n"/>
      <c r="AS805" s="24">
        <f>IF($AR805="","",HYPERLINK(p_ruta_base_checklists&amp;$AR805,"abrir"))</f>
        <v/>
      </c>
      <c r="AT805" s="4" t="n"/>
      <c r="AU805" s="24">
        <f>IF($A805="","",$A805&amp;IF($B805="","0010",$B805))</f>
        <v/>
      </c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41" t="n"/>
      <c r="K806" s="5" t="n"/>
      <c r="L806" s="18" t="n"/>
      <c r="M806" s="24">
        <f>IF($A806="","",IFERROR(INDEX('AJUSTES'!$B$4:$B$303,MATCH($AU806,'AJUSTES'!$A$4:$A$303,0)),IF($K806="","",$K806)))</f>
        <v/>
      </c>
      <c r="N806" s="24">
        <f>IF($A806="","",IFERROR(INDEX('CAT_ESTADOS_ERP'!$B$4:$B$22,MATCH(IFERROR(INDEX('2_IMPORTAR_EJECUCION'!$C$9:$C$1208,MATCH($AU806,'2_IMPORTAR_EJECUCION'!$J$9:$J$1208,0)),""),'CAT_ESTADOS_ERP'!$A$4:$A$22,0)),"Pendiente"))</f>
        <v/>
      </c>
      <c r="O806" s="24">
        <f>IF($J806="","",YEAR($J806+4-WEEKDAY($J806,2))&amp;"-S"&amp;TEXT(_xlfn.ISOWEEKNUM($J806),"00"))</f>
        <v/>
      </c>
      <c r="P806" s="24">
        <f>IF($J806="","",YEAR($J806))</f>
        <v/>
      </c>
      <c r="Q806" s="24">
        <f>IF($J806="","",MONTH($J806))</f>
        <v/>
      </c>
      <c r="R806" s="24">
        <f>IF($J806="","",$P806&amp;"-"&amp;TEXT($Q806,"00"))</f>
        <v/>
      </c>
      <c r="S806" s="24">
        <f>IF($J806="","",INDEX(lista_dias,WEEKDAY($J806,2)))</f>
        <v/>
      </c>
      <c r="T806" s="24">
        <f>IF($J806="","",IFERROR(INDEX('CALENDARIO'!$C$15:$C$214,MATCH(TEXT($J806,"yyyy-mm-dd")&amp;"|"&amp;$Y806&amp;"|"&amp;$Z806,'CALENDARIO'!$G$15:$G$214,0)),IFERROR(INDEX('CALENDARIO'!$C$15:$C$214,MATCH(TEXT($J806,"yyyy-mm-dd")&amp;"|"&amp;$Y806&amp;"|",'CALENDARIO'!$G$15:$G$214,0)),IFERROR(INDEX('CALENDARIO'!$C$15:$C$214,MATCH(TEXT($J806,"yyyy-mm-dd")&amp;"||",'CALENDARIO'!$G$15:$G$214,0)),INDEX(patronHabil,WEEKDAY($J806,2))))))</f>
        <v/>
      </c>
      <c r="U806" s="24">
        <f>IF($I806="","",IFERROR(INDEX('CAT_TIPOS_OT'!$C$4:$C$23,MATCH($I806,'CAT_TIPOS_OT'!$A$4:$A$23,0)),"sin_clasificar"))</f>
        <v/>
      </c>
      <c r="V806" s="24">
        <f>IF($I806="","",IF(IFERROR(INDEX('CAT_TIPOS_OT'!$D$4:$D$23,MATCH($I806,'CAT_TIPOS_OT'!$A$4:$A$23,0)),"SIN CLASIFICAR")="","SIN CLASIFICAR",IFERROR(INDEX('CAT_TIPOS_OT'!$D$4:$D$23,MATCH($I806,'CAT_TIPOS_OT'!$A$4:$A$23,0)),"SIN CLASIFICAR")))</f>
        <v/>
      </c>
      <c r="W806" s="24">
        <f>IF($H806="","",IF(IFERROR(INDEX('CAT_ACTIVIDADES'!$F$4:$F$26,MATCH($H806,'CAT_ACTIVIDADES'!$A$4:$A$26,0)),"")=0,"",IFERROR(INDEX('CAT_ACTIVIDADES'!$F$4:$F$26,MATCH($H806,'CAT_ACTIVIDADES'!$A$4:$A$26,0)),"")))</f>
        <v/>
      </c>
      <c r="X806" s="24">
        <f>IF($F806="","",IFERROR(INDEX('CAT_CENTROS_COSTO'!$F$4:$F$28,MATCH($F806,'CAT_CENTROS_COSTO'!$A$4:$A$28,0)),"(sin catálogo)"))</f>
        <v/>
      </c>
      <c r="Y806" s="24">
        <f>IF($F806="","",IFERROR(INDEX('CAT_CENTROS_COSTO'!$D$4:$D$28,MATCH($F806,'CAT_CENTROS_COSTO'!$A$4:$A$28,0)),"(sin catálogo)"))</f>
        <v/>
      </c>
      <c r="Z806" s="24">
        <f>IF($F806="","",IF((IFERROR(INDEX('CAT_CENTROS_COSTO'!$E$4:$E$28,MATCH($F806,'CAT_CENTROS_COSTO'!$A$4:$A$28,0)),""))&lt;&gt;"",IFERROR(INDEX('CAT_CENTROS_COSTO'!$E$4:$E$28,MATCH($F806,'CAT_CENTROS_COSTO'!$A$4:$A$28,0)),""),$Y806))</f>
        <v/>
      </c>
      <c r="AA806" s="24">
        <f>IF($F806="","",IFERROR(INDEX('CAT_CENTROS_COSTO'!$G$4:$G$28,MATCH($F806,'CAT_CENTROS_COSTO'!$A$4:$A$28,0)),"(sin catálogo)"))</f>
        <v/>
      </c>
      <c r="AB806" s="24">
        <f>IF($G806="","",IFERROR(INDEX('CAT_PUESTOS'!$B$4:$B$23,MATCH($G806,'CAT_PUESTOS'!$A$4:$A$23,0)),"(sin catálogo)"))</f>
        <v/>
      </c>
      <c r="AC806" s="24">
        <f>IF($H806="","",IFERROR(INDEX('CAT_ACTIVIDADES'!$B$4:$B$26,MATCH($H806,'CAT_ACTIVIDADES'!$A$4:$A$26,0)),"(sin catálogo)"))</f>
        <v/>
      </c>
      <c r="AD806" s="26">
        <f>IF($J806="","",TODAY()-$J806)</f>
        <v/>
      </c>
      <c r="AE806" s="26">
        <f>IF($J806="","",IF($J806&lt;=TODAY(),COUNTIFS(cal_fechas,"&gt;="&amp;$J806,cal_fechas,"&lt;"&amp;TODAY(),cal_habil,"sí"),-COUNTIFS(cal_fechas,"&gt;="&amp;TODAY(),cal_fechas,"&lt;"&amp;$J806,cal_habil,"sí")))</f>
        <v/>
      </c>
      <c r="AF806" s="24">
        <f>IF($AE806="","",IF($AE806&lt;0,"FUTURO",IF($AE806&gt;p_dias_backlog_max,"BACKLOG","MES CORRIENTE")))</f>
        <v/>
      </c>
      <c r="AG806" s="24">
        <f>IF($AE806="",FALSE,AND($AE806&gt;p_dias_backlog_min,$AE806&lt;=p_dias_backlog_max))</f>
        <v/>
      </c>
      <c r="AH806" s="4" t="n"/>
      <c r="AI806" s="24">
        <f>IF($AH806="","",IF((IFERROR(INDEX('ASIGNACIONES'!$J$4:$J$451,MATCH($O806&amp;"|"&amp;$S806&amp;"|"&amp;$AH806,'ASIGNACIONES'!$N$4:$N$451,0)),""))=0,"",IFERROR(INDEX('ASIGNACIONES'!$J$4:$J$451,MATCH($O806&amp;"|"&amp;$S806&amp;"|"&amp;$AH806,'ASIGNACIONES'!$N$4:$N$451,0)),"")))</f>
        <v/>
      </c>
      <c r="AJ806" s="42">
        <f>IF($AH806="","",SUMIFS('ORDENES'!$M$4:$M$1203,'ORDENES'!$AH$4:$AH$1203,$AH806,'ORDENES'!$O$4:$O$1203,$O806,'ORDENES'!$S$4:$S$1203,$S806))</f>
        <v/>
      </c>
      <c r="AK806" s="42">
        <f>IF($AJ806="","",p_factor_productividad*IFERROR(INDEX('ASIGNACIONES'!$M$4:$M$451,MATCH($O806&amp;"|"&amp;$S806&amp;"|"&amp;$AH806,'ASIGNACIONES'!$N$4:$N$451,0)),0)-$AJ806)</f>
        <v/>
      </c>
      <c r="AL806" s="32">
        <f>IF($A806="","",IFERROR(INDEX('2_IMPORTAR_EJECUCION'!$F$9:$F$1208,MATCH($AU806,'2_IMPORTAR_EJECUCION'!$J$9:$J$1208,0)),0))</f>
        <v/>
      </c>
      <c r="AM806" s="32">
        <f>IF($A806="","",MAX(0,IFERROR(INDEX('2_IMPORTAR_EJECUCION'!$H$9:$H$1208,MATCH($AU806,'2_IMPORTAR_EJECUCION'!$J$9:$J$1208,0)),0)-$AL806))</f>
        <v/>
      </c>
      <c r="AN806" s="32">
        <f>IF($A806="","",$AL806+$AM806)</f>
        <v/>
      </c>
      <c r="AO806" s="24">
        <f>IF($A806="","",IF(OR((IFERROR(INDEX('CAT_ACTIVIDADES'!$D$4:$D$26,MATCH($H806,'CAT_ACTIVIDADES'!$A$4:$A$26,0)),""))=0,(IFERROR(INDEX('CAT_ACTIVIDADES'!$D$4:$D$26,MATCH($H806,'CAT_ACTIVIDADES'!$A$4:$A$26,0)),""))=""),"SIN CLASIFICAR",IFERROR(INDEX('CAT_ACTIVIDADES'!$D$4:$D$26,MATCH($H806,'CAT_ACTIVIDADES'!$A$4:$A$26,0)),"")))</f>
        <v/>
      </c>
      <c r="AP806" s="4" t="n"/>
      <c r="AQ806" s="4" t="n"/>
      <c r="AR806" s="4" t="n"/>
      <c r="AS806" s="24">
        <f>IF($AR806="","",HYPERLINK(p_ruta_base_checklists&amp;$AR806,"abrir"))</f>
        <v/>
      </c>
      <c r="AT806" s="4" t="n"/>
      <c r="AU806" s="24">
        <f>IF($A806="","",$A806&amp;IF($B806="","0010",$B806))</f>
        <v/>
      </c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41" t="n"/>
      <c r="K807" s="5" t="n"/>
      <c r="L807" s="18" t="n"/>
      <c r="M807" s="24">
        <f>IF($A807="","",IFERROR(INDEX('AJUSTES'!$B$4:$B$303,MATCH($AU807,'AJUSTES'!$A$4:$A$303,0)),IF($K807="","",$K807)))</f>
        <v/>
      </c>
      <c r="N807" s="24">
        <f>IF($A807="","",IFERROR(INDEX('CAT_ESTADOS_ERP'!$B$4:$B$22,MATCH(IFERROR(INDEX('2_IMPORTAR_EJECUCION'!$C$9:$C$1208,MATCH($AU807,'2_IMPORTAR_EJECUCION'!$J$9:$J$1208,0)),""),'CAT_ESTADOS_ERP'!$A$4:$A$22,0)),"Pendiente"))</f>
        <v/>
      </c>
      <c r="O807" s="24">
        <f>IF($J807="","",YEAR($J807+4-WEEKDAY($J807,2))&amp;"-S"&amp;TEXT(_xlfn.ISOWEEKNUM($J807),"00"))</f>
        <v/>
      </c>
      <c r="P807" s="24">
        <f>IF($J807="","",YEAR($J807))</f>
        <v/>
      </c>
      <c r="Q807" s="24">
        <f>IF($J807="","",MONTH($J807))</f>
        <v/>
      </c>
      <c r="R807" s="24">
        <f>IF($J807="","",$P807&amp;"-"&amp;TEXT($Q807,"00"))</f>
        <v/>
      </c>
      <c r="S807" s="24">
        <f>IF($J807="","",INDEX(lista_dias,WEEKDAY($J807,2)))</f>
        <v/>
      </c>
      <c r="T807" s="24">
        <f>IF($J807="","",IFERROR(INDEX('CALENDARIO'!$C$15:$C$214,MATCH(TEXT($J807,"yyyy-mm-dd")&amp;"|"&amp;$Y807&amp;"|"&amp;$Z807,'CALENDARIO'!$G$15:$G$214,0)),IFERROR(INDEX('CALENDARIO'!$C$15:$C$214,MATCH(TEXT($J807,"yyyy-mm-dd")&amp;"|"&amp;$Y807&amp;"|",'CALENDARIO'!$G$15:$G$214,0)),IFERROR(INDEX('CALENDARIO'!$C$15:$C$214,MATCH(TEXT($J807,"yyyy-mm-dd")&amp;"||",'CALENDARIO'!$G$15:$G$214,0)),INDEX(patronHabil,WEEKDAY($J807,2))))))</f>
        <v/>
      </c>
      <c r="U807" s="24">
        <f>IF($I807="","",IFERROR(INDEX('CAT_TIPOS_OT'!$C$4:$C$23,MATCH($I807,'CAT_TIPOS_OT'!$A$4:$A$23,0)),"sin_clasificar"))</f>
        <v/>
      </c>
      <c r="V807" s="24">
        <f>IF($I807="","",IF(IFERROR(INDEX('CAT_TIPOS_OT'!$D$4:$D$23,MATCH($I807,'CAT_TIPOS_OT'!$A$4:$A$23,0)),"SIN CLASIFICAR")="","SIN CLASIFICAR",IFERROR(INDEX('CAT_TIPOS_OT'!$D$4:$D$23,MATCH($I807,'CAT_TIPOS_OT'!$A$4:$A$23,0)),"SIN CLASIFICAR")))</f>
        <v/>
      </c>
      <c r="W807" s="24">
        <f>IF($H807="","",IF(IFERROR(INDEX('CAT_ACTIVIDADES'!$F$4:$F$26,MATCH($H807,'CAT_ACTIVIDADES'!$A$4:$A$26,0)),"")=0,"",IFERROR(INDEX('CAT_ACTIVIDADES'!$F$4:$F$26,MATCH($H807,'CAT_ACTIVIDADES'!$A$4:$A$26,0)),"")))</f>
        <v/>
      </c>
      <c r="X807" s="24">
        <f>IF($F807="","",IFERROR(INDEX('CAT_CENTROS_COSTO'!$F$4:$F$28,MATCH($F807,'CAT_CENTROS_COSTO'!$A$4:$A$28,0)),"(sin catálogo)"))</f>
        <v/>
      </c>
      <c r="Y807" s="24">
        <f>IF($F807="","",IFERROR(INDEX('CAT_CENTROS_COSTO'!$D$4:$D$28,MATCH($F807,'CAT_CENTROS_COSTO'!$A$4:$A$28,0)),"(sin catálogo)"))</f>
        <v/>
      </c>
      <c r="Z807" s="24">
        <f>IF($F807="","",IF((IFERROR(INDEX('CAT_CENTROS_COSTO'!$E$4:$E$28,MATCH($F807,'CAT_CENTROS_COSTO'!$A$4:$A$28,0)),""))&lt;&gt;"",IFERROR(INDEX('CAT_CENTROS_COSTO'!$E$4:$E$28,MATCH($F807,'CAT_CENTROS_COSTO'!$A$4:$A$28,0)),""),$Y807))</f>
        <v/>
      </c>
      <c r="AA807" s="24">
        <f>IF($F807="","",IFERROR(INDEX('CAT_CENTROS_COSTO'!$G$4:$G$28,MATCH($F807,'CAT_CENTROS_COSTO'!$A$4:$A$28,0)),"(sin catálogo)"))</f>
        <v/>
      </c>
      <c r="AB807" s="24">
        <f>IF($G807="","",IFERROR(INDEX('CAT_PUESTOS'!$B$4:$B$23,MATCH($G807,'CAT_PUESTOS'!$A$4:$A$23,0)),"(sin catálogo)"))</f>
        <v/>
      </c>
      <c r="AC807" s="24">
        <f>IF($H807="","",IFERROR(INDEX('CAT_ACTIVIDADES'!$B$4:$B$26,MATCH($H807,'CAT_ACTIVIDADES'!$A$4:$A$26,0)),"(sin catálogo)"))</f>
        <v/>
      </c>
      <c r="AD807" s="26">
        <f>IF($J807="","",TODAY()-$J807)</f>
        <v/>
      </c>
      <c r="AE807" s="26">
        <f>IF($J807="","",IF($J807&lt;=TODAY(),COUNTIFS(cal_fechas,"&gt;="&amp;$J807,cal_fechas,"&lt;"&amp;TODAY(),cal_habil,"sí"),-COUNTIFS(cal_fechas,"&gt;="&amp;TODAY(),cal_fechas,"&lt;"&amp;$J807,cal_habil,"sí")))</f>
        <v/>
      </c>
      <c r="AF807" s="24">
        <f>IF($AE807="","",IF($AE807&lt;0,"FUTURO",IF($AE807&gt;p_dias_backlog_max,"BACKLOG","MES CORRIENTE")))</f>
        <v/>
      </c>
      <c r="AG807" s="24">
        <f>IF($AE807="",FALSE,AND($AE807&gt;p_dias_backlog_min,$AE807&lt;=p_dias_backlog_max))</f>
        <v/>
      </c>
      <c r="AH807" s="4" t="n"/>
      <c r="AI807" s="24">
        <f>IF($AH807="","",IF((IFERROR(INDEX('ASIGNACIONES'!$J$4:$J$451,MATCH($O807&amp;"|"&amp;$S807&amp;"|"&amp;$AH807,'ASIGNACIONES'!$N$4:$N$451,0)),""))=0,"",IFERROR(INDEX('ASIGNACIONES'!$J$4:$J$451,MATCH($O807&amp;"|"&amp;$S807&amp;"|"&amp;$AH807,'ASIGNACIONES'!$N$4:$N$451,0)),"")))</f>
        <v/>
      </c>
      <c r="AJ807" s="42">
        <f>IF($AH807="","",SUMIFS('ORDENES'!$M$4:$M$1203,'ORDENES'!$AH$4:$AH$1203,$AH807,'ORDENES'!$O$4:$O$1203,$O807,'ORDENES'!$S$4:$S$1203,$S807))</f>
        <v/>
      </c>
      <c r="AK807" s="42">
        <f>IF($AJ807="","",p_factor_productividad*IFERROR(INDEX('ASIGNACIONES'!$M$4:$M$451,MATCH($O807&amp;"|"&amp;$S807&amp;"|"&amp;$AH807,'ASIGNACIONES'!$N$4:$N$451,0)),0)-$AJ807)</f>
        <v/>
      </c>
      <c r="AL807" s="32">
        <f>IF($A807="","",IFERROR(INDEX('2_IMPORTAR_EJECUCION'!$F$9:$F$1208,MATCH($AU807,'2_IMPORTAR_EJECUCION'!$J$9:$J$1208,0)),0))</f>
        <v/>
      </c>
      <c r="AM807" s="32">
        <f>IF($A807="","",MAX(0,IFERROR(INDEX('2_IMPORTAR_EJECUCION'!$H$9:$H$1208,MATCH($AU807,'2_IMPORTAR_EJECUCION'!$J$9:$J$1208,0)),0)-$AL807))</f>
        <v/>
      </c>
      <c r="AN807" s="32">
        <f>IF($A807="","",$AL807+$AM807)</f>
        <v/>
      </c>
      <c r="AO807" s="24">
        <f>IF($A807="","",IF(OR((IFERROR(INDEX('CAT_ACTIVIDADES'!$D$4:$D$26,MATCH($H807,'CAT_ACTIVIDADES'!$A$4:$A$26,0)),""))=0,(IFERROR(INDEX('CAT_ACTIVIDADES'!$D$4:$D$26,MATCH($H807,'CAT_ACTIVIDADES'!$A$4:$A$26,0)),""))=""),"SIN CLASIFICAR",IFERROR(INDEX('CAT_ACTIVIDADES'!$D$4:$D$26,MATCH($H807,'CAT_ACTIVIDADES'!$A$4:$A$26,0)),"")))</f>
        <v/>
      </c>
      <c r="AP807" s="4" t="n"/>
      <c r="AQ807" s="4" t="n"/>
      <c r="AR807" s="4" t="n"/>
      <c r="AS807" s="24">
        <f>IF($AR807="","",HYPERLINK(p_ruta_base_checklists&amp;$AR807,"abrir"))</f>
        <v/>
      </c>
      <c r="AT807" s="4" t="n"/>
      <c r="AU807" s="24">
        <f>IF($A807="","",$A807&amp;IF($B807="","0010",$B807))</f>
        <v/>
      </c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41" t="n"/>
      <c r="K808" s="5" t="n"/>
      <c r="L808" s="18" t="n"/>
      <c r="M808" s="24">
        <f>IF($A808="","",IFERROR(INDEX('AJUSTES'!$B$4:$B$303,MATCH($AU808,'AJUSTES'!$A$4:$A$303,0)),IF($K808="","",$K808)))</f>
        <v/>
      </c>
      <c r="N808" s="24">
        <f>IF($A808="","",IFERROR(INDEX('CAT_ESTADOS_ERP'!$B$4:$B$22,MATCH(IFERROR(INDEX('2_IMPORTAR_EJECUCION'!$C$9:$C$1208,MATCH($AU808,'2_IMPORTAR_EJECUCION'!$J$9:$J$1208,0)),""),'CAT_ESTADOS_ERP'!$A$4:$A$22,0)),"Pendiente"))</f>
        <v/>
      </c>
      <c r="O808" s="24">
        <f>IF($J808="","",YEAR($J808+4-WEEKDAY($J808,2))&amp;"-S"&amp;TEXT(_xlfn.ISOWEEKNUM($J808),"00"))</f>
        <v/>
      </c>
      <c r="P808" s="24">
        <f>IF($J808="","",YEAR($J808))</f>
        <v/>
      </c>
      <c r="Q808" s="24">
        <f>IF($J808="","",MONTH($J808))</f>
        <v/>
      </c>
      <c r="R808" s="24">
        <f>IF($J808="","",$P808&amp;"-"&amp;TEXT($Q808,"00"))</f>
        <v/>
      </c>
      <c r="S808" s="24">
        <f>IF($J808="","",INDEX(lista_dias,WEEKDAY($J808,2)))</f>
        <v/>
      </c>
      <c r="T808" s="24">
        <f>IF($J808="","",IFERROR(INDEX('CALENDARIO'!$C$15:$C$214,MATCH(TEXT($J808,"yyyy-mm-dd")&amp;"|"&amp;$Y808&amp;"|"&amp;$Z808,'CALENDARIO'!$G$15:$G$214,0)),IFERROR(INDEX('CALENDARIO'!$C$15:$C$214,MATCH(TEXT($J808,"yyyy-mm-dd")&amp;"|"&amp;$Y808&amp;"|",'CALENDARIO'!$G$15:$G$214,0)),IFERROR(INDEX('CALENDARIO'!$C$15:$C$214,MATCH(TEXT($J808,"yyyy-mm-dd")&amp;"||",'CALENDARIO'!$G$15:$G$214,0)),INDEX(patronHabil,WEEKDAY($J808,2))))))</f>
        <v/>
      </c>
      <c r="U808" s="24">
        <f>IF($I808="","",IFERROR(INDEX('CAT_TIPOS_OT'!$C$4:$C$23,MATCH($I808,'CAT_TIPOS_OT'!$A$4:$A$23,0)),"sin_clasificar"))</f>
        <v/>
      </c>
      <c r="V808" s="24">
        <f>IF($I808="","",IF(IFERROR(INDEX('CAT_TIPOS_OT'!$D$4:$D$23,MATCH($I808,'CAT_TIPOS_OT'!$A$4:$A$23,0)),"SIN CLASIFICAR")="","SIN CLASIFICAR",IFERROR(INDEX('CAT_TIPOS_OT'!$D$4:$D$23,MATCH($I808,'CAT_TIPOS_OT'!$A$4:$A$23,0)),"SIN CLASIFICAR")))</f>
        <v/>
      </c>
      <c r="W808" s="24">
        <f>IF($H808="","",IF(IFERROR(INDEX('CAT_ACTIVIDADES'!$F$4:$F$26,MATCH($H808,'CAT_ACTIVIDADES'!$A$4:$A$26,0)),"")=0,"",IFERROR(INDEX('CAT_ACTIVIDADES'!$F$4:$F$26,MATCH($H808,'CAT_ACTIVIDADES'!$A$4:$A$26,0)),"")))</f>
        <v/>
      </c>
      <c r="X808" s="24">
        <f>IF($F808="","",IFERROR(INDEX('CAT_CENTROS_COSTO'!$F$4:$F$28,MATCH($F808,'CAT_CENTROS_COSTO'!$A$4:$A$28,0)),"(sin catálogo)"))</f>
        <v/>
      </c>
      <c r="Y808" s="24">
        <f>IF($F808="","",IFERROR(INDEX('CAT_CENTROS_COSTO'!$D$4:$D$28,MATCH($F808,'CAT_CENTROS_COSTO'!$A$4:$A$28,0)),"(sin catálogo)"))</f>
        <v/>
      </c>
      <c r="Z808" s="24">
        <f>IF($F808="","",IF((IFERROR(INDEX('CAT_CENTROS_COSTO'!$E$4:$E$28,MATCH($F808,'CAT_CENTROS_COSTO'!$A$4:$A$28,0)),""))&lt;&gt;"",IFERROR(INDEX('CAT_CENTROS_COSTO'!$E$4:$E$28,MATCH($F808,'CAT_CENTROS_COSTO'!$A$4:$A$28,0)),""),$Y808))</f>
        <v/>
      </c>
      <c r="AA808" s="24">
        <f>IF($F808="","",IFERROR(INDEX('CAT_CENTROS_COSTO'!$G$4:$G$28,MATCH($F808,'CAT_CENTROS_COSTO'!$A$4:$A$28,0)),"(sin catálogo)"))</f>
        <v/>
      </c>
      <c r="AB808" s="24">
        <f>IF($G808="","",IFERROR(INDEX('CAT_PUESTOS'!$B$4:$B$23,MATCH($G808,'CAT_PUESTOS'!$A$4:$A$23,0)),"(sin catálogo)"))</f>
        <v/>
      </c>
      <c r="AC808" s="24">
        <f>IF($H808="","",IFERROR(INDEX('CAT_ACTIVIDADES'!$B$4:$B$26,MATCH($H808,'CAT_ACTIVIDADES'!$A$4:$A$26,0)),"(sin catálogo)"))</f>
        <v/>
      </c>
      <c r="AD808" s="26">
        <f>IF($J808="","",TODAY()-$J808)</f>
        <v/>
      </c>
      <c r="AE808" s="26">
        <f>IF($J808="","",IF($J808&lt;=TODAY(),COUNTIFS(cal_fechas,"&gt;="&amp;$J808,cal_fechas,"&lt;"&amp;TODAY(),cal_habil,"sí"),-COUNTIFS(cal_fechas,"&gt;="&amp;TODAY(),cal_fechas,"&lt;"&amp;$J808,cal_habil,"sí")))</f>
        <v/>
      </c>
      <c r="AF808" s="24">
        <f>IF($AE808="","",IF($AE808&lt;0,"FUTURO",IF($AE808&gt;p_dias_backlog_max,"BACKLOG","MES CORRIENTE")))</f>
        <v/>
      </c>
      <c r="AG808" s="24">
        <f>IF($AE808="",FALSE,AND($AE808&gt;p_dias_backlog_min,$AE808&lt;=p_dias_backlog_max))</f>
        <v/>
      </c>
      <c r="AH808" s="4" t="n"/>
      <c r="AI808" s="24">
        <f>IF($AH808="","",IF((IFERROR(INDEX('ASIGNACIONES'!$J$4:$J$451,MATCH($O808&amp;"|"&amp;$S808&amp;"|"&amp;$AH808,'ASIGNACIONES'!$N$4:$N$451,0)),""))=0,"",IFERROR(INDEX('ASIGNACIONES'!$J$4:$J$451,MATCH($O808&amp;"|"&amp;$S808&amp;"|"&amp;$AH808,'ASIGNACIONES'!$N$4:$N$451,0)),"")))</f>
        <v/>
      </c>
      <c r="AJ808" s="42">
        <f>IF($AH808="","",SUMIFS('ORDENES'!$M$4:$M$1203,'ORDENES'!$AH$4:$AH$1203,$AH808,'ORDENES'!$O$4:$O$1203,$O808,'ORDENES'!$S$4:$S$1203,$S808))</f>
        <v/>
      </c>
      <c r="AK808" s="42">
        <f>IF($AJ808="","",p_factor_productividad*IFERROR(INDEX('ASIGNACIONES'!$M$4:$M$451,MATCH($O808&amp;"|"&amp;$S808&amp;"|"&amp;$AH808,'ASIGNACIONES'!$N$4:$N$451,0)),0)-$AJ808)</f>
        <v/>
      </c>
      <c r="AL808" s="32">
        <f>IF($A808="","",IFERROR(INDEX('2_IMPORTAR_EJECUCION'!$F$9:$F$1208,MATCH($AU808,'2_IMPORTAR_EJECUCION'!$J$9:$J$1208,0)),0))</f>
        <v/>
      </c>
      <c r="AM808" s="32">
        <f>IF($A808="","",MAX(0,IFERROR(INDEX('2_IMPORTAR_EJECUCION'!$H$9:$H$1208,MATCH($AU808,'2_IMPORTAR_EJECUCION'!$J$9:$J$1208,0)),0)-$AL808))</f>
        <v/>
      </c>
      <c r="AN808" s="32">
        <f>IF($A808="","",$AL808+$AM808)</f>
        <v/>
      </c>
      <c r="AO808" s="24">
        <f>IF($A808="","",IF(OR((IFERROR(INDEX('CAT_ACTIVIDADES'!$D$4:$D$26,MATCH($H808,'CAT_ACTIVIDADES'!$A$4:$A$26,0)),""))=0,(IFERROR(INDEX('CAT_ACTIVIDADES'!$D$4:$D$26,MATCH($H808,'CAT_ACTIVIDADES'!$A$4:$A$26,0)),""))=""),"SIN CLASIFICAR",IFERROR(INDEX('CAT_ACTIVIDADES'!$D$4:$D$26,MATCH($H808,'CAT_ACTIVIDADES'!$A$4:$A$26,0)),"")))</f>
        <v/>
      </c>
      <c r="AP808" s="4" t="n"/>
      <c r="AQ808" s="4" t="n"/>
      <c r="AR808" s="4" t="n"/>
      <c r="AS808" s="24">
        <f>IF($AR808="","",HYPERLINK(p_ruta_base_checklists&amp;$AR808,"abrir"))</f>
        <v/>
      </c>
      <c r="AT808" s="4" t="n"/>
      <c r="AU808" s="24">
        <f>IF($A808="","",$A808&amp;IF($B808="","0010",$B808))</f>
        <v/>
      </c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41" t="n"/>
      <c r="K809" s="5" t="n"/>
      <c r="L809" s="18" t="n"/>
      <c r="M809" s="24">
        <f>IF($A809="","",IFERROR(INDEX('AJUSTES'!$B$4:$B$303,MATCH($AU809,'AJUSTES'!$A$4:$A$303,0)),IF($K809="","",$K809)))</f>
        <v/>
      </c>
      <c r="N809" s="24">
        <f>IF($A809="","",IFERROR(INDEX('CAT_ESTADOS_ERP'!$B$4:$B$22,MATCH(IFERROR(INDEX('2_IMPORTAR_EJECUCION'!$C$9:$C$1208,MATCH($AU809,'2_IMPORTAR_EJECUCION'!$J$9:$J$1208,0)),""),'CAT_ESTADOS_ERP'!$A$4:$A$22,0)),"Pendiente"))</f>
        <v/>
      </c>
      <c r="O809" s="24">
        <f>IF($J809="","",YEAR($J809+4-WEEKDAY($J809,2))&amp;"-S"&amp;TEXT(_xlfn.ISOWEEKNUM($J809),"00"))</f>
        <v/>
      </c>
      <c r="P809" s="24">
        <f>IF($J809="","",YEAR($J809))</f>
        <v/>
      </c>
      <c r="Q809" s="24">
        <f>IF($J809="","",MONTH($J809))</f>
        <v/>
      </c>
      <c r="R809" s="24">
        <f>IF($J809="","",$P809&amp;"-"&amp;TEXT($Q809,"00"))</f>
        <v/>
      </c>
      <c r="S809" s="24">
        <f>IF($J809="","",INDEX(lista_dias,WEEKDAY($J809,2)))</f>
        <v/>
      </c>
      <c r="T809" s="24">
        <f>IF($J809="","",IFERROR(INDEX('CALENDARIO'!$C$15:$C$214,MATCH(TEXT($J809,"yyyy-mm-dd")&amp;"|"&amp;$Y809&amp;"|"&amp;$Z809,'CALENDARIO'!$G$15:$G$214,0)),IFERROR(INDEX('CALENDARIO'!$C$15:$C$214,MATCH(TEXT($J809,"yyyy-mm-dd")&amp;"|"&amp;$Y809&amp;"|",'CALENDARIO'!$G$15:$G$214,0)),IFERROR(INDEX('CALENDARIO'!$C$15:$C$214,MATCH(TEXT($J809,"yyyy-mm-dd")&amp;"||",'CALENDARIO'!$G$15:$G$214,0)),INDEX(patronHabil,WEEKDAY($J809,2))))))</f>
        <v/>
      </c>
      <c r="U809" s="24">
        <f>IF($I809="","",IFERROR(INDEX('CAT_TIPOS_OT'!$C$4:$C$23,MATCH($I809,'CAT_TIPOS_OT'!$A$4:$A$23,0)),"sin_clasificar"))</f>
        <v/>
      </c>
      <c r="V809" s="24">
        <f>IF($I809="","",IF(IFERROR(INDEX('CAT_TIPOS_OT'!$D$4:$D$23,MATCH($I809,'CAT_TIPOS_OT'!$A$4:$A$23,0)),"SIN CLASIFICAR")="","SIN CLASIFICAR",IFERROR(INDEX('CAT_TIPOS_OT'!$D$4:$D$23,MATCH($I809,'CAT_TIPOS_OT'!$A$4:$A$23,0)),"SIN CLASIFICAR")))</f>
        <v/>
      </c>
      <c r="W809" s="24">
        <f>IF($H809="","",IF(IFERROR(INDEX('CAT_ACTIVIDADES'!$F$4:$F$26,MATCH($H809,'CAT_ACTIVIDADES'!$A$4:$A$26,0)),"")=0,"",IFERROR(INDEX('CAT_ACTIVIDADES'!$F$4:$F$26,MATCH($H809,'CAT_ACTIVIDADES'!$A$4:$A$26,0)),"")))</f>
        <v/>
      </c>
      <c r="X809" s="24">
        <f>IF($F809="","",IFERROR(INDEX('CAT_CENTROS_COSTO'!$F$4:$F$28,MATCH($F809,'CAT_CENTROS_COSTO'!$A$4:$A$28,0)),"(sin catálogo)"))</f>
        <v/>
      </c>
      <c r="Y809" s="24">
        <f>IF($F809="","",IFERROR(INDEX('CAT_CENTROS_COSTO'!$D$4:$D$28,MATCH($F809,'CAT_CENTROS_COSTO'!$A$4:$A$28,0)),"(sin catálogo)"))</f>
        <v/>
      </c>
      <c r="Z809" s="24">
        <f>IF($F809="","",IF((IFERROR(INDEX('CAT_CENTROS_COSTO'!$E$4:$E$28,MATCH($F809,'CAT_CENTROS_COSTO'!$A$4:$A$28,0)),""))&lt;&gt;"",IFERROR(INDEX('CAT_CENTROS_COSTO'!$E$4:$E$28,MATCH($F809,'CAT_CENTROS_COSTO'!$A$4:$A$28,0)),""),$Y809))</f>
        <v/>
      </c>
      <c r="AA809" s="24">
        <f>IF($F809="","",IFERROR(INDEX('CAT_CENTROS_COSTO'!$G$4:$G$28,MATCH($F809,'CAT_CENTROS_COSTO'!$A$4:$A$28,0)),"(sin catálogo)"))</f>
        <v/>
      </c>
      <c r="AB809" s="24">
        <f>IF($G809="","",IFERROR(INDEX('CAT_PUESTOS'!$B$4:$B$23,MATCH($G809,'CAT_PUESTOS'!$A$4:$A$23,0)),"(sin catálogo)"))</f>
        <v/>
      </c>
      <c r="AC809" s="24">
        <f>IF($H809="","",IFERROR(INDEX('CAT_ACTIVIDADES'!$B$4:$B$26,MATCH($H809,'CAT_ACTIVIDADES'!$A$4:$A$26,0)),"(sin catálogo)"))</f>
        <v/>
      </c>
      <c r="AD809" s="26">
        <f>IF($J809="","",TODAY()-$J809)</f>
        <v/>
      </c>
      <c r="AE809" s="26">
        <f>IF($J809="","",IF($J809&lt;=TODAY(),COUNTIFS(cal_fechas,"&gt;="&amp;$J809,cal_fechas,"&lt;"&amp;TODAY(),cal_habil,"sí"),-COUNTIFS(cal_fechas,"&gt;="&amp;TODAY(),cal_fechas,"&lt;"&amp;$J809,cal_habil,"sí")))</f>
        <v/>
      </c>
      <c r="AF809" s="24">
        <f>IF($AE809="","",IF($AE809&lt;0,"FUTURO",IF($AE809&gt;p_dias_backlog_max,"BACKLOG","MES CORRIENTE")))</f>
        <v/>
      </c>
      <c r="AG809" s="24">
        <f>IF($AE809="",FALSE,AND($AE809&gt;p_dias_backlog_min,$AE809&lt;=p_dias_backlog_max))</f>
        <v/>
      </c>
      <c r="AH809" s="4" t="n"/>
      <c r="AI809" s="24">
        <f>IF($AH809="","",IF((IFERROR(INDEX('ASIGNACIONES'!$J$4:$J$451,MATCH($O809&amp;"|"&amp;$S809&amp;"|"&amp;$AH809,'ASIGNACIONES'!$N$4:$N$451,0)),""))=0,"",IFERROR(INDEX('ASIGNACIONES'!$J$4:$J$451,MATCH($O809&amp;"|"&amp;$S809&amp;"|"&amp;$AH809,'ASIGNACIONES'!$N$4:$N$451,0)),"")))</f>
        <v/>
      </c>
      <c r="AJ809" s="42">
        <f>IF($AH809="","",SUMIFS('ORDENES'!$M$4:$M$1203,'ORDENES'!$AH$4:$AH$1203,$AH809,'ORDENES'!$O$4:$O$1203,$O809,'ORDENES'!$S$4:$S$1203,$S809))</f>
        <v/>
      </c>
      <c r="AK809" s="42">
        <f>IF($AJ809="","",p_factor_productividad*IFERROR(INDEX('ASIGNACIONES'!$M$4:$M$451,MATCH($O809&amp;"|"&amp;$S809&amp;"|"&amp;$AH809,'ASIGNACIONES'!$N$4:$N$451,0)),0)-$AJ809)</f>
        <v/>
      </c>
      <c r="AL809" s="32">
        <f>IF($A809="","",IFERROR(INDEX('2_IMPORTAR_EJECUCION'!$F$9:$F$1208,MATCH($AU809,'2_IMPORTAR_EJECUCION'!$J$9:$J$1208,0)),0))</f>
        <v/>
      </c>
      <c r="AM809" s="32">
        <f>IF($A809="","",MAX(0,IFERROR(INDEX('2_IMPORTAR_EJECUCION'!$H$9:$H$1208,MATCH($AU809,'2_IMPORTAR_EJECUCION'!$J$9:$J$1208,0)),0)-$AL809))</f>
        <v/>
      </c>
      <c r="AN809" s="32">
        <f>IF($A809="","",$AL809+$AM809)</f>
        <v/>
      </c>
      <c r="AO809" s="24">
        <f>IF($A809="","",IF(OR((IFERROR(INDEX('CAT_ACTIVIDADES'!$D$4:$D$26,MATCH($H809,'CAT_ACTIVIDADES'!$A$4:$A$26,0)),""))=0,(IFERROR(INDEX('CAT_ACTIVIDADES'!$D$4:$D$26,MATCH($H809,'CAT_ACTIVIDADES'!$A$4:$A$26,0)),""))=""),"SIN CLASIFICAR",IFERROR(INDEX('CAT_ACTIVIDADES'!$D$4:$D$26,MATCH($H809,'CAT_ACTIVIDADES'!$A$4:$A$26,0)),"")))</f>
        <v/>
      </c>
      <c r="AP809" s="4" t="n"/>
      <c r="AQ809" s="4" t="n"/>
      <c r="AR809" s="4" t="n"/>
      <c r="AS809" s="24">
        <f>IF($AR809="","",HYPERLINK(p_ruta_base_checklists&amp;$AR809,"abrir"))</f>
        <v/>
      </c>
      <c r="AT809" s="4" t="n"/>
      <c r="AU809" s="24">
        <f>IF($A809="","",$A809&amp;IF($B809="","0010",$B809))</f>
        <v/>
      </c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41" t="n"/>
      <c r="K810" s="5" t="n"/>
      <c r="L810" s="18" t="n"/>
      <c r="M810" s="24">
        <f>IF($A810="","",IFERROR(INDEX('AJUSTES'!$B$4:$B$303,MATCH($AU810,'AJUSTES'!$A$4:$A$303,0)),IF($K810="","",$K810)))</f>
        <v/>
      </c>
      <c r="N810" s="24">
        <f>IF($A810="","",IFERROR(INDEX('CAT_ESTADOS_ERP'!$B$4:$B$22,MATCH(IFERROR(INDEX('2_IMPORTAR_EJECUCION'!$C$9:$C$1208,MATCH($AU810,'2_IMPORTAR_EJECUCION'!$J$9:$J$1208,0)),""),'CAT_ESTADOS_ERP'!$A$4:$A$22,0)),"Pendiente"))</f>
        <v/>
      </c>
      <c r="O810" s="24">
        <f>IF($J810="","",YEAR($J810+4-WEEKDAY($J810,2))&amp;"-S"&amp;TEXT(_xlfn.ISOWEEKNUM($J810),"00"))</f>
        <v/>
      </c>
      <c r="P810" s="24">
        <f>IF($J810="","",YEAR($J810))</f>
        <v/>
      </c>
      <c r="Q810" s="24">
        <f>IF($J810="","",MONTH($J810))</f>
        <v/>
      </c>
      <c r="R810" s="24">
        <f>IF($J810="","",$P810&amp;"-"&amp;TEXT($Q810,"00"))</f>
        <v/>
      </c>
      <c r="S810" s="24">
        <f>IF($J810="","",INDEX(lista_dias,WEEKDAY($J810,2)))</f>
        <v/>
      </c>
      <c r="T810" s="24">
        <f>IF($J810="","",IFERROR(INDEX('CALENDARIO'!$C$15:$C$214,MATCH(TEXT($J810,"yyyy-mm-dd")&amp;"|"&amp;$Y810&amp;"|"&amp;$Z810,'CALENDARIO'!$G$15:$G$214,0)),IFERROR(INDEX('CALENDARIO'!$C$15:$C$214,MATCH(TEXT($J810,"yyyy-mm-dd")&amp;"|"&amp;$Y810&amp;"|",'CALENDARIO'!$G$15:$G$214,0)),IFERROR(INDEX('CALENDARIO'!$C$15:$C$214,MATCH(TEXT($J810,"yyyy-mm-dd")&amp;"||",'CALENDARIO'!$G$15:$G$214,0)),INDEX(patronHabil,WEEKDAY($J810,2))))))</f>
        <v/>
      </c>
      <c r="U810" s="24">
        <f>IF($I810="","",IFERROR(INDEX('CAT_TIPOS_OT'!$C$4:$C$23,MATCH($I810,'CAT_TIPOS_OT'!$A$4:$A$23,0)),"sin_clasificar"))</f>
        <v/>
      </c>
      <c r="V810" s="24">
        <f>IF($I810="","",IF(IFERROR(INDEX('CAT_TIPOS_OT'!$D$4:$D$23,MATCH($I810,'CAT_TIPOS_OT'!$A$4:$A$23,0)),"SIN CLASIFICAR")="","SIN CLASIFICAR",IFERROR(INDEX('CAT_TIPOS_OT'!$D$4:$D$23,MATCH($I810,'CAT_TIPOS_OT'!$A$4:$A$23,0)),"SIN CLASIFICAR")))</f>
        <v/>
      </c>
      <c r="W810" s="24">
        <f>IF($H810="","",IF(IFERROR(INDEX('CAT_ACTIVIDADES'!$F$4:$F$26,MATCH($H810,'CAT_ACTIVIDADES'!$A$4:$A$26,0)),"")=0,"",IFERROR(INDEX('CAT_ACTIVIDADES'!$F$4:$F$26,MATCH($H810,'CAT_ACTIVIDADES'!$A$4:$A$26,0)),"")))</f>
        <v/>
      </c>
      <c r="X810" s="24">
        <f>IF($F810="","",IFERROR(INDEX('CAT_CENTROS_COSTO'!$F$4:$F$28,MATCH($F810,'CAT_CENTROS_COSTO'!$A$4:$A$28,0)),"(sin catálogo)"))</f>
        <v/>
      </c>
      <c r="Y810" s="24">
        <f>IF($F810="","",IFERROR(INDEX('CAT_CENTROS_COSTO'!$D$4:$D$28,MATCH($F810,'CAT_CENTROS_COSTO'!$A$4:$A$28,0)),"(sin catálogo)"))</f>
        <v/>
      </c>
      <c r="Z810" s="24">
        <f>IF($F810="","",IF((IFERROR(INDEX('CAT_CENTROS_COSTO'!$E$4:$E$28,MATCH($F810,'CAT_CENTROS_COSTO'!$A$4:$A$28,0)),""))&lt;&gt;"",IFERROR(INDEX('CAT_CENTROS_COSTO'!$E$4:$E$28,MATCH($F810,'CAT_CENTROS_COSTO'!$A$4:$A$28,0)),""),$Y810))</f>
        <v/>
      </c>
      <c r="AA810" s="24">
        <f>IF($F810="","",IFERROR(INDEX('CAT_CENTROS_COSTO'!$G$4:$G$28,MATCH($F810,'CAT_CENTROS_COSTO'!$A$4:$A$28,0)),"(sin catálogo)"))</f>
        <v/>
      </c>
      <c r="AB810" s="24">
        <f>IF($G810="","",IFERROR(INDEX('CAT_PUESTOS'!$B$4:$B$23,MATCH($G810,'CAT_PUESTOS'!$A$4:$A$23,0)),"(sin catálogo)"))</f>
        <v/>
      </c>
      <c r="AC810" s="24">
        <f>IF($H810="","",IFERROR(INDEX('CAT_ACTIVIDADES'!$B$4:$B$26,MATCH($H810,'CAT_ACTIVIDADES'!$A$4:$A$26,0)),"(sin catálogo)"))</f>
        <v/>
      </c>
      <c r="AD810" s="26">
        <f>IF($J810="","",TODAY()-$J810)</f>
        <v/>
      </c>
      <c r="AE810" s="26">
        <f>IF($J810="","",IF($J810&lt;=TODAY(),COUNTIFS(cal_fechas,"&gt;="&amp;$J810,cal_fechas,"&lt;"&amp;TODAY(),cal_habil,"sí"),-COUNTIFS(cal_fechas,"&gt;="&amp;TODAY(),cal_fechas,"&lt;"&amp;$J810,cal_habil,"sí")))</f>
        <v/>
      </c>
      <c r="AF810" s="24">
        <f>IF($AE810="","",IF($AE810&lt;0,"FUTURO",IF($AE810&gt;p_dias_backlog_max,"BACKLOG","MES CORRIENTE")))</f>
        <v/>
      </c>
      <c r="AG810" s="24">
        <f>IF($AE810="",FALSE,AND($AE810&gt;p_dias_backlog_min,$AE810&lt;=p_dias_backlog_max))</f>
        <v/>
      </c>
      <c r="AH810" s="4" t="n"/>
      <c r="AI810" s="24">
        <f>IF($AH810="","",IF((IFERROR(INDEX('ASIGNACIONES'!$J$4:$J$451,MATCH($O810&amp;"|"&amp;$S810&amp;"|"&amp;$AH810,'ASIGNACIONES'!$N$4:$N$451,0)),""))=0,"",IFERROR(INDEX('ASIGNACIONES'!$J$4:$J$451,MATCH($O810&amp;"|"&amp;$S810&amp;"|"&amp;$AH810,'ASIGNACIONES'!$N$4:$N$451,0)),"")))</f>
        <v/>
      </c>
      <c r="AJ810" s="42">
        <f>IF($AH810="","",SUMIFS('ORDENES'!$M$4:$M$1203,'ORDENES'!$AH$4:$AH$1203,$AH810,'ORDENES'!$O$4:$O$1203,$O810,'ORDENES'!$S$4:$S$1203,$S810))</f>
        <v/>
      </c>
      <c r="AK810" s="42">
        <f>IF($AJ810="","",p_factor_productividad*IFERROR(INDEX('ASIGNACIONES'!$M$4:$M$451,MATCH($O810&amp;"|"&amp;$S810&amp;"|"&amp;$AH810,'ASIGNACIONES'!$N$4:$N$451,0)),0)-$AJ810)</f>
        <v/>
      </c>
      <c r="AL810" s="32">
        <f>IF($A810="","",IFERROR(INDEX('2_IMPORTAR_EJECUCION'!$F$9:$F$1208,MATCH($AU810,'2_IMPORTAR_EJECUCION'!$J$9:$J$1208,0)),0))</f>
        <v/>
      </c>
      <c r="AM810" s="32">
        <f>IF($A810="","",MAX(0,IFERROR(INDEX('2_IMPORTAR_EJECUCION'!$H$9:$H$1208,MATCH($AU810,'2_IMPORTAR_EJECUCION'!$J$9:$J$1208,0)),0)-$AL810))</f>
        <v/>
      </c>
      <c r="AN810" s="32">
        <f>IF($A810="","",$AL810+$AM810)</f>
        <v/>
      </c>
      <c r="AO810" s="24">
        <f>IF($A810="","",IF(OR((IFERROR(INDEX('CAT_ACTIVIDADES'!$D$4:$D$26,MATCH($H810,'CAT_ACTIVIDADES'!$A$4:$A$26,0)),""))=0,(IFERROR(INDEX('CAT_ACTIVIDADES'!$D$4:$D$26,MATCH($H810,'CAT_ACTIVIDADES'!$A$4:$A$26,0)),""))=""),"SIN CLASIFICAR",IFERROR(INDEX('CAT_ACTIVIDADES'!$D$4:$D$26,MATCH($H810,'CAT_ACTIVIDADES'!$A$4:$A$26,0)),"")))</f>
        <v/>
      </c>
      <c r="AP810" s="4" t="n"/>
      <c r="AQ810" s="4" t="n"/>
      <c r="AR810" s="4" t="n"/>
      <c r="AS810" s="24">
        <f>IF($AR810="","",HYPERLINK(p_ruta_base_checklists&amp;$AR810,"abrir"))</f>
        <v/>
      </c>
      <c r="AT810" s="4" t="n"/>
      <c r="AU810" s="24">
        <f>IF($A810="","",$A810&amp;IF($B810="","0010",$B810))</f>
        <v/>
      </c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41" t="n"/>
      <c r="K811" s="5" t="n"/>
      <c r="L811" s="18" t="n"/>
      <c r="M811" s="24">
        <f>IF($A811="","",IFERROR(INDEX('AJUSTES'!$B$4:$B$303,MATCH($AU811,'AJUSTES'!$A$4:$A$303,0)),IF($K811="","",$K811)))</f>
        <v/>
      </c>
      <c r="N811" s="24">
        <f>IF($A811="","",IFERROR(INDEX('CAT_ESTADOS_ERP'!$B$4:$B$22,MATCH(IFERROR(INDEX('2_IMPORTAR_EJECUCION'!$C$9:$C$1208,MATCH($AU811,'2_IMPORTAR_EJECUCION'!$J$9:$J$1208,0)),""),'CAT_ESTADOS_ERP'!$A$4:$A$22,0)),"Pendiente"))</f>
        <v/>
      </c>
      <c r="O811" s="24">
        <f>IF($J811="","",YEAR($J811+4-WEEKDAY($J811,2))&amp;"-S"&amp;TEXT(_xlfn.ISOWEEKNUM($J811),"00"))</f>
        <v/>
      </c>
      <c r="P811" s="24">
        <f>IF($J811="","",YEAR($J811))</f>
        <v/>
      </c>
      <c r="Q811" s="24">
        <f>IF($J811="","",MONTH($J811))</f>
        <v/>
      </c>
      <c r="R811" s="24">
        <f>IF($J811="","",$P811&amp;"-"&amp;TEXT($Q811,"00"))</f>
        <v/>
      </c>
      <c r="S811" s="24">
        <f>IF($J811="","",INDEX(lista_dias,WEEKDAY($J811,2)))</f>
        <v/>
      </c>
      <c r="T811" s="24">
        <f>IF($J811="","",IFERROR(INDEX('CALENDARIO'!$C$15:$C$214,MATCH(TEXT($J811,"yyyy-mm-dd")&amp;"|"&amp;$Y811&amp;"|"&amp;$Z811,'CALENDARIO'!$G$15:$G$214,0)),IFERROR(INDEX('CALENDARIO'!$C$15:$C$214,MATCH(TEXT($J811,"yyyy-mm-dd")&amp;"|"&amp;$Y811&amp;"|",'CALENDARIO'!$G$15:$G$214,0)),IFERROR(INDEX('CALENDARIO'!$C$15:$C$214,MATCH(TEXT($J811,"yyyy-mm-dd")&amp;"||",'CALENDARIO'!$G$15:$G$214,0)),INDEX(patronHabil,WEEKDAY($J811,2))))))</f>
        <v/>
      </c>
      <c r="U811" s="24">
        <f>IF($I811="","",IFERROR(INDEX('CAT_TIPOS_OT'!$C$4:$C$23,MATCH($I811,'CAT_TIPOS_OT'!$A$4:$A$23,0)),"sin_clasificar"))</f>
        <v/>
      </c>
      <c r="V811" s="24">
        <f>IF($I811="","",IF(IFERROR(INDEX('CAT_TIPOS_OT'!$D$4:$D$23,MATCH($I811,'CAT_TIPOS_OT'!$A$4:$A$23,0)),"SIN CLASIFICAR")="","SIN CLASIFICAR",IFERROR(INDEX('CAT_TIPOS_OT'!$D$4:$D$23,MATCH($I811,'CAT_TIPOS_OT'!$A$4:$A$23,0)),"SIN CLASIFICAR")))</f>
        <v/>
      </c>
      <c r="W811" s="24">
        <f>IF($H811="","",IF(IFERROR(INDEX('CAT_ACTIVIDADES'!$F$4:$F$26,MATCH($H811,'CAT_ACTIVIDADES'!$A$4:$A$26,0)),"")=0,"",IFERROR(INDEX('CAT_ACTIVIDADES'!$F$4:$F$26,MATCH($H811,'CAT_ACTIVIDADES'!$A$4:$A$26,0)),"")))</f>
        <v/>
      </c>
      <c r="X811" s="24">
        <f>IF($F811="","",IFERROR(INDEX('CAT_CENTROS_COSTO'!$F$4:$F$28,MATCH($F811,'CAT_CENTROS_COSTO'!$A$4:$A$28,0)),"(sin catálogo)"))</f>
        <v/>
      </c>
      <c r="Y811" s="24">
        <f>IF($F811="","",IFERROR(INDEX('CAT_CENTROS_COSTO'!$D$4:$D$28,MATCH($F811,'CAT_CENTROS_COSTO'!$A$4:$A$28,0)),"(sin catálogo)"))</f>
        <v/>
      </c>
      <c r="Z811" s="24">
        <f>IF($F811="","",IF((IFERROR(INDEX('CAT_CENTROS_COSTO'!$E$4:$E$28,MATCH($F811,'CAT_CENTROS_COSTO'!$A$4:$A$28,0)),""))&lt;&gt;"",IFERROR(INDEX('CAT_CENTROS_COSTO'!$E$4:$E$28,MATCH($F811,'CAT_CENTROS_COSTO'!$A$4:$A$28,0)),""),$Y811))</f>
        <v/>
      </c>
      <c r="AA811" s="24">
        <f>IF($F811="","",IFERROR(INDEX('CAT_CENTROS_COSTO'!$G$4:$G$28,MATCH($F811,'CAT_CENTROS_COSTO'!$A$4:$A$28,0)),"(sin catálogo)"))</f>
        <v/>
      </c>
      <c r="AB811" s="24">
        <f>IF($G811="","",IFERROR(INDEX('CAT_PUESTOS'!$B$4:$B$23,MATCH($G811,'CAT_PUESTOS'!$A$4:$A$23,0)),"(sin catálogo)"))</f>
        <v/>
      </c>
      <c r="AC811" s="24">
        <f>IF($H811="","",IFERROR(INDEX('CAT_ACTIVIDADES'!$B$4:$B$26,MATCH($H811,'CAT_ACTIVIDADES'!$A$4:$A$26,0)),"(sin catálogo)"))</f>
        <v/>
      </c>
      <c r="AD811" s="26">
        <f>IF($J811="","",TODAY()-$J811)</f>
        <v/>
      </c>
      <c r="AE811" s="26">
        <f>IF($J811="","",IF($J811&lt;=TODAY(),COUNTIFS(cal_fechas,"&gt;="&amp;$J811,cal_fechas,"&lt;"&amp;TODAY(),cal_habil,"sí"),-COUNTIFS(cal_fechas,"&gt;="&amp;TODAY(),cal_fechas,"&lt;"&amp;$J811,cal_habil,"sí")))</f>
        <v/>
      </c>
      <c r="AF811" s="24">
        <f>IF($AE811="","",IF($AE811&lt;0,"FUTURO",IF($AE811&gt;p_dias_backlog_max,"BACKLOG","MES CORRIENTE")))</f>
        <v/>
      </c>
      <c r="AG811" s="24">
        <f>IF($AE811="",FALSE,AND($AE811&gt;p_dias_backlog_min,$AE811&lt;=p_dias_backlog_max))</f>
        <v/>
      </c>
      <c r="AH811" s="4" t="n"/>
      <c r="AI811" s="24">
        <f>IF($AH811="","",IF((IFERROR(INDEX('ASIGNACIONES'!$J$4:$J$451,MATCH($O811&amp;"|"&amp;$S811&amp;"|"&amp;$AH811,'ASIGNACIONES'!$N$4:$N$451,0)),""))=0,"",IFERROR(INDEX('ASIGNACIONES'!$J$4:$J$451,MATCH($O811&amp;"|"&amp;$S811&amp;"|"&amp;$AH811,'ASIGNACIONES'!$N$4:$N$451,0)),"")))</f>
        <v/>
      </c>
      <c r="AJ811" s="42">
        <f>IF($AH811="","",SUMIFS('ORDENES'!$M$4:$M$1203,'ORDENES'!$AH$4:$AH$1203,$AH811,'ORDENES'!$O$4:$O$1203,$O811,'ORDENES'!$S$4:$S$1203,$S811))</f>
        <v/>
      </c>
      <c r="AK811" s="42">
        <f>IF($AJ811="","",p_factor_productividad*IFERROR(INDEX('ASIGNACIONES'!$M$4:$M$451,MATCH($O811&amp;"|"&amp;$S811&amp;"|"&amp;$AH811,'ASIGNACIONES'!$N$4:$N$451,0)),0)-$AJ811)</f>
        <v/>
      </c>
      <c r="AL811" s="32">
        <f>IF($A811="","",IFERROR(INDEX('2_IMPORTAR_EJECUCION'!$F$9:$F$1208,MATCH($AU811,'2_IMPORTAR_EJECUCION'!$J$9:$J$1208,0)),0))</f>
        <v/>
      </c>
      <c r="AM811" s="32">
        <f>IF($A811="","",MAX(0,IFERROR(INDEX('2_IMPORTAR_EJECUCION'!$H$9:$H$1208,MATCH($AU811,'2_IMPORTAR_EJECUCION'!$J$9:$J$1208,0)),0)-$AL811))</f>
        <v/>
      </c>
      <c r="AN811" s="32">
        <f>IF($A811="","",$AL811+$AM811)</f>
        <v/>
      </c>
      <c r="AO811" s="24">
        <f>IF($A811="","",IF(OR((IFERROR(INDEX('CAT_ACTIVIDADES'!$D$4:$D$26,MATCH($H811,'CAT_ACTIVIDADES'!$A$4:$A$26,0)),""))=0,(IFERROR(INDEX('CAT_ACTIVIDADES'!$D$4:$D$26,MATCH($H811,'CAT_ACTIVIDADES'!$A$4:$A$26,0)),""))=""),"SIN CLASIFICAR",IFERROR(INDEX('CAT_ACTIVIDADES'!$D$4:$D$26,MATCH($H811,'CAT_ACTIVIDADES'!$A$4:$A$26,0)),"")))</f>
        <v/>
      </c>
      <c r="AP811" s="4" t="n"/>
      <c r="AQ811" s="4" t="n"/>
      <c r="AR811" s="4" t="n"/>
      <c r="AS811" s="24">
        <f>IF($AR811="","",HYPERLINK(p_ruta_base_checklists&amp;$AR811,"abrir"))</f>
        <v/>
      </c>
      <c r="AT811" s="4" t="n"/>
      <c r="AU811" s="24">
        <f>IF($A811="","",$A811&amp;IF($B811="","0010",$B811))</f>
        <v/>
      </c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41" t="n"/>
      <c r="K812" s="5" t="n"/>
      <c r="L812" s="18" t="n"/>
      <c r="M812" s="24">
        <f>IF($A812="","",IFERROR(INDEX('AJUSTES'!$B$4:$B$303,MATCH($AU812,'AJUSTES'!$A$4:$A$303,0)),IF($K812="","",$K812)))</f>
        <v/>
      </c>
      <c r="N812" s="24">
        <f>IF($A812="","",IFERROR(INDEX('CAT_ESTADOS_ERP'!$B$4:$B$22,MATCH(IFERROR(INDEX('2_IMPORTAR_EJECUCION'!$C$9:$C$1208,MATCH($AU812,'2_IMPORTAR_EJECUCION'!$J$9:$J$1208,0)),""),'CAT_ESTADOS_ERP'!$A$4:$A$22,0)),"Pendiente"))</f>
        <v/>
      </c>
      <c r="O812" s="24">
        <f>IF($J812="","",YEAR($J812+4-WEEKDAY($J812,2))&amp;"-S"&amp;TEXT(_xlfn.ISOWEEKNUM($J812),"00"))</f>
        <v/>
      </c>
      <c r="P812" s="24">
        <f>IF($J812="","",YEAR($J812))</f>
        <v/>
      </c>
      <c r="Q812" s="24">
        <f>IF($J812="","",MONTH($J812))</f>
        <v/>
      </c>
      <c r="R812" s="24">
        <f>IF($J812="","",$P812&amp;"-"&amp;TEXT($Q812,"00"))</f>
        <v/>
      </c>
      <c r="S812" s="24">
        <f>IF($J812="","",INDEX(lista_dias,WEEKDAY($J812,2)))</f>
        <v/>
      </c>
      <c r="T812" s="24">
        <f>IF($J812="","",IFERROR(INDEX('CALENDARIO'!$C$15:$C$214,MATCH(TEXT($J812,"yyyy-mm-dd")&amp;"|"&amp;$Y812&amp;"|"&amp;$Z812,'CALENDARIO'!$G$15:$G$214,0)),IFERROR(INDEX('CALENDARIO'!$C$15:$C$214,MATCH(TEXT($J812,"yyyy-mm-dd")&amp;"|"&amp;$Y812&amp;"|",'CALENDARIO'!$G$15:$G$214,0)),IFERROR(INDEX('CALENDARIO'!$C$15:$C$214,MATCH(TEXT($J812,"yyyy-mm-dd")&amp;"||",'CALENDARIO'!$G$15:$G$214,0)),INDEX(patronHabil,WEEKDAY($J812,2))))))</f>
        <v/>
      </c>
      <c r="U812" s="24">
        <f>IF($I812="","",IFERROR(INDEX('CAT_TIPOS_OT'!$C$4:$C$23,MATCH($I812,'CAT_TIPOS_OT'!$A$4:$A$23,0)),"sin_clasificar"))</f>
        <v/>
      </c>
      <c r="V812" s="24">
        <f>IF($I812="","",IF(IFERROR(INDEX('CAT_TIPOS_OT'!$D$4:$D$23,MATCH($I812,'CAT_TIPOS_OT'!$A$4:$A$23,0)),"SIN CLASIFICAR")="","SIN CLASIFICAR",IFERROR(INDEX('CAT_TIPOS_OT'!$D$4:$D$23,MATCH($I812,'CAT_TIPOS_OT'!$A$4:$A$23,0)),"SIN CLASIFICAR")))</f>
        <v/>
      </c>
      <c r="W812" s="24">
        <f>IF($H812="","",IF(IFERROR(INDEX('CAT_ACTIVIDADES'!$F$4:$F$26,MATCH($H812,'CAT_ACTIVIDADES'!$A$4:$A$26,0)),"")=0,"",IFERROR(INDEX('CAT_ACTIVIDADES'!$F$4:$F$26,MATCH($H812,'CAT_ACTIVIDADES'!$A$4:$A$26,0)),"")))</f>
        <v/>
      </c>
      <c r="X812" s="24">
        <f>IF($F812="","",IFERROR(INDEX('CAT_CENTROS_COSTO'!$F$4:$F$28,MATCH($F812,'CAT_CENTROS_COSTO'!$A$4:$A$28,0)),"(sin catálogo)"))</f>
        <v/>
      </c>
      <c r="Y812" s="24">
        <f>IF($F812="","",IFERROR(INDEX('CAT_CENTROS_COSTO'!$D$4:$D$28,MATCH($F812,'CAT_CENTROS_COSTO'!$A$4:$A$28,0)),"(sin catálogo)"))</f>
        <v/>
      </c>
      <c r="Z812" s="24">
        <f>IF($F812="","",IF((IFERROR(INDEX('CAT_CENTROS_COSTO'!$E$4:$E$28,MATCH($F812,'CAT_CENTROS_COSTO'!$A$4:$A$28,0)),""))&lt;&gt;"",IFERROR(INDEX('CAT_CENTROS_COSTO'!$E$4:$E$28,MATCH($F812,'CAT_CENTROS_COSTO'!$A$4:$A$28,0)),""),$Y812))</f>
        <v/>
      </c>
      <c r="AA812" s="24">
        <f>IF($F812="","",IFERROR(INDEX('CAT_CENTROS_COSTO'!$G$4:$G$28,MATCH($F812,'CAT_CENTROS_COSTO'!$A$4:$A$28,0)),"(sin catálogo)"))</f>
        <v/>
      </c>
      <c r="AB812" s="24">
        <f>IF($G812="","",IFERROR(INDEX('CAT_PUESTOS'!$B$4:$B$23,MATCH($G812,'CAT_PUESTOS'!$A$4:$A$23,0)),"(sin catálogo)"))</f>
        <v/>
      </c>
      <c r="AC812" s="24">
        <f>IF($H812="","",IFERROR(INDEX('CAT_ACTIVIDADES'!$B$4:$B$26,MATCH($H812,'CAT_ACTIVIDADES'!$A$4:$A$26,0)),"(sin catálogo)"))</f>
        <v/>
      </c>
      <c r="AD812" s="26">
        <f>IF($J812="","",TODAY()-$J812)</f>
        <v/>
      </c>
      <c r="AE812" s="26">
        <f>IF($J812="","",IF($J812&lt;=TODAY(),COUNTIFS(cal_fechas,"&gt;="&amp;$J812,cal_fechas,"&lt;"&amp;TODAY(),cal_habil,"sí"),-COUNTIFS(cal_fechas,"&gt;="&amp;TODAY(),cal_fechas,"&lt;"&amp;$J812,cal_habil,"sí")))</f>
        <v/>
      </c>
      <c r="AF812" s="24">
        <f>IF($AE812="","",IF($AE812&lt;0,"FUTURO",IF($AE812&gt;p_dias_backlog_max,"BACKLOG","MES CORRIENTE")))</f>
        <v/>
      </c>
      <c r="AG812" s="24">
        <f>IF($AE812="",FALSE,AND($AE812&gt;p_dias_backlog_min,$AE812&lt;=p_dias_backlog_max))</f>
        <v/>
      </c>
      <c r="AH812" s="4" t="n"/>
      <c r="AI812" s="24">
        <f>IF($AH812="","",IF((IFERROR(INDEX('ASIGNACIONES'!$J$4:$J$451,MATCH($O812&amp;"|"&amp;$S812&amp;"|"&amp;$AH812,'ASIGNACIONES'!$N$4:$N$451,0)),""))=0,"",IFERROR(INDEX('ASIGNACIONES'!$J$4:$J$451,MATCH($O812&amp;"|"&amp;$S812&amp;"|"&amp;$AH812,'ASIGNACIONES'!$N$4:$N$451,0)),"")))</f>
        <v/>
      </c>
      <c r="AJ812" s="42">
        <f>IF($AH812="","",SUMIFS('ORDENES'!$M$4:$M$1203,'ORDENES'!$AH$4:$AH$1203,$AH812,'ORDENES'!$O$4:$O$1203,$O812,'ORDENES'!$S$4:$S$1203,$S812))</f>
        <v/>
      </c>
      <c r="AK812" s="42">
        <f>IF($AJ812="","",p_factor_productividad*IFERROR(INDEX('ASIGNACIONES'!$M$4:$M$451,MATCH($O812&amp;"|"&amp;$S812&amp;"|"&amp;$AH812,'ASIGNACIONES'!$N$4:$N$451,0)),0)-$AJ812)</f>
        <v/>
      </c>
      <c r="AL812" s="32">
        <f>IF($A812="","",IFERROR(INDEX('2_IMPORTAR_EJECUCION'!$F$9:$F$1208,MATCH($AU812,'2_IMPORTAR_EJECUCION'!$J$9:$J$1208,0)),0))</f>
        <v/>
      </c>
      <c r="AM812" s="32">
        <f>IF($A812="","",MAX(0,IFERROR(INDEX('2_IMPORTAR_EJECUCION'!$H$9:$H$1208,MATCH($AU812,'2_IMPORTAR_EJECUCION'!$J$9:$J$1208,0)),0)-$AL812))</f>
        <v/>
      </c>
      <c r="AN812" s="32">
        <f>IF($A812="","",$AL812+$AM812)</f>
        <v/>
      </c>
      <c r="AO812" s="24">
        <f>IF($A812="","",IF(OR((IFERROR(INDEX('CAT_ACTIVIDADES'!$D$4:$D$26,MATCH($H812,'CAT_ACTIVIDADES'!$A$4:$A$26,0)),""))=0,(IFERROR(INDEX('CAT_ACTIVIDADES'!$D$4:$D$26,MATCH($H812,'CAT_ACTIVIDADES'!$A$4:$A$26,0)),""))=""),"SIN CLASIFICAR",IFERROR(INDEX('CAT_ACTIVIDADES'!$D$4:$D$26,MATCH($H812,'CAT_ACTIVIDADES'!$A$4:$A$26,0)),"")))</f>
        <v/>
      </c>
      <c r="AP812" s="4" t="n"/>
      <c r="AQ812" s="4" t="n"/>
      <c r="AR812" s="4" t="n"/>
      <c r="AS812" s="24">
        <f>IF($AR812="","",HYPERLINK(p_ruta_base_checklists&amp;$AR812,"abrir"))</f>
        <v/>
      </c>
      <c r="AT812" s="4" t="n"/>
      <c r="AU812" s="24">
        <f>IF($A812="","",$A812&amp;IF($B812="","0010",$B812))</f>
        <v/>
      </c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41" t="n"/>
      <c r="K813" s="5" t="n"/>
      <c r="L813" s="18" t="n"/>
      <c r="M813" s="24">
        <f>IF($A813="","",IFERROR(INDEX('AJUSTES'!$B$4:$B$303,MATCH($AU813,'AJUSTES'!$A$4:$A$303,0)),IF($K813="","",$K813)))</f>
        <v/>
      </c>
      <c r="N813" s="24">
        <f>IF($A813="","",IFERROR(INDEX('CAT_ESTADOS_ERP'!$B$4:$B$22,MATCH(IFERROR(INDEX('2_IMPORTAR_EJECUCION'!$C$9:$C$1208,MATCH($AU813,'2_IMPORTAR_EJECUCION'!$J$9:$J$1208,0)),""),'CAT_ESTADOS_ERP'!$A$4:$A$22,0)),"Pendiente"))</f>
        <v/>
      </c>
      <c r="O813" s="24">
        <f>IF($J813="","",YEAR($J813+4-WEEKDAY($J813,2))&amp;"-S"&amp;TEXT(_xlfn.ISOWEEKNUM($J813),"00"))</f>
        <v/>
      </c>
      <c r="P813" s="24">
        <f>IF($J813="","",YEAR($J813))</f>
        <v/>
      </c>
      <c r="Q813" s="24">
        <f>IF($J813="","",MONTH($J813))</f>
        <v/>
      </c>
      <c r="R813" s="24">
        <f>IF($J813="","",$P813&amp;"-"&amp;TEXT($Q813,"00"))</f>
        <v/>
      </c>
      <c r="S813" s="24">
        <f>IF($J813="","",INDEX(lista_dias,WEEKDAY($J813,2)))</f>
        <v/>
      </c>
      <c r="T813" s="24">
        <f>IF($J813="","",IFERROR(INDEX('CALENDARIO'!$C$15:$C$214,MATCH(TEXT($J813,"yyyy-mm-dd")&amp;"|"&amp;$Y813&amp;"|"&amp;$Z813,'CALENDARIO'!$G$15:$G$214,0)),IFERROR(INDEX('CALENDARIO'!$C$15:$C$214,MATCH(TEXT($J813,"yyyy-mm-dd")&amp;"|"&amp;$Y813&amp;"|",'CALENDARIO'!$G$15:$G$214,0)),IFERROR(INDEX('CALENDARIO'!$C$15:$C$214,MATCH(TEXT($J813,"yyyy-mm-dd")&amp;"||",'CALENDARIO'!$G$15:$G$214,0)),INDEX(patronHabil,WEEKDAY($J813,2))))))</f>
        <v/>
      </c>
      <c r="U813" s="24">
        <f>IF($I813="","",IFERROR(INDEX('CAT_TIPOS_OT'!$C$4:$C$23,MATCH($I813,'CAT_TIPOS_OT'!$A$4:$A$23,0)),"sin_clasificar"))</f>
        <v/>
      </c>
      <c r="V813" s="24">
        <f>IF($I813="","",IF(IFERROR(INDEX('CAT_TIPOS_OT'!$D$4:$D$23,MATCH($I813,'CAT_TIPOS_OT'!$A$4:$A$23,0)),"SIN CLASIFICAR")="","SIN CLASIFICAR",IFERROR(INDEX('CAT_TIPOS_OT'!$D$4:$D$23,MATCH($I813,'CAT_TIPOS_OT'!$A$4:$A$23,0)),"SIN CLASIFICAR")))</f>
        <v/>
      </c>
      <c r="W813" s="24">
        <f>IF($H813="","",IF(IFERROR(INDEX('CAT_ACTIVIDADES'!$F$4:$F$26,MATCH($H813,'CAT_ACTIVIDADES'!$A$4:$A$26,0)),"")=0,"",IFERROR(INDEX('CAT_ACTIVIDADES'!$F$4:$F$26,MATCH($H813,'CAT_ACTIVIDADES'!$A$4:$A$26,0)),"")))</f>
        <v/>
      </c>
      <c r="X813" s="24">
        <f>IF($F813="","",IFERROR(INDEX('CAT_CENTROS_COSTO'!$F$4:$F$28,MATCH($F813,'CAT_CENTROS_COSTO'!$A$4:$A$28,0)),"(sin catálogo)"))</f>
        <v/>
      </c>
      <c r="Y813" s="24">
        <f>IF($F813="","",IFERROR(INDEX('CAT_CENTROS_COSTO'!$D$4:$D$28,MATCH($F813,'CAT_CENTROS_COSTO'!$A$4:$A$28,0)),"(sin catálogo)"))</f>
        <v/>
      </c>
      <c r="Z813" s="24">
        <f>IF($F813="","",IF((IFERROR(INDEX('CAT_CENTROS_COSTO'!$E$4:$E$28,MATCH($F813,'CAT_CENTROS_COSTO'!$A$4:$A$28,0)),""))&lt;&gt;"",IFERROR(INDEX('CAT_CENTROS_COSTO'!$E$4:$E$28,MATCH($F813,'CAT_CENTROS_COSTO'!$A$4:$A$28,0)),""),$Y813))</f>
        <v/>
      </c>
      <c r="AA813" s="24">
        <f>IF($F813="","",IFERROR(INDEX('CAT_CENTROS_COSTO'!$G$4:$G$28,MATCH($F813,'CAT_CENTROS_COSTO'!$A$4:$A$28,0)),"(sin catálogo)"))</f>
        <v/>
      </c>
      <c r="AB813" s="24">
        <f>IF($G813="","",IFERROR(INDEX('CAT_PUESTOS'!$B$4:$B$23,MATCH($G813,'CAT_PUESTOS'!$A$4:$A$23,0)),"(sin catálogo)"))</f>
        <v/>
      </c>
      <c r="AC813" s="24">
        <f>IF($H813="","",IFERROR(INDEX('CAT_ACTIVIDADES'!$B$4:$B$26,MATCH($H813,'CAT_ACTIVIDADES'!$A$4:$A$26,0)),"(sin catálogo)"))</f>
        <v/>
      </c>
      <c r="AD813" s="26">
        <f>IF($J813="","",TODAY()-$J813)</f>
        <v/>
      </c>
      <c r="AE813" s="26">
        <f>IF($J813="","",IF($J813&lt;=TODAY(),COUNTIFS(cal_fechas,"&gt;="&amp;$J813,cal_fechas,"&lt;"&amp;TODAY(),cal_habil,"sí"),-COUNTIFS(cal_fechas,"&gt;="&amp;TODAY(),cal_fechas,"&lt;"&amp;$J813,cal_habil,"sí")))</f>
        <v/>
      </c>
      <c r="AF813" s="24">
        <f>IF($AE813="","",IF($AE813&lt;0,"FUTURO",IF($AE813&gt;p_dias_backlog_max,"BACKLOG","MES CORRIENTE")))</f>
        <v/>
      </c>
      <c r="AG813" s="24">
        <f>IF($AE813="",FALSE,AND($AE813&gt;p_dias_backlog_min,$AE813&lt;=p_dias_backlog_max))</f>
        <v/>
      </c>
      <c r="AH813" s="4" t="n"/>
      <c r="AI813" s="24">
        <f>IF($AH813="","",IF((IFERROR(INDEX('ASIGNACIONES'!$J$4:$J$451,MATCH($O813&amp;"|"&amp;$S813&amp;"|"&amp;$AH813,'ASIGNACIONES'!$N$4:$N$451,0)),""))=0,"",IFERROR(INDEX('ASIGNACIONES'!$J$4:$J$451,MATCH($O813&amp;"|"&amp;$S813&amp;"|"&amp;$AH813,'ASIGNACIONES'!$N$4:$N$451,0)),"")))</f>
        <v/>
      </c>
      <c r="AJ813" s="42">
        <f>IF($AH813="","",SUMIFS('ORDENES'!$M$4:$M$1203,'ORDENES'!$AH$4:$AH$1203,$AH813,'ORDENES'!$O$4:$O$1203,$O813,'ORDENES'!$S$4:$S$1203,$S813))</f>
        <v/>
      </c>
      <c r="AK813" s="42">
        <f>IF($AJ813="","",p_factor_productividad*IFERROR(INDEX('ASIGNACIONES'!$M$4:$M$451,MATCH($O813&amp;"|"&amp;$S813&amp;"|"&amp;$AH813,'ASIGNACIONES'!$N$4:$N$451,0)),0)-$AJ813)</f>
        <v/>
      </c>
      <c r="AL813" s="32">
        <f>IF($A813="","",IFERROR(INDEX('2_IMPORTAR_EJECUCION'!$F$9:$F$1208,MATCH($AU813,'2_IMPORTAR_EJECUCION'!$J$9:$J$1208,0)),0))</f>
        <v/>
      </c>
      <c r="AM813" s="32">
        <f>IF($A813="","",MAX(0,IFERROR(INDEX('2_IMPORTAR_EJECUCION'!$H$9:$H$1208,MATCH($AU813,'2_IMPORTAR_EJECUCION'!$J$9:$J$1208,0)),0)-$AL813))</f>
        <v/>
      </c>
      <c r="AN813" s="32">
        <f>IF($A813="","",$AL813+$AM813)</f>
        <v/>
      </c>
      <c r="AO813" s="24">
        <f>IF($A813="","",IF(OR((IFERROR(INDEX('CAT_ACTIVIDADES'!$D$4:$D$26,MATCH($H813,'CAT_ACTIVIDADES'!$A$4:$A$26,0)),""))=0,(IFERROR(INDEX('CAT_ACTIVIDADES'!$D$4:$D$26,MATCH($H813,'CAT_ACTIVIDADES'!$A$4:$A$26,0)),""))=""),"SIN CLASIFICAR",IFERROR(INDEX('CAT_ACTIVIDADES'!$D$4:$D$26,MATCH($H813,'CAT_ACTIVIDADES'!$A$4:$A$26,0)),"")))</f>
        <v/>
      </c>
      <c r="AP813" s="4" t="n"/>
      <c r="AQ813" s="4" t="n"/>
      <c r="AR813" s="4" t="n"/>
      <c r="AS813" s="24">
        <f>IF($AR813="","",HYPERLINK(p_ruta_base_checklists&amp;$AR813,"abrir"))</f>
        <v/>
      </c>
      <c r="AT813" s="4" t="n"/>
      <c r="AU813" s="24">
        <f>IF($A813="","",$A813&amp;IF($B813="","0010",$B813))</f>
        <v/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41" t="n"/>
      <c r="K814" s="5" t="n"/>
      <c r="L814" s="18" t="n"/>
      <c r="M814" s="24">
        <f>IF($A814="","",IFERROR(INDEX('AJUSTES'!$B$4:$B$303,MATCH($AU814,'AJUSTES'!$A$4:$A$303,0)),IF($K814="","",$K814)))</f>
        <v/>
      </c>
      <c r="N814" s="24">
        <f>IF($A814="","",IFERROR(INDEX('CAT_ESTADOS_ERP'!$B$4:$B$22,MATCH(IFERROR(INDEX('2_IMPORTAR_EJECUCION'!$C$9:$C$1208,MATCH($AU814,'2_IMPORTAR_EJECUCION'!$J$9:$J$1208,0)),""),'CAT_ESTADOS_ERP'!$A$4:$A$22,0)),"Pendiente"))</f>
        <v/>
      </c>
      <c r="O814" s="24">
        <f>IF($J814="","",YEAR($J814+4-WEEKDAY($J814,2))&amp;"-S"&amp;TEXT(_xlfn.ISOWEEKNUM($J814),"00"))</f>
        <v/>
      </c>
      <c r="P814" s="24">
        <f>IF($J814="","",YEAR($J814))</f>
        <v/>
      </c>
      <c r="Q814" s="24">
        <f>IF($J814="","",MONTH($J814))</f>
        <v/>
      </c>
      <c r="R814" s="24">
        <f>IF($J814="","",$P814&amp;"-"&amp;TEXT($Q814,"00"))</f>
        <v/>
      </c>
      <c r="S814" s="24">
        <f>IF($J814="","",INDEX(lista_dias,WEEKDAY($J814,2)))</f>
        <v/>
      </c>
      <c r="T814" s="24">
        <f>IF($J814="","",IFERROR(INDEX('CALENDARIO'!$C$15:$C$214,MATCH(TEXT($J814,"yyyy-mm-dd")&amp;"|"&amp;$Y814&amp;"|"&amp;$Z814,'CALENDARIO'!$G$15:$G$214,0)),IFERROR(INDEX('CALENDARIO'!$C$15:$C$214,MATCH(TEXT($J814,"yyyy-mm-dd")&amp;"|"&amp;$Y814&amp;"|",'CALENDARIO'!$G$15:$G$214,0)),IFERROR(INDEX('CALENDARIO'!$C$15:$C$214,MATCH(TEXT($J814,"yyyy-mm-dd")&amp;"||",'CALENDARIO'!$G$15:$G$214,0)),INDEX(patronHabil,WEEKDAY($J814,2))))))</f>
        <v/>
      </c>
      <c r="U814" s="24">
        <f>IF($I814="","",IFERROR(INDEX('CAT_TIPOS_OT'!$C$4:$C$23,MATCH($I814,'CAT_TIPOS_OT'!$A$4:$A$23,0)),"sin_clasificar"))</f>
        <v/>
      </c>
      <c r="V814" s="24">
        <f>IF($I814="","",IF(IFERROR(INDEX('CAT_TIPOS_OT'!$D$4:$D$23,MATCH($I814,'CAT_TIPOS_OT'!$A$4:$A$23,0)),"SIN CLASIFICAR")="","SIN CLASIFICAR",IFERROR(INDEX('CAT_TIPOS_OT'!$D$4:$D$23,MATCH($I814,'CAT_TIPOS_OT'!$A$4:$A$23,0)),"SIN CLASIFICAR")))</f>
        <v/>
      </c>
      <c r="W814" s="24">
        <f>IF($H814="","",IF(IFERROR(INDEX('CAT_ACTIVIDADES'!$F$4:$F$26,MATCH($H814,'CAT_ACTIVIDADES'!$A$4:$A$26,0)),"")=0,"",IFERROR(INDEX('CAT_ACTIVIDADES'!$F$4:$F$26,MATCH($H814,'CAT_ACTIVIDADES'!$A$4:$A$26,0)),"")))</f>
        <v/>
      </c>
      <c r="X814" s="24">
        <f>IF($F814="","",IFERROR(INDEX('CAT_CENTROS_COSTO'!$F$4:$F$28,MATCH($F814,'CAT_CENTROS_COSTO'!$A$4:$A$28,0)),"(sin catálogo)"))</f>
        <v/>
      </c>
      <c r="Y814" s="24">
        <f>IF($F814="","",IFERROR(INDEX('CAT_CENTROS_COSTO'!$D$4:$D$28,MATCH($F814,'CAT_CENTROS_COSTO'!$A$4:$A$28,0)),"(sin catálogo)"))</f>
        <v/>
      </c>
      <c r="Z814" s="24">
        <f>IF($F814="","",IF((IFERROR(INDEX('CAT_CENTROS_COSTO'!$E$4:$E$28,MATCH($F814,'CAT_CENTROS_COSTO'!$A$4:$A$28,0)),""))&lt;&gt;"",IFERROR(INDEX('CAT_CENTROS_COSTO'!$E$4:$E$28,MATCH($F814,'CAT_CENTROS_COSTO'!$A$4:$A$28,0)),""),$Y814))</f>
        <v/>
      </c>
      <c r="AA814" s="24">
        <f>IF($F814="","",IFERROR(INDEX('CAT_CENTROS_COSTO'!$G$4:$G$28,MATCH($F814,'CAT_CENTROS_COSTO'!$A$4:$A$28,0)),"(sin catálogo)"))</f>
        <v/>
      </c>
      <c r="AB814" s="24">
        <f>IF($G814="","",IFERROR(INDEX('CAT_PUESTOS'!$B$4:$B$23,MATCH($G814,'CAT_PUESTOS'!$A$4:$A$23,0)),"(sin catálogo)"))</f>
        <v/>
      </c>
      <c r="AC814" s="24">
        <f>IF($H814="","",IFERROR(INDEX('CAT_ACTIVIDADES'!$B$4:$B$26,MATCH($H814,'CAT_ACTIVIDADES'!$A$4:$A$26,0)),"(sin catálogo)"))</f>
        <v/>
      </c>
      <c r="AD814" s="26">
        <f>IF($J814="","",TODAY()-$J814)</f>
        <v/>
      </c>
      <c r="AE814" s="26">
        <f>IF($J814="","",IF($J814&lt;=TODAY(),COUNTIFS(cal_fechas,"&gt;="&amp;$J814,cal_fechas,"&lt;"&amp;TODAY(),cal_habil,"sí"),-COUNTIFS(cal_fechas,"&gt;="&amp;TODAY(),cal_fechas,"&lt;"&amp;$J814,cal_habil,"sí")))</f>
        <v/>
      </c>
      <c r="AF814" s="24">
        <f>IF($AE814="","",IF($AE814&lt;0,"FUTURO",IF($AE814&gt;p_dias_backlog_max,"BACKLOG","MES CORRIENTE")))</f>
        <v/>
      </c>
      <c r="AG814" s="24">
        <f>IF($AE814="",FALSE,AND($AE814&gt;p_dias_backlog_min,$AE814&lt;=p_dias_backlog_max))</f>
        <v/>
      </c>
      <c r="AH814" s="4" t="n"/>
      <c r="AI814" s="24">
        <f>IF($AH814="","",IF((IFERROR(INDEX('ASIGNACIONES'!$J$4:$J$451,MATCH($O814&amp;"|"&amp;$S814&amp;"|"&amp;$AH814,'ASIGNACIONES'!$N$4:$N$451,0)),""))=0,"",IFERROR(INDEX('ASIGNACIONES'!$J$4:$J$451,MATCH($O814&amp;"|"&amp;$S814&amp;"|"&amp;$AH814,'ASIGNACIONES'!$N$4:$N$451,0)),"")))</f>
        <v/>
      </c>
      <c r="AJ814" s="42">
        <f>IF($AH814="","",SUMIFS('ORDENES'!$M$4:$M$1203,'ORDENES'!$AH$4:$AH$1203,$AH814,'ORDENES'!$O$4:$O$1203,$O814,'ORDENES'!$S$4:$S$1203,$S814))</f>
        <v/>
      </c>
      <c r="AK814" s="42">
        <f>IF($AJ814="","",p_factor_productividad*IFERROR(INDEX('ASIGNACIONES'!$M$4:$M$451,MATCH($O814&amp;"|"&amp;$S814&amp;"|"&amp;$AH814,'ASIGNACIONES'!$N$4:$N$451,0)),0)-$AJ814)</f>
        <v/>
      </c>
      <c r="AL814" s="32">
        <f>IF($A814="","",IFERROR(INDEX('2_IMPORTAR_EJECUCION'!$F$9:$F$1208,MATCH($AU814,'2_IMPORTAR_EJECUCION'!$J$9:$J$1208,0)),0))</f>
        <v/>
      </c>
      <c r="AM814" s="32">
        <f>IF($A814="","",MAX(0,IFERROR(INDEX('2_IMPORTAR_EJECUCION'!$H$9:$H$1208,MATCH($AU814,'2_IMPORTAR_EJECUCION'!$J$9:$J$1208,0)),0)-$AL814))</f>
        <v/>
      </c>
      <c r="AN814" s="32">
        <f>IF($A814="","",$AL814+$AM814)</f>
        <v/>
      </c>
      <c r="AO814" s="24">
        <f>IF($A814="","",IF(OR((IFERROR(INDEX('CAT_ACTIVIDADES'!$D$4:$D$26,MATCH($H814,'CAT_ACTIVIDADES'!$A$4:$A$26,0)),""))=0,(IFERROR(INDEX('CAT_ACTIVIDADES'!$D$4:$D$26,MATCH($H814,'CAT_ACTIVIDADES'!$A$4:$A$26,0)),""))=""),"SIN CLASIFICAR",IFERROR(INDEX('CAT_ACTIVIDADES'!$D$4:$D$26,MATCH($H814,'CAT_ACTIVIDADES'!$A$4:$A$26,0)),"")))</f>
        <v/>
      </c>
      <c r="AP814" s="4" t="n"/>
      <c r="AQ814" s="4" t="n"/>
      <c r="AR814" s="4" t="n"/>
      <c r="AS814" s="24">
        <f>IF($AR814="","",HYPERLINK(p_ruta_base_checklists&amp;$AR814,"abrir"))</f>
        <v/>
      </c>
      <c r="AT814" s="4" t="n"/>
      <c r="AU814" s="24">
        <f>IF($A814="","",$A814&amp;IF($B814="","0010",$B814))</f>
        <v/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41" t="n"/>
      <c r="K815" s="5" t="n"/>
      <c r="L815" s="18" t="n"/>
      <c r="M815" s="24">
        <f>IF($A815="","",IFERROR(INDEX('AJUSTES'!$B$4:$B$303,MATCH($AU815,'AJUSTES'!$A$4:$A$303,0)),IF($K815="","",$K815)))</f>
        <v/>
      </c>
      <c r="N815" s="24">
        <f>IF($A815="","",IFERROR(INDEX('CAT_ESTADOS_ERP'!$B$4:$B$22,MATCH(IFERROR(INDEX('2_IMPORTAR_EJECUCION'!$C$9:$C$1208,MATCH($AU815,'2_IMPORTAR_EJECUCION'!$J$9:$J$1208,0)),""),'CAT_ESTADOS_ERP'!$A$4:$A$22,0)),"Pendiente"))</f>
        <v/>
      </c>
      <c r="O815" s="24">
        <f>IF($J815="","",YEAR($J815+4-WEEKDAY($J815,2))&amp;"-S"&amp;TEXT(_xlfn.ISOWEEKNUM($J815),"00"))</f>
        <v/>
      </c>
      <c r="P815" s="24">
        <f>IF($J815="","",YEAR($J815))</f>
        <v/>
      </c>
      <c r="Q815" s="24">
        <f>IF($J815="","",MONTH($J815))</f>
        <v/>
      </c>
      <c r="R815" s="24">
        <f>IF($J815="","",$P815&amp;"-"&amp;TEXT($Q815,"00"))</f>
        <v/>
      </c>
      <c r="S815" s="24">
        <f>IF($J815="","",INDEX(lista_dias,WEEKDAY($J815,2)))</f>
        <v/>
      </c>
      <c r="T815" s="24">
        <f>IF($J815="","",IFERROR(INDEX('CALENDARIO'!$C$15:$C$214,MATCH(TEXT($J815,"yyyy-mm-dd")&amp;"|"&amp;$Y815&amp;"|"&amp;$Z815,'CALENDARIO'!$G$15:$G$214,0)),IFERROR(INDEX('CALENDARIO'!$C$15:$C$214,MATCH(TEXT($J815,"yyyy-mm-dd")&amp;"|"&amp;$Y815&amp;"|",'CALENDARIO'!$G$15:$G$214,0)),IFERROR(INDEX('CALENDARIO'!$C$15:$C$214,MATCH(TEXT($J815,"yyyy-mm-dd")&amp;"||",'CALENDARIO'!$G$15:$G$214,0)),INDEX(patronHabil,WEEKDAY($J815,2))))))</f>
        <v/>
      </c>
      <c r="U815" s="24">
        <f>IF($I815="","",IFERROR(INDEX('CAT_TIPOS_OT'!$C$4:$C$23,MATCH($I815,'CAT_TIPOS_OT'!$A$4:$A$23,0)),"sin_clasificar"))</f>
        <v/>
      </c>
      <c r="V815" s="24">
        <f>IF($I815="","",IF(IFERROR(INDEX('CAT_TIPOS_OT'!$D$4:$D$23,MATCH($I815,'CAT_TIPOS_OT'!$A$4:$A$23,0)),"SIN CLASIFICAR")="","SIN CLASIFICAR",IFERROR(INDEX('CAT_TIPOS_OT'!$D$4:$D$23,MATCH($I815,'CAT_TIPOS_OT'!$A$4:$A$23,0)),"SIN CLASIFICAR")))</f>
        <v/>
      </c>
      <c r="W815" s="24">
        <f>IF($H815="","",IF(IFERROR(INDEX('CAT_ACTIVIDADES'!$F$4:$F$26,MATCH($H815,'CAT_ACTIVIDADES'!$A$4:$A$26,0)),"")=0,"",IFERROR(INDEX('CAT_ACTIVIDADES'!$F$4:$F$26,MATCH($H815,'CAT_ACTIVIDADES'!$A$4:$A$26,0)),"")))</f>
        <v/>
      </c>
      <c r="X815" s="24">
        <f>IF($F815="","",IFERROR(INDEX('CAT_CENTROS_COSTO'!$F$4:$F$28,MATCH($F815,'CAT_CENTROS_COSTO'!$A$4:$A$28,0)),"(sin catálogo)"))</f>
        <v/>
      </c>
      <c r="Y815" s="24">
        <f>IF($F815="","",IFERROR(INDEX('CAT_CENTROS_COSTO'!$D$4:$D$28,MATCH($F815,'CAT_CENTROS_COSTO'!$A$4:$A$28,0)),"(sin catálogo)"))</f>
        <v/>
      </c>
      <c r="Z815" s="24">
        <f>IF($F815="","",IF((IFERROR(INDEX('CAT_CENTROS_COSTO'!$E$4:$E$28,MATCH($F815,'CAT_CENTROS_COSTO'!$A$4:$A$28,0)),""))&lt;&gt;"",IFERROR(INDEX('CAT_CENTROS_COSTO'!$E$4:$E$28,MATCH($F815,'CAT_CENTROS_COSTO'!$A$4:$A$28,0)),""),$Y815))</f>
        <v/>
      </c>
      <c r="AA815" s="24">
        <f>IF($F815="","",IFERROR(INDEX('CAT_CENTROS_COSTO'!$G$4:$G$28,MATCH($F815,'CAT_CENTROS_COSTO'!$A$4:$A$28,0)),"(sin catálogo)"))</f>
        <v/>
      </c>
      <c r="AB815" s="24">
        <f>IF($G815="","",IFERROR(INDEX('CAT_PUESTOS'!$B$4:$B$23,MATCH($G815,'CAT_PUESTOS'!$A$4:$A$23,0)),"(sin catálogo)"))</f>
        <v/>
      </c>
      <c r="AC815" s="24">
        <f>IF($H815="","",IFERROR(INDEX('CAT_ACTIVIDADES'!$B$4:$B$26,MATCH($H815,'CAT_ACTIVIDADES'!$A$4:$A$26,0)),"(sin catálogo)"))</f>
        <v/>
      </c>
      <c r="AD815" s="26">
        <f>IF($J815="","",TODAY()-$J815)</f>
        <v/>
      </c>
      <c r="AE815" s="26">
        <f>IF($J815="","",IF($J815&lt;=TODAY(),COUNTIFS(cal_fechas,"&gt;="&amp;$J815,cal_fechas,"&lt;"&amp;TODAY(),cal_habil,"sí"),-COUNTIFS(cal_fechas,"&gt;="&amp;TODAY(),cal_fechas,"&lt;"&amp;$J815,cal_habil,"sí")))</f>
        <v/>
      </c>
      <c r="AF815" s="24">
        <f>IF($AE815="","",IF($AE815&lt;0,"FUTURO",IF($AE815&gt;p_dias_backlog_max,"BACKLOG","MES CORRIENTE")))</f>
        <v/>
      </c>
      <c r="AG815" s="24">
        <f>IF($AE815="",FALSE,AND($AE815&gt;p_dias_backlog_min,$AE815&lt;=p_dias_backlog_max))</f>
        <v/>
      </c>
      <c r="AH815" s="4" t="n"/>
      <c r="AI815" s="24">
        <f>IF($AH815="","",IF((IFERROR(INDEX('ASIGNACIONES'!$J$4:$J$451,MATCH($O815&amp;"|"&amp;$S815&amp;"|"&amp;$AH815,'ASIGNACIONES'!$N$4:$N$451,0)),""))=0,"",IFERROR(INDEX('ASIGNACIONES'!$J$4:$J$451,MATCH($O815&amp;"|"&amp;$S815&amp;"|"&amp;$AH815,'ASIGNACIONES'!$N$4:$N$451,0)),"")))</f>
        <v/>
      </c>
      <c r="AJ815" s="42">
        <f>IF($AH815="","",SUMIFS('ORDENES'!$M$4:$M$1203,'ORDENES'!$AH$4:$AH$1203,$AH815,'ORDENES'!$O$4:$O$1203,$O815,'ORDENES'!$S$4:$S$1203,$S815))</f>
        <v/>
      </c>
      <c r="AK815" s="42">
        <f>IF($AJ815="","",p_factor_productividad*IFERROR(INDEX('ASIGNACIONES'!$M$4:$M$451,MATCH($O815&amp;"|"&amp;$S815&amp;"|"&amp;$AH815,'ASIGNACIONES'!$N$4:$N$451,0)),0)-$AJ815)</f>
        <v/>
      </c>
      <c r="AL815" s="32">
        <f>IF($A815="","",IFERROR(INDEX('2_IMPORTAR_EJECUCION'!$F$9:$F$1208,MATCH($AU815,'2_IMPORTAR_EJECUCION'!$J$9:$J$1208,0)),0))</f>
        <v/>
      </c>
      <c r="AM815" s="32">
        <f>IF($A815="","",MAX(0,IFERROR(INDEX('2_IMPORTAR_EJECUCION'!$H$9:$H$1208,MATCH($AU815,'2_IMPORTAR_EJECUCION'!$J$9:$J$1208,0)),0)-$AL815))</f>
        <v/>
      </c>
      <c r="AN815" s="32">
        <f>IF($A815="","",$AL815+$AM815)</f>
        <v/>
      </c>
      <c r="AO815" s="24">
        <f>IF($A815="","",IF(OR((IFERROR(INDEX('CAT_ACTIVIDADES'!$D$4:$D$26,MATCH($H815,'CAT_ACTIVIDADES'!$A$4:$A$26,0)),""))=0,(IFERROR(INDEX('CAT_ACTIVIDADES'!$D$4:$D$26,MATCH($H815,'CAT_ACTIVIDADES'!$A$4:$A$26,0)),""))=""),"SIN CLASIFICAR",IFERROR(INDEX('CAT_ACTIVIDADES'!$D$4:$D$26,MATCH($H815,'CAT_ACTIVIDADES'!$A$4:$A$26,0)),"")))</f>
        <v/>
      </c>
      <c r="AP815" s="4" t="n"/>
      <c r="AQ815" s="4" t="n"/>
      <c r="AR815" s="4" t="n"/>
      <c r="AS815" s="24">
        <f>IF($AR815="","",HYPERLINK(p_ruta_base_checklists&amp;$AR815,"abrir"))</f>
        <v/>
      </c>
      <c r="AT815" s="4" t="n"/>
      <c r="AU815" s="24">
        <f>IF($A815="","",$A815&amp;IF($B815="","0010",$B815))</f>
        <v/>
      </c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41" t="n"/>
      <c r="K816" s="5" t="n"/>
      <c r="L816" s="18" t="n"/>
      <c r="M816" s="24">
        <f>IF($A816="","",IFERROR(INDEX('AJUSTES'!$B$4:$B$303,MATCH($AU816,'AJUSTES'!$A$4:$A$303,0)),IF($K816="","",$K816)))</f>
        <v/>
      </c>
      <c r="N816" s="24">
        <f>IF($A816="","",IFERROR(INDEX('CAT_ESTADOS_ERP'!$B$4:$B$22,MATCH(IFERROR(INDEX('2_IMPORTAR_EJECUCION'!$C$9:$C$1208,MATCH($AU816,'2_IMPORTAR_EJECUCION'!$J$9:$J$1208,0)),""),'CAT_ESTADOS_ERP'!$A$4:$A$22,0)),"Pendiente"))</f>
        <v/>
      </c>
      <c r="O816" s="24">
        <f>IF($J816="","",YEAR($J816+4-WEEKDAY($J816,2))&amp;"-S"&amp;TEXT(_xlfn.ISOWEEKNUM($J816),"00"))</f>
        <v/>
      </c>
      <c r="P816" s="24">
        <f>IF($J816="","",YEAR($J816))</f>
        <v/>
      </c>
      <c r="Q816" s="24">
        <f>IF($J816="","",MONTH($J816))</f>
        <v/>
      </c>
      <c r="R816" s="24">
        <f>IF($J816="","",$P816&amp;"-"&amp;TEXT($Q816,"00"))</f>
        <v/>
      </c>
      <c r="S816" s="24">
        <f>IF($J816="","",INDEX(lista_dias,WEEKDAY($J816,2)))</f>
        <v/>
      </c>
      <c r="T816" s="24">
        <f>IF($J816="","",IFERROR(INDEX('CALENDARIO'!$C$15:$C$214,MATCH(TEXT($J816,"yyyy-mm-dd")&amp;"|"&amp;$Y816&amp;"|"&amp;$Z816,'CALENDARIO'!$G$15:$G$214,0)),IFERROR(INDEX('CALENDARIO'!$C$15:$C$214,MATCH(TEXT($J816,"yyyy-mm-dd")&amp;"|"&amp;$Y816&amp;"|",'CALENDARIO'!$G$15:$G$214,0)),IFERROR(INDEX('CALENDARIO'!$C$15:$C$214,MATCH(TEXT($J816,"yyyy-mm-dd")&amp;"||",'CALENDARIO'!$G$15:$G$214,0)),INDEX(patronHabil,WEEKDAY($J816,2))))))</f>
        <v/>
      </c>
      <c r="U816" s="24">
        <f>IF($I816="","",IFERROR(INDEX('CAT_TIPOS_OT'!$C$4:$C$23,MATCH($I816,'CAT_TIPOS_OT'!$A$4:$A$23,0)),"sin_clasificar"))</f>
        <v/>
      </c>
      <c r="V816" s="24">
        <f>IF($I816="","",IF(IFERROR(INDEX('CAT_TIPOS_OT'!$D$4:$D$23,MATCH($I816,'CAT_TIPOS_OT'!$A$4:$A$23,0)),"SIN CLASIFICAR")="","SIN CLASIFICAR",IFERROR(INDEX('CAT_TIPOS_OT'!$D$4:$D$23,MATCH($I816,'CAT_TIPOS_OT'!$A$4:$A$23,0)),"SIN CLASIFICAR")))</f>
        <v/>
      </c>
      <c r="W816" s="24">
        <f>IF($H816="","",IF(IFERROR(INDEX('CAT_ACTIVIDADES'!$F$4:$F$26,MATCH($H816,'CAT_ACTIVIDADES'!$A$4:$A$26,0)),"")=0,"",IFERROR(INDEX('CAT_ACTIVIDADES'!$F$4:$F$26,MATCH($H816,'CAT_ACTIVIDADES'!$A$4:$A$26,0)),"")))</f>
        <v/>
      </c>
      <c r="X816" s="24">
        <f>IF($F816="","",IFERROR(INDEX('CAT_CENTROS_COSTO'!$F$4:$F$28,MATCH($F816,'CAT_CENTROS_COSTO'!$A$4:$A$28,0)),"(sin catálogo)"))</f>
        <v/>
      </c>
      <c r="Y816" s="24">
        <f>IF($F816="","",IFERROR(INDEX('CAT_CENTROS_COSTO'!$D$4:$D$28,MATCH($F816,'CAT_CENTROS_COSTO'!$A$4:$A$28,0)),"(sin catálogo)"))</f>
        <v/>
      </c>
      <c r="Z816" s="24">
        <f>IF($F816="","",IF((IFERROR(INDEX('CAT_CENTROS_COSTO'!$E$4:$E$28,MATCH($F816,'CAT_CENTROS_COSTO'!$A$4:$A$28,0)),""))&lt;&gt;"",IFERROR(INDEX('CAT_CENTROS_COSTO'!$E$4:$E$28,MATCH($F816,'CAT_CENTROS_COSTO'!$A$4:$A$28,0)),""),$Y816))</f>
        <v/>
      </c>
      <c r="AA816" s="24">
        <f>IF($F816="","",IFERROR(INDEX('CAT_CENTROS_COSTO'!$G$4:$G$28,MATCH($F816,'CAT_CENTROS_COSTO'!$A$4:$A$28,0)),"(sin catálogo)"))</f>
        <v/>
      </c>
      <c r="AB816" s="24">
        <f>IF($G816="","",IFERROR(INDEX('CAT_PUESTOS'!$B$4:$B$23,MATCH($G816,'CAT_PUESTOS'!$A$4:$A$23,0)),"(sin catálogo)"))</f>
        <v/>
      </c>
      <c r="AC816" s="24">
        <f>IF($H816="","",IFERROR(INDEX('CAT_ACTIVIDADES'!$B$4:$B$26,MATCH($H816,'CAT_ACTIVIDADES'!$A$4:$A$26,0)),"(sin catálogo)"))</f>
        <v/>
      </c>
      <c r="AD816" s="26">
        <f>IF($J816="","",TODAY()-$J816)</f>
        <v/>
      </c>
      <c r="AE816" s="26">
        <f>IF($J816="","",IF($J816&lt;=TODAY(),COUNTIFS(cal_fechas,"&gt;="&amp;$J816,cal_fechas,"&lt;"&amp;TODAY(),cal_habil,"sí"),-COUNTIFS(cal_fechas,"&gt;="&amp;TODAY(),cal_fechas,"&lt;"&amp;$J816,cal_habil,"sí")))</f>
        <v/>
      </c>
      <c r="AF816" s="24">
        <f>IF($AE816="","",IF($AE816&lt;0,"FUTURO",IF($AE816&gt;p_dias_backlog_max,"BACKLOG","MES CORRIENTE")))</f>
        <v/>
      </c>
      <c r="AG816" s="24">
        <f>IF($AE816="",FALSE,AND($AE816&gt;p_dias_backlog_min,$AE816&lt;=p_dias_backlog_max))</f>
        <v/>
      </c>
      <c r="AH816" s="4" t="n"/>
      <c r="AI816" s="24">
        <f>IF($AH816="","",IF((IFERROR(INDEX('ASIGNACIONES'!$J$4:$J$451,MATCH($O816&amp;"|"&amp;$S816&amp;"|"&amp;$AH816,'ASIGNACIONES'!$N$4:$N$451,0)),""))=0,"",IFERROR(INDEX('ASIGNACIONES'!$J$4:$J$451,MATCH($O816&amp;"|"&amp;$S816&amp;"|"&amp;$AH816,'ASIGNACIONES'!$N$4:$N$451,0)),"")))</f>
        <v/>
      </c>
      <c r="AJ816" s="42">
        <f>IF($AH816="","",SUMIFS('ORDENES'!$M$4:$M$1203,'ORDENES'!$AH$4:$AH$1203,$AH816,'ORDENES'!$O$4:$O$1203,$O816,'ORDENES'!$S$4:$S$1203,$S816))</f>
        <v/>
      </c>
      <c r="AK816" s="42">
        <f>IF($AJ816="","",p_factor_productividad*IFERROR(INDEX('ASIGNACIONES'!$M$4:$M$451,MATCH($O816&amp;"|"&amp;$S816&amp;"|"&amp;$AH816,'ASIGNACIONES'!$N$4:$N$451,0)),0)-$AJ816)</f>
        <v/>
      </c>
      <c r="AL816" s="32">
        <f>IF($A816="","",IFERROR(INDEX('2_IMPORTAR_EJECUCION'!$F$9:$F$1208,MATCH($AU816,'2_IMPORTAR_EJECUCION'!$J$9:$J$1208,0)),0))</f>
        <v/>
      </c>
      <c r="AM816" s="32">
        <f>IF($A816="","",MAX(0,IFERROR(INDEX('2_IMPORTAR_EJECUCION'!$H$9:$H$1208,MATCH($AU816,'2_IMPORTAR_EJECUCION'!$J$9:$J$1208,0)),0)-$AL816))</f>
        <v/>
      </c>
      <c r="AN816" s="32">
        <f>IF($A816="","",$AL816+$AM816)</f>
        <v/>
      </c>
      <c r="AO816" s="24">
        <f>IF($A816="","",IF(OR((IFERROR(INDEX('CAT_ACTIVIDADES'!$D$4:$D$26,MATCH($H816,'CAT_ACTIVIDADES'!$A$4:$A$26,0)),""))=0,(IFERROR(INDEX('CAT_ACTIVIDADES'!$D$4:$D$26,MATCH($H816,'CAT_ACTIVIDADES'!$A$4:$A$26,0)),""))=""),"SIN CLASIFICAR",IFERROR(INDEX('CAT_ACTIVIDADES'!$D$4:$D$26,MATCH($H816,'CAT_ACTIVIDADES'!$A$4:$A$26,0)),"")))</f>
        <v/>
      </c>
      <c r="AP816" s="4" t="n"/>
      <c r="AQ816" s="4" t="n"/>
      <c r="AR816" s="4" t="n"/>
      <c r="AS816" s="24">
        <f>IF($AR816="","",HYPERLINK(p_ruta_base_checklists&amp;$AR816,"abrir"))</f>
        <v/>
      </c>
      <c r="AT816" s="4" t="n"/>
      <c r="AU816" s="24">
        <f>IF($A816="","",$A816&amp;IF($B816="","0010",$B816))</f>
        <v/>
      </c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41" t="n"/>
      <c r="K817" s="5" t="n"/>
      <c r="L817" s="18" t="n"/>
      <c r="M817" s="24">
        <f>IF($A817="","",IFERROR(INDEX('AJUSTES'!$B$4:$B$303,MATCH($AU817,'AJUSTES'!$A$4:$A$303,0)),IF($K817="","",$K817)))</f>
        <v/>
      </c>
      <c r="N817" s="24">
        <f>IF($A817="","",IFERROR(INDEX('CAT_ESTADOS_ERP'!$B$4:$B$22,MATCH(IFERROR(INDEX('2_IMPORTAR_EJECUCION'!$C$9:$C$1208,MATCH($AU817,'2_IMPORTAR_EJECUCION'!$J$9:$J$1208,0)),""),'CAT_ESTADOS_ERP'!$A$4:$A$22,0)),"Pendiente"))</f>
        <v/>
      </c>
      <c r="O817" s="24">
        <f>IF($J817="","",YEAR($J817+4-WEEKDAY($J817,2))&amp;"-S"&amp;TEXT(_xlfn.ISOWEEKNUM($J817),"00"))</f>
        <v/>
      </c>
      <c r="P817" s="24">
        <f>IF($J817="","",YEAR($J817))</f>
        <v/>
      </c>
      <c r="Q817" s="24">
        <f>IF($J817="","",MONTH($J817))</f>
        <v/>
      </c>
      <c r="R817" s="24">
        <f>IF($J817="","",$P817&amp;"-"&amp;TEXT($Q817,"00"))</f>
        <v/>
      </c>
      <c r="S817" s="24">
        <f>IF($J817="","",INDEX(lista_dias,WEEKDAY($J817,2)))</f>
        <v/>
      </c>
      <c r="T817" s="24">
        <f>IF($J817="","",IFERROR(INDEX('CALENDARIO'!$C$15:$C$214,MATCH(TEXT($J817,"yyyy-mm-dd")&amp;"|"&amp;$Y817&amp;"|"&amp;$Z817,'CALENDARIO'!$G$15:$G$214,0)),IFERROR(INDEX('CALENDARIO'!$C$15:$C$214,MATCH(TEXT($J817,"yyyy-mm-dd")&amp;"|"&amp;$Y817&amp;"|",'CALENDARIO'!$G$15:$G$214,0)),IFERROR(INDEX('CALENDARIO'!$C$15:$C$214,MATCH(TEXT($J817,"yyyy-mm-dd")&amp;"||",'CALENDARIO'!$G$15:$G$214,0)),INDEX(patronHabil,WEEKDAY($J817,2))))))</f>
        <v/>
      </c>
      <c r="U817" s="24">
        <f>IF($I817="","",IFERROR(INDEX('CAT_TIPOS_OT'!$C$4:$C$23,MATCH($I817,'CAT_TIPOS_OT'!$A$4:$A$23,0)),"sin_clasificar"))</f>
        <v/>
      </c>
      <c r="V817" s="24">
        <f>IF($I817="","",IF(IFERROR(INDEX('CAT_TIPOS_OT'!$D$4:$D$23,MATCH($I817,'CAT_TIPOS_OT'!$A$4:$A$23,0)),"SIN CLASIFICAR")="","SIN CLASIFICAR",IFERROR(INDEX('CAT_TIPOS_OT'!$D$4:$D$23,MATCH($I817,'CAT_TIPOS_OT'!$A$4:$A$23,0)),"SIN CLASIFICAR")))</f>
        <v/>
      </c>
      <c r="W817" s="24">
        <f>IF($H817="","",IF(IFERROR(INDEX('CAT_ACTIVIDADES'!$F$4:$F$26,MATCH($H817,'CAT_ACTIVIDADES'!$A$4:$A$26,0)),"")=0,"",IFERROR(INDEX('CAT_ACTIVIDADES'!$F$4:$F$26,MATCH($H817,'CAT_ACTIVIDADES'!$A$4:$A$26,0)),"")))</f>
        <v/>
      </c>
      <c r="X817" s="24">
        <f>IF($F817="","",IFERROR(INDEX('CAT_CENTROS_COSTO'!$F$4:$F$28,MATCH($F817,'CAT_CENTROS_COSTO'!$A$4:$A$28,0)),"(sin catálogo)"))</f>
        <v/>
      </c>
      <c r="Y817" s="24">
        <f>IF($F817="","",IFERROR(INDEX('CAT_CENTROS_COSTO'!$D$4:$D$28,MATCH($F817,'CAT_CENTROS_COSTO'!$A$4:$A$28,0)),"(sin catálogo)"))</f>
        <v/>
      </c>
      <c r="Z817" s="24">
        <f>IF($F817="","",IF((IFERROR(INDEX('CAT_CENTROS_COSTO'!$E$4:$E$28,MATCH($F817,'CAT_CENTROS_COSTO'!$A$4:$A$28,0)),""))&lt;&gt;"",IFERROR(INDEX('CAT_CENTROS_COSTO'!$E$4:$E$28,MATCH($F817,'CAT_CENTROS_COSTO'!$A$4:$A$28,0)),""),$Y817))</f>
        <v/>
      </c>
      <c r="AA817" s="24">
        <f>IF($F817="","",IFERROR(INDEX('CAT_CENTROS_COSTO'!$G$4:$G$28,MATCH($F817,'CAT_CENTROS_COSTO'!$A$4:$A$28,0)),"(sin catálogo)"))</f>
        <v/>
      </c>
      <c r="AB817" s="24">
        <f>IF($G817="","",IFERROR(INDEX('CAT_PUESTOS'!$B$4:$B$23,MATCH($G817,'CAT_PUESTOS'!$A$4:$A$23,0)),"(sin catálogo)"))</f>
        <v/>
      </c>
      <c r="AC817" s="24">
        <f>IF($H817="","",IFERROR(INDEX('CAT_ACTIVIDADES'!$B$4:$B$26,MATCH($H817,'CAT_ACTIVIDADES'!$A$4:$A$26,0)),"(sin catálogo)"))</f>
        <v/>
      </c>
      <c r="AD817" s="26">
        <f>IF($J817="","",TODAY()-$J817)</f>
        <v/>
      </c>
      <c r="AE817" s="26">
        <f>IF($J817="","",IF($J817&lt;=TODAY(),COUNTIFS(cal_fechas,"&gt;="&amp;$J817,cal_fechas,"&lt;"&amp;TODAY(),cal_habil,"sí"),-COUNTIFS(cal_fechas,"&gt;="&amp;TODAY(),cal_fechas,"&lt;"&amp;$J817,cal_habil,"sí")))</f>
        <v/>
      </c>
      <c r="AF817" s="24">
        <f>IF($AE817="","",IF($AE817&lt;0,"FUTURO",IF($AE817&gt;p_dias_backlog_max,"BACKLOG","MES CORRIENTE")))</f>
        <v/>
      </c>
      <c r="AG817" s="24">
        <f>IF($AE817="",FALSE,AND($AE817&gt;p_dias_backlog_min,$AE817&lt;=p_dias_backlog_max))</f>
        <v/>
      </c>
      <c r="AH817" s="4" t="n"/>
      <c r="AI817" s="24">
        <f>IF($AH817="","",IF((IFERROR(INDEX('ASIGNACIONES'!$J$4:$J$451,MATCH($O817&amp;"|"&amp;$S817&amp;"|"&amp;$AH817,'ASIGNACIONES'!$N$4:$N$451,0)),""))=0,"",IFERROR(INDEX('ASIGNACIONES'!$J$4:$J$451,MATCH($O817&amp;"|"&amp;$S817&amp;"|"&amp;$AH817,'ASIGNACIONES'!$N$4:$N$451,0)),"")))</f>
        <v/>
      </c>
      <c r="AJ817" s="42">
        <f>IF($AH817="","",SUMIFS('ORDENES'!$M$4:$M$1203,'ORDENES'!$AH$4:$AH$1203,$AH817,'ORDENES'!$O$4:$O$1203,$O817,'ORDENES'!$S$4:$S$1203,$S817))</f>
        <v/>
      </c>
      <c r="AK817" s="42">
        <f>IF($AJ817="","",p_factor_productividad*IFERROR(INDEX('ASIGNACIONES'!$M$4:$M$451,MATCH($O817&amp;"|"&amp;$S817&amp;"|"&amp;$AH817,'ASIGNACIONES'!$N$4:$N$451,0)),0)-$AJ817)</f>
        <v/>
      </c>
      <c r="AL817" s="32">
        <f>IF($A817="","",IFERROR(INDEX('2_IMPORTAR_EJECUCION'!$F$9:$F$1208,MATCH($AU817,'2_IMPORTAR_EJECUCION'!$J$9:$J$1208,0)),0))</f>
        <v/>
      </c>
      <c r="AM817" s="32">
        <f>IF($A817="","",MAX(0,IFERROR(INDEX('2_IMPORTAR_EJECUCION'!$H$9:$H$1208,MATCH($AU817,'2_IMPORTAR_EJECUCION'!$J$9:$J$1208,0)),0)-$AL817))</f>
        <v/>
      </c>
      <c r="AN817" s="32">
        <f>IF($A817="","",$AL817+$AM817)</f>
        <v/>
      </c>
      <c r="AO817" s="24">
        <f>IF($A817="","",IF(OR((IFERROR(INDEX('CAT_ACTIVIDADES'!$D$4:$D$26,MATCH($H817,'CAT_ACTIVIDADES'!$A$4:$A$26,0)),""))=0,(IFERROR(INDEX('CAT_ACTIVIDADES'!$D$4:$D$26,MATCH($H817,'CAT_ACTIVIDADES'!$A$4:$A$26,0)),""))=""),"SIN CLASIFICAR",IFERROR(INDEX('CAT_ACTIVIDADES'!$D$4:$D$26,MATCH($H817,'CAT_ACTIVIDADES'!$A$4:$A$26,0)),"")))</f>
        <v/>
      </c>
      <c r="AP817" s="4" t="n"/>
      <c r="AQ817" s="4" t="n"/>
      <c r="AR817" s="4" t="n"/>
      <c r="AS817" s="24">
        <f>IF($AR817="","",HYPERLINK(p_ruta_base_checklists&amp;$AR817,"abrir"))</f>
        <v/>
      </c>
      <c r="AT817" s="4" t="n"/>
      <c r="AU817" s="24">
        <f>IF($A817="","",$A817&amp;IF($B817="","0010",$B817))</f>
        <v/>
      </c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41" t="n"/>
      <c r="K818" s="5" t="n"/>
      <c r="L818" s="18" t="n"/>
      <c r="M818" s="24">
        <f>IF($A818="","",IFERROR(INDEX('AJUSTES'!$B$4:$B$303,MATCH($AU818,'AJUSTES'!$A$4:$A$303,0)),IF($K818="","",$K818)))</f>
        <v/>
      </c>
      <c r="N818" s="24">
        <f>IF($A818="","",IFERROR(INDEX('CAT_ESTADOS_ERP'!$B$4:$B$22,MATCH(IFERROR(INDEX('2_IMPORTAR_EJECUCION'!$C$9:$C$1208,MATCH($AU818,'2_IMPORTAR_EJECUCION'!$J$9:$J$1208,0)),""),'CAT_ESTADOS_ERP'!$A$4:$A$22,0)),"Pendiente"))</f>
        <v/>
      </c>
      <c r="O818" s="24">
        <f>IF($J818="","",YEAR($J818+4-WEEKDAY($J818,2))&amp;"-S"&amp;TEXT(_xlfn.ISOWEEKNUM($J818),"00"))</f>
        <v/>
      </c>
      <c r="P818" s="24">
        <f>IF($J818="","",YEAR($J818))</f>
        <v/>
      </c>
      <c r="Q818" s="24">
        <f>IF($J818="","",MONTH($J818))</f>
        <v/>
      </c>
      <c r="R818" s="24">
        <f>IF($J818="","",$P818&amp;"-"&amp;TEXT($Q818,"00"))</f>
        <v/>
      </c>
      <c r="S818" s="24">
        <f>IF($J818="","",INDEX(lista_dias,WEEKDAY($J818,2)))</f>
        <v/>
      </c>
      <c r="T818" s="24">
        <f>IF($J818="","",IFERROR(INDEX('CALENDARIO'!$C$15:$C$214,MATCH(TEXT($J818,"yyyy-mm-dd")&amp;"|"&amp;$Y818&amp;"|"&amp;$Z818,'CALENDARIO'!$G$15:$G$214,0)),IFERROR(INDEX('CALENDARIO'!$C$15:$C$214,MATCH(TEXT($J818,"yyyy-mm-dd")&amp;"|"&amp;$Y818&amp;"|",'CALENDARIO'!$G$15:$G$214,0)),IFERROR(INDEX('CALENDARIO'!$C$15:$C$214,MATCH(TEXT($J818,"yyyy-mm-dd")&amp;"||",'CALENDARIO'!$G$15:$G$214,0)),INDEX(patronHabil,WEEKDAY($J818,2))))))</f>
        <v/>
      </c>
      <c r="U818" s="24">
        <f>IF($I818="","",IFERROR(INDEX('CAT_TIPOS_OT'!$C$4:$C$23,MATCH($I818,'CAT_TIPOS_OT'!$A$4:$A$23,0)),"sin_clasificar"))</f>
        <v/>
      </c>
      <c r="V818" s="24">
        <f>IF($I818="","",IF(IFERROR(INDEX('CAT_TIPOS_OT'!$D$4:$D$23,MATCH($I818,'CAT_TIPOS_OT'!$A$4:$A$23,0)),"SIN CLASIFICAR")="","SIN CLASIFICAR",IFERROR(INDEX('CAT_TIPOS_OT'!$D$4:$D$23,MATCH($I818,'CAT_TIPOS_OT'!$A$4:$A$23,0)),"SIN CLASIFICAR")))</f>
        <v/>
      </c>
      <c r="W818" s="24">
        <f>IF($H818="","",IF(IFERROR(INDEX('CAT_ACTIVIDADES'!$F$4:$F$26,MATCH($H818,'CAT_ACTIVIDADES'!$A$4:$A$26,0)),"")=0,"",IFERROR(INDEX('CAT_ACTIVIDADES'!$F$4:$F$26,MATCH($H818,'CAT_ACTIVIDADES'!$A$4:$A$26,0)),"")))</f>
        <v/>
      </c>
      <c r="X818" s="24">
        <f>IF($F818="","",IFERROR(INDEX('CAT_CENTROS_COSTO'!$F$4:$F$28,MATCH($F818,'CAT_CENTROS_COSTO'!$A$4:$A$28,0)),"(sin catálogo)"))</f>
        <v/>
      </c>
      <c r="Y818" s="24">
        <f>IF($F818="","",IFERROR(INDEX('CAT_CENTROS_COSTO'!$D$4:$D$28,MATCH($F818,'CAT_CENTROS_COSTO'!$A$4:$A$28,0)),"(sin catálogo)"))</f>
        <v/>
      </c>
      <c r="Z818" s="24">
        <f>IF($F818="","",IF((IFERROR(INDEX('CAT_CENTROS_COSTO'!$E$4:$E$28,MATCH($F818,'CAT_CENTROS_COSTO'!$A$4:$A$28,0)),""))&lt;&gt;"",IFERROR(INDEX('CAT_CENTROS_COSTO'!$E$4:$E$28,MATCH($F818,'CAT_CENTROS_COSTO'!$A$4:$A$28,0)),""),$Y818))</f>
        <v/>
      </c>
      <c r="AA818" s="24">
        <f>IF($F818="","",IFERROR(INDEX('CAT_CENTROS_COSTO'!$G$4:$G$28,MATCH($F818,'CAT_CENTROS_COSTO'!$A$4:$A$28,0)),"(sin catálogo)"))</f>
        <v/>
      </c>
      <c r="AB818" s="24">
        <f>IF($G818="","",IFERROR(INDEX('CAT_PUESTOS'!$B$4:$B$23,MATCH($G818,'CAT_PUESTOS'!$A$4:$A$23,0)),"(sin catálogo)"))</f>
        <v/>
      </c>
      <c r="AC818" s="24">
        <f>IF($H818="","",IFERROR(INDEX('CAT_ACTIVIDADES'!$B$4:$B$26,MATCH($H818,'CAT_ACTIVIDADES'!$A$4:$A$26,0)),"(sin catálogo)"))</f>
        <v/>
      </c>
      <c r="AD818" s="26">
        <f>IF($J818="","",TODAY()-$J818)</f>
        <v/>
      </c>
      <c r="AE818" s="26">
        <f>IF($J818="","",IF($J818&lt;=TODAY(),COUNTIFS(cal_fechas,"&gt;="&amp;$J818,cal_fechas,"&lt;"&amp;TODAY(),cal_habil,"sí"),-COUNTIFS(cal_fechas,"&gt;="&amp;TODAY(),cal_fechas,"&lt;"&amp;$J818,cal_habil,"sí")))</f>
        <v/>
      </c>
      <c r="AF818" s="24">
        <f>IF($AE818="","",IF($AE818&lt;0,"FUTURO",IF($AE818&gt;p_dias_backlog_max,"BACKLOG","MES CORRIENTE")))</f>
        <v/>
      </c>
      <c r="AG818" s="24">
        <f>IF($AE818="",FALSE,AND($AE818&gt;p_dias_backlog_min,$AE818&lt;=p_dias_backlog_max))</f>
        <v/>
      </c>
      <c r="AH818" s="4" t="n"/>
      <c r="AI818" s="24">
        <f>IF($AH818="","",IF((IFERROR(INDEX('ASIGNACIONES'!$J$4:$J$451,MATCH($O818&amp;"|"&amp;$S818&amp;"|"&amp;$AH818,'ASIGNACIONES'!$N$4:$N$451,0)),""))=0,"",IFERROR(INDEX('ASIGNACIONES'!$J$4:$J$451,MATCH($O818&amp;"|"&amp;$S818&amp;"|"&amp;$AH818,'ASIGNACIONES'!$N$4:$N$451,0)),"")))</f>
        <v/>
      </c>
      <c r="AJ818" s="42">
        <f>IF($AH818="","",SUMIFS('ORDENES'!$M$4:$M$1203,'ORDENES'!$AH$4:$AH$1203,$AH818,'ORDENES'!$O$4:$O$1203,$O818,'ORDENES'!$S$4:$S$1203,$S818))</f>
        <v/>
      </c>
      <c r="AK818" s="42">
        <f>IF($AJ818="","",p_factor_productividad*IFERROR(INDEX('ASIGNACIONES'!$M$4:$M$451,MATCH($O818&amp;"|"&amp;$S818&amp;"|"&amp;$AH818,'ASIGNACIONES'!$N$4:$N$451,0)),0)-$AJ818)</f>
        <v/>
      </c>
      <c r="AL818" s="32">
        <f>IF($A818="","",IFERROR(INDEX('2_IMPORTAR_EJECUCION'!$F$9:$F$1208,MATCH($AU818,'2_IMPORTAR_EJECUCION'!$J$9:$J$1208,0)),0))</f>
        <v/>
      </c>
      <c r="AM818" s="32">
        <f>IF($A818="","",MAX(0,IFERROR(INDEX('2_IMPORTAR_EJECUCION'!$H$9:$H$1208,MATCH($AU818,'2_IMPORTAR_EJECUCION'!$J$9:$J$1208,0)),0)-$AL818))</f>
        <v/>
      </c>
      <c r="AN818" s="32">
        <f>IF($A818="","",$AL818+$AM818)</f>
        <v/>
      </c>
      <c r="AO818" s="24">
        <f>IF($A818="","",IF(OR((IFERROR(INDEX('CAT_ACTIVIDADES'!$D$4:$D$26,MATCH($H818,'CAT_ACTIVIDADES'!$A$4:$A$26,0)),""))=0,(IFERROR(INDEX('CAT_ACTIVIDADES'!$D$4:$D$26,MATCH($H818,'CAT_ACTIVIDADES'!$A$4:$A$26,0)),""))=""),"SIN CLASIFICAR",IFERROR(INDEX('CAT_ACTIVIDADES'!$D$4:$D$26,MATCH($H818,'CAT_ACTIVIDADES'!$A$4:$A$26,0)),"")))</f>
        <v/>
      </c>
      <c r="AP818" s="4" t="n"/>
      <c r="AQ818" s="4" t="n"/>
      <c r="AR818" s="4" t="n"/>
      <c r="AS818" s="24">
        <f>IF($AR818="","",HYPERLINK(p_ruta_base_checklists&amp;$AR818,"abrir"))</f>
        <v/>
      </c>
      <c r="AT818" s="4" t="n"/>
      <c r="AU818" s="24">
        <f>IF($A818="","",$A818&amp;IF($B818="","0010",$B818))</f>
        <v/>
      </c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41" t="n"/>
      <c r="K819" s="5" t="n"/>
      <c r="L819" s="18" t="n"/>
      <c r="M819" s="24">
        <f>IF($A819="","",IFERROR(INDEX('AJUSTES'!$B$4:$B$303,MATCH($AU819,'AJUSTES'!$A$4:$A$303,0)),IF($K819="","",$K819)))</f>
        <v/>
      </c>
      <c r="N819" s="24">
        <f>IF($A819="","",IFERROR(INDEX('CAT_ESTADOS_ERP'!$B$4:$B$22,MATCH(IFERROR(INDEX('2_IMPORTAR_EJECUCION'!$C$9:$C$1208,MATCH($AU819,'2_IMPORTAR_EJECUCION'!$J$9:$J$1208,0)),""),'CAT_ESTADOS_ERP'!$A$4:$A$22,0)),"Pendiente"))</f>
        <v/>
      </c>
      <c r="O819" s="24">
        <f>IF($J819="","",YEAR($J819+4-WEEKDAY($J819,2))&amp;"-S"&amp;TEXT(_xlfn.ISOWEEKNUM($J819),"00"))</f>
        <v/>
      </c>
      <c r="P819" s="24">
        <f>IF($J819="","",YEAR($J819))</f>
        <v/>
      </c>
      <c r="Q819" s="24">
        <f>IF($J819="","",MONTH($J819))</f>
        <v/>
      </c>
      <c r="R819" s="24">
        <f>IF($J819="","",$P819&amp;"-"&amp;TEXT($Q819,"00"))</f>
        <v/>
      </c>
      <c r="S819" s="24">
        <f>IF($J819="","",INDEX(lista_dias,WEEKDAY($J819,2)))</f>
        <v/>
      </c>
      <c r="T819" s="24">
        <f>IF($J819="","",IFERROR(INDEX('CALENDARIO'!$C$15:$C$214,MATCH(TEXT($J819,"yyyy-mm-dd")&amp;"|"&amp;$Y819&amp;"|"&amp;$Z819,'CALENDARIO'!$G$15:$G$214,0)),IFERROR(INDEX('CALENDARIO'!$C$15:$C$214,MATCH(TEXT($J819,"yyyy-mm-dd")&amp;"|"&amp;$Y819&amp;"|",'CALENDARIO'!$G$15:$G$214,0)),IFERROR(INDEX('CALENDARIO'!$C$15:$C$214,MATCH(TEXT($J819,"yyyy-mm-dd")&amp;"||",'CALENDARIO'!$G$15:$G$214,0)),INDEX(patronHabil,WEEKDAY($J819,2))))))</f>
        <v/>
      </c>
      <c r="U819" s="24">
        <f>IF($I819="","",IFERROR(INDEX('CAT_TIPOS_OT'!$C$4:$C$23,MATCH($I819,'CAT_TIPOS_OT'!$A$4:$A$23,0)),"sin_clasificar"))</f>
        <v/>
      </c>
      <c r="V819" s="24">
        <f>IF($I819="","",IF(IFERROR(INDEX('CAT_TIPOS_OT'!$D$4:$D$23,MATCH($I819,'CAT_TIPOS_OT'!$A$4:$A$23,0)),"SIN CLASIFICAR")="","SIN CLASIFICAR",IFERROR(INDEX('CAT_TIPOS_OT'!$D$4:$D$23,MATCH($I819,'CAT_TIPOS_OT'!$A$4:$A$23,0)),"SIN CLASIFICAR")))</f>
        <v/>
      </c>
      <c r="W819" s="24">
        <f>IF($H819="","",IF(IFERROR(INDEX('CAT_ACTIVIDADES'!$F$4:$F$26,MATCH($H819,'CAT_ACTIVIDADES'!$A$4:$A$26,0)),"")=0,"",IFERROR(INDEX('CAT_ACTIVIDADES'!$F$4:$F$26,MATCH($H819,'CAT_ACTIVIDADES'!$A$4:$A$26,0)),"")))</f>
        <v/>
      </c>
      <c r="X819" s="24">
        <f>IF($F819="","",IFERROR(INDEX('CAT_CENTROS_COSTO'!$F$4:$F$28,MATCH($F819,'CAT_CENTROS_COSTO'!$A$4:$A$28,0)),"(sin catálogo)"))</f>
        <v/>
      </c>
      <c r="Y819" s="24">
        <f>IF($F819="","",IFERROR(INDEX('CAT_CENTROS_COSTO'!$D$4:$D$28,MATCH($F819,'CAT_CENTROS_COSTO'!$A$4:$A$28,0)),"(sin catálogo)"))</f>
        <v/>
      </c>
      <c r="Z819" s="24">
        <f>IF($F819="","",IF((IFERROR(INDEX('CAT_CENTROS_COSTO'!$E$4:$E$28,MATCH($F819,'CAT_CENTROS_COSTO'!$A$4:$A$28,0)),""))&lt;&gt;"",IFERROR(INDEX('CAT_CENTROS_COSTO'!$E$4:$E$28,MATCH($F819,'CAT_CENTROS_COSTO'!$A$4:$A$28,0)),""),$Y819))</f>
        <v/>
      </c>
      <c r="AA819" s="24">
        <f>IF($F819="","",IFERROR(INDEX('CAT_CENTROS_COSTO'!$G$4:$G$28,MATCH($F819,'CAT_CENTROS_COSTO'!$A$4:$A$28,0)),"(sin catálogo)"))</f>
        <v/>
      </c>
      <c r="AB819" s="24">
        <f>IF($G819="","",IFERROR(INDEX('CAT_PUESTOS'!$B$4:$B$23,MATCH($G819,'CAT_PUESTOS'!$A$4:$A$23,0)),"(sin catálogo)"))</f>
        <v/>
      </c>
      <c r="AC819" s="24">
        <f>IF($H819="","",IFERROR(INDEX('CAT_ACTIVIDADES'!$B$4:$B$26,MATCH($H819,'CAT_ACTIVIDADES'!$A$4:$A$26,0)),"(sin catálogo)"))</f>
        <v/>
      </c>
      <c r="AD819" s="26">
        <f>IF($J819="","",TODAY()-$J819)</f>
        <v/>
      </c>
      <c r="AE819" s="26">
        <f>IF($J819="","",IF($J819&lt;=TODAY(),COUNTIFS(cal_fechas,"&gt;="&amp;$J819,cal_fechas,"&lt;"&amp;TODAY(),cal_habil,"sí"),-COUNTIFS(cal_fechas,"&gt;="&amp;TODAY(),cal_fechas,"&lt;"&amp;$J819,cal_habil,"sí")))</f>
        <v/>
      </c>
      <c r="AF819" s="24">
        <f>IF($AE819="","",IF($AE819&lt;0,"FUTURO",IF($AE819&gt;p_dias_backlog_max,"BACKLOG","MES CORRIENTE")))</f>
        <v/>
      </c>
      <c r="AG819" s="24">
        <f>IF($AE819="",FALSE,AND($AE819&gt;p_dias_backlog_min,$AE819&lt;=p_dias_backlog_max))</f>
        <v/>
      </c>
      <c r="AH819" s="4" t="n"/>
      <c r="AI819" s="24">
        <f>IF($AH819="","",IF((IFERROR(INDEX('ASIGNACIONES'!$J$4:$J$451,MATCH($O819&amp;"|"&amp;$S819&amp;"|"&amp;$AH819,'ASIGNACIONES'!$N$4:$N$451,0)),""))=0,"",IFERROR(INDEX('ASIGNACIONES'!$J$4:$J$451,MATCH($O819&amp;"|"&amp;$S819&amp;"|"&amp;$AH819,'ASIGNACIONES'!$N$4:$N$451,0)),"")))</f>
        <v/>
      </c>
      <c r="AJ819" s="42">
        <f>IF($AH819="","",SUMIFS('ORDENES'!$M$4:$M$1203,'ORDENES'!$AH$4:$AH$1203,$AH819,'ORDENES'!$O$4:$O$1203,$O819,'ORDENES'!$S$4:$S$1203,$S819))</f>
        <v/>
      </c>
      <c r="AK819" s="42">
        <f>IF($AJ819="","",p_factor_productividad*IFERROR(INDEX('ASIGNACIONES'!$M$4:$M$451,MATCH($O819&amp;"|"&amp;$S819&amp;"|"&amp;$AH819,'ASIGNACIONES'!$N$4:$N$451,0)),0)-$AJ819)</f>
        <v/>
      </c>
      <c r="AL819" s="32">
        <f>IF($A819="","",IFERROR(INDEX('2_IMPORTAR_EJECUCION'!$F$9:$F$1208,MATCH($AU819,'2_IMPORTAR_EJECUCION'!$J$9:$J$1208,0)),0))</f>
        <v/>
      </c>
      <c r="AM819" s="32">
        <f>IF($A819="","",MAX(0,IFERROR(INDEX('2_IMPORTAR_EJECUCION'!$H$9:$H$1208,MATCH($AU819,'2_IMPORTAR_EJECUCION'!$J$9:$J$1208,0)),0)-$AL819))</f>
        <v/>
      </c>
      <c r="AN819" s="32">
        <f>IF($A819="","",$AL819+$AM819)</f>
        <v/>
      </c>
      <c r="AO819" s="24">
        <f>IF($A819="","",IF(OR((IFERROR(INDEX('CAT_ACTIVIDADES'!$D$4:$D$26,MATCH($H819,'CAT_ACTIVIDADES'!$A$4:$A$26,0)),""))=0,(IFERROR(INDEX('CAT_ACTIVIDADES'!$D$4:$D$26,MATCH($H819,'CAT_ACTIVIDADES'!$A$4:$A$26,0)),""))=""),"SIN CLASIFICAR",IFERROR(INDEX('CAT_ACTIVIDADES'!$D$4:$D$26,MATCH($H819,'CAT_ACTIVIDADES'!$A$4:$A$26,0)),"")))</f>
        <v/>
      </c>
      <c r="AP819" s="4" t="n"/>
      <c r="AQ819" s="4" t="n"/>
      <c r="AR819" s="4" t="n"/>
      <c r="AS819" s="24">
        <f>IF($AR819="","",HYPERLINK(p_ruta_base_checklists&amp;$AR819,"abrir"))</f>
        <v/>
      </c>
      <c r="AT819" s="4" t="n"/>
      <c r="AU819" s="24">
        <f>IF($A819="","",$A819&amp;IF($B819="","0010",$B819))</f>
        <v/>
      </c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41" t="n"/>
      <c r="K820" s="5" t="n"/>
      <c r="L820" s="18" t="n"/>
      <c r="M820" s="24">
        <f>IF($A820="","",IFERROR(INDEX('AJUSTES'!$B$4:$B$303,MATCH($AU820,'AJUSTES'!$A$4:$A$303,0)),IF($K820="","",$K820)))</f>
        <v/>
      </c>
      <c r="N820" s="24">
        <f>IF($A820="","",IFERROR(INDEX('CAT_ESTADOS_ERP'!$B$4:$B$22,MATCH(IFERROR(INDEX('2_IMPORTAR_EJECUCION'!$C$9:$C$1208,MATCH($AU820,'2_IMPORTAR_EJECUCION'!$J$9:$J$1208,0)),""),'CAT_ESTADOS_ERP'!$A$4:$A$22,0)),"Pendiente"))</f>
        <v/>
      </c>
      <c r="O820" s="24">
        <f>IF($J820="","",YEAR($J820+4-WEEKDAY($J820,2))&amp;"-S"&amp;TEXT(_xlfn.ISOWEEKNUM($J820),"00"))</f>
        <v/>
      </c>
      <c r="P820" s="24">
        <f>IF($J820="","",YEAR($J820))</f>
        <v/>
      </c>
      <c r="Q820" s="24">
        <f>IF($J820="","",MONTH($J820))</f>
        <v/>
      </c>
      <c r="R820" s="24">
        <f>IF($J820="","",$P820&amp;"-"&amp;TEXT($Q820,"00"))</f>
        <v/>
      </c>
      <c r="S820" s="24">
        <f>IF($J820="","",INDEX(lista_dias,WEEKDAY($J820,2)))</f>
        <v/>
      </c>
      <c r="T820" s="24">
        <f>IF($J820="","",IFERROR(INDEX('CALENDARIO'!$C$15:$C$214,MATCH(TEXT($J820,"yyyy-mm-dd")&amp;"|"&amp;$Y820&amp;"|"&amp;$Z820,'CALENDARIO'!$G$15:$G$214,0)),IFERROR(INDEX('CALENDARIO'!$C$15:$C$214,MATCH(TEXT($J820,"yyyy-mm-dd")&amp;"|"&amp;$Y820&amp;"|",'CALENDARIO'!$G$15:$G$214,0)),IFERROR(INDEX('CALENDARIO'!$C$15:$C$214,MATCH(TEXT($J820,"yyyy-mm-dd")&amp;"||",'CALENDARIO'!$G$15:$G$214,0)),INDEX(patronHabil,WEEKDAY($J820,2))))))</f>
        <v/>
      </c>
      <c r="U820" s="24">
        <f>IF($I820="","",IFERROR(INDEX('CAT_TIPOS_OT'!$C$4:$C$23,MATCH($I820,'CAT_TIPOS_OT'!$A$4:$A$23,0)),"sin_clasificar"))</f>
        <v/>
      </c>
      <c r="V820" s="24">
        <f>IF($I820="","",IF(IFERROR(INDEX('CAT_TIPOS_OT'!$D$4:$D$23,MATCH($I820,'CAT_TIPOS_OT'!$A$4:$A$23,0)),"SIN CLASIFICAR")="","SIN CLASIFICAR",IFERROR(INDEX('CAT_TIPOS_OT'!$D$4:$D$23,MATCH($I820,'CAT_TIPOS_OT'!$A$4:$A$23,0)),"SIN CLASIFICAR")))</f>
        <v/>
      </c>
      <c r="W820" s="24">
        <f>IF($H820="","",IF(IFERROR(INDEX('CAT_ACTIVIDADES'!$F$4:$F$26,MATCH($H820,'CAT_ACTIVIDADES'!$A$4:$A$26,0)),"")=0,"",IFERROR(INDEX('CAT_ACTIVIDADES'!$F$4:$F$26,MATCH($H820,'CAT_ACTIVIDADES'!$A$4:$A$26,0)),"")))</f>
        <v/>
      </c>
      <c r="X820" s="24">
        <f>IF($F820="","",IFERROR(INDEX('CAT_CENTROS_COSTO'!$F$4:$F$28,MATCH($F820,'CAT_CENTROS_COSTO'!$A$4:$A$28,0)),"(sin catálogo)"))</f>
        <v/>
      </c>
      <c r="Y820" s="24">
        <f>IF($F820="","",IFERROR(INDEX('CAT_CENTROS_COSTO'!$D$4:$D$28,MATCH($F820,'CAT_CENTROS_COSTO'!$A$4:$A$28,0)),"(sin catálogo)"))</f>
        <v/>
      </c>
      <c r="Z820" s="24">
        <f>IF($F820="","",IF((IFERROR(INDEX('CAT_CENTROS_COSTO'!$E$4:$E$28,MATCH($F820,'CAT_CENTROS_COSTO'!$A$4:$A$28,0)),""))&lt;&gt;"",IFERROR(INDEX('CAT_CENTROS_COSTO'!$E$4:$E$28,MATCH($F820,'CAT_CENTROS_COSTO'!$A$4:$A$28,0)),""),$Y820))</f>
        <v/>
      </c>
      <c r="AA820" s="24">
        <f>IF($F820="","",IFERROR(INDEX('CAT_CENTROS_COSTO'!$G$4:$G$28,MATCH($F820,'CAT_CENTROS_COSTO'!$A$4:$A$28,0)),"(sin catálogo)"))</f>
        <v/>
      </c>
      <c r="AB820" s="24">
        <f>IF($G820="","",IFERROR(INDEX('CAT_PUESTOS'!$B$4:$B$23,MATCH($G820,'CAT_PUESTOS'!$A$4:$A$23,0)),"(sin catálogo)"))</f>
        <v/>
      </c>
      <c r="AC820" s="24">
        <f>IF($H820="","",IFERROR(INDEX('CAT_ACTIVIDADES'!$B$4:$B$26,MATCH($H820,'CAT_ACTIVIDADES'!$A$4:$A$26,0)),"(sin catálogo)"))</f>
        <v/>
      </c>
      <c r="AD820" s="26">
        <f>IF($J820="","",TODAY()-$J820)</f>
        <v/>
      </c>
      <c r="AE820" s="26">
        <f>IF($J820="","",IF($J820&lt;=TODAY(),COUNTIFS(cal_fechas,"&gt;="&amp;$J820,cal_fechas,"&lt;"&amp;TODAY(),cal_habil,"sí"),-COUNTIFS(cal_fechas,"&gt;="&amp;TODAY(),cal_fechas,"&lt;"&amp;$J820,cal_habil,"sí")))</f>
        <v/>
      </c>
      <c r="AF820" s="24">
        <f>IF($AE820="","",IF($AE820&lt;0,"FUTURO",IF($AE820&gt;p_dias_backlog_max,"BACKLOG","MES CORRIENTE")))</f>
        <v/>
      </c>
      <c r="AG820" s="24">
        <f>IF($AE820="",FALSE,AND($AE820&gt;p_dias_backlog_min,$AE820&lt;=p_dias_backlog_max))</f>
        <v/>
      </c>
      <c r="AH820" s="4" t="n"/>
      <c r="AI820" s="24">
        <f>IF($AH820="","",IF((IFERROR(INDEX('ASIGNACIONES'!$J$4:$J$451,MATCH($O820&amp;"|"&amp;$S820&amp;"|"&amp;$AH820,'ASIGNACIONES'!$N$4:$N$451,0)),""))=0,"",IFERROR(INDEX('ASIGNACIONES'!$J$4:$J$451,MATCH($O820&amp;"|"&amp;$S820&amp;"|"&amp;$AH820,'ASIGNACIONES'!$N$4:$N$451,0)),"")))</f>
        <v/>
      </c>
      <c r="AJ820" s="42">
        <f>IF($AH820="","",SUMIFS('ORDENES'!$M$4:$M$1203,'ORDENES'!$AH$4:$AH$1203,$AH820,'ORDENES'!$O$4:$O$1203,$O820,'ORDENES'!$S$4:$S$1203,$S820))</f>
        <v/>
      </c>
      <c r="AK820" s="42">
        <f>IF($AJ820="","",p_factor_productividad*IFERROR(INDEX('ASIGNACIONES'!$M$4:$M$451,MATCH($O820&amp;"|"&amp;$S820&amp;"|"&amp;$AH820,'ASIGNACIONES'!$N$4:$N$451,0)),0)-$AJ820)</f>
        <v/>
      </c>
      <c r="AL820" s="32">
        <f>IF($A820="","",IFERROR(INDEX('2_IMPORTAR_EJECUCION'!$F$9:$F$1208,MATCH($AU820,'2_IMPORTAR_EJECUCION'!$J$9:$J$1208,0)),0))</f>
        <v/>
      </c>
      <c r="AM820" s="32">
        <f>IF($A820="","",MAX(0,IFERROR(INDEX('2_IMPORTAR_EJECUCION'!$H$9:$H$1208,MATCH($AU820,'2_IMPORTAR_EJECUCION'!$J$9:$J$1208,0)),0)-$AL820))</f>
        <v/>
      </c>
      <c r="AN820" s="32">
        <f>IF($A820="","",$AL820+$AM820)</f>
        <v/>
      </c>
      <c r="AO820" s="24">
        <f>IF($A820="","",IF(OR((IFERROR(INDEX('CAT_ACTIVIDADES'!$D$4:$D$26,MATCH($H820,'CAT_ACTIVIDADES'!$A$4:$A$26,0)),""))=0,(IFERROR(INDEX('CAT_ACTIVIDADES'!$D$4:$D$26,MATCH($H820,'CAT_ACTIVIDADES'!$A$4:$A$26,0)),""))=""),"SIN CLASIFICAR",IFERROR(INDEX('CAT_ACTIVIDADES'!$D$4:$D$26,MATCH($H820,'CAT_ACTIVIDADES'!$A$4:$A$26,0)),"")))</f>
        <v/>
      </c>
      <c r="AP820" s="4" t="n"/>
      <c r="AQ820" s="4" t="n"/>
      <c r="AR820" s="4" t="n"/>
      <c r="AS820" s="24">
        <f>IF($AR820="","",HYPERLINK(p_ruta_base_checklists&amp;$AR820,"abrir"))</f>
        <v/>
      </c>
      <c r="AT820" s="4" t="n"/>
      <c r="AU820" s="24">
        <f>IF($A820="","",$A820&amp;IF($B820="","0010",$B820))</f>
        <v/>
      </c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41" t="n"/>
      <c r="K821" s="5" t="n"/>
      <c r="L821" s="18" t="n"/>
      <c r="M821" s="24">
        <f>IF($A821="","",IFERROR(INDEX('AJUSTES'!$B$4:$B$303,MATCH($AU821,'AJUSTES'!$A$4:$A$303,0)),IF($K821="","",$K821)))</f>
        <v/>
      </c>
      <c r="N821" s="24">
        <f>IF($A821="","",IFERROR(INDEX('CAT_ESTADOS_ERP'!$B$4:$B$22,MATCH(IFERROR(INDEX('2_IMPORTAR_EJECUCION'!$C$9:$C$1208,MATCH($AU821,'2_IMPORTAR_EJECUCION'!$J$9:$J$1208,0)),""),'CAT_ESTADOS_ERP'!$A$4:$A$22,0)),"Pendiente"))</f>
        <v/>
      </c>
      <c r="O821" s="24">
        <f>IF($J821="","",YEAR($J821+4-WEEKDAY($J821,2))&amp;"-S"&amp;TEXT(_xlfn.ISOWEEKNUM($J821),"00"))</f>
        <v/>
      </c>
      <c r="P821" s="24">
        <f>IF($J821="","",YEAR($J821))</f>
        <v/>
      </c>
      <c r="Q821" s="24">
        <f>IF($J821="","",MONTH($J821))</f>
        <v/>
      </c>
      <c r="R821" s="24">
        <f>IF($J821="","",$P821&amp;"-"&amp;TEXT($Q821,"00"))</f>
        <v/>
      </c>
      <c r="S821" s="24">
        <f>IF($J821="","",INDEX(lista_dias,WEEKDAY($J821,2)))</f>
        <v/>
      </c>
      <c r="T821" s="24">
        <f>IF($J821="","",IFERROR(INDEX('CALENDARIO'!$C$15:$C$214,MATCH(TEXT($J821,"yyyy-mm-dd")&amp;"|"&amp;$Y821&amp;"|"&amp;$Z821,'CALENDARIO'!$G$15:$G$214,0)),IFERROR(INDEX('CALENDARIO'!$C$15:$C$214,MATCH(TEXT($J821,"yyyy-mm-dd")&amp;"|"&amp;$Y821&amp;"|",'CALENDARIO'!$G$15:$G$214,0)),IFERROR(INDEX('CALENDARIO'!$C$15:$C$214,MATCH(TEXT($J821,"yyyy-mm-dd")&amp;"||",'CALENDARIO'!$G$15:$G$214,0)),INDEX(patronHabil,WEEKDAY($J821,2))))))</f>
        <v/>
      </c>
      <c r="U821" s="24">
        <f>IF($I821="","",IFERROR(INDEX('CAT_TIPOS_OT'!$C$4:$C$23,MATCH($I821,'CAT_TIPOS_OT'!$A$4:$A$23,0)),"sin_clasificar"))</f>
        <v/>
      </c>
      <c r="V821" s="24">
        <f>IF($I821="","",IF(IFERROR(INDEX('CAT_TIPOS_OT'!$D$4:$D$23,MATCH($I821,'CAT_TIPOS_OT'!$A$4:$A$23,0)),"SIN CLASIFICAR")="","SIN CLASIFICAR",IFERROR(INDEX('CAT_TIPOS_OT'!$D$4:$D$23,MATCH($I821,'CAT_TIPOS_OT'!$A$4:$A$23,0)),"SIN CLASIFICAR")))</f>
        <v/>
      </c>
      <c r="W821" s="24">
        <f>IF($H821="","",IF(IFERROR(INDEX('CAT_ACTIVIDADES'!$F$4:$F$26,MATCH($H821,'CAT_ACTIVIDADES'!$A$4:$A$26,0)),"")=0,"",IFERROR(INDEX('CAT_ACTIVIDADES'!$F$4:$F$26,MATCH($H821,'CAT_ACTIVIDADES'!$A$4:$A$26,0)),"")))</f>
        <v/>
      </c>
      <c r="X821" s="24">
        <f>IF($F821="","",IFERROR(INDEX('CAT_CENTROS_COSTO'!$F$4:$F$28,MATCH($F821,'CAT_CENTROS_COSTO'!$A$4:$A$28,0)),"(sin catálogo)"))</f>
        <v/>
      </c>
      <c r="Y821" s="24">
        <f>IF($F821="","",IFERROR(INDEX('CAT_CENTROS_COSTO'!$D$4:$D$28,MATCH($F821,'CAT_CENTROS_COSTO'!$A$4:$A$28,0)),"(sin catálogo)"))</f>
        <v/>
      </c>
      <c r="Z821" s="24">
        <f>IF($F821="","",IF((IFERROR(INDEX('CAT_CENTROS_COSTO'!$E$4:$E$28,MATCH($F821,'CAT_CENTROS_COSTO'!$A$4:$A$28,0)),""))&lt;&gt;"",IFERROR(INDEX('CAT_CENTROS_COSTO'!$E$4:$E$28,MATCH($F821,'CAT_CENTROS_COSTO'!$A$4:$A$28,0)),""),$Y821))</f>
        <v/>
      </c>
      <c r="AA821" s="24">
        <f>IF($F821="","",IFERROR(INDEX('CAT_CENTROS_COSTO'!$G$4:$G$28,MATCH($F821,'CAT_CENTROS_COSTO'!$A$4:$A$28,0)),"(sin catálogo)"))</f>
        <v/>
      </c>
      <c r="AB821" s="24">
        <f>IF($G821="","",IFERROR(INDEX('CAT_PUESTOS'!$B$4:$B$23,MATCH($G821,'CAT_PUESTOS'!$A$4:$A$23,0)),"(sin catálogo)"))</f>
        <v/>
      </c>
      <c r="AC821" s="24">
        <f>IF($H821="","",IFERROR(INDEX('CAT_ACTIVIDADES'!$B$4:$B$26,MATCH($H821,'CAT_ACTIVIDADES'!$A$4:$A$26,0)),"(sin catálogo)"))</f>
        <v/>
      </c>
      <c r="AD821" s="26">
        <f>IF($J821="","",TODAY()-$J821)</f>
        <v/>
      </c>
      <c r="AE821" s="26">
        <f>IF($J821="","",IF($J821&lt;=TODAY(),COUNTIFS(cal_fechas,"&gt;="&amp;$J821,cal_fechas,"&lt;"&amp;TODAY(),cal_habil,"sí"),-COUNTIFS(cal_fechas,"&gt;="&amp;TODAY(),cal_fechas,"&lt;"&amp;$J821,cal_habil,"sí")))</f>
        <v/>
      </c>
      <c r="AF821" s="24">
        <f>IF($AE821="","",IF($AE821&lt;0,"FUTURO",IF($AE821&gt;p_dias_backlog_max,"BACKLOG","MES CORRIENTE")))</f>
        <v/>
      </c>
      <c r="AG821" s="24">
        <f>IF($AE821="",FALSE,AND($AE821&gt;p_dias_backlog_min,$AE821&lt;=p_dias_backlog_max))</f>
        <v/>
      </c>
      <c r="AH821" s="4" t="n"/>
      <c r="AI821" s="24">
        <f>IF($AH821="","",IF((IFERROR(INDEX('ASIGNACIONES'!$J$4:$J$451,MATCH($O821&amp;"|"&amp;$S821&amp;"|"&amp;$AH821,'ASIGNACIONES'!$N$4:$N$451,0)),""))=0,"",IFERROR(INDEX('ASIGNACIONES'!$J$4:$J$451,MATCH($O821&amp;"|"&amp;$S821&amp;"|"&amp;$AH821,'ASIGNACIONES'!$N$4:$N$451,0)),"")))</f>
        <v/>
      </c>
      <c r="AJ821" s="42">
        <f>IF($AH821="","",SUMIFS('ORDENES'!$M$4:$M$1203,'ORDENES'!$AH$4:$AH$1203,$AH821,'ORDENES'!$O$4:$O$1203,$O821,'ORDENES'!$S$4:$S$1203,$S821))</f>
        <v/>
      </c>
      <c r="AK821" s="42">
        <f>IF($AJ821="","",p_factor_productividad*IFERROR(INDEX('ASIGNACIONES'!$M$4:$M$451,MATCH($O821&amp;"|"&amp;$S821&amp;"|"&amp;$AH821,'ASIGNACIONES'!$N$4:$N$451,0)),0)-$AJ821)</f>
        <v/>
      </c>
      <c r="AL821" s="32">
        <f>IF($A821="","",IFERROR(INDEX('2_IMPORTAR_EJECUCION'!$F$9:$F$1208,MATCH($AU821,'2_IMPORTAR_EJECUCION'!$J$9:$J$1208,0)),0))</f>
        <v/>
      </c>
      <c r="AM821" s="32">
        <f>IF($A821="","",MAX(0,IFERROR(INDEX('2_IMPORTAR_EJECUCION'!$H$9:$H$1208,MATCH($AU821,'2_IMPORTAR_EJECUCION'!$J$9:$J$1208,0)),0)-$AL821))</f>
        <v/>
      </c>
      <c r="AN821" s="32">
        <f>IF($A821="","",$AL821+$AM821)</f>
        <v/>
      </c>
      <c r="AO821" s="24">
        <f>IF($A821="","",IF(OR((IFERROR(INDEX('CAT_ACTIVIDADES'!$D$4:$D$26,MATCH($H821,'CAT_ACTIVIDADES'!$A$4:$A$26,0)),""))=0,(IFERROR(INDEX('CAT_ACTIVIDADES'!$D$4:$D$26,MATCH($H821,'CAT_ACTIVIDADES'!$A$4:$A$26,0)),""))=""),"SIN CLASIFICAR",IFERROR(INDEX('CAT_ACTIVIDADES'!$D$4:$D$26,MATCH($H821,'CAT_ACTIVIDADES'!$A$4:$A$26,0)),"")))</f>
        <v/>
      </c>
      <c r="AP821" s="4" t="n"/>
      <c r="AQ821" s="4" t="n"/>
      <c r="AR821" s="4" t="n"/>
      <c r="AS821" s="24">
        <f>IF($AR821="","",HYPERLINK(p_ruta_base_checklists&amp;$AR821,"abrir"))</f>
        <v/>
      </c>
      <c r="AT821" s="4" t="n"/>
      <c r="AU821" s="24">
        <f>IF($A821="","",$A821&amp;IF($B821="","0010",$B821))</f>
        <v/>
      </c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41" t="n"/>
      <c r="K822" s="5" t="n"/>
      <c r="L822" s="18" t="n"/>
      <c r="M822" s="24">
        <f>IF($A822="","",IFERROR(INDEX('AJUSTES'!$B$4:$B$303,MATCH($AU822,'AJUSTES'!$A$4:$A$303,0)),IF($K822="","",$K822)))</f>
        <v/>
      </c>
      <c r="N822" s="24">
        <f>IF($A822="","",IFERROR(INDEX('CAT_ESTADOS_ERP'!$B$4:$B$22,MATCH(IFERROR(INDEX('2_IMPORTAR_EJECUCION'!$C$9:$C$1208,MATCH($AU822,'2_IMPORTAR_EJECUCION'!$J$9:$J$1208,0)),""),'CAT_ESTADOS_ERP'!$A$4:$A$22,0)),"Pendiente"))</f>
        <v/>
      </c>
      <c r="O822" s="24">
        <f>IF($J822="","",YEAR($J822+4-WEEKDAY($J822,2))&amp;"-S"&amp;TEXT(_xlfn.ISOWEEKNUM($J822),"00"))</f>
        <v/>
      </c>
      <c r="P822" s="24">
        <f>IF($J822="","",YEAR($J822))</f>
        <v/>
      </c>
      <c r="Q822" s="24">
        <f>IF($J822="","",MONTH($J822))</f>
        <v/>
      </c>
      <c r="R822" s="24">
        <f>IF($J822="","",$P822&amp;"-"&amp;TEXT($Q822,"00"))</f>
        <v/>
      </c>
      <c r="S822" s="24">
        <f>IF($J822="","",INDEX(lista_dias,WEEKDAY($J822,2)))</f>
        <v/>
      </c>
      <c r="T822" s="24">
        <f>IF($J822="","",IFERROR(INDEX('CALENDARIO'!$C$15:$C$214,MATCH(TEXT($J822,"yyyy-mm-dd")&amp;"|"&amp;$Y822&amp;"|"&amp;$Z822,'CALENDARIO'!$G$15:$G$214,0)),IFERROR(INDEX('CALENDARIO'!$C$15:$C$214,MATCH(TEXT($J822,"yyyy-mm-dd")&amp;"|"&amp;$Y822&amp;"|",'CALENDARIO'!$G$15:$G$214,0)),IFERROR(INDEX('CALENDARIO'!$C$15:$C$214,MATCH(TEXT($J822,"yyyy-mm-dd")&amp;"||",'CALENDARIO'!$G$15:$G$214,0)),INDEX(patronHabil,WEEKDAY($J822,2))))))</f>
        <v/>
      </c>
      <c r="U822" s="24">
        <f>IF($I822="","",IFERROR(INDEX('CAT_TIPOS_OT'!$C$4:$C$23,MATCH($I822,'CAT_TIPOS_OT'!$A$4:$A$23,0)),"sin_clasificar"))</f>
        <v/>
      </c>
      <c r="V822" s="24">
        <f>IF($I822="","",IF(IFERROR(INDEX('CAT_TIPOS_OT'!$D$4:$D$23,MATCH($I822,'CAT_TIPOS_OT'!$A$4:$A$23,0)),"SIN CLASIFICAR")="","SIN CLASIFICAR",IFERROR(INDEX('CAT_TIPOS_OT'!$D$4:$D$23,MATCH($I822,'CAT_TIPOS_OT'!$A$4:$A$23,0)),"SIN CLASIFICAR")))</f>
        <v/>
      </c>
      <c r="W822" s="24">
        <f>IF($H822="","",IF(IFERROR(INDEX('CAT_ACTIVIDADES'!$F$4:$F$26,MATCH($H822,'CAT_ACTIVIDADES'!$A$4:$A$26,0)),"")=0,"",IFERROR(INDEX('CAT_ACTIVIDADES'!$F$4:$F$26,MATCH($H822,'CAT_ACTIVIDADES'!$A$4:$A$26,0)),"")))</f>
        <v/>
      </c>
      <c r="X822" s="24">
        <f>IF($F822="","",IFERROR(INDEX('CAT_CENTROS_COSTO'!$F$4:$F$28,MATCH($F822,'CAT_CENTROS_COSTO'!$A$4:$A$28,0)),"(sin catálogo)"))</f>
        <v/>
      </c>
      <c r="Y822" s="24">
        <f>IF($F822="","",IFERROR(INDEX('CAT_CENTROS_COSTO'!$D$4:$D$28,MATCH($F822,'CAT_CENTROS_COSTO'!$A$4:$A$28,0)),"(sin catálogo)"))</f>
        <v/>
      </c>
      <c r="Z822" s="24">
        <f>IF($F822="","",IF((IFERROR(INDEX('CAT_CENTROS_COSTO'!$E$4:$E$28,MATCH($F822,'CAT_CENTROS_COSTO'!$A$4:$A$28,0)),""))&lt;&gt;"",IFERROR(INDEX('CAT_CENTROS_COSTO'!$E$4:$E$28,MATCH($F822,'CAT_CENTROS_COSTO'!$A$4:$A$28,0)),""),$Y822))</f>
        <v/>
      </c>
      <c r="AA822" s="24">
        <f>IF($F822="","",IFERROR(INDEX('CAT_CENTROS_COSTO'!$G$4:$G$28,MATCH($F822,'CAT_CENTROS_COSTO'!$A$4:$A$28,0)),"(sin catálogo)"))</f>
        <v/>
      </c>
      <c r="AB822" s="24">
        <f>IF($G822="","",IFERROR(INDEX('CAT_PUESTOS'!$B$4:$B$23,MATCH($G822,'CAT_PUESTOS'!$A$4:$A$23,0)),"(sin catálogo)"))</f>
        <v/>
      </c>
      <c r="AC822" s="24">
        <f>IF($H822="","",IFERROR(INDEX('CAT_ACTIVIDADES'!$B$4:$B$26,MATCH($H822,'CAT_ACTIVIDADES'!$A$4:$A$26,0)),"(sin catálogo)"))</f>
        <v/>
      </c>
      <c r="AD822" s="26">
        <f>IF($J822="","",TODAY()-$J822)</f>
        <v/>
      </c>
      <c r="AE822" s="26">
        <f>IF($J822="","",IF($J822&lt;=TODAY(),COUNTIFS(cal_fechas,"&gt;="&amp;$J822,cal_fechas,"&lt;"&amp;TODAY(),cal_habil,"sí"),-COUNTIFS(cal_fechas,"&gt;="&amp;TODAY(),cal_fechas,"&lt;"&amp;$J822,cal_habil,"sí")))</f>
        <v/>
      </c>
      <c r="AF822" s="24">
        <f>IF($AE822="","",IF($AE822&lt;0,"FUTURO",IF($AE822&gt;p_dias_backlog_max,"BACKLOG","MES CORRIENTE")))</f>
        <v/>
      </c>
      <c r="AG822" s="24">
        <f>IF($AE822="",FALSE,AND($AE822&gt;p_dias_backlog_min,$AE822&lt;=p_dias_backlog_max))</f>
        <v/>
      </c>
      <c r="AH822" s="4" t="n"/>
      <c r="AI822" s="24">
        <f>IF($AH822="","",IF((IFERROR(INDEX('ASIGNACIONES'!$J$4:$J$451,MATCH($O822&amp;"|"&amp;$S822&amp;"|"&amp;$AH822,'ASIGNACIONES'!$N$4:$N$451,0)),""))=0,"",IFERROR(INDEX('ASIGNACIONES'!$J$4:$J$451,MATCH($O822&amp;"|"&amp;$S822&amp;"|"&amp;$AH822,'ASIGNACIONES'!$N$4:$N$451,0)),"")))</f>
        <v/>
      </c>
      <c r="AJ822" s="42">
        <f>IF($AH822="","",SUMIFS('ORDENES'!$M$4:$M$1203,'ORDENES'!$AH$4:$AH$1203,$AH822,'ORDENES'!$O$4:$O$1203,$O822,'ORDENES'!$S$4:$S$1203,$S822))</f>
        <v/>
      </c>
      <c r="AK822" s="42">
        <f>IF($AJ822="","",p_factor_productividad*IFERROR(INDEX('ASIGNACIONES'!$M$4:$M$451,MATCH($O822&amp;"|"&amp;$S822&amp;"|"&amp;$AH822,'ASIGNACIONES'!$N$4:$N$451,0)),0)-$AJ822)</f>
        <v/>
      </c>
      <c r="AL822" s="32">
        <f>IF($A822="","",IFERROR(INDEX('2_IMPORTAR_EJECUCION'!$F$9:$F$1208,MATCH($AU822,'2_IMPORTAR_EJECUCION'!$J$9:$J$1208,0)),0))</f>
        <v/>
      </c>
      <c r="AM822" s="32">
        <f>IF($A822="","",MAX(0,IFERROR(INDEX('2_IMPORTAR_EJECUCION'!$H$9:$H$1208,MATCH($AU822,'2_IMPORTAR_EJECUCION'!$J$9:$J$1208,0)),0)-$AL822))</f>
        <v/>
      </c>
      <c r="AN822" s="32">
        <f>IF($A822="","",$AL822+$AM822)</f>
        <v/>
      </c>
      <c r="AO822" s="24">
        <f>IF($A822="","",IF(OR((IFERROR(INDEX('CAT_ACTIVIDADES'!$D$4:$D$26,MATCH($H822,'CAT_ACTIVIDADES'!$A$4:$A$26,0)),""))=0,(IFERROR(INDEX('CAT_ACTIVIDADES'!$D$4:$D$26,MATCH($H822,'CAT_ACTIVIDADES'!$A$4:$A$26,0)),""))=""),"SIN CLASIFICAR",IFERROR(INDEX('CAT_ACTIVIDADES'!$D$4:$D$26,MATCH($H822,'CAT_ACTIVIDADES'!$A$4:$A$26,0)),"")))</f>
        <v/>
      </c>
      <c r="AP822" s="4" t="n"/>
      <c r="AQ822" s="4" t="n"/>
      <c r="AR822" s="4" t="n"/>
      <c r="AS822" s="24">
        <f>IF($AR822="","",HYPERLINK(p_ruta_base_checklists&amp;$AR822,"abrir"))</f>
        <v/>
      </c>
      <c r="AT822" s="4" t="n"/>
      <c r="AU822" s="24">
        <f>IF($A822="","",$A822&amp;IF($B822="","0010",$B822))</f>
        <v/>
      </c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41" t="n"/>
      <c r="K823" s="5" t="n"/>
      <c r="L823" s="18" t="n"/>
      <c r="M823" s="24">
        <f>IF($A823="","",IFERROR(INDEX('AJUSTES'!$B$4:$B$303,MATCH($AU823,'AJUSTES'!$A$4:$A$303,0)),IF($K823="","",$K823)))</f>
        <v/>
      </c>
      <c r="N823" s="24">
        <f>IF($A823="","",IFERROR(INDEX('CAT_ESTADOS_ERP'!$B$4:$B$22,MATCH(IFERROR(INDEX('2_IMPORTAR_EJECUCION'!$C$9:$C$1208,MATCH($AU823,'2_IMPORTAR_EJECUCION'!$J$9:$J$1208,0)),""),'CAT_ESTADOS_ERP'!$A$4:$A$22,0)),"Pendiente"))</f>
        <v/>
      </c>
      <c r="O823" s="24">
        <f>IF($J823="","",YEAR($J823+4-WEEKDAY($J823,2))&amp;"-S"&amp;TEXT(_xlfn.ISOWEEKNUM($J823),"00"))</f>
        <v/>
      </c>
      <c r="P823" s="24">
        <f>IF($J823="","",YEAR($J823))</f>
        <v/>
      </c>
      <c r="Q823" s="24">
        <f>IF($J823="","",MONTH($J823))</f>
        <v/>
      </c>
      <c r="R823" s="24">
        <f>IF($J823="","",$P823&amp;"-"&amp;TEXT($Q823,"00"))</f>
        <v/>
      </c>
      <c r="S823" s="24">
        <f>IF($J823="","",INDEX(lista_dias,WEEKDAY($J823,2)))</f>
        <v/>
      </c>
      <c r="T823" s="24">
        <f>IF($J823="","",IFERROR(INDEX('CALENDARIO'!$C$15:$C$214,MATCH(TEXT($J823,"yyyy-mm-dd")&amp;"|"&amp;$Y823&amp;"|"&amp;$Z823,'CALENDARIO'!$G$15:$G$214,0)),IFERROR(INDEX('CALENDARIO'!$C$15:$C$214,MATCH(TEXT($J823,"yyyy-mm-dd")&amp;"|"&amp;$Y823&amp;"|",'CALENDARIO'!$G$15:$G$214,0)),IFERROR(INDEX('CALENDARIO'!$C$15:$C$214,MATCH(TEXT($J823,"yyyy-mm-dd")&amp;"||",'CALENDARIO'!$G$15:$G$214,0)),INDEX(patronHabil,WEEKDAY($J823,2))))))</f>
        <v/>
      </c>
      <c r="U823" s="24">
        <f>IF($I823="","",IFERROR(INDEX('CAT_TIPOS_OT'!$C$4:$C$23,MATCH($I823,'CAT_TIPOS_OT'!$A$4:$A$23,0)),"sin_clasificar"))</f>
        <v/>
      </c>
      <c r="V823" s="24">
        <f>IF($I823="","",IF(IFERROR(INDEX('CAT_TIPOS_OT'!$D$4:$D$23,MATCH($I823,'CAT_TIPOS_OT'!$A$4:$A$23,0)),"SIN CLASIFICAR")="","SIN CLASIFICAR",IFERROR(INDEX('CAT_TIPOS_OT'!$D$4:$D$23,MATCH($I823,'CAT_TIPOS_OT'!$A$4:$A$23,0)),"SIN CLASIFICAR")))</f>
        <v/>
      </c>
      <c r="W823" s="24">
        <f>IF($H823="","",IF(IFERROR(INDEX('CAT_ACTIVIDADES'!$F$4:$F$26,MATCH($H823,'CAT_ACTIVIDADES'!$A$4:$A$26,0)),"")=0,"",IFERROR(INDEX('CAT_ACTIVIDADES'!$F$4:$F$26,MATCH($H823,'CAT_ACTIVIDADES'!$A$4:$A$26,0)),"")))</f>
        <v/>
      </c>
      <c r="X823" s="24">
        <f>IF($F823="","",IFERROR(INDEX('CAT_CENTROS_COSTO'!$F$4:$F$28,MATCH($F823,'CAT_CENTROS_COSTO'!$A$4:$A$28,0)),"(sin catálogo)"))</f>
        <v/>
      </c>
      <c r="Y823" s="24">
        <f>IF($F823="","",IFERROR(INDEX('CAT_CENTROS_COSTO'!$D$4:$D$28,MATCH($F823,'CAT_CENTROS_COSTO'!$A$4:$A$28,0)),"(sin catálogo)"))</f>
        <v/>
      </c>
      <c r="Z823" s="24">
        <f>IF($F823="","",IF((IFERROR(INDEX('CAT_CENTROS_COSTO'!$E$4:$E$28,MATCH($F823,'CAT_CENTROS_COSTO'!$A$4:$A$28,0)),""))&lt;&gt;"",IFERROR(INDEX('CAT_CENTROS_COSTO'!$E$4:$E$28,MATCH($F823,'CAT_CENTROS_COSTO'!$A$4:$A$28,0)),""),$Y823))</f>
        <v/>
      </c>
      <c r="AA823" s="24">
        <f>IF($F823="","",IFERROR(INDEX('CAT_CENTROS_COSTO'!$G$4:$G$28,MATCH($F823,'CAT_CENTROS_COSTO'!$A$4:$A$28,0)),"(sin catálogo)"))</f>
        <v/>
      </c>
      <c r="AB823" s="24">
        <f>IF($G823="","",IFERROR(INDEX('CAT_PUESTOS'!$B$4:$B$23,MATCH($G823,'CAT_PUESTOS'!$A$4:$A$23,0)),"(sin catálogo)"))</f>
        <v/>
      </c>
      <c r="AC823" s="24">
        <f>IF($H823="","",IFERROR(INDEX('CAT_ACTIVIDADES'!$B$4:$B$26,MATCH($H823,'CAT_ACTIVIDADES'!$A$4:$A$26,0)),"(sin catálogo)"))</f>
        <v/>
      </c>
      <c r="AD823" s="26">
        <f>IF($J823="","",TODAY()-$J823)</f>
        <v/>
      </c>
      <c r="AE823" s="26">
        <f>IF($J823="","",IF($J823&lt;=TODAY(),COUNTIFS(cal_fechas,"&gt;="&amp;$J823,cal_fechas,"&lt;"&amp;TODAY(),cal_habil,"sí"),-COUNTIFS(cal_fechas,"&gt;="&amp;TODAY(),cal_fechas,"&lt;"&amp;$J823,cal_habil,"sí")))</f>
        <v/>
      </c>
      <c r="AF823" s="24">
        <f>IF($AE823="","",IF($AE823&lt;0,"FUTURO",IF($AE823&gt;p_dias_backlog_max,"BACKLOG","MES CORRIENTE")))</f>
        <v/>
      </c>
      <c r="AG823" s="24">
        <f>IF($AE823="",FALSE,AND($AE823&gt;p_dias_backlog_min,$AE823&lt;=p_dias_backlog_max))</f>
        <v/>
      </c>
      <c r="AH823" s="4" t="n"/>
      <c r="AI823" s="24">
        <f>IF($AH823="","",IF((IFERROR(INDEX('ASIGNACIONES'!$J$4:$J$451,MATCH($O823&amp;"|"&amp;$S823&amp;"|"&amp;$AH823,'ASIGNACIONES'!$N$4:$N$451,0)),""))=0,"",IFERROR(INDEX('ASIGNACIONES'!$J$4:$J$451,MATCH($O823&amp;"|"&amp;$S823&amp;"|"&amp;$AH823,'ASIGNACIONES'!$N$4:$N$451,0)),"")))</f>
        <v/>
      </c>
      <c r="AJ823" s="42">
        <f>IF($AH823="","",SUMIFS('ORDENES'!$M$4:$M$1203,'ORDENES'!$AH$4:$AH$1203,$AH823,'ORDENES'!$O$4:$O$1203,$O823,'ORDENES'!$S$4:$S$1203,$S823))</f>
        <v/>
      </c>
      <c r="AK823" s="42">
        <f>IF($AJ823="","",p_factor_productividad*IFERROR(INDEX('ASIGNACIONES'!$M$4:$M$451,MATCH($O823&amp;"|"&amp;$S823&amp;"|"&amp;$AH823,'ASIGNACIONES'!$N$4:$N$451,0)),0)-$AJ823)</f>
        <v/>
      </c>
      <c r="AL823" s="32">
        <f>IF($A823="","",IFERROR(INDEX('2_IMPORTAR_EJECUCION'!$F$9:$F$1208,MATCH($AU823,'2_IMPORTAR_EJECUCION'!$J$9:$J$1208,0)),0))</f>
        <v/>
      </c>
      <c r="AM823" s="32">
        <f>IF($A823="","",MAX(0,IFERROR(INDEX('2_IMPORTAR_EJECUCION'!$H$9:$H$1208,MATCH($AU823,'2_IMPORTAR_EJECUCION'!$J$9:$J$1208,0)),0)-$AL823))</f>
        <v/>
      </c>
      <c r="AN823" s="32">
        <f>IF($A823="","",$AL823+$AM823)</f>
        <v/>
      </c>
      <c r="AO823" s="24">
        <f>IF($A823="","",IF(OR((IFERROR(INDEX('CAT_ACTIVIDADES'!$D$4:$D$26,MATCH($H823,'CAT_ACTIVIDADES'!$A$4:$A$26,0)),""))=0,(IFERROR(INDEX('CAT_ACTIVIDADES'!$D$4:$D$26,MATCH($H823,'CAT_ACTIVIDADES'!$A$4:$A$26,0)),""))=""),"SIN CLASIFICAR",IFERROR(INDEX('CAT_ACTIVIDADES'!$D$4:$D$26,MATCH($H823,'CAT_ACTIVIDADES'!$A$4:$A$26,0)),"")))</f>
        <v/>
      </c>
      <c r="AP823" s="4" t="n"/>
      <c r="AQ823" s="4" t="n"/>
      <c r="AR823" s="4" t="n"/>
      <c r="AS823" s="24">
        <f>IF($AR823="","",HYPERLINK(p_ruta_base_checklists&amp;$AR823,"abrir"))</f>
        <v/>
      </c>
      <c r="AT823" s="4" t="n"/>
      <c r="AU823" s="24">
        <f>IF($A823="","",$A823&amp;IF($B823="","0010",$B823))</f>
        <v/>
      </c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41" t="n"/>
      <c r="K824" s="5" t="n"/>
      <c r="L824" s="18" t="n"/>
      <c r="M824" s="24">
        <f>IF($A824="","",IFERROR(INDEX('AJUSTES'!$B$4:$B$303,MATCH($AU824,'AJUSTES'!$A$4:$A$303,0)),IF($K824="","",$K824)))</f>
        <v/>
      </c>
      <c r="N824" s="24">
        <f>IF($A824="","",IFERROR(INDEX('CAT_ESTADOS_ERP'!$B$4:$B$22,MATCH(IFERROR(INDEX('2_IMPORTAR_EJECUCION'!$C$9:$C$1208,MATCH($AU824,'2_IMPORTAR_EJECUCION'!$J$9:$J$1208,0)),""),'CAT_ESTADOS_ERP'!$A$4:$A$22,0)),"Pendiente"))</f>
        <v/>
      </c>
      <c r="O824" s="24">
        <f>IF($J824="","",YEAR($J824+4-WEEKDAY($J824,2))&amp;"-S"&amp;TEXT(_xlfn.ISOWEEKNUM($J824),"00"))</f>
        <v/>
      </c>
      <c r="P824" s="24">
        <f>IF($J824="","",YEAR($J824))</f>
        <v/>
      </c>
      <c r="Q824" s="24">
        <f>IF($J824="","",MONTH($J824))</f>
        <v/>
      </c>
      <c r="R824" s="24">
        <f>IF($J824="","",$P824&amp;"-"&amp;TEXT($Q824,"00"))</f>
        <v/>
      </c>
      <c r="S824" s="24">
        <f>IF($J824="","",INDEX(lista_dias,WEEKDAY($J824,2)))</f>
        <v/>
      </c>
      <c r="T824" s="24">
        <f>IF($J824="","",IFERROR(INDEX('CALENDARIO'!$C$15:$C$214,MATCH(TEXT($J824,"yyyy-mm-dd")&amp;"|"&amp;$Y824&amp;"|"&amp;$Z824,'CALENDARIO'!$G$15:$G$214,0)),IFERROR(INDEX('CALENDARIO'!$C$15:$C$214,MATCH(TEXT($J824,"yyyy-mm-dd")&amp;"|"&amp;$Y824&amp;"|",'CALENDARIO'!$G$15:$G$214,0)),IFERROR(INDEX('CALENDARIO'!$C$15:$C$214,MATCH(TEXT($J824,"yyyy-mm-dd")&amp;"||",'CALENDARIO'!$G$15:$G$214,0)),INDEX(patronHabil,WEEKDAY($J824,2))))))</f>
        <v/>
      </c>
      <c r="U824" s="24">
        <f>IF($I824="","",IFERROR(INDEX('CAT_TIPOS_OT'!$C$4:$C$23,MATCH($I824,'CAT_TIPOS_OT'!$A$4:$A$23,0)),"sin_clasificar"))</f>
        <v/>
      </c>
      <c r="V824" s="24">
        <f>IF($I824="","",IF(IFERROR(INDEX('CAT_TIPOS_OT'!$D$4:$D$23,MATCH($I824,'CAT_TIPOS_OT'!$A$4:$A$23,0)),"SIN CLASIFICAR")="","SIN CLASIFICAR",IFERROR(INDEX('CAT_TIPOS_OT'!$D$4:$D$23,MATCH($I824,'CAT_TIPOS_OT'!$A$4:$A$23,0)),"SIN CLASIFICAR")))</f>
        <v/>
      </c>
      <c r="W824" s="24">
        <f>IF($H824="","",IF(IFERROR(INDEX('CAT_ACTIVIDADES'!$F$4:$F$26,MATCH($H824,'CAT_ACTIVIDADES'!$A$4:$A$26,0)),"")=0,"",IFERROR(INDEX('CAT_ACTIVIDADES'!$F$4:$F$26,MATCH($H824,'CAT_ACTIVIDADES'!$A$4:$A$26,0)),"")))</f>
        <v/>
      </c>
      <c r="X824" s="24">
        <f>IF($F824="","",IFERROR(INDEX('CAT_CENTROS_COSTO'!$F$4:$F$28,MATCH($F824,'CAT_CENTROS_COSTO'!$A$4:$A$28,0)),"(sin catálogo)"))</f>
        <v/>
      </c>
      <c r="Y824" s="24">
        <f>IF($F824="","",IFERROR(INDEX('CAT_CENTROS_COSTO'!$D$4:$D$28,MATCH($F824,'CAT_CENTROS_COSTO'!$A$4:$A$28,0)),"(sin catálogo)"))</f>
        <v/>
      </c>
      <c r="Z824" s="24">
        <f>IF($F824="","",IF((IFERROR(INDEX('CAT_CENTROS_COSTO'!$E$4:$E$28,MATCH($F824,'CAT_CENTROS_COSTO'!$A$4:$A$28,0)),""))&lt;&gt;"",IFERROR(INDEX('CAT_CENTROS_COSTO'!$E$4:$E$28,MATCH($F824,'CAT_CENTROS_COSTO'!$A$4:$A$28,0)),""),$Y824))</f>
        <v/>
      </c>
      <c r="AA824" s="24">
        <f>IF($F824="","",IFERROR(INDEX('CAT_CENTROS_COSTO'!$G$4:$G$28,MATCH($F824,'CAT_CENTROS_COSTO'!$A$4:$A$28,0)),"(sin catálogo)"))</f>
        <v/>
      </c>
      <c r="AB824" s="24">
        <f>IF($G824="","",IFERROR(INDEX('CAT_PUESTOS'!$B$4:$B$23,MATCH($G824,'CAT_PUESTOS'!$A$4:$A$23,0)),"(sin catálogo)"))</f>
        <v/>
      </c>
      <c r="AC824" s="24">
        <f>IF($H824="","",IFERROR(INDEX('CAT_ACTIVIDADES'!$B$4:$B$26,MATCH($H824,'CAT_ACTIVIDADES'!$A$4:$A$26,0)),"(sin catálogo)"))</f>
        <v/>
      </c>
      <c r="AD824" s="26">
        <f>IF($J824="","",TODAY()-$J824)</f>
        <v/>
      </c>
      <c r="AE824" s="26">
        <f>IF($J824="","",IF($J824&lt;=TODAY(),COUNTIFS(cal_fechas,"&gt;="&amp;$J824,cal_fechas,"&lt;"&amp;TODAY(),cal_habil,"sí"),-COUNTIFS(cal_fechas,"&gt;="&amp;TODAY(),cal_fechas,"&lt;"&amp;$J824,cal_habil,"sí")))</f>
        <v/>
      </c>
      <c r="AF824" s="24">
        <f>IF($AE824="","",IF($AE824&lt;0,"FUTURO",IF($AE824&gt;p_dias_backlog_max,"BACKLOG","MES CORRIENTE")))</f>
        <v/>
      </c>
      <c r="AG824" s="24">
        <f>IF($AE824="",FALSE,AND($AE824&gt;p_dias_backlog_min,$AE824&lt;=p_dias_backlog_max))</f>
        <v/>
      </c>
      <c r="AH824" s="4" t="n"/>
      <c r="AI824" s="24">
        <f>IF($AH824="","",IF((IFERROR(INDEX('ASIGNACIONES'!$J$4:$J$451,MATCH($O824&amp;"|"&amp;$S824&amp;"|"&amp;$AH824,'ASIGNACIONES'!$N$4:$N$451,0)),""))=0,"",IFERROR(INDEX('ASIGNACIONES'!$J$4:$J$451,MATCH($O824&amp;"|"&amp;$S824&amp;"|"&amp;$AH824,'ASIGNACIONES'!$N$4:$N$451,0)),"")))</f>
        <v/>
      </c>
      <c r="AJ824" s="42">
        <f>IF($AH824="","",SUMIFS('ORDENES'!$M$4:$M$1203,'ORDENES'!$AH$4:$AH$1203,$AH824,'ORDENES'!$O$4:$O$1203,$O824,'ORDENES'!$S$4:$S$1203,$S824))</f>
        <v/>
      </c>
      <c r="AK824" s="42">
        <f>IF($AJ824="","",p_factor_productividad*IFERROR(INDEX('ASIGNACIONES'!$M$4:$M$451,MATCH($O824&amp;"|"&amp;$S824&amp;"|"&amp;$AH824,'ASIGNACIONES'!$N$4:$N$451,0)),0)-$AJ824)</f>
        <v/>
      </c>
      <c r="AL824" s="32">
        <f>IF($A824="","",IFERROR(INDEX('2_IMPORTAR_EJECUCION'!$F$9:$F$1208,MATCH($AU824,'2_IMPORTAR_EJECUCION'!$J$9:$J$1208,0)),0))</f>
        <v/>
      </c>
      <c r="AM824" s="32">
        <f>IF($A824="","",MAX(0,IFERROR(INDEX('2_IMPORTAR_EJECUCION'!$H$9:$H$1208,MATCH($AU824,'2_IMPORTAR_EJECUCION'!$J$9:$J$1208,0)),0)-$AL824))</f>
        <v/>
      </c>
      <c r="AN824" s="32">
        <f>IF($A824="","",$AL824+$AM824)</f>
        <v/>
      </c>
      <c r="AO824" s="24">
        <f>IF($A824="","",IF(OR((IFERROR(INDEX('CAT_ACTIVIDADES'!$D$4:$D$26,MATCH($H824,'CAT_ACTIVIDADES'!$A$4:$A$26,0)),""))=0,(IFERROR(INDEX('CAT_ACTIVIDADES'!$D$4:$D$26,MATCH($H824,'CAT_ACTIVIDADES'!$A$4:$A$26,0)),""))=""),"SIN CLASIFICAR",IFERROR(INDEX('CAT_ACTIVIDADES'!$D$4:$D$26,MATCH($H824,'CAT_ACTIVIDADES'!$A$4:$A$26,0)),"")))</f>
        <v/>
      </c>
      <c r="AP824" s="4" t="n"/>
      <c r="AQ824" s="4" t="n"/>
      <c r="AR824" s="4" t="n"/>
      <c r="AS824" s="24">
        <f>IF($AR824="","",HYPERLINK(p_ruta_base_checklists&amp;$AR824,"abrir"))</f>
        <v/>
      </c>
      <c r="AT824" s="4" t="n"/>
      <c r="AU824" s="24">
        <f>IF($A824="","",$A824&amp;IF($B824="","0010",$B824))</f>
        <v/>
      </c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41" t="n"/>
      <c r="K825" s="5" t="n"/>
      <c r="L825" s="18" t="n"/>
      <c r="M825" s="24">
        <f>IF($A825="","",IFERROR(INDEX('AJUSTES'!$B$4:$B$303,MATCH($AU825,'AJUSTES'!$A$4:$A$303,0)),IF($K825="","",$K825)))</f>
        <v/>
      </c>
      <c r="N825" s="24">
        <f>IF($A825="","",IFERROR(INDEX('CAT_ESTADOS_ERP'!$B$4:$B$22,MATCH(IFERROR(INDEX('2_IMPORTAR_EJECUCION'!$C$9:$C$1208,MATCH($AU825,'2_IMPORTAR_EJECUCION'!$J$9:$J$1208,0)),""),'CAT_ESTADOS_ERP'!$A$4:$A$22,0)),"Pendiente"))</f>
        <v/>
      </c>
      <c r="O825" s="24">
        <f>IF($J825="","",YEAR($J825+4-WEEKDAY($J825,2))&amp;"-S"&amp;TEXT(_xlfn.ISOWEEKNUM($J825),"00"))</f>
        <v/>
      </c>
      <c r="P825" s="24">
        <f>IF($J825="","",YEAR($J825))</f>
        <v/>
      </c>
      <c r="Q825" s="24">
        <f>IF($J825="","",MONTH($J825))</f>
        <v/>
      </c>
      <c r="R825" s="24">
        <f>IF($J825="","",$P825&amp;"-"&amp;TEXT($Q825,"00"))</f>
        <v/>
      </c>
      <c r="S825" s="24">
        <f>IF($J825="","",INDEX(lista_dias,WEEKDAY($J825,2)))</f>
        <v/>
      </c>
      <c r="T825" s="24">
        <f>IF($J825="","",IFERROR(INDEX('CALENDARIO'!$C$15:$C$214,MATCH(TEXT($J825,"yyyy-mm-dd")&amp;"|"&amp;$Y825&amp;"|"&amp;$Z825,'CALENDARIO'!$G$15:$G$214,0)),IFERROR(INDEX('CALENDARIO'!$C$15:$C$214,MATCH(TEXT($J825,"yyyy-mm-dd")&amp;"|"&amp;$Y825&amp;"|",'CALENDARIO'!$G$15:$G$214,0)),IFERROR(INDEX('CALENDARIO'!$C$15:$C$214,MATCH(TEXT($J825,"yyyy-mm-dd")&amp;"||",'CALENDARIO'!$G$15:$G$214,0)),INDEX(patronHabil,WEEKDAY($J825,2))))))</f>
        <v/>
      </c>
      <c r="U825" s="24">
        <f>IF($I825="","",IFERROR(INDEX('CAT_TIPOS_OT'!$C$4:$C$23,MATCH($I825,'CAT_TIPOS_OT'!$A$4:$A$23,0)),"sin_clasificar"))</f>
        <v/>
      </c>
      <c r="V825" s="24">
        <f>IF($I825="","",IF(IFERROR(INDEX('CAT_TIPOS_OT'!$D$4:$D$23,MATCH($I825,'CAT_TIPOS_OT'!$A$4:$A$23,0)),"SIN CLASIFICAR")="","SIN CLASIFICAR",IFERROR(INDEX('CAT_TIPOS_OT'!$D$4:$D$23,MATCH($I825,'CAT_TIPOS_OT'!$A$4:$A$23,0)),"SIN CLASIFICAR")))</f>
        <v/>
      </c>
      <c r="W825" s="24">
        <f>IF($H825="","",IF(IFERROR(INDEX('CAT_ACTIVIDADES'!$F$4:$F$26,MATCH($H825,'CAT_ACTIVIDADES'!$A$4:$A$26,0)),"")=0,"",IFERROR(INDEX('CAT_ACTIVIDADES'!$F$4:$F$26,MATCH($H825,'CAT_ACTIVIDADES'!$A$4:$A$26,0)),"")))</f>
        <v/>
      </c>
      <c r="X825" s="24">
        <f>IF($F825="","",IFERROR(INDEX('CAT_CENTROS_COSTO'!$F$4:$F$28,MATCH($F825,'CAT_CENTROS_COSTO'!$A$4:$A$28,0)),"(sin catálogo)"))</f>
        <v/>
      </c>
      <c r="Y825" s="24">
        <f>IF($F825="","",IFERROR(INDEX('CAT_CENTROS_COSTO'!$D$4:$D$28,MATCH($F825,'CAT_CENTROS_COSTO'!$A$4:$A$28,0)),"(sin catálogo)"))</f>
        <v/>
      </c>
      <c r="Z825" s="24">
        <f>IF($F825="","",IF((IFERROR(INDEX('CAT_CENTROS_COSTO'!$E$4:$E$28,MATCH($F825,'CAT_CENTROS_COSTO'!$A$4:$A$28,0)),""))&lt;&gt;"",IFERROR(INDEX('CAT_CENTROS_COSTO'!$E$4:$E$28,MATCH($F825,'CAT_CENTROS_COSTO'!$A$4:$A$28,0)),""),$Y825))</f>
        <v/>
      </c>
      <c r="AA825" s="24">
        <f>IF($F825="","",IFERROR(INDEX('CAT_CENTROS_COSTO'!$G$4:$G$28,MATCH($F825,'CAT_CENTROS_COSTO'!$A$4:$A$28,0)),"(sin catálogo)"))</f>
        <v/>
      </c>
      <c r="AB825" s="24">
        <f>IF($G825="","",IFERROR(INDEX('CAT_PUESTOS'!$B$4:$B$23,MATCH($G825,'CAT_PUESTOS'!$A$4:$A$23,0)),"(sin catálogo)"))</f>
        <v/>
      </c>
      <c r="AC825" s="24">
        <f>IF($H825="","",IFERROR(INDEX('CAT_ACTIVIDADES'!$B$4:$B$26,MATCH($H825,'CAT_ACTIVIDADES'!$A$4:$A$26,0)),"(sin catálogo)"))</f>
        <v/>
      </c>
      <c r="AD825" s="26">
        <f>IF($J825="","",TODAY()-$J825)</f>
        <v/>
      </c>
      <c r="AE825" s="26">
        <f>IF($J825="","",IF($J825&lt;=TODAY(),COUNTIFS(cal_fechas,"&gt;="&amp;$J825,cal_fechas,"&lt;"&amp;TODAY(),cal_habil,"sí"),-COUNTIFS(cal_fechas,"&gt;="&amp;TODAY(),cal_fechas,"&lt;"&amp;$J825,cal_habil,"sí")))</f>
        <v/>
      </c>
      <c r="AF825" s="24">
        <f>IF($AE825="","",IF($AE825&lt;0,"FUTURO",IF($AE825&gt;p_dias_backlog_max,"BACKLOG","MES CORRIENTE")))</f>
        <v/>
      </c>
      <c r="AG825" s="24">
        <f>IF($AE825="",FALSE,AND($AE825&gt;p_dias_backlog_min,$AE825&lt;=p_dias_backlog_max))</f>
        <v/>
      </c>
      <c r="AH825" s="4" t="n"/>
      <c r="AI825" s="24">
        <f>IF($AH825="","",IF((IFERROR(INDEX('ASIGNACIONES'!$J$4:$J$451,MATCH($O825&amp;"|"&amp;$S825&amp;"|"&amp;$AH825,'ASIGNACIONES'!$N$4:$N$451,0)),""))=0,"",IFERROR(INDEX('ASIGNACIONES'!$J$4:$J$451,MATCH($O825&amp;"|"&amp;$S825&amp;"|"&amp;$AH825,'ASIGNACIONES'!$N$4:$N$451,0)),"")))</f>
        <v/>
      </c>
      <c r="AJ825" s="42">
        <f>IF($AH825="","",SUMIFS('ORDENES'!$M$4:$M$1203,'ORDENES'!$AH$4:$AH$1203,$AH825,'ORDENES'!$O$4:$O$1203,$O825,'ORDENES'!$S$4:$S$1203,$S825))</f>
        <v/>
      </c>
      <c r="AK825" s="42">
        <f>IF($AJ825="","",p_factor_productividad*IFERROR(INDEX('ASIGNACIONES'!$M$4:$M$451,MATCH($O825&amp;"|"&amp;$S825&amp;"|"&amp;$AH825,'ASIGNACIONES'!$N$4:$N$451,0)),0)-$AJ825)</f>
        <v/>
      </c>
      <c r="AL825" s="32">
        <f>IF($A825="","",IFERROR(INDEX('2_IMPORTAR_EJECUCION'!$F$9:$F$1208,MATCH($AU825,'2_IMPORTAR_EJECUCION'!$J$9:$J$1208,0)),0))</f>
        <v/>
      </c>
      <c r="AM825" s="32">
        <f>IF($A825="","",MAX(0,IFERROR(INDEX('2_IMPORTAR_EJECUCION'!$H$9:$H$1208,MATCH($AU825,'2_IMPORTAR_EJECUCION'!$J$9:$J$1208,0)),0)-$AL825))</f>
        <v/>
      </c>
      <c r="AN825" s="32">
        <f>IF($A825="","",$AL825+$AM825)</f>
        <v/>
      </c>
      <c r="AO825" s="24">
        <f>IF($A825="","",IF(OR((IFERROR(INDEX('CAT_ACTIVIDADES'!$D$4:$D$26,MATCH($H825,'CAT_ACTIVIDADES'!$A$4:$A$26,0)),""))=0,(IFERROR(INDEX('CAT_ACTIVIDADES'!$D$4:$D$26,MATCH($H825,'CAT_ACTIVIDADES'!$A$4:$A$26,0)),""))=""),"SIN CLASIFICAR",IFERROR(INDEX('CAT_ACTIVIDADES'!$D$4:$D$26,MATCH($H825,'CAT_ACTIVIDADES'!$A$4:$A$26,0)),"")))</f>
        <v/>
      </c>
      <c r="AP825" s="4" t="n"/>
      <c r="AQ825" s="4" t="n"/>
      <c r="AR825" s="4" t="n"/>
      <c r="AS825" s="24">
        <f>IF($AR825="","",HYPERLINK(p_ruta_base_checklists&amp;$AR825,"abrir"))</f>
        <v/>
      </c>
      <c r="AT825" s="4" t="n"/>
      <c r="AU825" s="24">
        <f>IF($A825="","",$A825&amp;IF($B825="","0010",$B825))</f>
        <v/>
      </c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41" t="n"/>
      <c r="K826" s="5" t="n"/>
      <c r="L826" s="18" t="n"/>
      <c r="M826" s="24">
        <f>IF($A826="","",IFERROR(INDEX('AJUSTES'!$B$4:$B$303,MATCH($AU826,'AJUSTES'!$A$4:$A$303,0)),IF($K826="","",$K826)))</f>
        <v/>
      </c>
      <c r="N826" s="24">
        <f>IF($A826="","",IFERROR(INDEX('CAT_ESTADOS_ERP'!$B$4:$B$22,MATCH(IFERROR(INDEX('2_IMPORTAR_EJECUCION'!$C$9:$C$1208,MATCH($AU826,'2_IMPORTAR_EJECUCION'!$J$9:$J$1208,0)),""),'CAT_ESTADOS_ERP'!$A$4:$A$22,0)),"Pendiente"))</f>
        <v/>
      </c>
      <c r="O826" s="24">
        <f>IF($J826="","",YEAR($J826+4-WEEKDAY($J826,2))&amp;"-S"&amp;TEXT(_xlfn.ISOWEEKNUM($J826),"00"))</f>
        <v/>
      </c>
      <c r="P826" s="24">
        <f>IF($J826="","",YEAR($J826))</f>
        <v/>
      </c>
      <c r="Q826" s="24">
        <f>IF($J826="","",MONTH($J826))</f>
        <v/>
      </c>
      <c r="R826" s="24">
        <f>IF($J826="","",$P826&amp;"-"&amp;TEXT($Q826,"00"))</f>
        <v/>
      </c>
      <c r="S826" s="24">
        <f>IF($J826="","",INDEX(lista_dias,WEEKDAY($J826,2)))</f>
        <v/>
      </c>
      <c r="T826" s="24">
        <f>IF($J826="","",IFERROR(INDEX('CALENDARIO'!$C$15:$C$214,MATCH(TEXT($J826,"yyyy-mm-dd")&amp;"|"&amp;$Y826&amp;"|"&amp;$Z826,'CALENDARIO'!$G$15:$G$214,0)),IFERROR(INDEX('CALENDARIO'!$C$15:$C$214,MATCH(TEXT($J826,"yyyy-mm-dd")&amp;"|"&amp;$Y826&amp;"|",'CALENDARIO'!$G$15:$G$214,0)),IFERROR(INDEX('CALENDARIO'!$C$15:$C$214,MATCH(TEXT($J826,"yyyy-mm-dd")&amp;"||",'CALENDARIO'!$G$15:$G$214,0)),INDEX(patronHabil,WEEKDAY($J826,2))))))</f>
        <v/>
      </c>
      <c r="U826" s="24">
        <f>IF($I826="","",IFERROR(INDEX('CAT_TIPOS_OT'!$C$4:$C$23,MATCH($I826,'CAT_TIPOS_OT'!$A$4:$A$23,0)),"sin_clasificar"))</f>
        <v/>
      </c>
      <c r="V826" s="24">
        <f>IF($I826="","",IF(IFERROR(INDEX('CAT_TIPOS_OT'!$D$4:$D$23,MATCH($I826,'CAT_TIPOS_OT'!$A$4:$A$23,0)),"SIN CLASIFICAR")="","SIN CLASIFICAR",IFERROR(INDEX('CAT_TIPOS_OT'!$D$4:$D$23,MATCH($I826,'CAT_TIPOS_OT'!$A$4:$A$23,0)),"SIN CLASIFICAR")))</f>
        <v/>
      </c>
      <c r="W826" s="24">
        <f>IF($H826="","",IF(IFERROR(INDEX('CAT_ACTIVIDADES'!$F$4:$F$26,MATCH($H826,'CAT_ACTIVIDADES'!$A$4:$A$26,0)),"")=0,"",IFERROR(INDEX('CAT_ACTIVIDADES'!$F$4:$F$26,MATCH($H826,'CAT_ACTIVIDADES'!$A$4:$A$26,0)),"")))</f>
        <v/>
      </c>
      <c r="X826" s="24">
        <f>IF($F826="","",IFERROR(INDEX('CAT_CENTROS_COSTO'!$F$4:$F$28,MATCH($F826,'CAT_CENTROS_COSTO'!$A$4:$A$28,0)),"(sin catálogo)"))</f>
        <v/>
      </c>
      <c r="Y826" s="24">
        <f>IF($F826="","",IFERROR(INDEX('CAT_CENTROS_COSTO'!$D$4:$D$28,MATCH($F826,'CAT_CENTROS_COSTO'!$A$4:$A$28,0)),"(sin catálogo)"))</f>
        <v/>
      </c>
      <c r="Z826" s="24">
        <f>IF($F826="","",IF((IFERROR(INDEX('CAT_CENTROS_COSTO'!$E$4:$E$28,MATCH($F826,'CAT_CENTROS_COSTO'!$A$4:$A$28,0)),""))&lt;&gt;"",IFERROR(INDEX('CAT_CENTROS_COSTO'!$E$4:$E$28,MATCH($F826,'CAT_CENTROS_COSTO'!$A$4:$A$28,0)),""),$Y826))</f>
        <v/>
      </c>
      <c r="AA826" s="24">
        <f>IF($F826="","",IFERROR(INDEX('CAT_CENTROS_COSTO'!$G$4:$G$28,MATCH($F826,'CAT_CENTROS_COSTO'!$A$4:$A$28,0)),"(sin catálogo)"))</f>
        <v/>
      </c>
      <c r="AB826" s="24">
        <f>IF($G826="","",IFERROR(INDEX('CAT_PUESTOS'!$B$4:$B$23,MATCH($G826,'CAT_PUESTOS'!$A$4:$A$23,0)),"(sin catálogo)"))</f>
        <v/>
      </c>
      <c r="AC826" s="24">
        <f>IF($H826="","",IFERROR(INDEX('CAT_ACTIVIDADES'!$B$4:$B$26,MATCH($H826,'CAT_ACTIVIDADES'!$A$4:$A$26,0)),"(sin catálogo)"))</f>
        <v/>
      </c>
      <c r="AD826" s="26">
        <f>IF($J826="","",TODAY()-$J826)</f>
        <v/>
      </c>
      <c r="AE826" s="26">
        <f>IF($J826="","",IF($J826&lt;=TODAY(),COUNTIFS(cal_fechas,"&gt;="&amp;$J826,cal_fechas,"&lt;"&amp;TODAY(),cal_habil,"sí"),-COUNTIFS(cal_fechas,"&gt;="&amp;TODAY(),cal_fechas,"&lt;"&amp;$J826,cal_habil,"sí")))</f>
        <v/>
      </c>
      <c r="AF826" s="24">
        <f>IF($AE826="","",IF($AE826&lt;0,"FUTURO",IF($AE826&gt;p_dias_backlog_max,"BACKLOG","MES CORRIENTE")))</f>
        <v/>
      </c>
      <c r="AG826" s="24">
        <f>IF($AE826="",FALSE,AND($AE826&gt;p_dias_backlog_min,$AE826&lt;=p_dias_backlog_max))</f>
        <v/>
      </c>
      <c r="AH826" s="4" t="n"/>
      <c r="AI826" s="24">
        <f>IF($AH826="","",IF((IFERROR(INDEX('ASIGNACIONES'!$J$4:$J$451,MATCH($O826&amp;"|"&amp;$S826&amp;"|"&amp;$AH826,'ASIGNACIONES'!$N$4:$N$451,0)),""))=0,"",IFERROR(INDEX('ASIGNACIONES'!$J$4:$J$451,MATCH($O826&amp;"|"&amp;$S826&amp;"|"&amp;$AH826,'ASIGNACIONES'!$N$4:$N$451,0)),"")))</f>
        <v/>
      </c>
      <c r="AJ826" s="42">
        <f>IF($AH826="","",SUMIFS('ORDENES'!$M$4:$M$1203,'ORDENES'!$AH$4:$AH$1203,$AH826,'ORDENES'!$O$4:$O$1203,$O826,'ORDENES'!$S$4:$S$1203,$S826))</f>
        <v/>
      </c>
      <c r="AK826" s="42">
        <f>IF($AJ826="","",p_factor_productividad*IFERROR(INDEX('ASIGNACIONES'!$M$4:$M$451,MATCH($O826&amp;"|"&amp;$S826&amp;"|"&amp;$AH826,'ASIGNACIONES'!$N$4:$N$451,0)),0)-$AJ826)</f>
        <v/>
      </c>
      <c r="AL826" s="32">
        <f>IF($A826="","",IFERROR(INDEX('2_IMPORTAR_EJECUCION'!$F$9:$F$1208,MATCH($AU826,'2_IMPORTAR_EJECUCION'!$J$9:$J$1208,0)),0))</f>
        <v/>
      </c>
      <c r="AM826" s="32">
        <f>IF($A826="","",MAX(0,IFERROR(INDEX('2_IMPORTAR_EJECUCION'!$H$9:$H$1208,MATCH($AU826,'2_IMPORTAR_EJECUCION'!$J$9:$J$1208,0)),0)-$AL826))</f>
        <v/>
      </c>
      <c r="AN826" s="32">
        <f>IF($A826="","",$AL826+$AM826)</f>
        <v/>
      </c>
      <c r="AO826" s="24">
        <f>IF($A826="","",IF(OR((IFERROR(INDEX('CAT_ACTIVIDADES'!$D$4:$D$26,MATCH($H826,'CAT_ACTIVIDADES'!$A$4:$A$26,0)),""))=0,(IFERROR(INDEX('CAT_ACTIVIDADES'!$D$4:$D$26,MATCH($H826,'CAT_ACTIVIDADES'!$A$4:$A$26,0)),""))=""),"SIN CLASIFICAR",IFERROR(INDEX('CAT_ACTIVIDADES'!$D$4:$D$26,MATCH($H826,'CAT_ACTIVIDADES'!$A$4:$A$26,0)),"")))</f>
        <v/>
      </c>
      <c r="AP826" s="4" t="n"/>
      <c r="AQ826" s="4" t="n"/>
      <c r="AR826" s="4" t="n"/>
      <c r="AS826" s="24">
        <f>IF($AR826="","",HYPERLINK(p_ruta_base_checklists&amp;$AR826,"abrir"))</f>
        <v/>
      </c>
      <c r="AT826" s="4" t="n"/>
      <c r="AU826" s="24">
        <f>IF($A826="","",$A826&amp;IF($B826="","0010",$B826))</f>
        <v/>
      </c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41" t="n"/>
      <c r="K827" s="5" t="n"/>
      <c r="L827" s="18" t="n"/>
      <c r="M827" s="24">
        <f>IF($A827="","",IFERROR(INDEX('AJUSTES'!$B$4:$B$303,MATCH($AU827,'AJUSTES'!$A$4:$A$303,0)),IF($K827="","",$K827)))</f>
        <v/>
      </c>
      <c r="N827" s="24">
        <f>IF($A827="","",IFERROR(INDEX('CAT_ESTADOS_ERP'!$B$4:$B$22,MATCH(IFERROR(INDEX('2_IMPORTAR_EJECUCION'!$C$9:$C$1208,MATCH($AU827,'2_IMPORTAR_EJECUCION'!$J$9:$J$1208,0)),""),'CAT_ESTADOS_ERP'!$A$4:$A$22,0)),"Pendiente"))</f>
        <v/>
      </c>
      <c r="O827" s="24">
        <f>IF($J827="","",YEAR($J827+4-WEEKDAY($J827,2))&amp;"-S"&amp;TEXT(_xlfn.ISOWEEKNUM($J827),"00"))</f>
        <v/>
      </c>
      <c r="P827" s="24">
        <f>IF($J827="","",YEAR($J827))</f>
        <v/>
      </c>
      <c r="Q827" s="24">
        <f>IF($J827="","",MONTH($J827))</f>
        <v/>
      </c>
      <c r="R827" s="24">
        <f>IF($J827="","",$P827&amp;"-"&amp;TEXT($Q827,"00"))</f>
        <v/>
      </c>
      <c r="S827" s="24">
        <f>IF($J827="","",INDEX(lista_dias,WEEKDAY($J827,2)))</f>
        <v/>
      </c>
      <c r="T827" s="24">
        <f>IF($J827="","",IFERROR(INDEX('CALENDARIO'!$C$15:$C$214,MATCH(TEXT($J827,"yyyy-mm-dd")&amp;"|"&amp;$Y827&amp;"|"&amp;$Z827,'CALENDARIO'!$G$15:$G$214,0)),IFERROR(INDEX('CALENDARIO'!$C$15:$C$214,MATCH(TEXT($J827,"yyyy-mm-dd")&amp;"|"&amp;$Y827&amp;"|",'CALENDARIO'!$G$15:$G$214,0)),IFERROR(INDEX('CALENDARIO'!$C$15:$C$214,MATCH(TEXT($J827,"yyyy-mm-dd")&amp;"||",'CALENDARIO'!$G$15:$G$214,0)),INDEX(patronHabil,WEEKDAY($J827,2))))))</f>
        <v/>
      </c>
      <c r="U827" s="24">
        <f>IF($I827="","",IFERROR(INDEX('CAT_TIPOS_OT'!$C$4:$C$23,MATCH($I827,'CAT_TIPOS_OT'!$A$4:$A$23,0)),"sin_clasificar"))</f>
        <v/>
      </c>
      <c r="V827" s="24">
        <f>IF($I827="","",IF(IFERROR(INDEX('CAT_TIPOS_OT'!$D$4:$D$23,MATCH($I827,'CAT_TIPOS_OT'!$A$4:$A$23,0)),"SIN CLASIFICAR")="","SIN CLASIFICAR",IFERROR(INDEX('CAT_TIPOS_OT'!$D$4:$D$23,MATCH($I827,'CAT_TIPOS_OT'!$A$4:$A$23,0)),"SIN CLASIFICAR")))</f>
        <v/>
      </c>
      <c r="W827" s="24">
        <f>IF($H827="","",IF(IFERROR(INDEX('CAT_ACTIVIDADES'!$F$4:$F$26,MATCH($H827,'CAT_ACTIVIDADES'!$A$4:$A$26,0)),"")=0,"",IFERROR(INDEX('CAT_ACTIVIDADES'!$F$4:$F$26,MATCH($H827,'CAT_ACTIVIDADES'!$A$4:$A$26,0)),"")))</f>
        <v/>
      </c>
      <c r="X827" s="24">
        <f>IF($F827="","",IFERROR(INDEX('CAT_CENTROS_COSTO'!$F$4:$F$28,MATCH($F827,'CAT_CENTROS_COSTO'!$A$4:$A$28,0)),"(sin catálogo)"))</f>
        <v/>
      </c>
      <c r="Y827" s="24">
        <f>IF($F827="","",IFERROR(INDEX('CAT_CENTROS_COSTO'!$D$4:$D$28,MATCH($F827,'CAT_CENTROS_COSTO'!$A$4:$A$28,0)),"(sin catálogo)"))</f>
        <v/>
      </c>
      <c r="Z827" s="24">
        <f>IF($F827="","",IF((IFERROR(INDEX('CAT_CENTROS_COSTO'!$E$4:$E$28,MATCH($F827,'CAT_CENTROS_COSTO'!$A$4:$A$28,0)),""))&lt;&gt;"",IFERROR(INDEX('CAT_CENTROS_COSTO'!$E$4:$E$28,MATCH($F827,'CAT_CENTROS_COSTO'!$A$4:$A$28,0)),""),$Y827))</f>
        <v/>
      </c>
      <c r="AA827" s="24">
        <f>IF($F827="","",IFERROR(INDEX('CAT_CENTROS_COSTO'!$G$4:$G$28,MATCH($F827,'CAT_CENTROS_COSTO'!$A$4:$A$28,0)),"(sin catálogo)"))</f>
        <v/>
      </c>
      <c r="AB827" s="24">
        <f>IF($G827="","",IFERROR(INDEX('CAT_PUESTOS'!$B$4:$B$23,MATCH($G827,'CAT_PUESTOS'!$A$4:$A$23,0)),"(sin catálogo)"))</f>
        <v/>
      </c>
      <c r="AC827" s="24">
        <f>IF($H827="","",IFERROR(INDEX('CAT_ACTIVIDADES'!$B$4:$B$26,MATCH($H827,'CAT_ACTIVIDADES'!$A$4:$A$26,0)),"(sin catálogo)"))</f>
        <v/>
      </c>
      <c r="AD827" s="26">
        <f>IF($J827="","",TODAY()-$J827)</f>
        <v/>
      </c>
      <c r="AE827" s="26">
        <f>IF($J827="","",IF($J827&lt;=TODAY(),COUNTIFS(cal_fechas,"&gt;="&amp;$J827,cal_fechas,"&lt;"&amp;TODAY(),cal_habil,"sí"),-COUNTIFS(cal_fechas,"&gt;="&amp;TODAY(),cal_fechas,"&lt;"&amp;$J827,cal_habil,"sí")))</f>
        <v/>
      </c>
      <c r="AF827" s="24">
        <f>IF($AE827="","",IF($AE827&lt;0,"FUTURO",IF($AE827&gt;p_dias_backlog_max,"BACKLOG","MES CORRIENTE")))</f>
        <v/>
      </c>
      <c r="AG827" s="24">
        <f>IF($AE827="",FALSE,AND($AE827&gt;p_dias_backlog_min,$AE827&lt;=p_dias_backlog_max))</f>
        <v/>
      </c>
      <c r="AH827" s="4" t="n"/>
      <c r="AI827" s="24">
        <f>IF($AH827="","",IF((IFERROR(INDEX('ASIGNACIONES'!$J$4:$J$451,MATCH($O827&amp;"|"&amp;$S827&amp;"|"&amp;$AH827,'ASIGNACIONES'!$N$4:$N$451,0)),""))=0,"",IFERROR(INDEX('ASIGNACIONES'!$J$4:$J$451,MATCH($O827&amp;"|"&amp;$S827&amp;"|"&amp;$AH827,'ASIGNACIONES'!$N$4:$N$451,0)),"")))</f>
        <v/>
      </c>
      <c r="AJ827" s="42">
        <f>IF($AH827="","",SUMIFS('ORDENES'!$M$4:$M$1203,'ORDENES'!$AH$4:$AH$1203,$AH827,'ORDENES'!$O$4:$O$1203,$O827,'ORDENES'!$S$4:$S$1203,$S827))</f>
        <v/>
      </c>
      <c r="AK827" s="42">
        <f>IF($AJ827="","",p_factor_productividad*IFERROR(INDEX('ASIGNACIONES'!$M$4:$M$451,MATCH($O827&amp;"|"&amp;$S827&amp;"|"&amp;$AH827,'ASIGNACIONES'!$N$4:$N$451,0)),0)-$AJ827)</f>
        <v/>
      </c>
      <c r="AL827" s="32">
        <f>IF($A827="","",IFERROR(INDEX('2_IMPORTAR_EJECUCION'!$F$9:$F$1208,MATCH($AU827,'2_IMPORTAR_EJECUCION'!$J$9:$J$1208,0)),0))</f>
        <v/>
      </c>
      <c r="AM827" s="32">
        <f>IF($A827="","",MAX(0,IFERROR(INDEX('2_IMPORTAR_EJECUCION'!$H$9:$H$1208,MATCH($AU827,'2_IMPORTAR_EJECUCION'!$J$9:$J$1208,0)),0)-$AL827))</f>
        <v/>
      </c>
      <c r="AN827" s="32">
        <f>IF($A827="","",$AL827+$AM827)</f>
        <v/>
      </c>
      <c r="AO827" s="24">
        <f>IF($A827="","",IF(OR((IFERROR(INDEX('CAT_ACTIVIDADES'!$D$4:$D$26,MATCH($H827,'CAT_ACTIVIDADES'!$A$4:$A$26,0)),""))=0,(IFERROR(INDEX('CAT_ACTIVIDADES'!$D$4:$D$26,MATCH($H827,'CAT_ACTIVIDADES'!$A$4:$A$26,0)),""))=""),"SIN CLASIFICAR",IFERROR(INDEX('CAT_ACTIVIDADES'!$D$4:$D$26,MATCH($H827,'CAT_ACTIVIDADES'!$A$4:$A$26,0)),"")))</f>
        <v/>
      </c>
      <c r="AP827" s="4" t="n"/>
      <c r="AQ827" s="4" t="n"/>
      <c r="AR827" s="4" t="n"/>
      <c r="AS827" s="24">
        <f>IF($AR827="","",HYPERLINK(p_ruta_base_checklists&amp;$AR827,"abrir"))</f>
        <v/>
      </c>
      <c r="AT827" s="4" t="n"/>
      <c r="AU827" s="24">
        <f>IF($A827="","",$A827&amp;IF($B827="","0010",$B827))</f>
        <v/>
      </c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41" t="n"/>
      <c r="K828" s="5" t="n"/>
      <c r="L828" s="18" t="n"/>
      <c r="M828" s="24">
        <f>IF($A828="","",IFERROR(INDEX('AJUSTES'!$B$4:$B$303,MATCH($AU828,'AJUSTES'!$A$4:$A$303,0)),IF($K828="","",$K828)))</f>
        <v/>
      </c>
      <c r="N828" s="24">
        <f>IF($A828="","",IFERROR(INDEX('CAT_ESTADOS_ERP'!$B$4:$B$22,MATCH(IFERROR(INDEX('2_IMPORTAR_EJECUCION'!$C$9:$C$1208,MATCH($AU828,'2_IMPORTAR_EJECUCION'!$J$9:$J$1208,0)),""),'CAT_ESTADOS_ERP'!$A$4:$A$22,0)),"Pendiente"))</f>
        <v/>
      </c>
      <c r="O828" s="24">
        <f>IF($J828="","",YEAR($J828+4-WEEKDAY($J828,2))&amp;"-S"&amp;TEXT(_xlfn.ISOWEEKNUM($J828),"00"))</f>
        <v/>
      </c>
      <c r="P828" s="24">
        <f>IF($J828="","",YEAR($J828))</f>
        <v/>
      </c>
      <c r="Q828" s="24">
        <f>IF($J828="","",MONTH($J828))</f>
        <v/>
      </c>
      <c r="R828" s="24">
        <f>IF($J828="","",$P828&amp;"-"&amp;TEXT($Q828,"00"))</f>
        <v/>
      </c>
      <c r="S828" s="24">
        <f>IF($J828="","",INDEX(lista_dias,WEEKDAY($J828,2)))</f>
        <v/>
      </c>
      <c r="T828" s="24">
        <f>IF($J828="","",IFERROR(INDEX('CALENDARIO'!$C$15:$C$214,MATCH(TEXT($J828,"yyyy-mm-dd")&amp;"|"&amp;$Y828&amp;"|"&amp;$Z828,'CALENDARIO'!$G$15:$G$214,0)),IFERROR(INDEX('CALENDARIO'!$C$15:$C$214,MATCH(TEXT($J828,"yyyy-mm-dd")&amp;"|"&amp;$Y828&amp;"|",'CALENDARIO'!$G$15:$G$214,0)),IFERROR(INDEX('CALENDARIO'!$C$15:$C$214,MATCH(TEXT($J828,"yyyy-mm-dd")&amp;"||",'CALENDARIO'!$G$15:$G$214,0)),INDEX(patronHabil,WEEKDAY($J828,2))))))</f>
        <v/>
      </c>
      <c r="U828" s="24">
        <f>IF($I828="","",IFERROR(INDEX('CAT_TIPOS_OT'!$C$4:$C$23,MATCH($I828,'CAT_TIPOS_OT'!$A$4:$A$23,0)),"sin_clasificar"))</f>
        <v/>
      </c>
      <c r="V828" s="24">
        <f>IF($I828="","",IF(IFERROR(INDEX('CAT_TIPOS_OT'!$D$4:$D$23,MATCH($I828,'CAT_TIPOS_OT'!$A$4:$A$23,0)),"SIN CLASIFICAR")="","SIN CLASIFICAR",IFERROR(INDEX('CAT_TIPOS_OT'!$D$4:$D$23,MATCH($I828,'CAT_TIPOS_OT'!$A$4:$A$23,0)),"SIN CLASIFICAR")))</f>
        <v/>
      </c>
      <c r="W828" s="24">
        <f>IF($H828="","",IF(IFERROR(INDEX('CAT_ACTIVIDADES'!$F$4:$F$26,MATCH($H828,'CAT_ACTIVIDADES'!$A$4:$A$26,0)),"")=0,"",IFERROR(INDEX('CAT_ACTIVIDADES'!$F$4:$F$26,MATCH($H828,'CAT_ACTIVIDADES'!$A$4:$A$26,0)),"")))</f>
        <v/>
      </c>
      <c r="X828" s="24">
        <f>IF($F828="","",IFERROR(INDEX('CAT_CENTROS_COSTO'!$F$4:$F$28,MATCH($F828,'CAT_CENTROS_COSTO'!$A$4:$A$28,0)),"(sin catálogo)"))</f>
        <v/>
      </c>
      <c r="Y828" s="24">
        <f>IF($F828="","",IFERROR(INDEX('CAT_CENTROS_COSTO'!$D$4:$D$28,MATCH($F828,'CAT_CENTROS_COSTO'!$A$4:$A$28,0)),"(sin catálogo)"))</f>
        <v/>
      </c>
      <c r="Z828" s="24">
        <f>IF($F828="","",IF((IFERROR(INDEX('CAT_CENTROS_COSTO'!$E$4:$E$28,MATCH($F828,'CAT_CENTROS_COSTO'!$A$4:$A$28,0)),""))&lt;&gt;"",IFERROR(INDEX('CAT_CENTROS_COSTO'!$E$4:$E$28,MATCH($F828,'CAT_CENTROS_COSTO'!$A$4:$A$28,0)),""),$Y828))</f>
        <v/>
      </c>
      <c r="AA828" s="24">
        <f>IF($F828="","",IFERROR(INDEX('CAT_CENTROS_COSTO'!$G$4:$G$28,MATCH($F828,'CAT_CENTROS_COSTO'!$A$4:$A$28,0)),"(sin catálogo)"))</f>
        <v/>
      </c>
      <c r="AB828" s="24">
        <f>IF($G828="","",IFERROR(INDEX('CAT_PUESTOS'!$B$4:$B$23,MATCH($G828,'CAT_PUESTOS'!$A$4:$A$23,0)),"(sin catálogo)"))</f>
        <v/>
      </c>
      <c r="AC828" s="24">
        <f>IF($H828="","",IFERROR(INDEX('CAT_ACTIVIDADES'!$B$4:$B$26,MATCH($H828,'CAT_ACTIVIDADES'!$A$4:$A$26,0)),"(sin catálogo)"))</f>
        <v/>
      </c>
      <c r="AD828" s="26">
        <f>IF($J828="","",TODAY()-$J828)</f>
        <v/>
      </c>
      <c r="AE828" s="26">
        <f>IF($J828="","",IF($J828&lt;=TODAY(),COUNTIFS(cal_fechas,"&gt;="&amp;$J828,cal_fechas,"&lt;"&amp;TODAY(),cal_habil,"sí"),-COUNTIFS(cal_fechas,"&gt;="&amp;TODAY(),cal_fechas,"&lt;"&amp;$J828,cal_habil,"sí")))</f>
        <v/>
      </c>
      <c r="AF828" s="24">
        <f>IF($AE828="","",IF($AE828&lt;0,"FUTURO",IF($AE828&gt;p_dias_backlog_max,"BACKLOG","MES CORRIENTE")))</f>
        <v/>
      </c>
      <c r="AG828" s="24">
        <f>IF($AE828="",FALSE,AND($AE828&gt;p_dias_backlog_min,$AE828&lt;=p_dias_backlog_max))</f>
        <v/>
      </c>
      <c r="AH828" s="4" t="n"/>
      <c r="AI828" s="24">
        <f>IF($AH828="","",IF((IFERROR(INDEX('ASIGNACIONES'!$J$4:$J$451,MATCH($O828&amp;"|"&amp;$S828&amp;"|"&amp;$AH828,'ASIGNACIONES'!$N$4:$N$451,0)),""))=0,"",IFERROR(INDEX('ASIGNACIONES'!$J$4:$J$451,MATCH($O828&amp;"|"&amp;$S828&amp;"|"&amp;$AH828,'ASIGNACIONES'!$N$4:$N$451,0)),"")))</f>
        <v/>
      </c>
      <c r="AJ828" s="42">
        <f>IF($AH828="","",SUMIFS('ORDENES'!$M$4:$M$1203,'ORDENES'!$AH$4:$AH$1203,$AH828,'ORDENES'!$O$4:$O$1203,$O828,'ORDENES'!$S$4:$S$1203,$S828))</f>
        <v/>
      </c>
      <c r="AK828" s="42">
        <f>IF($AJ828="","",p_factor_productividad*IFERROR(INDEX('ASIGNACIONES'!$M$4:$M$451,MATCH($O828&amp;"|"&amp;$S828&amp;"|"&amp;$AH828,'ASIGNACIONES'!$N$4:$N$451,0)),0)-$AJ828)</f>
        <v/>
      </c>
      <c r="AL828" s="32">
        <f>IF($A828="","",IFERROR(INDEX('2_IMPORTAR_EJECUCION'!$F$9:$F$1208,MATCH($AU828,'2_IMPORTAR_EJECUCION'!$J$9:$J$1208,0)),0))</f>
        <v/>
      </c>
      <c r="AM828" s="32">
        <f>IF($A828="","",MAX(0,IFERROR(INDEX('2_IMPORTAR_EJECUCION'!$H$9:$H$1208,MATCH($AU828,'2_IMPORTAR_EJECUCION'!$J$9:$J$1208,0)),0)-$AL828))</f>
        <v/>
      </c>
      <c r="AN828" s="32">
        <f>IF($A828="","",$AL828+$AM828)</f>
        <v/>
      </c>
      <c r="AO828" s="24">
        <f>IF($A828="","",IF(OR((IFERROR(INDEX('CAT_ACTIVIDADES'!$D$4:$D$26,MATCH($H828,'CAT_ACTIVIDADES'!$A$4:$A$26,0)),""))=0,(IFERROR(INDEX('CAT_ACTIVIDADES'!$D$4:$D$26,MATCH($H828,'CAT_ACTIVIDADES'!$A$4:$A$26,0)),""))=""),"SIN CLASIFICAR",IFERROR(INDEX('CAT_ACTIVIDADES'!$D$4:$D$26,MATCH($H828,'CAT_ACTIVIDADES'!$A$4:$A$26,0)),"")))</f>
        <v/>
      </c>
      <c r="AP828" s="4" t="n"/>
      <c r="AQ828" s="4" t="n"/>
      <c r="AR828" s="4" t="n"/>
      <c r="AS828" s="24">
        <f>IF($AR828="","",HYPERLINK(p_ruta_base_checklists&amp;$AR828,"abrir"))</f>
        <v/>
      </c>
      <c r="AT828" s="4" t="n"/>
      <c r="AU828" s="24">
        <f>IF($A828="","",$A828&amp;IF($B828="","0010",$B828))</f>
        <v/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41" t="n"/>
      <c r="K829" s="5" t="n"/>
      <c r="L829" s="18" t="n"/>
      <c r="M829" s="24">
        <f>IF($A829="","",IFERROR(INDEX('AJUSTES'!$B$4:$B$303,MATCH($AU829,'AJUSTES'!$A$4:$A$303,0)),IF($K829="","",$K829)))</f>
        <v/>
      </c>
      <c r="N829" s="24">
        <f>IF($A829="","",IFERROR(INDEX('CAT_ESTADOS_ERP'!$B$4:$B$22,MATCH(IFERROR(INDEX('2_IMPORTAR_EJECUCION'!$C$9:$C$1208,MATCH($AU829,'2_IMPORTAR_EJECUCION'!$J$9:$J$1208,0)),""),'CAT_ESTADOS_ERP'!$A$4:$A$22,0)),"Pendiente"))</f>
        <v/>
      </c>
      <c r="O829" s="24">
        <f>IF($J829="","",YEAR($J829+4-WEEKDAY($J829,2))&amp;"-S"&amp;TEXT(_xlfn.ISOWEEKNUM($J829),"00"))</f>
        <v/>
      </c>
      <c r="P829" s="24">
        <f>IF($J829="","",YEAR($J829))</f>
        <v/>
      </c>
      <c r="Q829" s="24">
        <f>IF($J829="","",MONTH($J829))</f>
        <v/>
      </c>
      <c r="R829" s="24">
        <f>IF($J829="","",$P829&amp;"-"&amp;TEXT($Q829,"00"))</f>
        <v/>
      </c>
      <c r="S829" s="24">
        <f>IF($J829="","",INDEX(lista_dias,WEEKDAY($J829,2)))</f>
        <v/>
      </c>
      <c r="T829" s="24">
        <f>IF($J829="","",IFERROR(INDEX('CALENDARIO'!$C$15:$C$214,MATCH(TEXT($J829,"yyyy-mm-dd")&amp;"|"&amp;$Y829&amp;"|"&amp;$Z829,'CALENDARIO'!$G$15:$G$214,0)),IFERROR(INDEX('CALENDARIO'!$C$15:$C$214,MATCH(TEXT($J829,"yyyy-mm-dd")&amp;"|"&amp;$Y829&amp;"|",'CALENDARIO'!$G$15:$G$214,0)),IFERROR(INDEX('CALENDARIO'!$C$15:$C$214,MATCH(TEXT($J829,"yyyy-mm-dd")&amp;"||",'CALENDARIO'!$G$15:$G$214,0)),INDEX(patronHabil,WEEKDAY($J829,2))))))</f>
        <v/>
      </c>
      <c r="U829" s="24">
        <f>IF($I829="","",IFERROR(INDEX('CAT_TIPOS_OT'!$C$4:$C$23,MATCH($I829,'CAT_TIPOS_OT'!$A$4:$A$23,0)),"sin_clasificar"))</f>
        <v/>
      </c>
      <c r="V829" s="24">
        <f>IF($I829="","",IF(IFERROR(INDEX('CAT_TIPOS_OT'!$D$4:$D$23,MATCH($I829,'CAT_TIPOS_OT'!$A$4:$A$23,0)),"SIN CLASIFICAR")="","SIN CLASIFICAR",IFERROR(INDEX('CAT_TIPOS_OT'!$D$4:$D$23,MATCH($I829,'CAT_TIPOS_OT'!$A$4:$A$23,0)),"SIN CLASIFICAR")))</f>
        <v/>
      </c>
      <c r="W829" s="24">
        <f>IF($H829="","",IF(IFERROR(INDEX('CAT_ACTIVIDADES'!$F$4:$F$26,MATCH($H829,'CAT_ACTIVIDADES'!$A$4:$A$26,0)),"")=0,"",IFERROR(INDEX('CAT_ACTIVIDADES'!$F$4:$F$26,MATCH($H829,'CAT_ACTIVIDADES'!$A$4:$A$26,0)),"")))</f>
        <v/>
      </c>
      <c r="X829" s="24">
        <f>IF($F829="","",IFERROR(INDEX('CAT_CENTROS_COSTO'!$F$4:$F$28,MATCH($F829,'CAT_CENTROS_COSTO'!$A$4:$A$28,0)),"(sin catálogo)"))</f>
        <v/>
      </c>
      <c r="Y829" s="24">
        <f>IF($F829="","",IFERROR(INDEX('CAT_CENTROS_COSTO'!$D$4:$D$28,MATCH($F829,'CAT_CENTROS_COSTO'!$A$4:$A$28,0)),"(sin catálogo)"))</f>
        <v/>
      </c>
      <c r="Z829" s="24">
        <f>IF($F829="","",IF((IFERROR(INDEX('CAT_CENTROS_COSTO'!$E$4:$E$28,MATCH($F829,'CAT_CENTROS_COSTO'!$A$4:$A$28,0)),""))&lt;&gt;"",IFERROR(INDEX('CAT_CENTROS_COSTO'!$E$4:$E$28,MATCH($F829,'CAT_CENTROS_COSTO'!$A$4:$A$28,0)),""),$Y829))</f>
        <v/>
      </c>
      <c r="AA829" s="24">
        <f>IF($F829="","",IFERROR(INDEX('CAT_CENTROS_COSTO'!$G$4:$G$28,MATCH($F829,'CAT_CENTROS_COSTO'!$A$4:$A$28,0)),"(sin catálogo)"))</f>
        <v/>
      </c>
      <c r="AB829" s="24">
        <f>IF($G829="","",IFERROR(INDEX('CAT_PUESTOS'!$B$4:$B$23,MATCH($G829,'CAT_PUESTOS'!$A$4:$A$23,0)),"(sin catálogo)"))</f>
        <v/>
      </c>
      <c r="AC829" s="24">
        <f>IF($H829="","",IFERROR(INDEX('CAT_ACTIVIDADES'!$B$4:$B$26,MATCH($H829,'CAT_ACTIVIDADES'!$A$4:$A$26,0)),"(sin catálogo)"))</f>
        <v/>
      </c>
      <c r="AD829" s="26">
        <f>IF($J829="","",TODAY()-$J829)</f>
        <v/>
      </c>
      <c r="AE829" s="26">
        <f>IF($J829="","",IF($J829&lt;=TODAY(),COUNTIFS(cal_fechas,"&gt;="&amp;$J829,cal_fechas,"&lt;"&amp;TODAY(),cal_habil,"sí"),-COUNTIFS(cal_fechas,"&gt;="&amp;TODAY(),cal_fechas,"&lt;"&amp;$J829,cal_habil,"sí")))</f>
        <v/>
      </c>
      <c r="AF829" s="24">
        <f>IF($AE829="","",IF($AE829&lt;0,"FUTURO",IF($AE829&gt;p_dias_backlog_max,"BACKLOG","MES CORRIENTE")))</f>
        <v/>
      </c>
      <c r="AG829" s="24">
        <f>IF($AE829="",FALSE,AND($AE829&gt;p_dias_backlog_min,$AE829&lt;=p_dias_backlog_max))</f>
        <v/>
      </c>
      <c r="AH829" s="4" t="n"/>
      <c r="AI829" s="24">
        <f>IF($AH829="","",IF((IFERROR(INDEX('ASIGNACIONES'!$J$4:$J$451,MATCH($O829&amp;"|"&amp;$S829&amp;"|"&amp;$AH829,'ASIGNACIONES'!$N$4:$N$451,0)),""))=0,"",IFERROR(INDEX('ASIGNACIONES'!$J$4:$J$451,MATCH($O829&amp;"|"&amp;$S829&amp;"|"&amp;$AH829,'ASIGNACIONES'!$N$4:$N$451,0)),"")))</f>
        <v/>
      </c>
      <c r="AJ829" s="42">
        <f>IF($AH829="","",SUMIFS('ORDENES'!$M$4:$M$1203,'ORDENES'!$AH$4:$AH$1203,$AH829,'ORDENES'!$O$4:$O$1203,$O829,'ORDENES'!$S$4:$S$1203,$S829))</f>
        <v/>
      </c>
      <c r="AK829" s="42">
        <f>IF($AJ829="","",p_factor_productividad*IFERROR(INDEX('ASIGNACIONES'!$M$4:$M$451,MATCH($O829&amp;"|"&amp;$S829&amp;"|"&amp;$AH829,'ASIGNACIONES'!$N$4:$N$451,0)),0)-$AJ829)</f>
        <v/>
      </c>
      <c r="AL829" s="32">
        <f>IF($A829="","",IFERROR(INDEX('2_IMPORTAR_EJECUCION'!$F$9:$F$1208,MATCH($AU829,'2_IMPORTAR_EJECUCION'!$J$9:$J$1208,0)),0))</f>
        <v/>
      </c>
      <c r="AM829" s="32">
        <f>IF($A829="","",MAX(0,IFERROR(INDEX('2_IMPORTAR_EJECUCION'!$H$9:$H$1208,MATCH($AU829,'2_IMPORTAR_EJECUCION'!$J$9:$J$1208,0)),0)-$AL829))</f>
        <v/>
      </c>
      <c r="AN829" s="32">
        <f>IF($A829="","",$AL829+$AM829)</f>
        <v/>
      </c>
      <c r="AO829" s="24">
        <f>IF($A829="","",IF(OR((IFERROR(INDEX('CAT_ACTIVIDADES'!$D$4:$D$26,MATCH($H829,'CAT_ACTIVIDADES'!$A$4:$A$26,0)),""))=0,(IFERROR(INDEX('CAT_ACTIVIDADES'!$D$4:$D$26,MATCH($H829,'CAT_ACTIVIDADES'!$A$4:$A$26,0)),""))=""),"SIN CLASIFICAR",IFERROR(INDEX('CAT_ACTIVIDADES'!$D$4:$D$26,MATCH($H829,'CAT_ACTIVIDADES'!$A$4:$A$26,0)),"")))</f>
        <v/>
      </c>
      <c r="AP829" s="4" t="n"/>
      <c r="AQ829" s="4" t="n"/>
      <c r="AR829" s="4" t="n"/>
      <c r="AS829" s="24">
        <f>IF($AR829="","",HYPERLINK(p_ruta_base_checklists&amp;$AR829,"abrir"))</f>
        <v/>
      </c>
      <c r="AT829" s="4" t="n"/>
      <c r="AU829" s="24">
        <f>IF($A829="","",$A829&amp;IF($B829="","0010",$B829))</f>
        <v/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41" t="n"/>
      <c r="K830" s="5" t="n"/>
      <c r="L830" s="18" t="n"/>
      <c r="M830" s="24">
        <f>IF($A830="","",IFERROR(INDEX('AJUSTES'!$B$4:$B$303,MATCH($AU830,'AJUSTES'!$A$4:$A$303,0)),IF($K830="","",$K830)))</f>
        <v/>
      </c>
      <c r="N830" s="24">
        <f>IF($A830="","",IFERROR(INDEX('CAT_ESTADOS_ERP'!$B$4:$B$22,MATCH(IFERROR(INDEX('2_IMPORTAR_EJECUCION'!$C$9:$C$1208,MATCH($AU830,'2_IMPORTAR_EJECUCION'!$J$9:$J$1208,0)),""),'CAT_ESTADOS_ERP'!$A$4:$A$22,0)),"Pendiente"))</f>
        <v/>
      </c>
      <c r="O830" s="24">
        <f>IF($J830="","",YEAR($J830+4-WEEKDAY($J830,2))&amp;"-S"&amp;TEXT(_xlfn.ISOWEEKNUM($J830),"00"))</f>
        <v/>
      </c>
      <c r="P830" s="24">
        <f>IF($J830="","",YEAR($J830))</f>
        <v/>
      </c>
      <c r="Q830" s="24">
        <f>IF($J830="","",MONTH($J830))</f>
        <v/>
      </c>
      <c r="R830" s="24">
        <f>IF($J830="","",$P830&amp;"-"&amp;TEXT($Q830,"00"))</f>
        <v/>
      </c>
      <c r="S830" s="24">
        <f>IF($J830="","",INDEX(lista_dias,WEEKDAY($J830,2)))</f>
        <v/>
      </c>
      <c r="T830" s="24">
        <f>IF($J830="","",IFERROR(INDEX('CALENDARIO'!$C$15:$C$214,MATCH(TEXT($J830,"yyyy-mm-dd")&amp;"|"&amp;$Y830&amp;"|"&amp;$Z830,'CALENDARIO'!$G$15:$G$214,0)),IFERROR(INDEX('CALENDARIO'!$C$15:$C$214,MATCH(TEXT($J830,"yyyy-mm-dd")&amp;"|"&amp;$Y830&amp;"|",'CALENDARIO'!$G$15:$G$214,0)),IFERROR(INDEX('CALENDARIO'!$C$15:$C$214,MATCH(TEXT($J830,"yyyy-mm-dd")&amp;"||",'CALENDARIO'!$G$15:$G$214,0)),INDEX(patronHabil,WEEKDAY($J830,2))))))</f>
        <v/>
      </c>
      <c r="U830" s="24">
        <f>IF($I830="","",IFERROR(INDEX('CAT_TIPOS_OT'!$C$4:$C$23,MATCH($I830,'CAT_TIPOS_OT'!$A$4:$A$23,0)),"sin_clasificar"))</f>
        <v/>
      </c>
      <c r="V830" s="24">
        <f>IF($I830="","",IF(IFERROR(INDEX('CAT_TIPOS_OT'!$D$4:$D$23,MATCH($I830,'CAT_TIPOS_OT'!$A$4:$A$23,0)),"SIN CLASIFICAR")="","SIN CLASIFICAR",IFERROR(INDEX('CAT_TIPOS_OT'!$D$4:$D$23,MATCH($I830,'CAT_TIPOS_OT'!$A$4:$A$23,0)),"SIN CLASIFICAR")))</f>
        <v/>
      </c>
      <c r="W830" s="24">
        <f>IF($H830="","",IF(IFERROR(INDEX('CAT_ACTIVIDADES'!$F$4:$F$26,MATCH($H830,'CAT_ACTIVIDADES'!$A$4:$A$26,0)),"")=0,"",IFERROR(INDEX('CAT_ACTIVIDADES'!$F$4:$F$26,MATCH($H830,'CAT_ACTIVIDADES'!$A$4:$A$26,0)),"")))</f>
        <v/>
      </c>
      <c r="X830" s="24">
        <f>IF($F830="","",IFERROR(INDEX('CAT_CENTROS_COSTO'!$F$4:$F$28,MATCH($F830,'CAT_CENTROS_COSTO'!$A$4:$A$28,0)),"(sin catálogo)"))</f>
        <v/>
      </c>
      <c r="Y830" s="24">
        <f>IF($F830="","",IFERROR(INDEX('CAT_CENTROS_COSTO'!$D$4:$D$28,MATCH($F830,'CAT_CENTROS_COSTO'!$A$4:$A$28,0)),"(sin catálogo)"))</f>
        <v/>
      </c>
      <c r="Z830" s="24">
        <f>IF($F830="","",IF((IFERROR(INDEX('CAT_CENTROS_COSTO'!$E$4:$E$28,MATCH($F830,'CAT_CENTROS_COSTO'!$A$4:$A$28,0)),""))&lt;&gt;"",IFERROR(INDEX('CAT_CENTROS_COSTO'!$E$4:$E$28,MATCH($F830,'CAT_CENTROS_COSTO'!$A$4:$A$28,0)),""),$Y830))</f>
        <v/>
      </c>
      <c r="AA830" s="24">
        <f>IF($F830="","",IFERROR(INDEX('CAT_CENTROS_COSTO'!$G$4:$G$28,MATCH($F830,'CAT_CENTROS_COSTO'!$A$4:$A$28,0)),"(sin catálogo)"))</f>
        <v/>
      </c>
      <c r="AB830" s="24">
        <f>IF($G830="","",IFERROR(INDEX('CAT_PUESTOS'!$B$4:$B$23,MATCH($G830,'CAT_PUESTOS'!$A$4:$A$23,0)),"(sin catálogo)"))</f>
        <v/>
      </c>
      <c r="AC830" s="24">
        <f>IF($H830="","",IFERROR(INDEX('CAT_ACTIVIDADES'!$B$4:$B$26,MATCH($H830,'CAT_ACTIVIDADES'!$A$4:$A$26,0)),"(sin catálogo)"))</f>
        <v/>
      </c>
      <c r="AD830" s="26">
        <f>IF($J830="","",TODAY()-$J830)</f>
        <v/>
      </c>
      <c r="AE830" s="26">
        <f>IF($J830="","",IF($J830&lt;=TODAY(),COUNTIFS(cal_fechas,"&gt;="&amp;$J830,cal_fechas,"&lt;"&amp;TODAY(),cal_habil,"sí"),-COUNTIFS(cal_fechas,"&gt;="&amp;TODAY(),cal_fechas,"&lt;"&amp;$J830,cal_habil,"sí")))</f>
        <v/>
      </c>
      <c r="AF830" s="24">
        <f>IF($AE830="","",IF($AE830&lt;0,"FUTURO",IF($AE830&gt;p_dias_backlog_max,"BACKLOG","MES CORRIENTE")))</f>
        <v/>
      </c>
      <c r="AG830" s="24">
        <f>IF($AE830="",FALSE,AND($AE830&gt;p_dias_backlog_min,$AE830&lt;=p_dias_backlog_max))</f>
        <v/>
      </c>
      <c r="AH830" s="4" t="n"/>
      <c r="AI830" s="24">
        <f>IF($AH830="","",IF((IFERROR(INDEX('ASIGNACIONES'!$J$4:$J$451,MATCH($O830&amp;"|"&amp;$S830&amp;"|"&amp;$AH830,'ASIGNACIONES'!$N$4:$N$451,0)),""))=0,"",IFERROR(INDEX('ASIGNACIONES'!$J$4:$J$451,MATCH($O830&amp;"|"&amp;$S830&amp;"|"&amp;$AH830,'ASIGNACIONES'!$N$4:$N$451,0)),"")))</f>
        <v/>
      </c>
      <c r="AJ830" s="42">
        <f>IF($AH830="","",SUMIFS('ORDENES'!$M$4:$M$1203,'ORDENES'!$AH$4:$AH$1203,$AH830,'ORDENES'!$O$4:$O$1203,$O830,'ORDENES'!$S$4:$S$1203,$S830))</f>
        <v/>
      </c>
      <c r="AK830" s="42">
        <f>IF($AJ830="","",p_factor_productividad*IFERROR(INDEX('ASIGNACIONES'!$M$4:$M$451,MATCH($O830&amp;"|"&amp;$S830&amp;"|"&amp;$AH830,'ASIGNACIONES'!$N$4:$N$451,0)),0)-$AJ830)</f>
        <v/>
      </c>
      <c r="AL830" s="32">
        <f>IF($A830="","",IFERROR(INDEX('2_IMPORTAR_EJECUCION'!$F$9:$F$1208,MATCH($AU830,'2_IMPORTAR_EJECUCION'!$J$9:$J$1208,0)),0))</f>
        <v/>
      </c>
      <c r="AM830" s="32">
        <f>IF($A830="","",MAX(0,IFERROR(INDEX('2_IMPORTAR_EJECUCION'!$H$9:$H$1208,MATCH($AU830,'2_IMPORTAR_EJECUCION'!$J$9:$J$1208,0)),0)-$AL830))</f>
        <v/>
      </c>
      <c r="AN830" s="32">
        <f>IF($A830="","",$AL830+$AM830)</f>
        <v/>
      </c>
      <c r="AO830" s="24">
        <f>IF($A830="","",IF(OR((IFERROR(INDEX('CAT_ACTIVIDADES'!$D$4:$D$26,MATCH($H830,'CAT_ACTIVIDADES'!$A$4:$A$26,0)),""))=0,(IFERROR(INDEX('CAT_ACTIVIDADES'!$D$4:$D$26,MATCH($H830,'CAT_ACTIVIDADES'!$A$4:$A$26,0)),""))=""),"SIN CLASIFICAR",IFERROR(INDEX('CAT_ACTIVIDADES'!$D$4:$D$26,MATCH($H830,'CAT_ACTIVIDADES'!$A$4:$A$26,0)),"")))</f>
        <v/>
      </c>
      <c r="AP830" s="4" t="n"/>
      <c r="AQ830" s="4" t="n"/>
      <c r="AR830" s="4" t="n"/>
      <c r="AS830" s="24">
        <f>IF($AR830="","",HYPERLINK(p_ruta_base_checklists&amp;$AR830,"abrir"))</f>
        <v/>
      </c>
      <c r="AT830" s="4" t="n"/>
      <c r="AU830" s="24">
        <f>IF($A830="","",$A830&amp;IF($B830="","0010",$B830))</f>
        <v/>
      </c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41" t="n"/>
      <c r="K831" s="5" t="n"/>
      <c r="L831" s="18" t="n"/>
      <c r="M831" s="24">
        <f>IF($A831="","",IFERROR(INDEX('AJUSTES'!$B$4:$B$303,MATCH($AU831,'AJUSTES'!$A$4:$A$303,0)),IF($K831="","",$K831)))</f>
        <v/>
      </c>
      <c r="N831" s="24">
        <f>IF($A831="","",IFERROR(INDEX('CAT_ESTADOS_ERP'!$B$4:$B$22,MATCH(IFERROR(INDEX('2_IMPORTAR_EJECUCION'!$C$9:$C$1208,MATCH($AU831,'2_IMPORTAR_EJECUCION'!$J$9:$J$1208,0)),""),'CAT_ESTADOS_ERP'!$A$4:$A$22,0)),"Pendiente"))</f>
        <v/>
      </c>
      <c r="O831" s="24">
        <f>IF($J831="","",YEAR($J831+4-WEEKDAY($J831,2))&amp;"-S"&amp;TEXT(_xlfn.ISOWEEKNUM($J831),"00"))</f>
        <v/>
      </c>
      <c r="P831" s="24">
        <f>IF($J831="","",YEAR($J831))</f>
        <v/>
      </c>
      <c r="Q831" s="24">
        <f>IF($J831="","",MONTH($J831))</f>
        <v/>
      </c>
      <c r="R831" s="24">
        <f>IF($J831="","",$P831&amp;"-"&amp;TEXT($Q831,"00"))</f>
        <v/>
      </c>
      <c r="S831" s="24">
        <f>IF($J831="","",INDEX(lista_dias,WEEKDAY($J831,2)))</f>
        <v/>
      </c>
      <c r="T831" s="24">
        <f>IF($J831="","",IFERROR(INDEX('CALENDARIO'!$C$15:$C$214,MATCH(TEXT($J831,"yyyy-mm-dd")&amp;"|"&amp;$Y831&amp;"|"&amp;$Z831,'CALENDARIO'!$G$15:$G$214,0)),IFERROR(INDEX('CALENDARIO'!$C$15:$C$214,MATCH(TEXT($J831,"yyyy-mm-dd")&amp;"|"&amp;$Y831&amp;"|",'CALENDARIO'!$G$15:$G$214,0)),IFERROR(INDEX('CALENDARIO'!$C$15:$C$214,MATCH(TEXT($J831,"yyyy-mm-dd")&amp;"||",'CALENDARIO'!$G$15:$G$214,0)),INDEX(patronHabil,WEEKDAY($J831,2))))))</f>
        <v/>
      </c>
      <c r="U831" s="24">
        <f>IF($I831="","",IFERROR(INDEX('CAT_TIPOS_OT'!$C$4:$C$23,MATCH($I831,'CAT_TIPOS_OT'!$A$4:$A$23,0)),"sin_clasificar"))</f>
        <v/>
      </c>
      <c r="V831" s="24">
        <f>IF($I831="","",IF(IFERROR(INDEX('CAT_TIPOS_OT'!$D$4:$D$23,MATCH($I831,'CAT_TIPOS_OT'!$A$4:$A$23,0)),"SIN CLASIFICAR")="","SIN CLASIFICAR",IFERROR(INDEX('CAT_TIPOS_OT'!$D$4:$D$23,MATCH($I831,'CAT_TIPOS_OT'!$A$4:$A$23,0)),"SIN CLASIFICAR")))</f>
        <v/>
      </c>
      <c r="W831" s="24">
        <f>IF($H831="","",IF(IFERROR(INDEX('CAT_ACTIVIDADES'!$F$4:$F$26,MATCH($H831,'CAT_ACTIVIDADES'!$A$4:$A$26,0)),"")=0,"",IFERROR(INDEX('CAT_ACTIVIDADES'!$F$4:$F$26,MATCH($H831,'CAT_ACTIVIDADES'!$A$4:$A$26,0)),"")))</f>
        <v/>
      </c>
      <c r="X831" s="24">
        <f>IF($F831="","",IFERROR(INDEX('CAT_CENTROS_COSTO'!$F$4:$F$28,MATCH($F831,'CAT_CENTROS_COSTO'!$A$4:$A$28,0)),"(sin catálogo)"))</f>
        <v/>
      </c>
      <c r="Y831" s="24">
        <f>IF($F831="","",IFERROR(INDEX('CAT_CENTROS_COSTO'!$D$4:$D$28,MATCH($F831,'CAT_CENTROS_COSTO'!$A$4:$A$28,0)),"(sin catálogo)"))</f>
        <v/>
      </c>
      <c r="Z831" s="24">
        <f>IF($F831="","",IF((IFERROR(INDEX('CAT_CENTROS_COSTO'!$E$4:$E$28,MATCH($F831,'CAT_CENTROS_COSTO'!$A$4:$A$28,0)),""))&lt;&gt;"",IFERROR(INDEX('CAT_CENTROS_COSTO'!$E$4:$E$28,MATCH($F831,'CAT_CENTROS_COSTO'!$A$4:$A$28,0)),""),$Y831))</f>
        <v/>
      </c>
      <c r="AA831" s="24">
        <f>IF($F831="","",IFERROR(INDEX('CAT_CENTROS_COSTO'!$G$4:$G$28,MATCH($F831,'CAT_CENTROS_COSTO'!$A$4:$A$28,0)),"(sin catálogo)"))</f>
        <v/>
      </c>
      <c r="AB831" s="24">
        <f>IF($G831="","",IFERROR(INDEX('CAT_PUESTOS'!$B$4:$B$23,MATCH($G831,'CAT_PUESTOS'!$A$4:$A$23,0)),"(sin catálogo)"))</f>
        <v/>
      </c>
      <c r="AC831" s="24">
        <f>IF($H831="","",IFERROR(INDEX('CAT_ACTIVIDADES'!$B$4:$B$26,MATCH($H831,'CAT_ACTIVIDADES'!$A$4:$A$26,0)),"(sin catálogo)"))</f>
        <v/>
      </c>
      <c r="AD831" s="26">
        <f>IF($J831="","",TODAY()-$J831)</f>
        <v/>
      </c>
      <c r="AE831" s="26">
        <f>IF($J831="","",IF($J831&lt;=TODAY(),COUNTIFS(cal_fechas,"&gt;="&amp;$J831,cal_fechas,"&lt;"&amp;TODAY(),cal_habil,"sí"),-COUNTIFS(cal_fechas,"&gt;="&amp;TODAY(),cal_fechas,"&lt;"&amp;$J831,cal_habil,"sí")))</f>
        <v/>
      </c>
      <c r="AF831" s="24">
        <f>IF($AE831="","",IF($AE831&lt;0,"FUTURO",IF($AE831&gt;p_dias_backlog_max,"BACKLOG","MES CORRIENTE")))</f>
        <v/>
      </c>
      <c r="AG831" s="24">
        <f>IF($AE831="",FALSE,AND($AE831&gt;p_dias_backlog_min,$AE831&lt;=p_dias_backlog_max))</f>
        <v/>
      </c>
      <c r="AH831" s="4" t="n"/>
      <c r="AI831" s="24">
        <f>IF($AH831="","",IF((IFERROR(INDEX('ASIGNACIONES'!$J$4:$J$451,MATCH($O831&amp;"|"&amp;$S831&amp;"|"&amp;$AH831,'ASIGNACIONES'!$N$4:$N$451,0)),""))=0,"",IFERROR(INDEX('ASIGNACIONES'!$J$4:$J$451,MATCH($O831&amp;"|"&amp;$S831&amp;"|"&amp;$AH831,'ASIGNACIONES'!$N$4:$N$451,0)),"")))</f>
        <v/>
      </c>
      <c r="AJ831" s="42">
        <f>IF($AH831="","",SUMIFS('ORDENES'!$M$4:$M$1203,'ORDENES'!$AH$4:$AH$1203,$AH831,'ORDENES'!$O$4:$O$1203,$O831,'ORDENES'!$S$4:$S$1203,$S831))</f>
        <v/>
      </c>
      <c r="AK831" s="42">
        <f>IF($AJ831="","",p_factor_productividad*IFERROR(INDEX('ASIGNACIONES'!$M$4:$M$451,MATCH($O831&amp;"|"&amp;$S831&amp;"|"&amp;$AH831,'ASIGNACIONES'!$N$4:$N$451,0)),0)-$AJ831)</f>
        <v/>
      </c>
      <c r="AL831" s="32">
        <f>IF($A831="","",IFERROR(INDEX('2_IMPORTAR_EJECUCION'!$F$9:$F$1208,MATCH($AU831,'2_IMPORTAR_EJECUCION'!$J$9:$J$1208,0)),0))</f>
        <v/>
      </c>
      <c r="AM831" s="32">
        <f>IF($A831="","",MAX(0,IFERROR(INDEX('2_IMPORTAR_EJECUCION'!$H$9:$H$1208,MATCH($AU831,'2_IMPORTAR_EJECUCION'!$J$9:$J$1208,0)),0)-$AL831))</f>
        <v/>
      </c>
      <c r="AN831" s="32">
        <f>IF($A831="","",$AL831+$AM831)</f>
        <v/>
      </c>
      <c r="AO831" s="24">
        <f>IF($A831="","",IF(OR((IFERROR(INDEX('CAT_ACTIVIDADES'!$D$4:$D$26,MATCH($H831,'CAT_ACTIVIDADES'!$A$4:$A$26,0)),""))=0,(IFERROR(INDEX('CAT_ACTIVIDADES'!$D$4:$D$26,MATCH($H831,'CAT_ACTIVIDADES'!$A$4:$A$26,0)),""))=""),"SIN CLASIFICAR",IFERROR(INDEX('CAT_ACTIVIDADES'!$D$4:$D$26,MATCH($H831,'CAT_ACTIVIDADES'!$A$4:$A$26,0)),"")))</f>
        <v/>
      </c>
      <c r="AP831" s="4" t="n"/>
      <c r="AQ831" s="4" t="n"/>
      <c r="AR831" s="4" t="n"/>
      <c r="AS831" s="24">
        <f>IF($AR831="","",HYPERLINK(p_ruta_base_checklists&amp;$AR831,"abrir"))</f>
        <v/>
      </c>
      <c r="AT831" s="4" t="n"/>
      <c r="AU831" s="24">
        <f>IF($A831="","",$A831&amp;IF($B831="","0010",$B831))</f>
        <v/>
      </c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41" t="n"/>
      <c r="K832" s="5" t="n"/>
      <c r="L832" s="18" t="n"/>
      <c r="M832" s="24">
        <f>IF($A832="","",IFERROR(INDEX('AJUSTES'!$B$4:$B$303,MATCH($AU832,'AJUSTES'!$A$4:$A$303,0)),IF($K832="","",$K832)))</f>
        <v/>
      </c>
      <c r="N832" s="24">
        <f>IF($A832="","",IFERROR(INDEX('CAT_ESTADOS_ERP'!$B$4:$B$22,MATCH(IFERROR(INDEX('2_IMPORTAR_EJECUCION'!$C$9:$C$1208,MATCH($AU832,'2_IMPORTAR_EJECUCION'!$J$9:$J$1208,0)),""),'CAT_ESTADOS_ERP'!$A$4:$A$22,0)),"Pendiente"))</f>
        <v/>
      </c>
      <c r="O832" s="24">
        <f>IF($J832="","",YEAR($J832+4-WEEKDAY($J832,2))&amp;"-S"&amp;TEXT(_xlfn.ISOWEEKNUM($J832),"00"))</f>
        <v/>
      </c>
      <c r="P832" s="24">
        <f>IF($J832="","",YEAR($J832))</f>
        <v/>
      </c>
      <c r="Q832" s="24">
        <f>IF($J832="","",MONTH($J832))</f>
        <v/>
      </c>
      <c r="R832" s="24">
        <f>IF($J832="","",$P832&amp;"-"&amp;TEXT($Q832,"00"))</f>
        <v/>
      </c>
      <c r="S832" s="24">
        <f>IF($J832="","",INDEX(lista_dias,WEEKDAY($J832,2)))</f>
        <v/>
      </c>
      <c r="T832" s="24">
        <f>IF($J832="","",IFERROR(INDEX('CALENDARIO'!$C$15:$C$214,MATCH(TEXT($J832,"yyyy-mm-dd")&amp;"|"&amp;$Y832&amp;"|"&amp;$Z832,'CALENDARIO'!$G$15:$G$214,0)),IFERROR(INDEX('CALENDARIO'!$C$15:$C$214,MATCH(TEXT($J832,"yyyy-mm-dd")&amp;"|"&amp;$Y832&amp;"|",'CALENDARIO'!$G$15:$G$214,0)),IFERROR(INDEX('CALENDARIO'!$C$15:$C$214,MATCH(TEXT($J832,"yyyy-mm-dd")&amp;"||",'CALENDARIO'!$G$15:$G$214,0)),INDEX(patronHabil,WEEKDAY($J832,2))))))</f>
        <v/>
      </c>
      <c r="U832" s="24">
        <f>IF($I832="","",IFERROR(INDEX('CAT_TIPOS_OT'!$C$4:$C$23,MATCH($I832,'CAT_TIPOS_OT'!$A$4:$A$23,0)),"sin_clasificar"))</f>
        <v/>
      </c>
      <c r="V832" s="24">
        <f>IF($I832="","",IF(IFERROR(INDEX('CAT_TIPOS_OT'!$D$4:$D$23,MATCH($I832,'CAT_TIPOS_OT'!$A$4:$A$23,0)),"SIN CLASIFICAR")="","SIN CLASIFICAR",IFERROR(INDEX('CAT_TIPOS_OT'!$D$4:$D$23,MATCH($I832,'CAT_TIPOS_OT'!$A$4:$A$23,0)),"SIN CLASIFICAR")))</f>
        <v/>
      </c>
      <c r="W832" s="24">
        <f>IF($H832="","",IF(IFERROR(INDEX('CAT_ACTIVIDADES'!$F$4:$F$26,MATCH($H832,'CAT_ACTIVIDADES'!$A$4:$A$26,0)),"")=0,"",IFERROR(INDEX('CAT_ACTIVIDADES'!$F$4:$F$26,MATCH($H832,'CAT_ACTIVIDADES'!$A$4:$A$26,0)),"")))</f>
        <v/>
      </c>
      <c r="X832" s="24">
        <f>IF($F832="","",IFERROR(INDEX('CAT_CENTROS_COSTO'!$F$4:$F$28,MATCH($F832,'CAT_CENTROS_COSTO'!$A$4:$A$28,0)),"(sin catálogo)"))</f>
        <v/>
      </c>
      <c r="Y832" s="24">
        <f>IF($F832="","",IFERROR(INDEX('CAT_CENTROS_COSTO'!$D$4:$D$28,MATCH($F832,'CAT_CENTROS_COSTO'!$A$4:$A$28,0)),"(sin catálogo)"))</f>
        <v/>
      </c>
      <c r="Z832" s="24">
        <f>IF($F832="","",IF((IFERROR(INDEX('CAT_CENTROS_COSTO'!$E$4:$E$28,MATCH($F832,'CAT_CENTROS_COSTO'!$A$4:$A$28,0)),""))&lt;&gt;"",IFERROR(INDEX('CAT_CENTROS_COSTO'!$E$4:$E$28,MATCH($F832,'CAT_CENTROS_COSTO'!$A$4:$A$28,0)),""),$Y832))</f>
        <v/>
      </c>
      <c r="AA832" s="24">
        <f>IF($F832="","",IFERROR(INDEX('CAT_CENTROS_COSTO'!$G$4:$G$28,MATCH($F832,'CAT_CENTROS_COSTO'!$A$4:$A$28,0)),"(sin catálogo)"))</f>
        <v/>
      </c>
      <c r="AB832" s="24">
        <f>IF($G832="","",IFERROR(INDEX('CAT_PUESTOS'!$B$4:$B$23,MATCH($G832,'CAT_PUESTOS'!$A$4:$A$23,0)),"(sin catálogo)"))</f>
        <v/>
      </c>
      <c r="AC832" s="24">
        <f>IF($H832="","",IFERROR(INDEX('CAT_ACTIVIDADES'!$B$4:$B$26,MATCH($H832,'CAT_ACTIVIDADES'!$A$4:$A$26,0)),"(sin catálogo)"))</f>
        <v/>
      </c>
      <c r="AD832" s="26">
        <f>IF($J832="","",TODAY()-$J832)</f>
        <v/>
      </c>
      <c r="AE832" s="26">
        <f>IF($J832="","",IF($J832&lt;=TODAY(),COUNTIFS(cal_fechas,"&gt;="&amp;$J832,cal_fechas,"&lt;"&amp;TODAY(),cal_habil,"sí"),-COUNTIFS(cal_fechas,"&gt;="&amp;TODAY(),cal_fechas,"&lt;"&amp;$J832,cal_habil,"sí")))</f>
        <v/>
      </c>
      <c r="AF832" s="24">
        <f>IF($AE832="","",IF($AE832&lt;0,"FUTURO",IF($AE832&gt;p_dias_backlog_max,"BACKLOG","MES CORRIENTE")))</f>
        <v/>
      </c>
      <c r="AG832" s="24">
        <f>IF($AE832="",FALSE,AND($AE832&gt;p_dias_backlog_min,$AE832&lt;=p_dias_backlog_max))</f>
        <v/>
      </c>
      <c r="AH832" s="4" t="n"/>
      <c r="AI832" s="24">
        <f>IF($AH832="","",IF((IFERROR(INDEX('ASIGNACIONES'!$J$4:$J$451,MATCH($O832&amp;"|"&amp;$S832&amp;"|"&amp;$AH832,'ASIGNACIONES'!$N$4:$N$451,0)),""))=0,"",IFERROR(INDEX('ASIGNACIONES'!$J$4:$J$451,MATCH($O832&amp;"|"&amp;$S832&amp;"|"&amp;$AH832,'ASIGNACIONES'!$N$4:$N$451,0)),"")))</f>
        <v/>
      </c>
      <c r="AJ832" s="42">
        <f>IF($AH832="","",SUMIFS('ORDENES'!$M$4:$M$1203,'ORDENES'!$AH$4:$AH$1203,$AH832,'ORDENES'!$O$4:$O$1203,$O832,'ORDENES'!$S$4:$S$1203,$S832))</f>
        <v/>
      </c>
      <c r="AK832" s="42">
        <f>IF($AJ832="","",p_factor_productividad*IFERROR(INDEX('ASIGNACIONES'!$M$4:$M$451,MATCH($O832&amp;"|"&amp;$S832&amp;"|"&amp;$AH832,'ASIGNACIONES'!$N$4:$N$451,0)),0)-$AJ832)</f>
        <v/>
      </c>
      <c r="AL832" s="32">
        <f>IF($A832="","",IFERROR(INDEX('2_IMPORTAR_EJECUCION'!$F$9:$F$1208,MATCH($AU832,'2_IMPORTAR_EJECUCION'!$J$9:$J$1208,0)),0))</f>
        <v/>
      </c>
      <c r="AM832" s="32">
        <f>IF($A832="","",MAX(0,IFERROR(INDEX('2_IMPORTAR_EJECUCION'!$H$9:$H$1208,MATCH($AU832,'2_IMPORTAR_EJECUCION'!$J$9:$J$1208,0)),0)-$AL832))</f>
        <v/>
      </c>
      <c r="AN832" s="32">
        <f>IF($A832="","",$AL832+$AM832)</f>
        <v/>
      </c>
      <c r="AO832" s="24">
        <f>IF($A832="","",IF(OR((IFERROR(INDEX('CAT_ACTIVIDADES'!$D$4:$D$26,MATCH($H832,'CAT_ACTIVIDADES'!$A$4:$A$26,0)),""))=0,(IFERROR(INDEX('CAT_ACTIVIDADES'!$D$4:$D$26,MATCH($H832,'CAT_ACTIVIDADES'!$A$4:$A$26,0)),""))=""),"SIN CLASIFICAR",IFERROR(INDEX('CAT_ACTIVIDADES'!$D$4:$D$26,MATCH($H832,'CAT_ACTIVIDADES'!$A$4:$A$26,0)),"")))</f>
        <v/>
      </c>
      <c r="AP832" s="4" t="n"/>
      <c r="AQ832" s="4" t="n"/>
      <c r="AR832" s="4" t="n"/>
      <c r="AS832" s="24">
        <f>IF($AR832="","",HYPERLINK(p_ruta_base_checklists&amp;$AR832,"abrir"))</f>
        <v/>
      </c>
      <c r="AT832" s="4" t="n"/>
      <c r="AU832" s="24">
        <f>IF($A832="","",$A832&amp;IF($B832="","0010",$B832))</f>
        <v/>
      </c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41" t="n"/>
      <c r="K833" s="5" t="n"/>
      <c r="L833" s="18" t="n"/>
      <c r="M833" s="24">
        <f>IF($A833="","",IFERROR(INDEX('AJUSTES'!$B$4:$B$303,MATCH($AU833,'AJUSTES'!$A$4:$A$303,0)),IF($K833="","",$K833)))</f>
        <v/>
      </c>
      <c r="N833" s="24">
        <f>IF($A833="","",IFERROR(INDEX('CAT_ESTADOS_ERP'!$B$4:$B$22,MATCH(IFERROR(INDEX('2_IMPORTAR_EJECUCION'!$C$9:$C$1208,MATCH($AU833,'2_IMPORTAR_EJECUCION'!$J$9:$J$1208,0)),""),'CAT_ESTADOS_ERP'!$A$4:$A$22,0)),"Pendiente"))</f>
        <v/>
      </c>
      <c r="O833" s="24">
        <f>IF($J833="","",YEAR($J833+4-WEEKDAY($J833,2))&amp;"-S"&amp;TEXT(_xlfn.ISOWEEKNUM($J833),"00"))</f>
        <v/>
      </c>
      <c r="P833" s="24">
        <f>IF($J833="","",YEAR($J833))</f>
        <v/>
      </c>
      <c r="Q833" s="24">
        <f>IF($J833="","",MONTH($J833))</f>
        <v/>
      </c>
      <c r="R833" s="24">
        <f>IF($J833="","",$P833&amp;"-"&amp;TEXT($Q833,"00"))</f>
        <v/>
      </c>
      <c r="S833" s="24">
        <f>IF($J833="","",INDEX(lista_dias,WEEKDAY($J833,2)))</f>
        <v/>
      </c>
      <c r="T833" s="24">
        <f>IF($J833="","",IFERROR(INDEX('CALENDARIO'!$C$15:$C$214,MATCH(TEXT($J833,"yyyy-mm-dd")&amp;"|"&amp;$Y833&amp;"|"&amp;$Z833,'CALENDARIO'!$G$15:$G$214,0)),IFERROR(INDEX('CALENDARIO'!$C$15:$C$214,MATCH(TEXT($J833,"yyyy-mm-dd")&amp;"|"&amp;$Y833&amp;"|",'CALENDARIO'!$G$15:$G$214,0)),IFERROR(INDEX('CALENDARIO'!$C$15:$C$214,MATCH(TEXT($J833,"yyyy-mm-dd")&amp;"||",'CALENDARIO'!$G$15:$G$214,0)),INDEX(patronHabil,WEEKDAY($J833,2))))))</f>
        <v/>
      </c>
      <c r="U833" s="24">
        <f>IF($I833="","",IFERROR(INDEX('CAT_TIPOS_OT'!$C$4:$C$23,MATCH($I833,'CAT_TIPOS_OT'!$A$4:$A$23,0)),"sin_clasificar"))</f>
        <v/>
      </c>
      <c r="V833" s="24">
        <f>IF($I833="","",IF(IFERROR(INDEX('CAT_TIPOS_OT'!$D$4:$D$23,MATCH($I833,'CAT_TIPOS_OT'!$A$4:$A$23,0)),"SIN CLASIFICAR")="","SIN CLASIFICAR",IFERROR(INDEX('CAT_TIPOS_OT'!$D$4:$D$23,MATCH($I833,'CAT_TIPOS_OT'!$A$4:$A$23,0)),"SIN CLASIFICAR")))</f>
        <v/>
      </c>
      <c r="W833" s="24">
        <f>IF($H833="","",IF(IFERROR(INDEX('CAT_ACTIVIDADES'!$F$4:$F$26,MATCH($H833,'CAT_ACTIVIDADES'!$A$4:$A$26,0)),"")=0,"",IFERROR(INDEX('CAT_ACTIVIDADES'!$F$4:$F$26,MATCH($H833,'CAT_ACTIVIDADES'!$A$4:$A$26,0)),"")))</f>
        <v/>
      </c>
      <c r="X833" s="24">
        <f>IF($F833="","",IFERROR(INDEX('CAT_CENTROS_COSTO'!$F$4:$F$28,MATCH($F833,'CAT_CENTROS_COSTO'!$A$4:$A$28,0)),"(sin catálogo)"))</f>
        <v/>
      </c>
      <c r="Y833" s="24">
        <f>IF($F833="","",IFERROR(INDEX('CAT_CENTROS_COSTO'!$D$4:$D$28,MATCH($F833,'CAT_CENTROS_COSTO'!$A$4:$A$28,0)),"(sin catálogo)"))</f>
        <v/>
      </c>
      <c r="Z833" s="24">
        <f>IF($F833="","",IF((IFERROR(INDEX('CAT_CENTROS_COSTO'!$E$4:$E$28,MATCH($F833,'CAT_CENTROS_COSTO'!$A$4:$A$28,0)),""))&lt;&gt;"",IFERROR(INDEX('CAT_CENTROS_COSTO'!$E$4:$E$28,MATCH($F833,'CAT_CENTROS_COSTO'!$A$4:$A$28,0)),""),$Y833))</f>
        <v/>
      </c>
      <c r="AA833" s="24">
        <f>IF($F833="","",IFERROR(INDEX('CAT_CENTROS_COSTO'!$G$4:$G$28,MATCH($F833,'CAT_CENTROS_COSTO'!$A$4:$A$28,0)),"(sin catálogo)"))</f>
        <v/>
      </c>
      <c r="AB833" s="24">
        <f>IF($G833="","",IFERROR(INDEX('CAT_PUESTOS'!$B$4:$B$23,MATCH($G833,'CAT_PUESTOS'!$A$4:$A$23,0)),"(sin catálogo)"))</f>
        <v/>
      </c>
      <c r="AC833" s="24">
        <f>IF($H833="","",IFERROR(INDEX('CAT_ACTIVIDADES'!$B$4:$B$26,MATCH($H833,'CAT_ACTIVIDADES'!$A$4:$A$26,0)),"(sin catálogo)"))</f>
        <v/>
      </c>
      <c r="AD833" s="26">
        <f>IF($J833="","",TODAY()-$J833)</f>
        <v/>
      </c>
      <c r="AE833" s="26">
        <f>IF($J833="","",IF($J833&lt;=TODAY(),COUNTIFS(cal_fechas,"&gt;="&amp;$J833,cal_fechas,"&lt;"&amp;TODAY(),cal_habil,"sí"),-COUNTIFS(cal_fechas,"&gt;="&amp;TODAY(),cal_fechas,"&lt;"&amp;$J833,cal_habil,"sí")))</f>
        <v/>
      </c>
      <c r="AF833" s="24">
        <f>IF($AE833="","",IF($AE833&lt;0,"FUTURO",IF($AE833&gt;p_dias_backlog_max,"BACKLOG","MES CORRIENTE")))</f>
        <v/>
      </c>
      <c r="AG833" s="24">
        <f>IF($AE833="",FALSE,AND($AE833&gt;p_dias_backlog_min,$AE833&lt;=p_dias_backlog_max))</f>
        <v/>
      </c>
      <c r="AH833" s="4" t="n"/>
      <c r="AI833" s="24">
        <f>IF($AH833="","",IF((IFERROR(INDEX('ASIGNACIONES'!$J$4:$J$451,MATCH($O833&amp;"|"&amp;$S833&amp;"|"&amp;$AH833,'ASIGNACIONES'!$N$4:$N$451,0)),""))=0,"",IFERROR(INDEX('ASIGNACIONES'!$J$4:$J$451,MATCH($O833&amp;"|"&amp;$S833&amp;"|"&amp;$AH833,'ASIGNACIONES'!$N$4:$N$451,0)),"")))</f>
        <v/>
      </c>
      <c r="AJ833" s="42">
        <f>IF($AH833="","",SUMIFS('ORDENES'!$M$4:$M$1203,'ORDENES'!$AH$4:$AH$1203,$AH833,'ORDENES'!$O$4:$O$1203,$O833,'ORDENES'!$S$4:$S$1203,$S833))</f>
        <v/>
      </c>
      <c r="AK833" s="42">
        <f>IF($AJ833="","",p_factor_productividad*IFERROR(INDEX('ASIGNACIONES'!$M$4:$M$451,MATCH($O833&amp;"|"&amp;$S833&amp;"|"&amp;$AH833,'ASIGNACIONES'!$N$4:$N$451,0)),0)-$AJ833)</f>
        <v/>
      </c>
      <c r="AL833" s="32">
        <f>IF($A833="","",IFERROR(INDEX('2_IMPORTAR_EJECUCION'!$F$9:$F$1208,MATCH($AU833,'2_IMPORTAR_EJECUCION'!$J$9:$J$1208,0)),0))</f>
        <v/>
      </c>
      <c r="AM833" s="32">
        <f>IF($A833="","",MAX(0,IFERROR(INDEX('2_IMPORTAR_EJECUCION'!$H$9:$H$1208,MATCH($AU833,'2_IMPORTAR_EJECUCION'!$J$9:$J$1208,0)),0)-$AL833))</f>
        <v/>
      </c>
      <c r="AN833" s="32">
        <f>IF($A833="","",$AL833+$AM833)</f>
        <v/>
      </c>
      <c r="AO833" s="24">
        <f>IF($A833="","",IF(OR((IFERROR(INDEX('CAT_ACTIVIDADES'!$D$4:$D$26,MATCH($H833,'CAT_ACTIVIDADES'!$A$4:$A$26,0)),""))=0,(IFERROR(INDEX('CAT_ACTIVIDADES'!$D$4:$D$26,MATCH($H833,'CAT_ACTIVIDADES'!$A$4:$A$26,0)),""))=""),"SIN CLASIFICAR",IFERROR(INDEX('CAT_ACTIVIDADES'!$D$4:$D$26,MATCH($H833,'CAT_ACTIVIDADES'!$A$4:$A$26,0)),"")))</f>
        <v/>
      </c>
      <c r="AP833" s="4" t="n"/>
      <c r="AQ833" s="4" t="n"/>
      <c r="AR833" s="4" t="n"/>
      <c r="AS833" s="24">
        <f>IF($AR833="","",HYPERLINK(p_ruta_base_checklists&amp;$AR833,"abrir"))</f>
        <v/>
      </c>
      <c r="AT833" s="4" t="n"/>
      <c r="AU833" s="24">
        <f>IF($A833="","",$A833&amp;IF($B833="","0010",$B833))</f>
        <v/>
      </c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41" t="n"/>
      <c r="K834" s="5" t="n"/>
      <c r="L834" s="18" t="n"/>
      <c r="M834" s="24">
        <f>IF($A834="","",IFERROR(INDEX('AJUSTES'!$B$4:$B$303,MATCH($AU834,'AJUSTES'!$A$4:$A$303,0)),IF($K834="","",$K834)))</f>
        <v/>
      </c>
      <c r="N834" s="24">
        <f>IF($A834="","",IFERROR(INDEX('CAT_ESTADOS_ERP'!$B$4:$B$22,MATCH(IFERROR(INDEX('2_IMPORTAR_EJECUCION'!$C$9:$C$1208,MATCH($AU834,'2_IMPORTAR_EJECUCION'!$J$9:$J$1208,0)),""),'CAT_ESTADOS_ERP'!$A$4:$A$22,0)),"Pendiente"))</f>
        <v/>
      </c>
      <c r="O834" s="24">
        <f>IF($J834="","",YEAR($J834+4-WEEKDAY($J834,2))&amp;"-S"&amp;TEXT(_xlfn.ISOWEEKNUM($J834),"00"))</f>
        <v/>
      </c>
      <c r="P834" s="24">
        <f>IF($J834="","",YEAR($J834))</f>
        <v/>
      </c>
      <c r="Q834" s="24">
        <f>IF($J834="","",MONTH($J834))</f>
        <v/>
      </c>
      <c r="R834" s="24">
        <f>IF($J834="","",$P834&amp;"-"&amp;TEXT($Q834,"00"))</f>
        <v/>
      </c>
      <c r="S834" s="24">
        <f>IF($J834="","",INDEX(lista_dias,WEEKDAY($J834,2)))</f>
        <v/>
      </c>
      <c r="T834" s="24">
        <f>IF($J834="","",IFERROR(INDEX('CALENDARIO'!$C$15:$C$214,MATCH(TEXT($J834,"yyyy-mm-dd")&amp;"|"&amp;$Y834&amp;"|"&amp;$Z834,'CALENDARIO'!$G$15:$G$214,0)),IFERROR(INDEX('CALENDARIO'!$C$15:$C$214,MATCH(TEXT($J834,"yyyy-mm-dd")&amp;"|"&amp;$Y834&amp;"|",'CALENDARIO'!$G$15:$G$214,0)),IFERROR(INDEX('CALENDARIO'!$C$15:$C$214,MATCH(TEXT($J834,"yyyy-mm-dd")&amp;"||",'CALENDARIO'!$G$15:$G$214,0)),INDEX(patronHabil,WEEKDAY($J834,2))))))</f>
        <v/>
      </c>
      <c r="U834" s="24">
        <f>IF($I834="","",IFERROR(INDEX('CAT_TIPOS_OT'!$C$4:$C$23,MATCH($I834,'CAT_TIPOS_OT'!$A$4:$A$23,0)),"sin_clasificar"))</f>
        <v/>
      </c>
      <c r="V834" s="24">
        <f>IF($I834="","",IF(IFERROR(INDEX('CAT_TIPOS_OT'!$D$4:$D$23,MATCH($I834,'CAT_TIPOS_OT'!$A$4:$A$23,0)),"SIN CLASIFICAR")="","SIN CLASIFICAR",IFERROR(INDEX('CAT_TIPOS_OT'!$D$4:$D$23,MATCH($I834,'CAT_TIPOS_OT'!$A$4:$A$23,0)),"SIN CLASIFICAR")))</f>
        <v/>
      </c>
      <c r="W834" s="24">
        <f>IF($H834="","",IF(IFERROR(INDEX('CAT_ACTIVIDADES'!$F$4:$F$26,MATCH($H834,'CAT_ACTIVIDADES'!$A$4:$A$26,0)),"")=0,"",IFERROR(INDEX('CAT_ACTIVIDADES'!$F$4:$F$26,MATCH($H834,'CAT_ACTIVIDADES'!$A$4:$A$26,0)),"")))</f>
        <v/>
      </c>
      <c r="X834" s="24">
        <f>IF($F834="","",IFERROR(INDEX('CAT_CENTROS_COSTO'!$F$4:$F$28,MATCH($F834,'CAT_CENTROS_COSTO'!$A$4:$A$28,0)),"(sin catálogo)"))</f>
        <v/>
      </c>
      <c r="Y834" s="24">
        <f>IF($F834="","",IFERROR(INDEX('CAT_CENTROS_COSTO'!$D$4:$D$28,MATCH($F834,'CAT_CENTROS_COSTO'!$A$4:$A$28,0)),"(sin catálogo)"))</f>
        <v/>
      </c>
      <c r="Z834" s="24">
        <f>IF($F834="","",IF((IFERROR(INDEX('CAT_CENTROS_COSTO'!$E$4:$E$28,MATCH($F834,'CAT_CENTROS_COSTO'!$A$4:$A$28,0)),""))&lt;&gt;"",IFERROR(INDEX('CAT_CENTROS_COSTO'!$E$4:$E$28,MATCH($F834,'CAT_CENTROS_COSTO'!$A$4:$A$28,0)),""),$Y834))</f>
        <v/>
      </c>
      <c r="AA834" s="24">
        <f>IF($F834="","",IFERROR(INDEX('CAT_CENTROS_COSTO'!$G$4:$G$28,MATCH($F834,'CAT_CENTROS_COSTO'!$A$4:$A$28,0)),"(sin catálogo)"))</f>
        <v/>
      </c>
      <c r="AB834" s="24">
        <f>IF($G834="","",IFERROR(INDEX('CAT_PUESTOS'!$B$4:$B$23,MATCH($G834,'CAT_PUESTOS'!$A$4:$A$23,0)),"(sin catálogo)"))</f>
        <v/>
      </c>
      <c r="AC834" s="24">
        <f>IF($H834="","",IFERROR(INDEX('CAT_ACTIVIDADES'!$B$4:$B$26,MATCH($H834,'CAT_ACTIVIDADES'!$A$4:$A$26,0)),"(sin catálogo)"))</f>
        <v/>
      </c>
      <c r="AD834" s="26">
        <f>IF($J834="","",TODAY()-$J834)</f>
        <v/>
      </c>
      <c r="AE834" s="26">
        <f>IF($J834="","",IF($J834&lt;=TODAY(),COUNTIFS(cal_fechas,"&gt;="&amp;$J834,cal_fechas,"&lt;"&amp;TODAY(),cal_habil,"sí"),-COUNTIFS(cal_fechas,"&gt;="&amp;TODAY(),cal_fechas,"&lt;"&amp;$J834,cal_habil,"sí")))</f>
        <v/>
      </c>
      <c r="AF834" s="24">
        <f>IF($AE834="","",IF($AE834&lt;0,"FUTURO",IF($AE834&gt;p_dias_backlog_max,"BACKLOG","MES CORRIENTE")))</f>
        <v/>
      </c>
      <c r="AG834" s="24">
        <f>IF($AE834="",FALSE,AND($AE834&gt;p_dias_backlog_min,$AE834&lt;=p_dias_backlog_max))</f>
        <v/>
      </c>
      <c r="AH834" s="4" t="n"/>
      <c r="AI834" s="24">
        <f>IF($AH834="","",IF((IFERROR(INDEX('ASIGNACIONES'!$J$4:$J$451,MATCH($O834&amp;"|"&amp;$S834&amp;"|"&amp;$AH834,'ASIGNACIONES'!$N$4:$N$451,0)),""))=0,"",IFERROR(INDEX('ASIGNACIONES'!$J$4:$J$451,MATCH($O834&amp;"|"&amp;$S834&amp;"|"&amp;$AH834,'ASIGNACIONES'!$N$4:$N$451,0)),"")))</f>
        <v/>
      </c>
      <c r="AJ834" s="42">
        <f>IF($AH834="","",SUMIFS('ORDENES'!$M$4:$M$1203,'ORDENES'!$AH$4:$AH$1203,$AH834,'ORDENES'!$O$4:$O$1203,$O834,'ORDENES'!$S$4:$S$1203,$S834))</f>
        <v/>
      </c>
      <c r="AK834" s="42">
        <f>IF($AJ834="","",p_factor_productividad*IFERROR(INDEX('ASIGNACIONES'!$M$4:$M$451,MATCH($O834&amp;"|"&amp;$S834&amp;"|"&amp;$AH834,'ASIGNACIONES'!$N$4:$N$451,0)),0)-$AJ834)</f>
        <v/>
      </c>
      <c r="AL834" s="32">
        <f>IF($A834="","",IFERROR(INDEX('2_IMPORTAR_EJECUCION'!$F$9:$F$1208,MATCH($AU834,'2_IMPORTAR_EJECUCION'!$J$9:$J$1208,0)),0))</f>
        <v/>
      </c>
      <c r="AM834" s="32">
        <f>IF($A834="","",MAX(0,IFERROR(INDEX('2_IMPORTAR_EJECUCION'!$H$9:$H$1208,MATCH($AU834,'2_IMPORTAR_EJECUCION'!$J$9:$J$1208,0)),0)-$AL834))</f>
        <v/>
      </c>
      <c r="AN834" s="32">
        <f>IF($A834="","",$AL834+$AM834)</f>
        <v/>
      </c>
      <c r="AO834" s="24">
        <f>IF($A834="","",IF(OR((IFERROR(INDEX('CAT_ACTIVIDADES'!$D$4:$D$26,MATCH($H834,'CAT_ACTIVIDADES'!$A$4:$A$26,0)),""))=0,(IFERROR(INDEX('CAT_ACTIVIDADES'!$D$4:$D$26,MATCH($H834,'CAT_ACTIVIDADES'!$A$4:$A$26,0)),""))=""),"SIN CLASIFICAR",IFERROR(INDEX('CAT_ACTIVIDADES'!$D$4:$D$26,MATCH($H834,'CAT_ACTIVIDADES'!$A$4:$A$26,0)),"")))</f>
        <v/>
      </c>
      <c r="AP834" s="4" t="n"/>
      <c r="AQ834" s="4" t="n"/>
      <c r="AR834" s="4" t="n"/>
      <c r="AS834" s="24">
        <f>IF($AR834="","",HYPERLINK(p_ruta_base_checklists&amp;$AR834,"abrir"))</f>
        <v/>
      </c>
      <c r="AT834" s="4" t="n"/>
      <c r="AU834" s="24">
        <f>IF($A834="","",$A834&amp;IF($B834="","0010",$B834))</f>
        <v/>
      </c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41" t="n"/>
      <c r="K835" s="5" t="n"/>
      <c r="L835" s="18" t="n"/>
      <c r="M835" s="24">
        <f>IF($A835="","",IFERROR(INDEX('AJUSTES'!$B$4:$B$303,MATCH($AU835,'AJUSTES'!$A$4:$A$303,0)),IF($K835="","",$K835)))</f>
        <v/>
      </c>
      <c r="N835" s="24">
        <f>IF($A835="","",IFERROR(INDEX('CAT_ESTADOS_ERP'!$B$4:$B$22,MATCH(IFERROR(INDEX('2_IMPORTAR_EJECUCION'!$C$9:$C$1208,MATCH($AU835,'2_IMPORTAR_EJECUCION'!$J$9:$J$1208,0)),""),'CAT_ESTADOS_ERP'!$A$4:$A$22,0)),"Pendiente"))</f>
        <v/>
      </c>
      <c r="O835" s="24">
        <f>IF($J835="","",YEAR($J835+4-WEEKDAY($J835,2))&amp;"-S"&amp;TEXT(_xlfn.ISOWEEKNUM($J835),"00"))</f>
        <v/>
      </c>
      <c r="P835" s="24">
        <f>IF($J835="","",YEAR($J835))</f>
        <v/>
      </c>
      <c r="Q835" s="24">
        <f>IF($J835="","",MONTH($J835))</f>
        <v/>
      </c>
      <c r="R835" s="24">
        <f>IF($J835="","",$P835&amp;"-"&amp;TEXT($Q835,"00"))</f>
        <v/>
      </c>
      <c r="S835" s="24">
        <f>IF($J835="","",INDEX(lista_dias,WEEKDAY($J835,2)))</f>
        <v/>
      </c>
      <c r="T835" s="24">
        <f>IF($J835="","",IFERROR(INDEX('CALENDARIO'!$C$15:$C$214,MATCH(TEXT($J835,"yyyy-mm-dd")&amp;"|"&amp;$Y835&amp;"|"&amp;$Z835,'CALENDARIO'!$G$15:$G$214,0)),IFERROR(INDEX('CALENDARIO'!$C$15:$C$214,MATCH(TEXT($J835,"yyyy-mm-dd")&amp;"|"&amp;$Y835&amp;"|",'CALENDARIO'!$G$15:$G$214,0)),IFERROR(INDEX('CALENDARIO'!$C$15:$C$214,MATCH(TEXT($J835,"yyyy-mm-dd")&amp;"||",'CALENDARIO'!$G$15:$G$214,0)),INDEX(patronHabil,WEEKDAY($J835,2))))))</f>
        <v/>
      </c>
      <c r="U835" s="24">
        <f>IF($I835="","",IFERROR(INDEX('CAT_TIPOS_OT'!$C$4:$C$23,MATCH($I835,'CAT_TIPOS_OT'!$A$4:$A$23,0)),"sin_clasificar"))</f>
        <v/>
      </c>
      <c r="V835" s="24">
        <f>IF($I835="","",IF(IFERROR(INDEX('CAT_TIPOS_OT'!$D$4:$D$23,MATCH($I835,'CAT_TIPOS_OT'!$A$4:$A$23,0)),"SIN CLASIFICAR")="","SIN CLASIFICAR",IFERROR(INDEX('CAT_TIPOS_OT'!$D$4:$D$23,MATCH($I835,'CAT_TIPOS_OT'!$A$4:$A$23,0)),"SIN CLASIFICAR")))</f>
        <v/>
      </c>
      <c r="W835" s="24">
        <f>IF($H835="","",IF(IFERROR(INDEX('CAT_ACTIVIDADES'!$F$4:$F$26,MATCH($H835,'CAT_ACTIVIDADES'!$A$4:$A$26,0)),"")=0,"",IFERROR(INDEX('CAT_ACTIVIDADES'!$F$4:$F$26,MATCH($H835,'CAT_ACTIVIDADES'!$A$4:$A$26,0)),"")))</f>
        <v/>
      </c>
      <c r="X835" s="24">
        <f>IF($F835="","",IFERROR(INDEX('CAT_CENTROS_COSTO'!$F$4:$F$28,MATCH($F835,'CAT_CENTROS_COSTO'!$A$4:$A$28,0)),"(sin catálogo)"))</f>
        <v/>
      </c>
      <c r="Y835" s="24">
        <f>IF($F835="","",IFERROR(INDEX('CAT_CENTROS_COSTO'!$D$4:$D$28,MATCH($F835,'CAT_CENTROS_COSTO'!$A$4:$A$28,0)),"(sin catálogo)"))</f>
        <v/>
      </c>
      <c r="Z835" s="24">
        <f>IF($F835="","",IF((IFERROR(INDEX('CAT_CENTROS_COSTO'!$E$4:$E$28,MATCH($F835,'CAT_CENTROS_COSTO'!$A$4:$A$28,0)),""))&lt;&gt;"",IFERROR(INDEX('CAT_CENTROS_COSTO'!$E$4:$E$28,MATCH($F835,'CAT_CENTROS_COSTO'!$A$4:$A$28,0)),""),$Y835))</f>
        <v/>
      </c>
      <c r="AA835" s="24">
        <f>IF($F835="","",IFERROR(INDEX('CAT_CENTROS_COSTO'!$G$4:$G$28,MATCH($F835,'CAT_CENTROS_COSTO'!$A$4:$A$28,0)),"(sin catálogo)"))</f>
        <v/>
      </c>
      <c r="AB835" s="24">
        <f>IF($G835="","",IFERROR(INDEX('CAT_PUESTOS'!$B$4:$B$23,MATCH($G835,'CAT_PUESTOS'!$A$4:$A$23,0)),"(sin catálogo)"))</f>
        <v/>
      </c>
      <c r="AC835" s="24">
        <f>IF($H835="","",IFERROR(INDEX('CAT_ACTIVIDADES'!$B$4:$B$26,MATCH($H835,'CAT_ACTIVIDADES'!$A$4:$A$26,0)),"(sin catálogo)"))</f>
        <v/>
      </c>
      <c r="AD835" s="26">
        <f>IF($J835="","",TODAY()-$J835)</f>
        <v/>
      </c>
      <c r="AE835" s="26">
        <f>IF($J835="","",IF($J835&lt;=TODAY(),COUNTIFS(cal_fechas,"&gt;="&amp;$J835,cal_fechas,"&lt;"&amp;TODAY(),cal_habil,"sí"),-COUNTIFS(cal_fechas,"&gt;="&amp;TODAY(),cal_fechas,"&lt;"&amp;$J835,cal_habil,"sí")))</f>
        <v/>
      </c>
      <c r="AF835" s="24">
        <f>IF($AE835="","",IF($AE835&lt;0,"FUTURO",IF($AE835&gt;p_dias_backlog_max,"BACKLOG","MES CORRIENTE")))</f>
        <v/>
      </c>
      <c r="AG835" s="24">
        <f>IF($AE835="",FALSE,AND($AE835&gt;p_dias_backlog_min,$AE835&lt;=p_dias_backlog_max))</f>
        <v/>
      </c>
      <c r="AH835" s="4" t="n"/>
      <c r="AI835" s="24">
        <f>IF($AH835="","",IF((IFERROR(INDEX('ASIGNACIONES'!$J$4:$J$451,MATCH($O835&amp;"|"&amp;$S835&amp;"|"&amp;$AH835,'ASIGNACIONES'!$N$4:$N$451,0)),""))=0,"",IFERROR(INDEX('ASIGNACIONES'!$J$4:$J$451,MATCH($O835&amp;"|"&amp;$S835&amp;"|"&amp;$AH835,'ASIGNACIONES'!$N$4:$N$451,0)),"")))</f>
        <v/>
      </c>
      <c r="AJ835" s="42">
        <f>IF($AH835="","",SUMIFS('ORDENES'!$M$4:$M$1203,'ORDENES'!$AH$4:$AH$1203,$AH835,'ORDENES'!$O$4:$O$1203,$O835,'ORDENES'!$S$4:$S$1203,$S835))</f>
        <v/>
      </c>
      <c r="AK835" s="42">
        <f>IF($AJ835="","",p_factor_productividad*IFERROR(INDEX('ASIGNACIONES'!$M$4:$M$451,MATCH($O835&amp;"|"&amp;$S835&amp;"|"&amp;$AH835,'ASIGNACIONES'!$N$4:$N$451,0)),0)-$AJ835)</f>
        <v/>
      </c>
      <c r="AL835" s="32">
        <f>IF($A835="","",IFERROR(INDEX('2_IMPORTAR_EJECUCION'!$F$9:$F$1208,MATCH($AU835,'2_IMPORTAR_EJECUCION'!$J$9:$J$1208,0)),0))</f>
        <v/>
      </c>
      <c r="AM835" s="32">
        <f>IF($A835="","",MAX(0,IFERROR(INDEX('2_IMPORTAR_EJECUCION'!$H$9:$H$1208,MATCH($AU835,'2_IMPORTAR_EJECUCION'!$J$9:$J$1208,0)),0)-$AL835))</f>
        <v/>
      </c>
      <c r="AN835" s="32">
        <f>IF($A835="","",$AL835+$AM835)</f>
        <v/>
      </c>
      <c r="AO835" s="24">
        <f>IF($A835="","",IF(OR((IFERROR(INDEX('CAT_ACTIVIDADES'!$D$4:$D$26,MATCH($H835,'CAT_ACTIVIDADES'!$A$4:$A$26,0)),""))=0,(IFERROR(INDEX('CAT_ACTIVIDADES'!$D$4:$D$26,MATCH($H835,'CAT_ACTIVIDADES'!$A$4:$A$26,0)),""))=""),"SIN CLASIFICAR",IFERROR(INDEX('CAT_ACTIVIDADES'!$D$4:$D$26,MATCH($H835,'CAT_ACTIVIDADES'!$A$4:$A$26,0)),"")))</f>
        <v/>
      </c>
      <c r="AP835" s="4" t="n"/>
      <c r="AQ835" s="4" t="n"/>
      <c r="AR835" s="4" t="n"/>
      <c r="AS835" s="24">
        <f>IF($AR835="","",HYPERLINK(p_ruta_base_checklists&amp;$AR835,"abrir"))</f>
        <v/>
      </c>
      <c r="AT835" s="4" t="n"/>
      <c r="AU835" s="24">
        <f>IF($A835="","",$A835&amp;IF($B835="","0010",$B835))</f>
        <v/>
      </c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41" t="n"/>
      <c r="K836" s="5" t="n"/>
      <c r="L836" s="18" t="n"/>
      <c r="M836" s="24">
        <f>IF($A836="","",IFERROR(INDEX('AJUSTES'!$B$4:$B$303,MATCH($AU836,'AJUSTES'!$A$4:$A$303,0)),IF($K836="","",$K836)))</f>
        <v/>
      </c>
      <c r="N836" s="24">
        <f>IF($A836="","",IFERROR(INDEX('CAT_ESTADOS_ERP'!$B$4:$B$22,MATCH(IFERROR(INDEX('2_IMPORTAR_EJECUCION'!$C$9:$C$1208,MATCH($AU836,'2_IMPORTAR_EJECUCION'!$J$9:$J$1208,0)),""),'CAT_ESTADOS_ERP'!$A$4:$A$22,0)),"Pendiente"))</f>
        <v/>
      </c>
      <c r="O836" s="24">
        <f>IF($J836="","",YEAR($J836+4-WEEKDAY($J836,2))&amp;"-S"&amp;TEXT(_xlfn.ISOWEEKNUM($J836),"00"))</f>
        <v/>
      </c>
      <c r="P836" s="24">
        <f>IF($J836="","",YEAR($J836))</f>
        <v/>
      </c>
      <c r="Q836" s="24">
        <f>IF($J836="","",MONTH($J836))</f>
        <v/>
      </c>
      <c r="R836" s="24">
        <f>IF($J836="","",$P836&amp;"-"&amp;TEXT($Q836,"00"))</f>
        <v/>
      </c>
      <c r="S836" s="24">
        <f>IF($J836="","",INDEX(lista_dias,WEEKDAY($J836,2)))</f>
        <v/>
      </c>
      <c r="T836" s="24">
        <f>IF($J836="","",IFERROR(INDEX('CALENDARIO'!$C$15:$C$214,MATCH(TEXT($J836,"yyyy-mm-dd")&amp;"|"&amp;$Y836&amp;"|"&amp;$Z836,'CALENDARIO'!$G$15:$G$214,0)),IFERROR(INDEX('CALENDARIO'!$C$15:$C$214,MATCH(TEXT($J836,"yyyy-mm-dd")&amp;"|"&amp;$Y836&amp;"|",'CALENDARIO'!$G$15:$G$214,0)),IFERROR(INDEX('CALENDARIO'!$C$15:$C$214,MATCH(TEXT($J836,"yyyy-mm-dd")&amp;"||",'CALENDARIO'!$G$15:$G$214,0)),INDEX(patronHabil,WEEKDAY($J836,2))))))</f>
        <v/>
      </c>
      <c r="U836" s="24">
        <f>IF($I836="","",IFERROR(INDEX('CAT_TIPOS_OT'!$C$4:$C$23,MATCH($I836,'CAT_TIPOS_OT'!$A$4:$A$23,0)),"sin_clasificar"))</f>
        <v/>
      </c>
      <c r="V836" s="24">
        <f>IF($I836="","",IF(IFERROR(INDEX('CAT_TIPOS_OT'!$D$4:$D$23,MATCH($I836,'CAT_TIPOS_OT'!$A$4:$A$23,0)),"SIN CLASIFICAR")="","SIN CLASIFICAR",IFERROR(INDEX('CAT_TIPOS_OT'!$D$4:$D$23,MATCH($I836,'CAT_TIPOS_OT'!$A$4:$A$23,0)),"SIN CLASIFICAR")))</f>
        <v/>
      </c>
      <c r="W836" s="24">
        <f>IF($H836="","",IF(IFERROR(INDEX('CAT_ACTIVIDADES'!$F$4:$F$26,MATCH($H836,'CAT_ACTIVIDADES'!$A$4:$A$26,0)),"")=0,"",IFERROR(INDEX('CAT_ACTIVIDADES'!$F$4:$F$26,MATCH($H836,'CAT_ACTIVIDADES'!$A$4:$A$26,0)),"")))</f>
        <v/>
      </c>
      <c r="X836" s="24">
        <f>IF($F836="","",IFERROR(INDEX('CAT_CENTROS_COSTO'!$F$4:$F$28,MATCH($F836,'CAT_CENTROS_COSTO'!$A$4:$A$28,0)),"(sin catálogo)"))</f>
        <v/>
      </c>
      <c r="Y836" s="24">
        <f>IF($F836="","",IFERROR(INDEX('CAT_CENTROS_COSTO'!$D$4:$D$28,MATCH($F836,'CAT_CENTROS_COSTO'!$A$4:$A$28,0)),"(sin catálogo)"))</f>
        <v/>
      </c>
      <c r="Z836" s="24">
        <f>IF($F836="","",IF((IFERROR(INDEX('CAT_CENTROS_COSTO'!$E$4:$E$28,MATCH($F836,'CAT_CENTROS_COSTO'!$A$4:$A$28,0)),""))&lt;&gt;"",IFERROR(INDEX('CAT_CENTROS_COSTO'!$E$4:$E$28,MATCH($F836,'CAT_CENTROS_COSTO'!$A$4:$A$28,0)),""),$Y836))</f>
        <v/>
      </c>
      <c r="AA836" s="24">
        <f>IF($F836="","",IFERROR(INDEX('CAT_CENTROS_COSTO'!$G$4:$G$28,MATCH($F836,'CAT_CENTROS_COSTO'!$A$4:$A$28,0)),"(sin catálogo)"))</f>
        <v/>
      </c>
      <c r="AB836" s="24">
        <f>IF($G836="","",IFERROR(INDEX('CAT_PUESTOS'!$B$4:$B$23,MATCH($G836,'CAT_PUESTOS'!$A$4:$A$23,0)),"(sin catálogo)"))</f>
        <v/>
      </c>
      <c r="AC836" s="24">
        <f>IF($H836="","",IFERROR(INDEX('CAT_ACTIVIDADES'!$B$4:$B$26,MATCH($H836,'CAT_ACTIVIDADES'!$A$4:$A$26,0)),"(sin catálogo)"))</f>
        <v/>
      </c>
      <c r="AD836" s="26">
        <f>IF($J836="","",TODAY()-$J836)</f>
        <v/>
      </c>
      <c r="AE836" s="26">
        <f>IF($J836="","",IF($J836&lt;=TODAY(),COUNTIFS(cal_fechas,"&gt;="&amp;$J836,cal_fechas,"&lt;"&amp;TODAY(),cal_habil,"sí"),-COUNTIFS(cal_fechas,"&gt;="&amp;TODAY(),cal_fechas,"&lt;"&amp;$J836,cal_habil,"sí")))</f>
        <v/>
      </c>
      <c r="AF836" s="24">
        <f>IF($AE836="","",IF($AE836&lt;0,"FUTURO",IF($AE836&gt;p_dias_backlog_max,"BACKLOG","MES CORRIENTE")))</f>
        <v/>
      </c>
      <c r="AG836" s="24">
        <f>IF($AE836="",FALSE,AND($AE836&gt;p_dias_backlog_min,$AE836&lt;=p_dias_backlog_max))</f>
        <v/>
      </c>
      <c r="AH836" s="4" t="n"/>
      <c r="AI836" s="24">
        <f>IF($AH836="","",IF((IFERROR(INDEX('ASIGNACIONES'!$J$4:$J$451,MATCH($O836&amp;"|"&amp;$S836&amp;"|"&amp;$AH836,'ASIGNACIONES'!$N$4:$N$451,0)),""))=0,"",IFERROR(INDEX('ASIGNACIONES'!$J$4:$J$451,MATCH($O836&amp;"|"&amp;$S836&amp;"|"&amp;$AH836,'ASIGNACIONES'!$N$4:$N$451,0)),"")))</f>
        <v/>
      </c>
      <c r="AJ836" s="42">
        <f>IF($AH836="","",SUMIFS('ORDENES'!$M$4:$M$1203,'ORDENES'!$AH$4:$AH$1203,$AH836,'ORDENES'!$O$4:$O$1203,$O836,'ORDENES'!$S$4:$S$1203,$S836))</f>
        <v/>
      </c>
      <c r="AK836" s="42">
        <f>IF($AJ836="","",p_factor_productividad*IFERROR(INDEX('ASIGNACIONES'!$M$4:$M$451,MATCH($O836&amp;"|"&amp;$S836&amp;"|"&amp;$AH836,'ASIGNACIONES'!$N$4:$N$451,0)),0)-$AJ836)</f>
        <v/>
      </c>
      <c r="AL836" s="32">
        <f>IF($A836="","",IFERROR(INDEX('2_IMPORTAR_EJECUCION'!$F$9:$F$1208,MATCH($AU836,'2_IMPORTAR_EJECUCION'!$J$9:$J$1208,0)),0))</f>
        <v/>
      </c>
      <c r="AM836" s="32">
        <f>IF($A836="","",MAX(0,IFERROR(INDEX('2_IMPORTAR_EJECUCION'!$H$9:$H$1208,MATCH($AU836,'2_IMPORTAR_EJECUCION'!$J$9:$J$1208,0)),0)-$AL836))</f>
        <v/>
      </c>
      <c r="AN836" s="32">
        <f>IF($A836="","",$AL836+$AM836)</f>
        <v/>
      </c>
      <c r="AO836" s="24">
        <f>IF($A836="","",IF(OR((IFERROR(INDEX('CAT_ACTIVIDADES'!$D$4:$D$26,MATCH($H836,'CAT_ACTIVIDADES'!$A$4:$A$26,0)),""))=0,(IFERROR(INDEX('CAT_ACTIVIDADES'!$D$4:$D$26,MATCH($H836,'CAT_ACTIVIDADES'!$A$4:$A$26,0)),""))=""),"SIN CLASIFICAR",IFERROR(INDEX('CAT_ACTIVIDADES'!$D$4:$D$26,MATCH($H836,'CAT_ACTIVIDADES'!$A$4:$A$26,0)),"")))</f>
        <v/>
      </c>
      <c r="AP836" s="4" t="n"/>
      <c r="AQ836" s="4" t="n"/>
      <c r="AR836" s="4" t="n"/>
      <c r="AS836" s="24">
        <f>IF($AR836="","",HYPERLINK(p_ruta_base_checklists&amp;$AR836,"abrir"))</f>
        <v/>
      </c>
      <c r="AT836" s="4" t="n"/>
      <c r="AU836" s="24">
        <f>IF($A836="","",$A836&amp;IF($B836="","0010",$B836))</f>
        <v/>
      </c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41" t="n"/>
      <c r="K837" s="5" t="n"/>
      <c r="L837" s="18" t="n"/>
      <c r="M837" s="24">
        <f>IF($A837="","",IFERROR(INDEX('AJUSTES'!$B$4:$B$303,MATCH($AU837,'AJUSTES'!$A$4:$A$303,0)),IF($K837="","",$K837)))</f>
        <v/>
      </c>
      <c r="N837" s="24">
        <f>IF($A837="","",IFERROR(INDEX('CAT_ESTADOS_ERP'!$B$4:$B$22,MATCH(IFERROR(INDEX('2_IMPORTAR_EJECUCION'!$C$9:$C$1208,MATCH($AU837,'2_IMPORTAR_EJECUCION'!$J$9:$J$1208,0)),""),'CAT_ESTADOS_ERP'!$A$4:$A$22,0)),"Pendiente"))</f>
        <v/>
      </c>
      <c r="O837" s="24">
        <f>IF($J837="","",YEAR($J837+4-WEEKDAY($J837,2))&amp;"-S"&amp;TEXT(_xlfn.ISOWEEKNUM($J837),"00"))</f>
        <v/>
      </c>
      <c r="P837" s="24">
        <f>IF($J837="","",YEAR($J837))</f>
        <v/>
      </c>
      <c r="Q837" s="24">
        <f>IF($J837="","",MONTH($J837))</f>
        <v/>
      </c>
      <c r="R837" s="24">
        <f>IF($J837="","",$P837&amp;"-"&amp;TEXT($Q837,"00"))</f>
        <v/>
      </c>
      <c r="S837" s="24">
        <f>IF($J837="","",INDEX(lista_dias,WEEKDAY($J837,2)))</f>
        <v/>
      </c>
      <c r="T837" s="24">
        <f>IF($J837="","",IFERROR(INDEX('CALENDARIO'!$C$15:$C$214,MATCH(TEXT($J837,"yyyy-mm-dd")&amp;"|"&amp;$Y837&amp;"|"&amp;$Z837,'CALENDARIO'!$G$15:$G$214,0)),IFERROR(INDEX('CALENDARIO'!$C$15:$C$214,MATCH(TEXT($J837,"yyyy-mm-dd")&amp;"|"&amp;$Y837&amp;"|",'CALENDARIO'!$G$15:$G$214,0)),IFERROR(INDEX('CALENDARIO'!$C$15:$C$214,MATCH(TEXT($J837,"yyyy-mm-dd")&amp;"||",'CALENDARIO'!$G$15:$G$214,0)),INDEX(patronHabil,WEEKDAY($J837,2))))))</f>
        <v/>
      </c>
      <c r="U837" s="24">
        <f>IF($I837="","",IFERROR(INDEX('CAT_TIPOS_OT'!$C$4:$C$23,MATCH($I837,'CAT_TIPOS_OT'!$A$4:$A$23,0)),"sin_clasificar"))</f>
        <v/>
      </c>
      <c r="V837" s="24">
        <f>IF($I837="","",IF(IFERROR(INDEX('CAT_TIPOS_OT'!$D$4:$D$23,MATCH($I837,'CAT_TIPOS_OT'!$A$4:$A$23,0)),"SIN CLASIFICAR")="","SIN CLASIFICAR",IFERROR(INDEX('CAT_TIPOS_OT'!$D$4:$D$23,MATCH($I837,'CAT_TIPOS_OT'!$A$4:$A$23,0)),"SIN CLASIFICAR")))</f>
        <v/>
      </c>
      <c r="W837" s="24">
        <f>IF($H837="","",IF(IFERROR(INDEX('CAT_ACTIVIDADES'!$F$4:$F$26,MATCH($H837,'CAT_ACTIVIDADES'!$A$4:$A$26,0)),"")=0,"",IFERROR(INDEX('CAT_ACTIVIDADES'!$F$4:$F$26,MATCH($H837,'CAT_ACTIVIDADES'!$A$4:$A$26,0)),"")))</f>
        <v/>
      </c>
      <c r="X837" s="24">
        <f>IF($F837="","",IFERROR(INDEX('CAT_CENTROS_COSTO'!$F$4:$F$28,MATCH($F837,'CAT_CENTROS_COSTO'!$A$4:$A$28,0)),"(sin catálogo)"))</f>
        <v/>
      </c>
      <c r="Y837" s="24">
        <f>IF($F837="","",IFERROR(INDEX('CAT_CENTROS_COSTO'!$D$4:$D$28,MATCH($F837,'CAT_CENTROS_COSTO'!$A$4:$A$28,0)),"(sin catálogo)"))</f>
        <v/>
      </c>
      <c r="Z837" s="24">
        <f>IF($F837="","",IF((IFERROR(INDEX('CAT_CENTROS_COSTO'!$E$4:$E$28,MATCH($F837,'CAT_CENTROS_COSTO'!$A$4:$A$28,0)),""))&lt;&gt;"",IFERROR(INDEX('CAT_CENTROS_COSTO'!$E$4:$E$28,MATCH($F837,'CAT_CENTROS_COSTO'!$A$4:$A$28,0)),""),$Y837))</f>
        <v/>
      </c>
      <c r="AA837" s="24">
        <f>IF($F837="","",IFERROR(INDEX('CAT_CENTROS_COSTO'!$G$4:$G$28,MATCH($F837,'CAT_CENTROS_COSTO'!$A$4:$A$28,0)),"(sin catálogo)"))</f>
        <v/>
      </c>
      <c r="AB837" s="24">
        <f>IF($G837="","",IFERROR(INDEX('CAT_PUESTOS'!$B$4:$B$23,MATCH($G837,'CAT_PUESTOS'!$A$4:$A$23,0)),"(sin catálogo)"))</f>
        <v/>
      </c>
      <c r="AC837" s="24">
        <f>IF($H837="","",IFERROR(INDEX('CAT_ACTIVIDADES'!$B$4:$B$26,MATCH($H837,'CAT_ACTIVIDADES'!$A$4:$A$26,0)),"(sin catálogo)"))</f>
        <v/>
      </c>
      <c r="AD837" s="26">
        <f>IF($J837="","",TODAY()-$J837)</f>
        <v/>
      </c>
      <c r="AE837" s="26">
        <f>IF($J837="","",IF($J837&lt;=TODAY(),COUNTIFS(cal_fechas,"&gt;="&amp;$J837,cal_fechas,"&lt;"&amp;TODAY(),cal_habil,"sí"),-COUNTIFS(cal_fechas,"&gt;="&amp;TODAY(),cal_fechas,"&lt;"&amp;$J837,cal_habil,"sí")))</f>
        <v/>
      </c>
      <c r="AF837" s="24">
        <f>IF($AE837="","",IF($AE837&lt;0,"FUTURO",IF($AE837&gt;p_dias_backlog_max,"BACKLOG","MES CORRIENTE")))</f>
        <v/>
      </c>
      <c r="AG837" s="24">
        <f>IF($AE837="",FALSE,AND($AE837&gt;p_dias_backlog_min,$AE837&lt;=p_dias_backlog_max))</f>
        <v/>
      </c>
      <c r="AH837" s="4" t="n"/>
      <c r="AI837" s="24">
        <f>IF($AH837="","",IF((IFERROR(INDEX('ASIGNACIONES'!$J$4:$J$451,MATCH($O837&amp;"|"&amp;$S837&amp;"|"&amp;$AH837,'ASIGNACIONES'!$N$4:$N$451,0)),""))=0,"",IFERROR(INDEX('ASIGNACIONES'!$J$4:$J$451,MATCH($O837&amp;"|"&amp;$S837&amp;"|"&amp;$AH837,'ASIGNACIONES'!$N$4:$N$451,0)),"")))</f>
        <v/>
      </c>
      <c r="AJ837" s="42">
        <f>IF($AH837="","",SUMIFS('ORDENES'!$M$4:$M$1203,'ORDENES'!$AH$4:$AH$1203,$AH837,'ORDENES'!$O$4:$O$1203,$O837,'ORDENES'!$S$4:$S$1203,$S837))</f>
        <v/>
      </c>
      <c r="AK837" s="42">
        <f>IF($AJ837="","",p_factor_productividad*IFERROR(INDEX('ASIGNACIONES'!$M$4:$M$451,MATCH($O837&amp;"|"&amp;$S837&amp;"|"&amp;$AH837,'ASIGNACIONES'!$N$4:$N$451,0)),0)-$AJ837)</f>
        <v/>
      </c>
      <c r="AL837" s="32">
        <f>IF($A837="","",IFERROR(INDEX('2_IMPORTAR_EJECUCION'!$F$9:$F$1208,MATCH($AU837,'2_IMPORTAR_EJECUCION'!$J$9:$J$1208,0)),0))</f>
        <v/>
      </c>
      <c r="AM837" s="32">
        <f>IF($A837="","",MAX(0,IFERROR(INDEX('2_IMPORTAR_EJECUCION'!$H$9:$H$1208,MATCH($AU837,'2_IMPORTAR_EJECUCION'!$J$9:$J$1208,0)),0)-$AL837))</f>
        <v/>
      </c>
      <c r="AN837" s="32">
        <f>IF($A837="","",$AL837+$AM837)</f>
        <v/>
      </c>
      <c r="AO837" s="24">
        <f>IF($A837="","",IF(OR((IFERROR(INDEX('CAT_ACTIVIDADES'!$D$4:$D$26,MATCH($H837,'CAT_ACTIVIDADES'!$A$4:$A$26,0)),""))=0,(IFERROR(INDEX('CAT_ACTIVIDADES'!$D$4:$D$26,MATCH($H837,'CAT_ACTIVIDADES'!$A$4:$A$26,0)),""))=""),"SIN CLASIFICAR",IFERROR(INDEX('CAT_ACTIVIDADES'!$D$4:$D$26,MATCH($H837,'CAT_ACTIVIDADES'!$A$4:$A$26,0)),"")))</f>
        <v/>
      </c>
      <c r="AP837" s="4" t="n"/>
      <c r="AQ837" s="4" t="n"/>
      <c r="AR837" s="4" t="n"/>
      <c r="AS837" s="24">
        <f>IF($AR837="","",HYPERLINK(p_ruta_base_checklists&amp;$AR837,"abrir"))</f>
        <v/>
      </c>
      <c r="AT837" s="4" t="n"/>
      <c r="AU837" s="24">
        <f>IF($A837="","",$A837&amp;IF($B837="","0010",$B837))</f>
        <v/>
      </c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41" t="n"/>
      <c r="K838" s="5" t="n"/>
      <c r="L838" s="18" t="n"/>
      <c r="M838" s="24">
        <f>IF($A838="","",IFERROR(INDEX('AJUSTES'!$B$4:$B$303,MATCH($AU838,'AJUSTES'!$A$4:$A$303,0)),IF($K838="","",$K838)))</f>
        <v/>
      </c>
      <c r="N838" s="24">
        <f>IF($A838="","",IFERROR(INDEX('CAT_ESTADOS_ERP'!$B$4:$B$22,MATCH(IFERROR(INDEX('2_IMPORTAR_EJECUCION'!$C$9:$C$1208,MATCH($AU838,'2_IMPORTAR_EJECUCION'!$J$9:$J$1208,0)),""),'CAT_ESTADOS_ERP'!$A$4:$A$22,0)),"Pendiente"))</f>
        <v/>
      </c>
      <c r="O838" s="24">
        <f>IF($J838="","",YEAR($J838+4-WEEKDAY($J838,2))&amp;"-S"&amp;TEXT(_xlfn.ISOWEEKNUM($J838),"00"))</f>
        <v/>
      </c>
      <c r="P838" s="24">
        <f>IF($J838="","",YEAR($J838))</f>
        <v/>
      </c>
      <c r="Q838" s="24">
        <f>IF($J838="","",MONTH($J838))</f>
        <v/>
      </c>
      <c r="R838" s="24">
        <f>IF($J838="","",$P838&amp;"-"&amp;TEXT($Q838,"00"))</f>
        <v/>
      </c>
      <c r="S838" s="24">
        <f>IF($J838="","",INDEX(lista_dias,WEEKDAY($J838,2)))</f>
        <v/>
      </c>
      <c r="T838" s="24">
        <f>IF($J838="","",IFERROR(INDEX('CALENDARIO'!$C$15:$C$214,MATCH(TEXT($J838,"yyyy-mm-dd")&amp;"|"&amp;$Y838&amp;"|"&amp;$Z838,'CALENDARIO'!$G$15:$G$214,0)),IFERROR(INDEX('CALENDARIO'!$C$15:$C$214,MATCH(TEXT($J838,"yyyy-mm-dd")&amp;"|"&amp;$Y838&amp;"|",'CALENDARIO'!$G$15:$G$214,0)),IFERROR(INDEX('CALENDARIO'!$C$15:$C$214,MATCH(TEXT($J838,"yyyy-mm-dd")&amp;"||",'CALENDARIO'!$G$15:$G$214,0)),INDEX(patronHabil,WEEKDAY($J838,2))))))</f>
        <v/>
      </c>
      <c r="U838" s="24">
        <f>IF($I838="","",IFERROR(INDEX('CAT_TIPOS_OT'!$C$4:$C$23,MATCH($I838,'CAT_TIPOS_OT'!$A$4:$A$23,0)),"sin_clasificar"))</f>
        <v/>
      </c>
      <c r="V838" s="24">
        <f>IF($I838="","",IF(IFERROR(INDEX('CAT_TIPOS_OT'!$D$4:$D$23,MATCH($I838,'CAT_TIPOS_OT'!$A$4:$A$23,0)),"SIN CLASIFICAR")="","SIN CLASIFICAR",IFERROR(INDEX('CAT_TIPOS_OT'!$D$4:$D$23,MATCH($I838,'CAT_TIPOS_OT'!$A$4:$A$23,0)),"SIN CLASIFICAR")))</f>
        <v/>
      </c>
      <c r="W838" s="24">
        <f>IF($H838="","",IF(IFERROR(INDEX('CAT_ACTIVIDADES'!$F$4:$F$26,MATCH($H838,'CAT_ACTIVIDADES'!$A$4:$A$26,0)),"")=0,"",IFERROR(INDEX('CAT_ACTIVIDADES'!$F$4:$F$26,MATCH($H838,'CAT_ACTIVIDADES'!$A$4:$A$26,0)),"")))</f>
        <v/>
      </c>
      <c r="X838" s="24">
        <f>IF($F838="","",IFERROR(INDEX('CAT_CENTROS_COSTO'!$F$4:$F$28,MATCH($F838,'CAT_CENTROS_COSTO'!$A$4:$A$28,0)),"(sin catálogo)"))</f>
        <v/>
      </c>
      <c r="Y838" s="24">
        <f>IF($F838="","",IFERROR(INDEX('CAT_CENTROS_COSTO'!$D$4:$D$28,MATCH($F838,'CAT_CENTROS_COSTO'!$A$4:$A$28,0)),"(sin catálogo)"))</f>
        <v/>
      </c>
      <c r="Z838" s="24">
        <f>IF($F838="","",IF((IFERROR(INDEX('CAT_CENTROS_COSTO'!$E$4:$E$28,MATCH($F838,'CAT_CENTROS_COSTO'!$A$4:$A$28,0)),""))&lt;&gt;"",IFERROR(INDEX('CAT_CENTROS_COSTO'!$E$4:$E$28,MATCH($F838,'CAT_CENTROS_COSTO'!$A$4:$A$28,0)),""),$Y838))</f>
        <v/>
      </c>
      <c r="AA838" s="24">
        <f>IF($F838="","",IFERROR(INDEX('CAT_CENTROS_COSTO'!$G$4:$G$28,MATCH($F838,'CAT_CENTROS_COSTO'!$A$4:$A$28,0)),"(sin catálogo)"))</f>
        <v/>
      </c>
      <c r="AB838" s="24">
        <f>IF($G838="","",IFERROR(INDEX('CAT_PUESTOS'!$B$4:$B$23,MATCH($G838,'CAT_PUESTOS'!$A$4:$A$23,0)),"(sin catálogo)"))</f>
        <v/>
      </c>
      <c r="AC838" s="24">
        <f>IF($H838="","",IFERROR(INDEX('CAT_ACTIVIDADES'!$B$4:$B$26,MATCH($H838,'CAT_ACTIVIDADES'!$A$4:$A$26,0)),"(sin catálogo)"))</f>
        <v/>
      </c>
      <c r="AD838" s="26">
        <f>IF($J838="","",TODAY()-$J838)</f>
        <v/>
      </c>
      <c r="AE838" s="26">
        <f>IF($J838="","",IF($J838&lt;=TODAY(),COUNTIFS(cal_fechas,"&gt;="&amp;$J838,cal_fechas,"&lt;"&amp;TODAY(),cal_habil,"sí"),-COUNTIFS(cal_fechas,"&gt;="&amp;TODAY(),cal_fechas,"&lt;"&amp;$J838,cal_habil,"sí")))</f>
        <v/>
      </c>
      <c r="AF838" s="24">
        <f>IF($AE838="","",IF($AE838&lt;0,"FUTURO",IF($AE838&gt;p_dias_backlog_max,"BACKLOG","MES CORRIENTE")))</f>
        <v/>
      </c>
      <c r="AG838" s="24">
        <f>IF($AE838="",FALSE,AND($AE838&gt;p_dias_backlog_min,$AE838&lt;=p_dias_backlog_max))</f>
        <v/>
      </c>
      <c r="AH838" s="4" t="n"/>
      <c r="AI838" s="24">
        <f>IF($AH838="","",IF((IFERROR(INDEX('ASIGNACIONES'!$J$4:$J$451,MATCH($O838&amp;"|"&amp;$S838&amp;"|"&amp;$AH838,'ASIGNACIONES'!$N$4:$N$451,0)),""))=0,"",IFERROR(INDEX('ASIGNACIONES'!$J$4:$J$451,MATCH($O838&amp;"|"&amp;$S838&amp;"|"&amp;$AH838,'ASIGNACIONES'!$N$4:$N$451,0)),"")))</f>
        <v/>
      </c>
      <c r="AJ838" s="42">
        <f>IF($AH838="","",SUMIFS('ORDENES'!$M$4:$M$1203,'ORDENES'!$AH$4:$AH$1203,$AH838,'ORDENES'!$O$4:$O$1203,$O838,'ORDENES'!$S$4:$S$1203,$S838))</f>
        <v/>
      </c>
      <c r="AK838" s="42">
        <f>IF($AJ838="","",p_factor_productividad*IFERROR(INDEX('ASIGNACIONES'!$M$4:$M$451,MATCH($O838&amp;"|"&amp;$S838&amp;"|"&amp;$AH838,'ASIGNACIONES'!$N$4:$N$451,0)),0)-$AJ838)</f>
        <v/>
      </c>
      <c r="AL838" s="32">
        <f>IF($A838="","",IFERROR(INDEX('2_IMPORTAR_EJECUCION'!$F$9:$F$1208,MATCH($AU838,'2_IMPORTAR_EJECUCION'!$J$9:$J$1208,0)),0))</f>
        <v/>
      </c>
      <c r="AM838" s="32">
        <f>IF($A838="","",MAX(0,IFERROR(INDEX('2_IMPORTAR_EJECUCION'!$H$9:$H$1208,MATCH($AU838,'2_IMPORTAR_EJECUCION'!$J$9:$J$1208,0)),0)-$AL838))</f>
        <v/>
      </c>
      <c r="AN838" s="32">
        <f>IF($A838="","",$AL838+$AM838)</f>
        <v/>
      </c>
      <c r="AO838" s="24">
        <f>IF($A838="","",IF(OR((IFERROR(INDEX('CAT_ACTIVIDADES'!$D$4:$D$26,MATCH($H838,'CAT_ACTIVIDADES'!$A$4:$A$26,0)),""))=0,(IFERROR(INDEX('CAT_ACTIVIDADES'!$D$4:$D$26,MATCH($H838,'CAT_ACTIVIDADES'!$A$4:$A$26,0)),""))=""),"SIN CLASIFICAR",IFERROR(INDEX('CAT_ACTIVIDADES'!$D$4:$D$26,MATCH($H838,'CAT_ACTIVIDADES'!$A$4:$A$26,0)),"")))</f>
        <v/>
      </c>
      <c r="AP838" s="4" t="n"/>
      <c r="AQ838" s="4" t="n"/>
      <c r="AR838" s="4" t="n"/>
      <c r="AS838" s="24">
        <f>IF($AR838="","",HYPERLINK(p_ruta_base_checklists&amp;$AR838,"abrir"))</f>
        <v/>
      </c>
      <c r="AT838" s="4" t="n"/>
      <c r="AU838" s="24">
        <f>IF($A838="","",$A838&amp;IF($B838="","0010",$B838))</f>
        <v/>
      </c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41" t="n"/>
      <c r="K839" s="5" t="n"/>
      <c r="L839" s="18" t="n"/>
      <c r="M839" s="24">
        <f>IF($A839="","",IFERROR(INDEX('AJUSTES'!$B$4:$B$303,MATCH($AU839,'AJUSTES'!$A$4:$A$303,0)),IF($K839="","",$K839)))</f>
        <v/>
      </c>
      <c r="N839" s="24">
        <f>IF($A839="","",IFERROR(INDEX('CAT_ESTADOS_ERP'!$B$4:$B$22,MATCH(IFERROR(INDEX('2_IMPORTAR_EJECUCION'!$C$9:$C$1208,MATCH($AU839,'2_IMPORTAR_EJECUCION'!$J$9:$J$1208,0)),""),'CAT_ESTADOS_ERP'!$A$4:$A$22,0)),"Pendiente"))</f>
        <v/>
      </c>
      <c r="O839" s="24">
        <f>IF($J839="","",YEAR($J839+4-WEEKDAY($J839,2))&amp;"-S"&amp;TEXT(_xlfn.ISOWEEKNUM($J839),"00"))</f>
        <v/>
      </c>
      <c r="P839" s="24">
        <f>IF($J839="","",YEAR($J839))</f>
        <v/>
      </c>
      <c r="Q839" s="24">
        <f>IF($J839="","",MONTH($J839))</f>
        <v/>
      </c>
      <c r="R839" s="24">
        <f>IF($J839="","",$P839&amp;"-"&amp;TEXT($Q839,"00"))</f>
        <v/>
      </c>
      <c r="S839" s="24">
        <f>IF($J839="","",INDEX(lista_dias,WEEKDAY($J839,2)))</f>
        <v/>
      </c>
      <c r="T839" s="24">
        <f>IF($J839="","",IFERROR(INDEX('CALENDARIO'!$C$15:$C$214,MATCH(TEXT($J839,"yyyy-mm-dd")&amp;"|"&amp;$Y839&amp;"|"&amp;$Z839,'CALENDARIO'!$G$15:$G$214,0)),IFERROR(INDEX('CALENDARIO'!$C$15:$C$214,MATCH(TEXT($J839,"yyyy-mm-dd")&amp;"|"&amp;$Y839&amp;"|",'CALENDARIO'!$G$15:$G$214,0)),IFERROR(INDEX('CALENDARIO'!$C$15:$C$214,MATCH(TEXT($J839,"yyyy-mm-dd")&amp;"||",'CALENDARIO'!$G$15:$G$214,0)),INDEX(patronHabil,WEEKDAY($J839,2))))))</f>
        <v/>
      </c>
      <c r="U839" s="24">
        <f>IF($I839="","",IFERROR(INDEX('CAT_TIPOS_OT'!$C$4:$C$23,MATCH($I839,'CAT_TIPOS_OT'!$A$4:$A$23,0)),"sin_clasificar"))</f>
        <v/>
      </c>
      <c r="V839" s="24">
        <f>IF($I839="","",IF(IFERROR(INDEX('CAT_TIPOS_OT'!$D$4:$D$23,MATCH($I839,'CAT_TIPOS_OT'!$A$4:$A$23,0)),"SIN CLASIFICAR")="","SIN CLASIFICAR",IFERROR(INDEX('CAT_TIPOS_OT'!$D$4:$D$23,MATCH($I839,'CAT_TIPOS_OT'!$A$4:$A$23,0)),"SIN CLASIFICAR")))</f>
        <v/>
      </c>
      <c r="W839" s="24">
        <f>IF($H839="","",IF(IFERROR(INDEX('CAT_ACTIVIDADES'!$F$4:$F$26,MATCH($H839,'CAT_ACTIVIDADES'!$A$4:$A$26,0)),"")=0,"",IFERROR(INDEX('CAT_ACTIVIDADES'!$F$4:$F$26,MATCH($H839,'CAT_ACTIVIDADES'!$A$4:$A$26,0)),"")))</f>
        <v/>
      </c>
      <c r="X839" s="24">
        <f>IF($F839="","",IFERROR(INDEX('CAT_CENTROS_COSTO'!$F$4:$F$28,MATCH($F839,'CAT_CENTROS_COSTO'!$A$4:$A$28,0)),"(sin catálogo)"))</f>
        <v/>
      </c>
      <c r="Y839" s="24">
        <f>IF($F839="","",IFERROR(INDEX('CAT_CENTROS_COSTO'!$D$4:$D$28,MATCH($F839,'CAT_CENTROS_COSTO'!$A$4:$A$28,0)),"(sin catálogo)"))</f>
        <v/>
      </c>
      <c r="Z839" s="24">
        <f>IF($F839="","",IF((IFERROR(INDEX('CAT_CENTROS_COSTO'!$E$4:$E$28,MATCH($F839,'CAT_CENTROS_COSTO'!$A$4:$A$28,0)),""))&lt;&gt;"",IFERROR(INDEX('CAT_CENTROS_COSTO'!$E$4:$E$28,MATCH($F839,'CAT_CENTROS_COSTO'!$A$4:$A$28,0)),""),$Y839))</f>
        <v/>
      </c>
      <c r="AA839" s="24">
        <f>IF($F839="","",IFERROR(INDEX('CAT_CENTROS_COSTO'!$G$4:$G$28,MATCH($F839,'CAT_CENTROS_COSTO'!$A$4:$A$28,0)),"(sin catálogo)"))</f>
        <v/>
      </c>
      <c r="AB839" s="24">
        <f>IF($G839="","",IFERROR(INDEX('CAT_PUESTOS'!$B$4:$B$23,MATCH($G839,'CAT_PUESTOS'!$A$4:$A$23,0)),"(sin catálogo)"))</f>
        <v/>
      </c>
      <c r="AC839" s="24">
        <f>IF($H839="","",IFERROR(INDEX('CAT_ACTIVIDADES'!$B$4:$B$26,MATCH($H839,'CAT_ACTIVIDADES'!$A$4:$A$26,0)),"(sin catálogo)"))</f>
        <v/>
      </c>
      <c r="AD839" s="26">
        <f>IF($J839="","",TODAY()-$J839)</f>
        <v/>
      </c>
      <c r="AE839" s="26">
        <f>IF($J839="","",IF($J839&lt;=TODAY(),COUNTIFS(cal_fechas,"&gt;="&amp;$J839,cal_fechas,"&lt;"&amp;TODAY(),cal_habil,"sí"),-COUNTIFS(cal_fechas,"&gt;="&amp;TODAY(),cal_fechas,"&lt;"&amp;$J839,cal_habil,"sí")))</f>
        <v/>
      </c>
      <c r="AF839" s="24">
        <f>IF($AE839="","",IF($AE839&lt;0,"FUTURO",IF($AE839&gt;p_dias_backlog_max,"BACKLOG","MES CORRIENTE")))</f>
        <v/>
      </c>
      <c r="AG839" s="24">
        <f>IF($AE839="",FALSE,AND($AE839&gt;p_dias_backlog_min,$AE839&lt;=p_dias_backlog_max))</f>
        <v/>
      </c>
      <c r="AH839" s="4" t="n"/>
      <c r="AI839" s="24">
        <f>IF($AH839="","",IF((IFERROR(INDEX('ASIGNACIONES'!$J$4:$J$451,MATCH($O839&amp;"|"&amp;$S839&amp;"|"&amp;$AH839,'ASIGNACIONES'!$N$4:$N$451,0)),""))=0,"",IFERROR(INDEX('ASIGNACIONES'!$J$4:$J$451,MATCH($O839&amp;"|"&amp;$S839&amp;"|"&amp;$AH839,'ASIGNACIONES'!$N$4:$N$451,0)),"")))</f>
        <v/>
      </c>
      <c r="AJ839" s="42">
        <f>IF($AH839="","",SUMIFS('ORDENES'!$M$4:$M$1203,'ORDENES'!$AH$4:$AH$1203,$AH839,'ORDENES'!$O$4:$O$1203,$O839,'ORDENES'!$S$4:$S$1203,$S839))</f>
        <v/>
      </c>
      <c r="AK839" s="42">
        <f>IF($AJ839="","",p_factor_productividad*IFERROR(INDEX('ASIGNACIONES'!$M$4:$M$451,MATCH($O839&amp;"|"&amp;$S839&amp;"|"&amp;$AH839,'ASIGNACIONES'!$N$4:$N$451,0)),0)-$AJ839)</f>
        <v/>
      </c>
      <c r="AL839" s="32">
        <f>IF($A839="","",IFERROR(INDEX('2_IMPORTAR_EJECUCION'!$F$9:$F$1208,MATCH($AU839,'2_IMPORTAR_EJECUCION'!$J$9:$J$1208,0)),0))</f>
        <v/>
      </c>
      <c r="AM839" s="32">
        <f>IF($A839="","",MAX(0,IFERROR(INDEX('2_IMPORTAR_EJECUCION'!$H$9:$H$1208,MATCH($AU839,'2_IMPORTAR_EJECUCION'!$J$9:$J$1208,0)),0)-$AL839))</f>
        <v/>
      </c>
      <c r="AN839" s="32">
        <f>IF($A839="","",$AL839+$AM839)</f>
        <v/>
      </c>
      <c r="AO839" s="24">
        <f>IF($A839="","",IF(OR((IFERROR(INDEX('CAT_ACTIVIDADES'!$D$4:$D$26,MATCH($H839,'CAT_ACTIVIDADES'!$A$4:$A$26,0)),""))=0,(IFERROR(INDEX('CAT_ACTIVIDADES'!$D$4:$D$26,MATCH($H839,'CAT_ACTIVIDADES'!$A$4:$A$26,0)),""))=""),"SIN CLASIFICAR",IFERROR(INDEX('CAT_ACTIVIDADES'!$D$4:$D$26,MATCH($H839,'CAT_ACTIVIDADES'!$A$4:$A$26,0)),"")))</f>
        <v/>
      </c>
      <c r="AP839" s="4" t="n"/>
      <c r="AQ839" s="4" t="n"/>
      <c r="AR839" s="4" t="n"/>
      <c r="AS839" s="24">
        <f>IF($AR839="","",HYPERLINK(p_ruta_base_checklists&amp;$AR839,"abrir"))</f>
        <v/>
      </c>
      <c r="AT839" s="4" t="n"/>
      <c r="AU839" s="24">
        <f>IF($A839="","",$A839&amp;IF($B839="","0010",$B839))</f>
        <v/>
      </c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41" t="n"/>
      <c r="K840" s="5" t="n"/>
      <c r="L840" s="18" t="n"/>
      <c r="M840" s="24">
        <f>IF($A840="","",IFERROR(INDEX('AJUSTES'!$B$4:$B$303,MATCH($AU840,'AJUSTES'!$A$4:$A$303,0)),IF($K840="","",$K840)))</f>
        <v/>
      </c>
      <c r="N840" s="24">
        <f>IF($A840="","",IFERROR(INDEX('CAT_ESTADOS_ERP'!$B$4:$B$22,MATCH(IFERROR(INDEX('2_IMPORTAR_EJECUCION'!$C$9:$C$1208,MATCH($AU840,'2_IMPORTAR_EJECUCION'!$J$9:$J$1208,0)),""),'CAT_ESTADOS_ERP'!$A$4:$A$22,0)),"Pendiente"))</f>
        <v/>
      </c>
      <c r="O840" s="24">
        <f>IF($J840="","",YEAR($J840+4-WEEKDAY($J840,2))&amp;"-S"&amp;TEXT(_xlfn.ISOWEEKNUM($J840),"00"))</f>
        <v/>
      </c>
      <c r="P840" s="24">
        <f>IF($J840="","",YEAR($J840))</f>
        <v/>
      </c>
      <c r="Q840" s="24">
        <f>IF($J840="","",MONTH($J840))</f>
        <v/>
      </c>
      <c r="R840" s="24">
        <f>IF($J840="","",$P840&amp;"-"&amp;TEXT($Q840,"00"))</f>
        <v/>
      </c>
      <c r="S840" s="24">
        <f>IF($J840="","",INDEX(lista_dias,WEEKDAY($J840,2)))</f>
        <v/>
      </c>
      <c r="T840" s="24">
        <f>IF($J840="","",IFERROR(INDEX('CALENDARIO'!$C$15:$C$214,MATCH(TEXT($J840,"yyyy-mm-dd")&amp;"|"&amp;$Y840&amp;"|"&amp;$Z840,'CALENDARIO'!$G$15:$G$214,0)),IFERROR(INDEX('CALENDARIO'!$C$15:$C$214,MATCH(TEXT($J840,"yyyy-mm-dd")&amp;"|"&amp;$Y840&amp;"|",'CALENDARIO'!$G$15:$G$214,0)),IFERROR(INDEX('CALENDARIO'!$C$15:$C$214,MATCH(TEXT($J840,"yyyy-mm-dd")&amp;"||",'CALENDARIO'!$G$15:$G$214,0)),INDEX(patronHabil,WEEKDAY($J840,2))))))</f>
        <v/>
      </c>
      <c r="U840" s="24">
        <f>IF($I840="","",IFERROR(INDEX('CAT_TIPOS_OT'!$C$4:$C$23,MATCH($I840,'CAT_TIPOS_OT'!$A$4:$A$23,0)),"sin_clasificar"))</f>
        <v/>
      </c>
      <c r="V840" s="24">
        <f>IF($I840="","",IF(IFERROR(INDEX('CAT_TIPOS_OT'!$D$4:$D$23,MATCH($I840,'CAT_TIPOS_OT'!$A$4:$A$23,0)),"SIN CLASIFICAR")="","SIN CLASIFICAR",IFERROR(INDEX('CAT_TIPOS_OT'!$D$4:$D$23,MATCH($I840,'CAT_TIPOS_OT'!$A$4:$A$23,0)),"SIN CLASIFICAR")))</f>
        <v/>
      </c>
      <c r="W840" s="24">
        <f>IF($H840="","",IF(IFERROR(INDEX('CAT_ACTIVIDADES'!$F$4:$F$26,MATCH($H840,'CAT_ACTIVIDADES'!$A$4:$A$26,0)),"")=0,"",IFERROR(INDEX('CAT_ACTIVIDADES'!$F$4:$F$26,MATCH($H840,'CAT_ACTIVIDADES'!$A$4:$A$26,0)),"")))</f>
        <v/>
      </c>
      <c r="X840" s="24">
        <f>IF($F840="","",IFERROR(INDEX('CAT_CENTROS_COSTO'!$F$4:$F$28,MATCH($F840,'CAT_CENTROS_COSTO'!$A$4:$A$28,0)),"(sin catálogo)"))</f>
        <v/>
      </c>
      <c r="Y840" s="24">
        <f>IF($F840="","",IFERROR(INDEX('CAT_CENTROS_COSTO'!$D$4:$D$28,MATCH($F840,'CAT_CENTROS_COSTO'!$A$4:$A$28,0)),"(sin catálogo)"))</f>
        <v/>
      </c>
      <c r="Z840" s="24">
        <f>IF($F840="","",IF((IFERROR(INDEX('CAT_CENTROS_COSTO'!$E$4:$E$28,MATCH($F840,'CAT_CENTROS_COSTO'!$A$4:$A$28,0)),""))&lt;&gt;"",IFERROR(INDEX('CAT_CENTROS_COSTO'!$E$4:$E$28,MATCH($F840,'CAT_CENTROS_COSTO'!$A$4:$A$28,0)),""),$Y840))</f>
        <v/>
      </c>
      <c r="AA840" s="24">
        <f>IF($F840="","",IFERROR(INDEX('CAT_CENTROS_COSTO'!$G$4:$G$28,MATCH($F840,'CAT_CENTROS_COSTO'!$A$4:$A$28,0)),"(sin catálogo)"))</f>
        <v/>
      </c>
      <c r="AB840" s="24">
        <f>IF($G840="","",IFERROR(INDEX('CAT_PUESTOS'!$B$4:$B$23,MATCH($G840,'CAT_PUESTOS'!$A$4:$A$23,0)),"(sin catálogo)"))</f>
        <v/>
      </c>
      <c r="AC840" s="24">
        <f>IF($H840="","",IFERROR(INDEX('CAT_ACTIVIDADES'!$B$4:$B$26,MATCH($H840,'CAT_ACTIVIDADES'!$A$4:$A$26,0)),"(sin catálogo)"))</f>
        <v/>
      </c>
      <c r="AD840" s="26">
        <f>IF($J840="","",TODAY()-$J840)</f>
        <v/>
      </c>
      <c r="AE840" s="26">
        <f>IF($J840="","",IF($J840&lt;=TODAY(),COUNTIFS(cal_fechas,"&gt;="&amp;$J840,cal_fechas,"&lt;"&amp;TODAY(),cal_habil,"sí"),-COUNTIFS(cal_fechas,"&gt;="&amp;TODAY(),cal_fechas,"&lt;"&amp;$J840,cal_habil,"sí")))</f>
        <v/>
      </c>
      <c r="AF840" s="24">
        <f>IF($AE840="","",IF($AE840&lt;0,"FUTURO",IF($AE840&gt;p_dias_backlog_max,"BACKLOG","MES CORRIENTE")))</f>
        <v/>
      </c>
      <c r="AG840" s="24">
        <f>IF($AE840="",FALSE,AND($AE840&gt;p_dias_backlog_min,$AE840&lt;=p_dias_backlog_max))</f>
        <v/>
      </c>
      <c r="AH840" s="4" t="n"/>
      <c r="AI840" s="24">
        <f>IF($AH840="","",IF((IFERROR(INDEX('ASIGNACIONES'!$J$4:$J$451,MATCH($O840&amp;"|"&amp;$S840&amp;"|"&amp;$AH840,'ASIGNACIONES'!$N$4:$N$451,0)),""))=0,"",IFERROR(INDEX('ASIGNACIONES'!$J$4:$J$451,MATCH($O840&amp;"|"&amp;$S840&amp;"|"&amp;$AH840,'ASIGNACIONES'!$N$4:$N$451,0)),"")))</f>
        <v/>
      </c>
      <c r="AJ840" s="42">
        <f>IF($AH840="","",SUMIFS('ORDENES'!$M$4:$M$1203,'ORDENES'!$AH$4:$AH$1203,$AH840,'ORDENES'!$O$4:$O$1203,$O840,'ORDENES'!$S$4:$S$1203,$S840))</f>
        <v/>
      </c>
      <c r="AK840" s="42">
        <f>IF($AJ840="","",p_factor_productividad*IFERROR(INDEX('ASIGNACIONES'!$M$4:$M$451,MATCH($O840&amp;"|"&amp;$S840&amp;"|"&amp;$AH840,'ASIGNACIONES'!$N$4:$N$451,0)),0)-$AJ840)</f>
        <v/>
      </c>
      <c r="AL840" s="32">
        <f>IF($A840="","",IFERROR(INDEX('2_IMPORTAR_EJECUCION'!$F$9:$F$1208,MATCH($AU840,'2_IMPORTAR_EJECUCION'!$J$9:$J$1208,0)),0))</f>
        <v/>
      </c>
      <c r="AM840" s="32">
        <f>IF($A840="","",MAX(0,IFERROR(INDEX('2_IMPORTAR_EJECUCION'!$H$9:$H$1208,MATCH($AU840,'2_IMPORTAR_EJECUCION'!$J$9:$J$1208,0)),0)-$AL840))</f>
        <v/>
      </c>
      <c r="AN840" s="32">
        <f>IF($A840="","",$AL840+$AM840)</f>
        <v/>
      </c>
      <c r="AO840" s="24">
        <f>IF($A840="","",IF(OR((IFERROR(INDEX('CAT_ACTIVIDADES'!$D$4:$D$26,MATCH($H840,'CAT_ACTIVIDADES'!$A$4:$A$26,0)),""))=0,(IFERROR(INDEX('CAT_ACTIVIDADES'!$D$4:$D$26,MATCH($H840,'CAT_ACTIVIDADES'!$A$4:$A$26,0)),""))=""),"SIN CLASIFICAR",IFERROR(INDEX('CAT_ACTIVIDADES'!$D$4:$D$26,MATCH($H840,'CAT_ACTIVIDADES'!$A$4:$A$26,0)),"")))</f>
        <v/>
      </c>
      <c r="AP840" s="4" t="n"/>
      <c r="AQ840" s="4" t="n"/>
      <c r="AR840" s="4" t="n"/>
      <c r="AS840" s="24">
        <f>IF($AR840="","",HYPERLINK(p_ruta_base_checklists&amp;$AR840,"abrir"))</f>
        <v/>
      </c>
      <c r="AT840" s="4" t="n"/>
      <c r="AU840" s="24">
        <f>IF($A840="","",$A840&amp;IF($B840="","0010",$B840))</f>
        <v/>
      </c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41" t="n"/>
      <c r="K841" s="5" t="n"/>
      <c r="L841" s="18" t="n"/>
      <c r="M841" s="24">
        <f>IF($A841="","",IFERROR(INDEX('AJUSTES'!$B$4:$B$303,MATCH($AU841,'AJUSTES'!$A$4:$A$303,0)),IF($K841="","",$K841)))</f>
        <v/>
      </c>
      <c r="N841" s="24">
        <f>IF($A841="","",IFERROR(INDEX('CAT_ESTADOS_ERP'!$B$4:$B$22,MATCH(IFERROR(INDEX('2_IMPORTAR_EJECUCION'!$C$9:$C$1208,MATCH($AU841,'2_IMPORTAR_EJECUCION'!$J$9:$J$1208,0)),""),'CAT_ESTADOS_ERP'!$A$4:$A$22,0)),"Pendiente"))</f>
        <v/>
      </c>
      <c r="O841" s="24">
        <f>IF($J841="","",YEAR($J841+4-WEEKDAY($J841,2))&amp;"-S"&amp;TEXT(_xlfn.ISOWEEKNUM($J841),"00"))</f>
        <v/>
      </c>
      <c r="P841" s="24">
        <f>IF($J841="","",YEAR($J841))</f>
        <v/>
      </c>
      <c r="Q841" s="24">
        <f>IF($J841="","",MONTH($J841))</f>
        <v/>
      </c>
      <c r="R841" s="24">
        <f>IF($J841="","",$P841&amp;"-"&amp;TEXT($Q841,"00"))</f>
        <v/>
      </c>
      <c r="S841" s="24">
        <f>IF($J841="","",INDEX(lista_dias,WEEKDAY($J841,2)))</f>
        <v/>
      </c>
      <c r="T841" s="24">
        <f>IF($J841="","",IFERROR(INDEX('CALENDARIO'!$C$15:$C$214,MATCH(TEXT($J841,"yyyy-mm-dd")&amp;"|"&amp;$Y841&amp;"|"&amp;$Z841,'CALENDARIO'!$G$15:$G$214,0)),IFERROR(INDEX('CALENDARIO'!$C$15:$C$214,MATCH(TEXT($J841,"yyyy-mm-dd")&amp;"|"&amp;$Y841&amp;"|",'CALENDARIO'!$G$15:$G$214,0)),IFERROR(INDEX('CALENDARIO'!$C$15:$C$214,MATCH(TEXT($J841,"yyyy-mm-dd")&amp;"||",'CALENDARIO'!$G$15:$G$214,0)),INDEX(patronHabil,WEEKDAY($J841,2))))))</f>
        <v/>
      </c>
      <c r="U841" s="24">
        <f>IF($I841="","",IFERROR(INDEX('CAT_TIPOS_OT'!$C$4:$C$23,MATCH($I841,'CAT_TIPOS_OT'!$A$4:$A$23,0)),"sin_clasificar"))</f>
        <v/>
      </c>
      <c r="V841" s="24">
        <f>IF($I841="","",IF(IFERROR(INDEX('CAT_TIPOS_OT'!$D$4:$D$23,MATCH($I841,'CAT_TIPOS_OT'!$A$4:$A$23,0)),"SIN CLASIFICAR")="","SIN CLASIFICAR",IFERROR(INDEX('CAT_TIPOS_OT'!$D$4:$D$23,MATCH($I841,'CAT_TIPOS_OT'!$A$4:$A$23,0)),"SIN CLASIFICAR")))</f>
        <v/>
      </c>
      <c r="W841" s="24">
        <f>IF($H841="","",IF(IFERROR(INDEX('CAT_ACTIVIDADES'!$F$4:$F$26,MATCH($H841,'CAT_ACTIVIDADES'!$A$4:$A$26,0)),"")=0,"",IFERROR(INDEX('CAT_ACTIVIDADES'!$F$4:$F$26,MATCH($H841,'CAT_ACTIVIDADES'!$A$4:$A$26,0)),"")))</f>
        <v/>
      </c>
      <c r="X841" s="24">
        <f>IF($F841="","",IFERROR(INDEX('CAT_CENTROS_COSTO'!$F$4:$F$28,MATCH($F841,'CAT_CENTROS_COSTO'!$A$4:$A$28,0)),"(sin catálogo)"))</f>
        <v/>
      </c>
      <c r="Y841" s="24">
        <f>IF($F841="","",IFERROR(INDEX('CAT_CENTROS_COSTO'!$D$4:$D$28,MATCH($F841,'CAT_CENTROS_COSTO'!$A$4:$A$28,0)),"(sin catálogo)"))</f>
        <v/>
      </c>
      <c r="Z841" s="24">
        <f>IF($F841="","",IF((IFERROR(INDEX('CAT_CENTROS_COSTO'!$E$4:$E$28,MATCH($F841,'CAT_CENTROS_COSTO'!$A$4:$A$28,0)),""))&lt;&gt;"",IFERROR(INDEX('CAT_CENTROS_COSTO'!$E$4:$E$28,MATCH($F841,'CAT_CENTROS_COSTO'!$A$4:$A$28,0)),""),$Y841))</f>
        <v/>
      </c>
      <c r="AA841" s="24">
        <f>IF($F841="","",IFERROR(INDEX('CAT_CENTROS_COSTO'!$G$4:$G$28,MATCH($F841,'CAT_CENTROS_COSTO'!$A$4:$A$28,0)),"(sin catálogo)"))</f>
        <v/>
      </c>
      <c r="AB841" s="24">
        <f>IF($G841="","",IFERROR(INDEX('CAT_PUESTOS'!$B$4:$B$23,MATCH($G841,'CAT_PUESTOS'!$A$4:$A$23,0)),"(sin catálogo)"))</f>
        <v/>
      </c>
      <c r="AC841" s="24">
        <f>IF($H841="","",IFERROR(INDEX('CAT_ACTIVIDADES'!$B$4:$B$26,MATCH($H841,'CAT_ACTIVIDADES'!$A$4:$A$26,0)),"(sin catálogo)"))</f>
        <v/>
      </c>
      <c r="AD841" s="26">
        <f>IF($J841="","",TODAY()-$J841)</f>
        <v/>
      </c>
      <c r="AE841" s="26">
        <f>IF($J841="","",IF($J841&lt;=TODAY(),COUNTIFS(cal_fechas,"&gt;="&amp;$J841,cal_fechas,"&lt;"&amp;TODAY(),cal_habil,"sí"),-COUNTIFS(cal_fechas,"&gt;="&amp;TODAY(),cal_fechas,"&lt;"&amp;$J841,cal_habil,"sí")))</f>
        <v/>
      </c>
      <c r="AF841" s="24">
        <f>IF($AE841="","",IF($AE841&lt;0,"FUTURO",IF($AE841&gt;p_dias_backlog_max,"BACKLOG","MES CORRIENTE")))</f>
        <v/>
      </c>
      <c r="AG841" s="24">
        <f>IF($AE841="",FALSE,AND($AE841&gt;p_dias_backlog_min,$AE841&lt;=p_dias_backlog_max))</f>
        <v/>
      </c>
      <c r="AH841" s="4" t="n"/>
      <c r="AI841" s="24">
        <f>IF($AH841="","",IF((IFERROR(INDEX('ASIGNACIONES'!$J$4:$J$451,MATCH($O841&amp;"|"&amp;$S841&amp;"|"&amp;$AH841,'ASIGNACIONES'!$N$4:$N$451,0)),""))=0,"",IFERROR(INDEX('ASIGNACIONES'!$J$4:$J$451,MATCH($O841&amp;"|"&amp;$S841&amp;"|"&amp;$AH841,'ASIGNACIONES'!$N$4:$N$451,0)),"")))</f>
        <v/>
      </c>
      <c r="AJ841" s="42">
        <f>IF($AH841="","",SUMIFS('ORDENES'!$M$4:$M$1203,'ORDENES'!$AH$4:$AH$1203,$AH841,'ORDENES'!$O$4:$O$1203,$O841,'ORDENES'!$S$4:$S$1203,$S841))</f>
        <v/>
      </c>
      <c r="AK841" s="42">
        <f>IF($AJ841="","",p_factor_productividad*IFERROR(INDEX('ASIGNACIONES'!$M$4:$M$451,MATCH($O841&amp;"|"&amp;$S841&amp;"|"&amp;$AH841,'ASIGNACIONES'!$N$4:$N$451,0)),0)-$AJ841)</f>
        <v/>
      </c>
      <c r="AL841" s="32">
        <f>IF($A841="","",IFERROR(INDEX('2_IMPORTAR_EJECUCION'!$F$9:$F$1208,MATCH($AU841,'2_IMPORTAR_EJECUCION'!$J$9:$J$1208,0)),0))</f>
        <v/>
      </c>
      <c r="AM841" s="32">
        <f>IF($A841="","",MAX(0,IFERROR(INDEX('2_IMPORTAR_EJECUCION'!$H$9:$H$1208,MATCH($AU841,'2_IMPORTAR_EJECUCION'!$J$9:$J$1208,0)),0)-$AL841))</f>
        <v/>
      </c>
      <c r="AN841" s="32">
        <f>IF($A841="","",$AL841+$AM841)</f>
        <v/>
      </c>
      <c r="AO841" s="24">
        <f>IF($A841="","",IF(OR((IFERROR(INDEX('CAT_ACTIVIDADES'!$D$4:$D$26,MATCH($H841,'CAT_ACTIVIDADES'!$A$4:$A$26,0)),""))=0,(IFERROR(INDEX('CAT_ACTIVIDADES'!$D$4:$D$26,MATCH($H841,'CAT_ACTIVIDADES'!$A$4:$A$26,0)),""))=""),"SIN CLASIFICAR",IFERROR(INDEX('CAT_ACTIVIDADES'!$D$4:$D$26,MATCH($H841,'CAT_ACTIVIDADES'!$A$4:$A$26,0)),"")))</f>
        <v/>
      </c>
      <c r="AP841" s="4" t="n"/>
      <c r="AQ841" s="4" t="n"/>
      <c r="AR841" s="4" t="n"/>
      <c r="AS841" s="24">
        <f>IF($AR841="","",HYPERLINK(p_ruta_base_checklists&amp;$AR841,"abrir"))</f>
        <v/>
      </c>
      <c r="AT841" s="4" t="n"/>
      <c r="AU841" s="24">
        <f>IF($A841="","",$A841&amp;IF($B841="","0010",$B841))</f>
        <v/>
      </c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41" t="n"/>
      <c r="K842" s="5" t="n"/>
      <c r="L842" s="18" t="n"/>
      <c r="M842" s="24">
        <f>IF($A842="","",IFERROR(INDEX('AJUSTES'!$B$4:$B$303,MATCH($AU842,'AJUSTES'!$A$4:$A$303,0)),IF($K842="","",$K842)))</f>
        <v/>
      </c>
      <c r="N842" s="24">
        <f>IF($A842="","",IFERROR(INDEX('CAT_ESTADOS_ERP'!$B$4:$B$22,MATCH(IFERROR(INDEX('2_IMPORTAR_EJECUCION'!$C$9:$C$1208,MATCH($AU842,'2_IMPORTAR_EJECUCION'!$J$9:$J$1208,0)),""),'CAT_ESTADOS_ERP'!$A$4:$A$22,0)),"Pendiente"))</f>
        <v/>
      </c>
      <c r="O842" s="24">
        <f>IF($J842="","",YEAR($J842+4-WEEKDAY($J842,2))&amp;"-S"&amp;TEXT(_xlfn.ISOWEEKNUM($J842),"00"))</f>
        <v/>
      </c>
      <c r="P842" s="24">
        <f>IF($J842="","",YEAR($J842))</f>
        <v/>
      </c>
      <c r="Q842" s="24">
        <f>IF($J842="","",MONTH($J842))</f>
        <v/>
      </c>
      <c r="R842" s="24">
        <f>IF($J842="","",$P842&amp;"-"&amp;TEXT($Q842,"00"))</f>
        <v/>
      </c>
      <c r="S842" s="24">
        <f>IF($J842="","",INDEX(lista_dias,WEEKDAY($J842,2)))</f>
        <v/>
      </c>
      <c r="T842" s="24">
        <f>IF($J842="","",IFERROR(INDEX('CALENDARIO'!$C$15:$C$214,MATCH(TEXT($J842,"yyyy-mm-dd")&amp;"|"&amp;$Y842&amp;"|"&amp;$Z842,'CALENDARIO'!$G$15:$G$214,0)),IFERROR(INDEX('CALENDARIO'!$C$15:$C$214,MATCH(TEXT($J842,"yyyy-mm-dd")&amp;"|"&amp;$Y842&amp;"|",'CALENDARIO'!$G$15:$G$214,0)),IFERROR(INDEX('CALENDARIO'!$C$15:$C$214,MATCH(TEXT($J842,"yyyy-mm-dd")&amp;"||",'CALENDARIO'!$G$15:$G$214,0)),INDEX(patronHabil,WEEKDAY($J842,2))))))</f>
        <v/>
      </c>
      <c r="U842" s="24">
        <f>IF($I842="","",IFERROR(INDEX('CAT_TIPOS_OT'!$C$4:$C$23,MATCH($I842,'CAT_TIPOS_OT'!$A$4:$A$23,0)),"sin_clasificar"))</f>
        <v/>
      </c>
      <c r="V842" s="24">
        <f>IF($I842="","",IF(IFERROR(INDEX('CAT_TIPOS_OT'!$D$4:$D$23,MATCH($I842,'CAT_TIPOS_OT'!$A$4:$A$23,0)),"SIN CLASIFICAR")="","SIN CLASIFICAR",IFERROR(INDEX('CAT_TIPOS_OT'!$D$4:$D$23,MATCH($I842,'CAT_TIPOS_OT'!$A$4:$A$23,0)),"SIN CLASIFICAR")))</f>
        <v/>
      </c>
      <c r="W842" s="24">
        <f>IF($H842="","",IF(IFERROR(INDEX('CAT_ACTIVIDADES'!$F$4:$F$26,MATCH($H842,'CAT_ACTIVIDADES'!$A$4:$A$26,0)),"")=0,"",IFERROR(INDEX('CAT_ACTIVIDADES'!$F$4:$F$26,MATCH($H842,'CAT_ACTIVIDADES'!$A$4:$A$26,0)),"")))</f>
        <v/>
      </c>
      <c r="X842" s="24">
        <f>IF($F842="","",IFERROR(INDEX('CAT_CENTROS_COSTO'!$F$4:$F$28,MATCH($F842,'CAT_CENTROS_COSTO'!$A$4:$A$28,0)),"(sin catálogo)"))</f>
        <v/>
      </c>
      <c r="Y842" s="24">
        <f>IF($F842="","",IFERROR(INDEX('CAT_CENTROS_COSTO'!$D$4:$D$28,MATCH($F842,'CAT_CENTROS_COSTO'!$A$4:$A$28,0)),"(sin catálogo)"))</f>
        <v/>
      </c>
      <c r="Z842" s="24">
        <f>IF($F842="","",IF((IFERROR(INDEX('CAT_CENTROS_COSTO'!$E$4:$E$28,MATCH($F842,'CAT_CENTROS_COSTO'!$A$4:$A$28,0)),""))&lt;&gt;"",IFERROR(INDEX('CAT_CENTROS_COSTO'!$E$4:$E$28,MATCH($F842,'CAT_CENTROS_COSTO'!$A$4:$A$28,0)),""),$Y842))</f>
        <v/>
      </c>
      <c r="AA842" s="24">
        <f>IF($F842="","",IFERROR(INDEX('CAT_CENTROS_COSTO'!$G$4:$G$28,MATCH($F842,'CAT_CENTROS_COSTO'!$A$4:$A$28,0)),"(sin catálogo)"))</f>
        <v/>
      </c>
      <c r="AB842" s="24">
        <f>IF($G842="","",IFERROR(INDEX('CAT_PUESTOS'!$B$4:$B$23,MATCH($G842,'CAT_PUESTOS'!$A$4:$A$23,0)),"(sin catálogo)"))</f>
        <v/>
      </c>
      <c r="AC842" s="24">
        <f>IF($H842="","",IFERROR(INDEX('CAT_ACTIVIDADES'!$B$4:$B$26,MATCH($H842,'CAT_ACTIVIDADES'!$A$4:$A$26,0)),"(sin catálogo)"))</f>
        <v/>
      </c>
      <c r="AD842" s="26">
        <f>IF($J842="","",TODAY()-$J842)</f>
        <v/>
      </c>
      <c r="AE842" s="26">
        <f>IF($J842="","",IF($J842&lt;=TODAY(),COUNTIFS(cal_fechas,"&gt;="&amp;$J842,cal_fechas,"&lt;"&amp;TODAY(),cal_habil,"sí"),-COUNTIFS(cal_fechas,"&gt;="&amp;TODAY(),cal_fechas,"&lt;"&amp;$J842,cal_habil,"sí")))</f>
        <v/>
      </c>
      <c r="AF842" s="24">
        <f>IF($AE842="","",IF($AE842&lt;0,"FUTURO",IF($AE842&gt;p_dias_backlog_max,"BACKLOG","MES CORRIENTE")))</f>
        <v/>
      </c>
      <c r="AG842" s="24">
        <f>IF($AE842="",FALSE,AND($AE842&gt;p_dias_backlog_min,$AE842&lt;=p_dias_backlog_max))</f>
        <v/>
      </c>
      <c r="AH842" s="4" t="n"/>
      <c r="AI842" s="24">
        <f>IF($AH842="","",IF((IFERROR(INDEX('ASIGNACIONES'!$J$4:$J$451,MATCH($O842&amp;"|"&amp;$S842&amp;"|"&amp;$AH842,'ASIGNACIONES'!$N$4:$N$451,0)),""))=0,"",IFERROR(INDEX('ASIGNACIONES'!$J$4:$J$451,MATCH($O842&amp;"|"&amp;$S842&amp;"|"&amp;$AH842,'ASIGNACIONES'!$N$4:$N$451,0)),"")))</f>
        <v/>
      </c>
      <c r="AJ842" s="42">
        <f>IF($AH842="","",SUMIFS('ORDENES'!$M$4:$M$1203,'ORDENES'!$AH$4:$AH$1203,$AH842,'ORDENES'!$O$4:$O$1203,$O842,'ORDENES'!$S$4:$S$1203,$S842))</f>
        <v/>
      </c>
      <c r="AK842" s="42">
        <f>IF($AJ842="","",p_factor_productividad*IFERROR(INDEX('ASIGNACIONES'!$M$4:$M$451,MATCH($O842&amp;"|"&amp;$S842&amp;"|"&amp;$AH842,'ASIGNACIONES'!$N$4:$N$451,0)),0)-$AJ842)</f>
        <v/>
      </c>
      <c r="AL842" s="32">
        <f>IF($A842="","",IFERROR(INDEX('2_IMPORTAR_EJECUCION'!$F$9:$F$1208,MATCH($AU842,'2_IMPORTAR_EJECUCION'!$J$9:$J$1208,0)),0))</f>
        <v/>
      </c>
      <c r="AM842" s="32">
        <f>IF($A842="","",MAX(0,IFERROR(INDEX('2_IMPORTAR_EJECUCION'!$H$9:$H$1208,MATCH($AU842,'2_IMPORTAR_EJECUCION'!$J$9:$J$1208,0)),0)-$AL842))</f>
        <v/>
      </c>
      <c r="AN842" s="32">
        <f>IF($A842="","",$AL842+$AM842)</f>
        <v/>
      </c>
      <c r="AO842" s="24">
        <f>IF($A842="","",IF(OR((IFERROR(INDEX('CAT_ACTIVIDADES'!$D$4:$D$26,MATCH($H842,'CAT_ACTIVIDADES'!$A$4:$A$26,0)),""))=0,(IFERROR(INDEX('CAT_ACTIVIDADES'!$D$4:$D$26,MATCH($H842,'CAT_ACTIVIDADES'!$A$4:$A$26,0)),""))=""),"SIN CLASIFICAR",IFERROR(INDEX('CAT_ACTIVIDADES'!$D$4:$D$26,MATCH($H842,'CAT_ACTIVIDADES'!$A$4:$A$26,0)),"")))</f>
        <v/>
      </c>
      <c r="AP842" s="4" t="n"/>
      <c r="AQ842" s="4" t="n"/>
      <c r="AR842" s="4" t="n"/>
      <c r="AS842" s="24">
        <f>IF($AR842="","",HYPERLINK(p_ruta_base_checklists&amp;$AR842,"abrir"))</f>
        <v/>
      </c>
      <c r="AT842" s="4" t="n"/>
      <c r="AU842" s="24">
        <f>IF($A842="","",$A842&amp;IF($B842="","0010",$B842))</f>
        <v/>
      </c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41" t="n"/>
      <c r="K843" s="5" t="n"/>
      <c r="L843" s="18" t="n"/>
      <c r="M843" s="24">
        <f>IF($A843="","",IFERROR(INDEX('AJUSTES'!$B$4:$B$303,MATCH($AU843,'AJUSTES'!$A$4:$A$303,0)),IF($K843="","",$K843)))</f>
        <v/>
      </c>
      <c r="N843" s="24">
        <f>IF($A843="","",IFERROR(INDEX('CAT_ESTADOS_ERP'!$B$4:$B$22,MATCH(IFERROR(INDEX('2_IMPORTAR_EJECUCION'!$C$9:$C$1208,MATCH($AU843,'2_IMPORTAR_EJECUCION'!$J$9:$J$1208,0)),""),'CAT_ESTADOS_ERP'!$A$4:$A$22,0)),"Pendiente"))</f>
        <v/>
      </c>
      <c r="O843" s="24">
        <f>IF($J843="","",YEAR($J843+4-WEEKDAY($J843,2))&amp;"-S"&amp;TEXT(_xlfn.ISOWEEKNUM($J843),"00"))</f>
        <v/>
      </c>
      <c r="P843" s="24">
        <f>IF($J843="","",YEAR($J843))</f>
        <v/>
      </c>
      <c r="Q843" s="24">
        <f>IF($J843="","",MONTH($J843))</f>
        <v/>
      </c>
      <c r="R843" s="24">
        <f>IF($J843="","",$P843&amp;"-"&amp;TEXT($Q843,"00"))</f>
        <v/>
      </c>
      <c r="S843" s="24">
        <f>IF($J843="","",INDEX(lista_dias,WEEKDAY($J843,2)))</f>
        <v/>
      </c>
      <c r="T843" s="24">
        <f>IF($J843="","",IFERROR(INDEX('CALENDARIO'!$C$15:$C$214,MATCH(TEXT($J843,"yyyy-mm-dd")&amp;"|"&amp;$Y843&amp;"|"&amp;$Z843,'CALENDARIO'!$G$15:$G$214,0)),IFERROR(INDEX('CALENDARIO'!$C$15:$C$214,MATCH(TEXT($J843,"yyyy-mm-dd")&amp;"|"&amp;$Y843&amp;"|",'CALENDARIO'!$G$15:$G$214,0)),IFERROR(INDEX('CALENDARIO'!$C$15:$C$214,MATCH(TEXT($J843,"yyyy-mm-dd")&amp;"||",'CALENDARIO'!$G$15:$G$214,0)),INDEX(patronHabil,WEEKDAY($J843,2))))))</f>
        <v/>
      </c>
      <c r="U843" s="24">
        <f>IF($I843="","",IFERROR(INDEX('CAT_TIPOS_OT'!$C$4:$C$23,MATCH($I843,'CAT_TIPOS_OT'!$A$4:$A$23,0)),"sin_clasificar"))</f>
        <v/>
      </c>
      <c r="V843" s="24">
        <f>IF($I843="","",IF(IFERROR(INDEX('CAT_TIPOS_OT'!$D$4:$D$23,MATCH($I843,'CAT_TIPOS_OT'!$A$4:$A$23,0)),"SIN CLASIFICAR")="","SIN CLASIFICAR",IFERROR(INDEX('CAT_TIPOS_OT'!$D$4:$D$23,MATCH($I843,'CAT_TIPOS_OT'!$A$4:$A$23,0)),"SIN CLASIFICAR")))</f>
        <v/>
      </c>
      <c r="W843" s="24">
        <f>IF($H843="","",IF(IFERROR(INDEX('CAT_ACTIVIDADES'!$F$4:$F$26,MATCH($H843,'CAT_ACTIVIDADES'!$A$4:$A$26,0)),"")=0,"",IFERROR(INDEX('CAT_ACTIVIDADES'!$F$4:$F$26,MATCH($H843,'CAT_ACTIVIDADES'!$A$4:$A$26,0)),"")))</f>
        <v/>
      </c>
      <c r="X843" s="24">
        <f>IF($F843="","",IFERROR(INDEX('CAT_CENTROS_COSTO'!$F$4:$F$28,MATCH($F843,'CAT_CENTROS_COSTO'!$A$4:$A$28,0)),"(sin catálogo)"))</f>
        <v/>
      </c>
      <c r="Y843" s="24">
        <f>IF($F843="","",IFERROR(INDEX('CAT_CENTROS_COSTO'!$D$4:$D$28,MATCH($F843,'CAT_CENTROS_COSTO'!$A$4:$A$28,0)),"(sin catálogo)"))</f>
        <v/>
      </c>
      <c r="Z843" s="24">
        <f>IF($F843="","",IF((IFERROR(INDEX('CAT_CENTROS_COSTO'!$E$4:$E$28,MATCH($F843,'CAT_CENTROS_COSTO'!$A$4:$A$28,0)),""))&lt;&gt;"",IFERROR(INDEX('CAT_CENTROS_COSTO'!$E$4:$E$28,MATCH($F843,'CAT_CENTROS_COSTO'!$A$4:$A$28,0)),""),$Y843))</f>
        <v/>
      </c>
      <c r="AA843" s="24">
        <f>IF($F843="","",IFERROR(INDEX('CAT_CENTROS_COSTO'!$G$4:$G$28,MATCH($F843,'CAT_CENTROS_COSTO'!$A$4:$A$28,0)),"(sin catálogo)"))</f>
        <v/>
      </c>
      <c r="AB843" s="24">
        <f>IF($G843="","",IFERROR(INDEX('CAT_PUESTOS'!$B$4:$B$23,MATCH($G843,'CAT_PUESTOS'!$A$4:$A$23,0)),"(sin catálogo)"))</f>
        <v/>
      </c>
      <c r="AC843" s="24">
        <f>IF($H843="","",IFERROR(INDEX('CAT_ACTIVIDADES'!$B$4:$B$26,MATCH($H843,'CAT_ACTIVIDADES'!$A$4:$A$26,0)),"(sin catálogo)"))</f>
        <v/>
      </c>
      <c r="AD843" s="26">
        <f>IF($J843="","",TODAY()-$J843)</f>
        <v/>
      </c>
      <c r="AE843" s="26">
        <f>IF($J843="","",IF($J843&lt;=TODAY(),COUNTIFS(cal_fechas,"&gt;="&amp;$J843,cal_fechas,"&lt;"&amp;TODAY(),cal_habil,"sí"),-COUNTIFS(cal_fechas,"&gt;="&amp;TODAY(),cal_fechas,"&lt;"&amp;$J843,cal_habil,"sí")))</f>
        <v/>
      </c>
      <c r="AF843" s="24">
        <f>IF($AE843="","",IF($AE843&lt;0,"FUTURO",IF($AE843&gt;p_dias_backlog_max,"BACKLOG","MES CORRIENTE")))</f>
        <v/>
      </c>
      <c r="AG843" s="24">
        <f>IF($AE843="",FALSE,AND($AE843&gt;p_dias_backlog_min,$AE843&lt;=p_dias_backlog_max))</f>
        <v/>
      </c>
      <c r="AH843" s="4" t="n"/>
      <c r="AI843" s="24">
        <f>IF($AH843="","",IF((IFERROR(INDEX('ASIGNACIONES'!$J$4:$J$451,MATCH($O843&amp;"|"&amp;$S843&amp;"|"&amp;$AH843,'ASIGNACIONES'!$N$4:$N$451,0)),""))=0,"",IFERROR(INDEX('ASIGNACIONES'!$J$4:$J$451,MATCH($O843&amp;"|"&amp;$S843&amp;"|"&amp;$AH843,'ASIGNACIONES'!$N$4:$N$451,0)),"")))</f>
        <v/>
      </c>
      <c r="AJ843" s="42">
        <f>IF($AH843="","",SUMIFS('ORDENES'!$M$4:$M$1203,'ORDENES'!$AH$4:$AH$1203,$AH843,'ORDENES'!$O$4:$O$1203,$O843,'ORDENES'!$S$4:$S$1203,$S843))</f>
        <v/>
      </c>
      <c r="AK843" s="42">
        <f>IF($AJ843="","",p_factor_productividad*IFERROR(INDEX('ASIGNACIONES'!$M$4:$M$451,MATCH($O843&amp;"|"&amp;$S843&amp;"|"&amp;$AH843,'ASIGNACIONES'!$N$4:$N$451,0)),0)-$AJ843)</f>
        <v/>
      </c>
      <c r="AL843" s="32">
        <f>IF($A843="","",IFERROR(INDEX('2_IMPORTAR_EJECUCION'!$F$9:$F$1208,MATCH($AU843,'2_IMPORTAR_EJECUCION'!$J$9:$J$1208,0)),0))</f>
        <v/>
      </c>
      <c r="AM843" s="32">
        <f>IF($A843="","",MAX(0,IFERROR(INDEX('2_IMPORTAR_EJECUCION'!$H$9:$H$1208,MATCH($AU843,'2_IMPORTAR_EJECUCION'!$J$9:$J$1208,0)),0)-$AL843))</f>
        <v/>
      </c>
      <c r="AN843" s="32">
        <f>IF($A843="","",$AL843+$AM843)</f>
        <v/>
      </c>
      <c r="AO843" s="24">
        <f>IF($A843="","",IF(OR((IFERROR(INDEX('CAT_ACTIVIDADES'!$D$4:$D$26,MATCH($H843,'CAT_ACTIVIDADES'!$A$4:$A$26,0)),""))=0,(IFERROR(INDEX('CAT_ACTIVIDADES'!$D$4:$D$26,MATCH($H843,'CAT_ACTIVIDADES'!$A$4:$A$26,0)),""))=""),"SIN CLASIFICAR",IFERROR(INDEX('CAT_ACTIVIDADES'!$D$4:$D$26,MATCH($H843,'CAT_ACTIVIDADES'!$A$4:$A$26,0)),"")))</f>
        <v/>
      </c>
      <c r="AP843" s="4" t="n"/>
      <c r="AQ843" s="4" t="n"/>
      <c r="AR843" s="4" t="n"/>
      <c r="AS843" s="24">
        <f>IF($AR843="","",HYPERLINK(p_ruta_base_checklists&amp;$AR843,"abrir"))</f>
        <v/>
      </c>
      <c r="AT843" s="4" t="n"/>
      <c r="AU843" s="24">
        <f>IF($A843="","",$A843&amp;IF($B843="","0010",$B843))</f>
        <v/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41" t="n"/>
      <c r="K844" s="5" t="n"/>
      <c r="L844" s="18" t="n"/>
      <c r="M844" s="24">
        <f>IF($A844="","",IFERROR(INDEX('AJUSTES'!$B$4:$B$303,MATCH($AU844,'AJUSTES'!$A$4:$A$303,0)),IF($K844="","",$K844)))</f>
        <v/>
      </c>
      <c r="N844" s="24">
        <f>IF($A844="","",IFERROR(INDEX('CAT_ESTADOS_ERP'!$B$4:$B$22,MATCH(IFERROR(INDEX('2_IMPORTAR_EJECUCION'!$C$9:$C$1208,MATCH($AU844,'2_IMPORTAR_EJECUCION'!$J$9:$J$1208,0)),""),'CAT_ESTADOS_ERP'!$A$4:$A$22,0)),"Pendiente"))</f>
        <v/>
      </c>
      <c r="O844" s="24">
        <f>IF($J844="","",YEAR($J844+4-WEEKDAY($J844,2))&amp;"-S"&amp;TEXT(_xlfn.ISOWEEKNUM($J844),"00"))</f>
        <v/>
      </c>
      <c r="P844" s="24">
        <f>IF($J844="","",YEAR($J844))</f>
        <v/>
      </c>
      <c r="Q844" s="24">
        <f>IF($J844="","",MONTH($J844))</f>
        <v/>
      </c>
      <c r="R844" s="24">
        <f>IF($J844="","",$P844&amp;"-"&amp;TEXT($Q844,"00"))</f>
        <v/>
      </c>
      <c r="S844" s="24">
        <f>IF($J844="","",INDEX(lista_dias,WEEKDAY($J844,2)))</f>
        <v/>
      </c>
      <c r="T844" s="24">
        <f>IF($J844="","",IFERROR(INDEX('CALENDARIO'!$C$15:$C$214,MATCH(TEXT($J844,"yyyy-mm-dd")&amp;"|"&amp;$Y844&amp;"|"&amp;$Z844,'CALENDARIO'!$G$15:$G$214,0)),IFERROR(INDEX('CALENDARIO'!$C$15:$C$214,MATCH(TEXT($J844,"yyyy-mm-dd")&amp;"|"&amp;$Y844&amp;"|",'CALENDARIO'!$G$15:$G$214,0)),IFERROR(INDEX('CALENDARIO'!$C$15:$C$214,MATCH(TEXT($J844,"yyyy-mm-dd")&amp;"||",'CALENDARIO'!$G$15:$G$214,0)),INDEX(patronHabil,WEEKDAY($J844,2))))))</f>
        <v/>
      </c>
      <c r="U844" s="24">
        <f>IF($I844="","",IFERROR(INDEX('CAT_TIPOS_OT'!$C$4:$C$23,MATCH($I844,'CAT_TIPOS_OT'!$A$4:$A$23,0)),"sin_clasificar"))</f>
        <v/>
      </c>
      <c r="V844" s="24">
        <f>IF($I844="","",IF(IFERROR(INDEX('CAT_TIPOS_OT'!$D$4:$D$23,MATCH($I844,'CAT_TIPOS_OT'!$A$4:$A$23,0)),"SIN CLASIFICAR")="","SIN CLASIFICAR",IFERROR(INDEX('CAT_TIPOS_OT'!$D$4:$D$23,MATCH($I844,'CAT_TIPOS_OT'!$A$4:$A$23,0)),"SIN CLASIFICAR")))</f>
        <v/>
      </c>
      <c r="W844" s="24">
        <f>IF($H844="","",IF(IFERROR(INDEX('CAT_ACTIVIDADES'!$F$4:$F$26,MATCH($H844,'CAT_ACTIVIDADES'!$A$4:$A$26,0)),"")=0,"",IFERROR(INDEX('CAT_ACTIVIDADES'!$F$4:$F$26,MATCH($H844,'CAT_ACTIVIDADES'!$A$4:$A$26,0)),"")))</f>
        <v/>
      </c>
      <c r="X844" s="24">
        <f>IF($F844="","",IFERROR(INDEX('CAT_CENTROS_COSTO'!$F$4:$F$28,MATCH($F844,'CAT_CENTROS_COSTO'!$A$4:$A$28,0)),"(sin catálogo)"))</f>
        <v/>
      </c>
      <c r="Y844" s="24">
        <f>IF($F844="","",IFERROR(INDEX('CAT_CENTROS_COSTO'!$D$4:$D$28,MATCH($F844,'CAT_CENTROS_COSTO'!$A$4:$A$28,0)),"(sin catálogo)"))</f>
        <v/>
      </c>
      <c r="Z844" s="24">
        <f>IF($F844="","",IF((IFERROR(INDEX('CAT_CENTROS_COSTO'!$E$4:$E$28,MATCH($F844,'CAT_CENTROS_COSTO'!$A$4:$A$28,0)),""))&lt;&gt;"",IFERROR(INDEX('CAT_CENTROS_COSTO'!$E$4:$E$28,MATCH($F844,'CAT_CENTROS_COSTO'!$A$4:$A$28,0)),""),$Y844))</f>
        <v/>
      </c>
      <c r="AA844" s="24">
        <f>IF($F844="","",IFERROR(INDEX('CAT_CENTROS_COSTO'!$G$4:$G$28,MATCH($F844,'CAT_CENTROS_COSTO'!$A$4:$A$28,0)),"(sin catálogo)"))</f>
        <v/>
      </c>
      <c r="AB844" s="24">
        <f>IF($G844="","",IFERROR(INDEX('CAT_PUESTOS'!$B$4:$B$23,MATCH($G844,'CAT_PUESTOS'!$A$4:$A$23,0)),"(sin catálogo)"))</f>
        <v/>
      </c>
      <c r="AC844" s="24">
        <f>IF($H844="","",IFERROR(INDEX('CAT_ACTIVIDADES'!$B$4:$B$26,MATCH($H844,'CAT_ACTIVIDADES'!$A$4:$A$26,0)),"(sin catálogo)"))</f>
        <v/>
      </c>
      <c r="AD844" s="26">
        <f>IF($J844="","",TODAY()-$J844)</f>
        <v/>
      </c>
      <c r="AE844" s="26">
        <f>IF($J844="","",IF($J844&lt;=TODAY(),COUNTIFS(cal_fechas,"&gt;="&amp;$J844,cal_fechas,"&lt;"&amp;TODAY(),cal_habil,"sí"),-COUNTIFS(cal_fechas,"&gt;="&amp;TODAY(),cal_fechas,"&lt;"&amp;$J844,cal_habil,"sí")))</f>
        <v/>
      </c>
      <c r="AF844" s="24">
        <f>IF($AE844="","",IF($AE844&lt;0,"FUTURO",IF($AE844&gt;p_dias_backlog_max,"BACKLOG","MES CORRIENTE")))</f>
        <v/>
      </c>
      <c r="AG844" s="24">
        <f>IF($AE844="",FALSE,AND($AE844&gt;p_dias_backlog_min,$AE844&lt;=p_dias_backlog_max))</f>
        <v/>
      </c>
      <c r="AH844" s="4" t="n"/>
      <c r="AI844" s="24">
        <f>IF($AH844="","",IF((IFERROR(INDEX('ASIGNACIONES'!$J$4:$J$451,MATCH($O844&amp;"|"&amp;$S844&amp;"|"&amp;$AH844,'ASIGNACIONES'!$N$4:$N$451,0)),""))=0,"",IFERROR(INDEX('ASIGNACIONES'!$J$4:$J$451,MATCH($O844&amp;"|"&amp;$S844&amp;"|"&amp;$AH844,'ASIGNACIONES'!$N$4:$N$451,0)),"")))</f>
        <v/>
      </c>
      <c r="AJ844" s="42">
        <f>IF($AH844="","",SUMIFS('ORDENES'!$M$4:$M$1203,'ORDENES'!$AH$4:$AH$1203,$AH844,'ORDENES'!$O$4:$O$1203,$O844,'ORDENES'!$S$4:$S$1203,$S844))</f>
        <v/>
      </c>
      <c r="AK844" s="42">
        <f>IF($AJ844="","",p_factor_productividad*IFERROR(INDEX('ASIGNACIONES'!$M$4:$M$451,MATCH($O844&amp;"|"&amp;$S844&amp;"|"&amp;$AH844,'ASIGNACIONES'!$N$4:$N$451,0)),0)-$AJ844)</f>
        <v/>
      </c>
      <c r="AL844" s="32">
        <f>IF($A844="","",IFERROR(INDEX('2_IMPORTAR_EJECUCION'!$F$9:$F$1208,MATCH($AU844,'2_IMPORTAR_EJECUCION'!$J$9:$J$1208,0)),0))</f>
        <v/>
      </c>
      <c r="AM844" s="32">
        <f>IF($A844="","",MAX(0,IFERROR(INDEX('2_IMPORTAR_EJECUCION'!$H$9:$H$1208,MATCH($AU844,'2_IMPORTAR_EJECUCION'!$J$9:$J$1208,0)),0)-$AL844))</f>
        <v/>
      </c>
      <c r="AN844" s="32">
        <f>IF($A844="","",$AL844+$AM844)</f>
        <v/>
      </c>
      <c r="AO844" s="24">
        <f>IF($A844="","",IF(OR((IFERROR(INDEX('CAT_ACTIVIDADES'!$D$4:$D$26,MATCH($H844,'CAT_ACTIVIDADES'!$A$4:$A$26,0)),""))=0,(IFERROR(INDEX('CAT_ACTIVIDADES'!$D$4:$D$26,MATCH($H844,'CAT_ACTIVIDADES'!$A$4:$A$26,0)),""))=""),"SIN CLASIFICAR",IFERROR(INDEX('CAT_ACTIVIDADES'!$D$4:$D$26,MATCH($H844,'CAT_ACTIVIDADES'!$A$4:$A$26,0)),"")))</f>
        <v/>
      </c>
      <c r="AP844" s="4" t="n"/>
      <c r="AQ844" s="4" t="n"/>
      <c r="AR844" s="4" t="n"/>
      <c r="AS844" s="24">
        <f>IF($AR844="","",HYPERLINK(p_ruta_base_checklists&amp;$AR844,"abrir"))</f>
        <v/>
      </c>
      <c r="AT844" s="4" t="n"/>
      <c r="AU844" s="24">
        <f>IF($A844="","",$A844&amp;IF($B844="","0010",$B844))</f>
        <v/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41" t="n"/>
      <c r="K845" s="5" t="n"/>
      <c r="L845" s="18" t="n"/>
      <c r="M845" s="24">
        <f>IF($A845="","",IFERROR(INDEX('AJUSTES'!$B$4:$B$303,MATCH($AU845,'AJUSTES'!$A$4:$A$303,0)),IF($K845="","",$K845)))</f>
        <v/>
      </c>
      <c r="N845" s="24">
        <f>IF($A845="","",IFERROR(INDEX('CAT_ESTADOS_ERP'!$B$4:$B$22,MATCH(IFERROR(INDEX('2_IMPORTAR_EJECUCION'!$C$9:$C$1208,MATCH($AU845,'2_IMPORTAR_EJECUCION'!$J$9:$J$1208,0)),""),'CAT_ESTADOS_ERP'!$A$4:$A$22,0)),"Pendiente"))</f>
        <v/>
      </c>
      <c r="O845" s="24">
        <f>IF($J845="","",YEAR($J845+4-WEEKDAY($J845,2))&amp;"-S"&amp;TEXT(_xlfn.ISOWEEKNUM($J845),"00"))</f>
        <v/>
      </c>
      <c r="P845" s="24">
        <f>IF($J845="","",YEAR($J845))</f>
        <v/>
      </c>
      <c r="Q845" s="24">
        <f>IF($J845="","",MONTH($J845))</f>
        <v/>
      </c>
      <c r="R845" s="24">
        <f>IF($J845="","",$P845&amp;"-"&amp;TEXT($Q845,"00"))</f>
        <v/>
      </c>
      <c r="S845" s="24">
        <f>IF($J845="","",INDEX(lista_dias,WEEKDAY($J845,2)))</f>
        <v/>
      </c>
      <c r="T845" s="24">
        <f>IF($J845="","",IFERROR(INDEX('CALENDARIO'!$C$15:$C$214,MATCH(TEXT($J845,"yyyy-mm-dd")&amp;"|"&amp;$Y845&amp;"|"&amp;$Z845,'CALENDARIO'!$G$15:$G$214,0)),IFERROR(INDEX('CALENDARIO'!$C$15:$C$214,MATCH(TEXT($J845,"yyyy-mm-dd")&amp;"|"&amp;$Y845&amp;"|",'CALENDARIO'!$G$15:$G$214,0)),IFERROR(INDEX('CALENDARIO'!$C$15:$C$214,MATCH(TEXT($J845,"yyyy-mm-dd")&amp;"||",'CALENDARIO'!$G$15:$G$214,0)),INDEX(patronHabil,WEEKDAY($J845,2))))))</f>
        <v/>
      </c>
      <c r="U845" s="24">
        <f>IF($I845="","",IFERROR(INDEX('CAT_TIPOS_OT'!$C$4:$C$23,MATCH($I845,'CAT_TIPOS_OT'!$A$4:$A$23,0)),"sin_clasificar"))</f>
        <v/>
      </c>
      <c r="V845" s="24">
        <f>IF($I845="","",IF(IFERROR(INDEX('CAT_TIPOS_OT'!$D$4:$D$23,MATCH($I845,'CAT_TIPOS_OT'!$A$4:$A$23,0)),"SIN CLASIFICAR")="","SIN CLASIFICAR",IFERROR(INDEX('CAT_TIPOS_OT'!$D$4:$D$23,MATCH($I845,'CAT_TIPOS_OT'!$A$4:$A$23,0)),"SIN CLASIFICAR")))</f>
        <v/>
      </c>
      <c r="W845" s="24">
        <f>IF($H845="","",IF(IFERROR(INDEX('CAT_ACTIVIDADES'!$F$4:$F$26,MATCH($H845,'CAT_ACTIVIDADES'!$A$4:$A$26,0)),"")=0,"",IFERROR(INDEX('CAT_ACTIVIDADES'!$F$4:$F$26,MATCH($H845,'CAT_ACTIVIDADES'!$A$4:$A$26,0)),"")))</f>
        <v/>
      </c>
      <c r="X845" s="24">
        <f>IF($F845="","",IFERROR(INDEX('CAT_CENTROS_COSTO'!$F$4:$F$28,MATCH($F845,'CAT_CENTROS_COSTO'!$A$4:$A$28,0)),"(sin catálogo)"))</f>
        <v/>
      </c>
      <c r="Y845" s="24">
        <f>IF($F845="","",IFERROR(INDEX('CAT_CENTROS_COSTO'!$D$4:$D$28,MATCH($F845,'CAT_CENTROS_COSTO'!$A$4:$A$28,0)),"(sin catálogo)"))</f>
        <v/>
      </c>
      <c r="Z845" s="24">
        <f>IF($F845="","",IF((IFERROR(INDEX('CAT_CENTROS_COSTO'!$E$4:$E$28,MATCH($F845,'CAT_CENTROS_COSTO'!$A$4:$A$28,0)),""))&lt;&gt;"",IFERROR(INDEX('CAT_CENTROS_COSTO'!$E$4:$E$28,MATCH($F845,'CAT_CENTROS_COSTO'!$A$4:$A$28,0)),""),$Y845))</f>
        <v/>
      </c>
      <c r="AA845" s="24">
        <f>IF($F845="","",IFERROR(INDEX('CAT_CENTROS_COSTO'!$G$4:$G$28,MATCH($F845,'CAT_CENTROS_COSTO'!$A$4:$A$28,0)),"(sin catálogo)"))</f>
        <v/>
      </c>
      <c r="AB845" s="24">
        <f>IF($G845="","",IFERROR(INDEX('CAT_PUESTOS'!$B$4:$B$23,MATCH($G845,'CAT_PUESTOS'!$A$4:$A$23,0)),"(sin catálogo)"))</f>
        <v/>
      </c>
      <c r="AC845" s="24">
        <f>IF($H845="","",IFERROR(INDEX('CAT_ACTIVIDADES'!$B$4:$B$26,MATCH($H845,'CAT_ACTIVIDADES'!$A$4:$A$26,0)),"(sin catálogo)"))</f>
        <v/>
      </c>
      <c r="AD845" s="26">
        <f>IF($J845="","",TODAY()-$J845)</f>
        <v/>
      </c>
      <c r="AE845" s="26">
        <f>IF($J845="","",IF($J845&lt;=TODAY(),COUNTIFS(cal_fechas,"&gt;="&amp;$J845,cal_fechas,"&lt;"&amp;TODAY(),cal_habil,"sí"),-COUNTIFS(cal_fechas,"&gt;="&amp;TODAY(),cal_fechas,"&lt;"&amp;$J845,cal_habil,"sí")))</f>
        <v/>
      </c>
      <c r="AF845" s="24">
        <f>IF($AE845="","",IF($AE845&lt;0,"FUTURO",IF($AE845&gt;p_dias_backlog_max,"BACKLOG","MES CORRIENTE")))</f>
        <v/>
      </c>
      <c r="AG845" s="24">
        <f>IF($AE845="",FALSE,AND($AE845&gt;p_dias_backlog_min,$AE845&lt;=p_dias_backlog_max))</f>
        <v/>
      </c>
      <c r="AH845" s="4" t="n"/>
      <c r="AI845" s="24">
        <f>IF($AH845="","",IF((IFERROR(INDEX('ASIGNACIONES'!$J$4:$J$451,MATCH($O845&amp;"|"&amp;$S845&amp;"|"&amp;$AH845,'ASIGNACIONES'!$N$4:$N$451,0)),""))=0,"",IFERROR(INDEX('ASIGNACIONES'!$J$4:$J$451,MATCH($O845&amp;"|"&amp;$S845&amp;"|"&amp;$AH845,'ASIGNACIONES'!$N$4:$N$451,0)),"")))</f>
        <v/>
      </c>
      <c r="AJ845" s="42">
        <f>IF($AH845="","",SUMIFS('ORDENES'!$M$4:$M$1203,'ORDENES'!$AH$4:$AH$1203,$AH845,'ORDENES'!$O$4:$O$1203,$O845,'ORDENES'!$S$4:$S$1203,$S845))</f>
        <v/>
      </c>
      <c r="AK845" s="42">
        <f>IF($AJ845="","",p_factor_productividad*IFERROR(INDEX('ASIGNACIONES'!$M$4:$M$451,MATCH($O845&amp;"|"&amp;$S845&amp;"|"&amp;$AH845,'ASIGNACIONES'!$N$4:$N$451,0)),0)-$AJ845)</f>
        <v/>
      </c>
      <c r="AL845" s="32">
        <f>IF($A845="","",IFERROR(INDEX('2_IMPORTAR_EJECUCION'!$F$9:$F$1208,MATCH($AU845,'2_IMPORTAR_EJECUCION'!$J$9:$J$1208,0)),0))</f>
        <v/>
      </c>
      <c r="AM845" s="32">
        <f>IF($A845="","",MAX(0,IFERROR(INDEX('2_IMPORTAR_EJECUCION'!$H$9:$H$1208,MATCH($AU845,'2_IMPORTAR_EJECUCION'!$J$9:$J$1208,0)),0)-$AL845))</f>
        <v/>
      </c>
      <c r="AN845" s="32">
        <f>IF($A845="","",$AL845+$AM845)</f>
        <v/>
      </c>
      <c r="AO845" s="24">
        <f>IF($A845="","",IF(OR((IFERROR(INDEX('CAT_ACTIVIDADES'!$D$4:$D$26,MATCH($H845,'CAT_ACTIVIDADES'!$A$4:$A$26,0)),""))=0,(IFERROR(INDEX('CAT_ACTIVIDADES'!$D$4:$D$26,MATCH($H845,'CAT_ACTIVIDADES'!$A$4:$A$26,0)),""))=""),"SIN CLASIFICAR",IFERROR(INDEX('CAT_ACTIVIDADES'!$D$4:$D$26,MATCH($H845,'CAT_ACTIVIDADES'!$A$4:$A$26,0)),"")))</f>
        <v/>
      </c>
      <c r="AP845" s="4" t="n"/>
      <c r="AQ845" s="4" t="n"/>
      <c r="AR845" s="4" t="n"/>
      <c r="AS845" s="24">
        <f>IF($AR845="","",HYPERLINK(p_ruta_base_checklists&amp;$AR845,"abrir"))</f>
        <v/>
      </c>
      <c r="AT845" s="4" t="n"/>
      <c r="AU845" s="24">
        <f>IF($A845="","",$A845&amp;IF($B845="","0010",$B845))</f>
        <v/>
      </c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41" t="n"/>
      <c r="K846" s="5" t="n"/>
      <c r="L846" s="18" t="n"/>
      <c r="M846" s="24">
        <f>IF($A846="","",IFERROR(INDEX('AJUSTES'!$B$4:$B$303,MATCH($AU846,'AJUSTES'!$A$4:$A$303,0)),IF($K846="","",$K846)))</f>
        <v/>
      </c>
      <c r="N846" s="24">
        <f>IF($A846="","",IFERROR(INDEX('CAT_ESTADOS_ERP'!$B$4:$B$22,MATCH(IFERROR(INDEX('2_IMPORTAR_EJECUCION'!$C$9:$C$1208,MATCH($AU846,'2_IMPORTAR_EJECUCION'!$J$9:$J$1208,0)),""),'CAT_ESTADOS_ERP'!$A$4:$A$22,0)),"Pendiente"))</f>
        <v/>
      </c>
      <c r="O846" s="24">
        <f>IF($J846="","",YEAR($J846+4-WEEKDAY($J846,2))&amp;"-S"&amp;TEXT(_xlfn.ISOWEEKNUM($J846),"00"))</f>
        <v/>
      </c>
      <c r="P846" s="24">
        <f>IF($J846="","",YEAR($J846))</f>
        <v/>
      </c>
      <c r="Q846" s="24">
        <f>IF($J846="","",MONTH($J846))</f>
        <v/>
      </c>
      <c r="R846" s="24">
        <f>IF($J846="","",$P846&amp;"-"&amp;TEXT($Q846,"00"))</f>
        <v/>
      </c>
      <c r="S846" s="24">
        <f>IF($J846="","",INDEX(lista_dias,WEEKDAY($J846,2)))</f>
        <v/>
      </c>
      <c r="T846" s="24">
        <f>IF($J846="","",IFERROR(INDEX('CALENDARIO'!$C$15:$C$214,MATCH(TEXT($J846,"yyyy-mm-dd")&amp;"|"&amp;$Y846&amp;"|"&amp;$Z846,'CALENDARIO'!$G$15:$G$214,0)),IFERROR(INDEX('CALENDARIO'!$C$15:$C$214,MATCH(TEXT($J846,"yyyy-mm-dd")&amp;"|"&amp;$Y846&amp;"|",'CALENDARIO'!$G$15:$G$214,0)),IFERROR(INDEX('CALENDARIO'!$C$15:$C$214,MATCH(TEXT($J846,"yyyy-mm-dd")&amp;"||",'CALENDARIO'!$G$15:$G$214,0)),INDEX(patronHabil,WEEKDAY($J846,2))))))</f>
        <v/>
      </c>
      <c r="U846" s="24">
        <f>IF($I846="","",IFERROR(INDEX('CAT_TIPOS_OT'!$C$4:$C$23,MATCH($I846,'CAT_TIPOS_OT'!$A$4:$A$23,0)),"sin_clasificar"))</f>
        <v/>
      </c>
      <c r="V846" s="24">
        <f>IF($I846="","",IF(IFERROR(INDEX('CAT_TIPOS_OT'!$D$4:$D$23,MATCH($I846,'CAT_TIPOS_OT'!$A$4:$A$23,0)),"SIN CLASIFICAR")="","SIN CLASIFICAR",IFERROR(INDEX('CAT_TIPOS_OT'!$D$4:$D$23,MATCH($I846,'CAT_TIPOS_OT'!$A$4:$A$23,0)),"SIN CLASIFICAR")))</f>
        <v/>
      </c>
      <c r="W846" s="24">
        <f>IF($H846="","",IF(IFERROR(INDEX('CAT_ACTIVIDADES'!$F$4:$F$26,MATCH($H846,'CAT_ACTIVIDADES'!$A$4:$A$26,0)),"")=0,"",IFERROR(INDEX('CAT_ACTIVIDADES'!$F$4:$F$26,MATCH($H846,'CAT_ACTIVIDADES'!$A$4:$A$26,0)),"")))</f>
        <v/>
      </c>
      <c r="X846" s="24">
        <f>IF($F846="","",IFERROR(INDEX('CAT_CENTROS_COSTO'!$F$4:$F$28,MATCH($F846,'CAT_CENTROS_COSTO'!$A$4:$A$28,0)),"(sin catálogo)"))</f>
        <v/>
      </c>
      <c r="Y846" s="24">
        <f>IF($F846="","",IFERROR(INDEX('CAT_CENTROS_COSTO'!$D$4:$D$28,MATCH($F846,'CAT_CENTROS_COSTO'!$A$4:$A$28,0)),"(sin catálogo)"))</f>
        <v/>
      </c>
      <c r="Z846" s="24">
        <f>IF($F846="","",IF((IFERROR(INDEX('CAT_CENTROS_COSTO'!$E$4:$E$28,MATCH($F846,'CAT_CENTROS_COSTO'!$A$4:$A$28,0)),""))&lt;&gt;"",IFERROR(INDEX('CAT_CENTROS_COSTO'!$E$4:$E$28,MATCH($F846,'CAT_CENTROS_COSTO'!$A$4:$A$28,0)),""),$Y846))</f>
        <v/>
      </c>
      <c r="AA846" s="24">
        <f>IF($F846="","",IFERROR(INDEX('CAT_CENTROS_COSTO'!$G$4:$G$28,MATCH($F846,'CAT_CENTROS_COSTO'!$A$4:$A$28,0)),"(sin catálogo)"))</f>
        <v/>
      </c>
      <c r="AB846" s="24">
        <f>IF($G846="","",IFERROR(INDEX('CAT_PUESTOS'!$B$4:$B$23,MATCH($G846,'CAT_PUESTOS'!$A$4:$A$23,0)),"(sin catálogo)"))</f>
        <v/>
      </c>
      <c r="AC846" s="24">
        <f>IF($H846="","",IFERROR(INDEX('CAT_ACTIVIDADES'!$B$4:$B$26,MATCH($H846,'CAT_ACTIVIDADES'!$A$4:$A$26,0)),"(sin catálogo)"))</f>
        <v/>
      </c>
      <c r="AD846" s="26">
        <f>IF($J846="","",TODAY()-$J846)</f>
        <v/>
      </c>
      <c r="AE846" s="26">
        <f>IF($J846="","",IF($J846&lt;=TODAY(),COUNTIFS(cal_fechas,"&gt;="&amp;$J846,cal_fechas,"&lt;"&amp;TODAY(),cal_habil,"sí"),-COUNTIFS(cal_fechas,"&gt;="&amp;TODAY(),cal_fechas,"&lt;"&amp;$J846,cal_habil,"sí")))</f>
        <v/>
      </c>
      <c r="AF846" s="24">
        <f>IF($AE846="","",IF($AE846&lt;0,"FUTURO",IF($AE846&gt;p_dias_backlog_max,"BACKLOG","MES CORRIENTE")))</f>
        <v/>
      </c>
      <c r="AG846" s="24">
        <f>IF($AE846="",FALSE,AND($AE846&gt;p_dias_backlog_min,$AE846&lt;=p_dias_backlog_max))</f>
        <v/>
      </c>
      <c r="AH846" s="4" t="n"/>
      <c r="AI846" s="24">
        <f>IF($AH846="","",IF((IFERROR(INDEX('ASIGNACIONES'!$J$4:$J$451,MATCH($O846&amp;"|"&amp;$S846&amp;"|"&amp;$AH846,'ASIGNACIONES'!$N$4:$N$451,0)),""))=0,"",IFERROR(INDEX('ASIGNACIONES'!$J$4:$J$451,MATCH($O846&amp;"|"&amp;$S846&amp;"|"&amp;$AH846,'ASIGNACIONES'!$N$4:$N$451,0)),"")))</f>
        <v/>
      </c>
      <c r="AJ846" s="42">
        <f>IF($AH846="","",SUMIFS('ORDENES'!$M$4:$M$1203,'ORDENES'!$AH$4:$AH$1203,$AH846,'ORDENES'!$O$4:$O$1203,$O846,'ORDENES'!$S$4:$S$1203,$S846))</f>
        <v/>
      </c>
      <c r="AK846" s="42">
        <f>IF($AJ846="","",p_factor_productividad*IFERROR(INDEX('ASIGNACIONES'!$M$4:$M$451,MATCH($O846&amp;"|"&amp;$S846&amp;"|"&amp;$AH846,'ASIGNACIONES'!$N$4:$N$451,0)),0)-$AJ846)</f>
        <v/>
      </c>
      <c r="AL846" s="32">
        <f>IF($A846="","",IFERROR(INDEX('2_IMPORTAR_EJECUCION'!$F$9:$F$1208,MATCH($AU846,'2_IMPORTAR_EJECUCION'!$J$9:$J$1208,0)),0))</f>
        <v/>
      </c>
      <c r="AM846" s="32">
        <f>IF($A846="","",MAX(0,IFERROR(INDEX('2_IMPORTAR_EJECUCION'!$H$9:$H$1208,MATCH($AU846,'2_IMPORTAR_EJECUCION'!$J$9:$J$1208,0)),0)-$AL846))</f>
        <v/>
      </c>
      <c r="AN846" s="32">
        <f>IF($A846="","",$AL846+$AM846)</f>
        <v/>
      </c>
      <c r="AO846" s="24">
        <f>IF($A846="","",IF(OR((IFERROR(INDEX('CAT_ACTIVIDADES'!$D$4:$D$26,MATCH($H846,'CAT_ACTIVIDADES'!$A$4:$A$26,0)),""))=0,(IFERROR(INDEX('CAT_ACTIVIDADES'!$D$4:$D$26,MATCH($H846,'CAT_ACTIVIDADES'!$A$4:$A$26,0)),""))=""),"SIN CLASIFICAR",IFERROR(INDEX('CAT_ACTIVIDADES'!$D$4:$D$26,MATCH($H846,'CAT_ACTIVIDADES'!$A$4:$A$26,0)),"")))</f>
        <v/>
      </c>
      <c r="AP846" s="4" t="n"/>
      <c r="AQ846" s="4" t="n"/>
      <c r="AR846" s="4" t="n"/>
      <c r="AS846" s="24">
        <f>IF($AR846="","",HYPERLINK(p_ruta_base_checklists&amp;$AR846,"abrir"))</f>
        <v/>
      </c>
      <c r="AT846" s="4" t="n"/>
      <c r="AU846" s="24">
        <f>IF($A846="","",$A846&amp;IF($B846="","0010",$B846))</f>
        <v/>
      </c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41" t="n"/>
      <c r="K847" s="5" t="n"/>
      <c r="L847" s="18" t="n"/>
      <c r="M847" s="24">
        <f>IF($A847="","",IFERROR(INDEX('AJUSTES'!$B$4:$B$303,MATCH($AU847,'AJUSTES'!$A$4:$A$303,0)),IF($K847="","",$K847)))</f>
        <v/>
      </c>
      <c r="N847" s="24">
        <f>IF($A847="","",IFERROR(INDEX('CAT_ESTADOS_ERP'!$B$4:$B$22,MATCH(IFERROR(INDEX('2_IMPORTAR_EJECUCION'!$C$9:$C$1208,MATCH($AU847,'2_IMPORTAR_EJECUCION'!$J$9:$J$1208,0)),""),'CAT_ESTADOS_ERP'!$A$4:$A$22,0)),"Pendiente"))</f>
        <v/>
      </c>
      <c r="O847" s="24">
        <f>IF($J847="","",YEAR($J847+4-WEEKDAY($J847,2))&amp;"-S"&amp;TEXT(_xlfn.ISOWEEKNUM($J847),"00"))</f>
        <v/>
      </c>
      <c r="P847" s="24">
        <f>IF($J847="","",YEAR($J847))</f>
        <v/>
      </c>
      <c r="Q847" s="24">
        <f>IF($J847="","",MONTH($J847))</f>
        <v/>
      </c>
      <c r="R847" s="24">
        <f>IF($J847="","",$P847&amp;"-"&amp;TEXT($Q847,"00"))</f>
        <v/>
      </c>
      <c r="S847" s="24">
        <f>IF($J847="","",INDEX(lista_dias,WEEKDAY($J847,2)))</f>
        <v/>
      </c>
      <c r="T847" s="24">
        <f>IF($J847="","",IFERROR(INDEX('CALENDARIO'!$C$15:$C$214,MATCH(TEXT($J847,"yyyy-mm-dd")&amp;"|"&amp;$Y847&amp;"|"&amp;$Z847,'CALENDARIO'!$G$15:$G$214,0)),IFERROR(INDEX('CALENDARIO'!$C$15:$C$214,MATCH(TEXT($J847,"yyyy-mm-dd")&amp;"|"&amp;$Y847&amp;"|",'CALENDARIO'!$G$15:$G$214,0)),IFERROR(INDEX('CALENDARIO'!$C$15:$C$214,MATCH(TEXT($J847,"yyyy-mm-dd")&amp;"||",'CALENDARIO'!$G$15:$G$214,0)),INDEX(patronHabil,WEEKDAY($J847,2))))))</f>
        <v/>
      </c>
      <c r="U847" s="24">
        <f>IF($I847="","",IFERROR(INDEX('CAT_TIPOS_OT'!$C$4:$C$23,MATCH($I847,'CAT_TIPOS_OT'!$A$4:$A$23,0)),"sin_clasificar"))</f>
        <v/>
      </c>
      <c r="V847" s="24">
        <f>IF($I847="","",IF(IFERROR(INDEX('CAT_TIPOS_OT'!$D$4:$D$23,MATCH($I847,'CAT_TIPOS_OT'!$A$4:$A$23,0)),"SIN CLASIFICAR")="","SIN CLASIFICAR",IFERROR(INDEX('CAT_TIPOS_OT'!$D$4:$D$23,MATCH($I847,'CAT_TIPOS_OT'!$A$4:$A$23,0)),"SIN CLASIFICAR")))</f>
        <v/>
      </c>
      <c r="W847" s="24">
        <f>IF($H847="","",IF(IFERROR(INDEX('CAT_ACTIVIDADES'!$F$4:$F$26,MATCH($H847,'CAT_ACTIVIDADES'!$A$4:$A$26,0)),"")=0,"",IFERROR(INDEX('CAT_ACTIVIDADES'!$F$4:$F$26,MATCH($H847,'CAT_ACTIVIDADES'!$A$4:$A$26,0)),"")))</f>
        <v/>
      </c>
      <c r="X847" s="24">
        <f>IF($F847="","",IFERROR(INDEX('CAT_CENTROS_COSTO'!$F$4:$F$28,MATCH($F847,'CAT_CENTROS_COSTO'!$A$4:$A$28,0)),"(sin catálogo)"))</f>
        <v/>
      </c>
      <c r="Y847" s="24">
        <f>IF($F847="","",IFERROR(INDEX('CAT_CENTROS_COSTO'!$D$4:$D$28,MATCH($F847,'CAT_CENTROS_COSTO'!$A$4:$A$28,0)),"(sin catálogo)"))</f>
        <v/>
      </c>
      <c r="Z847" s="24">
        <f>IF($F847="","",IF((IFERROR(INDEX('CAT_CENTROS_COSTO'!$E$4:$E$28,MATCH($F847,'CAT_CENTROS_COSTO'!$A$4:$A$28,0)),""))&lt;&gt;"",IFERROR(INDEX('CAT_CENTROS_COSTO'!$E$4:$E$28,MATCH($F847,'CAT_CENTROS_COSTO'!$A$4:$A$28,0)),""),$Y847))</f>
        <v/>
      </c>
      <c r="AA847" s="24">
        <f>IF($F847="","",IFERROR(INDEX('CAT_CENTROS_COSTO'!$G$4:$G$28,MATCH($F847,'CAT_CENTROS_COSTO'!$A$4:$A$28,0)),"(sin catálogo)"))</f>
        <v/>
      </c>
      <c r="AB847" s="24">
        <f>IF($G847="","",IFERROR(INDEX('CAT_PUESTOS'!$B$4:$B$23,MATCH($G847,'CAT_PUESTOS'!$A$4:$A$23,0)),"(sin catálogo)"))</f>
        <v/>
      </c>
      <c r="AC847" s="24">
        <f>IF($H847="","",IFERROR(INDEX('CAT_ACTIVIDADES'!$B$4:$B$26,MATCH($H847,'CAT_ACTIVIDADES'!$A$4:$A$26,0)),"(sin catálogo)"))</f>
        <v/>
      </c>
      <c r="AD847" s="26">
        <f>IF($J847="","",TODAY()-$J847)</f>
        <v/>
      </c>
      <c r="AE847" s="26">
        <f>IF($J847="","",IF($J847&lt;=TODAY(),COUNTIFS(cal_fechas,"&gt;="&amp;$J847,cal_fechas,"&lt;"&amp;TODAY(),cal_habil,"sí"),-COUNTIFS(cal_fechas,"&gt;="&amp;TODAY(),cal_fechas,"&lt;"&amp;$J847,cal_habil,"sí")))</f>
        <v/>
      </c>
      <c r="AF847" s="24">
        <f>IF($AE847="","",IF($AE847&lt;0,"FUTURO",IF($AE847&gt;p_dias_backlog_max,"BACKLOG","MES CORRIENTE")))</f>
        <v/>
      </c>
      <c r="AG847" s="24">
        <f>IF($AE847="",FALSE,AND($AE847&gt;p_dias_backlog_min,$AE847&lt;=p_dias_backlog_max))</f>
        <v/>
      </c>
      <c r="AH847" s="4" t="n"/>
      <c r="AI847" s="24">
        <f>IF($AH847="","",IF((IFERROR(INDEX('ASIGNACIONES'!$J$4:$J$451,MATCH($O847&amp;"|"&amp;$S847&amp;"|"&amp;$AH847,'ASIGNACIONES'!$N$4:$N$451,0)),""))=0,"",IFERROR(INDEX('ASIGNACIONES'!$J$4:$J$451,MATCH($O847&amp;"|"&amp;$S847&amp;"|"&amp;$AH847,'ASIGNACIONES'!$N$4:$N$451,0)),"")))</f>
        <v/>
      </c>
      <c r="AJ847" s="42">
        <f>IF($AH847="","",SUMIFS('ORDENES'!$M$4:$M$1203,'ORDENES'!$AH$4:$AH$1203,$AH847,'ORDENES'!$O$4:$O$1203,$O847,'ORDENES'!$S$4:$S$1203,$S847))</f>
        <v/>
      </c>
      <c r="AK847" s="42">
        <f>IF($AJ847="","",p_factor_productividad*IFERROR(INDEX('ASIGNACIONES'!$M$4:$M$451,MATCH($O847&amp;"|"&amp;$S847&amp;"|"&amp;$AH847,'ASIGNACIONES'!$N$4:$N$451,0)),0)-$AJ847)</f>
        <v/>
      </c>
      <c r="AL847" s="32">
        <f>IF($A847="","",IFERROR(INDEX('2_IMPORTAR_EJECUCION'!$F$9:$F$1208,MATCH($AU847,'2_IMPORTAR_EJECUCION'!$J$9:$J$1208,0)),0))</f>
        <v/>
      </c>
      <c r="AM847" s="32">
        <f>IF($A847="","",MAX(0,IFERROR(INDEX('2_IMPORTAR_EJECUCION'!$H$9:$H$1208,MATCH($AU847,'2_IMPORTAR_EJECUCION'!$J$9:$J$1208,0)),0)-$AL847))</f>
        <v/>
      </c>
      <c r="AN847" s="32">
        <f>IF($A847="","",$AL847+$AM847)</f>
        <v/>
      </c>
      <c r="AO847" s="24">
        <f>IF($A847="","",IF(OR((IFERROR(INDEX('CAT_ACTIVIDADES'!$D$4:$D$26,MATCH($H847,'CAT_ACTIVIDADES'!$A$4:$A$26,0)),""))=0,(IFERROR(INDEX('CAT_ACTIVIDADES'!$D$4:$D$26,MATCH($H847,'CAT_ACTIVIDADES'!$A$4:$A$26,0)),""))=""),"SIN CLASIFICAR",IFERROR(INDEX('CAT_ACTIVIDADES'!$D$4:$D$26,MATCH($H847,'CAT_ACTIVIDADES'!$A$4:$A$26,0)),"")))</f>
        <v/>
      </c>
      <c r="AP847" s="4" t="n"/>
      <c r="AQ847" s="4" t="n"/>
      <c r="AR847" s="4" t="n"/>
      <c r="AS847" s="24">
        <f>IF($AR847="","",HYPERLINK(p_ruta_base_checklists&amp;$AR847,"abrir"))</f>
        <v/>
      </c>
      <c r="AT847" s="4" t="n"/>
      <c r="AU847" s="24">
        <f>IF($A847="","",$A847&amp;IF($B847="","0010",$B847))</f>
        <v/>
      </c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41" t="n"/>
      <c r="K848" s="5" t="n"/>
      <c r="L848" s="18" t="n"/>
      <c r="M848" s="24">
        <f>IF($A848="","",IFERROR(INDEX('AJUSTES'!$B$4:$B$303,MATCH($AU848,'AJUSTES'!$A$4:$A$303,0)),IF($K848="","",$K848)))</f>
        <v/>
      </c>
      <c r="N848" s="24">
        <f>IF($A848="","",IFERROR(INDEX('CAT_ESTADOS_ERP'!$B$4:$B$22,MATCH(IFERROR(INDEX('2_IMPORTAR_EJECUCION'!$C$9:$C$1208,MATCH($AU848,'2_IMPORTAR_EJECUCION'!$J$9:$J$1208,0)),""),'CAT_ESTADOS_ERP'!$A$4:$A$22,0)),"Pendiente"))</f>
        <v/>
      </c>
      <c r="O848" s="24">
        <f>IF($J848="","",YEAR($J848+4-WEEKDAY($J848,2))&amp;"-S"&amp;TEXT(_xlfn.ISOWEEKNUM($J848),"00"))</f>
        <v/>
      </c>
      <c r="P848" s="24">
        <f>IF($J848="","",YEAR($J848))</f>
        <v/>
      </c>
      <c r="Q848" s="24">
        <f>IF($J848="","",MONTH($J848))</f>
        <v/>
      </c>
      <c r="R848" s="24">
        <f>IF($J848="","",$P848&amp;"-"&amp;TEXT($Q848,"00"))</f>
        <v/>
      </c>
      <c r="S848" s="24">
        <f>IF($J848="","",INDEX(lista_dias,WEEKDAY($J848,2)))</f>
        <v/>
      </c>
      <c r="T848" s="24">
        <f>IF($J848="","",IFERROR(INDEX('CALENDARIO'!$C$15:$C$214,MATCH(TEXT($J848,"yyyy-mm-dd")&amp;"|"&amp;$Y848&amp;"|"&amp;$Z848,'CALENDARIO'!$G$15:$G$214,0)),IFERROR(INDEX('CALENDARIO'!$C$15:$C$214,MATCH(TEXT($J848,"yyyy-mm-dd")&amp;"|"&amp;$Y848&amp;"|",'CALENDARIO'!$G$15:$G$214,0)),IFERROR(INDEX('CALENDARIO'!$C$15:$C$214,MATCH(TEXT($J848,"yyyy-mm-dd")&amp;"||",'CALENDARIO'!$G$15:$G$214,0)),INDEX(patronHabil,WEEKDAY($J848,2))))))</f>
        <v/>
      </c>
      <c r="U848" s="24">
        <f>IF($I848="","",IFERROR(INDEX('CAT_TIPOS_OT'!$C$4:$C$23,MATCH($I848,'CAT_TIPOS_OT'!$A$4:$A$23,0)),"sin_clasificar"))</f>
        <v/>
      </c>
      <c r="V848" s="24">
        <f>IF($I848="","",IF(IFERROR(INDEX('CAT_TIPOS_OT'!$D$4:$D$23,MATCH($I848,'CAT_TIPOS_OT'!$A$4:$A$23,0)),"SIN CLASIFICAR")="","SIN CLASIFICAR",IFERROR(INDEX('CAT_TIPOS_OT'!$D$4:$D$23,MATCH($I848,'CAT_TIPOS_OT'!$A$4:$A$23,0)),"SIN CLASIFICAR")))</f>
        <v/>
      </c>
      <c r="W848" s="24">
        <f>IF($H848="","",IF(IFERROR(INDEX('CAT_ACTIVIDADES'!$F$4:$F$26,MATCH($H848,'CAT_ACTIVIDADES'!$A$4:$A$26,0)),"")=0,"",IFERROR(INDEX('CAT_ACTIVIDADES'!$F$4:$F$26,MATCH($H848,'CAT_ACTIVIDADES'!$A$4:$A$26,0)),"")))</f>
        <v/>
      </c>
      <c r="X848" s="24">
        <f>IF($F848="","",IFERROR(INDEX('CAT_CENTROS_COSTO'!$F$4:$F$28,MATCH($F848,'CAT_CENTROS_COSTO'!$A$4:$A$28,0)),"(sin catálogo)"))</f>
        <v/>
      </c>
      <c r="Y848" s="24">
        <f>IF($F848="","",IFERROR(INDEX('CAT_CENTROS_COSTO'!$D$4:$D$28,MATCH($F848,'CAT_CENTROS_COSTO'!$A$4:$A$28,0)),"(sin catálogo)"))</f>
        <v/>
      </c>
      <c r="Z848" s="24">
        <f>IF($F848="","",IF((IFERROR(INDEX('CAT_CENTROS_COSTO'!$E$4:$E$28,MATCH($F848,'CAT_CENTROS_COSTO'!$A$4:$A$28,0)),""))&lt;&gt;"",IFERROR(INDEX('CAT_CENTROS_COSTO'!$E$4:$E$28,MATCH($F848,'CAT_CENTROS_COSTO'!$A$4:$A$28,0)),""),$Y848))</f>
        <v/>
      </c>
      <c r="AA848" s="24">
        <f>IF($F848="","",IFERROR(INDEX('CAT_CENTROS_COSTO'!$G$4:$G$28,MATCH($F848,'CAT_CENTROS_COSTO'!$A$4:$A$28,0)),"(sin catálogo)"))</f>
        <v/>
      </c>
      <c r="AB848" s="24">
        <f>IF($G848="","",IFERROR(INDEX('CAT_PUESTOS'!$B$4:$B$23,MATCH($G848,'CAT_PUESTOS'!$A$4:$A$23,0)),"(sin catálogo)"))</f>
        <v/>
      </c>
      <c r="AC848" s="24">
        <f>IF($H848="","",IFERROR(INDEX('CAT_ACTIVIDADES'!$B$4:$B$26,MATCH($H848,'CAT_ACTIVIDADES'!$A$4:$A$26,0)),"(sin catálogo)"))</f>
        <v/>
      </c>
      <c r="AD848" s="26">
        <f>IF($J848="","",TODAY()-$J848)</f>
        <v/>
      </c>
      <c r="AE848" s="26">
        <f>IF($J848="","",IF($J848&lt;=TODAY(),COUNTIFS(cal_fechas,"&gt;="&amp;$J848,cal_fechas,"&lt;"&amp;TODAY(),cal_habil,"sí"),-COUNTIFS(cal_fechas,"&gt;="&amp;TODAY(),cal_fechas,"&lt;"&amp;$J848,cal_habil,"sí")))</f>
        <v/>
      </c>
      <c r="AF848" s="24">
        <f>IF($AE848="","",IF($AE848&lt;0,"FUTURO",IF($AE848&gt;p_dias_backlog_max,"BACKLOG","MES CORRIENTE")))</f>
        <v/>
      </c>
      <c r="AG848" s="24">
        <f>IF($AE848="",FALSE,AND($AE848&gt;p_dias_backlog_min,$AE848&lt;=p_dias_backlog_max))</f>
        <v/>
      </c>
      <c r="AH848" s="4" t="n"/>
      <c r="AI848" s="24">
        <f>IF($AH848="","",IF((IFERROR(INDEX('ASIGNACIONES'!$J$4:$J$451,MATCH($O848&amp;"|"&amp;$S848&amp;"|"&amp;$AH848,'ASIGNACIONES'!$N$4:$N$451,0)),""))=0,"",IFERROR(INDEX('ASIGNACIONES'!$J$4:$J$451,MATCH($O848&amp;"|"&amp;$S848&amp;"|"&amp;$AH848,'ASIGNACIONES'!$N$4:$N$451,0)),"")))</f>
        <v/>
      </c>
      <c r="AJ848" s="42">
        <f>IF($AH848="","",SUMIFS('ORDENES'!$M$4:$M$1203,'ORDENES'!$AH$4:$AH$1203,$AH848,'ORDENES'!$O$4:$O$1203,$O848,'ORDENES'!$S$4:$S$1203,$S848))</f>
        <v/>
      </c>
      <c r="AK848" s="42">
        <f>IF($AJ848="","",p_factor_productividad*IFERROR(INDEX('ASIGNACIONES'!$M$4:$M$451,MATCH($O848&amp;"|"&amp;$S848&amp;"|"&amp;$AH848,'ASIGNACIONES'!$N$4:$N$451,0)),0)-$AJ848)</f>
        <v/>
      </c>
      <c r="AL848" s="32">
        <f>IF($A848="","",IFERROR(INDEX('2_IMPORTAR_EJECUCION'!$F$9:$F$1208,MATCH($AU848,'2_IMPORTAR_EJECUCION'!$J$9:$J$1208,0)),0))</f>
        <v/>
      </c>
      <c r="AM848" s="32">
        <f>IF($A848="","",MAX(0,IFERROR(INDEX('2_IMPORTAR_EJECUCION'!$H$9:$H$1208,MATCH($AU848,'2_IMPORTAR_EJECUCION'!$J$9:$J$1208,0)),0)-$AL848))</f>
        <v/>
      </c>
      <c r="AN848" s="32">
        <f>IF($A848="","",$AL848+$AM848)</f>
        <v/>
      </c>
      <c r="AO848" s="24">
        <f>IF($A848="","",IF(OR((IFERROR(INDEX('CAT_ACTIVIDADES'!$D$4:$D$26,MATCH($H848,'CAT_ACTIVIDADES'!$A$4:$A$26,0)),""))=0,(IFERROR(INDEX('CAT_ACTIVIDADES'!$D$4:$D$26,MATCH($H848,'CAT_ACTIVIDADES'!$A$4:$A$26,0)),""))=""),"SIN CLASIFICAR",IFERROR(INDEX('CAT_ACTIVIDADES'!$D$4:$D$26,MATCH($H848,'CAT_ACTIVIDADES'!$A$4:$A$26,0)),"")))</f>
        <v/>
      </c>
      <c r="AP848" s="4" t="n"/>
      <c r="AQ848" s="4" t="n"/>
      <c r="AR848" s="4" t="n"/>
      <c r="AS848" s="24">
        <f>IF($AR848="","",HYPERLINK(p_ruta_base_checklists&amp;$AR848,"abrir"))</f>
        <v/>
      </c>
      <c r="AT848" s="4" t="n"/>
      <c r="AU848" s="24">
        <f>IF($A848="","",$A848&amp;IF($B848="","0010",$B848))</f>
        <v/>
      </c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41" t="n"/>
      <c r="K849" s="5" t="n"/>
      <c r="L849" s="18" t="n"/>
      <c r="M849" s="24">
        <f>IF($A849="","",IFERROR(INDEX('AJUSTES'!$B$4:$B$303,MATCH($AU849,'AJUSTES'!$A$4:$A$303,0)),IF($K849="","",$K849)))</f>
        <v/>
      </c>
      <c r="N849" s="24">
        <f>IF($A849="","",IFERROR(INDEX('CAT_ESTADOS_ERP'!$B$4:$B$22,MATCH(IFERROR(INDEX('2_IMPORTAR_EJECUCION'!$C$9:$C$1208,MATCH($AU849,'2_IMPORTAR_EJECUCION'!$J$9:$J$1208,0)),""),'CAT_ESTADOS_ERP'!$A$4:$A$22,0)),"Pendiente"))</f>
        <v/>
      </c>
      <c r="O849" s="24">
        <f>IF($J849="","",YEAR($J849+4-WEEKDAY($J849,2))&amp;"-S"&amp;TEXT(_xlfn.ISOWEEKNUM($J849),"00"))</f>
        <v/>
      </c>
      <c r="P849" s="24">
        <f>IF($J849="","",YEAR($J849))</f>
        <v/>
      </c>
      <c r="Q849" s="24">
        <f>IF($J849="","",MONTH($J849))</f>
        <v/>
      </c>
      <c r="R849" s="24">
        <f>IF($J849="","",$P849&amp;"-"&amp;TEXT($Q849,"00"))</f>
        <v/>
      </c>
      <c r="S849" s="24">
        <f>IF($J849="","",INDEX(lista_dias,WEEKDAY($J849,2)))</f>
        <v/>
      </c>
      <c r="T849" s="24">
        <f>IF($J849="","",IFERROR(INDEX('CALENDARIO'!$C$15:$C$214,MATCH(TEXT($J849,"yyyy-mm-dd")&amp;"|"&amp;$Y849&amp;"|"&amp;$Z849,'CALENDARIO'!$G$15:$G$214,0)),IFERROR(INDEX('CALENDARIO'!$C$15:$C$214,MATCH(TEXT($J849,"yyyy-mm-dd")&amp;"|"&amp;$Y849&amp;"|",'CALENDARIO'!$G$15:$G$214,0)),IFERROR(INDEX('CALENDARIO'!$C$15:$C$214,MATCH(TEXT($J849,"yyyy-mm-dd")&amp;"||",'CALENDARIO'!$G$15:$G$214,0)),INDEX(patronHabil,WEEKDAY($J849,2))))))</f>
        <v/>
      </c>
      <c r="U849" s="24">
        <f>IF($I849="","",IFERROR(INDEX('CAT_TIPOS_OT'!$C$4:$C$23,MATCH($I849,'CAT_TIPOS_OT'!$A$4:$A$23,0)),"sin_clasificar"))</f>
        <v/>
      </c>
      <c r="V849" s="24">
        <f>IF($I849="","",IF(IFERROR(INDEX('CAT_TIPOS_OT'!$D$4:$D$23,MATCH($I849,'CAT_TIPOS_OT'!$A$4:$A$23,0)),"SIN CLASIFICAR")="","SIN CLASIFICAR",IFERROR(INDEX('CAT_TIPOS_OT'!$D$4:$D$23,MATCH($I849,'CAT_TIPOS_OT'!$A$4:$A$23,0)),"SIN CLASIFICAR")))</f>
        <v/>
      </c>
      <c r="W849" s="24">
        <f>IF($H849="","",IF(IFERROR(INDEX('CAT_ACTIVIDADES'!$F$4:$F$26,MATCH($H849,'CAT_ACTIVIDADES'!$A$4:$A$26,0)),"")=0,"",IFERROR(INDEX('CAT_ACTIVIDADES'!$F$4:$F$26,MATCH($H849,'CAT_ACTIVIDADES'!$A$4:$A$26,0)),"")))</f>
        <v/>
      </c>
      <c r="X849" s="24">
        <f>IF($F849="","",IFERROR(INDEX('CAT_CENTROS_COSTO'!$F$4:$F$28,MATCH($F849,'CAT_CENTROS_COSTO'!$A$4:$A$28,0)),"(sin catálogo)"))</f>
        <v/>
      </c>
      <c r="Y849" s="24">
        <f>IF($F849="","",IFERROR(INDEX('CAT_CENTROS_COSTO'!$D$4:$D$28,MATCH($F849,'CAT_CENTROS_COSTO'!$A$4:$A$28,0)),"(sin catálogo)"))</f>
        <v/>
      </c>
      <c r="Z849" s="24">
        <f>IF($F849="","",IF((IFERROR(INDEX('CAT_CENTROS_COSTO'!$E$4:$E$28,MATCH($F849,'CAT_CENTROS_COSTO'!$A$4:$A$28,0)),""))&lt;&gt;"",IFERROR(INDEX('CAT_CENTROS_COSTO'!$E$4:$E$28,MATCH($F849,'CAT_CENTROS_COSTO'!$A$4:$A$28,0)),""),$Y849))</f>
        <v/>
      </c>
      <c r="AA849" s="24">
        <f>IF($F849="","",IFERROR(INDEX('CAT_CENTROS_COSTO'!$G$4:$G$28,MATCH($F849,'CAT_CENTROS_COSTO'!$A$4:$A$28,0)),"(sin catálogo)"))</f>
        <v/>
      </c>
      <c r="AB849" s="24">
        <f>IF($G849="","",IFERROR(INDEX('CAT_PUESTOS'!$B$4:$B$23,MATCH($G849,'CAT_PUESTOS'!$A$4:$A$23,0)),"(sin catálogo)"))</f>
        <v/>
      </c>
      <c r="AC849" s="24">
        <f>IF($H849="","",IFERROR(INDEX('CAT_ACTIVIDADES'!$B$4:$B$26,MATCH($H849,'CAT_ACTIVIDADES'!$A$4:$A$26,0)),"(sin catálogo)"))</f>
        <v/>
      </c>
      <c r="AD849" s="26">
        <f>IF($J849="","",TODAY()-$J849)</f>
        <v/>
      </c>
      <c r="AE849" s="26">
        <f>IF($J849="","",IF($J849&lt;=TODAY(),COUNTIFS(cal_fechas,"&gt;="&amp;$J849,cal_fechas,"&lt;"&amp;TODAY(),cal_habil,"sí"),-COUNTIFS(cal_fechas,"&gt;="&amp;TODAY(),cal_fechas,"&lt;"&amp;$J849,cal_habil,"sí")))</f>
        <v/>
      </c>
      <c r="AF849" s="24">
        <f>IF($AE849="","",IF($AE849&lt;0,"FUTURO",IF($AE849&gt;p_dias_backlog_max,"BACKLOG","MES CORRIENTE")))</f>
        <v/>
      </c>
      <c r="AG849" s="24">
        <f>IF($AE849="",FALSE,AND($AE849&gt;p_dias_backlog_min,$AE849&lt;=p_dias_backlog_max))</f>
        <v/>
      </c>
      <c r="AH849" s="4" t="n"/>
      <c r="AI849" s="24">
        <f>IF($AH849="","",IF((IFERROR(INDEX('ASIGNACIONES'!$J$4:$J$451,MATCH($O849&amp;"|"&amp;$S849&amp;"|"&amp;$AH849,'ASIGNACIONES'!$N$4:$N$451,0)),""))=0,"",IFERROR(INDEX('ASIGNACIONES'!$J$4:$J$451,MATCH($O849&amp;"|"&amp;$S849&amp;"|"&amp;$AH849,'ASIGNACIONES'!$N$4:$N$451,0)),"")))</f>
        <v/>
      </c>
      <c r="AJ849" s="42">
        <f>IF($AH849="","",SUMIFS('ORDENES'!$M$4:$M$1203,'ORDENES'!$AH$4:$AH$1203,$AH849,'ORDENES'!$O$4:$O$1203,$O849,'ORDENES'!$S$4:$S$1203,$S849))</f>
        <v/>
      </c>
      <c r="AK849" s="42">
        <f>IF($AJ849="","",p_factor_productividad*IFERROR(INDEX('ASIGNACIONES'!$M$4:$M$451,MATCH($O849&amp;"|"&amp;$S849&amp;"|"&amp;$AH849,'ASIGNACIONES'!$N$4:$N$451,0)),0)-$AJ849)</f>
        <v/>
      </c>
      <c r="AL849" s="32">
        <f>IF($A849="","",IFERROR(INDEX('2_IMPORTAR_EJECUCION'!$F$9:$F$1208,MATCH($AU849,'2_IMPORTAR_EJECUCION'!$J$9:$J$1208,0)),0))</f>
        <v/>
      </c>
      <c r="AM849" s="32">
        <f>IF($A849="","",MAX(0,IFERROR(INDEX('2_IMPORTAR_EJECUCION'!$H$9:$H$1208,MATCH($AU849,'2_IMPORTAR_EJECUCION'!$J$9:$J$1208,0)),0)-$AL849))</f>
        <v/>
      </c>
      <c r="AN849" s="32">
        <f>IF($A849="","",$AL849+$AM849)</f>
        <v/>
      </c>
      <c r="AO849" s="24">
        <f>IF($A849="","",IF(OR((IFERROR(INDEX('CAT_ACTIVIDADES'!$D$4:$D$26,MATCH($H849,'CAT_ACTIVIDADES'!$A$4:$A$26,0)),""))=0,(IFERROR(INDEX('CAT_ACTIVIDADES'!$D$4:$D$26,MATCH($H849,'CAT_ACTIVIDADES'!$A$4:$A$26,0)),""))=""),"SIN CLASIFICAR",IFERROR(INDEX('CAT_ACTIVIDADES'!$D$4:$D$26,MATCH($H849,'CAT_ACTIVIDADES'!$A$4:$A$26,0)),"")))</f>
        <v/>
      </c>
      <c r="AP849" s="4" t="n"/>
      <c r="AQ849" s="4" t="n"/>
      <c r="AR849" s="4" t="n"/>
      <c r="AS849" s="24">
        <f>IF($AR849="","",HYPERLINK(p_ruta_base_checklists&amp;$AR849,"abrir"))</f>
        <v/>
      </c>
      <c r="AT849" s="4" t="n"/>
      <c r="AU849" s="24">
        <f>IF($A849="","",$A849&amp;IF($B849="","0010",$B849))</f>
        <v/>
      </c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41" t="n"/>
      <c r="K850" s="5" t="n"/>
      <c r="L850" s="18" t="n"/>
      <c r="M850" s="24">
        <f>IF($A850="","",IFERROR(INDEX('AJUSTES'!$B$4:$B$303,MATCH($AU850,'AJUSTES'!$A$4:$A$303,0)),IF($K850="","",$K850)))</f>
        <v/>
      </c>
      <c r="N850" s="24">
        <f>IF($A850="","",IFERROR(INDEX('CAT_ESTADOS_ERP'!$B$4:$B$22,MATCH(IFERROR(INDEX('2_IMPORTAR_EJECUCION'!$C$9:$C$1208,MATCH($AU850,'2_IMPORTAR_EJECUCION'!$J$9:$J$1208,0)),""),'CAT_ESTADOS_ERP'!$A$4:$A$22,0)),"Pendiente"))</f>
        <v/>
      </c>
      <c r="O850" s="24">
        <f>IF($J850="","",YEAR($J850+4-WEEKDAY($J850,2))&amp;"-S"&amp;TEXT(_xlfn.ISOWEEKNUM($J850),"00"))</f>
        <v/>
      </c>
      <c r="P850" s="24">
        <f>IF($J850="","",YEAR($J850))</f>
        <v/>
      </c>
      <c r="Q850" s="24">
        <f>IF($J850="","",MONTH($J850))</f>
        <v/>
      </c>
      <c r="R850" s="24">
        <f>IF($J850="","",$P850&amp;"-"&amp;TEXT($Q850,"00"))</f>
        <v/>
      </c>
      <c r="S850" s="24">
        <f>IF($J850="","",INDEX(lista_dias,WEEKDAY($J850,2)))</f>
        <v/>
      </c>
      <c r="T850" s="24">
        <f>IF($J850="","",IFERROR(INDEX('CALENDARIO'!$C$15:$C$214,MATCH(TEXT($J850,"yyyy-mm-dd")&amp;"|"&amp;$Y850&amp;"|"&amp;$Z850,'CALENDARIO'!$G$15:$G$214,0)),IFERROR(INDEX('CALENDARIO'!$C$15:$C$214,MATCH(TEXT($J850,"yyyy-mm-dd")&amp;"|"&amp;$Y850&amp;"|",'CALENDARIO'!$G$15:$G$214,0)),IFERROR(INDEX('CALENDARIO'!$C$15:$C$214,MATCH(TEXT($J850,"yyyy-mm-dd")&amp;"||",'CALENDARIO'!$G$15:$G$214,0)),INDEX(patronHabil,WEEKDAY($J850,2))))))</f>
        <v/>
      </c>
      <c r="U850" s="24">
        <f>IF($I850="","",IFERROR(INDEX('CAT_TIPOS_OT'!$C$4:$C$23,MATCH($I850,'CAT_TIPOS_OT'!$A$4:$A$23,0)),"sin_clasificar"))</f>
        <v/>
      </c>
      <c r="V850" s="24">
        <f>IF($I850="","",IF(IFERROR(INDEX('CAT_TIPOS_OT'!$D$4:$D$23,MATCH($I850,'CAT_TIPOS_OT'!$A$4:$A$23,0)),"SIN CLASIFICAR")="","SIN CLASIFICAR",IFERROR(INDEX('CAT_TIPOS_OT'!$D$4:$D$23,MATCH($I850,'CAT_TIPOS_OT'!$A$4:$A$23,0)),"SIN CLASIFICAR")))</f>
        <v/>
      </c>
      <c r="W850" s="24">
        <f>IF($H850="","",IF(IFERROR(INDEX('CAT_ACTIVIDADES'!$F$4:$F$26,MATCH($H850,'CAT_ACTIVIDADES'!$A$4:$A$26,0)),"")=0,"",IFERROR(INDEX('CAT_ACTIVIDADES'!$F$4:$F$26,MATCH($H850,'CAT_ACTIVIDADES'!$A$4:$A$26,0)),"")))</f>
        <v/>
      </c>
      <c r="X850" s="24">
        <f>IF($F850="","",IFERROR(INDEX('CAT_CENTROS_COSTO'!$F$4:$F$28,MATCH($F850,'CAT_CENTROS_COSTO'!$A$4:$A$28,0)),"(sin catálogo)"))</f>
        <v/>
      </c>
      <c r="Y850" s="24">
        <f>IF($F850="","",IFERROR(INDEX('CAT_CENTROS_COSTO'!$D$4:$D$28,MATCH($F850,'CAT_CENTROS_COSTO'!$A$4:$A$28,0)),"(sin catálogo)"))</f>
        <v/>
      </c>
      <c r="Z850" s="24">
        <f>IF($F850="","",IF((IFERROR(INDEX('CAT_CENTROS_COSTO'!$E$4:$E$28,MATCH($F850,'CAT_CENTROS_COSTO'!$A$4:$A$28,0)),""))&lt;&gt;"",IFERROR(INDEX('CAT_CENTROS_COSTO'!$E$4:$E$28,MATCH($F850,'CAT_CENTROS_COSTO'!$A$4:$A$28,0)),""),$Y850))</f>
        <v/>
      </c>
      <c r="AA850" s="24">
        <f>IF($F850="","",IFERROR(INDEX('CAT_CENTROS_COSTO'!$G$4:$G$28,MATCH($F850,'CAT_CENTROS_COSTO'!$A$4:$A$28,0)),"(sin catálogo)"))</f>
        <v/>
      </c>
      <c r="AB850" s="24">
        <f>IF($G850="","",IFERROR(INDEX('CAT_PUESTOS'!$B$4:$B$23,MATCH($G850,'CAT_PUESTOS'!$A$4:$A$23,0)),"(sin catálogo)"))</f>
        <v/>
      </c>
      <c r="AC850" s="24">
        <f>IF($H850="","",IFERROR(INDEX('CAT_ACTIVIDADES'!$B$4:$B$26,MATCH($H850,'CAT_ACTIVIDADES'!$A$4:$A$26,0)),"(sin catálogo)"))</f>
        <v/>
      </c>
      <c r="AD850" s="26">
        <f>IF($J850="","",TODAY()-$J850)</f>
        <v/>
      </c>
      <c r="AE850" s="26">
        <f>IF($J850="","",IF($J850&lt;=TODAY(),COUNTIFS(cal_fechas,"&gt;="&amp;$J850,cal_fechas,"&lt;"&amp;TODAY(),cal_habil,"sí"),-COUNTIFS(cal_fechas,"&gt;="&amp;TODAY(),cal_fechas,"&lt;"&amp;$J850,cal_habil,"sí")))</f>
        <v/>
      </c>
      <c r="AF850" s="24">
        <f>IF($AE850="","",IF($AE850&lt;0,"FUTURO",IF($AE850&gt;p_dias_backlog_max,"BACKLOG","MES CORRIENTE")))</f>
        <v/>
      </c>
      <c r="AG850" s="24">
        <f>IF($AE850="",FALSE,AND($AE850&gt;p_dias_backlog_min,$AE850&lt;=p_dias_backlog_max))</f>
        <v/>
      </c>
      <c r="AH850" s="4" t="n"/>
      <c r="AI850" s="24">
        <f>IF($AH850="","",IF((IFERROR(INDEX('ASIGNACIONES'!$J$4:$J$451,MATCH($O850&amp;"|"&amp;$S850&amp;"|"&amp;$AH850,'ASIGNACIONES'!$N$4:$N$451,0)),""))=0,"",IFERROR(INDEX('ASIGNACIONES'!$J$4:$J$451,MATCH($O850&amp;"|"&amp;$S850&amp;"|"&amp;$AH850,'ASIGNACIONES'!$N$4:$N$451,0)),"")))</f>
        <v/>
      </c>
      <c r="AJ850" s="42">
        <f>IF($AH850="","",SUMIFS('ORDENES'!$M$4:$M$1203,'ORDENES'!$AH$4:$AH$1203,$AH850,'ORDENES'!$O$4:$O$1203,$O850,'ORDENES'!$S$4:$S$1203,$S850))</f>
        <v/>
      </c>
      <c r="AK850" s="42">
        <f>IF($AJ850="","",p_factor_productividad*IFERROR(INDEX('ASIGNACIONES'!$M$4:$M$451,MATCH($O850&amp;"|"&amp;$S850&amp;"|"&amp;$AH850,'ASIGNACIONES'!$N$4:$N$451,0)),0)-$AJ850)</f>
        <v/>
      </c>
      <c r="AL850" s="32">
        <f>IF($A850="","",IFERROR(INDEX('2_IMPORTAR_EJECUCION'!$F$9:$F$1208,MATCH($AU850,'2_IMPORTAR_EJECUCION'!$J$9:$J$1208,0)),0))</f>
        <v/>
      </c>
      <c r="AM850" s="32">
        <f>IF($A850="","",MAX(0,IFERROR(INDEX('2_IMPORTAR_EJECUCION'!$H$9:$H$1208,MATCH($AU850,'2_IMPORTAR_EJECUCION'!$J$9:$J$1208,0)),0)-$AL850))</f>
        <v/>
      </c>
      <c r="AN850" s="32">
        <f>IF($A850="","",$AL850+$AM850)</f>
        <v/>
      </c>
      <c r="AO850" s="24">
        <f>IF($A850="","",IF(OR((IFERROR(INDEX('CAT_ACTIVIDADES'!$D$4:$D$26,MATCH($H850,'CAT_ACTIVIDADES'!$A$4:$A$26,0)),""))=0,(IFERROR(INDEX('CAT_ACTIVIDADES'!$D$4:$D$26,MATCH($H850,'CAT_ACTIVIDADES'!$A$4:$A$26,0)),""))=""),"SIN CLASIFICAR",IFERROR(INDEX('CAT_ACTIVIDADES'!$D$4:$D$26,MATCH($H850,'CAT_ACTIVIDADES'!$A$4:$A$26,0)),"")))</f>
        <v/>
      </c>
      <c r="AP850" s="4" t="n"/>
      <c r="AQ850" s="4" t="n"/>
      <c r="AR850" s="4" t="n"/>
      <c r="AS850" s="24">
        <f>IF($AR850="","",HYPERLINK(p_ruta_base_checklists&amp;$AR850,"abrir"))</f>
        <v/>
      </c>
      <c r="AT850" s="4" t="n"/>
      <c r="AU850" s="24">
        <f>IF($A850="","",$A850&amp;IF($B850="","0010",$B850))</f>
        <v/>
      </c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41" t="n"/>
      <c r="K851" s="5" t="n"/>
      <c r="L851" s="18" t="n"/>
      <c r="M851" s="24">
        <f>IF($A851="","",IFERROR(INDEX('AJUSTES'!$B$4:$B$303,MATCH($AU851,'AJUSTES'!$A$4:$A$303,0)),IF($K851="","",$K851)))</f>
        <v/>
      </c>
      <c r="N851" s="24">
        <f>IF($A851="","",IFERROR(INDEX('CAT_ESTADOS_ERP'!$B$4:$B$22,MATCH(IFERROR(INDEX('2_IMPORTAR_EJECUCION'!$C$9:$C$1208,MATCH($AU851,'2_IMPORTAR_EJECUCION'!$J$9:$J$1208,0)),""),'CAT_ESTADOS_ERP'!$A$4:$A$22,0)),"Pendiente"))</f>
        <v/>
      </c>
      <c r="O851" s="24">
        <f>IF($J851="","",YEAR($J851+4-WEEKDAY($J851,2))&amp;"-S"&amp;TEXT(_xlfn.ISOWEEKNUM($J851),"00"))</f>
        <v/>
      </c>
      <c r="P851" s="24">
        <f>IF($J851="","",YEAR($J851))</f>
        <v/>
      </c>
      <c r="Q851" s="24">
        <f>IF($J851="","",MONTH($J851))</f>
        <v/>
      </c>
      <c r="R851" s="24">
        <f>IF($J851="","",$P851&amp;"-"&amp;TEXT($Q851,"00"))</f>
        <v/>
      </c>
      <c r="S851" s="24">
        <f>IF($J851="","",INDEX(lista_dias,WEEKDAY($J851,2)))</f>
        <v/>
      </c>
      <c r="T851" s="24">
        <f>IF($J851="","",IFERROR(INDEX('CALENDARIO'!$C$15:$C$214,MATCH(TEXT($J851,"yyyy-mm-dd")&amp;"|"&amp;$Y851&amp;"|"&amp;$Z851,'CALENDARIO'!$G$15:$G$214,0)),IFERROR(INDEX('CALENDARIO'!$C$15:$C$214,MATCH(TEXT($J851,"yyyy-mm-dd")&amp;"|"&amp;$Y851&amp;"|",'CALENDARIO'!$G$15:$G$214,0)),IFERROR(INDEX('CALENDARIO'!$C$15:$C$214,MATCH(TEXT($J851,"yyyy-mm-dd")&amp;"||",'CALENDARIO'!$G$15:$G$214,0)),INDEX(patronHabil,WEEKDAY($J851,2))))))</f>
        <v/>
      </c>
      <c r="U851" s="24">
        <f>IF($I851="","",IFERROR(INDEX('CAT_TIPOS_OT'!$C$4:$C$23,MATCH($I851,'CAT_TIPOS_OT'!$A$4:$A$23,0)),"sin_clasificar"))</f>
        <v/>
      </c>
      <c r="V851" s="24">
        <f>IF($I851="","",IF(IFERROR(INDEX('CAT_TIPOS_OT'!$D$4:$D$23,MATCH($I851,'CAT_TIPOS_OT'!$A$4:$A$23,0)),"SIN CLASIFICAR")="","SIN CLASIFICAR",IFERROR(INDEX('CAT_TIPOS_OT'!$D$4:$D$23,MATCH($I851,'CAT_TIPOS_OT'!$A$4:$A$23,0)),"SIN CLASIFICAR")))</f>
        <v/>
      </c>
      <c r="W851" s="24">
        <f>IF($H851="","",IF(IFERROR(INDEX('CAT_ACTIVIDADES'!$F$4:$F$26,MATCH($H851,'CAT_ACTIVIDADES'!$A$4:$A$26,0)),"")=0,"",IFERROR(INDEX('CAT_ACTIVIDADES'!$F$4:$F$26,MATCH($H851,'CAT_ACTIVIDADES'!$A$4:$A$26,0)),"")))</f>
        <v/>
      </c>
      <c r="X851" s="24">
        <f>IF($F851="","",IFERROR(INDEX('CAT_CENTROS_COSTO'!$F$4:$F$28,MATCH($F851,'CAT_CENTROS_COSTO'!$A$4:$A$28,0)),"(sin catálogo)"))</f>
        <v/>
      </c>
      <c r="Y851" s="24">
        <f>IF($F851="","",IFERROR(INDEX('CAT_CENTROS_COSTO'!$D$4:$D$28,MATCH($F851,'CAT_CENTROS_COSTO'!$A$4:$A$28,0)),"(sin catálogo)"))</f>
        <v/>
      </c>
      <c r="Z851" s="24">
        <f>IF($F851="","",IF((IFERROR(INDEX('CAT_CENTROS_COSTO'!$E$4:$E$28,MATCH($F851,'CAT_CENTROS_COSTO'!$A$4:$A$28,0)),""))&lt;&gt;"",IFERROR(INDEX('CAT_CENTROS_COSTO'!$E$4:$E$28,MATCH($F851,'CAT_CENTROS_COSTO'!$A$4:$A$28,0)),""),$Y851))</f>
        <v/>
      </c>
      <c r="AA851" s="24">
        <f>IF($F851="","",IFERROR(INDEX('CAT_CENTROS_COSTO'!$G$4:$G$28,MATCH($F851,'CAT_CENTROS_COSTO'!$A$4:$A$28,0)),"(sin catálogo)"))</f>
        <v/>
      </c>
      <c r="AB851" s="24">
        <f>IF($G851="","",IFERROR(INDEX('CAT_PUESTOS'!$B$4:$B$23,MATCH($G851,'CAT_PUESTOS'!$A$4:$A$23,0)),"(sin catálogo)"))</f>
        <v/>
      </c>
      <c r="AC851" s="24">
        <f>IF($H851="","",IFERROR(INDEX('CAT_ACTIVIDADES'!$B$4:$B$26,MATCH($H851,'CAT_ACTIVIDADES'!$A$4:$A$26,0)),"(sin catálogo)"))</f>
        <v/>
      </c>
      <c r="AD851" s="26">
        <f>IF($J851="","",TODAY()-$J851)</f>
        <v/>
      </c>
      <c r="AE851" s="26">
        <f>IF($J851="","",IF($J851&lt;=TODAY(),COUNTIFS(cal_fechas,"&gt;="&amp;$J851,cal_fechas,"&lt;"&amp;TODAY(),cal_habil,"sí"),-COUNTIFS(cal_fechas,"&gt;="&amp;TODAY(),cal_fechas,"&lt;"&amp;$J851,cal_habil,"sí")))</f>
        <v/>
      </c>
      <c r="AF851" s="24">
        <f>IF($AE851="","",IF($AE851&lt;0,"FUTURO",IF($AE851&gt;p_dias_backlog_max,"BACKLOG","MES CORRIENTE")))</f>
        <v/>
      </c>
      <c r="AG851" s="24">
        <f>IF($AE851="",FALSE,AND($AE851&gt;p_dias_backlog_min,$AE851&lt;=p_dias_backlog_max))</f>
        <v/>
      </c>
      <c r="AH851" s="4" t="n"/>
      <c r="AI851" s="24">
        <f>IF($AH851="","",IF((IFERROR(INDEX('ASIGNACIONES'!$J$4:$J$451,MATCH($O851&amp;"|"&amp;$S851&amp;"|"&amp;$AH851,'ASIGNACIONES'!$N$4:$N$451,0)),""))=0,"",IFERROR(INDEX('ASIGNACIONES'!$J$4:$J$451,MATCH($O851&amp;"|"&amp;$S851&amp;"|"&amp;$AH851,'ASIGNACIONES'!$N$4:$N$451,0)),"")))</f>
        <v/>
      </c>
      <c r="AJ851" s="42">
        <f>IF($AH851="","",SUMIFS('ORDENES'!$M$4:$M$1203,'ORDENES'!$AH$4:$AH$1203,$AH851,'ORDENES'!$O$4:$O$1203,$O851,'ORDENES'!$S$4:$S$1203,$S851))</f>
        <v/>
      </c>
      <c r="AK851" s="42">
        <f>IF($AJ851="","",p_factor_productividad*IFERROR(INDEX('ASIGNACIONES'!$M$4:$M$451,MATCH($O851&amp;"|"&amp;$S851&amp;"|"&amp;$AH851,'ASIGNACIONES'!$N$4:$N$451,0)),0)-$AJ851)</f>
        <v/>
      </c>
      <c r="AL851" s="32">
        <f>IF($A851="","",IFERROR(INDEX('2_IMPORTAR_EJECUCION'!$F$9:$F$1208,MATCH($AU851,'2_IMPORTAR_EJECUCION'!$J$9:$J$1208,0)),0))</f>
        <v/>
      </c>
      <c r="AM851" s="32">
        <f>IF($A851="","",MAX(0,IFERROR(INDEX('2_IMPORTAR_EJECUCION'!$H$9:$H$1208,MATCH($AU851,'2_IMPORTAR_EJECUCION'!$J$9:$J$1208,0)),0)-$AL851))</f>
        <v/>
      </c>
      <c r="AN851" s="32">
        <f>IF($A851="","",$AL851+$AM851)</f>
        <v/>
      </c>
      <c r="AO851" s="24">
        <f>IF($A851="","",IF(OR((IFERROR(INDEX('CAT_ACTIVIDADES'!$D$4:$D$26,MATCH($H851,'CAT_ACTIVIDADES'!$A$4:$A$26,0)),""))=0,(IFERROR(INDEX('CAT_ACTIVIDADES'!$D$4:$D$26,MATCH($H851,'CAT_ACTIVIDADES'!$A$4:$A$26,0)),""))=""),"SIN CLASIFICAR",IFERROR(INDEX('CAT_ACTIVIDADES'!$D$4:$D$26,MATCH($H851,'CAT_ACTIVIDADES'!$A$4:$A$26,0)),"")))</f>
        <v/>
      </c>
      <c r="AP851" s="4" t="n"/>
      <c r="AQ851" s="4" t="n"/>
      <c r="AR851" s="4" t="n"/>
      <c r="AS851" s="24">
        <f>IF($AR851="","",HYPERLINK(p_ruta_base_checklists&amp;$AR851,"abrir"))</f>
        <v/>
      </c>
      <c r="AT851" s="4" t="n"/>
      <c r="AU851" s="24">
        <f>IF($A851="","",$A851&amp;IF($B851="","0010",$B851))</f>
        <v/>
      </c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41" t="n"/>
      <c r="K852" s="5" t="n"/>
      <c r="L852" s="18" t="n"/>
      <c r="M852" s="24">
        <f>IF($A852="","",IFERROR(INDEX('AJUSTES'!$B$4:$B$303,MATCH($AU852,'AJUSTES'!$A$4:$A$303,0)),IF($K852="","",$K852)))</f>
        <v/>
      </c>
      <c r="N852" s="24">
        <f>IF($A852="","",IFERROR(INDEX('CAT_ESTADOS_ERP'!$B$4:$B$22,MATCH(IFERROR(INDEX('2_IMPORTAR_EJECUCION'!$C$9:$C$1208,MATCH($AU852,'2_IMPORTAR_EJECUCION'!$J$9:$J$1208,0)),""),'CAT_ESTADOS_ERP'!$A$4:$A$22,0)),"Pendiente"))</f>
        <v/>
      </c>
      <c r="O852" s="24">
        <f>IF($J852="","",YEAR($J852+4-WEEKDAY($J852,2))&amp;"-S"&amp;TEXT(_xlfn.ISOWEEKNUM($J852),"00"))</f>
        <v/>
      </c>
      <c r="P852" s="24">
        <f>IF($J852="","",YEAR($J852))</f>
        <v/>
      </c>
      <c r="Q852" s="24">
        <f>IF($J852="","",MONTH($J852))</f>
        <v/>
      </c>
      <c r="R852" s="24">
        <f>IF($J852="","",$P852&amp;"-"&amp;TEXT($Q852,"00"))</f>
        <v/>
      </c>
      <c r="S852" s="24">
        <f>IF($J852="","",INDEX(lista_dias,WEEKDAY($J852,2)))</f>
        <v/>
      </c>
      <c r="T852" s="24">
        <f>IF($J852="","",IFERROR(INDEX('CALENDARIO'!$C$15:$C$214,MATCH(TEXT($J852,"yyyy-mm-dd")&amp;"|"&amp;$Y852&amp;"|"&amp;$Z852,'CALENDARIO'!$G$15:$G$214,0)),IFERROR(INDEX('CALENDARIO'!$C$15:$C$214,MATCH(TEXT($J852,"yyyy-mm-dd")&amp;"|"&amp;$Y852&amp;"|",'CALENDARIO'!$G$15:$G$214,0)),IFERROR(INDEX('CALENDARIO'!$C$15:$C$214,MATCH(TEXT($J852,"yyyy-mm-dd")&amp;"||",'CALENDARIO'!$G$15:$G$214,0)),INDEX(patronHabil,WEEKDAY($J852,2))))))</f>
        <v/>
      </c>
      <c r="U852" s="24">
        <f>IF($I852="","",IFERROR(INDEX('CAT_TIPOS_OT'!$C$4:$C$23,MATCH($I852,'CAT_TIPOS_OT'!$A$4:$A$23,0)),"sin_clasificar"))</f>
        <v/>
      </c>
      <c r="V852" s="24">
        <f>IF($I852="","",IF(IFERROR(INDEX('CAT_TIPOS_OT'!$D$4:$D$23,MATCH($I852,'CAT_TIPOS_OT'!$A$4:$A$23,0)),"SIN CLASIFICAR")="","SIN CLASIFICAR",IFERROR(INDEX('CAT_TIPOS_OT'!$D$4:$D$23,MATCH($I852,'CAT_TIPOS_OT'!$A$4:$A$23,0)),"SIN CLASIFICAR")))</f>
        <v/>
      </c>
      <c r="W852" s="24">
        <f>IF($H852="","",IF(IFERROR(INDEX('CAT_ACTIVIDADES'!$F$4:$F$26,MATCH($H852,'CAT_ACTIVIDADES'!$A$4:$A$26,0)),"")=0,"",IFERROR(INDEX('CAT_ACTIVIDADES'!$F$4:$F$26,MATCH($H852,'CAT_ACTIVIDADES'!$A$4:$A$26,0)),"")))</f>
        <v/>
      </c>
      <c r="X852" s="24">
        <f>IF($F852="","",IFERROR(INDEX('CAT_CENTROS_COSTO'!$F$4:$F$28,MATCH($F852,'CAT_CENTROS_COSTO'!$A$4:$A$28,0)),"(sin catálogo)"))</f>
        <v/>
      </c>
      <c r="Y852" s="24">
        <f>IF($F852="","",IFERROR(INDEX('CAT_CENTROS_COSTO'!$D$4:$D$28,MATCH($F852,'CAT_CENTROS_COSTO'!$A$4:$A$28,0)),"(sin catálogo)"))</f>
        <v/>
      </c>
      <c r="Z852" s="24">
        <f>IF($F852="","",IF((IFERROR(INDEX('CAT_CENTROS_COSTO'!$E$4:$E$28,MATCH($F852,'CAT_CENTROS_COSTO'!$A$4:$A$28,0)),""))&lt;&gt;"",IFERROR(INDEX('CAT_CENTROS_COSTO'!$E$4:$E$28,MATCH($F852,'CAT_CENTROS_COSTO'!$A$4:$A$28,0)),""),$Y852))</f>
        <v/>
      </c>
      <c r="AA852" s="24">
        <f>IF($F852="","",IFERROR(INDEX('CAT_CENTROS_COSTO'!$G$4:$G$28,MATCH($F852,'CAT_CENTROS_COSTO'!$A$4:$A$28,0)),"(sin catálogo)"))</f>
        <v/>
      </c>
      <c r="AB852" s="24">
        <f>IF($G852="","",IFERROR(INDEX('CAT_PUESTOS'!$B$4:$B$23,MATCH($G852,'CAT_PUESTOS'!$A$4:$A$23,0)),"(sin catálogo)"))</f>
        <v/>
      </c>
      <c r="AC852" s="24">
        <f>IF($H852="","",IFERROR(INDEX('CAT_ACTIVIDADES'!$B$4:$B$26,MATCH($H852,'CAT_ACTIVIDADES'!$A$4:$A$26,0)),"(sin catálogo)"))</f>
        <v/>
      </c>
      <c r="AD852" s="26">
        <f>IF($J852="","",TODAY()-$J852)</f>
        <v/>
      </c>
      <c r="AE852" s="26">
        <f>IF($J852="","",IF($J852&lt;=TODAY(),COUNTIFS(cal_fechas,"&gt;="&amp;$J852,cal_fechas,"&lt;"&amp;TODAY(),cal_habil,"sí"),-COUNTIFS(cal_fechas,"&gt;="&amp;TODAY(),cal_fechas,"&lt;"&amp;$J852,cal_habil,"sí")))</f>
        <v/>
      </c>
      <c r="AF852" s="24">
        <f>IF($AE852="","",IF($AE852&lt;0,"FUTURO",IF($AE852&gt;p_dias_backlog_max,"BACKLOG","MES CORRIENTE")))</f>
        <v/>
      </c>
      <c r="AG852" s="24">
        <f>IF($AE852="",FALSE,AND($AE852&gt;p_dias_backlog_min,$AE852&lt;=p_dias_backlog_max))</f>
        <v/>
      </c>
      <c r="AH852" s="4" t="n"/>
      <c r="AI852" s="24">
        <f>IF($AH852="","",IF((IFERROR(INDEX('ASIGNACIONES'!$J$4:$J$451,MATCH($O852&amp;"|"&amp;$S852&amp;"|"&amp;$AH852,'ASIGNACIONES'!$N$4:$N$451,0)),""))=0,"",IFERROR(INDEX('ASIGNACIONES'!$J$4:$J$451,MATCH($O852&amp;"|"&amp;$S852&amp;"|"&amp;$AH852,'ASIGNACIONES'!$N$4:$N$451,0)),"")))</f>
        <v/>
      </c>
      <c r="AJ852" s="42">
        <f>IF($AH852="","",SUMIFS('ORDENES'!$M$4:$M$1203,'ORDENES'!$AH$4:$AH$1203,$AH852,'ORDENES'!$O$4:$O$1203,$O852,'ORDENES'!$S$4:$S$1203,$S852))</f>
        <v/>
      </c>
      <c r="AK852" s="42">
        <f>IF($AJ852="","",p_factor_productividad*IFERROR(INDEX('ASIGNACIONES'!$M$4:$M$451,MATCH($O852&amp;"|"&amp;$S852&amp;"|"&amp;$AH852,'ASIGNACIONES'!$N$4:$N$451,0)),0)-$AJ852)</f>
        <v/>
      </c>
      <c r="AL852" s="32">
        <f>IF($A852="","",IFERROR(INDEX('2_IMPORTAR_EJECUCION'!$F$9:$F$1208,MATCH($AU852,'2_IMPORTAR_EJECUCION'!$J$9:$J$1208,0)),0))</f>
        <v/>
      </c>
      <c r="AM852" s="32">
        <f>IF($A852="","",MAX(0,IFERROR(INDEX('2_IMPORTAR_EJECUCION'!$H$9:$H$1208,MATCH($AU852,'2_IMPORTAR_EJECUCION'!$J$9:$J$1208,0)),0)-$AL852))</f>
        <v/>
      </c>
      <c r="AN852" s="32">
        <f>IF($A852="","",$AL852+$AM852)</f>
        <v/>
      </c>
      <c r="AO852" s="24">
        <f>IF($A852="","",IF(OR((IFERROR(INDEX('CAT_ACTIVIDADES'!$D$4:$D$26,MATCH($H852,'CAT_ACTIVIDADES'!$A$4:$A$26,0)),""))=0,(IFERROR(INDEX('CAT_ACTIVIDADES'!$D$4:$D$26,MATCH($H852,'CAT_ACTIVIDADES'!$A$4:$A$26,0)),""))=""),"SIN CLASIFICAR",IFERROR(INDEX('CAT_ACTIVIDADES'!$D$4:$D$26,MATCH($H852,'CAT_ACTIVIDADES'!$A$4:$A$26,0)),"")))</f>
        <v/>
      </c>
      <c r="AP852" s="4" t="n"/>
      <c r="AQ852" s="4" t="n"/>
      <c r="AR852" s="4" t="n"/>
      <c r="AS852" s="24">
        <f>IF($AR852="","",HYPERLINK(p_ruta_base_checklists&amp;$AR852,"abrir"))</f>
        <v/>
      </c>
      <c r="AT852" s="4" t="n"/>
      <c r="AU852" s="24">
        <f>IF($A852="","",$A852&amp;IF($B852="","0010",$B852))</f>
        <v/>
      </c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41" t="n"/>
      <c r="K853" s="5" t="n"/>
      <c r="L853" s="18" t="n"/>
      <c r="M853" s="24">
        <f>IF($A853="","",IFERROR(INDEX('AJUSTES'!$B$4:$B$303,MATCH($AU853,'AJUSTES'!$A$4:$A$303,0)),IF($K853="","",$K853)))</f>
        <v/>
      </c>
      <c r="N853" s="24">
        <f>IF($A853="","",IFERROR(INDEX('CAT_ESTADOS_ERP'!$B$4:$B$22,MATCH(IFERROR(INDEX('2_IMPORTAR_EJECUCION'!$C$9:$C$1208,MATCH($AU853,'2_IMPORTAR_EJECUCION'!$J$9:$J$1208,0)),""),'CAT_ESTADOS_ERP'!$A$4:$A$22,0)),"Pendiente"))</f>
        <v/>
      </c>
      <c r="O853" s="24">
        <f>IF($J853="","",YEAR($J853+4-WEEKDAY($J853,2))&amp;"-S"&amp;TEXT(_xlfn.ISOWEEKNUM($J853),"00"))</f>
        <v/>
      </c>
      <c r="P853" s="24">
        <f>IF($J853="","",YEAR($J853))</f>
        <v/>
      </c>
      <c r="Q853" s="24">
        <f>IF($J853="","",MONTH($J853))</f>
        <v/>
      </c>
      <c r="R853" s="24">
        <f>IF($J853="","",$P853&amp;"-"&amp;TEXT($Q853,"00"))</f>
        <v/>
      </c>
      <c r="S853" s="24">
        <f>IF($J853="","",INDEX(lista_dias,WEEKDAY($J853,2)))</f>
        <v/>
      </c>
      <c r="T853" s="24">
        <f>IF($J853="","",IFERROR(INDEX('CALENDARIO'!$C$15:$C$214,MATCH(TEXT($J853,"yyyy-mm-dd")&amp;"|"&amp;$Y853&amp;"|"&amp;$Z853,'CALENDARIO'!$G$15:$G$214,0)),IFERROR(INDEX('CALENDARIO'!$C$15:$C$214,MATCH(TEXT($J853,"yyyy-mm-dd")&amp;"|"&amp;$Y853&amp;"|",'CALENDARIO'!$G$15:$G$214,0)),IFERROR(INDEX('CALENDARIO'!$C$15:$C$214,MATCH(TEXT($J853,"yyyy-mm-dd")&amp;"||",'CALENDARIO'!$G$15:$G$214,0)),INDEX(patronHabil,WEEKDAY($J853,2))))))</f>
        <v/>
      </c>
      <c r="U853" s="24">
        <f>IF($I853="","",IFERROR(INDEX('CAT_TIPOS_OT'!$C$4:$C$23,MATCH($I853,'CAT_TIPOS_OT'!$A$4:$A$23,0)),"sin_clasificar"))</f>
        <v/>
      </c>
      <c r="V853" s="24">
        <f>IF($I853="","",IF(IFERROR(INDEX('CAT_TIPOS_OT'!$D$4:$D$23,MATCH($I853,'CAT_TIPOS_OT'!$A$4:$A$23,0)),"SIN CLASIFICAR")="","SIN CLASIFICAR",IFERROR(INDEX('CAT_TIPOS_OT'!$D$4:$D$23,MATCH($I853,'CAT_TIPOS_OT'!$A$4:$A$23,0)),"SIN CLASIFICAR")))</f>
        <v/>
      </c>
      <c r="W853" s="24">
        <f>IF($H853="","",IF(IFERROR(INDEX('CAT_ACTIVIDADES'!$F$4:$F$26,MATCH($H853,'CAT_ACTIVIDADES'!$A$4:$A$26,0)),"")=0,"",IFERROR(INDEX('CAT_ACTIVIDADES'!$F$4:$F$26,MATCH($H853,'CAT_ACTIVIDADES'!$A$4:$A$26,0)),"")))</f>
        <v/>
      </c>
      <c r="X853" s="24">
        <f>IF($F853="","",IFERROR(INDEX('CAT_CENTROS_COSTO'!$F$4:$F$28,MATCH($F853,'CAT_CENTROS_COSTO'!$A$4:$A$28,0)),"(sin catálogo)"))</f>
        <v/>
      </c>
      <c r="Y853" s="24">
        <f>IF($F853="","",IFERROR(INDEX('CAT_CENTROS_COSTO'!$D$4:$D$28,MATCH($F853,'CAT_CENTROS_COSTO'!$A$4:$A$28,0)),"(sin catálogo)"))</f>
        <v/>
      </c>
      <c r="Z853" s="24">
        <f>IF($F853="","",IF((IFERROR(INDEX('CAT_CENTROS_COSTO'!$E$4:$E$28,MATCH($F853,'CAT_CENTROS_COSTO'!$A$4:$A$28,0)),""))&lt;&gt;"",IFERROR(INDEX('CAT_CENTROS_COSTO'!$E$4:$E$28,MATCH($F853,'CAT_CENTROS_COSTO'!$A$4:$A$28,0)),""),$Y853))</f>
        <v/>
      </c>
      <c r="AA853" s="24">
        <f>IF($F853="","",IFERROR(INDEX('CAT_CENTROS_COSTO'!$G$4:$G$28,MATCH($F853,'CAT_CENTROS_COSTO'!$A$4:$A$28,0)),"(sin catálogo)"))</f>
        <v/>
      </c>
      <c r="AB853" s="24">
        <f>IF($G853="","",IFERROR(INDEX('CAT_PUESTOS'!$B$4:$B$23,MATCH($G853,'CAT_PUESTOS'!$A$4:$A$23,0)),"(sin catálogo)"))</f>
        <v/>
      </c>
      <c r="AC853" s="24">
        <f>IF($H853="","",IFERROR(INDEX('CAT_ACTIVIDADES'!$B$4:$B$26,MATCH($H853,'CAT_ACTIVIDADES'!$A$4:$A$26,0)),"(sin catálogo)"))</f>
        <v/>
      </c>
      <c r="AD853" s="26">
        <f>IF($J853="","",TODAY()-$J853)</f>
        <v/>
      </c>
      <c r="AE853" s="26">
        <f>IF($J853="","",IF($J853&lt;=TODAY(),COUNTIFS(cal_fechas,"&gt;="&amp;$J853,cal_fechas,"&lt;"&amp;TODAY(),cal_habil,"sí"),-COUNTIFS(cal_fechas,"&gt;="&amp;TODAY(),cal_fechas,"&lt;"&amp;$J853,cal_habil,"sí")))</f>
        <v/>
      </c>
      <c r="AF853" s="24">
        <f>IF($AE853="","",IF($AE853&lt;0,"FUTURO",IF($AE853&gt;p_dias_backlog_max,"BACKLOG","MES CORRIENTE")))</f>
        <v/>
      </c>
      <c r="AG853" s="24">
        <f>IF($AE853="",FALSE,AND($AE853&gt;p_dias_backlog_min,$AE853&lt;=p_dias_backlog_max))</f>
        <v/>
      </c>
      <c r="AH853" s="4" t="n"/>
      <c r="AI853" s="24">
        <f>IF($AH853="","",IF((IFERROR(INDEX('ASIGNACIONES'!$J$4:$J$451,MATCH($O853&amp;"|"&amp;$S853&amp;"|"&amp;$AH853,'ASIGNACIONES'!$N$4:$N$451,0)),""))=0,"",IFERROR(INDEX('ASIGNACIONES'!$J$4:$J$451,MATCH($O853&amp;"|"&amp;$S853&amp;"|"&amp;$AH853,'ASIGNACIONES'!$N$4:$N$451,0)),"")))</f>
        <v/>
      </c>
      <c r="AJ853" s="42">
        <f>IF($AH853="","",SUMIFS('ORDENES'!$M$4:$M$1203,'ORDENES'!$AH$4:$AH$1203,$AH853,'ORDENES'!$O$4:$O$1203,$O853,'ORDENES'!$S$4:$S$1203,$S853))</f>
        <v/>
      </c>
      <c r="AK853" s="42">
        <f>IF($AJ853="","",p_factor_productividad*IFERROR(INDEX('ASIGNACIONES'!$M$4:$M$451,MATCH($O853&amp;"|"&amp;$S853&amp;"|"&amp;$AH853,'ASIGNACIONES'!$N$4:$N$451,0)),0)-$AJ853)</f>
        <v/>
      </c>
      <c r="AL853" s="32">
        <f>IF($A853="","",IFERROR(INDEX('2_IMPORTAR_EJECUCION'!$F$9:$F$1208,MATCH($AU853,'2_IMPORTAR_EJECUCION'!$J$9:$J$1208,0)),0))</f>
        <v/>
      </c>
      <c r="AM853" s="32">
        <f>IF($A853="","",MAX(0,IFERROR(INDEX('2_IMPORTAR_EJECUCION'!$H$9:$H$1208,MATCH($AU853,'2_IMPORTAR_EJECUCION'!$J$9:$J$1208,0)),0)-$AL853))</f>
        <v/>
      </c>
      <c r="AN853" s="32">
        <f>IF($A853="","",$AL853+$AM853)</f>
        <v/>
      </c>
      <c r="AO853" s="24">
        <f>IF($A853="","",IF(OR((IFERROR(INDEX('CAT_ACTIVIDADES'!$D$4:$D$26,MATCH($H853,'CAT_ACTIVIDADES'!$A$4:$A$26,0)),""))=0,(IFERROR(INDEX('CAT_ACTIVIDADES'!$D$4:$D$26,MATCH($H853,'CAT_ACTIVIDADES'!$A$4:$A$26,0)),""))=""),"SIN CLASIFICAR",IFERROR(INDEX('CAT_ACTIVIDADES'!$D$4:$D$26,MATCH($H853,'CAT_ACTIVIDADES'!$A$4:$A$26,0)),"")))</f>
        <v/>
      </c>
      <c r="AP853" s="4" t="n"/>
      <c r="AQ853" s="4" t="n"/>
      <c r="AR853" s="4" t="n"/>
      <c r="AS853" s="24">
        <f>IF($AR853="","",HYPERLINK(p_ruta_base_checklists&amp;$AR853,"abrir"))</f>
        <v/>
      </c>
      <c r="AT853" s="4" t="n"/>
      <c r="AU853" s="24">
        <f>IF($A853="","",$A853&amp;IF($B853="","0010",$B853))</f>
        <v/>
      </c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41" t="n"/>
      <c r="K854" s="5" t="n"/>
      <c r="L854" s="18" t="n"/>
      <c r="M854" s="24">
        <f>IF($A854="","",IFERROR(INDEX('AJUSTES'!$B$4:$B$303,MATCH($AU854,'AJUSTES'!$A$4:$A$303,0)),IF($K854="","",$K854)))</f>
        <v/>
      </c>
      <c r="N854" s="24">
        <f>IF($A854="","",IFERROR(INDEX('CAT_ESTADOS_ERP'!$B$4:$B$22,MATCH(IFERROR(INDEX('2_IMPORTAR_EJECUCION'!$C$9:$C$1208,MATCH($AU854,'2_IMPORTAR_EJECUCION'!$J$9:$J$1208,0)),""),'CAT_ESTADOS_ERP'!$A$4:$A$22,0)),"Pendiente"))</f>
        <v/>
      </c>
      <c r="O854" s="24">
        <f>IF($J854="","",YEAR($J854+4-WEEKDAY($J854,2))&amp;"-S"&amp;TEXT(_xlfn.ISOWEEKNUM($J854),"00"))</f>
        <v/>
      </c>
      <c r="P854" s="24">
        <f>IF($J854="","",YEAR($J854))</f>
        <v/>
      </c>
      <c r="Q854" s="24">
        <f>IF($J854="","",MONTH($J854))</f>
        <v/>
      </c>
      <c r="R854" s="24">
        <f>IF($J854="","",$P854&amp;"-"&amp;TEXT($Q854,"00"))</f>
        <v/>
      </c>
      <c r="S854" s="24">
        <f>IF($J854="","",INDEX(lista_dias,WEEKDAY($J854,2)))</f>
        <v/>
      </c>
      <c r="T854" s="24">
        <f>IF($J854="","",IFERROR(INDEX('CALENDARIO'!$C$15:$C$214,MATCH(TEXT($J854,"yyyy-mm-dd")&amp;"|"&amp;$Y854&amp;"|"&amp;$Z854,'CALENDARIO'!$G$15:$G$214,0)),IFERROR(INDEX('CALENDARIO'!$C$15:$C$214,MATCH(TEXT($J854,"yyyy-mm-dd")&amp;"|"&amp;$Y854&amp;"|",'CALENDARIO'!$G$15:$G$214,0)),IFERROR(INDEX('CALENDARIO'!$C$15:$C$214,MATCH(TEXT($J854,"yyyy-mm-dd")&amp;"||",'CALENDARIO'!$G$15:$G$214,0)),INDEX(patronHabil,WEEKDAY($J854,2))))))</f>
        <v/>
      </c>
      <c r="U854" s="24">
        <f>IF($I854="","",IFERROR(INDEX('CAT_TIPOS_OT'!$C$4:$C$23,MATCH($I854,'CAT_TIPOS_OT'!$A$4:$A$23,0)),"sin_clasificar"))</f>
        <v/>
      </c>
      <c r="V854" s="24">
        <f>IF($I854="","",IF(IFERROR(INDEX('CAT_TIPOS_OT'!$D$4:$D$23,MATCH($I854,'CAT_TIPOS_OT'!$A$4:$A$23,0)),"SIN CLASIFICAR")="","SIN CLASIFICAR",IFERROR(INDEX('CAT_TIPOS_OT'!$D$4:$D$23,MATCH($I854,'CAT_TIPOS_OT'!$A$4:$A$23,0)),"SIN CLASIFICAR")))</f>
        <v/>
      </c>
      <c r="W854" s="24">
        <f>IF($H854="","",IF(IFERROR(INDEX('CAT_ACTIVIDADES'!$F$4:$F$26,MATCH($H854,'CAT_ACTIVIDADES'!$A$4:$A$26,0)),"")=0,"",IFERROR(INDEX('CAT_ACTIVIDADES'!$F$4:$F$26,MATCH($H854,'CAT_ACTIVIDADES'!$A$4:$A$26,0)),"")))</f>
        <v/>
      </c>
      <c r="X854" s="24">
        <f>IF($F854="","",IFERROR(INDEX('CAT_CENTROS_COSTO'!$F$4:$F$28,MATCH($F854,'CAT_CENTROS_COSTO'!$A$4:$A$28,0)),"(sin catálogo)"))</f>
        <v/>
      </c>
      <c r="Y854" s="24">
        <f>IF($F854="","",IFERROR(INDEX('CAT_CENTROS_COSTO'!$D$4:$D$28,MATCH($F854,'CAT_CENTROS_COSTO'!$A$4:$A$28,0)),"(sin catálogo)"))</f>
        <v/>
      </c>
      <c r="Z854" s="24">
        <f>IF($F854="","",IF((IFERROR(INDEX('CAT_CENTROS_COSTO'!$E$4:$E$28,MATCH($F854,'CAT_CENTROS_COSTO'!$A$4:$A$28,0)),""))&lt;&gt;"",IFERROR(INDEX('CAT_CENTROS_COSTO'!$E$4:$E$28,MATCH($F854,'CAT_CENTROS_COSTO'!$A$4:$A$28,0)),""),$Y854))</f>
        <v/>
      </c>
      <c r="AA854" s="24">
        <f>IF($F854="","",IFERROR(INDEX('CAT_CENTROS_COSTO'!$G$4:$G$28,MATCH($F854,'CAT_CENTROS_COSTO'!$A$4:$A$28,0)),"(sin catálogo)"))</f>
        <v/>
      </c>
      <c r="AB854" s="24">
        <f>IF($G854="","",IFERROR(INDEX('CAT_PUESTOS'!$B$4:$B$23,MATCH($G854,'CAT_PUESTOS'!$A$4:$A$23,0)),"(sin catálogo)"))</f>
        <v/>
      </c>
      <c r="AC854" s="24">
        <f>IF($H854="","",IFERROR(INDEX('CAT_ACTIVIDADES'!$B$4:$B$26,MATCH($H854,'CAT_ACTIVIDADES'!$A$4:$A$26,0)),"(sin catálogo)"))</f>
        <v/>
      </c>
      <c r="AD854" s="26">
        <f>IF($J854="","",TODAY()-$J854)</f>
        <v/>
      </c>
      <c r="AE854" s="26">
        <f>IF($J854="","",IF($J854&lt;=TODAY(),COUNTIFS(cal_fechas,"&gt;="&amp;$J854,cal_fechas,"&lt;"&amp;TODAY(),cal_habil,"sí"),-COUNTIFS(cal_fechas,"&gt;="&amp;TODAY(),cal_fechas,"&lt;"&amp;$J854,cal_habil,"sí")))</f>
        <v/>
      </c>
      <c r="AF854" s="24">
        <f>IF($AE854="","",IF($AE854&lt;0,"FUTURO",IF($AE854&gt;p_dias_backlog_max,"BACKLOG","MES CORRIENTE")))</f>
        <v/>
      </c>
      <c r="AG854" s="24">
        <f>IF($AE854="",FALSE,AND($AE854&gt;p_dias_backlog_min,$AE854&lt;=p_dias_backlog_max))</f>
        <v/>
      </c>
      <c r="AH854" s="4" t="n"/>
      <c r="AI854" s="24">
        <f>IF($AH854="","",IF((IFERROR(INDEX('ASIGNACIONES'!$J$4:$J$451,MATCH($O854&amp;"|"&amp;$S854&amp;"|"&amp;$AH854,'ASIGNACIONES'!$N$4:$N$451,0)),""))=0,"",IFERROR(INDEX('ASIGNACIONES'!$J$4:$J$451,MATCH($O854&amp;"|"&amp;$S854&amp;"|"&amp;$AH854,'ASIGNACIONES'!$N$4:$N$451,0)),"")))</f>
        <v/>
      </c>
      <c r="AJ854" s="42">
        <f>IF($AH854="","",SUMIFS('ORDENES'!$M$4:$M$1203,'ORDENES'!$AH$4:$AH$1203,$AH854,'ORDENES'!$O$4:$O$1203,$O854,'ORDENES'!$S$4:$S$1203,$S854))</f>
        <v/>
      </c>
      <c r="AK854" s="42">
        <f>IF($AJ854="","",p_factor_productividad*IFERROR(INDEX('ASIGNACIONES'!$M$4:$M$451,MATCH($O854&amp;"|"&amp;$S854&amp;"|"&amp;$AH854,'ASIGNACIONES'!$N$4:$N$451,0)),0)-$AJ854)</f>
        <v/>
      </c>
      <c r="AL854" s="32">
        <f>IF($A854="","",IFERROR(INDEX('2_IMPORTAR_EJECUCION'!$F$9:$F$1208,MATCH($AU854,'2_IMPORTAR_EJECUCION'!$J$9:$J$1208,0)),0))</f>
        <v/>
      </c>
      <c r="AM854" s="32">
        <f>IF($A854="","",MAX(0,IFERROR(INDEX('2_IMPORTAR_EJECUCION'!$H$9:$H$1208,MATCH($AU854,'2_IMPORTAR_EJECUCION'!$J$9:$J$1208,0)),0)-$AL854))</f>
        <v/>
      </c>
      <c r="AN854" s="32">
        <f>IF($A854="","",$AL854+$AM854)</f>
        <v/>
      </c>
      <c r="AO854" s="24">
        <f>IF($A854="","",IF(OR((IFERROR(INDEX('CAT_ACTIVIDADES'!$D$4:$D$26,MATCH($H854,'CAT_ACTIVIDADES'!$A$4:$A$26,0)),""))=0,(IFERROR(INDEX('CAT_ACTIVIDADES'!$D$4:$D$26,MATCH($H854,'CAT_ACTIVIDADES'!$A$4:$A$26,0)),""))=""),"SIN CLASIFICAR",IFERROR(INDEX('CAT_ACTIVIDADES'!$D$4:$D$26,MATCH($H854,'CAT_ACTIVIDADES'!$A$4:$A$26,0)),"")))</f>
        <v/>
      </c>
      <c r="AP854" s="4" t="n"/>
      <c r="AQ854" s="4" t="n"/>
      <c r="AR854" s="4" t="n"/>
      <c r="AS854" s="24">
        <f>IF($AR854="","",HYPERLINK(p_ruta_base_checklists&amp;$AR854,"abrir"))</f>
        <v/>
      </c>
      <c r="AT854" s="4" t="n"/>
      <c r="AU854" s="24">
        <f>IF($A854="","",$A854&amp;IF($B854="","0010",$B854))</f>
        <v/>
      </c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41" t="n"/>
      <c r="K855" s="5" t="n"/>
      <c r="L855" s="18" t="n"/>
      <c r="M855" s="24">
        <f>IF($A855="","",IFERROR(INDEX('AJUSTES'!$B$4:$B$303,MATCH($AU855,'AJUSTES'!$A$4:$A$303,0)),IF($K855="","",$K855)))</f>
        <v/>
      </c>
      <c r="N855" s="24">
        <f>IF($A855="","",IFERROR(INDEX('CAT_ESTADOS_ERP'!$B$4:$B$22,MATCH(IFERROR(INDEX('2_IMPORTAR_EJECUCION'!$C$9:$C$1208,MATCH($AU855,'2_IMPORTAR_EJECUCION'!$J$9:$J$1208,0)),""),'CAT_ESTADOS_ERP'!$A$4:$A$22,0)),"Pendiente"))</f>
        <v/>
      </c>
      <c r="O855" s="24">
        <f>IF($J855="","",YEAR($J855+4-WEEKDAY($J855,2))&amp;"-S"&amp;TEXT(_xlfn.ISOWEEKNUM($J855),"00"))</f>
        <v/>
      </c>
      <c r="P855" s="24">
        <f>IF($J855="","",YEAR($J855))</f>
        <v/>
      </c>
      <c r="Q855" s="24">
        <f>IF($J855="","",MONTH($J855))</f>
        <v/>
      </c>
      <c r="R855" s="24">
        <f>IF($J855="","",$P855&amp;"-"&amp;TEXT($Q855,"00"))</f>
        <v/>
      </c>
      <c r="S855" s="24">
        <f>IF($J855="","",INDEX(lista_dias,WEEKDAY($J855,2)))</f>
        <v/>
      </c>
      <c r="T855" s="24">
        <f>IF($J855="","",IFERROR(INDEX('CALENDARIO'!$C$15:$C$214,MATCH(TEXT($J855,"yyyy-mm-dd")&amp;"|"&amp;$Y855&amp;"|"&amp;$Z855,'CALENDARIO'!$G$15:$G$214,0)),IFERROR(INDEX('CALENDARIO'!$C$15:$C$214,MATCH(TEXT($J855,"yyyy-mm-dd")&amp;"|"&amp;$Y855&amp;"|",'CALENDARIO'!$G$15:$G$214,0)),IFERROR(INDEX('CALENDARIO'!$C$15:$C$214,MATCH(TEXT($J855,"yyyy-mm-dd")&amp;"||",'CALENDARIO'!$G$15:$G$214,0)),INDEX(patronHabil,WEEKDAY($J855,2))))))</f>
        <v/>
      </c>
      <c r="U855" s="24">
        <f>IF($I855="","",IFERROR(INDEX('CAT_TIPOS_OT'!$C$4:$C$23,MATCH($I855,'CAT_TIPOS_OT'!$A$4:$A$23,0)),"sin_clasificar"))</f>
        <v/>
      </c>
      <c r="V855" s="24">
        <f>IF($I855="","",IF(IFERROR(INDEX('CAT_TIPOS_OT'!$D$4:$D$23,MATCH($I855,'CAT_TIPOS_OT'!$A$4:$A$23,0)),"SIN CLASIFICAR")="","SIN CLASIFICAR",IFERROR(INDEX('CAT_TIPOS_OT'!$D$4:$D$23,MATCH($I855,'CAT_TIPOS_OT'!$A$4:$A$23,0)),"SIN CLASIFICAR")))</f>
        <v/>
      </c>
      <c r="W855" s="24">
        <f>IF($H855="","",IF(IFERROR(INDEX('CAT_ACTIVIDADES'!$F$4:$F$26,MATCH($H855,'CAT_ACTIVIDADES'!$A$4:$A$26,0)),"")=0,"",IFERROR(INDEX('CAT_ACTIVIDADES'!$F$4:$F$26,MATCH($H855,'CAT_ACTIVIDADES'!$A$4:$A$26,0)),"")))</f>
        <v/>
      </c>
      <c r="X855" s="24">
        <f>IF($F855="","",IFERROR(INDEX('CAT_CENTROS_COSTO'!$F$4:$F$28,MATCH($F855,'CAT_CENTROS_COSTO'!$A$4:$A$28,0)),"(sin catálogo)"))</f>
        <v/>
      </c>
      <c r="Y855" s="24">
        <f>IF($F855="","",IFERROR(INDEX('CAT_CENTROS_COSTO'!$D$4:$D$28,MATCH($F855,'CAT_CENTROS_COSTO'!$A$4:$A$28,0)),"(sin catálogo)"))</f>
        <v/>
      </c>
      <c r="Z855" s="24">
        <f>IF($F855="","",IF((IFERROR(INDEX('CAT_CENTROS_COSTO'!$E$4:$E$28,MATCH($F855,'CAT_CENTROS_COSTO'!$A$4:$A$28,0)),""))&lt;&gt;"",IFERROR(INDEX('CAT_CENTROS_COSTO'!$E$4:$E$28,MATCH($F855,'CAT_CENTROS_COSTO'!$A$4:$A$28,0)),""),$Y855))</f>
        <v/>
      </c>
      <c r="AA855" s="24">
        <f>IF($F855="","",IFERROR(INDEX('CAT_CENTROS_COSTO'!$G$4:$G$28,MATCH($F855,'CAT_CENTROS_COSTO'!$A$4:$A$28,0)),"(sin catálogo)"))</f>
        <v/>
      </c>
      <c r="AB855" s="24">
        <f>IF($G855="","",IFERROR(INDEX('CAT_PUESTOS'!$B$4:$B$23,MATCH($G855,'CAT_PUESTOS'!$A$4:$A$23,0)),"(sin catálogo)"))</f>
        <v/>
      </c>
      <c r="AC855" s="24">
        <f>IF($H855="","",IFERROR(INDEX('CAT_ACTIVIDADES'!$B$4:$B$26,MATCH($H855,'CAT_ACTIVIDADES'!$A$4:$A$26,0)),"(sin catálogo)"))</f>
        <v/>
      </c>
      <c r="AD855" s="26">
        <f>IF($J855="","",TODAY()-$J855)</f>
        <v/>
      </c>
      <c r="AE855" s="26">
        <f>IF($J855="","",IF($J855&lt;=TODAY(),COUNTIFS(cal_fechas,"&gt;="&amp;$J855,cal_fechas,"&lt;"&amp;TODAY(),cal_habil,"sí"),-COUNTIFS(cal_fechas,"&gt;="&amp;TODAY(),cal_fechas,"&lt;"&amp;$J855,cal_habil,"sí")))</f>
        <v/>
      </c>
      <c r="AF855" s="24">
        <f>IF($AE855="","",IF($AE855&lt;0,"FUTURO",IF($AE855&gt;p_dias_backlog_max,"BACKLOG","MES CORRIENTE")))</f>
        <v/>
      </c>
      <c r="AG855" s="24">
        <f>IF($AE855="",FALSE,AND($AE855&gt;p_dias_backlog_min,$AE855&lt;=p_dias_backlog_max))</f>
        <v/>
      </c>
      <c r="AH855" s="4" t="n"/>
      <c r="AI855" s="24">
        <f>IF($AH855="","",IF((IFERROR(INDEX('ASIGNACIONES'!$J$4:$J$451,MATCH($O855&amp;"|"&amp;$S855&amp;"|"&amp;$AH855,'ASIGNACIONES'!$N$4:$N$451,0)),""))=0,"",IFERROR(INDEX('ASIGNACIONES'!$J$4:$J$451,MATCH($O855&amp;"|"&amp;$S855&amp;"|"&amp;$AH855,'ASIGNACIONES'!$N$4:$N$451,0)),"")))</f>
        <v/>
      </c>
      <c r="AJ855" s="42">
        <f>IF($AH855="","",SUMIFS('ORDENES'!$M$4:$M$1203,'ORDENES'!$AH$4:$AH$1203,$AH855,'ORDENES'!$O$4:$O$1203,$O855,'ORDENES'!$S$4:$S$1203,$S855))</f>
        <v/>
      </c>
      <c r="AK855" s="42">
        <f>IF($AJ855="","",p_factor_productividad*IFERROR(INDEX('ASIGNACIONES'!$M$4:$M$451,MATCH($O855&amp;"|"&amp;$S855&amp;"|"&amp;$AH855,'ASIGNACIONES'!$N$4:$N$451,0)),0)-$AJ855)</f>
        <v/>
      </c>
      <c r="AL855" s="32">
        <f>IF($A855="","",IFERROR(INDEX('2_IMPORTAR_EJECUCION'!$F$9:$F$1208,MATCH($AU855,'2_IMPORTAR_EJECUCION'!$J$9:$J$1208,0)),0))</f>
        <v/>
      </c>
      <c r="AM855" s="32">
        <f>IF($A855="","",MAX(0,IFERROR(INDEX('2_IMPORTAR_EJECUCION'!$H$9:$H$1208,MATCH($AU855,'2_IMPORTAR_EJECUCION'!$J$9:$J$1208,0)),0)-$AL855))</f>
        <v/>
      </c>
      <c r="AN855" s="32">
        <f>IF($A855="","",$AL855+$AM855)</f>
        <v/>
      </c>
      <c r="AO855" s="24">
        <f>IF($A855="","",IF(OR((IFERROR(INDEX('CAT_ACTIVIDADES'!$D$4:$D$26,MATCH($H855,'CAT_ACTIVIDADES'!$A$4:$A$26,0)),""))=0,(IFERROR(INDEX('CAT_ACTIVIDADES'!$D$4:$D$26,MATCH($H855,'CAT_ACTIVIDADES'!$A$4:$A$26,0)),""))=""),"SIN CLASIFICAR",IFERROR(INDEX('CAT_ACTIVIDADES'!$D$4:$D$26,MATCH($H855,'CAT_ACTIVIDADES'!$A$4:$A$26,0)),"")))</f>
        <v/>
      </c>
      <c r="AP855" s="4" t="n"/>
      <c r="AQ855" s="4" t="n"/>
      <c r="AR855" s="4" t="n"/>
      <c r="AS855" s="24">
        <f>IF($AR855="","",HYPERLINK(p_ruta_base_checklists&amp;$AR855,"abrir"))</f>
        <v/>
      </c>
      <c r="AT855" s="4" t="n"/>
      <c r="AU855" s="24">
        <f>IF($A855="","",$A855&amp;IF($B855="","0010",$B855))</f>
        <v/>
      </c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41" t="n"/>
      <c r="K856" s="5" t="n"/>
      <c r="L856" s="18" t="n"/>
      <c r="M856" s="24">
        <f>IF($A856="","",IFERROR(INDEX('AJUSTES'!$B$4:$B$303,MATCH($AU856,'AJUSTES'!$A$4:$A$303,0)),IF($K856="","",$K856)))</f>
        <v/>
      </c>
      <c r="N856" s="24">
        <f>IF($A856="","",IFERROR(INDEX('CAT_ESTADOS_ERP'!$B$4:$B$22,MATCH(IFERROR(INDEX('2_IMPORTAR_EJECUCION'!$C$9:$C$1208,MATCH($AU856,'2_IMPORTAR_EJECUCION'!$J$9:$J$1208,0)),""),'CAT_ESTADOS_ERP'!$A$4:$A$22,0)),"Pendiente"))</f>
        <v/>
      </c>
      <c r="O856" s="24">
        <f>IF($J856="","",YEAR($J856+4-WEEKDAY($J856,2))&amp;"-S"&amp;TEXT(_xlfn.ISOWEEKNUM($J856),"00"))</f>
        <v/>
      </c>
      <c r="P856" s="24">
        <f>IF($J856="","",YEAR($J856))</f>
        <v/>
      </c>
      <c r="Q856" s="24">
        <f>IF($J856="","",MONTH($J856))</f>
        <v/>
      </c>
      <c r="R856" s="24">
        <f>IF($J856="","",$P856&amp;"-"&amp;TEXT($Q856,"00"))</f>
        <v/>
      </c>
      <c r="S856" s="24">
        <f>IF($J856="","",INDEX(lista_dias,WEEKDAY($J856,2)))</f>
        <v/>
      </c>
      <c r="T856" s="24">
        <f>IF($J856="","",IFERROR(INDEX('CALENDARIO'!$C$15:$C$214,MATCH(TEXT($J856,"yyyy-mm-dd")&amp;"|"&amp;$Y856&amp;"|"&amp;$Z856,'CALENDARIO'!$G$15:$G$214,0)),IFERROR(INDEX('CALENDARIO'!$C$15:$C$214,MATCH(TEXT($J856,"yyyy-mm-dd")&amp;"|"&amp;$Y856&amp;"|",'CALENDARIO'!$G$15:$G$214,0)),IFERROR(INDEX('CALENDARIO'!$C$15:$C$214,MATCH(TEXT($J856,"yyyy-mm-dd")&amp;"||",'CALENDARIO'!$G$15:$G$214,0)),INDEX(patronHabil,WEEKDAY($J856,2))))))</f>
        <v/>
      </c>
      <c r="U856" s="24">
        <f>IF($I856="","",IFERROR(INDEX('CAT_TIPOS_OT'!$C$4:$C$23,MATCH($I856,'CAT_TIPOS_OT'!$A$4:$A$23,0)),"sin_clasificar"))</f>
        <v/>
      </c>
      <c r="V856" s="24">
        <f>IF($I856="","",IF(IFERROR(INDEX('CAT_TIPOS_OT'!$D$4:$D$23,MATCH($I856,'CAT_TIPOS_OT'!$A$4:$A$23,0)),"SIN CLASIFICAR")="","SIN CLASIFICAR",IFERROR(INDEX('CAT_TIPOS_OT'!$D$4:$D$23,MATCH($I856,'CAT_TIPOS_OT'!$A$4:$A$23,0)),"SIN CLASIFICAR")))</f>
        <v/>
      </c>
      <c r="W856" s="24">
        <f>IF($H856="","",IF(IFERROR(INDEX('CAT_ACTIVIDADES'!$F$4:$F$26,MATCH($H856,'CAT_ACTIVIDADES'!$A$4:$A$26,0)),"")=0,"",IFERROR(INDEX('CAT_ACTIVIDADES'!$F$4:$F$26,MATCH($H856,'CAT_ACTIVIDADES'!$A$4:$A$26,0)),"")))</f>
        <v/>
      </c>
      <c r="X856" s="24">
        <f>IF($F856="","",IFERROR(INDEX('CAT_CENTROS_COSTO'!$F$4:$F$28,MATCH($F856,'CAT_CENTROS_COSTO'!$A$4:$A$28,0)),"(sin catálogo)"))</f>
        <v/>
      </c>
      <c r="Y856" s="24">
        <f>IF($F856="","",IFERROR(INDEX('CAT_CENTROS_COSTO'!$D$4:$D$28,MATCH($F856,'CAT_CENTROS_COSTO'!$A$4:$A$28,0)),"(sin catálogo)"))</f>
        <v/>
      </c>
      <c r="Z856" s="24">
        <f>IF($F856="","",IF((IFERROR(INDEX('CAT_CENTROS_COSTO'!$E$4:$E$28,MATCH($F856,'CAT_CENTROS_COSTO'!$A$4:$A$28,0)),""))&lt;&gt;"",IFERROR(INDEX('CAT_CENTROS_COSTO'!$E$4:$E$28,MATCH($F856,'CAT_CENTROS_COSTO'!$A$4:$A$28,0)),""),$Y856))</f>
        <v/>
      </c>
      <c r="AA856" s="24">
        <f>IF($F856="","",IFERROR(INDEX('CAT_CENTROS_COSTO'!$G$4:$G$28,MATCH($F856,'CAT_CENTROS_COSTO'!$A$4:$A$28,0)),"(sin catálogo)"))</f>
        <v/>
      </c>
      <c r="AB856" s="24">
        <f>IF($G856="","",IFERROR(INDEX('CAT_PUESTOS'!$B$4:$B$23,MATCH($G856,'CAT_PUESTOS'!$A$4:$A$23,0)),"(sin catálogo)"))</f>
        <v/>
      </c>
      <c r="AC856" s="24">
        <f>IF($H856="","",IFERROR(INDEX('CAT_ACTIVIDADES'!$B$4:$B$26,MATCH($H856,'CAT_ACTIVIDADES'!$A$4:$A$26,0)),"(sin catálogo)"))</f>
        <v/>
      </c>
      <c r="AD856" s="26">
        <f>IF($J856="","",TODAY()-$J856)</f>
        <v/>
      </c>
      <c r="AE856" s="26">
        <f>IF($J856="","",IF($J856&lt;=TODAY(),COUNTIFS(cal_fechas,"&gt;="&amp;$J856,cal_fechas,"&lt;"&amp;TODAY(),cal_habil,"sí"),-COUNTIFS(cal_fechas,"&gt;="&amp;TODAY(),cal_fechas,"&lt;"&amp;$J856,cal_habil,"sí")))</f>
        <v/>
      </c>
      <c r="AF856" s="24">
        <f>IF($AE856="","",IF($AE856&lt;0,"FUTURO",IF($AE856&gt;p_dias_backlog_max,"BACKLOG","MES CORRIENTE")))</f>
        <v/>
      </c>
      <c r="AG856" s="24">
        <f>IF($AE856="",FALSE,AND($AE856&gt;p_dias_backlog_min,$AE856&lt;=p_dias_backlog_max))</f>
        <v/>
      </c>
      <c r="AH856" s="4" t="n"/>
      <c r="AI856" s="24">
        <f>IF($AH856="","",IF((IFERROR(INDEX('ASIGNACIONES'!$J$4:$J$451,MATCH($O856&amp;"|"&amp;$S856&amp;"|"&amp;$AH856,'ASIGNACIONES'!$N$4:$N$451,0)),""))=0,"",IFERROR(INDEX('ASIGNACIONES'!$J$4:$J$451,MATCH($O856&amp;"|"&amp;$S856&amp;"|"&amp;$AH856,'ASIGNACIONES'!$N$4:$N$451,0)),"")))</f>
        <v/>
      </c>
      <c r="AJ856" s="42">
        <f>IF($AH856="","",SUMIFS('ORDENES'!$M$4:$M$1203,'ORDENES'!$AH$4:$AH$1203,$AH856,'ORDENES'!$O$4:$O$1203,$O856,'ORDENES'!$S$4:$S$1203,$S856))</f>
        <v/>
      </c>
      <c r="AK856" s="42">
        <f>IF($AJ856="","",p_factor_productividad*IFERROR(INDEX('ASIGNACIONES'!$M$4:$M$451,MATCH($O856&amp;"|"&amp;$S856&amp;"|"&amp;$AH856,'ASIGNACIONES'!$N$4:$N$451,0)),0)-$AJ856)</f>
        <v/>
      </c>
      <c r="AL856" s="32">
        <f>IF($A856="","",IFERROR(INDEX('2_IMPORTAR_EJECUCION'!$F$9:$F$1208,MATCH($AU856,'2_IMPORTAR_EJECUCION'!$J$9:$J$1208,0)),0))</f>
        <v/>
      </c>
      <c r="AM856" s="32">
        <f>IF($A856="","",MAX(0,IFERROR(INDEX('2_IMPORTAR_EJECUCION'!$H$9:$H$1208,MATCH($AU856,'2_IMPORTAR_EJECUCION'!$J$9:$J$1208,0)),0)-$AL856))</f>
        <v/>
      </c>
      <c r="AN856" s="32">
        <f>IF($A856="","",$AL856+$AM856)</f>
        <v/>
      </c>
      <c r="AO856" s="24">
        <f>IF($A856="","",IF(OR((IFERROR(INDEX('CAT_ACTIVIDADES'!$D$4:$D$26,MATCH($H856,'CAT_ACTIVIDADES'!$A$4:$A$26,0)),""))=0,(IFERROR(INDEX('CAT_ACTIVIDADES'!$D$4:$D$26,MATCH($H856,'CAT_ACTIVIDADES'!$A$4:$A$26,0)),""))=""),"SIN CLASIFICAR",IFERROR(INDEX('CAT_ACTIVIDADES'!$D$4:$D$26,MATCH($H856,'CAT_ACTIVIDADES'!$A$4:$A$26,0)),"")))</f>
        <v/>
      </c>
      <c r="AP856" s="4" t="n"/>
      <c r="AQ856" s="4" t="n"/>
      <c r="AR856" s="4" t="n"/>
      <c r="AS856" s="24">
        <f>IF($AR856="","",HYPERLINK(p_ruta_base_checklists&amp;$AR856,"abrir"))</f>
        <v/>
      </c>
      <c r="AT856" s="4" t="n"/>
      <c r="AU856" s="24">
        <f>IF($A856="","",$A856&amp;IF($B856="","0010",$B856))</f>
        <v/>
      </c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41" t="n"/>
      <c r="K857" s="5" t="n"/>
      <c r="L857" s="18" t="n"/>
      <c r="M857" s="24">
        <f>IF($A857="","",IFERROR(INDEX('AJUSTES'!$B$4:$B$303,MATCH($AU857,'AJUSTES'!$A$4:$A$303,0)),IF($K857="","",$K857)))</f>
        <v/>
      </c>
      <c r="N857" s="24">
        <f>IF($A857="","",IFERROR(INDEX('CAT_ESTADOS_ERP'!$B$4:$B$22,MATCH(IFERROR(INDEX('2_IMPORTAR_EJECUCION'!$C$9:$C$1208,MATCH($AU857,'2_IMPORTAR_EJECUCION'!$J$9:$J$1208,0)),""),'CAT_ESTADOS_ERP'!$A$4:$A$22,0)),"Pendiente"))</f>
        <v/>
      </c>
      <c r="O857" s="24">
        <f>IF($J857="","",YEAR($J857+4-WEEKDAY($J857,2))&amp;"-S"&amp;TEXT(_xlfn.ISOWEEKNUM($J857),"00"))</f>
        <v/>
      </c>
      <c r="P857" s="24">
        <f>IF($J857="","",YEAR($J857))</f>
        <v/>
      </c>
      <c r="Q857" s="24">
        <f>IF($J857="","",MONTH($J857))</f>
        <v/>
      </c>
      <c r="R857" s="24">
        <f>IF($J857="","",$P857&amp;"-"&amp;TEXT($Q857,"00"))</f>
        <v/>
      </c>
      <c r="S857" s="24">
        <f>IF($J857="","",INDEX(lista_dias,WEEKDAY($J857,2)))</f>
        <v/>
      </c>
      <c r="T857" s="24">
        <f>IF($J857="","",IFERROR(INDEX('CALENDARIO'!$C$15:$C$214,MATCH(TEXT($J857,"yyyy-mm-dd")&amp;"|"&amp;$Y857&amp;"|"&amp;$Z857,'CALENDARIO'!$G$15:$G$214,0)),IFERROR(INDEX('CALENDARIO'!$C$15:$C$214,MATCH(TEXT($J857,"yyyy-mm-dd")&amp;"|"&amp;$Y857&amp;"|",'CALENDARIO'!$G$15:$G$214,0)),IFERROR(INDEX('CALENDARIO'!$C$15:$C$214,MATCH(TEXT($J857,"yyyy-mm-dd")&amp;"||",'CALENDARIO'!$G$15:$G$214,0)),INDEX(patronHabil,WEEKDAY($J857,2))))))</f>
        <v/>
      </c>
      <c r="U857" s="24">
        <f>IF($I857="","",IFERROR(INDEX('CAT_TIPOS_OT'!$C$4:$C$23,MATCH($I857,'CAT_TIPOS_OT'!$A$4:$A$23,0)),"sin_clasificar"))</f>
        <v/>
      </c>
      <c r="V857" s="24">
        <f>IF($I857="","",IF(IFERROR(INDEX('CAT_TIPOS_OT'!$D$4:$D$23,MATCH($I857,'CAT_TIPOS_OT'!$A$4:$A$23,0)),"SIN CLASIFICAR")="","SIN CLASIFICAR",IFERROR(INDEX('CAT_TIPOS_OT'!$D$4:$D$23,MATCH($I857,'CAT_TIPOS_OT'!$A$4:$A$23,0)),"SIN CLASIFICAR")))</f>
        <v/>
      </c>
      <c r="W857" s="24">
        <f>IF($H857="","",IF(IFERROR(INDEX('CAT_ACTIVIDADES'!$F$4:$F$26,MATCH($H857,'CAT_ACTIVIDADES'!$A$4:$A$26,0)),"")=0,"",IFERROR(INDEX('CAT_ACTIVIDADES'!$F$4:$F$26,MATCH($H857,'CAT_ACTIVIDADES'!$A$4:$A$26,0)),"")))</f>
        <v/>
      </c>
      <c r="X857" s="24">
        <f>IF($F857="","",IFERROR(INDEX('CAT_CENTROS_COSTO'!$F$4:$F$28,MATCH($F857,'CAT_CENTROS_COSTO'!$A$4:$A$28,0)),"(sin catálogo)"))</f>
        <v/>
      </c>
      <c r="Y857" s="24">
        <f>IF($F857="","",IFERROR(INDEX('CAT_CENTROS_COSTO'!$D$4:$D$28,MATCH($F857,'CAT_CENTROS_COSTO'!$A$4:$A$28,0)),"(sin catálogo)"))</f>
        <v/>
      </c>
      <c r="Z857" s="24">
        <f>IF($F857="","",IF((IFERROR(INDEX('CAT_CENTROS_COSTO'!$E$4:$E$28,MATCH($F857,'CAT_CENTROS_COSTO'!$A$4:$A$28,0)),""))&lt;&gt;"",IFERROR(INDEX('CAT_CENTROS_COSTO'!$E$4:$E$28,MATCH($F857,'CAT_CENTROS_COSTO'!$A$4:$A$28,0)),""),$Y857))</f>
        <v/>
      </c>
      <c r="AA857" s="24">
        <f>IF($F857="","",IFERROR(INDEX('CAT_CENTROS_COSTO'!$G$4:$G$28,MATCH($F857,'CAT_CENTROS_COSTO'!$A$4:$A$28,0)),"(sin catálogo)"))</f>
        <v/>
      </c>
      <c r="AB857" s="24">
        <f>IF($G857="","",IFERROR(INDEX('CAT_PUESTOS'!$B$4:$B$23,MATCH($G857,'CAT_PUESTOS'!$A$4:$A$23,0)),"(sin catálogo)"))</f>
        <v/>
      </c>
      <c r="AC857" s="24">
        <f>IF($H857="","",IFERROR(INDEX('CAT_ACTIVIDADES'!$B$4:$B$26,MATCH($H857,'CAT_ACTIVIDADES'!$A$4:$A$26,0)),"(sin catálogo)"))</f>
        <v/>
      </c>
      <c r="AD857" s="26">
        <f>IF($J857="","",TODAY()-$J857)</f>
        <v/>
      </c>
      <c r="AE857" s="26">
        <f>IF($J857="","",IF($J857&lt;=TODAY(),COUNTIFS(cal_fechas,"&gt;="&amp;$J857,cal_fechas,"&lt;"&amp;TODAY(),cal_habil,"sí"),-COUNTIFS(cal_fechas,"&gt;="&amp;TODAY(),cal_fechas,"&lt;"&amp;$J857,cal_habil,"sí")))</f>
        <v/>
      </c>
      <c r="AF857" s="24">
        <f>IF($AE857="","",IF($AE857&lt;0,"FUTURO",IF($AE857&gt;p_dias_backlog_max,"BACKLOG","MES CORRIENTE")))</f>
        <v/>
      </c>
      <c r="AG857" s="24">
        <f>IF($AE857="",FALSE,AND($AE857&gt;p_dias_backlog_min,$AE857&lt;=p_dias_backlog_max))</f>
        <v/>
      </c>
      <c r="AH857" s="4" t="n"/>
      <c r="AI857" s="24">
        <f>IF($AH857="","",IF((IFERROR(INDEX('ASIGNACIONES'!$J$4:$J$451,MATCH($O857&amp;"|"&amp;$S857&amp;"|"&amp;$AH857,'ASIGNACIONES'!$N$4:$N$451,0)),""))=0,"",IFERROR(INDEX('ASIGNACIONES'!$J$4:$J$451,MATCH($O857&amp;"|"&amp;$S857&amp;"|"&amp;$AH857,'ASIGNACIONES'!$N$4:$N$451,0)),"")))</f>
        <v/>
      </c>
      <c r="AJ857" s="42">
        <f>IF($AH857="","",SUMIFS('ORDENES'!$M$4:$M$1203,'ORDENES'!$AH$4:$AH$1203,$AH857,'ORDENES'!$O$4:$O$1203,$O857,'ORDENES'!$S$4:$S$1203,$S857))</f>
        <v/>
      </c>
      <c r="AK857" s="42">
        <f>IF($AJ857="","",p_factor_productividad*IFERROR(INDEX('ASIGNACIONES'!$M$4:$M$451,MATCH($O857&amp;"|"&amp;$S857&amp;"|"&amp;$AH857,'ASIGNACIONES'!$N$4:$N$451,0)),0)-$AJ857)</f>
        <v/>
      </c>
      <c r="AL857" s="32">
        <f>IF($A857="","",IFERROR(INDEX('2_IMPORTAR_EJECUCION'!$F$9:$F$1208,MATCH($AU857,'2_IMPORTAR_EJECUCION'!$J$9:$J$1208,0)),0))</f>
        <v/>
      </c>
      <c r="AM857" s="32">
        <f>IF($A857="","",MAX(0,IFERROR(INDEX('2_IMPORTAR_EJECUCION'!$H$9:$H$1208,MATCH($AU857,'2_IMPORTAR_EJECUCION'!$J$9:$J$1208,0)),0)-$AL857))</f>
        <v/>
      </c>
      <c r="AN857" s="32">
        <f>IF($A857="","",$AL857+$AM857)</f>
        <v/>
      </c>
      <c r="AO857" s="24">
        <f>IF($A857="","",IF(OR((IFERROR(INDEX('CAT_ACTIVIDADES'!$D$4:$D$26,MATCH($H857,'CAT_ACTIVIDADES'!$A$4:$A$26,0)),""))=0,(IFERROR(INDEX('CAT_ACTIVIDADES'!$D$4:$D$26,MATCH($H857,'CAT_ACTIVIDADES'!$A$4:$A$26,0)),""))=""),"SIN CLASIFICAR",IFERROR(INDEX('CAT_ACTIVIDADES'!$D$4:$D$26,MATCH($H857,'CAT_ACTIVIDADES'!$A$4:$A$26,0)),"")))</f>
        <v/>
      </c>
      <c r="AP857" s="4" t="n"/>
      <c r="AQ857" s="4" t="n"/>
      <c r="AR857" s="4" t="n"/>
      <c r="AS857" s="24">
        <f>IF($AR857="","",HYPERLINK(p_ruta_base_checklists&amp;$AR857,"abrir"))</f>
        <v/>
      </c>
      <c r="AT857" s="4" t="n"/>
      <c r="AU857" s="24">
        <f>IF($A857="","",$A857&amp;IF($B857="","0010",$B857))</f>
        <v/>
      </c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41" t="n"/>
      <c r="K858" s="5" t="n"/>
      <c r="L858" s="18" t="n"/>
      <c r="M858" s="24">
        <f>IF($A858="","",IFERROR(INDEX('AJUSTES'!$B$4:$B$303,MATCH($AU858,'AJUSTES'!$A$4:$A$303,0)),IF($K858="","",$K858)))</f>
        <v/>
      </c>
      <c r="N858" s="24">
        <f>IF($A858="","",IFERROR(INDEX('CAT_ESTADOS_ERP'!$B$4:$B$22,MATCH(IFERROR(INDEX('2_IMPORTAR_EJECUCION'!$C$9:$C$1208,MATCH($AU858,'2_IMPORTAR_EJECUCION'!$J$9:$J$1208,0)),""),'CAT_ESTADOS_ERP'!$A$4:$A$22,0)),"Pendiente"))</f>
        <v/>
      </c>
      <c r="O858" s="24">
        <f>IF($J858="","",YEAR($J858+4-WEEKDAY($J858,2))&amp;"-S"&amp;TEXT(_xlfn.ISOWEEKNUM($J858),"00"))</f>
        <v/>
      </c>
      <c r="P858" s="24">
        <f>IF($J858="","",YEAR($J858))</f>
        <v/>
      </c>
      <c r="Q858" s="24">
        <f>IF($J858="","",MONTH($J858))</f>
        <v/>
      </c>
      <c r="R858" s="24">
        <f>IF($J858="","",$P858&amp;"-"&amp;TEXT($Q858,"00"))</f>
        <v/>
      </c>
      <c r="S858" s="24">
        <f>IF($J858="","",INDEX(lista_dias,WEEKDAY($J858,2)))</f>
        <v/>
      </c>
      <c r="T858" s="24">
        <f>IF($J858="","",IFERROR(INDEX('CALENDARIO'!$C$15:$C$214,MATCH(TEXT($J858,"yyyy-mm-dd")&amp;"|"&amp;$Y858&amp;"|"&amp;$Z858,'CALENDARIO'!$G$15:$G$214,0)),IFERROR(INDEX('CALENDARIO'!$C$15:$C$214,MATCH(TEXT($J858,"yyyy-mm-dd")&amp;"|"&amp;$Y858&amp;"|",'CALENDARIO'!$G$15:$G$214,0)),IFERROR(INDEX('CALENDARIO'!$C$15:$C$214,MATCH(TEXT($J858,"yyyy-mm-dd")&amp;"||",'CALENDARIO'!$G$15:$G$214,0)),INDEX(patronHabil,WEEKDAY($J858,2))))))</f>
        <v/>
      </c>
      <c r="U858" s="24">
        <f>IF($I858="","",IFERROR(INDEX('CAT_TIPOS_OT'!$C$4:$C$23,MATCH($I858,'CAT_TIPOS_OT'!$A$4:$A$23,0)),"sin_clasificar"))</f>
        <v/>
      </c>
      <c r="V858" s="24">
        <f>IF($I858="","",IF(IFERROR(INDEX('CAT_TIPOS_OT'!$D$4:$D$23,MATCH($I858,'CAT_TIPOS_OT'!$A$4:$A$23,0)),"SIN CLASIFICAR")="","SIN CLASIFICAR",IFERROR(INDEX('CAT_TIPOS_OT'!$D$4:$D$23,MATCH($I858,'CAT_TIPOS_OT'!$A$4:$A$23,0)),"SIN CLASIFICAR")))</f>
        <v/>
      </c>
      <c r="W858" s="24">
        <f>IF($H858="","",IF(IFERROR(INDEX('CAT_ACTIVIDADES'!$F$4:$F$26,MATCH($H858,'CAT_ACTIVIDADES'!$A$4:$A$26,0)),"")=0,"",IFERROR(INDEX('CAT_ACTIVIDADES'!$F$4:$F$26,MATCH($H858,'CAT_ACTIVIDADES'!$A$4:$A$26,0)),"")))</f>
        <v/>
      </c>
      <c r="X858" s="24">
        <f>IF($F858="","",IFERROR(INDEX('CAT_CENTROS_COSTO'!$F$4:$F$28,MATCH($F858,'CAT_CENTROS_COSTO'!$A$4:$A$28,0)),"(sin catálogo)"))</f>
        <v/>
      </c>
      <c r="Y858" s="24">
        <f>IF($F858="","",IFERROR(INDEX('CAT_CENTROS_COSTO'!$D$4:$D$28,MATCH($F858,'CAT_CENTROS_COSTO'!$A$4:$A$28,0)),"(sin catálogo)"))</f>
        <v/>
      </c>
      <c r="Z858" s="24">
        <f>IF($F858="","",IF((IFERROR(INDEX('CAT_CENTROS_COSTO'!$E$4:$E$28,MATCH($F858,'CAT_CENTROS_COSTO'!$A$4:$A$28,0)),""))&lt;&gt;"",IFERROR(INDEX('CAT_CENTROS_COSTO'!$E$4:$E$28,MATCH($F858,'CAT_CENTROS_COSTO'!$A$4:$A$28,0)),""),$Y858))</f>
        <v/>
      </c>
      <c r="AA858" s="24">
        <f>IF($F858="","",IFERROR(INDEX('CAT_CENTROS_COSTO'!$G$4:$G$28,MATCH($F858,'CAT_CENTROS_COSTO'!$A$4:$A$28,0)),"(sin catálogo)"))</f>
        <v/>
      </c>
      <c r="AB858" s="24">
        <f>IF($G858="","",IFERROR(INDEX('CAT_PUESTOS'!$B$4:$B$23,MATCH($G858,'CAT_PUESTOS'!$A$4:$A$23,0)),"(sin catálogo)"))</f>
        <v/>
      </c>
      <c r="AC858" s="24">
        <f>IF($H858="","",IFERROR(INDEX('CAT_ACTIVIDADES'!$B$4:$B$26,MATCH($H858,'CAT_ACTIVIDADES'!$A$4:$A$26,0)),"(sin catálogo)"))</f>
        <v/>
      </c>
      <c r="AD858" s="26">
        <f>IF($J858="","",TODAY()-$J858)</f>
        <v/>
      </c>
      <c r="AE858" s="26">
        <f>IF($J858="","",IF($J858&lt;=TODAY(),COUNTIFS(cal_fechas,"&gt;="&amp;$J858,cal_fechas,"&lt;"&amp;TODAY(),cal_habil,"sí"),-COUNTIFS(cal_fechas,"&gt;="&amp;TODAY(),cal_fechas,"&lt;"&amp;$J858,cal_habil,"sí")))</f>
        <v/>
      </c>
      <c r="AF858" s="24">
        <f>IF($AE858="","",IF($AE858&lt;0,"FUTURO",IF($AE858&gt;p_dias_backlog_max,"BACKLOG","MES CORRIENTE")))</f>
        <v/>
      </c>
      <c r="AG858" s="24">
        <f>IF($AE858="",FALSE,AND($AE858&gt;p_dias_backlog_min,$AE858&lt;=p_dias_backlog_max))</f>
        <v/>
      </c>
      <c r="AH858" s="4" t="n"/>
      <c r="AI858" s="24">
        <f>IF($AH858="","",IF((IFERROR(INDEX('ASIGNACIONES'!$J$4:$J$451,MATCH($O858&amp;"|"&amp;$S858&amp;"|"&amp;$AH858,'ASIGNACIONES'!$N$4:$N$451,0)),""))=0,"",IFERROR(INDEX('ASIGNACIONES'!$J$4:$J$451,MATCH($O858&amp;"|"&amp;$S858&amp;"|"&amp;$AH858,'ASIGNACIONES'!$N$4:$N$451,0)),"")))</f>
        <v/>
      </c>
      <c r="AJ858" s="42">
        <f>IF($AH858="","",SUMIFS('ORDENES'!$M$4:$M$1203,'ORDENES'!$AH$4:$AH$1203,$AH858,'ORDENES'!$O$4:$O$1203,$O858,'ORDENES'!$S$4:$S$1203,$S858))</f>
        <v/>
      </c>
      <c r="AK858" s="42">
        <f>IF($AJ858="","",p_factor_productividad*IFERROR(INDEX('ASIGNACIONES'!$M$4:$M$451,MATCH($O858&amp;"|"&amp;$S858&amp;"|"&amp;$AH858,'ASIGNACIONES'!$N$4:$N$451,0)),0)-$AJ858)</f>
        <v/>
      </c>
      <c r="AL858" s="32">
        <f>IF($A858="","",IFERROR(INDEX('2_IMPORTAR_EJECUCION'!$F$9:$F$1208,MATCH($AU858,'2_IMPORTAR_EJECUCION'!$J$9:$J$1208,0)),0))</f>
        <v/>
      </c>
      <c r="AM858" s="32">
        <f>IF($A858="","",MAX(0,IFERROR(INDEX('2_IMPORTAR_EJECUCION'!$H$9:$H$1208,MATCH($AU858,'2_IMPORTAR_EJECUCION'!$J$9:$J$1208,0)),0)-$AL858))</f>
        <v/>
      </c>
      <c r="AN858" s="32">
        <f>IF($A858="","",$AL858+$AM858)</f>
        <v/>
      </c>
      <c r="AO858" s="24">
        <f>IF($A858="","",IF(OR((IFERROR(INDEX('CAT_ACTIVIDADES'!$D$4:$D$26,MATCH($H858,'CAT_ACTIVIDADES'!$A$4:$A$26,0)),""))=0,(IFERROR(INDEX('CAT_ACTIVIDADES'!$D$4:$D$26,MATCH($H858,'CAT_ACTIVIDADES'!$A$4:$A$26,0)),""))=""),"SIN CLASIFICAR",IFERROR(INDEX('CAT_ACTIVIDADES'!$D$4:$D$26,MATCH($H858,'CAT_ACTIVIDADES'!$A$4:$A$26,0)),"")))</f>
        <v/>
      </c>
      <c r="AP858" s="4" t="n"/>
      <c r="AQ858" s="4" t="n"/>
      <c r="AR858" s="4" t="n"/>
      <c r="AS858" s="24">
        <f>IF($AR858="","",HYPERLINK(p_ruta_base_checklists&amp;$AR858,"abrir"))</f>
        <v/>
      </c>
      <c r="AT858" s="4" t="n"/>
      <c r="AU858" s="24">
        <f>IF($A858="","",$A858&amp;IF($B858="","0010",$B858))</f>
        <v/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41" t="n"/>
      <c r="K859" s="5" t="n"/>
      <c r="L859" s="18" t="n"/>
      <c r="M859" s="24">
        <f>IF($A859="","",IFERROR(INDEX('AJUSTES'!$B$4:$B$303,MATCH($AU859,'AJUSTES'!$A$4:$A$303,0)),IF($K859="","",$K859)))</f>
        <v/>
      </c>
      <c r="N859" s="24">
        <f>IF($A859="","",IFERROR(INDEX('CAT_ESTADOS_ERP'!$B$4:$B$22,MATCH(IFERROR(INDEX('2_IMPORTAR_EJECUCION'!$C$9:$C$1208,MATCH($AU859,'2_IMPORTAR_EJECUCION'!$J$9:$J$1208,0)),""),'CAT_ESTADOS_ERP'!$A$4:$A$22,0)),"Pendiente"))</f>
        <v/>
      </c>
      <c r="O859" s="24">
        <f>IF($J859="","",YEAR($J859+4-WEEKDAY($J859,2))&amp;"-S"&amp;TEXT(_xlfn.ISOWEEKNUM($J859),"00"))</f>
        <v/>
      </c>
      <c r="P859" s="24">
        <f>IF($J859="","",YEAR($J859))</f>
        <v/>
      </c>
      <c r="Q859" s="24">
        <f>IF($J859="","",MONTH($J859))</f>
        <v/>
      </c>
      <c r="R859" s="24">
        <f>IF($J859="","",$P859&amp;"-"&amp;TEXT($Q859,"00"))</f>
        <v/>
      </c>
      <c r="S859" s="24">
        <f>IF($J859="","",INDEX(lista_dias,WEEKDAY($J859,2)))</f>
        <v/>
      </c>
      <c r="T859" s="24">
        <f>IF($J859="","",IFERROR(INDEX('CALENDARIO'!$C$15:$C$214,MATCH(TEXT($J859,"yyyy-mm-dd")&amp;"|"&amp;$Y859&amp;"|"&amp;$Z859,'CALENDARIO'!$G$15:$G$214,0)),IFERROR(INDEX('CALENDARIO'!$C$15:$C$214,MATCH(TEXT($J859,"yyyy-mm-dd")&amp;"|"&amp;$Y859&amp;"|",'CALENDARIO'!$G$15:$G$214,0)),IFERROR(INDEX('CALENDARIO'!$C$15:$C$214,MATCH(TEXT($J859,"yyyy-mm-dd")&amp;"||",'CALENDARIO'!$G$15:$G$214,0)),INDEX(patronHabil,WEEKDAY($J859,2))))))</f>
        <v/>
      </c>
      <c r="U859" s="24">
        <f>IF($I859="","",IFERROR(INDEX('CAT_TIPOS_OT'!$C$4:$C$23,MATCH($I859,'CAT_TIPOS_OT'!$A$4:$A$23,0)),"sin_clasificar"))</f>
        <v/>
      </c>
      <c r="V859" s="24">
        <f>IF($I859="","",IF(IFERROR(INDEX('CAT_TIPOS_OT'!$D$4:$D$23,MATCH($I859,'CAT_TIPOS_OT'!$A$4:$A$23,0)),"SIN CLASIFICAR")="","SIN CLASIFICAR",IFERROR(INDEX('CAT_TIPOS_OT'!$D$4:$D$23,MATCH($I859,'CAT_TIPOS_OT'!$A$4:$A$23,0)),"SIN CLASIFICAR")))</f>
        <v/>
      </c>
      <c r="W859" s="24">
        <f>IF($H859="","",IF(IFERROR(INDEX('CAT_ACTIVIDADES'!$F$4:$F$26,MATCH($H859,'CAT_ACTIVIDADES'!$A$4:$A$26,0)),"")=0,"",IFERROR(INDEX('CAT_ACTIVIDADES'!$F$4:$F$26,MATCH($H859,'CAT_ACTIVIDADES'!$A$4:$A$26,0)),"")))</f>
        <v/>
      </c>
      <c r="X859" s="24">
        <f>IF($F859="","",IFERROR(INDEX('CAT_CENTROS_COSTO'!$F$4:$F$28,MATCH($F859,'CAT_CENTROS_COSTO'!$A$4:$A$28,0)),"(sin catálogo)"))</f>
        <v/>
      </c>
      <c r="Y859" s="24">
        <f>IF($F859="","",IFERROR(INDEX('CAT_CENTROS_COSTO'!$D$4:$D$28,MATCH($F859,'CAT_CENTROS_COSTO'!$A$4:$A$28,0)),"(sin catálogo)"))</f>
        <v/>
      </c>
      <c r="Z859" s="24">
        <f>IF($F859="","",IF((IFERROR(INDEX('CAT_CENTROS_COSTO'!$E$4:$E$28,MATCH($F859,'CAT_CENTROS_COSTO'!$A$4:$A$28,0)),""))&lt;&gt;"",IFERROR(INDEX('CAT_CENTROS_COSTO'!$E$4:$E$28,MATCH($F859,'CAT_CENTROS_COSTO'!$A$4:$A$28,0)),""),$Y859))</f>
        <v/>
      </c>
      <c r="AA859" s="24">
        <f>IF($F859="","",IFERROR(INDEX('CAT_CENTROS_COSTO'!$G$4:$G$28,MATCH($F859,'CAT_CENTROS_COSTO'!$A$4:$A$28,0)),"(sin catálogo)"))</f>
        <v/>
      </c>
      <c r="AB859" s="24">
        <f>IF($G859="","",IFERROR(INDEX('CAT_PUESTOS'!$B$4:$B$23,MATCH($G859,'CAT_PUESTOS'!$A$4:$A$23,0)),"(sin catálogo)"))</f>
        <v/>
      </c>
      <c r="AC859" s="24">
        <f>IF($H859="","",IFERROR(INDEX('CAT_ACTIVIDADES'!$B$4:$B$26,MATCH($H859,'CAT_ACTIVIDADES'!$A$4:$A$26,0)),"(sin catálogo)"))</f>
        <v/>
      </c>
      <c r="AD859" s="26">
        <f>IF($J859="","",TODAY()-$J859)</f>
        <v/>
      </c>
      <c r="AE859" s="26">
        <f>IF($J859="","",IF($J859&lt;=TODAY(),COUNTIFS(cal_fechas,"&gt;="&amp;$J859,cal_fechas,"&lt;"&amp;TODAY(),cal_habil,"sí"),-COUNTIFS(cal_fechas,"&gt;="&amp;TODAY(),cal_fechas,"&lt;"&amp;$J859,cal_habil,"sí")))</f>
        <v/>
      </c>
      <c r="AF859" s="24">
        <f>IF($AE859="","",IF($AE859&lt;0,"FUTURO",IF($AE859&gt;p_dias_backlog_max,"BACKLOG","MES CORRIENTE")))</f>
        <v/>
      </c>
      <c r="AG859" s="24">
        <f>IF($AE859="",FALSE,AND($AE859&gt;p_dias_backlog_min,$AE859&lt;=p_dias_backlog_max))</f>
        <v/>
      </c>
      <c r="AH859" s="4" t="n"/>
      <c r="AI859" s="24">
        <f>IF($AH859="","",IF((IFERROR(INDEX('ASIGNACIONES'!$J$4:$J$451,MATCH($O859&amp;"|"&amp;$S859&amp;"|"&amp;$AH859,'ASIGNACIONES'!$N$4:$N$451,0)),""))=0,"",IFERROR(INDEX('ASIGNACIONES'!$J$4:$J$451,MATCH($O859&amp;"|"&amp;$S859&amp;"|"&amp;$AH859,'ASIGNACIONES'!$N$4:$N$451,0)),"")))</f>
        <v/>
      </c>
      <c r="AJ859" s="42">
        <f>IF($AH859="","",SUMIFS('ORDENES'!$M$4:$M$1203,'ORDENES'!$AH$4:$AH$1203,$AH859,'ORDENES'!$O$4:$O$1203,$O859,'ORDENES'!$S$4:$S$1203,$S859))</f>
        <v/>
      </c>
      <c r="AK859" s="42">
        <f>IF($AJ859="","",p_factor_productividad*IFERROR(INDEX('ASIGNACIONES'!$M$4:$M$451,MATCH($O859&amp;"|"&amp;$S859&amp;"|"&amp;$AH859,'ASIGNACIONES'!$N$4:$N$451,0)),0)-$AJ859)</f>
        <v/>
      </c>
      <c r="AL859" s="32">
        <f>IF($A859="","",IFERROR(INDEX('2_IMPORTAR_EJECUCION'!$F$9:$F$1208,MATCH($AU859,'2_IMPORTAR_EJECUCION'!$J$9:$J$1208,0)),0))</f>
        <v/>
      </c>
      <c r="AM859" s="32">
        <f>IF($A859="","",MAX(0,IFERROR(INDEX('2_IMPORTAR_EJECUCION'!$H$9:$H$1208,MATCH($AU859,'2_IMPORTAR_EJECUCION'!$J$9:$J$1208,0)),0)-$AL859))</f>
        <v/>
      </c>
      <c r="AN859" s="32">
        <f>IF($A859="","",$AL859+$AM859)</f>
        <v/>
      </c>
      <c r="AO859" s="24">
        <f>IF($A859="","",IF(OR((IFERROR(INDEX('CAT_ACTIVIDADES'!$D$4:$D$26,MATCH($H859,'CAT_ACTIVIDADES'!$A$4:$A$26,0)),""))=0,(IFERROR(INDEX('CAT_ACTIVIDADES'!$D$4:$D$26,MATCH($H859,'CAT_ACTIVIDADES'!$A$4:$A$26,0)),""))=""),"SIN CLASIFICAR",IFERROR(INDEX('CAT_ACTIVIDADES'!$D$4:$D$26,MATCH($H859,'CAT_ACTIVIDADES'!$A$4:$A$26,0)),"")))</f>
        <v/>
      </c>
      <c r="AP859" s="4" t="n"/>
      <c r="AQ859" s="4" t="n"/>
      <c r="AR859" s="4" t="n"/>
      <c r="AS859" s="24">
        <f>IF($AR859="","",HYPERLINK(p_ruta_base_checklists&amp;$AR859,"abrir"))</f>
        <v/>
      </c>
      <c r="AT859" s="4" t="n"/>
      <c r="AU859" s="24">
        <f>IF($A859="","",$A859&amp;IF($B859="","0010",$B859))</f>
        <v/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41" t="n"/>
      <c r="K860" s="5" t="n"/>
      <c r="L860" s="18" t="n"/>
      <c r="M860" s="24">
        <f>IF($A860="","",IFERROR(INDEX('AJUSTES'!$B$4:$B$303,MATCH($AU860,'AJUSTES'!$A$4:$A$303,0)),IF($K860="","",$K860)))</f>
        <v/>
      </c>
      <c r="N860" s="24">
        <f>IF($A860="","",IFERROR(INDEX('CAT_ESTADOS_ERP'!$B$4:$B$22,MATCH(IFERROR(INDEX('2_IMPORTAR_EJECUCION'!$C$9:$C$1208,MATCH($AU860,'2_IMPORTAR_EJECUCION'!$J$9:$J$1208,0)),""),'CAT_ESTADOS_ERP'!$A$4:$A$22,0)),"Pendiente"))</f>
        <v/>
      </c>
      <c r="O860" s="24">
        <f>IF($J860="","",YEAR($J860+4-WEEKDAY($J860,2))&amp;"-S"&amp;TEXT(_xlfn.ISOWEEKNUM($J860),"00"))</f>
        <v/>
      </c>
      <c r="P860" s="24">
        <f>IF($J860="","",YEAR($J860))</f>
        <v/>
      </c>
      <c r="Q860" s="24">
        <f>IF($J860="","",MONTH($J860))</f>
        <v/>
      </c>
      <c r="R860" s="24">
        <f>IF($J860="","",$P860&amp;"-"&amp;TEXT($Q860,"00"))</f>
        <v/>
      </c>
      <c r="S860" s="24">
        <f>IF($J860="","",INDEX(lista_dias,WEEKDAY($J860,2)))</f>
        <v/>
      </c>
      <c r="T860" s="24">
        <f>IF($J860="","",IFERROR(INDEX('CALENDARIO'!$C$15:$C$214,MATCH(TEXT($J860,"yyyy-mm-dd")&amp;"|"&amp;$Y860&amp;"|"&amp;$Z860,'CALENDARIO'!$G$15:$G$214,0)),IFERROR(INDEX('CALENDARIO'!$C$15:$C$214,MATCH(TEXT($J860,"yyyy-mm-dd")&amp;"|"&amp;$Y860&amp;"|",'CALENDARIO'!$G$15:$G$214,0)),IFERROR(INDEX('CALENDARIO'!$C$15:$C$214,MATCH(TEXT($J860,"yyyy-mm-dd")&amp;"||",'CALENDARIO'!$G$15:$G$214,0)),INDEX(patronHabil,WEEKDAY($J860,2))))))</f>
        <v/>
      </c>
      <c r="U860" s="24">
        <f>IF($I860="","",IFERROR(INDEX('CAT_TIPOS_OT'!$C$4:$C$23,MATCH($I860,'CAT_TIPOS_OT'!$A$4:$A$23,0)),"sin_clasificar"))</f>
        <v/>
      </c>
      <c r="V860" s="24">
        <f>IF($I860="","",IF(IFERROR(INDEX('CAT_TIPOS_OT'!$D$4:$D$23,MATCH($I860,'CAT_TIPOS_OT'!$A$4:$A$23,0)),"SIN CLASIFICAR")="","SIN CLASIFICAR",IFERROR(INDEX('CAT_TIPOS_OT'!$D$4:$D$23,MATCH($I860,'CAT_TIPOS_OT'!$A$4:$A$23,0)),"SIN CLASIFICAR")))</f>
        <v/>
      </c>
      <c r="W860" s="24">
        <f>IF($H860="","",IF(IFERROR(INDEX('CAT_ACTIVIDADES'!$F$4:$F$26,MATCH($H860,'CAT_ACTIVIDADES'!$A$4:$A$26,0)),"")=0,"",IFERROR(INDEX('CAT_ACTIVIDADES'!$F$4:$F$26,MATCH($H860,'CAT_ACTIVIDADES'!$A$4:$A$26,0)),"")))</f>
        <v/>
      </c>
      <c r="X860" s="24">
        <f>IF($F860="","",IFERROR(INDEX('CAT_CENTROS_COSTO'!$F$4:$F$28,MATCH($F860,'CAT_CENTROS_COSTO'!$A$4:$A$28,0)),"(sin catálogo)"))</f>
        <v/>
      </c>
      <c r="Y860" s="24">
        <f>IF($F860="","",IFERROR(INDEX('CAT_CENTROS_COSTO'!$D$4:$D$28,MATCH($F860,'CAT_CENTROS_COSTO'!$A$4:$A$28,0)),"(sin catálogo)"))</f>
        <v/>
      </c>
      <c r="Z860" s="24">
        <f>IF($F860="","",IF((IFERROR(INDEX('CAT_CENTROS_COSTO'!$E$4:$E$28,MATCH($F860,'CAT_CENTROS_COSTO'!$A$4:$A$28,0)),""))&lt;&gt;"",IFERROR(INDEX('CAT_CENTROS_COSTO'!$E$4:$E$28,MATCH($F860,'CAT_CENTROS_COSTO'!$A$4:$A$28,0)),""),$Y860))</f>
        <v/>
      </c>
      <c r="AA860" s="24">
        <f>IF($F860="","",IFERROR(INDEX('CAT_CENTROS_COSTO'!$G$4:$G$28,MATCH($F860,'CAT_CENTROS_COSTO'!$A$4:$A$28,0)),"(sin catálogo)"))</f>
        <v/>
      </c>
      <c r="AB860" s="24">
        <f>IF($G860="","",IFERROR(INDEX('CAT_PUESTOS'!$B$4:$B$23,MATCH($G860,'CAT_PUESTOS'!$A$4:$A$23,0)),"(sin catálogo)"))</f>
        <v/>
      </c>
      <c r="AC860" s="24">
        <f>IF($H860="","",IFERROR(INDEX('CAT_ACTIVIDADES'!$B$4:$B$26,MATCH($H860,'CAT_ACTIVIDADES'!$A$4:$A$26,0)),"(sin catálogo)"))</f>
        <v/>
      </c>
      <c r="AD860" s="26">
        <f>IF($J860="","",TODAY()-$J860)</f>
        <v/>
      </c>
      <c r="AE860" s="26">
        <f>IF($J860="","",IF($J860&lt;=TODAY(),COUNTIFS(cal_fechas,"&gt;="&amp;$J860,cal_fechas,"&lt;"&amp;TODAY(),cal_habil,"sí"),-COUNTIFS(cal_fechas,"&gt;="&amp;TODAY(),cal_fechas,"&lt;"&amp;$J860,cal_habil,"sí")))</f>
        <v/>
      </c>
      <c r="AF860" s="24">
        <f>IF($AE860="","",IF($AE860&lt;0,"FUTURO",IF($AE860&gt;p_dias_backlog_max,"BACKLOG","MES CORRIENTE")))</f>
        <v/>
      </c>
      <c r="AG860" s="24">
        <f>IF($AE860="",FALSE,AND($AE860&gt;p_dias_backlog_min,$AE860&lt;=p_dias_backlog_max))</f>
        <v/>
      </c>
      <c r="AH860" s="4" t="n"/>
      <c r="AI860" s="24">
        <f>IF($AH860="","",IF((IFERROR(INDEX('ASIGNACIONES'!$J$4:$J$451,MATCH($O860&amp;"|"&amp;$S860&amp;"|"&amp;$AH860,'ASIGNACIONES'!$N$4:$N$451,0)),""))=0,"",IFERROR(INDEX('ASIGNACIONES'!$J$4:$J$451,MATCH($O860&amp;"|"&amp;$S860&amp;"|"&amp;$AH860,'ASIGNACIONES'!$N$4:$N$451,0)),"")))</f>
        <v/>
      </c>
      <c r="AJ860" s="42">
        <f>IF($AH860="","",SUMIFS('ORDENES'!$M$4:$M$1203,'ORDENES'!$AH$4:$AH$1203,$AH860,'ORDENES'!$O$4:$O$1203,$O860,'ORDENES'!$S$4:$S$1203,$S860))</f>
        <v/>
      </c>
      <c r="AK860" s="42">
        <f>IF($AJ860="","",p_factor_productividad*IFERROR(INDEX('ASIGNACIONES'!$M$4:$M$451,MATCH($O860&amp;"|"&amp;$S860&amp;"|"&amp;$AH860,'ASIGNACIONES'!$N$4:$N$451,0)),0)-$AJ860)</f>
        <v/>
      </c>
      <c r="AL860" s="32">
        <f>IF($A860="","",IFERROR(INDEX('2_IMPORTAR_EJECUCION'!$F$9:$F$1208,MATCH($AU860,'2_IMPORTAR_EJECUCION'!$J$9:$J$1208,0)),0))</f>
        <v/>
      </c>
      <c r="AM860" s="32">
        <f>IF($A860="","",MAX(0,IFERROR(INDEX('2_IMPORTAR_EJECUCION'!$H$9:$H$1208,MATCH($AU860,'2_IMPORTAR_EJECUCION'!$J$9:$J$1208,0)),0)-$AL860))</f>
        <v/>
      </c>
      <c r="AN860" s="32">
        <f>IF($A860="","",$AL860+$AM860)</f>
        <v/>
      </c>
      <c r="AO860" s="24">
        <f>IF($A860="","",IF(OR((IFERROR(INDEX('CAT_ACTIVIDADES'!$D$4:$D$26,MATCH($H860,'CAT_ACTIVIDADES'!$A$4:$A$26,0)),""))=0,(IFERROR(INDEX('CAT_ACTIVIDADES'!$D$4:$D$26,MATCH($H860,'CAT_ACTIVIDADES'!$A$4:$A$26,0)),""))=""),"SIN CLASIFICAR",IFERROR(INDEX('CAT_ACTIVIDADES'!$D$4:$D$26,MATCH($H860,'CAT_ACTIVIDADES'!$A$4:$A$26,0)),"")))</f>
        <v/>
      </c>
      <c r="AP860" s="4" t="n"/>
      <c r="AQ860" s="4" t="n"/>
      <c r="AR860" s="4" t="n"/>
      <c r="AS860" s="24">
        <f>IF($AR860="","",HYPERLINK(p_ruta_base_checklists&amp;$AR860,"abrir"))</f>
        <v/>
      </c>
      <c r="AT860" s="4" t="n"/>
      <c r="AU860" s="24">
        <f>IF($A860="","",$A860&amp;IF($B860="","0010",$B860))</f>
        <v/>
      </c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41" t="n"/>
      <c r="K861" s="5" t="n"/>
      <c r="L861" s="18" t="n"/>
      <c r="M861" s="24">
        <f>IF($A861="","",IFERROR(INDEX('AJUSTES'!$B$4:$B$303,MATCH($AU861,'AJUSTES'!$A$4:$A$303,0)),IF($K861="","",$K861)))</f>
        <v/>
      </c>
      <c r="N861" s="24">
        <f>IF($A861="","",IFERROR(INDEX('CAT_ESTADOS_ERP'!$B$4:$B$22,MATCH(IFERROR(INDEX('2_IMPORTAR_EJECUCION'!$C$9:$C$1208,MATCH($AU861,'2_IMPORTAR_EJECUCION'!$J$9:$J$1208,0)),""),'CAT_ESTADOS_ERP'!$A$4:$A$22,0)),"Pendiente"))</f>
        <v/>
      </c>
      <c r="O861" s="24">
        <f>IF($J861="","",YEAR($J861+4-WEEKDAY($J861,2))&amp;"-S"&amp;TEXT(_xlfn.ISOWEEKNUM($J861),"00"))</f>
        <v/>
      </c>
      <c r="P861" s="24">
        <f>IF($J861="","",YEAR($J861))</f>
        <v/>
      </c>
      <c r="Q861" s="24">
        <f>IF($J861="","",MONTH($J861))</f>
        <v/>
      </c>
      <c r="R861" s="24">
        <f>IF($J861="","",$P861&amp;"-"&amp;TEXT($Q861,"00"))</f>
        <v/>
      </c>
      <c r="S861" s="24">
        <f>IF($J861="","",INDEX(lista_dias,WEEKDAY($J861,2)))</f>
        <v/>
      </c>
      <c r="T861" s="24">
        <f>IF($J861="","",IFERROR(INDEX('CALENDARIO'!$C$15:$C$214,MATCH(TEXT($J861,"yyyy-mm-dd")&amp;"|"&amp;$Y861&amp;"|"&amp;$Z861,'CALENDARIO'!$G$15:$G$214,0)),IFERROR(INDEX('CALENDARIO'!$C$15:$C$214,MATCH(TEXT($J861,"yyyy-mm-dd")&amp;"|"&amp;$Y861&amp;"|",'CALENDARIO'!$G$15:$G$214,0)),IFERROR(INDEX('CALENDARIO'!$C$15:$C$214,MATCH(TEXT($J861,"yyyy-mm-dd")&amp;"||",'CALENDARIO'!$G$15:$G$214,0)),INDEX(patronHabil,WEEKDAY($J861,2))))))</f>
        <v/>
      </c>
      <c r="U861" s="24">
        <f>IF($I861="","",IFERROR(INDEX('CAT_TIPOS_OT'!$C$4:$C$23,MATCH($I861,'CAT_TIPOS_OT'!$A$4:$A$23,0)),"sin_clasificar"))</f>
        <v/>
      </c>
      <c r="V861" s="24">
        <f>IF($I861="","",IF(IFERROR(INDEX('CAT_TIPOS_OT'!$D$4:$D$23,MATCH($I861,'CAT_TIPOS_OT'!$A$4:$A$23,0)),"SIN CLASIFICAR")="","SIN CLASIFICAR",IFERROR(INDEX('CAT_TIPOS_OT'!$D$4:$D$23,MATCH($I861,'CAT_TIPOS_OT'!$A$4:$A$23,0)),"SIN CLASIFICAR")))</f>
        <v/>
      </c>
      <c r="W861" s="24">
        <f>IF($H861="","",IF(IFERROR(INDEX('CAT_ACTIVIDADES'!$F$4:$F$26,MATCH($H861,'CAT_ACTIVIDADES'!$A$4:$A$26,0)),"")=0,"",IFERROR(INDEX('CAT_ACTIVIDADES'!$F$4:$F$26,MATCH($H861,'CAT_ACTIVIDADES'!$A$4:$A$26,0)),"")))</f>
        <v/>
      </c>
      <c r="X861" s="24">
        <f>IF($F861="","",IFERROR(INDEX('CAT_CENTROS_COSTO'!$F$4:$F$28,MATCH($F861,'CAT_CENTROS_COSTO'!$A$4:$A$28,0)),"(sin catálogo)"))</f>
        <v/>
      </c>
      <c r="Y861" s="24">
        <f>IF($F861="","",IFERROR(INDEX('CAT_CENTROS_COSTO'!$D$4:$D$28,MATCH($F861,'CAT_CENTROS_COSTO'!$A$4:$A$28,0)),"(sin catálogo)"))</f>
        <v/>
      </c>
      <c r="Z861" s="24">
        <f>IF($F861="","",IF((IFERROR(INDEX('CAT_CENTROS_COSTO'!$E$4:$E$28,MATCH($F861,'CAT_CENTROS_COSTO'!$A$4:$A$28,0)),""))&lt;&gt;"",IFERROR(INDEX('CAT_CENTROS_COSTO'!$E$4:$E$28,MATCH($F861,'CAT_CENTROS_COSTO'!$A$4:$A$28,0)),""),$Y861))</f>
        <v/>
      </c>
      <c r="AA861" s="24">
        <f>IF($F861="","",IFERROR(INDEX('CAT_CENTROS_COSTO'!$G$4:$G$28,MATCH($F861,'CAT_CENTROS_COSTO'!$A$4:$A$28,0)),"(sin catálogo)"))</f>
        <v/>
      </c>
      <c r="AB861" s="24">
        <f>IF($G861="","",IFERROR(INDEX('CAT_PUESTOS'!$B$4:$B$23,MATCH($G861,'CAT_PUESTOS'!$A$4:$A$23,0)),"(sin catálogo)"))</f>
        <v/>
      </c>
      <c r="AC861" s="24">
        <f>IF($H861="","",IFERROR(INDEX('CAT_ACTIVIDADES'!$B$4:$B$26,MATCH($H861,'CAT_ACTIVIDADES'!$A$4:$A$26,0)),"(sin catálogo)"))</f>
        <v/>
      </c>
      <c r="AD861" s="26">
        <f>IF($J861="","",TODAY()-$J861)</f>
        <v/>
      </c>
      <c r="AE861" s="26">
        <f>IF($J861="","",IF($J861&lt;=TODAY(),COUNTIFS(cal_fechas,"&gt;="&amp;$J861,cal_fechas,"&lt;"&amp;TODAY(),cal_habil,"sí"),-COUNTIFS(cal_fechas,"&gt;="&amp;TODAY(),cal_fechas,"&lt;"&amp;$J861,cal_habil,"sí")))</f>
        <v/>
      </c>
      <c r="AF861" s="24">
        <f>IF($AE861="","",IF($AE861&lt;0,"FUTURO",IF($AE861&gt;p_dias_backlog_max,"BACKLOG","MES CORRIENTE")))</f>
        <v/>
      </c>
      <c r="AG861" s="24">
        <f>IF($AE861="",FALSE,AND($AE861&gt;p_dias_backlog_min,$AE861&lt;=p_dias_backlog_max))</f>
        <v/>
      </c>
      <c r="AH861" s="4" t="n"/>
      <c r="AI861" s="24">
        <f>IF($AH861="","",IF((IFERROR(INDEX('ASIGNACIONES'!$J$4:$J$451,MATCH($O861&amp;"|"&amp;$S861&amp;"|"&amp;$AH861,'ASIGNACIONES'!$N$4:$N$451,0)),""))=0,"",IFERROR(INDEX('ASIGNACIONES'!$J$4:$J$451,MATCH($O861&amp;"|"&amp;$S861&amp;"|"&amp;$AH861,'ASIGNACIONES'!$N$4:$N$451,0)),"")))</f>
        <v/>
      </c>
      <c r="AJ861" s="42">
        <f>IF($AH861="","",SUMIFS('ORDENES'!$M$4:$M$1203,'ORDENES'!$AH$4:$AH$1203,$AH861,'ORDENES'!$O$4:$O$1203,$O861,'ORDENES'!$S$4:$S$1203,$S861))</f>
        <v/>
      </c>
      <c r="AK861" s="42">
        <f>IF($AJ861="","",p_factor_productividad*IFERROR(INDEX('ASIGNACIONES'!$M$4:$M$451,MATCH($O861&amp;"|"&amp;$S861&amp;"|"&amp;$AH861,'ASIGNACIONES'!$N$4:$N$451,0)),0)-$AJ861)</f>
        <v/>
      </c>
      <c r="AL861" s="32">
        <f>IF($A861="","",IFERROR(INDEX('2_IMPORTAR_EJECUCION'!$F$9:$F$1208,MATCH($AU861,'2_IMPORTAR_EJECUCION'!$J$9:$J$1208,0)),0))</f>
        <v/>
      </c>
      <c r="AM861" s="32">
        <f>IF($A861="","",MAX(0,IFERROR(INDEX('2_IMPORTAR_EJECUCION'!$H$9:$H$1208,MATCH($AU861,'2_IMPORTAR_EJECUCION'!$J$9:$J$1208,0)),0)-$AL861))</f>
        <v/>
      </c>
      <c r="AN861" s="32">
        <f>IF($A861="","",$AL861+$AM861)</f>
        <v/>
      </c>
      <c r="AO861" s="24">
        <f>IF($A861="","",IF(OR((IFERROR(INDEX('CAT_ACTIVIDADES'!$D$4:$D$26,MATCH($H861,'CAT_ACTIVIDADES'!$A$4:$A$26,0)),""))=0,(IFERROR(INDEX('CAT_ACTIVIDADES'!$D$4:$D$26,MATCH($H861,'CAT_ACTIVIDADES'!$A$4:$A$26,0)),""))=""),"SIN CLASIFICAR",IFERROR(INDEX('CAT_ACTIVIDADES'!$D$4:$D$26,MATCH($H861,'CAT_ACTIVIDADES'!$A$4:$A$26,0)),"")))</f>
        <v/>
      </c>
      <c r="AP861" s="4" t="n"/>
      <c r="AQ861" s="4" t="n"/>
      <c r="AR861" s="4" t="n"/>
      <c r="AS861" s="24">
        <f>IF($AR861="","",HYPERLINK(p_ruta_base_checklists&amp;$AR861,"abrir"))</f>
        <v/>
      </c>
      <c r="AT861" s="4" t="n"/>
      <c r="AU861" s="24">
        <f>IF($A861="","",$A861&amp;IF($B861="","0010",$B861))</f>
        <v/>
      </c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41" t="n"/>
      <c r="K862" s="5" t="n"/>
      <c r="L862" s="18" t="n"/>
      <c r="M862" s="24">
        <f>IF($A862="","",IFERROR(INDEX('AJUSTES'!$B$4:$B$303,MATCH($AU862,'AJUSTES'!$A$4:$A$303,0)),IF($K862="","",$K862)))</f>
        <v/>
      </c>
      <c r="N862" s="24">
        <f>IF($A862="","",IFERROR(INDEX('CAT_ESTADOS_ERP'!$B$4:$B$22,MATCH(IFERROR(INDEX('2_IMPORTAR_EJECUCION'!$C$9:$C$1208,MATCH($AU862,'2_IMPORTAR_EJECUCION'!$J$9:$J$1208,0)),""),'CAT_ESTADOS_ERP'!$A$4:$A$22,0)),"Pendiente"))</f>
        <v/>
      </c>
      <c r="O862" s="24">
        <f>IF($J862="","",YEAR($J862+4-WEEKDAY($J862,2))&amp;"-S"&amp;TEXT(_xlfn.ISOWEEKNUM($J862),"00"))</f>
        <v/>
      </c>
      <c r="P862" s="24">
        <f>IF($J862="","",YEAR($J862))</f>
        <v/>
      </c>
      <c r="Q862" s="24">
        <f>IF($J862="","",MONTH($J862))</f>
        <v/>
      </c>
      <c r="R862" s="24">
        <f>IF($J862="","",$P862&amp;"-"&amp;TEXT($Q862,"00"))</f>
        <v/>
      </c>
      <c r="S862" s="24">
        <f>IF($J862="","",INDEX(lista_dias,WEEKDAY($J862,2)))</f>
        <v/>
      </c>
      <c r="T862" s="24">
        <f>IF($J862="","",IFERROR(INDEX('CALENDARIO'!$C$15:$C$214,MATCH(TEXT($J862,"yyyy-mm-dd")&amp;"|"&amp;$Y862&amp;"|"&amp;$Z862,'CALENDARIO'!$G$15:$G$214,0)),IFERROR(INDEX('CALENDARIO'!$C$15:$C$214,MATCH(TEXT($J862,"yyyy-mm-dd")&amp;"|"&amp;$Y862&amp;"|",'CALENDARIO'!$G$15:$G$214,0)),IFERROR(INDEX('CALENDARIO'!$C$15:$C$214,MATCH(TEXT($J862,"yyyy-mm-dd")&amp;"||",'CALENDARIO'!$G$15:$G$214,0)),INDEX(patronHabil,WEEKDAY($J862,2))))))</f>
        <v/>
      </c>
      <c r="U862" s="24">
        <f>IF($I862="","",IFERROR(INDEX('CAT_TIPOS_OT'!$C$4:$C$23,MATCH($I862,'CAT_TIPOS_OT'!$A$4:$A$23,0)),"sin_clasificar"))</f>
        <v/>
      </c>
      <c r="V862" s="24">
        <f>IF($I862="","",IF(IFERROR(INDEX('CAT_TIPOS_OT'!$D$4:$D$23,MATCH($I862,'CAT_TIPOS_OT'!$A$4:$A$23,0)),"SIN CLASIFICAR")="","SIN CLASIFICAR",IFERROR(INDEX('CAT_TIPOS_OT'!$D$4:$D$23,MATCH($I862,'CAT_TIPOS_OT'!$A$4:$A$23,0)),"SIN CLASIFICAR")))</f>
        <v/>
      </c>
      <c r="W862" s="24">
        <f>IF($H862="","",IF(IFERROR(INDEX('CAT_ACTIVIDADES'!$F$4:$F$26,MATCH($H862,'CAT_ACTIVIDADES'!$A$4:$A$26,0)),"")=0,"",IFERROR(INDEX('CAT_ACTIVIDADES'!$F$4:$F$26,MATCH($H862,'CAT_ACTIVIDADES'!$A$4:$A$26,0)),"")))</f>
        <v/>
      </c>
      <c r="X862" s="24">
        <f>IF($F862="","",IFERROR(INDEX('CAT_CENTROS_COSTO'!$F$4:$F$28,MATCH($F862,'CAT_CENTROS_COSTO'!$A$4:$A$28,0)),"(sin catálogo)"))</f>
        <v/>
      </c>
      <c r="Y862" s="24">
        <f>IF($F862="","",IFERROR(INDEX('CAT_CENTROS_COSTO'!$D$4:$D$28,MATCH($F862,'CAT_CENTROS_COSTO'!$A$4:$A$28,0)),"(sin catálogo)"))</f>
        <v/>
      </c>
      <c r="Z862" s="24">
        <f>IF($F862="","",IF((IFERROR(INDEX('CAT_CENTROS_COSTO'!$E$4:$E$28,MATCH($F862,'CAT_CENTROS_COSTO'!$A$4:$A$28,0)),""))&lt;&gt;"",IFERROR(INDEX('CAT_CENTROS_COSTO'!$E$4:$E$28,MATCH($F862,'CAT_CENTROS_COSTO'!$A$4:$A$28,0)),""),$Y862))</f>
        <v/>
      </c>
      <c r="AA862" s="24">
        <f>IF($F862="","",IFERROR(INDEX('CAT_CENTROS_COSTO'!$G$4:$G$28,MATCH($F862,'CAT_CENTROS_COSTO'!$A$4:$A$28,0)),"(sin catálogo)"))</f>
        <v/>
      </c>
      <c r="AB862" s="24">
        <f>IF($G862="","",IFERROR(INDEX('CAT_PUESTOS'!$B$4:$B$23,MATCH($G862,'CAT_PUESTOS'!$A$4:$A$23,0)),"(sin catálogo)"))</f>
        <v/>
      </c>
      <c r="AC862" s="24">
        <f>IF($H862="","",IFERROR(INDEX('CAT_ACTIVIDADES'!$B$4:$B$26,MATCH($H862,'CAT_ACTIVIDADES'!$A$4:$A$26,0)),"(sin catálogo)"))</f>
        <v/>
      </c>
      <c r="AD862" s="26">
        <f>IF($J862="","",TODAY()-$J862)</f>
        <v/>
      </c>
      <c r="AE862" s="26">
        <f>IF($J862="","",IF($J862&lt;=TODAY(),COUNTIFS(cal_fechas,"&gt;="&amp;$J862,cal_fechas,"&lt;"&amp;TODAY(),cal_habil,"sí"),-COUNTIFS(cal_fechas,"&gt;="&amp;TODAY(),cal_fechas,"&lt;"&amp;$J862,cal_habil,"sí")))</f>
        <v/>
      </c>
      <c r="AF862" s="24">
        <f>IF($AE862="","",IF($AE862&lt;0,"FUTURO",IF($AE862&gt;p_dias_backlog_max,"BACKLOG","MES CORRIENTE")))</f>
        <v/>
      </c>
      <c r="AG862" s="24">
        <f>IF($AE862="",FALSE,AND($AE862&gt;p_dias_backlog_min,$AE862&lt;=p_dias_backlog_max))</f>
        <v/>
      </c>
      <c r="AH862" s="4" t="n"/>
      <c r="AI862" s="24">
        <f>IF($AH862="","",IF((IFERROR(INDEX('ASIGNACIONES'!$J$4:$J$451,MATCH($O862&amp;"|"&amp;$S862&amp;"|"&amp;$AH862,'ASIGNACIONES'!$N$4:$N$451,0)),""))=0,"",IFERROR(INDEX('ASIGNACIONES'!$J$4:$J$451,MATCH($O862&amp;"|"&amp;$S862&amp;"|"&amp;$AH862,'ASIGNACIONES'!$N$4:$N$451,0)),"")))</f>
        <v/>
      </c>
      <c r="AJ862" s="42">
        <f>IF($AH862="","",SUMIFS('ORDENES'!$M$4:$M$1203,'ORDENES'!$AH$4:$AH$1203,$AH862,'ORDENES'!$O$4:$O$1203,$O862,'ORDENES'!$S$4:$S$1203,$S862))</f>
        <v/>
      </c>
      <c r="AK862" s="42">
        <f>IF($AJ862="","",p_factor_productividad*IFERROR(INDEX('ASIGNACIONES'!$M$4:$M$451,MATCH($O862&amp;"|"&amp;$S862&amp;"|"&amp;$AH862,'ASIGNACIONES'!$N$4:$N$451,0)),0)-$AJ862)</f>
        <v/>
      </c>
      <c r="AL862" s="32">
        <f>IF($A862="","",IFERROR(INDEX('2_IMPORTAR_EJECUCION'!$F$9:$F$1208,MATCH($AU862,'2_IMPORTAR_EJECUCION'!$J$9:$J$1208,0)),0))</f>
        <v/>
      </c>
      <c r="AM862" s="32">
        <f>IF($A862="","",MAX(0,IFERROR(INDEX('2_IMPORTAR_EJECUCION'!$H$9:$H$1208,MATCH($AU862,'2_IMPORTAR_EJECUCION'!$J$9:$J$1208,0)),0)-$AL862))</f>
        <v/>
      </c>
      <c r="AN862" s="32">
        <f>IF($A862="","",$AL862+$AM862)</f>
        <v/>
      </c>
      <c r="AO862" s="24">
        <f>IF($A862="","",IF(OR((IFERROR(INDEX('CAT_ACTIVIDADES'!$D$4:$D$26,MATCH($H862,'CAT_ACTIVIDADES'!$A$4:$A$26,0)),""))=0,(IFERROR(INDEX('CAT_ACTIVIDADES'!$D$4:$D$26,MATCH($H862,'CAT_ACTIVIDADES'!$A$4:$A$26,0)),""))=""),"SIN CLASIFICAR",IFERROR(INDEX('CAT_ACTIVIDADES'!$D$4:$D$26,MATCH($H862,'CAT_ACTIVIDADES'!$A$4:$A$26,0)),"")))</f>
        <v/>
      </c>
      <c r="AP862" s="4" t="n"/>
      <c r="AQ862" s="4" t="n"/>
      <c r="AR862" s="4" t="n"/>
      <c r="AS862" s="24">
        <f>IF($AR862="","",HYPERLINK(p_ruta_base_checklists&amp;$AR862,"abrir"))</f>
        <v/>
      </c>
      <c r="AT862" s="4" t="n"/>
      <c r="AU862" s="24">
        <f>IF($A862="","",$A862&amp;IF($B862="","0010",$B862))</f>
        <v/>
      </c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41" t="n"/>
      <c r="K863" s="5" t="n"/>
      <c r="L863" s="18" t="n"/>
      <c r="M863" s="24">
        <f>IF($A863="","",IFERROR(INDEX('AJUSTES'!$B$4:$B$303,MATCH($AU863,'AJUSTES'!$A$4:$A$303,0)),IF($K863="","",$K863)))</f>
        <v/>
      </c>
      <c r="N863" s="24">
        <f>IF($A863="","",IFERROR(INDEX('CAT_ESTADOS_ERP'!$B$4:$B$22,MATCH(IFERROR(INDEX('2_IMPORTAR_EJECUCION'!$C$9:$C$1208,MATCH($AU863,'2_IMPORTAR_EJECUCION'!$J$9:$J$1208,0)),""),'CAT_ESTADOS_ERP'!$A$4:$A$22,0)),"Pendiente"))</f>
        <v/>
      </c>
      <c r="O863" s="24">
        <f>IF($J863="","",YEAR($J863+4-WEEKDAY($J863,2))&amp;"-S"&amp;TEXT(_xlfn.ISOWEEKNUM($J863),"00"))</f>
        <v/>
      </c>
      <c r="P863" s="24">
        <f>IF($J863="","",YEAR($J863))</f>
        <v/>
      </c>
      <c r="Q863" s="24">
        <f>IF($J863="","",MONTH($J863))</f>
        <v/>
      </c>
      <c r="R863" s="24">
        <f>IF($J863="","",$P863&amp;"-"&amp;TEXT($Q863,"00"))</f>
        <v/>
      </c>
      <c r="S863" s="24">
        <f>IF($J863="","",INDEX(lista_dias,WEEKDAY($J863,2)))</f>
        <v/>
      </c>
      <c r="T863" s="24">
        <f>IF($J863="","",IFERROR(INDEX('CALENDARIO'!$C$15:$C$214,MATCH(TEXT($J863,"yyyy-mm-dd")&amp;"|"&amp;$Y863&amp;"|"&amp;$Z863,'CALENDARIO'!$G$15:$G$214,0)),IFERROR(INDEX('CALENDARIO'!$C$15:$C$214,MATCH(TEXT($J863,"yyyy-mm-dd")&amp;"|"&amp;$Y863&amp;"|",'CALENDARIO'!$G$15:$G$214,0)),IFERROR(INDEX('CALENDARIO'!$C$15:$C$214,MATCH(TEXT($J863,"yyyy-mm-dd")&amp;"||",'CALENDARIO'!$G$15:$G$214,0)),INDEX(patronHabil,WEEKDAY($J863,2))))))</f>
        <v/>
      </c>
      <c r="U863" s="24">
        <f>IF($I863="","",IFERROR(INDEX('CAT_TIPOS_OT'!$C$4:$C$23,MATCH($I863,'CAT_TIPOS_OT'!$A$4:$A$23,0)),"sin_clasificar"))</f>
        <v/>
      </c>
      <c r="V863" s="24">
        <f>IF($I863="","",IF(IFERROR(INDEX('CAT_TIPOS_OT'!$D$4:$D$23,MATCH($I863,'CAT_TIPOS_OT'!$A$4:$A$23,0)),"SIN CLASIFICAR")="","SIN CLASIFICAR",IFERROR(INDEX('CAT_TIPOS_OT'!$D$4:$D$23,MATCH($I863,'CAT_TIPOS_OT'!$A$4:$A$23,0)),"SIN CLASIFICAR")))</f>
        <v/>
      </c>
      <c r="W863" s="24">
        <f>IF($H863="","",IF(IFERROR(INDEX('CAT_ACTIVIDADES'!$F$4:$F$26,MATCH($H863,'CAT_ACTIVIDADES'!$A$4:$A$26,0)),"")=0,"",IFERROR(INDEX('CAT_ACTIVIDADES'!$F$4:$F$26,MATCH($H863,'CAT_ACTIVIDADES'!$A$4:$A$26,0)),"")))</f>
        <v/>
      </c>
      <c r="X863" s="24">
        <f>IF($F863="","",IFERROR(INDEX('CAT_CENTROS_COSTO'!$F$4:$F$28,MATCH($F863,'CAT_CENTROS_COSTO'!$A$4:$A$28,0)),"(sin catálogo)"))</f>
        <v/>
      </c>
      <c r="Y863" s="24">
        <f>IF($F863="","",IFERROR(INDEX('CAT_CENTROS_COSTO'!$D$4:$D$28,MATCH($F863,'CAT_CENTROS_COSTO'!$A$4:$A$28,0)),"(sin catálogo)"))</f>
        <v/>
      </c>
      <c r="Z863" s="24">
        <f>IF($F863="","",IF((IFERROR(INDEX('CAT_CENTROS_COSTO'!$E$4:$E$28,MATCH($F863,'CAT_CENTROS_COSTO'!$A$4:$A$28,0)),""))&lt;&gt;"",IFERROR(INDEX('CAT_CENTROS_COSTO'!$E$4:$E$28,MATCH($F863,'CAT_CENTROS_COSTO'!$A$4:$A$28,0)),""),$Y863))</f>
        <v/>
      </c>
      <c r="AA863" s="24">
        <f>IF($F863="","",IFERROR(INDEX('CAT_CENTROS_COSTO'!$G$4:$G$28,MATCH($F863,'CAT_CENTROS_COSTO'!$A$4:$A$28,0)),"(sin catálogo)"))</f>
        <v/>
      </c>
      <c r="AB863" s="24">
        <f>IF($G863="","",IFERROR(INDEX('CAT_PUESTOS'!$B$4:$B$23,MATCH($G863,'CAT_PUESTOS'!$A$4:$A$23,0)),"(sin catálogo)"))</f>
        <v/>
      </c>
      <c r="AC863" s="24">
        <f>IF($H863="","",IFERROR(INDEX('CAT_ACTIVIDADES'!$B$4:$B$26,MATCH($H863,'CAT_ACTIVIDADES'!$A$4:$A$26,0)),"(sin catálogo)"))</f>
        <v/>
      </c>
      <c r="AD863" s="26">
        <f>IF($J863="","",TODAY()-$J863)</f>
        <v/>
      </c>
      <c r="AE863" s="26">
        <f>IF($J863="","",IF($J863&lt;=TODAY(),COUNTIFS(cal_fechas,"&gt;="&amp;$J863,cal_fechas,"&lt;"&amp;TODAY(),cal_habil,"sí"),-COUNTIFS(cal_fechas,"&gt;="&amp;TODAY(),cal_fechas,"&lt;"&amp;$J863,cal_habil,"sí")))</f>
        <v/>
      </c>
      <c r="AF863" s="24">
        <f>IF($AE863="","",IF($AE863&lt;0,"FUTURO",IF($AE863&gt;p_dias_backlog_max,"BACKLOG","MES CORRIENTE")))</f>
        <v/>
      </c>
      <c r="AG863" s="24">
        <f>IF($AE863="",FALSE,AND($AE863&gt;p_dias_backlog_min,$AE863&lt;=p_dias_backlog_max))</f>
        <v/>
      </c>
      <c r="AH863" s="4" t="n"/>
      <c r="AI863" s="24">
        <f>IF($AH863="","",IF((IFERROR(INDEX('ASIGNACIONES'!$J$4:$J$451,MATCH($O863&amp;"|"&amp;$S863&amp;"|"&amp;$AH863,'ASIGNACIONES'!$N$4:$N$451,0)),""))=0,"",IFERROR(INDEX('ASIGNACIONES'!$J$4:$J$451,MATCH($O863&amp;"|"&amp;$S863&amp;"|"&amp;$AH863,'ASIGNACIONES'!$N$4:$N$451,0)),"")))</f>
        <v/>
      </c>
      <c r="AJ863" s="42">
        <f>IF($AH863="","",SUMIFS('ORDENES'!$M$4:$M$1203,'ORDENES'!$AH$4:$AH$1203,$AH863,'ORDENES'!$O$4:$O$1203,$O863,'ORDENES'!$S$4:$S$1203,$S863))</f>
        <v/>
      </c>
      <c r="AK863" s="42">
        <f>IF($AJ863="","",p_factor_productividad*IFERROR(INDEX('ASIGNACIONES'!$M$4:$M$451,MATCH($O863&amp;"|"&amp;$S863&amp;"|"&amp;$AH863,'ASIGNACIONES'!$N$4:$N$451,0)),0)-$AJ863)</f>
        <v/>
      </c>
      <c r="AL863" s="32">
        <f>IF($A863="","",IFERROR(INDEX('2_IMPORTAR_EJECUCION'!$F$9:$F$1208,MATCH($AU863,'2_IMPORTAR_EJECUCION'!$J$9:$J$1208,0)),0))</f>
        <v/>
      </c>
      <c r="AM863" s="32">
        <f>IF($A863="","",MAX(0,IFERROR(INDEX('2_IMPORTAR_EJECUCION'!$H$9:$H$1208,MATCH($AU863,'2_IMPORTAR_EJECUCION'!$J$9:$J$1208,0)),0)-$AL863))</f>
        <v/>
      </c>
      <c r="AN863" s="32">
        <f>IF($A863="","",$AL863+$AM863)</f>
        <v/>
      </c>
      <c r="AO863" s="24">
        <f>IF($A863="","",IF(OR((IFERROR(INDEX('CAT_ACTIVIDADES'!$D$4:$D$26,MATCH($H863,'CAT_ACTIVIDADES'!$A$4:$A$26,0)),""))=0,(IFERROR(INDEX('CAT_ACTIVIDADES'!$D$4:$D$26,MATCH($H863,'CAT_ACTIVIDADES'!$A$4:$A$26,0)),""))=""),"SIN CLASIFICAR",IFERROR(INDEX('CAT_ACTIVIDADES'!$D$4:$D$26,MATCH($H863,'CAT_ACTIVIDADES'!$A$4:$A$26,0)),"")))</f>
        <v/>
      </c>
      <c r="AP863" s="4" t="n"/>
      <c r="AQ863" s="4" t="n"/>
      <c r="AR863" s="4" t="n"/>
      <c r="AS863" s="24">
        <f>IF($AR863="","",HYPERLINK(p_ruta_base_checklists&amp;$AR863,"abrir"))</f>
        <v/>
      </c>
      <c r="AT863" s="4" t="n"/>
      <c r="AU863" s="24">
        <f>IF($A863="","",$A863&amp;IF($B863="","0010",$B863))</f>
        <v/>
      </c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41" t="n"/>
      <c r="K864" s="5" t="n"/>
      <c r="L864" s="18" t="n"/>
      <c r="M864" s="24">
        <f>IF($A864="","",IFERROR(INDEX('AJUSTES'!$B$4:$B$303,MATCH($AU864,'AJUSTES'!$A$4:$A$303,0)),IF($K864="","",$K864)))</f>
        <v/>
      </c>
      <c r="N864" s="24">
        <f>IF($A864="","",IFERROR(INDEX('CAT_ESTADOS_ERP'!$B$4:$B$22,MATCH(IFERROR(INDEX('2_IMPORTAR_EJECUCION'!$C$9:$C$1208,MATCH($AU864,'2_IMPORTAR_EJECUCION'!$J$9:$J$1208,0)),""),'CAT_ESTADOS_ERP'!$A$4:$A$22,0)),"Pendiente"))</f>
        <v/>
      </c>
      <c r="O864" s="24">
        <f>IF($J864="","",YEAR($J864+4-WEEKDAY($J864,2))&amp;"-S"&amp;TEXT(_xlfn.ISOWEEKNUM($J864),"00"))</f>
        <v/>
      </c>
      <c r="P864" s="24">
        <f>IF($J864="","",YEAR($J864))</f>
        <v/>
      </c>
      <c r="Q864" s="24">
        <f>IF($J864="","",MONTH($J864))</f>
        <v/>
      </c>
      <c r="R864" s="24">
        <f>IF($J864="","",$P864&amp;"-"&amp;TEXT($Q864,"00"))</f>
        <v/>
      </c>
      <c r="S864" s="24">
        <f>IF($J864="","",INDEX(lista_dias,WEEKDAY($J864,2)))</f>
        <v/>
      </c>
      <c r="T864" s="24">
        <f>IF($J864="","",IFERROR(INDEX('CALENDARIO'!$C$15:$C$214,MATCH(TEXT($J864,"yyyy-mm-dd")&amp;"|"&amp;$Y864&amp;"|"&amp;$Z864,'CALENDARIO'!$G$15:$G$214,0)),IFERROR(INDEX('CALENDARIO'!$C$15:$C$214,MATCH(TEXT($J864,"yyyy-mm-dd")&amp;"|"&amp;$Y864&amp;"|",'CALENDARIO'!$G$15:$G$214,0)),IFERROR(INDEX('CALENDARIO'!$C$15:$C$214,MATCH(TEXT($J864,"yyyy-mm-dd")&amp;"||",'CALENDARIO'!$G$15:$G$214,0)),INDEX(patronHabil,WEEKDAY($J864,2))))))</f>
        <v/>
      </c>
      <c r="U864" s="24">
        <f>IF($I864="","",IFERROR(INDEX('CAT_TIPOS_OT'!$C$4:$C$23,MATCH($I864,'CAT_TIPOS_OT'!$A$4:$A$23,0)),"sin_clasificar"))</f>
        <v/>
      </c>
      <c r="V864" s="24">
        <f>IF($I864="","",IF(IFERROR(INDEX('CAT_TIPOS_OT'!$D$4:$D$23,MATCH($I864,'CAT_TIPOS_OT'!$A$4:$A$23,0)),"SIN CLASIFICAR")="","SIN CLASIFICAR",IFERROR(INDEX('CAT_TIPOS_OT'!$D$4:$D$23,MATCH($I864,'CAT_TIPOS_OT'!$A$4:$A$23,0)),"SIN CLASIFICAR")))</f>
        <v/>
      </c>
      <c r="W864" s="24">
        <f>IF($H864="","",IF(IFERROR(INDEX('CAT_ACTIVIDADES'!$F$4:$F$26,MATCH($H864,'CAT_ACTIVIDADES'!$A$4:$A$26,0)),"")=0,"",IFERROR(INDEX('CAT_ACTIVIDADES'!$F$4:$F$26,MATCH($H864,'CAT_ACTIVIDADES'!$A$4:$A$26,0)),"")))</f>
        <v/>
      </c>
      <c r="X864" s="24">
        <f>IF($F864="","",IFERROR(INDEX('CAT_CENTROS_COSTO'!$F$4:$F$28,MATCH($F864,'CAT_CENTROS_COSTO'!$A$4:$A$28,0)),"(sin catálogo)"))</f>
        <v/>
      </c>
      <c r="Y864" s="24">
        <f>IF($F864="","",IFERROR(INDEX('CAT_CENTROS_COSTO'!$D$4:$D$28,MATCH($F864,'CAT_CENTROS_COSTO'!$A$4:$A$28,0)),"(sin catálogo)"))</f>
        <v/>
      </c>
      <c r="Z864" s="24">
        <f>IF($F864="","",IF((IFERROR(INDEX('CAT_CENTROS_COSTO'!$E$4:$E$28,MATCH($F864,'CAT_CENTROS_COSTO'!$A$4:$A$28,0)),""))&lt;&gt;"",IFERROR(INDEX('CAT_CENTROS_COSTO'!$E$4:$E$28,MATCH($F864,'CAT_CENTROS_COSTO'!$A$4:$A$28,0)),""),$Y864))</f>
        <v/>
      </c>
      <c r="AA864" s="24">
        <f>IF($F864="","",IFERROR(INDEX('CAT_CENTROS_COSTO'!$G$4:$G$28,MATCH($F864,'CAT_CENTROS_COSTO'!$A$4:$A$28,0)),"(sin catálogo)"))</f>
        <v/>
      </c>
      <c r="AB864" s="24">
        <f>IF($G864="","",IFERROR(INDEX('CAT_PUESTOS'!$B$4:$B$23,MATCH($G864,'CAT_PUESTOS'!$A$4:$A$23,0)),"(sin catálogo)"))</f>
        <v/>
      </c>
      <c r="AC864" s="24">
        <f>IF($H864="","",IFERROR(INDEX('CAT_ACTIVIDADES'!$B$4:$B$26,MATCH($H864,'CAT_ACTIVIDADES'!$A$4:$A$26,0)),"(sin catálogo)"))</f>
        <v/>
      </c>
      <c r="AD864" s="26">
        <f>IF($J864="","",TODAY()-$J864)</f>
        <v/>
      </c>
      <c r="AE864" s="26">
        <f>IF($J864="","",IF($J864&lt;=TODAY(),COUNTIFS(cal_fechas,"&gt;="&amp;$J864,cal_fechas,"&lt;"&amp;TODAY(),cal_habil,"sí"),-COUNTIFS(cal_fechas,"&gt;="&amp;TODAY(),cal_fechas,"&lt;"&amp;$J864,cal_habil,"sí")))</f>
        <v/>
      </c>
      <c r="AF864" s="24">
        <f>IF($AE864="","",IF($AE864&lt;0,"FUTURO",IF($AE864&gt;p_dias_backlog_max,"BACKLOG","MES CORRIENTE")))</f>
        <v/>
      </c>
      <c r="AG864" s="24">
        <f>IF($AE864="",FALSE,AND($AE864&gt;p_dias_backlog_min,$AE864&lt;=p_dias_backlog_max))</f>
        <v/>
      </c>
      <c r="AH864" s="4" t="n"/>
      <c r="AI864" s="24">
        <f>IF($AH864="","",IF((IFERROR(INDEX('ASIGNACIONES'!$J$4:$J$451,MATCH($O864&amp;"|"&amp;$S864&amp;"|"&amp;$AH864,'ASIGNACIONES'!$N$4:$N$451,0)),""))=0,"",IFERROR(INDEX('ASIGNACIONES'!$J$4:$J$451,MATCH($O864&amp;"|"&amp;$S864&amp;"|"&amp;$AH864,'ASIGNACIONES'!$N$4:$N$451,0)),"")))</f>
        <v/>
      </c>
      <c r="AJ864" s="42">
        <f>IF($AH864="","",SUMIFS('ORDENES'!$M$4:$M$1203,'ORDENES'!$AH$4:$AH$1203,$AH864,'ORDENES'!$O$4:$O$1203,$O864,'ORDENES'!$S$4:$S$1203,$S864))</f>
        <v/>
      </c>
      <c r="AK864" s="42">
        <f>IF($AJ864="","",p_factor_productividad*IFERROR(INDEX('ASIGNACIONES'!$M$4:$M$451,MATCH($O864&amp;"|"&amp;$S864&amp;"|"&amp;$AH864,'ASIGNACIONES'!$N$4:$N$451,0)),0)-$AJ864)</f>
        <v/>
      </c>
      <c r="AL864" s="32">
        <f>IF($A864="","",IFERROR(INDEX('2_IMPORTAR_EJECUCION'!$F$9:$F$1208,MATCH($AU864,'2_IMPORTAR_EJECUCION'!$J$9:$J$1208,0)),0))</f>
        <v/>
      </c>
      <c r="AM864" s="32">
        <f>IF($A864="","",MAX(0,IFERROR(INDEX('2_IMPORTAR_EJECUCION'!$H$9:$H$1208,MATCH($AU864,'2_IMPORTAR_EJECUCION'!$J$9:$J$1208,0)),0)-$AL864))</f>
        <v/>
      </c>
      <c r="AN864" s="32">
        <f>IF($A864="","",$AL864+$AM864)</f>
        <v/>
      </c>
      <c r="AO864" s="24">
        <f>IF($A864="","",IF(OR((IFERROR(INDEX('CAT_ACTIVIDADES'!$D$4:$D$26,MATCH($H864,'CAT_ACTIVIDADES'!$A$4:$A$26,0)),""))=0,(IFERROR(INDEX('CAT_ACTIVIDADES'!$D$4:$D$26,MATCH($H864,'CAT_ACTIVIDADES'!$A$4:$A$26,0)),""))=""),"SIN CLASIFICAR",IFERROR(INDEX('CAT_ACTIVIDADES'!$D$4:$D$26,MATCH($H864,'CAT_ACTIVIDADES'!$A$4:$A$26,0)),"")))</f>
        <v/>
      </c>
      <c r="AP864" s="4" t="n"/>
      <c r="AQ864" s="4" t="n"/>
      <c r="AR864" s="4" t="n"/>
      <c r="AS864" s="24">
        <f>IF($AR864="","",HYPERLINK(p_ruta_base_checklists&amp;$AR864,"abrir"))</f>
        <v/>
      </c>
      <c r="AT864" s="4" t="n"/>
      <c r="AU864" s="24">
        <f>IF($A864="","",$A864&amp;IF($B864="","0010",$B864))</f>
        <v/>
      </c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41" t="n"/>
      <c r="K865" s="5" t="n"/>
      <c r="L865" s="18" t="n"/>
      <c r="M865" s="24">
        <f>IF($A865="","",IFERROR(INDEX('AJUSTES'!$B$4:$B$303,MATCH($AU865,'AJUSTES'!$A$4:$A$303,0)),IF($K865="","",$K865)))</f>
        <v/>
      </c>
      <c r="N865" s="24">
        <f>IF($A865="","",IFERROR(INDEX('CAT_ESTADOS_ERP'!$B$4:$B$22,MATCH(IFERROR(INDEX('2_IMPORTAR_EJECUCION'!$C$9:$C$1208,MATCH($AU865,'2_IMPORTAR_EJECUCION'!$J$9:$J$1208,0)),""),'CAT_ESTADOS_ERP'!$A$4:$A$22,0)),"Pendiente"))</f>
        <v/>
      </c>
      <c r="O865" s="24">
        <f>IF($J865="","",YEAR($J865+4-WEEKDAY($J865,2))&amp;"-S"&amp;TEXT(_xlfn.ISOWEEKNUM($J865),"00"))</f>
        <v/>
      </c>
      <c r="P865" s="24">
        <f>IF($J865="","",YEAR($J865))</f>
        <v/>
      </c>
      <c r="Q865" s="24">
        <f>IF($J865="","",MONTH($J865))</f>
        <v/>
      </c>
      <c r="R865" s="24">
        <f>IF($J865="","",$P865&amp;"-"&amp;TEXT($Q865,"00"))</f>
        <v/>
      </c>
      <c r="S865" s="24">
        <f>IF($J865="","",INDEX(lista_dias,WEEKDAY($J865,2)))</f>
        <v/>
      </c>
      <c r="T865" s="24">
        <f>IF($J865="","",IFERROR(INDEX('CALENDARIO'!$C$15:$C$214,MATCH(TEXT($J865,"yyyy-mm-dd")&amp;"|"&amp;$Y865&amp;"|"&amp;$Z865,'CALENDARIO'!$G$15:$G$214,0)),IFERROR(INDEX('CALENDARIO'!$C$15:$C$214,MATCH(TEXT($J865,"yyyy-mm-dd")&amp;"|"&amp;$Y865&amp;"|",'CALENDARIO'!$G$15:$G$214,0)),IFERROR(INDEX('CALENDARIO'!$C$15:$C$214,MATCH(TEXT($J865,"yyyy-mm-dd")&amp;"||",'CALENDARIO'!$G$15:$G$214,0)),INDEX(patronHabil,WEEKDAY($J865,2))))))</f>
        <v/>
      </c>
      <c r="U865" s="24">
        <f>IF($I865="","",IFERROR(INDEX('CAT_TIPOS_OT'!$C$4:$C$23,MATCH($I865,'CAT_TIPOS_OT'!$A$4:$A$23,0)),"sin_clasificar"))</f>
        <v/>
      </c>
      <c r="V865" s="24">
        <f>IF($I865="","",IF(IFERROR(INDEX('CAT_TIPOS_OT'!$D$4:$D$23,MATCH($I865,'CAT_TIPOS_OT'!$A$4:$A$23,0)),"SIN CLASIFICAR")="","SIN CLASIFICAR",IFERROR(INDEX('CAT_TIPOS_OT'!$D$4:$D$23,MATCH($I865,'CAT_TIPOS_OT'!$A$4:$A$23,0)),"SIN CLASIFICAR")))</f>
        <v/>
      </c>
      <c r="W865" s="24">
        <f>IF($H865="","",IF(IFERROR(INDEX('CAT_ACTIVIDADES'!$F$4:$F$26,MATCH($H865,'CAT_ACTIVIDADES'!$A$4:$A$26,0)),"")=0,"",IFERROR(INDEX('CAT_ACTIVIDADES'!$F$4:$F$26,MATCH($H865,'CAT_ACTIVIDADES'!$A$4:$A$26,0)),"")))</f>
        <v/>
      </c>
      <c r="X865" s="24">
        <f>IF($F865="","",IFERROR(INDEX('CAT_CENTROS_COSTO'!$F$4:$F$28,MATCH($F865,'CAT_CENTROS_COSTO'!$A$4:$A$28,0)),"(sin catálogo)"))</f>
        <v/>
      </c>
      <c r="Y865" s="24">
        <f>IF($F865="","",IFERROR(INDEX('CAT_CENTROS_COSTO'!$D$4:$D$28,MATCH($F865,'CAT_CENTROS_COSTO'!$A$4:$A$28,0)),"(sin catálogo)"))</f>
        <v/>
      </c>
      <c r="Z865" s="24">
        <f>IF($F865="","",IF((IFERROR(INDEX('CAT_CENTROS_COSTO'!$E$4:$E$28,MATCH($F865,'CAT_CENTROS_COSTO'!$A$4:$A$28,0)),""))&lt;&gt;"",IFERROR(INDEX('CAT_CENTROS_COSTO'!$E$4:$E$28,MATCH($F865,'CAT_CENTROS_COSTO'!$A$4:$A$28,0)),""),$Y865))</f>
        <v/>
      </c>
      <c r="AA865" s="24">
        <f>IF($F865="","",IFERROR(INDEX('CAT_CENTROS_COSTO'!$G$4:$G$28,MATCH($F865,'CAT_CENTROS_COSTO'!$A$4:$A$28,0)),"(sin catálogo)"))</f>
        <v/>
      </c>
      <c r="AB865" s="24">
        <f>IF($G865="","",IFERROR(INDEX('CAT_PUESTOS'!$B$4:$B$23,MATCH($G865,'CAT_PUESTOS'!$A$4:$A$23,0)),"(sin catálogo)"))</f>
        <v/>
      </c>
      <c r="AC865" s="24">
        <f>IF($H865="","",IFERROR(INDEX('CAT_ACTIVIDADES'!$B$4:$B$26,MATCH($H865,'CAT_ACTIVIDADES'!$A$4:$A$26,0)),"(sin catálogo)"))</f>
        <v/>
      </c>
      <c r="AD865" s="26">
        <f>IF($J865="","",TODAY()-$J865)</f>
        <v/>
      </c>
      <c r="AE865" s="26">
        <f>IF($J865="","",IF($J865&lt;=TODAY(),COUNTIFS(cal_fechas,"&gt;="&amp;$J865,cal_fechas,"&lt;"&amp;TODAY(),cal_habil,"sí"),-COUNTIFS(cal_fechas,"&gt;="&amp;TODAY(),cal_fechas,"&lt;"&amp;$J865,cal_habil,"sí")))</f>
        <v/>
      </c>
      <c r="AF865" s="24">
        <f>IF($AE865="","",IF($AE865&lt;0,"FUTURO",IF($AE865&gt;p_dias_backlog_max,"BACKLOG","MES CORRIENTE")))</f>
        <v/>
      </c>
      <c r="AG865" s="24">
        <f>IF($AE865="",FALSE,AND($AE865&gt;p_dias_backlog_min,$AE865&lt;=p_dias_backlog_max))</f>
        <v/>
      </c>
      <c r="AH865" s="4" t="n"/>
      <c r="AI865" s="24">
        <f>IF($AH865="","",IF((IFERROR(INDEX('ASIGNACIONES'!$J$4:$J$451,MATCH($O865&amp;"|"&amp;$S865&amp;"|"&amp;$AH865,'ASIGNACIONES'!$N$4:$N$451,0)),""))=0,"",IFERROR(INDEX('ASIGNACIONES'!$J$4:$J$451,MATCH($O865&amp;"|"&amp;$S865&amp;"|"&amp;$AH865,'ASIGNACIONES'!$N$4:$N$451,0)),"")))</f>
        <v/>
      </c>
      <c r="AJ865" s="42">
        <f>IF($AH865="","",SUMIFS('ORDENES'!$M$4:$M$1203,'ORDENES'!$AH$4:$AH$1203,$AH865,'ORDENES'!$O$4:$O$1203,$O865,'ORDENES'!$S$4:$S$1203,$S865))</f>
        <v/>
      </c>
      <c r="AK865" s="42">
        <f>IF($AJ865="","",p_factor_productividad*IFERROR(INDEX('ASIGNACIONES'!$M$4:$M$451,MATCH($O865&amp;"|"&amp;$S865&amp;"|"&amp;$AH865,'ASIGNACIONES'!$N$4:$N$451,0)),0)-$AJ865)</f>
        <v/>
      </c>
      <c r="AL865" s="32">
        <f>IF($A865="","",IFERROR(INDEX('2_IMPORTAR_EJECUCION'!$F$9:$F$1208,MATCH($AU865,'2_IMPORTAR_EJECUCION'!$J$9:$J$1208,0)),0))</f>
        <v/>
      </c>
      <c r="AM865" s="32">
        <f>IF($A865="","",MAX(0,IFERROR(INDEX('2_IMPORTAR_EJECUCION'!$H$9:$H$1208,MATCH($AU865,'2_IMPORTAR_EJECUCION'!$J$9:$J$1208,0)),0)-$AL865))</f>
        <v/>
      </c>
      <c r="AN865" s="32">
        <f>IF($A865="","",$AL865+$AM865)</f>
        <v/>
      </c>
      <c r="AO865" s="24">
        <f>IF($A865="","",IF(OR((IFERROR(INDEX('CAT_ACTIVIDADES'!$D$4:$D$26,MATCH($H865,'CAT_ACTIVIDADES'!$A$4:$A$26,0)),""))=0,(IFERROR(INDEX('CAT_ACTIVIDADES'!$D$4:$D$26,MATCH($H865,'CAT_ACTIVIDADES'!$A$4:$A$26,0)),""))=""),"SIN CLASIFICAR",IFERROR(INDEX('CAT_ACTIVIDADES'!$D$4:$D$26,MATCH($H865,'CAT_ACTIVIDADES'!$A$4:$A$26,0)),"")))</f>
        <v/>
      </c>
      <c r="AP865" s="4" t="n"/>
      <c r="AQ865" s="4" t="n"/>
      <c r="AR865" s="4" t="n"/>
      <c r="AS865" s="24">
        <f>IF($AR865="","",HYPERLINK(p_ruta_base_checklists&amp;$AR865,"abrir"))</f>
        <v/>
      </c>
      <c r="AT865" s="4" t="n"/>
      <c r="AU865" s="24">
        <f>IF($A865="","",$A865&amp;IF($B865="","0010",$B865))</f>
        <v/>
      </c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41" t="n"/>
      <c r="K866" s="5" t="n"/>
      <c r="L866" s="18" t="n"/>
      <c r="M866" s="24">
        <f>IF($A866="","",IFERROR(INDEX('AJUSTES'!$B$4:$B$303,MATCH($AU866,'AJUSTES'!$A$4:$A$303,0)),IF($K866="","",$K866)))</f>
        <v/>
      </c>
      <c r="N866" s="24">
        <f>IF($A866="","",IFERROR(INDEX('CAT_ESTADOS_ERP'!$B$4:$B$22,MATCH(IFERROR(INDEX('2_IMPORTAR_EJECUCION'!$C$9:$C$1208,MATCH($AU866,'2_IMPORTAR_EJECUCION'!$J$9:$J$1208,0)),""),'CAT_ESTADOS_ERP'!$A$4:$A$22,0)),"Pendiente"))</f>
        <v/>
      </c>
      <c r="O866" s="24">
        <f>IF($J866="","",YEAR($J866+4-WEEKDAY($J866,2))&amp;"-S"&amp;TEXT(_xlfn.ISOWEEKNUM($J866),"00"))</f>
        <v/>
      </c>
      <c r="P866" s="24">
        <f>IF($J866="","",YEAR($J866))</f>
        <v/>
      </c>
      <c r="Q866" s="24">
        <f>IF($J866="","",MONTH($J866))</f>
        <v/>
      </c>
      <c r="R866" s="24">
        <f>IF($J866="","",$P866&amp;"-"&amp;TEXT($Q866,"00"))</f>
        <v/>
      </c>
      <c r="S866" s="24">
        <f>IF($J866="","",INDEX(lista_dias,WEEKDAY($J866,2)))</f>
        <v/>
      </c>
      <c r="T866" s="24">
        <f>IF($J866="","",IFERROR(INDEX('CALENDARIO'!$C$15:$C$214,MATCH(TEXT($J866,"yyyy-mm-dd")&amp;"|"&amp;$Y866&amp;"|"&amp;$Z866,'CALENDARIO'!$G$15:$G$214,0)),IFERROR(INDEX('CALENDARIO'!$C$15:$C$214,MATCH(TEXT($J866,"yyyy-mm-dd")&amp;"|"&amp;$Y866&amp;"|",'CALENDARIO'!$G$15:$G$214,0)),IFERROR(INDEX('CALENDARIO'!$C$15:$C$214,MATCH(TEXT($J866,"yyyy-mm-dd")&amp;"||",'CALENDARIO'!$G$15:$G$214,0)),INDEX(patronHabil,WEEKDAY($J866,2))))))</f>
        <v/>
      </c>
      <c r="U866" s="24">
        <f>IF($I866="","",IFERROR(INDEX('CAT_TIPOS_OT'!$C$4:$C$23,MATCH($I866,'CAT_TIPOS_OT'!$A$4:$A$23,0)),"sin_clasificar"))</f>
        <v/>
      </c>
      <c r="V866" s="24">
        <f>IF($I866="","",IF(IFERROR(INDEX('CAT_TIPOS_OT'!$D$4:$D$23,MATCH($I866,'CAT_TIPOS_OT'!$A$4:$A$23,0)),"SIN CLASIFICAR")="","SIN CLASIFICAR",IFERROR(INDEX('CAT_TIPOS_OT'!$D$4:$D$23,MATCH($I866,'CAT_TIPOS_OT'!$A$4:$A$23,0)),"SIN CLASIFICAR")))</f>
        <v/>
      </c>
      <c r="W866" s="24">
        <f>IF($H866="","",IF(IFERROR(INDEX('CAT_ACTIVIDADES'!$F$4:$F$26,MATCH($H866,'CAT_ACTIVIDADES'!$A$4:$A$26,0)),"")=0,"",IFERROR(INDEX('CAT_ACTIVIDADES'!$F$4:$F$26,MATCH($H866,'CAT_ACTIVIDADES'!$A$4:$A$26,0)),"")))</f>
        <v/>
      </c>
      <c r="X866" s="24">
        <f>IF($F866="","",IFERROR(INDEX('CAT_CENTROS_COSTO'!$F$4:$F$28,MATCH($F866,'CAT_CENTROS_COSTO'!$A$4:$A$28,0)),"(sin catálogo)"))</f>
        <v/>
      </c>
      <c r="Y866" s="24">
        <f>IF($F866="","",IFERROR(INDEX('CAT_CENTROS_COSTO'!$D$4:$D$28,MATCH($F866,'CAT_CENTROS_COSTO'!$A$4:$A$28,0)),"(sin catálogo)"))</f>
        <v/>
      </c>
      <c r="Z866" s="24">
        <f>IF($F866="","",IF((IFERROR(INDEX('CAT_CENTROS_COSTO'!$E$4:$E$28,MATCH($F866,'CAT_CENTROS_COSTO'!$A$4:$A$28,0)),""))&lt;&gt;"",IFERROR(INDEX('CAT_CENTROS_COSTO'!$E$4:$E$28,MATCH($F866,'CAT_CENTROS_COSTO'!$A$4:$A$28,0)),""),$Y866))</f>
        <v/>
      </c>
      <c r="AA866" s="24">
        <f>IF($F866="","",IFERROR(INDEX('CAT_CENTROS_COSTO'!$G$4:$G$28,MATCH($F866,'CAT_CENTROS_COSTO'!$A$4:$A$28,0)),"(sin catálogo)"))</f>
        <v/>
      </c>
      <c r="AB866" s="24">
        <f>IF($G866="","",IFERROR(INDEX('CAT_PUESTOS'!$B$4:$B$23,MATCH($G866,'CAT_PUESTOS'!$A$4:$A$23,0)),"(sin catálogo)"))</f>
        <v/>
      </c>
      <c r="AC866" s="24">
        <f>IF($H866="","",IFERROR(INDEX('CAT_ACTIVIDADES'!$B$4:$B$26,MATCH($H866,'CAT_ACTIVIDADES'!$A$4:$A$26,0)),"(sin catálogo)"))</f>
        <v/>
      </c>
      <c r="AD866" s="26">
        <f>IF($J866="","",TODAY()-$J866)</f>
        <v/>
      </c>
      <c r="AE866" s="26">
        <f>IF($J866="","",IF($J866&lt;=TODAY(),COUNTIFS(cal_fechas,"&gt;="&amp;$J866,cal_fechas,"&lt;"&amp;TODAY(),cal_habil,"sí"),-COUNTIFS(cal_fechas,"&gt;="&amp;TODAY(),cal_fechas,"&lt;"&amp;$J866,cal_habil,"sí")))</f>
        <v/>
      </c>
      <c r="AF866" s="24">
        <f>IF($AE866="","",IF($AE866&lt;0,"FUTURO",IF($AE866&gt;p_dias_backlog_max,"BACKLOG","MES CORRIENTE")))</f>
        <v/>
      </c>
      <c r="AG866" s="24">
        <f>IF($AE866="",FALSE,AND($AE866&gt;p_dias_backlog_min,$AE866&lt;=p_dias_backlog_max))</f>
        <v/>
      </c>
      <c r="AH866" s="4" t="n"/>
      <c r="AI866" s="24">
        <f>IF($AH866="","",IF((IFERROR(INDEX('ASIGNACIONES'!$J$4:$J$451,MATCH($O866&amp;"|"&amp;$S866&amp;"|"&amp;$AH866,'ASIGNACIONES'!$N$4:$N$451,0)),""))=0,"",IFERROR(INDEX('ASIGNACIONES'!$J$4:$J$451,MATCH($O866&amp;"|"&amp;$S866&amp;"|"&amp;$AH866,'ASIGNACIONES'!$N$4:$N$451,0)),"")))</f>
        <v/>
      </c>
      <c r="AJ866" s="42">
        <f>IF($AH866="","",SUMIFS('ORDENES'!$M$4:$M$1203,'ORDENES'!$AH$4:$AH$1203,$AH866,'ORDENES'!$O$4:$O$1203,$O866,'ORDENES'!$S$4:$S$1203,$S866))</f>
        <v/>
      </c>
      <c r="AK866" s="42">
        <f>IF($AJ866="","",p_factor_productividad*IFERROR(INDEX('ASIGNACIONES'!$M$4:$M$451,MATCH($O866&amp;"|"&amp;$S866&amp;"|"&amp;$AH866,'ASIGNACIONES'!$N$4:$N$451,0)),0)-$AJ866)</f>
        <v/>
      </c>
      <c r="AL866" s="32">
        <f>IF($A866="","",IFERROR(INDEX('2_IMPORTAR_EJECUCION'!$F$9:$F$1208,MATCH($AU866,'2_IMPORTAR_EJECUCION'!$J$9:$J$1208,0)),0))</f>
        <v/>
      </c>
      <c r="AM866" s="32">
        <f>IF($A866="","",MAX(0,IFERROR(INDEX('2_IMPORTAR_EJECUCION'!$H$9:$H$1208,MATCH($AU866,'2_IMPORTAR_EJECUCION'!$J$9:$J$1208,0)),0)-$AL866))</f>
        <v/>
      </c>
      <c r="AN866" s="32">
        <f>IF($A866="","",$AL866+$AM866)</f>
        <v/>
      </c>
      <c r="AO866" s="24">
        <f>IF($A866="","",IF(OR((IFERROR(INDEX('CAT_ACTIVIDADES'!$D$4:$D$26,MATCH($H866,'CAT_ACTIVIDADES'!$A$4:$A$26,0)),""))=0,(IFERROR(INDEX('CAT_ACTIVIDADES'!$D$4:$D$26,MATCH($H866,'CAT_ACTIVIDADES'!$A$4:$A$26,0)),""))=""),"SIN CLASIFICAR",IFERROR(INDEX('CAT_ACTIVIDADES'!$D$4:$D$26,MATCH($H866,'CAT_ACTIVIDADES'!$A$4:$A$26,0)),"")))</f>
        <v/>
      </c>
      <c r="AP866" s="4" t="n"/>
      <c r="AQ866" s="4" t="n"/>
      <c r="AR866" s="4" t="n"/>
      <c r="AS866" s="24">
        <f>IF($AR866="","",HYPERLINK(p_ruta_base_checklists&amp;$AR866,"abrir"))</f>
        <v/>
      </c>
      <c r="AT866" s="4" t="n"/>
      <c r="AU866" s="24">
        <f>IF($A866="","",$A866&amp;IF($B866="","0010",$B866))</f>
        <v/>
      </c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41" t="n"/>
      <c r="K867" s="5" t="n"/>
      <c r="L867" s="18" t="n"/>
      <c r="M867" s="24">
        <f>IF($A867="","",IFERROR(INDEX('AJUSTES'!$B$4:$B$303,MATCH($AU867,'AJUSTES'!$A$4:$A$303,0)),IF($K867="","",$K867)))</f>
        <v/>
      </c>
      <c r="N867" s="24">
        <f>IF($A867="","",IFERROR(INDEX('CAT_ESTADOS_ERP'!$B$4:$B$22,MATCH(IFERROR(INDEX('2_IMPORTAR_EJECUCION'!$C$9:$C$1208,MATCH($AU867,'2_IMPORTAR_EJECUCION'!$J$9:$J$1208,0)),""),'CAT_ESTADOS_ERP'!$A$4:$A$22,0)),"Pendiente"))</f>
        <v/>
      </c>
      <c r="O867" s="24">
        <f>IF($J867="","",YEAR($J867+4-WEEKDAY($J867,2))&amp;"-S"&amp;TEXT(_xlfn.ISOWEEKNUM($J867),"00"))</f>
        <v/>
      </c>
      <c r="P867" s="24">
        <f>IF($J867="","",YEAR($J867))</f>
        <v/>
      </c>
      <c r="Q867" s="24">
        <f>IF($J867="","",MONTH($J867))</f>
        <v/>
      </c>
      <c r="R867" s="24">
        <f>IF($J867="","",$P867&amp;"-"&amp;TEXT($Q867,"00"))</f>
        <v/>
      </c>
      <c r="S867" s="24">
        <f>IF($J867="","",INDEX(lista_dias,WEEKDAY($J867,2)))</f>
        <v/>
      </c>
      <c r="T867" s="24">
        <f>IF($J867="","",IFERROR(INDEX('CALENDARIO'!$C$15:$C$214,MATCH(TEXT($J867,"yyyy-mm-dd")&amp;"|"&amp;$Y867&amp;"|"&amp;$Z867,'CALENDARIO'!$G$15:$G$214,0)),IFERROR(INDEX('CALENDARIO'!$C$15:$C$214,MATCH(TEXT($J867,"yyyy-mm-dd")&amp;"|"&amp;$Y867&amp;"|",'CALENDARIO'!$G$15:$G$214,0)),IFERROR(INDEX('CALENDARIO'!$C$15:$C$214,MATCH(TEXT($J867,"yyyy-mm-dd")&amp;"||",'CALENDARIO'!$G$15:$G$214,0)),INDEX(patronHabil,WEEKDAY($J867,2))))))</f>
        <v/>
      </c>
      <c r="U867" s="24">
        <f>IF($I867="","",IFERROR(INDEX('CAT_TIPOS_OT'!$C$4:$C$23,MATCH($I867,'CAT_TIPOS_OT'!$A$4:$A$23,0)),"sin_clasificar"))</f>
        <v/>
      </c>
      <c r="V867" s="24">
        <f>IF($I867="","",IF(IFERROR(INDEX('CAT_TIPOS_OT'!$D$4:$D$23,MATCH($I867,'CAT_TIPOS_OT'!$A$4:$A$23,0)),"SIN CLASIFICAR")="","SIN CLASIFICAR",IFERROR(INDEX('CAT_TIPOS_OT'!$D$4:$D$23,MATCH($I867,'CAT_TIPOS_OT'!$A$4:$A$23,0)),"SIN CLASIFICAR")))</f>
        <v/>
      </c>
      <c r="W867" s="24">
        <f>IF($H867="","",IF(IFERROR(INDEX('CAT_ACTIVIDADES'!$F$4:$F$26,MATCH($H867,'CAT_ACTIVIDADES'!$A$4:$A$26,0)),"")=0,"",IFERROR(INDEX('CAT_ACTIVIDADES'!$F$4:$F$26,MATCH($H867,'CAT_ACTIVIDADES'!$A$4:$A$26,0)),"")))</f>
        <v/>
      </c>
      <c r="X867" s="24">
        <f>IF($F867="","",IFERROR(INDEX('CAT_CENTROS_COSTO'!$F$4:$F$28,MATCH($F867,'CAT_CENTROS_COSTO'!$A$4:$A$28,0)),"(sin catálogo)"))</f>
        <v/>
      </c>
      <c r="Y867" s="24">
        <f>IF($F867="","",IFERROR(INDEX('CAT_CENTROS_COSTO'!$D$4:$D$28,MATCH($F867,'CAT_CENTROS_COSTO'!$A$4:$A$28,0)),"(sin catálogo)"))</f>
        <v/>
      </c>
      <c r="Z867" s="24">
        <f>IF($F867="","",IF((IFERROR(INDEX('CAT_CENTROS_COSTO'!$E$4:$E$28,MATCH($F867,'CAT_CENTROS_COSTO'!$A$4:$A$28,0)),""))&lt;&gt;"",IFERROR(INDEX('CAT_CENTROS_COSTO'!$E$4:$E$28,MATCH($F867,'CAT_CENTROS_COSTO'!$A$4:$A$28,0)),""),$Y867))</f>
        <v/>
      </c>
      <c r="AA867" s="24">
        <f>IF($F867="","",IFERROR(INDEX('CAT_CENTROS_COSTO'!$G$4:$G$28,MATCH($F867,'CAT_CENTROS_COSTO'!$A$4:$A$28,0)),"(sin catálogo)"))</f>
        <v/>
      </c>
      <c r="AB867" s="24">
        <f>IF($G867="","",IFERROR(INDEX('CAT_PUESTOS'!$B$4:$B$23,MATCH($G867,'CAT_PUESTOS'!$A$4:$A$23,0)),"(sin catálogo)"))</f>
        <v/>
      </c>
      <c r="AC867" s="24">
        <f>IF($H867="","",IFERROR(INDEX('CAT_ACTIVIDADES'!$B$4:$B$26,MATCH($H867,'CAT_ACTIVIDADES'!$A$4:$A$26,0)),"(sin catálogo)"))</f>
        <v/>
      </c>
      <c r="AD867" s="26">
        <f>IF($J867="","",TODAY()-$J867)</f>
        <v/>
      </c>
      <c r="AE867" s="26">
        <f>IF($J867="","",IF($J867&lt;=TODAY(),COUNTIFS(cal_fechas,"&gt;="&amp;$J867,cal_fechas,"&lt;"&amp;TODAY(),cal_habil,"sí"),-COUNTIFS(cal_fechas,"&gt;="&amp;TODAY(),cal_fechas,"&lt;"&amp;$J867,cal_habil,"sí")))</f>
        <v/>
      </c>
      <c r="AF867" s="24">
        <f>IF($AE867="","",IF($AE867&lt;0,"FUTURO",IF($AE867&gt;p_dias_backlog_max,"BACKLOG","MES CORRIENTE")))</f>
        <v/>
      </c>
      <c r="AG867" s="24">
        <f>IF($AE867="",FALSE,AND($AE867&gt;p_dias_backlog_min,$AE867&lt;=p_dias_backlog_max))</f>
        <v/>
      </c>
      <c r="AH867" s="4" t="n"/>
      <c r="AI867" s="24">
        <f>IF($AH867="","",IF((IFERROR(INDEX('ASIGNACIONES'!$J$4:$J$451,MATCH($O867&amp;"|"&amp;$S867&amp;"|"&amp;$AH867,'ASIGNACIONES'!$N$4:$N$451,0)),""))=0,"",IFERROR(INDEX('ASIGNACIONES'!$J$4:$J$451,MATCH($O867&amp;"|"&amp;$S867&amp;"|"&amp;$AH867,'ASIGNACIONES'!$N$4:$N$451,0)),"")))</f>
        <v/>
      </c>
      <c r="AJ867" s="42">
        <f>IF($AH867="","",SUMIFS('ORDENES'!$M$4:$M$1203,'ORDENES'!$AH$4:$AH$1203,$AH867,'ORDENES'!$O$4:$O$1203,$O867,'ORDENES'!$S$4:$S$1203,$S867))</f>
        <v/>
      </c>
      <c r="AK867" s="42">
        <f>IF($AJ867="","",p_factor_productividad*IFERROR(INDEX('ASIGNACIONES'!$M$4:$M$451,MATCH($O867&amp;"|"&amp;$S867&amp;"|"&amp;$AH867,'ASIGNACIONES'!$N$4:$N$451,0)),0)-$AJ867)</f>
        <v/>
      </c>
      <c r="AL867" s="32">
        <f>IF($A867="","",IFERROR(INDEX('2_IMPORTAR_EJECUCION'!$F$9:$F$1208,MATCH($AU867,'2_IMPORTAR_EJECUCION'!$J$9:$J$1208,0)),0))</f>
        <v/>
      </c>
      <c r="AM867" s="32">
        <f>IF($A867="","",MAX(0,IFERROR(INDEX('2_IMPORTAR_EJECUCION'!$H$9:$H$1208,MATCH($AU867,'2_IMPORTAR_EJECUCION'!$J$9:$J$1208,0)),0)-$AL867))</f>
        <v/>
      </c>
      <c r="AN867" s="32">
        <f>IF($A867="","",$AL867+$AM867)</f>
        <v/>
      </c>
      <c r="AO867" s="24">
        <f>IF($A867="","",IF(OR((IFERROR(INDEX('CAT_ACTIVIDADES'!$D$4:$D$26,MATCH($H867,'CAT_ACTIVIDADES'!$A$4:$A$26,0)),""))=0,(IFERROR(INDEX('CAT_ACTIVIDADES'!$D$4:$D$26,MATCH($H867,'CAT_ACTIVIDADES'!$A$4:$A$26,0)),""))=""),"SIN CLASIFICAR",IFERROR(INDEX('CAT_ACTIVIDADES'!$D$4:$D$26,MATCH($H867,'CAT_ACTIVIDADES'!$A$4:$A$26,0)),"")))</f>
        <v/>
      </c>
      <c r="AP867" s="4" t="n"/>
      <c r="AQ867" s="4" t="n"/>
      <c r="AR867" s="4" t="n"/>
      <c r="AS867" s="24">
        <f>IF($AR867="","",HYPERLINK(p_ruta_base_checklists&amp;$AR867,"abrir"))</f>
        <v/>
      </c>
      <c r="AT867" s="4" t="n"/>
      <c r="AU867" s="24">
        <f>IF($A867="","",$A867&amp;IF($B867="","0010",$B867))</f>
        <v/>
      </c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41" t="n"/>
      <c r="K868" s="5" t="n"/>
      <c r="L868" s="18" t="n"/>
      <c r="M868" s="24">
        <f>IF($A868="","",IFERROR(INDEX('AJUSTES'!$B$4:$B$303,MATCH($AU868,'AJUSTES'!$A$4:$A$303,0)),IF($K868="","",$K868)))</f>
        <v/>
      </c>
      <c r="N868" s="24">
        <f>IF($A868="","",IFERROR(INDEX('CAT_ESTADOS_ERP'!$B$4:$B$22,MATCH(IFERROR(INDEX('2_IMPORTAR_EJECUCION'!$C$9:$C$1208,MATCH($AU868,'2_IMPORTAR_EJECUCION'!$J$9:$J$1208,0)),""),'CAT_ESTADOS_ERP'!$A$4:$A$22,0)),"Pendiente"))</f>
        <v/>
      </c>
      <c r="O868" s="24">
        <f>IF($J868="","",YEAR($J868+4-WEEKDAY($J868,2))&amp;"-S"&amp;TEXT(_xlfn.ISOWEEKNUM($J868),"00"))</f>
        <v/>
      </c>
      <c r="P868" s="24">
        <f>IF($J868="","",YEAR($J868))</f>
        <v/>
      </c>
      <c r="Q868" s="24">
        <f>IF($J868="","",MONTH($J868))</f>
        <v/>
      </c>
      <c r="R868" s="24">
        <f>IF($J868="","",$P868&amp;"-"&amp;TEXT($Q868,"00"))</f>
        <v/>
      </c>
      <c r="S868" s="24">
        <f>IF($J868="","",INDEX(lista_dias,WEEKDAY($J868,2)))</f>
        <v/>
      </c>
      <c r="T868" s="24">
        <f>IF($J868="","",IFERROR(INDEX('CALENDARIO'!$C$15:$C$214,MATCH(TEXT($J868,"yyyy-mm-dd")&amp;"|"&amp;$Y868&amp;"|"&amp;$Z868,'CALENDARIO'!$G$15:$G$214,0)),IFERROR(INDEX('CALENDARIO'!$C$15:$C$214,MATCH(TEXT($J868,"yyyy-mm-dd")&amp;"|"&amp;$Y868&amp;"|",'CALENDARIO'!$G$15:$G$214,0)),IFERROR(INDEX('CALENDARIO'!$C$15:$C$214,MATCH(TEXT($J868,"yyyy-mm-dd")&amp;"||",'CALENDARIO'!$G$15:$G$214,0)),INDEX(patronHabil,WEEKDAY($J868,2))))))</f>
        <v/>
      </c>
      <c r="U868" s="24">
        <f>IF($I868="","",IFERROR(INDEX('CAT_TIPOS_OT'!$C$4:$C$23,MATCH($I868,'CAT_TIPOS_OT'!$A$4:$A$23,0)),"sin_clasificar"))</f>
        <v/>
      </c>
      <c r="V868" s="24">
        <f>IF($I868="","",IF(IFERROR(INDEX('CAT_TIPOS_OT'!$D$4:$D$23,MATCH($I868,'CAT_TIPOS_OT'!$A$4:$A$23,0)),"SIN CLASIFICAR")="","SIN CLASIFICAR",IFERROR(INDEX('CAT_TIPOS_OT'!$D$4:$D$23,MATCH($I868,'CAT_TIPOS_OT'!$A$4:$A$23,0)),"SIN CLASIFICAR")))</f>
        <v/>
      </c>
      <c r="W868" s="24">
        <f>IF($H868="","",IF(IFERROR(INDEX('CAT_ACTIVIDADES'!$F$4:$F$26,MATCH($H868,'CAT_ACTIVIDADES'!$A$4:$A$26,0)),"")=0,"",IFERROR(INDEX('CAT_ACTIVIDADES'!$F$4:$F$26,MATCH($H868,'CAT_ACTIVIDADES'!$A$4:$A$26,0)),"")))</f>
        <v/>
      </c>
      <c r="X868" s="24">
        <f>IF($F868="","",IFERROR(INDEX('CAT_CENTROS_COSTO'!$F$4:$F$28,MATCH($F868,'CAT_CENTROS_COSTO'!$A$4:$A$28,0)),"(sin catálogo)"))</f>
        <v/>
      </c>
      <c r="Y868" s="24">
        <f>IF($F868="","",IFERROR(INDEX('CAT_CENTROS_COSTO'!$D$4:$D$28,MATCH($F868,'CAT_CENTROS_COSTO'!$A$4:$A$28,0)),"(sin catálogo)"))</f>
        <v/>
      </c>
      <c r="Z868" s="24">
        <f>IF($F868="","",IF((IFERROR(INDEX('CAT_CENTROS_COSTO'!$E$4:$E$28,MATCH($F868,'CAT_CENTROS_COSTO'!$A$4:$A$28,0)),""))&lt;&gt;"",IFERROR(INDEX('CAT_CENTROS_COSTO'!$E$4:$E$28,MATCH($F868,'CAT_CENTROS_COSTO'!$A$4:$A$28,0)),""),$Y868))</f>
        <v/>
      </c>
      <c r="AA868" s="24">
        <f>IF($F868="","",IFERROR(INDEX('CAT_CENTROS_COSTO'!$G$4:$G$28,MATCH($F868,'CAT_CENTROS_COSTO'!$A$4:$A$28,0)),"(sin catálogo)"))</f>
        <v/>
      </c>
      <c r="AB868" s="24">
        <f>IF($G868="","",IFERROR(INDEX('CAT_PUESTOS'!$B$4:$B$23,MATCH($G868,'CAT_PUESTOS'!$A$4:$A$23,0)),"(sin catálogo)"))</f>
        <v/>
      </c>
      <c r="AC868" s="24">
        <f>IF($H868="","",IFERROR(INDEX('CAT_ACTIVIDADES'!$B$4:$B$26,MATCH($H868,'CAT_ACTIVIDADES'!$A$4:$A$26,0)),"(sin catálogo)"))</f>
        <v/>
      </c>
      <c r="AD868" s="26">
        <f>IF($J868="","",TODAY()-$J868)</f>
        <v/>
      </c>
      <c r="AE868" s="26">
        <f>IF($J868="","",IF($J868&lt;=TODAY(),COUNTIFS(cal_fechas,"&gt;="&amp;$J868,cal_fechas,"&lt;"&amp;TODAY(),cal_habil,"sí"),-COUNTIFS(cal_fechas,"&gt;="&amp;TODAY(),cal_fechas,"&lt;"&amp;$J868,cal_habil,"sí")))</f>
        <v/>
      </c>
      <c r="AF868" s="24">
        <f>IF($AE868="","",IF($AE868&lt;0,"FUTURO",IF($AE868&gt;p_dias_backlog_max,"BACKLOG","MES CORRIENTE")))</f>
        <v/>
      </c>
      <c r="AG868" s="24">
        <f>IF($AE868="",FALSE,AND($AE868&gt;p_dias_backlog_min,$AE868&lt;=p_dias_backlog_max))</f>
        <v/>
      </c>
      <c r="AH868" s="4" t="n"/>
      <c r="AI868" s="24">
        <f>IF($AH868="","",IF((IFERROR(INDEX('ASIGNACIONES'!$J$4:$J$451,MATCH($O868&amp;"|"&amp;$S868&amp;"|"&amp;$AH868,'ASIGNACIONES'!$N$4:$N$451,0)),""))=0,"",IFERROR(INDEX('ASIGNACIONES'!$J$4:$J$451,MATCH($O868&amp;"|"&amp;$S868&amp;"|"&amp;$AH868,'ASIGNACIONES'!$N$4:$N$451,0)),"")))</f>
        <v/>
      </c>
      <c r="AJ868" s="42">
        <f>IF($AH868="","",SUMIFS('ORDENES'!$M$4:$M$1203,'ORDENES'!$AH$4:$AH$1203,$AH868,'ORDENES'!$O$4:$O$1203,$O868,'ORDENES'!$S$4:$S$1203,$S868))</f>
        <v/>
      </c>
      <c r="AK868" s="42">
        <f>IF($AJ868="","",p_factor_productividad*IFERROR(INDEX('ASIGNACIONES'!$M$4:$M$451,MATCH($O868&amp;"|"&amp;$S868&amp;"|"&amp;$AH868,'ASIGNACIONES'!$N$4:$N$451,0)),0)-$AJ868)</f>
        <v/>
      </c>
      <c r="AL868" s="32">
        <f>IF($A868="","",IFERROR(INDEX('2_IMPORTAR_EJECUCION'!$F$9:$F$1208,MATCH($AU868,'2_IMPORTAR_EJECUCION'!$J$9:$J$1208,0)),0))</f>
        <v/>
      </c>
      <c r="AM868" s="32">
        <f>IF($A868="","",MAX(0,IFERROR(INDEX('2_IMPORTAR_EJECUCION'!$H$9:$H$1208,MATCH($AU868,'2_IMPORTAR_EJECUCION'!$J$9:$J$1208,0)),0)-$AL868))</f>
        <v/>
      </c>
      <c r="AN868" s="32">
        <f>IF($A868="","",$AL868+$AM868)</f>
        <v/>
      </c>
      <c r="AO868" s="24">
        <f>IF($A868="","",IF(OR((IFERROR(INDEX('CAT_ACTIVIDADES'!$D$4:$D$26,MATCH($H868,'CAT_ACTIVIDADES'!$A$4:$A$26,0)),""))=0,(IFERROR(INDEX('CAT_ACTIVIDADES'!$D$4:$D$26,MATCH($H868,'CAT_ACTIVIDADES'!$A$4:$A$26,0)),""))=""),"SIN CLASIFICAR",IFERROR(INDEX('CAT_ACTIVIDADES'!$D$4:$D$26,MATCH($H868,'CAT_ACTIVIDADES'!$A$4:$A$26,0)),"")))</f>
        <v/>
      </c>
      <c r="AP868" s="4" t="n"/>
      <c r="AQ868" s="4" t="n"/>
      <c r="AR868" s="4" t="n"/>
      <c r="AS868" s="24">
        <f>IF($AR868="","",HYPERLINK(p_ruta_base_checklists&amp;$AR868,"abrir"))</f>
        <v/>
      </c>
      <c r="AT868" s="4" t="n"/>
      <c r="AU868" s="24">
        <f>IF($A868="","",$A868&amp;IF($B868="","0010",$B868))</f>
        <v/>
      </c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41" t="n"/>
      <c r="K869" s="5" t="n"/>
      <c r="L869" s="18" t="n"/>
      <c r="M869" s="24">
        <f>IF($A869="","",IFERROR(INDEX('AJUSTES'!$B$4:$B$303,MATCH($AU869,'AJUSTES'!$A$4:$A$303,0)),IF($K869="","",$K869)))</f>
        <v/>
      </c>
      <c r="N869" s="24">
        <f>IF($A869="","",IFERROR(INDEX('CAT_ESTADOS_ERP'!$B$4:$B$22,MATCH(IFERROR(INDEX('2_IMPORTAR_EJECUCION'!$C$9:$C$1208,MATCH($AU869,'2_IMPORTAR_EJECUCION'!$J$9:$J$1208,0)),""),'CAT_ESTADOS_ERP'!$A$4:$A$22,0)),"Pendiente"))</f>
        <v/>
      </c>
      <c r="O869" s="24">
        <f>IF($J869="","",YEAR($J869+4-WEEKDAY($J869,2))&amp;"-S"&amp;TEXT(_xlfn.ISOWEEKNUM($J869),"00"))</f>
        <v/>
      </c>
      <c r="P869" s="24">
        <f>IF($J869="","",YEAR($J869))</f>
        <v/>
      </c>
      <c r="Q869" s="24">
        <f>IF($J869="","",MONTH($J869))</f>
        <v/>
      </c>
      <c r="R869" s="24">
        <f>IF($J869="","",$P869&amp;"-"&amp;TEXT($Q869,"00"))</f>
        <v/>
      </c>
      <c r="S869" s="24">
        <f>IF($J869="","",INDEX(lista_dias,WEEKDAY($J869,2)))</f>
        <v/>
      </c>
      <c r="T869" s="24">
        <f>IF($J869="","",IFERROR(INDEX('CALENDARIO'!$C$15:$C$214,MATCH(TEXT($J869,"yyyy-mm-dd")&amp;"|"&amp;$Y869&amp;"|"&amp;$Z869,'CALENDARIO'!$G$15:$G$214,0)),IFERROR(INDEX('CALENDARIO'!$C$15:$C$214,MATCH(TEXT($J869,"yyyy-mm-dd")&amp;"|"&amp;$Y869&amp;"|",'CALENDARIO'!$G$15:$G$214,0)),IFERROR(INDEX('CALENDARIO'!$C$15:$C$214,MATCH(TEXT($J869,"yyyy-mm-dd")&amp;"||",'CALENDARIO'!$G$15:$G$214,0)),INDEX(patronHabil,WEEKDAY($J869,2))))))</f>
        <v/>
      </c>
      <c r="U869" s="24">
        <f>IF($I869="","",IFERROR(INDEX('CAT_TIPOS_OT'!$C$4:$C$23,MATCH($I869,'CAT_TIPOS_OT'!$A$4:$A$23,0)),"sin_clasificar"))</f>
        <v/>
      </c>
      <c r="V869" s="24">
        <f>IF($I869="","",IF(IFERROR(INDEX('CAT_TIPOS_OT'!$D$4:$D$23,MATCH($I869,'CAT_TIPOS_OT'!$A$4:$A$23,0)),"SIN CLASIFICAR")="","SIN CLASIFICAR",IFERROR(INDEX('CAT_TIPOS_OT'!$D$4:$D$23,MATCH($I869,'CAT_TIPOS_OT'!$A$4:$A$23,0)),"SIN CLASIFICAR")))</f>
        <v/>
      </c>
      <c r="W869" s="24">
        <f>IF($H869="","",IF(IFERROR(INDEX('CAT_ACTIVIDADES'!$F$4:$F$26,MATCH($H869,'CAT_ACTIVIDADES'!$A$4:$A$26,0)),"")=0,"",IFERROR(INDEX('CAT_ACTIVIDADES'!$F$4:$F$26,MATCH($H869,'CAT_ACTIVIDADES'!$A$4:$A$26,0)),"")))</f>
        <v/>
      </c>
      <c r="X869" s="24">
        <f>IF($F869="","",IFERROR(INDEX('CAT_CENTROS_COSTO'!$F$4:$F$28,MATCH($F869,'CAT_CENTROS_COSTO'!$A$4:$A$28,0)),"(sin catálogo)"))</f>
        <v/>
      </c>
      <c r="Y869" s="24">
        <f>IF($F869="","",IFERROR(INDEX('CAT_CENTROS_COSTO'!$D$4:$D$28,MATCH($F869,'CAT_CENTROS_COSTO'!$A$4:$A$28,0)),"(sin catálogo)"))</f>
        <v/>
      </c>
      <c r="Z869" s="24">
        <f>IF($F869="","",IF((IFERROR(INDEX('CAT_CENTROS_COSTO'!$E$4:$E$28,MATCH($F869,'CAT_CENTROS_COSTO'!$A$4:$A$28,0)),""))&lt;&gt;"",IFERROR(INDEX('CAT_CENTROS_COSTO'!$E$4:$E$28,MATCH($F869,'CAT_CENTROS_COSTO'!$A$4:$A$28,0)),""),$Y869))</f>
        <v/>
      </c>
      <c r="AA869" s="24">
        <f>IF($F869="","",IFERROR(INDEX('CAT_CENTROS_COSTO'!$G$4:$G$28,MATCH($F869,'CAT_CENTROS_COSTO'!$A$4:$A$28,0)),"(sin catálogo)"))</f>
        <v/>
      </c>
      <c r="AB869" s="24">
        <f>IF($G869="","",IFERROR(INDEX('CAT_PUESTOS'!$B$4:$B$23,MATCH($G869,'CAT_PUESTOS'!$A$4:$A$23,0)),"(sin catálogo)"))</f>
        <v/>
      </c>
      <c r="AC869" s="24">
        <f>IF($H869="","",IFERROR(INDEX('CAT_ACTIVIDADES'!$B$4:$B$26,MATCH($H869,'CAT_ACTIVIDADES'!$A$4:$A$26,0)),"(sin catálogo)"))</f>
        <v/>
      </c>
      <c r="AD869" s="26">
        <f>IF($J869="","",TODAY()-$J869)</f>
        <v/>
      </c>
      <c r="AE869" s="26">
        <f>IF($J869="","",IF($J869&lt;=TODAY(),COUNTIFS(cal_fechas,"&gt;="&amp;$J869,cal_fechas,"&lt;"&amp;TODAY(),cal_habil,"sí"),-COUNTIFS(cal_fechas,"&gt;="&amp;TODAY(),cal_fechas,"&lt;"&amp;$J869,cal_habil,"sí")))</f>
        <v/>
      </c>
      <c r="AF869" s="24">
        <f>IF($AE869="","",IF($AE869&lt;0,"FUTURO",IF($AE869&gt;p_dias_backlog_max,"BACKLOG","MES CORRIENTE")))</f>
        <v/>
      </c>
      <c r="AG869" s="24">
        <f>IF($AE869="",FALSE,AND($AE869&gt;p_dias_backlog_min,$AE869&lt;=p_dias_backlog_max))</f>
        <v/>
      </c>
      <c r="AH869" s="4" t="n"/>
      <c r="AI869" s="24">
        <f>IF($AH869="","",IF((IFERROR(INDEX('ASIGNACIONES'!$J$4:$J$451,MATCH($O869&amp;"|"&amp;$S869&amp;"|"&amp;$AH869,'ASIGNACIONES'!$N$4:$N$451,0)),""))=0,"",IFERROR(INDEX('ASIGNACIONES'!$J$4:$J$451,MATCH($O869&amp;"|"&amp;$S869&amp;"|"&amp;$AH869,'ASIGNACIONES'!$N$4:$N$451,0)),"")))</f>
        <v/>
      </c>
      <c r="AJ869" s="42">
        <f>IF($AH869="","",SUMIFS('ORDENES'!$M$4:$M$1203,'ORDENES'!$AH$4:$AH$1203,$AH869,'ORDENES'!$O$4:$O$1203,$O869,'ORDENES'!$S$4:$S$1203,$S869))</f>
        <v/>
      </c>
      <c r="AK869" s="42">
        <f>IF($AJ869="","",p_factor_productividad*IFERROR(INDEX('ASIGNACIONES'!$M$4:$M$451,MATCH($O869&amp;"|"&amp;$S869&amp;"|"&amp;$AH869,'ASIGNACIONES'!$N$4:$N$451,0)),0)-$AJ869)</f>
        <v/>
      </c>
      <c r="AL869" s="32">
        <f>IF($A869="","",IFERROR(INDEX('2_IMPORTAR_EJECUCION'!$F$9:$F$1208,MATCH($AU869,'2_IMPORTAR_EJECUCION'!$J$9:$J$1208,0)),0))</f>
        <v/>
      </c>
      <c r="AM869" s="32">
        <f>IF($A869="","",MAX(0,IFERROR(INDEX('2_IMPORTAR_EJECUCION'!$H$9:$H$1208,MATCH($AU869,'2_IMPORTAR_EJECUCION'!$J$9:$J$1208,0)),0)-$AL869))</f>
        <v/>
      </c>
      <c r="AN869" s="32">
        <f>IF($A869="","",$AL869+$AM869)</f>
        <v/>
      </c>
      <c r="AO869" s="24">
        <f>IF($A869="","",IF(OR((IFERROR(INDEX('CAT_ACTIVIDADES'!$D$4:$D$26,MATCH($H869,'CAT_ACTIVIDADES'!$A$4:$A$26,0)),""))=0,(IFERROR(INDEX('CAT_ACTIVIDADES'!$D$4:$D$26,MATCH($H869,'CAT_ACTIVIDADES'!$A$4:$A$26,0)),""))=""),"SIN CLASIFICAR",IFERROR(INDEX('CAT_ACTIVIDADES'!$D$4:$D$26,MATCH($H869,'CAT_ACTIVIDADES'!$A$4:$A$26,0)),"")))</f>
        <v/>
      </c>
      <c r="AP869" s="4" t="n"/>
      <c r="AQ869" s="4" t="n"/>
      <c r="AR869" s="4" t="n"/>
      <c r="AS869" s="24">
        <f>IF($AR869="","",HYPERLINK(p_ruta_base_checklists&amp;$AR869,"abrir"))</f>
        <v/>
      </c>
      <c r="AT869" s="4" t="n"/>
      <c r="AU869" s="24">
        <f>IF($A869="","",$A869&amp;IF($B869="","0010",$B869))</f>
        <v/>
      </c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41" t="n"/>
      <c r="K870" s="5" t="n"/>
      <c r="L870" s="18" t="n"/>
      <c r="M870" s="24">
        <f>IF($A870="","",IFERROR(INDEX('AJUSTES'!$B$4:$B$303,MATCH($AU870,'AJUSTES'!$A$4:$A$303,0)),IF($K870="","",$K870)))</f>
        <v/>
      </c>
      <c r="N870" s="24">
        <f>IF($A870="","",IFERROR(INDEX('CAT_ESTADOS_ERP'!$B$4:$B$22,MATCH(IFERROR(INDEX('2_IMPORTAR_EJECUCION'!$C$9:$C$1208,MATCH($AU870,'2_IMPORTAR_EJECUCION'!$J$9:$J$1208,0)),""),'CAT_ESTADOS_ERP'!$A$4:$A$22,0)),"Pendiente"))</f>
        <v/>
      </c>
      <c r="O870" s="24">
        <f>IF($J870="","",YEAR($J870+4-WEEKDAY($J870,2))&amp;"-S"&amp;TEXT(_xlfn.ISOWEEKNUM($J870),"00"))</f>
        <v/>
      </c>
      <c r="P870" s="24">
        <f>IF($J870="","",YEAR($J870))</f>
        <v/>
      </c>
      <c r="Q870" s="24">
        <f>IF($J870="","",MONTH($J870))</f>
        <v/>
      </c>
      <c r="R870" s="24">
        <f>IF($J870="","",$P870&amp;"-"&amp;TEXT($Q870,"00"))</f>
        <v/>
      </c>
      <c r="S870" s="24">
        <f>IF($J870="","",INDEX(lista_dias,WEEKDAY($J870,2)))</f>
        <v/>
      </c>
      <c r="T870" s="24">
        <f>IF($J870="","",IFERROR(INDEX('CALENDARIO'!$C$15:$C$214,MATCH(TEXT($J870,"yyyy-mm-dd")&amp;"|"&amp;$Y870&amp;"|"&amp;$Z870,'CALENDARIO'!$G$15:$G$214,0)),IFERROR(INDEX('CALENDARIO'!$C$15:$C$214,MATCH(TEXT($J870,"yyyy-mm-dd")&amp;"|"&amp;$Y870&amp;"|",'CALENDARIO'!$G$15:$G$214,0)),IFERROR(INDEX('CALENDARIO'!$C$15:$C$214,MATCH(TEXT($J870,"yyyy-mm-dd")&amp;"||",'CALENDARIO'!$G$15:$G$214,0)),INDEX(patronHabil,WEEKDAY($J870,2))))))</f>
        <v/>
      </c>
      <c r="U870" s="24">
        <f>IF($I870="","",IFERROR(INDEX('CAT_TIPOS_OT'!$C$4:$C$23,MATCH($I870,'CAT_TIPOS_OT'!$A$4:$A$23,0)),"sin_clasificar"))</f>
        <v/>
      </c>
      <c r="V870" s="24">
        <f>IF($I870="","",IF(IFERROR(INDEX('CAT_TIPOS_OT'!$D$4:$D$23,MATCH($I870,'CAT_TIPOS_OT'!$A$4:$A$23,0)),"SIN CLASIFICAR")="","SIN CLASIFICAR",IFERROR(INDEX('CAT_TIPOS_OT'!$D$4:$D$23,MATCH($I870,'CAT_TIPOS_OT'!$A$4:$A$23,0)),"SIN CLASIFICAR")))</f>
        <v/>
      </c>
      <c r="W870" s="24">
        <f>IF($H870="","",IF(IFERROR(INDEX('CAT_ACTIVIDADES'!$F$4:$F$26,MATCH($H870,'CAT_ACTIVIDADES'!$A$4:$A$26,0)),"")=0,"",IFERROR(INDEX('CAT_ACTIVIDADES'!$F$4:$F$26,MATCH($H870,'CAT_ACTIVIDADES'!$A$4:$A$26,0)),"")))</f>
        <v/>
      </c>
      <c r="X870" s="24">
        <f>IF($F870="","",IFERROR(INDEX('CAT_CENTROS_COSTO'!$F$4:$F$28,MATCH($F870,'CAT_CENTROS_COSTO'!$A$4:$A$28,0)),"(sin catálogo)"))</f>
        <v/>
      </c>
      <c r="Y870" s="24">
        <f>IF($F870="","",IFERROR(INDEX('CAT_CENTROS_COSTO'!$D$4:$D$28,MATCH($F870,'CAT_CENTROS_COSTO'!$A$4:$A$28,0)),"(sin catálogo)"))</f>
        <v/>
      </c>
      <c r="Z870" s="24">
        <f>IF($F870="","",IF((IFERROR(INDEX('CAT_CENTROS_COSTO'!$E$4:$E$28,MATCH($F870,'CAT_CENTROS_COSTO'!$A$4:$A$28,0)),""))&lt;&gt;"",IFERROR(INDEX('CAT_CENTROS_COSTO'!$E$4:$E$28,MATCH($F870,'CAT_CENTROS_COSTO'!$A$4:$A$28,0)),""),$Y870))</f>
        <v/>
      </c>
      <c r="AA870" s="24">
        <f>IF($F870="","",IFERROR(INDEX('CAT_CENTROS_COSTO'!$G$4:$G$28,MATCH($F870,'CAT_CENTROS_COSTO'!$A$4:$A$28,0)),"(sin catálogo)"))</f>
        <v/>
      </c>
      <c r="AB870" s="24">
        <f>IF($G870="","",IFERROR(INDEX('CAT_PUESTOS'!$B$4:$B$23,MATCH($G870,'CAT_PUESTOS'!$A$4:$A$23,0)),"(sin catálogo)"))</f>
        <v/>
      </c>
      <c r="AC870" s="24">
        <f>IF($H870="","",IFERROR(INDEX('CAT_ACTIVIDADES'!$B$4:$B$26,MATCH($H870,'CAT_ACTIVIDADES'!$A$4:$A$26,0)),"(sin catálogo)"))</f>
        <v/>
      </c>
      <c r="AD870" s="26">
        <f>IF($J870="","",TODAY()-$J870)</f>
        <v/>
      </c>
      <c r="AE870" s="26">
        <f>IF($J870="","",IF($J870&lt;=TODAY(),COUNTIFS(cal_fechas,"&gt;="&amp;$J870,cal_fechas,"&lt;"&amp;TODAY(),cal_habil,"sí"),-COUNTIFS(cal_fechas,"&gt;="&amp;TODAY(),cal_fechas,"&lt;"&amp;$J870,cal_habil,"sí")))</f>
        <v/>
      </c>
      <c r="AF870" s="24">
        <f>IF($AE870="","",IF($AE870&lt;0,"FUTURO",IF($AE870&gt;p_dias_backlog_max,"BACKLOG","MES CORRIENTE")))</f>
        <v/>
      </c>
      <c r="AG870" s="24">
        <f>IF($AE870="",FALSE,AND($AE870&gt;p_dias_backlog_min,$AE870&lt;=p_dias_backlog_max))</f>
        <v/>
      </c>
      <c r="AH870" s="4" t="n"/>
      <c r="AI870" s="24">
        <f>IF($AH870="","",IF((IFERROR(INDEX('ASIGNACIONES'!$J$4:$J$451,MATCH($O870&amp;"|"&amp;$S870&amp;"|"&amp;$AH870,'ASIGNACIONES'!$N$4:$N$451,0)),""))=0,"",IFERROR(INDEX('ASIGNACIONES'!$J$4:$J$451,MATCH($O870&amp;"|"&amp;$S870&amp;"|"&amp;$AH870,'ASIGNACIONES'!$N$4:$N$451,0)),"")))</f>
        <v/>
      </c>
      <c r="AJ870" s="42">
        <f>IF($AH870="","",SUMIFS('ORDENES'!$M$4:$M$1203,'ORDENES'!$AH$4:$AH$1203,$AH870,'ORDENES'!$O$4:$O$1203,$O870,'ORDENES'!$S$4:$S$1203,$S870))</f>
        <v/>
      </c>
      <c r="AK870" s="42">
        <f>IF($AJ870="","",p_factor_productividad*IFERROR(INDEX('ASIGNACIONES'!$M$4:$M$451,MATCH($O870&amp;"|"&amp;$S870&amp;"|"&amp;$AH870,'ASIGNACIONES'!$N$4:$N$451,0)),0)-$AJ870)</f>
        <v/>
      </c>
      <c r="AL870" s="32">
        <f>IF($A870="","",IFERROR(INDEX('2_IMPORTAR_EJECUCION'!$F$9:$F$1208,MATCH($AU870,'2_IMPORTAR_EJECUCION'!$J$9:$J$1208,0)),0))</f>
        <v/>
      </c>
      <c r="AM870" s="32">
        <f>IF($A870="","",MAX(0,IFERROR(INDEX('2_IMPORTAR_EJECUCION'!$H$9:$H$1208,MATCH($AU870,'2_IMPORTAR_EJECUCION'!$J$9:$J$1208,0)),0)-$AL870))</f>
        <v/>
      </c>
      <c r="AN870" s="32">
        <f>IF($A870="","",$AL870+$AM870)</f>
        <v/>
      </c>
      <c r="AO870" s="24">
        <f>IF($A870="","",IF(OR((IFERROR(INDEX('CAT_ACTIVIDADES'!$D$4:$D$26,MATCH($H870,'CAT_ACTIVIDADES'!$A$4:$A$26,0)),""))=0,(IFERROR(INDEX('CAT_ACTIVIDADES'!$D$4:$D$26,MATCH($H870,'CAT_ACTIVIDADES'!$A$4:$A$26,0)),""))=""),"SIN CLASIFICAR",IFERROR(INDEX('CAT_ACTIVIDADES'!$D$4:$D$26,MATCH($H870,'CAT_ACTIVIDADES'!$A$4:$A$26,0)),"")))</f>
        <v/>
      </c>
      <c r="AP870" s="4" t="n"/>
      <c r="AQ870" s="4" t="n"/>
      <c r="AR870" s="4" t="n"/>
      <c r="AS870" s="24">
        <f>IF($AR870="","",HYPERLINK(p_ruta_base_checklists&amp;$AR870,"abrir"))</f>
        <v/>
      </c>
      <c r="AT870" s="4" t="n"/>
      <c r="AU870" s="24">
        <f>IF($A870="","",$A870&amp;IF($B870="","0010",$B870))</f>
        <v/>
      </c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41" t="n"/>
      <c r="K871" s="5" t="n"/>
      <c r="L871" s="18" t="n"/>
      <c r="M871" s="24">
        <f>IF($A871="","",IFERROR(INDEX('AJUSTES'!$B$4:$B$303,MATCH($AU871,'AJUSTES'!$A$4:$A$303,0)),IF($K871="","",$K871)))</f>
        <v/>
      </c>
      <c r="N871" s="24">
        <f>IF($A871="","",IFERROR(INDEX('CAT_ESTADOS_ERP'!$B$4:$B$22,MATCH(IFERROR(INDEX('2_IMPORTAR_EJECUCION'!$C$9:$C$1208,MATCH($AU871,'2_IMPORTAR_EJECUCION'!$J$9:$J$1208,0)),""),'CAT_ESTADOS_ERP'!$A$4:$A$22,0)),"Pendiente"))</f>
        <v/>
      </c>
      <c r="O871" s="24">
        <f>IF($J871="","",YEAR($J871+4-WEEKDAY($J871,2))&amp;"-S"&amp;TEXT(_xlfn.ISOWEEKNUM($J871),"00"))</f>
        <v/>
      </c>
      <c r="P871" s="24">
        <f>IF($J871="","",YEAR($J871))</f>
        <v/>
      </c>
      <c r="Q871" s="24">
        <f>IF($J871="","",MONTH($J871))</f>
        <v/>
      </c>
      <c r="R871" s="24">
        <f>IF($J871="","",$P871&amp;"-"&amp;TEXT($Q871,"00"))</f>
        <v/>
      </c>
      <c r="S871" s="24">
        <f>IF($J871="","",INDEX(lista_dias,WEEKDAY($J871,2)))</f>
        <v/>
      </c>
      <c r="T871" s="24">
        <f>IF($J871="","",IFERROR(INDEX('CALENDARIO'!$C$15:$C$214,MATCH(TEXT($J871,"yyyy-mm-dd")&amp;"|"&amp;$Y871&amp;"|"&amp;$Z871,'CALENDARIO'!$G$15:$G$214,0)),IFERROR(INDEX('CALENDARIO'!$C$15:$C$214,MATCH(TEXT($J871,"yyyy-mm-dd")&amp;"|"&amp;$Y871&amp;"|",'CALENDARIO'!$G$15:$G$214,0)),IFERROR(INDEX('CALENDARIO'!$C$15:$C$214,MATCH(TEXT($J871,"yyyy-mm-dd")&amp;"||",'CALENDARIO'!$G$15:$G$214,0)),INDEX(patronHabil,WEEKDAY($J871,2))))))</f>
        <v/>
      </c>
      <c r="U871" s="24">
        <f>IF($I871="","",IFERROR(INDEX('CAT_TIPOS_OT'!$C$4:$C$23,MATCH($I871,'CAT_TIPOS_OT'!$A$4:$A$23,0)),"sin_clasificar"))</f>
        <v/>
      </c>
      <c r="V871" s="24">
        <f>IF($I871="","",IF(IFERROR(INDEX('CAT_TIPOS_OT'!$D$4:$D$23,MATCH($I871,'CAT_TIPOS_OT'!$A$4:$A$23,0)),"SIN CLASIFICAR")="","SIN CLASIFICAR",IFERROR(INDEX('CAT_TIPOS_OT'!$D$4:$D$23,MATCH($I871,'CAT_TIPOS_OT'!$A$4:$A$23,0)),"SIN CLASIFICAR")))</f>
        <v/>
      </c>
      <c r="W871" s="24">
        <f>IF($H871="","",IF(IFERROR(INDEX('CAT_ACTIVIDADES'!$F$4:$F$26,MATCH($H871,'CAT_ACTIVIDADES'!$A$4:$A$26,0)),"")=0,"",IFERROR(INDEX('CAT_ACTIVIDADES'!$F$4:$F$26,MATCH($H871,'CAT_ACTIVIDADES'!$A$4:$A$26,0)),"")))</f>
        <v/>
      </c>
      <c r="X871" s="24">
        <f>IF($F871="","",IFERROR(INDEX('CAT_CENTROS_COSTO'!$F$4:$F$28,MATCH($F871,'CAT_CENTROS_COSTO'!$A$4:$A$28,0)),"(sin catálogo)"))</f>
        <v/>
      </c>
      <c r="Y871" s="24">
        <f>IF($F871="","",IFERROR(INDEX('CAT_CENTROS_COSTO'!$D$4:$D$28,MATCH($F871,'CAT_CENTROS_COSTO'!$A$4:$A$28,0)),"(sin catálogo)"))</f>
        <v/>
      </c>
      <c r="Z871" s="24">
        <f>IF($F871="","",IF((IFERROR(INDEX('CAT_CENTROS_COSTO'!$E$4:$E$28,MATCH($F871,'CAT_CENTROS_COSTO'!$A$4:$A$28,0)),""))&lt;&gt;"",IFERROR(INDEX('CAT_CENTROS_COSTO'!$E$4:$E$28,MATCH($F871,'CAT_CENTROS_COSTO'!$A$4:$A$28,0)),""),$Y871))</f>
        <v/>
      </c>
      <c r="AA871" s="24">
        <f>IF($F871="","",IFERROR(INDEX('CAT_CENTROS_COSTO'!$G$4:$G$28,MATCH($F871,'CAT_CENTROS_COSTO'!$A$4:$A$28,0)),"(sin catálogo)"))</f>
        <v/>
      </c>
      <c r="AB871" s="24">
        <f>IF($G871="","",IFERROR(INDEX('CAT_PUESTOS'!$B$4:$B$23,MATCH($G871,'CAT_PUESTOS'!$A$4:$A$23,0)),"(sin catálogo)"))</f>
        <v/>
      </c>
      <c r="AC871" s="24">
        <f>IF($H871="","",IFERROR(INDEX('CAT_ACTIVIDADES'!$B$4:$B$26,MATCH($H871,'CAT_ACTIVIDADES'!$A$4:$A$26,0)),"(sin catálogo)"))</f>
        <v/>
      </c>
      <c r="AD871" s="26">
        <f>IF($J871="","",TODAY()-$J871)</f>
        <v/>
      </c>
      <c r="AE871" s="26">
        <f>IF($J871="","",IF($J871&lt;=TODAY(),COUNTIFS(cal_fechas,"&gt;="&amp;$J871,cal_fechas,"&lt;"&amp;TODAY(),cal_habil,"sí"),-COUNTIFS(cal_fechas,"&gt;="&amp;TODAY(),cal_fechas,"&lt;"&amp;$J871,cal_habil,"sí")))</f>
        <v/>
      </c>
      <c r="AF871" s="24">
        <f>IF($AE871="","",IF($AE871&lt;0,"FUTURO",IF($AE871&gt;p_dias_backlog_max,"BACKLOG","MES CORRIENTE")))</f>
        <v/>
      </c>
      <c r="AG871" s="24">
        <f>IF($AE871="",FALSE,AND($AE871&gt;p_dias_backlog_min,$AE871&lt;=p_dias_backlog_max))</f>
        <v/>
      </c>
      <c r="AH871" s="4" t="n"/>
      <c r="AI871" s="24">
        <f>IF($AH871="","",IF((IFERROR(INDEX('ASIGNACIONES'!$J$4:$J$451,MATCH($O871&amp;"|"&amp;$S871&amp;"|"&amp;$AH871,'ASIGNACIONES'!$N$4:$N$451,0)),""))=0,"",IFERROR(INDEX('ASIGNACIONES'!$J$4:$J$451,MATCH($O871&amp;"|"&amp;$S871&amp;"|"&amp;$AH871,'ASIGNACIONES'!$N$4:$N$451,0)),"")))</f>
        <v/>
      </c>
      <c r="AJ871" s="42">
        <f>IF($AH871="","",SUMIFS('ORDENES'!$M$4:$M$1203,'ORDENES'!$AH$4:$AH$1203,$AH871,'ORDENES'!$O$4:$O$1203,$O871,'ORDENES'!$S$4:$S$1203,$S871))</f>
        <v/>
      </c>
      <c r="AK871" s="42">
        <f>IF($AJ871="","",p_factor_productividad*IFERROR(INDEX('ASIGNACIONES'!$M$4:$M$451,MATCH($O871&amp;"|"&amp;$S871&amp;"|"&amp;$AH871,'ASIGNACIONES'!$N$4:$N$451,0)),0)-$AJ871)</f>
        <v/>
      </c>
      <c r="AL871" s="32">
        <f>IF($A871="","",IFERROR(INDEX('2_IMPORTAR_EJECUCION'!$F$9:$F$1208,MATCH($AU871,'2_IMPORTAR_EJECUCION'!$J$9:$J$1208,0)),0))</f>
        <v/>
      </c>
      <c r="AM871" s="32">
        <f>IF($A871="","",MAX(0,IFERROR(INDEX('2_IMPORTAR_EJECUCION'!$H$9:$H$1208,MATCH($AU871,'2_IMPORTAR_EJECUCION'!$J$9:$J$1208,0)),0)-$AL871))</f>
        <v/>
      </c>
      <c r="AN871" s="32">
        <f>IF($A871="","",$AL871+$AM871)</f>
        <v/>
      </c>
      <c r="AO871" s="24">
        <f>IF($A871="","",IF(OR((IFERROR(INDEX('CAT_ACTIVIDADES'!$D$4:$D$26,MATCH($H871,'CAT_ACTIVIDADES'!$A$4:$A$26,0)),""))=0,(IFERROR(INDEX('CAT_ACTIVIDADES'!$D$4:$D$26,MATCH($H871,'CAT_ACTIVIDADES'!$A$4:$A$26,0)),""))=""),"SIN CLASIFICAR",IFERROR(INDEX('CAT_ACTIVIDADES'!$D$4:$D$26,MATCH($H871,'CAT_ACTIVIDADES'!$A$4:$A$26,0)),"")))</f>
        <v/>
      </c>
      <c r="AP871" s="4" t="n"/>
      <c r="AQ871" s="4" t="n"/>
      <c r="AR871" s="4" t="n"/>
      <c r="AS871" s="24">
        <f>IF($AR871="","",HYPERLINK(p_ruta_base_checklists&amp;$AR871,"abrir"))</f>
        <v/>
      </c>
      <c r="AT871" s="4" t="n"/>
      <c r="AU871" s="24">
        <f>IF($A871="","",$A871&amp;IF($B871="","0010",$B871))</f>
        <v/>
      </c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41" t="n"/>
      <c r="K872" s="5" t="n"/>
      <c r="L872" s="18" t="n"/>
      <c r="M872" s="24">
        <f>IF($A872="","",IFERROR(INDEX('AJUSTES'!$B$4:$B$303,MATCH($AU872,'AJUSTES'!$A$4:$A$303,0)),IF($K872="","",$K872)))</f>
        <v/>
      </c>
      <c r="N872" s="24">
        <f>IF($A872="","",IFERROR(INDEX('CAT_ESTADOS_ERP'!$B$4:$B$22,MATCH(IFERROR(INDEX('2_IMPORTAR_EJECUCION'!$C$9:$C$1208,MATCH($AU872,'2_IMPORTAR_EJECUCION'!$J$9:$J$1208,0)),""),'CAT_ESTADOS_ERP'!$A$4:$A$22,0)),"Pendiente"))</f>
        <v/>
      </c>
      <c r="O872" s="24">
        <f>IF($J872="","",YEAR($J872+4-WEEKDAY($J872,2))&amp;"-S"&amp;TEXT(_xlfn.ISOWEEKNUM($J872),"00"))</f>
        <v/>
      </c>
      <c r="P872" s="24">
        <f>IF($J872="","",YEAR($J872))</f>
        <v/>
      </c>
      <c r="Q872" s="24">
        <f>IF($J872="","",MONTH($J872))</f>
        <v/>
      </c>
      <c r="R872" s="24">
        <f>IF($J872="","",$P872&amp;"-"&amp;TEXT($Q872,"00"))</f>
        <v/>
      </c>
      <c r="S872" s="24">
        <f>IF($J872="","",INDEX(lista_dias,WEEKDAY($J872,2)))</f>
        <v/>
      </c>
      <c r="T872" s="24">
        <f>IF($J872="","",IFERROR(INDEX('CALENDARIO'!$C$15:$C$214,MATCH(TEXT($J872,"yyyy-mm-dd")&amp;"|"&amp;$Y872&amp;"|"&amp;$Z872,'CALENDARIO'!$G$15:$G$214,0)),IFERROR(INDEX('CALENDARIO'!$C$15:$C$214,MATCH(TEXT($J872,"yyyy-mm-dd")&amp;"|"&amp;$Y872&amp;"|",'CALENDARIO'!$G$15:$G$214,0)),IFERROR(INDEX('CALENDARIO'!$C$15:$C$214,MATCH(TEXT($J872,"yyyy-mm-dd")&amp;"||",'CALENDARIO'!$G$15:$G$214,0)),INDEX(patronHabil,WEEKDAY($J872,2))))))</f>
        <v/>
      </c>
      <c r="U872" s="24">
        <f>IF($I872="","",IFERROR(INDEX('CAT_TIPOS_OT'!$C$4:$C$23,MATCH($I872,'CAT_TIPOS_OT'!$A$4:$A$23,0)),"sin_clasificar"))</f>
        <v/>
      </c>
      <c r="V872" s="24">
        <f>IF($I872="","",IF(IFERROR(INDEX('CAT_TIPOS_OT'!$D$4:$D$23,MATCH($I872,'CAT_TIPOS_OT'!$A$4:$A$23,0)),"SIN CLASIFICAR")="","SIN CLASIFICAR",IFERROR(INDEX('CAT_TIPOS_OT'!$D$4:$D$23,MATCH($I872,'CAT_TIPOS_OT'!$A$4:$A$23,0)),"SIN CLASIFICAR")))</f>
        <v/>
      </c>
      <c r="W872" s="24">
        <f>IF($H872="","",IF(IFERROR(INDEX('CAT_ACTIVIDADES'!$F$4:$F$26,MATCH($H872,'CAT_ACTIVIDADES'!$A$4:$A$26,0)),"")=0,"",IFERROR(INDEX('CAT_ACTIVIDADES'!$F$4:$F$26,MATCH($H872,'CAT_ACTIVIDADES'!$A$4:$A$26,0)),"")))</f>
        <v/>
      </c>
      <c r="X872" s="24">
        <f>IF($F872="","",IFERROR(INDEX('CAT_CENTROS_COSTO'!$F$4:$F$28,MATCH($F872,'CAT_CENTROS_COSTO'!$A$4:$A$28,0)),"(sin catálogo)"))</f>
        <v/>
      </c>
      <c r="Y872" s="24">
        <f>IF($F872="","",IFERROR(INDEX('CAT_CENTROS_COSTO'!$D$4:$D$28,MATCH($F872,'CAT_CENTROS_COSTO'!$A$4:$A$28,0)),"(sin catálogo)"))</f>
        <v/>
      </c>
      <c r="Z872" s="24">
        <f>IF($F872="","",IF((IFERROR(INDEX('CAT_CENTROS_COSTO'!$E$4:$E$28,MATCH($F872,'CAT_CENTROS_COSTO'!$A$4:$A$28,0)),""))&lt;&gt;"",IFERROR(INDEX('CAT_CENTROS_COSTO'!$E$4:$E$28,MATCH($F872,'CAT_CENTROS_COSTO'!$A$4:$A$28,0)),""),$Y872))</f>
        <v/>
      </c>
      <c r="AA872" s="24">
        <f>IF($F872="","",IFERROR(INDEX('CAT_CENTROS_COSTO'!$G$4:$G$28,MATCH($F872,'CAT_CENTROS_COSTO'!$A$4:$A$28,0)),"(sin catálogo)"))</f>
        <v/>
      </c>
      <c r="AB872" s="24">
        <f>IF($G872="","",IFERROR(INDEX('CAT_PUESTOS'!$B$4:$B$23,MATCH($G872,'CAT_PUESTOS'!$A$4:$A$23,0)),"(sin catálogo)"))</f>
        <v/>
      </c>
      <c r="AC872" s="24">
        <f>IF($H872="","",IFERROR(INDEX('CAT_ACTIVIDADES'!$B$4:$B$26,MATCH($H872,'CAT_ACTIVIDADES'!$A$4:$A$26,0)),"(sin catálogo)"))</f>
        <v/>
      </c>
      <c r="AD872" s="26">
        <f>IF($J872="","",TODAY()-$J872)</f>
        <v/>
      </c>
      <c r="AE872" s="26">
        <f>IF($J872="","",IF($J872&lt;=TODAY(),COUNTIFS(cal_fechas,"&gt;="&amp;$J872,cal_fechas,"&lt;"&amp;TODAY(),cal_habil,"sí"),-COUNTIFS(cal_fechas,"&gt;="&amp;TODAY(),cal_fechas,"&lt;"&amp;$J872,cal_habil,"sí")))</f>
        <v/>
      </c>
      <c r="AF872" s="24">
        <f>IF($AE872="","",IF($AE872&lt;0,"FUTURO",IF($AE872&gt;p_dias_backlog_max,"BACKLOG","MES CORRIENTE")))</f>
        <v/>
      </c>
      <c r="AG872" s="24">
        <f>IF($AE872="",FALSE,AND($AE872&gt;p_dias_backlog_min,$AE872&lt;=p_dias_backlog_max))</f>
        <v/>
      </c>
      <c r="AH872" s="4" t="n"/>
      <c r="AI872" s="24">
        <f>IF($AH872="","",IF((IFERROR(INDEX('ASIGNACIONES'!$J$4:$J$451,MATCH($O872&amp;"|"&amp;$S872&amp;"|"&amp;$AH872,'ASIGNACIONES'!$N$4:$N$451,0)),""))=0,"",IFERROR(INDEX('ASIGNACIONES'!$J$4:$J$451,MATCH($O872&amp;"|"&amp;$S872&amp;"|"&amp;$AH872,'ASIGNACIONES'!$N$4:$N$451,0)),"")))</f>
        <v/>
      </c>
      <c r="AJ872" s="42">
        <f>IF($AH872="","",SUMIFS('ORDENES'!$M$4:$M$1203,'ORDENES'!$AH$4:$AH$1203,$AH872,'ORDENES'!$O$4:$O$1203,$O872,'ORDENES'!$S$4:$S$1203,$S872))</f>
        <v/>
      </c>
      <c r="AK872" s="42">
        <f>IF($AJ872="","",p_factor_productividad*IFERROR(INDEX('ASIGNACIONES'!$M$4:$M$451,MATCH($O872&amp;"|"&amp;$S872&amp;"|"&amp;$AH872,'ASIGNACIONES'!$N$4:$N$451,0)),0)-$AJ872)</f>
        <v/>
      </c>
      <c r="AL872" s="32">
        <f>IF($A872="","",IFERROR(INDEX('2_IMPORTAR_EJECUCION'!$F$9:$F$1208,MATCH($AU872,'2_IMPORTAR_EJECUCION'!$J$9:$J$1208,0)),0))</f>
        <v/>
      </c>
      <c r="AM872" s="32">
        <f>IF($A872="","",MAX(0,IFERROR(INDEX('2_IMPORTAR_EJECUCION'!$H$9:$H$1208,MATCH($AU872,'2_IMPORTAR_EJECUCION'!$J$9:$J$1208,0)),0)-$AL872))</f>
        <v/>
      </c>
      <c r="AN872" s="32">
        <f>IF($A872="","",$AL872+$AM872)</f>
        <v/>
      </c>
      <c r="AO872" s="24">
        <f>IF($A872="","",IF(OR((IFERROR(INDEX('CAT_ACTIVIDADES'!$D$4:$D$26,MATCH($H872,'CAT_ACTIVIDADES'!$A$4:$A$26,0)),""))=0,(IFERROR(INDEX('CAT_ACTIVIDADES'!$D$4:$D$26,MATCH($H872,'CAT_ACTIVIDADES'!$A$4:$A$26,0)),""))=""),"SIN CLASIFICAR",IFERROR(INDEX('CAT_ACTIVIDADES'!$D$4:$D$26,MATCH($H872,'CAT_ACTIVIDADES'!$A$4:$A$26,0)),"")))</f>
        <v/>
      </c>
      <c r="AP872" s="4" t="n"/>
      <c r="AQ872" s="4" t="n"/>
      <c r="AR872" s="4" t="n"/>
      <c r="AS872" s="24">
        <f>IF($AR872="","",HYPERLINK(p_ruta_base_checklists&amp;$AR872,"abrir"))</f>
        <v/>
      </c>
      <c r="AT872" s="4" t="n"/>
      <c r="AU872" s="24">
        <f>IF($A872="","",$A872&amp;IF($B872="","0010",$B872))</f>
        <v/>
      </c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41" t="n"/>
      <c r="K873" s="5" t="n"/>
      <c r="L873" s="18" t="n"/>
      <c r="M873" s="24">
        <f>IF($A873="","",IFERROR(INDEX('AJUSTES'!$B$4:$B$303,MATCH($AU873,'AJUSTES'!$A$4:$A$303,0)),IF($K873="","",$K873)))</f>
        <v/>
      </c>
      <c r="N873" s="24">
        <f>IF($A873="","",IFERROR(INDEX('CAT_ESTADOS_ERP'!$B$4:$B$22,MATCH(IFERROR(INDEX('2_IMPORTAR_EJECUCION'!$C$9:$C$1208,MATCH($AU873,'2_IMPORTAR_EJECUCION'!$J$9:$J$1208,0)),""),'CAT_ESTADOS_ERP'!$A$4:$A$22,0)),"Pendiente"))</f>
        <v/>
      </c>
      <c r="O873" s="24">
        <f>IF($J873="","",YEAR($J873+4-WEEKDAY($J873,2))&amp;"-S"&amp;TEXT(_xlfn.ISOWEEKNUM($J873),"00"))</f>
        <v/>
      </c>
      <c r="P873" s="24">
        <f>IF($J873="","",YEAR($J873))</f>
        <v/>
      </c>
      <c r="Q873" s="24">
        <f>IF($J873="","",MONTH($J873))</f>
        <v/>
      </c>
      <c r="R873" s="24">
        <f>IF($J873="","",$P873&amp;"-"&amp;TEXT($Q873,"00"))</f>
        <v/>
      </c>
      <c r="S873" s="24">
        <f>IF($J873="","",INDEX(lista_dias,WEEKDAY($J873,2)))</f>
        <v/>
      </c>
      <c r="T873" s="24">
        <f>IF($J873="","",IFERROR(INDEX('CALENDARIO'!$C$15:$C$214,MATCH(TEXT($J873,"yyyy-mm-dd")&amp;"|"&amp;$Y873&amp;"|"&amp;$Z873,'CALENDARIO'!$G$15:$G$214,0)),IFERROR(INDEX('CALENDARIO'!$C$15:$C$214,MATCH(TEXT($J873,"yyyy-mm-dd")&amp;"|"&amp;$Y873&amp;"|",'CALENDARIO'!$G$15:$G$214,0)),IFERROR(INDEX('CALENDARIO'!$C$15:$C$214,MATCH(TEXT($J873,"yyyy-mm-dd")&amp;"||",'CALENDARIO'!$G$15:$G$214,0)),INDEX(patronHabil,WEEKDAY($J873,2))))))</f>
        <v/>
      </c>
      <c r="U873" s="24">
        <f>IF($I873="","",IFERROR(INDEX('CAT_TIPOS_OT'!$C$4:$C$23,MATCH($I873,'CAT_TIPOS_OT'!$A$4:$A$23,0)),"sin_clasificar"))</f>
        <v/>
      </c>
      <c r="V873" s="24">
        <f>IF($I873="","",IF(IFERROR(INDEX('CAT_TIPOS_OT'!$D$4:$D$23,MATCH($I873,'CAT_TIPOS_OT'!$A$4:$A$23,0)),"SIN CLASIFICAR")="","SIN CLASIFICAR",IFERROR(INDEX('CAT_TIPOS_OT'!$D$4:$D$23,MATCH($I873,'CAT_TIPOS_OT'!$A$4:$A$23,0)),"SIN CLASIFICAR")))</f>
        <v/>
      </c>
      <c r="W873" s="24">
        <f>IF($H873="","",IF(IFERROR(INDEX('CAT_ACTIVIDADES'!$F$4:$F$26,MATCH($H873,'CAT_ACTIVIDADES'!$A$4:$A$26,0)),"")=0,"",IFERROR(INDEX('CAT_ACTIVIDADES'!$F$4:$F$26,MATCH($H873,'CAT_ACTIVIDADES'!$A$4:$A$26,0)),"")))</f>
        <v/>
      </c>
      <c r="X873" s="24">
        <f>IF($F873="","",IFERROR(INDEX('CAT_CENTROS_COSTO'!$F$4:$F$28,MATCH($F873,'CAT_CENTROS_COSTO'!$A$4:$A$28,0)),"(sin catálogo)"))</f>
        <v/>
      </c>
      <c r="Y873" s="24">
        <f>IF($F873="","",IFERROR(INDEX('CAT_CENTROS_COSTO'!$D$4:$D$28,MATCH($F873,'CAT_CENTROS_COSTO'!$A$4:$A$28,0)),"(sin catálogo)"))</f>
        <v/>
      </c>
      <c r="Z873" s="24">
        <f>IF($F873="","",IF((IFERROR(INDEX('CAT_CENTROS_COSTO'!$E$4:$E$28,MATCH($F873,'CAT_CENTROS_COSTO'!$A$4:$A$28,0)),""))&lt;&gt;"",IFERROR(INDEX('CAT_CENTROS_COSTO'!$E$4:$E$28,MATCH($F873,'CAT_CENTROS_COSTO'!$A$4:$A$28,0)),""),$Y873))</f>
        <v/>
      </c>
      <c r="AA873" s="24">
        <f>IF($F873="","",IFERROR(INDEX('CAT_CENTROS_COSTO'!$G$4:$G$28,MATCH($F873,'CAT_CENTROS_COSTO'!$A$4:$A$28,0)),"(sin catálogo)"))</f>
        <v/>
      </c>
      <c r="AB873" s="24">
        <f>IF($G873="","",IFERROR(INDEX('CAT_PUESTOS'!$B$4:$B$23,MATCH($G873,'CAT_PUESTOS'!$A$4:$A$23,0)),"(sin catálogo)"))</f>
        <v/>
      </c>
      <c r="AC873" s="24">
        <f>IF($H873="","",IFERROR(INDEX('CAT_ACTIVIDADES'!$B$4:$B$26,MATCH($H873,'CAT_ACTIVIDADES'!$A$4:$A$26,0)),"(sin catálogo)"))</f>
        <v/>
      </c>
      <c r="AD873" s="26">
        <f>IF($J873="","",TODAY()-$J873)</f>
        <v/>
      </c>
      <c r="AE873" s="26">
        <f>IF($J873="","",IF($J873&lt;=TODAY(),COUNTIFS(cal_fechas,"&gt;="&amp;$J873,cal_fechas,"&lt;"&amp;TODAY(),cal_habil,"sí"),-COUNTIFS(cal_fechas,"&gt;="&amp;TODAY(),cal_fechas,"&lt;"&amp;$J873,cal_habil,"sí")))</f>
        <v/>
      </c>
      <c r="AF873" s="24">
        <f>IF($AE873="","",IF($AE873&lt;0,"FUTURO",IF($AE873&gt;p_dias_backlog_max,"BACKLOG","MES CORRIENTE")))</f>
        <v/>
      </c>
      <c r="AG873" s="24">
        <f>IF($AE873="",FALSE,AND($AE873&gt;p_dias_backlog_min,$AE873&lt;=p_dias_backlog_max))</f>
        <v/>
      </c>
      <c r="AH873" s="4" t="n"/>
      <c r="AI873" s="24">
        <f>IF($AH873="","",IF((IFERROR(INDEX('ASIGNACIONES'!$J$4:$J$451,MATCH($O873&amp;"|"&amp;$S873&amp;"|"&amp;$AH873,'ASIGNACIONES'!$N$4:$N$451,0)),""))=0,"",IFERROR(INDEX('ASIGNACIONES'!$J$4:$J$451,MATCH($O873&amp;"|"&amp;$S873&amp;"|"&amp;$AH873,'ASIGNACIONES'!$N$4:$N$451,0)),"")))</f>
        <v/>
      </c>
      <c r="AJ873" s="42">
        <f>IF($AH873="","",SUMIFS('ORDENES'!$M$4:$M$1203,'ORDENES'!$AH$4:$AH$1203,$AH873,'ORDENES'!$O$4:$O$1203,$O873,'ORDENES'!$S$4:$S$1203,$S873))</f>
        <v/>
      </c>
      <c r="AK873" s="42">
        <f>IF($AJ873="","",p_factor_productividad*IFERROR(INDEX('ASIGNACIONES'!$M$4:$M$451,MATCH($O873&amp;"|"&amp;$S873&amp;"|"&amp;$AH873,'ASIGNACIONES'!$N$4:$N$451,0)),0)-$AJ873)</f>
        <v/>
      </c>
      <c r="AL873" s="32">
        <f>IF($A873="","",IFERROR(INDEX('2_IMPORTAR_EJECUCION'!$F$9:$F$1208,MATCH($AU873,'2_IMPORTAR_EJECUCION'!$J$9:$J$1208,0)),0))</f>
        <v/>
      </c>
      <c r="AM873" s="32">
        <f>IF($A873="","",MAX(0,IFERROR(INDEX('2_IMPORTAR_EJECUCION'!$H$9:$H$1208,MATCH($AU873,'2_IMPORTAR_EJECUCION'!$J$9:$J$1208,0)),0)-$AL873))</f>
        <v/>
      </c>
      <c r="AN873" s="32">
        <f>IF($A873="","",$AL873+$AM873)</f>
        <v/>
      </c>
      <c r="AO873" s="24">
        <f>IF($A873="","",IF(OR((IFERROR(INDEX('CAT_ACTIVIDADES'!$D$4:$D$26,MATCH($H873,'CAT_ACTIVIDADES'!$A$4:$A$26,0)),""))=0,(IFERROR(INDEX('CAT_ACTIVIDADES'!$D$4:$D$26,MATCH($H873,'CAT_ACTIVIDADES'!$A$4:$A$26,0)),""))=""),"SIN CLASIFICAR",IFERROR(INDEX('CAT_ACTIVIDADES'!$D$4:$D$26,MATCH($H873,'CAT_ACTIVIDADES'!$A$4:$A$26,0)),"")))</f>
        <v/>
      </c>
      <c r="AP873" s="4" t="n"/>
      <c r="AQ873" s="4" t="n"/>
      <c r="AR873" s="4" t="n"/>
      <c r="AS873" s="24">
        <f>IF($AR873="","",HYPERLINK(p_ruta_base_checklists&amp;$AR873,"abrir"))</f>
        <v/>
      </c>
      <c r="AT873" s="4" t="n"/>
      <c r="AU873" s="24">
        <f>IF($A873="","",$A873&amp;IF($B873="","0010",$B873))</f>
        <v/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41" t="n"/>
      <c r="K874" s="5" t="n"/>
      <c r="L874" s="18" t="n"/>
      <c r="M874" s="24">
        <f>IF($A874="","",IFERROR(INDEX('AJUSTES'!$B$4:$B$303,MATCH($AU874,'AJUSTES'!$A$4:$A$303,0)),IF($K874="","",$K874)))</f>
        <v/>
      </c>
      <c r="N874" s="24">
        <f>IF($A874="","",IFERROR(INDEX('CAT_ESTADOS_ERP'!$B$4:$B$22,MATCH(IFERROR(INDEX('2_IMPORTAR_EJECUCION'!$C$9:$C$1208,MATCH($AU874,'2_IMPORTAR_EJECUCION'!$J$9:$J$1208,0)),""),'CAT_ESTADOS_ERP'!$A$4:$A$22,0)),"Pendiente"))</f>
        <v/>
      </c>
      <c r="O874" s="24">
        <f>IF($J874="","",YEAR($J874+4-WEEKDAY($J874,2))&amp;"-S"&amp;TEXT(_xlfn.ISOWEEKNUM($J874),"00"))</f>
        <v/>
      </c>
      <c r="P874" s="24">
        <f>IF($J874="","",YEAR($J874))</f>
        <v/>
      </c>
      <c r="Q874" s="24">
        <f>IF($J874="","",MONTH($J874))</f>
        <v/>
      </c>
      <c r="R874" s="24">
        <f>IF($J874="","",$P874&amp;"-"&amp;TEXT($Q874,"00"))</f>
        <v/>
      </c>
      <c r="S874" s="24">
        <f>IF($J874="","",INDEX(lista_dias,WEEKDAY($J874,2)))</f>
        <v/>
      </c>
      <c r="T874" s="24">
        <f>IF($J874="","",IFERROR(INDEX('CALENDARIO'!$C$15:$C$214,MATCH(TEXT($J874,"yyyy-mm-dd")&amp;"|"&amp;$Y874&amp;"|"&amp;$Z874,'CALENDARIO'!$G$15:$G$214,0)),IFERROR(INDEX('CALENDARIO'!$C$15:$C$214,MATCH(TEXT($J874,"yyyy-mm-dd")&amp;"|"&amp;$Y874&amp;"|",'CALENDARIO'!$G$15:$G$214,0)),IFERROR(INDEX('CALENDARIO'!$C$15:$C$214,MATCH(TEXT($J874,"yyyy-mm-dd")&amp;"||",'CALENDARIO'!$G$15:$G$214,0)),INDEX(patronHabil,WEEKDAY($J874,2))))))</f>
        <v/>
      </c>
      <c r="U874" s="24">
        <f>IF($I874="","",IFERROR(INDEX('CAT_TIPOS_OT'!$C$4:$C$23,MATCH($I874,'CAT_TIPOS_OT'!$A$4:$A$23,0)),"sin_clasificar"))</f>
        <v/>
      </c>
      <c r="V874" s="24">
        <f>IF($I874="","",IF(IFERROR(INDEX('CAT_TIPOS_OT'!$D$4:$D$23,MATCH($I874,'CAT_TIPOS_OT'!$A$4:$A$23,0)),"SIN CLASIFICAR")="","SIN CLASIFICAR",IFERROR(INDEX('CAT_TIPOS_OT'!$D$4:$D$23,MATCH($I874,'CAT_TIPOS_OT'!$A$4:$A$23,0)),"SIN CLASIFICAR")))</f>
        <v/>
      </c>
      <c r="W874" s="24">
        <f>IF($H874="","",IF(IFERROR(INDEX('CAT_ACTIVIDADES'!$F$4:$F$26,MATCH($H874,'CAT_ACTIVIDADES'!$A$4:$A$26,0)),"")=0,"",IFERROR(INDEX('CAT_ACTIVIDADES'!$F$4:$F$26,MATCH($H874,'CAT_ACTIVIDADES'!$A$4:$A$26,0)),"")))</f>
        <v/>
      </c>
      <c r="X874" s="24">
        <f>IF($F874="","",IFERROR(INDEX('CAT_CENTROS_COSTO'!$F$4:$F$28,MATCH($F874,'CAT_CENTROS_COSTO'!$A$4:$A$28,0)),"(sin catálogo)"))</f>
        <v/>
      </c>
      <c r="Y874" s="24">
        <f>IF($F874="","",IFERROR(INDEX('CAT_CENTROS_COSTO'!$D$4:$D$28,MATCH($F874,'CAT_CENTROS_COSTO'!$A$4:$A$28,0)),"(sin catálogo)"))</f>
        <v/>
      </c>
      <c r="Z874" s="24">
        <f>IF($F874="","",IF((IFERROR(INDEX('CAT_CENTROS_COSTO'!$E$4:$E$28,MATCH($F874,'CAT_CENTROS_COSTO'!$A$4:$A$28,0)),""))&lt;&gt;"",IFERROR(INDEX('CAT_CENTROS_COSTO'!$E$4:$E$28,MATCH($F874,'CAT_CENTROS_COSTO'!$A$4:$A$28,0)),""),$Y874))</f>
        <v/>
      </c>
      <c r="AA874" s="24">
        <f>IF($F874="","",IFERROR(INDEX('CAT_CENTROS_COSTO'!$G$4:$G$28,MATCH($F874,'CAT_CENTROS_COSTO'!$A$4:$A$28,0)),"(sin catálogo)"))</f>
        <v/>
      </c>
      <c r="AB874" s="24">
        <f>IF($G874="","",IFERROR(INDEX('CAT_PUESTOS'!$B$4:$B$23,MATCH($G874,'CAT_PUESTOS'!$A$4:$A$23,0)),"(sin catálogo)"))</f>
        <v/>
      </c>
      <c r="AC874" s="24">
        <f>IF($H874="","",IFERROR(INDEX('CAT_ACTIVIDADES'!$B$4:$B$26,MATCH($H874,'CAT_ACTIVIDADES'!$A$4:$A$26,0)),"(sin catálogo)"))</f>
        <v/>
      </c>
      <c r="AD874" s="26">
        <f>IF($J874="","",TODAY()-$J874)</f>
        <v/>
      </c>
      <c r="AE874" s="26">
        <f>IF($J874="","",IF($J874&lt;=TODAY(),COUNTIFS(cal_fechas,"&gt;="&amp;$J874,cal_fechas,"&lt;"&amp;TODAY(),cal_habil,"sí"),-COUNTIFS(cal_fechas,"&gt;="&amp;TODAY(),cal_fechas,"&lt;"&amp;$J874,cal_habil,"sí")))</f>
        <v/>
      </c>
      <c r="AF874" s="24">
        <f>IF($AE874="","",IF($AE874&lt;0,"FUTURO",IF($AE874&gt;p_dias_backlog_max,"BACKLOG","MES CORRIENTE")))</f>
        <v/>
      </c>
      <c r="AG874" s="24">
        <f>IF($AE874="",FALSE,AND($AE874&gt;p_dias_backlog_min,$AE874&lt;=p_dias_backlog_max))</f>
        <v/>
      </c>
      <c r="AH874" s="4" t="n"/>
      <c r="AI874" s="24">
        <f>IF($AH874="","",IF((IFERROR(INDEX('ASIGNACIONES'!$J$4:$J$451,MATCH($O874&amp;"|"&amp;$S874&amp;"|"&amp;$AH874,'ASIGNACIONES'!$N$4:$N$451,0)),""))=0,"",IFERROR(INDEX('ASIGNACIONES'!$J$4:$J$451,MATCH($O874&amp;"|"&amp;$S874&amp;"|"&amp;$AH874,'ASIGNACIONES'!$N$4:$N$451,0)),"")))</f>
        <v/>
      </c>
      <c r="AJ874" s="42">
        <f>IF($AH874="","",SUMIFS('ORDENES'!$M$4:$M$1203,'ORDENES'!$AH$4:$AH$1203,$AH874,'ORDENES'!$O$4:$O$1203,$O874,'ORDENES'!$S$4:$S$1203,$S874))</f>
        <v/>
      </c>
      <c r="AK874" s="42">
        <f>IF($AJ874="","",p_factor_productividad*IFERROR(INDEX('ASIGNACIONES'!$M$4:$M$451,MATCH($O874&amp;"|"&amp;$S874&amp;"|"&amp;$AH874,'ASIGNACIONES'!$N$4:$N$451,0)),0)-$AJ874)</f>
        <v/>
      </c>
      <c r="AL874" s="32">
        <f>IF($A874="","",IFERROR(INDEX('2_IMPORTAR_EJECUCION'!$F$9:$F$1208,MATCH($AU874,'2_IMPORTAR_EJECUCION'!$J$9:$J$1208,0)),0))</f>
        <v/>
      </c>
      <c r="AM874" s="32">
        <f>IF($A874="","",MAX(0,IFERROR(INDEX('2_IMPORTAR_EJECUCION'!$H$9:$H$1208,MATCH($AU874,'2_IMPORTAR_EJECUCION'!$J$9:$J$1208,0)),0)-$AL874))</f>
        <v/>
      </c>
      <c r="AN874" s="32">
        <f>IF($A874="","",$AL874+$AM874)</f>
        <v/>
      </c>
      <c r="AO874" s="24">
        <f>IF($A874="","",IF(OR((IFERROR(INDEX('CAT_ACTIVIDADES'!$D$4:$D$26,MATCH($H874,'CAT_ACTIVIDADES'!$A$4:$A$26,0)),""))=0,(IFERROR(INDEX('CAT_ACTIVIDADES'!$D$4:$D$26,MATCH($H874,'CAT_ACTIVIDADES'!$A$4:$A$26,0)),""))=""),"SIN CLASIFICAR",IFERROR(INDEX('CAT_ACTIVIDADES'!$D$4:$D$26,MATCH($H874,'CAT_ACTIVIDADES'!$A$4:$A$26,0)),"")))</f>
        <v/>
      </c>
      <c r="AP874" s="4" t="n"/>
      <c r="AQ874" s="4" t="n"/>
      <c r="AR874" s="4" t="n"/>
      <c r="AS874" s="24">
        <f>IF($AR874="","",HYPERLINK(p_ruta_base_checklists&amp;$AR874,"abrir"))</f>
        <v/>
      </c>
      <c r="AT874" s="4" t="n"/>
      <c r="AU874" s="24">
        <f>IF($A874="","",$A874&amp;IF($B874="","0010",$B874))</f>
        <v/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41" t="n"/>
      <c r="K875" s="5" t="n"/>
      <c r="L875" s="18" t="n"/>
      <c r="M875" s="24">
        <f>IF($A875="","",IFERROR(INDEX('AJUSTES'!$B$4:$B$303,MATCH($AU875,'AJUSTES'!$A$4:$A$303,0)),IF($K875="","",$K875)))</f>
        <v/>
      </c>
      <c r="N875" s="24">
        <f>IF($A875="","",IFERROR(INDEX('CAT_ESTADOS_ERP'!$B$4:$B$22,MATCH(IFERROR(INDEX('2_IMPORTAR_EJECUCION'!$C$9:$C$1208,MATCH($AU875,'2_IMPORTAR_EJECUCION'!$J$9:$J$1208,0)),""),'CAT_ESTADOS_ERP'!$A$4:$A$22,0)),"Pendiente"))</f>
        <v/>
      </c>
      <c r="O875" s="24">
        <f>IF($J875="","",YEAR($J875+4-WEEKDAY($J875,2))&amp;"-S"&amp;TEXT(_xlfn.ISOWEEKNUM($J875),"00"))</f>
        <v/>
      </c>
      <c r="P875" s="24">
        <f>IF($J875="","",YEAR($J875))</f>
        <v/>
      </c>
      <c r="Q875" s="24">
        <f>IF($J875="","",MONTH($J875))</f>
        <v/>
      </c>
      <c r="R875" s="24">
        <f>IF($J875="","",$P875&amp;"-"&amp;TEXT($Q875,"00"))</f>
        <v/>
      </c>
      <c r="S875" s="24">
        <f>IF($J875="","",INDEX(lista_dias,WEEKDAY($J875,2)))</f>
        <v/>
      </c>
      <c r="T875" s="24">
        <f>IF($J875="","",IFERROR(INDEX('CALENDARIO'!$C$15:$C$214,MATCH(TEXT($J875,"yyyy-mm-dd")&amp;"|"&amp;$Y875&amp;"|"&amp;$Z875,'CALENDARIO'!$G$15:$G$214,0)),IFERROR(INDEX('CALENDARIO'!$C$15:$C$214,MATCH(TEXT($J875,"yyyy-mm-dd")&amp;"|"&amp;$Y875&amp;"|",'CALENDARIO'!$G$15:$G$214,0)),IFERROR(INDEX('CALENDARIO'!$C$15:$C$214,MATCH(TEXT($J875,"yyyy-mm-dd")&amp;"||",'CALENDARIO'!$G$15:$G$214,0)),INDEX(patronHabil,WEEKDAY($J875,2))))))</f>
        <v/>
      </c>
      <c r="U875" s="24">
        <f>IF($I875="","",IFERROR(INDEX('CAT_TIPOS_OT'!$C$4:$C$23,MATCH($I875,'CAT_TIPOS_OT'!$A$4:$A$23,0)),"sin_clasificar"))</f>
        <v/>
      </c>
      <c r="V875" s="24">
        <f>IF($I875="","",IF(IFERROR(INDEX('CAT_TIPOS_OT'!$D$4:$D$23,MATCH($I875,'CAT_TIPOS_OT'!$A$4:$A$23,0)),"SIN CLASIFICAR")="","SIN CLASIFICAR",IFERROR(INDEX('CAT_TIPOS_OT'!$D$4:$D$23,MATCH($I875,'CAT_TIPOS_OT'!$A$4:$A$23,0)),"SIN CLASIFICAR")))</f>
        <v/>
      </c>
      <c r="W875" s="24">
        <f>IF($H875="","",IF(IFERROR(INDEX('CAT_ACTIVIDADES'!$F$4:$F$26,MATCH($H875,'CAT_ACTIVIDADES'!$A$4:$A$26,0)),"")=0,"",IFERROR(INDEX('CAT_ACTIVIDADES'!$F$4:$F$26,MATCH($H875,'CAT_ACTIVIDADES'!$A$4:$A$26,0)),"")))</f>
        <v/>
      </c>
      <c r="X875" s="24">
        <f>IF($F875="","",IFERROR(INDEX('CAT_CENTROS_COSTO'!$F$4:$F$28,MATCH($F875,'CAT_CENTROS_COSTO'!$A$4:$A$28,0)),"(sin catálogo)"))</f>
        <v/>
      </c>
      <c r="Y875" s="24">
        <f>IF($F875="","",IFERROR(INDEX('CAT_CENTROS_COSTO'!$D$4:$D$28,MATCH($F875,'CAT_CENTROS_COSTO'!$A$4:$A$28,0)),"(sin catálogo)"))</f>
        <v/>
      </c>
      <c r="Z875" s="24">
        <f>IF($F875="","",IF((IFERROR(INDEX('CAT_CENTROS_COSTO'!$E$4:$E$28,MATCH($F875,'CAT_CENTROS_COSTO'!$A$4:$A$28,0)),""))&lt;&gt;"",IFERROR(INDEX('CAT_CENTROS_COSTO'!$E$4:$E$28,MATCH($F875,'CAT_CENTROS_COSTO'!$A$4:$A$28,0)),""),$Y875))</f>
        <v/>
      </c>
      <c r="AA875" s="24">
        <f>IF($F875="","",IFERROR(INDEX('CAT_CENTROS_COSTO'!$G$4:$G$28,MATCH($F875,'CAT_CENTROS_COSTO'!$A$4:$A$28,0)),"(sin catálogo)"))</f>
        <v/>
      </c>
      <c r="AB875" s="24">
        <f>IF($G875="","",IFERROR(INDEX('CAT_PUESTOS'!$B$4:$B$23,MATCH($G875,'CAT_PUESTOS'!$A$4:$A$23,0)),"(sin catálogo)"))</f>
        <v/>
      </c>
      <c r="AC875" s="24">
        <f>IF($H875="","",IFERROR(INDEX('CAT_ACTIVIDADES'!$B$4:$B$26,MATCH($H875,'CAT_ACTIVIDADES'!$A$4:$A$26,0)),"(sin catálogo)"))</f>
        <v/>
      </c>
      <c r="AD875" s="26">
        <f>IF($J875="","",TODAY()-$J875)</f>
        <v/>
      </c>
      <c r="AE875" s="26">
        <f>IF($J875="","",IF($J875&lt;=TODAY(),COUNTIFS(cal_fechas,"&gt;="&amp;$J875,cal_fechas,"&lt;"&amp;TODAY(),cal_habil,"sí"),-COUNTIFS(cal_fechas,"&gt;="&amp;TODAY(),cal_fechas,"&lt;"&amp;$J875,cal_habil,"sí")))</f>
        <v/>
      </c>
      <c r="AF875" s="24">
        <f>IF($AE875="","",IF($AE875&lt;0,"FUTURO",IF($AE875&gt;p_dias_backlog_max,"BACKLOG","MES CORRIENTE")))</f>
        <v/>
      </c>
      <c r="AG875" s="24">
        <f>IF($AE875="",FALSE,AND($AE875&gt;p_dias_backlog_min,$AE875&lt;=p_dias_backlog_max))</f>
        <v/>
      </c>
      <c r="AH875" s="4" t="n"/>
      <c r="AI875" s="24">
        <f>IF($AH875="","",IF((IFERROR(INDEX('ASIGNACIONES'!$J$4:$J$451,MATCH($O875&amp;"|"&amp;$S875&amp;"|"&amp;$AH875,'ASIGNACIONES'!$N$4:$N$451,0)),""))=0,"",IFERROR(INDEX('ASIGNACIONES'!$J$4:$J$451,MATCH($O875&amp;"|"&amp;$S875&amp;"|"&amp;$AH875,'ASIGNACIONES'!$N$4:$N$451,0)),"")))</f>
        <v/>
      </c>
      <c r="AJ875" s="42">
        <f>IF($AH875="","",SUMIFS('ORDENES'!$M$4:$M$1203,'ORDENES'!$AH$4:$AH$1203,$AH875,'ORDENES'!$O$4:$O$1203,$O875,'ORDENES'!$S$4:$S$1203,$S875))</f>
        <v/>
      </c>
      <c r="AK875" s="42">
        <f>IF($AJ875="","",p_factor_productividad*IFERROR(INDEX('ASIGNACIONES'!$M$4:$M$451,MATCH($O875&amp;"|"&amp;$S875&amp;"|"&amp;$AH875,'ASIGNACIONES'!$N$4:$N$451,0)),0)-$AJ875)</f>
        <v/>
      </c>
      <c r="AL875" s="32">
        <f>IF($A875="","",IFERROR(INDEX('2_IMPORTAR_EJECUCION'!$F$9:$F$1208,MATCH($AU875,'2_IMPORTAR_EJECUCION'!$J$9:$J$1208,0)),0))</f>
        <v/>
      </c>
      <c r="AM875" s="32">
        <f>IF($A875="","",MAX(0,IFERROR(INDEX('2_IMPORTAR_EJECUCION'!$H$9:$H$1208,MATCH($AU875,'2_IMPORTAR_EJECUCION'!$J$9:$J$1208,0)),0)-$AL875))</f>
        <v/>
      </c>
      <c r="AN875" s="32">
        <f>IF($A875="","",$AL875+$AM875)</f>
        <v/>
      </c>
      <c r="AO875" s="24">
        <f>IF($A875="","",IF(OR((IFERROR(INDEX('CAT_ACTIVIDADES'!$D$4:$D$26,MATCH($H875,'CAT_ACTIVIDADES'!$A$4:$A$26,0)),""))=0,(IFERROR(INDEX('CAT_ACTIVIDADES'!$D$4:$D$26,MATCH($H875,'CAT_ACTIVIDADES'!$A$4:$A$26,0)),""))=""),"SIN CLASIFICAR",IFERROR(INDEX('CAT_ACTIVIDADES'!$D$4:$D$26,MATCH($H875,'CAT_ACTIVIDADES'!$A$4:$A$26,0)),"")))</f>
        <v/>
      </c>
      <c r="AP875" s="4" t="n"/>
      <c r="AQ875" s="4" t="n"/>
      <c r="AR875" s="4" t="n"/>
      <c r="AS875" s="24">
        <f>IF($AR875="","",HYPERLINK(p_ruta_base_checklists&amp;$AR875,"abrir"))</f>
        <v/>
      </c>
      <c r="AT875" s="4" t="n"/>
      <c r="AU875" s="24">
        <f>IF($A875="","",$A875&amp;IF($B875="","0010",$B875))</f>
        <v/>
      </c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41" t="n"/>
      <c r="K876" s="5" t="n"/>
      <c r="L876" s="18" t="n"/>
      <c r="M876" s="24">
        <f>IF($A876="","",IFERROR(INDEX('AJUSTES'!$B$4:$B$303,MATCH($AU876,'AJUSTES'!$A$4:$A$303,0)),IF($K876="","",$K876)))</f>
        <v/>
      </c>
      <c r="N876" s="24">
        <f>IF($A876="","",IFERROR(INDEX('CAT_ESTADOS_ERP'!$B$4:$B$22,MATCH(IFERROR(INDEX('2_IMPORTAR_EJECUCION'!$C$9:$C$1208,MATCH($AU876,'2_IMPORTAR_EJECUCION'!$J$9:$J$1208,0)),""),'CAT_ESTADOS_ERP'!$A$4:$A$22,0)),"Pendiente"))</f>
        <v/>
      </c>
      <c r="O876" s="24">
        <f>IF($J876="","",YEAR($J876+4-WEEKDAY($J876,2))&amp;"-S"&amp;TEXT(_xlfn.ISOWEEKNUM($J876),"00"))</f>
        <v/>
      </c>
      <c r="P876" s="24">
        <f>IF($J876="","",YEAR($J876))</f>
        <v/>
      </c>
      <c r="Q876" s="24">
        <f>IF($J876="","",MONTH($J876))</f>
        <v/>
      </c>
      <c r="R876" s="24">
        <f>IF($J876="","",$P876&amp;"-"&amp;TEXT($Q876,"00"))</f>
        <v/>
      </c>
      <c r="S876" s="24">
        <f>IF($J876="","",INDEX(lista_dias,WEEKDAY($J876,2)))</f>
        <v/>
      </c>
      <c r="T876" s="24">
        <f>IF($J876="","",IFERROR(INDEX('CALENDARIO'!$C$15:$C$214,MATCH(TEXT($J876,"yyyy-mm-dd")&amp;"|"&amp;$Y876&amp;"|"&amp;$Z876,'CALENDARIO'!$G$15:$G$214,0)),IFERROR(INDEX('CALENDARIO'!$C$15:$C$214,MATCH(TEXT($J876,"yyyy-mm-dd")&amp;"|"&amp;$Y876&amp;"|",'CALENDARIO'!$G$15:$G$214,0)),IFERROR(INDEX('CALENDARIO'!$C$15:$C$214,MATCH(TEXT($J876,"yyyy-mm-dd")&amp;"||",'CALENDARIO'!$G$15:$G$214,0)),INDEX(patronHabil,WEEKDAY($J876,2))))))</f>
        <v/>
      </c>
      <c r="U876" s="24">
        <f>IF($I876="","",IFERROR(INDEX('CAT_TIPOS_OT'!$C$4:$C$23,MATCH($I876,'CAT_TIPOS_OT'!$A$4:$A$23,0)),"sin_clasificar"))</f>
        <v/>
      </c>
      <c r="V876" s="24">
        <f>IF($I876="","",IF(IFERROR(INDEX('CAT_TIPOS_OT'!$D$4:$D$23,MATCH($I876,'CAT_TIPOS_OT'!$A$4:$A$23,0)),"SIN CLASIFICAR")="","SIN CLASIFICAR",IFERROR(INDEX('CAT_TIPOS_OT'!$D$4:$D$23,MATCH($I876,'CAT_TIPOS_OT'!$A$4:$A$23,0)),"SIN CLASIFICAR")))</f>
        <v/>
      </c>
      <c r="W876" s="24">
        <f>IF($H876="","",IF(IFERROR(INDEX('CAT_ACTIVIDADES'!$F$4:$F$26,MATCH($H876,'CAT_ACTIVIDADES'!$A$4:$A$26,0)),"")=0,"",IFERROR(INDEX('CAT_ACTIVIDADES'!$F$4:$F$26,MATCH($H876,'CAT_ACTIVIDADES'!$A$4:$A$26,0)),"")))</f>
        <v/>
      </c>
      <c r="X876" s="24">
        <f>IF($F876="","",IFERROR(INDEX('CAT_CENTROS_COSTO'!$F$4:$F$28,MATCH($F876,'CAT_CENTROS_COSTO'!$A$4:$A$28,0)),"(sin catálogo)"))</f>
        <v/>
      </c>
      <c r="Y876" s="24">
        <f>IF($F876="","",IFERROR(INDEX('CAT_CENTROS_COSTO'!$D$4:$D$28,MATCH($F876,'CAT_CENTROS_COSTO'!$A$4:$A$28,0)),"(sin catálogo)"))</f>
        <v/>
      </c>
      <c r="Z876" s="24">
        <f>IF($F876="","",IF((IFERROR(INDEX('CAT_CENTROS_COSTO'!$E$4:$E$28,MATCH($F876,'CAT_CENTROS_COSTO'!$A$4:$A$28,0)),""))&lt;&gt;"",IFERROR(INDEX('CAT_CENTROS_COSTO'!$E$4:$E$28,MATCH($F876,'CAT_CENTROS_COSTO'!$A$4:$A$28,0)),""),$Y876))</f>
        <v/>
      </c>
      <c r="AA876" s="24">
        <f>IF($F876="","",IFERROR(INDEX('CAT_CENTROS_COSTO'!$G$4:$G$28,MATCH($F876,'CAT_CENTROS_COSTO'!$A$4:$A$28,0)),"(sin catálogo)"))</f>
        <v/>
      </c>
      <c r="AB876" s="24">
        <f>IF($G876="","",IFERROR(INDEX('CAT_PUESTOS'!$B$4:$B$23,MATCH($G876,'CAT_PUESTOS'!$A$4:$A$23,0)),"(sin catálogo)"))</f>
        <v/>
      </c>
      <c r="AC876" s="24">
        <f>IF($H876="","",IFERROR(INDEX('CAT_ACTIVIDADES'!$B$4:$B$26,MATCH($H876,'CAT_ACTIVIDADES'!$A$4:$A$26,0)),"(sin catálogo)"))</f>
        <v/>
      </c>
      <c r="AD876" s="26">
        <f>IF($J876="","",TODAY()-$J876)</f>
        <v/>
      </c>
      <c r="AE876" s="26">
        <f>IF($J876="","",IF($J876&lt;=TODAY(),COUNTIFS(cal_fechas,"&gt;="&amp;$J876,cal_fechas,"&lt;"&amp;TODAY(),cal_habil,"sí"),-COUNTIFS(cal_fechas,"&gt;="&amp;TODAY(),cal_fechas,"&lt;"&amp;$J876,cal_habil,"sí")))</f>
        <v/>
      </c>
      <c r="AF876" s="24">
        <f>IF($AE876="","",IF($AE876&lt;0,"FUTURO",IF($AE876&gt;p_dias_backlog_max,"BACKLOG","MES CORRIENTE")))</f>
        <v/>
      </c>
      <c r="AG876" s="24">
        <f>IF($AE876="",FALSE,AND($AE876&gt;p_dias_backlog_min,$AE876&lt;=p_dias_backlog_max))</f>
        <v/>
      </c>
      <c r="AH876" s="4" t="n"/>
      <c r="AI876" s="24">
        <f>IF($AH876="","",IF((IFERROR(INDEX('ASIGNACIONES'!$J$4:$J$451,MATCH($O876&amp;"|"&amp;$S876&amp;"|"&amp;$AH876,'ASIGNACIONES'!$N$4:$N$451,0)),""))=0,"",IFERROR(INDEX('ASIGNACIONES'!$J$4:$J$451,MATCH($O876&amp;"|"&amp;$S876&amp;"|"&amp;$AH876,'ASIGNACIONES'!$N$4:$N$451,0)),"")))</f>
        <v/>
      </c>
      <c r="AJ876" s="42">
        <f>IF($AH876="","",SUMIFS('ORDENES'!$M$4:$M$1203,'ORDENES'!$AH$4:$AH$1203,$AH876,'ORDENES'!$O$4:$O$1203,$O876,'ORDENES'!$S$4:$S$1203,$S876))</f>
        <v/>
      </c>
      <c r="AK876" s="42">
        <f>IF($AJ876="","",p_factor_productividad*IFERROR(INDEX('ASIGNACIONES'!$M$4:$M$451,MATCH($O876&amp;"|"&amp;$S876&amp;"|"&amp;$AH876,'ASIGNACIONES'!$N$4:$N$451,0)),0)-$AJ876)</f>
        <v/>
      </c>
      <c r="AL876" s="32">
        <f>IF($A876="","",IFERROR(INDEX('2_IMPORTAR_EJECUCION'!$F$9:$F$1208,MATCH($AU876,'2_IMPORTAR_EJECUCION'!$J$9:$J$1208,0)),0))</f>
        <v/>
      </c>
      <c r="AM876" s="32">
        <f>IF($A876="","",MAX(0,IFERROR(INDEX('2_IMPORTAR_EJECUCION'!$H$9:$H$1208,MATCH($AU876,'2_IMPORTAR_EJECUCION'!$J$9:$J$1208,0)),0)-$AL876))</f>
        <v/>
      </c>
      <c r="AN876" s="32">
        <f>IF($A876="","",$AL876+$AM876)</f>
        <v/>
      </c>
      <c r="AO876" s="24">
        <f>IF($A876="","",IF(OR((IFERROR(INDEX('CAT_ACTIVIDADES'!$D$4:$D$26,MATCH($H876,'CAT_ACTIVIDADES'!$A$4:$A$26,0)),""))=0,(IFERROR(INDEX('CAT_ACTIVIDADES'!$D$4:$D$26,MATCH($H876,'CAT_ACTIVIDADES'!$A$4:$A$26,0)),""))=""),"SIN CLASIFICAR",IFERROR(INDEX('CAT_ACTIVIDADES'!$D$4:$D$26,MATCH($H876,'CAT_ACTIVIDADES'!$A$4:$A$26,0)),"")))</f>
        <v/>
      </c>
      <c r="AP876" s="4" t="n"/>
      <c r="AQ876" s="4" t="n"/>
      <c r="AR876" s="4" t="n"/>
      <c r="AS876" s="24">
        <f>IF($AR876="","",HYPERLINK(p_ruta_base_checklists&amp;$AR876,"abrir"))</f>
        <v/>
      </c>
      <c r="AT876" s="4" t="n"/>
      <c r="AU876" s="24">
        <f>IF($A876="","",$A876&amp;IF($B876="","0010",$B876))</f>
        <v/>
      </c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41" t="n"/>
      <c r="K877" s="5" t="n"/>
      <c r="L877" s="18" t="n"/>
      <c r="M877" s="24">
        <f>IF($A877="","",IFERROR(INDEX('AJUSTES'!$B$4:$B$303,MATCH($AU877,'AJUSTES'!$A$4:$A$303,0)),IF($K877="","",$K877)))</f>
        <v/>
      </c>
      <c r="N877" s="24">
        <f>IF($A877="","",IFERROR(INDEX('CAT_ESTADOS_ERP'!$B$4:$B$22,MATCH(IFERROR(INDEX('2_IMPORTAR_EJECUCION'!$C$9:$C$1208,MATCH($AU877,'2_IMPORTAR_EJECUCION'!$J$9:$J$1208,0)),""),'CAT_ESTADOS_ERP'!$A$4:$A$22,0)),"Pendiente"))</f>
        <v/>
      </c>
      <c r="O877" s="24">
        <f>IF($J877="","",YEAR($J877+4-WEEKDAY($J877,2))&amp;"-S"&amp;TEXT(_xlfn.ISOWEEKNUM($J877),"00"))</f>
        <v/>
      </c>
      <c r="P877" s="24">
        <f>IF($J877="","",YEAR($J877))</f>
        <v/>
      </c>
      <c r="Q877" s="24">
        <f>IF($J877="","",MONTH($J877))</f>
        <v/>
      </c>
      <c r="R877" s="24">
        <f>IF($J877="","",$P877&amp;"-"&amp;TEXT($Q877,"00"))</f>
        <v/>
      </c>
      <c r="S877" s="24">
        <f>IF($J877="","",INDEX(lista_dias,WEEKDAY($J877,2)))</f>
        <v/>
      </c>
      <c r="T877" s="24">
        <f>IF($J877="","",IFERROR(INDEX('CALENDARIO'!$C$15:$C$214,MATCH(TEXT($J877,"yyyy-mm-dd")&amp;"|"&amp;$Y877&amp;"|"&amp;$Z877,'CALENDARIO'!$G$15:$G$214,0)),IFERROR(INDEX('CALENDARIO'!$C$15:$C$214,MATCH(TEXT($J877,"yyyy-mm-dd")&amp;"|"&amp;$Y877&amp;"|",'CALENDARIO'!$G$15:$G$214,0)),IFERROR(INDEX('CALENDARIO'!$C$15:$C$214,MATCH(TEXT($J877,"yyyy-mm-dd")&amp;"||",'CALENDARIO'!$G$15:$G$214,0)),INDEX(patronHabil,WEEKDAY($J877,2))))))</f>
        <v/>
      </c>
      <c r="U877" s="24">
        <f>IF($I877="","",IFERROR(INDEX('CAT_TIPOS_OT'!$C$4:$C$23,MATCH($I877,'CAT_TIPOS_OT'!$A$4:$A$23,0)),"sin_clasificar"))</f>
        <v/>
      </c>
      <c r="V877" s="24">
        <f>IF($I877="","",IF(IFERROR(INDEX('CAT_TIPOS_OT'!$D$4:$D$23,MATCH($I877,'CAT_TIPOS_OT'!$A$4:$A$23,0)),"SIN CLASIFICAR")="","SIN CLASIFICAR",IFERROR(INDEX('CAT_TIPOS_OT'!$D$4:$D$23,MATCH($I877,'CAT_TIPOS_OT'!$A$4:$A$23,0)),"SIN CLASIFICAR")))</f>
        <v/>
      </c>
      <c r="W877" s="24">
        <f>IF($H877="","",IF(IFERROR(INDEX('CAT_ACTIVIDADES'!$F$4:$F$26,MATCH($H877,'CAT_ACTIVIDADES'!$A$4:$A$26,0)),"")=0,"",IFERROR(INDEX('CAT_ACTIVIDADES'!$F$4:$F$26,MATCH($H877,'CAT_ACTIVIDADES'!$A$4:$A$26,0)),"")))</f>
        <v/>
      </c>
      <c r="X877" s="24">
        <f>IF($F877="","",IFERROR(INDEX('CAT_CENTROS_COSTO'!$F$4:$F$28,MATCH($F877,'CAT_CENTROS_COSTO'!$A$4:$A$28,0)),"(sin catálogo)"))</f>
        <v/>
      </c>
      <c r="Y877" s="24">
        <f>IF($F877="","",IFERROR(INDEX('CAT_CENTROS_COSTO'!$D$4:$D$28,MATCH($F877,'CAT_CENTROS_COSTO'!$A$4:$A$28,0)),"(sin catálogo)"))</f>
        <v/>
      </c>
      <c r="Z877" s="24">
        <f>IF($F877="","",IF((IFERROR(INDEX('CAT_CENTROS_COSTO'!$E$4:$E$28,MATCH($F877,'CAT_CENTROS_COSTO'!$A$4:$A$28,0)),""))&lt;&gt;"",IFERROR(INDEX('CAT_CENTROS_COSTO'!$E$4:$E$28,MATCH($F877,'CAT_CENTROS_COSTO'!$A$4:$A$28,0)),""),$Y877))</f>
        <v/>
      </c>
      <c r="AA877" s="24">
        <f>IF($F877="","",IFERROR(INDEX('CAT_CENTROS_COSTO'!$G$4:$G$28,MATCH($F877,'CAT_CENTROS_COSTO'!$A$4:$A$28,0)),"(sin catálogo)"))</f>
        <v/>
      </c>
      <c r="AB877" s="24">
        <f>IF($G877="","",IFERROR(INDEX('CAT_PUESTOS'!$B$4:$B$23,MATCH($G877,'CAT_PUESTOS'!$A$4:$A$23,0)),"(sin catálogo)"))</f>
        <v/>
      </c>
      <c r="AC877" s="24">
        <f>IF($H877="","",IFERROR(INDEX('CAT_ACTIVIDADES'!$B$4:$B$26,MATCH($H877,'CAT_ACTIVIDADES'!$A$4:$A$26,0)),"(sin catálogo)"))</f>
        <v/>
      </c>
      <c r="AD877" s="26">
        <f>IF($J877="","",TODAY()-$J877)</f>
        <v/>
      </c>
      <c r="AE877" s="26">
        <f>IF($J877="","",IF($J877&lt;=TODAY(),COUNTIFS(cal_fechas,"&gt;="&amp;$J877,cal_fechas,"&lt;"&amp;TODAY(),cal_habil,"sí"),-COUNTIFS(cal_fechas,"&gt;="&amp;TODAY(),cal_fechas,"&lt;"&amp;$J877,cal_habil,"sí")))</f>
        <v/>
      </c>
      <c r="AF877" s="24">
        <f>IF($AE877="","",IF($AE877&lt;0,"FUTURO",IF($AE877&gt;p_dias_backlog_max,"BACKLOG","MES CORRIENTE")))</f>
        <v/>
      </c>
      <c r="AG877" s="24">
        <f>IF($AE877="",FALSE,AND($AE877&gt;p_dias_backlog_min,$AE877&lt;=p_dias_backlog_max))</f>
        <v/>
      </c>
      <c r="AH877" s="4" t="n"/>
      <c r="AI877" s="24">
        <f>IF($AH877="","",IF((IFERROR(INDEX('ASIGNACIONES'!$J$4:$J$451,MATCH($O877&amp;"|"&amp;$S877&amp;"|"&amp;$AH877,'ASIGNACIONES'!$N$4:$N$451,0)),""))=0,"",IFERROR(INDEX('ASIGNACIONES'!$J$4:$J$451,MATCH($O877&amp;"|"&amp;$S877&amp;"|"&amp;$AH877,'ASIGNACIONES'!$N$4:$N$451,0)),"")))</f>
        <v/>
      </c>
      <c r="AJ877" s="42">
        <f>IF($AH877="","",SUMIFS('ORDENES'!$M$4:$M$1203,'ORDENES'!$AH$4:$AH$1203,$AH877,'ORDENES'!$O$4:$O$1203,$O877,'ORDENES'!$S$4:$S$1203,$S877))</f>
        <v/>
      </c>
      <c r="AK877" s="42">
        <f>IF($AJ877="","",p_factor_productividad*IFERROR(INDEX('ASIGNACIONES'!$M$4:$M$451,MATCH($O877&amp;"|"&amp;$S877&amp;"|"&amp;$AH877,'ASIGNACIONES'!$N$4:$N$451,0)),0)-$AJ877)</f>
        <v/>
      </c>
      <c r="AL877" s="32">
        <f>IF($A877="","",IFERROR(INDEX('2_IMPORTAR_EJECUCION'!$F$9:$F$1208,MATCH($AU877,'2_IMPORTAR_EJECUCION'!$J$9:$J$1208,0)),0))</f>
        <v/>
      </c>
      <c r="AM877" s="32">
        <f>IF($A877="","",MAX(0,IFERROR(INDEX('2_IMPORTAR_EJECUCION'!$H$9:$H$1208,MATCH($AU877,'2_IMPORTAR_EJECUCION'!$J$9:$J$1208,0)),0)-$AL877))</f>
        <v/>
      </c>
      <c r="AN877" s="32">
        <f>IF($A877="","",$AL877+$AM877)</f>
        <v/>
      </c>
      <c r="AO877" s="24">
        <f>IF($A877="","",IF(OR((IFERROR(INDEX('CAT_ACTIVIDADES'!$D$4:$D$26,MATCH($H877,'CAT_ACTIVIDADES'!$A$4:$A$26,0)),""))=0,(IFERROR(INDEX('CAT_ACTIVIDADES'!$D$4:$D$26,MATCH($H877,'CAT_ACTIVIDADES'!$A$4:$A$26,0)),""))=""),"SIN CLASIFICAR",IFERROR(INDEX('CAT_ACTIVIDADES'!$D$4:$D$26,MATCH($H877,'CAT_ACTIVIDADES'!$A$4:$A$26,0)),"")))</f>
        <v/>
      </c>
      <c r="AP877" s="4" t="n"/>
      <c r="AQ877" s="4" t="n"/>
      <c r="AR877" s="4" t="n"/>
      <c r="AS877" s="24">
        <f>IF($AR877="","",HYPERLINK(p_ruta_base_checklists&amp;$AR877,"abrir"))</f>
        <v/>
      </c>
      <c r="AT877" s="4" t="n"/>
      <c r="AU877" s="24">
        <f>IF($A877="","",$A877&amp;IF($B877="","0010",$B877))</f>
        <v/>
      </c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41" t="n"/>
      <c r="K878" s="5" t="n"/>
      <c r="L878" s="18" t="n"/>
      <c r="M878" s="24">
        <f>IF($A878="","",IFERROR(INDEX('AJUSTES'!$B$4:$B$303,MATCH($AU878,'AJUSTES'!$A$4:$A$303,0)),IF($K878="","",$K878)))</f>
        <v/>
      </c>
      <c r="N878" s="24">
        <f>IF($A878="","",IFERROR(INDEX('CAT_ESTADOS_ERP'!$B$4:$B$22,MATCH(IFERROR(INDEX('2_IMPORTAR_EJECUCION'!$C$9:$C$1208,MATCH($AU878,'2_IMPORTAR_EJECUCION'!$J$9:$J$1208,0)),""),'CAT_ESTADOS_ERP'!$A$4:$A$22,0)),"Pendiente"))</f>
        <v/>
      </c>
      <c r="O878" s="24">
        <f>IF($J878="","",YEAR($J878+4-WEEKDAY($J878,2))&amp;"-S"&amp;TEXT(_xlfn.ISOWEEKNUM($J878),"00"))</f>
        <v/>
      </c>
      <c r="P878" s="24">
        <f>IF($J878="","",YEAR($J878))</f>
        <v/>
      </c>
      <c r="Q878" s="24">
        <f>IF($J878="","",MONTH($J878))</f>
        <v/>
      </c>
      <c r="R878" s="24">
        <f>IF($J878="","",$P878&amp;"-"&amp;TEXT($Q878,"00"))</f>
        <v/>
      </c>
      <c r="S878" s="24">
        <f>IF($J878="","",INDEX(lista_dias,WEEKDAY($J878,2)))</f>
        <v/>
      </c>
      <c r="T878" s="24">
        <f>IF($J878="","",IFERROR(INDEX('CALENDARIO'!$C$15:$C$214,MATCH(TEXT($J878,"yyyy-mm-dd")&amp;"|"&amp;$Y878&amp;"|"&amp;$Z878,'CALENDARIO'!$G$15:$G$214,0)),IFERROR(INDEX('CALENDARIO'!$C$15:$C$214,MATCH(TEXT($J878,"yyyy-mm-dd")&amp;"|"&amp;$Y878&amp;"|",'CALENDARIO'!$G$15:$G$214,0)),IFERROR(INDEX('CALENDARIO'!$C$15:$C$214,MATCH(TEXT($J878,"yyyy-mm-dd")&amp;"||",'CALENDARIO'!$G$15:$G$214,0)),INDEX(patronHabil,WEEKDAY($J878,2))))))</f>
        <v/>
      </c>
      <c r="U878" s="24">
        <f>IF($I878="","",IFERROR(INDEX('CAT_TIPOS_OT'!$C$4:$C$23,MATCH($I878,'CAT_TIPOS_OT'!$A$4:$A$23,0)),"sin_clasificar"))</f>
        <v/>
      </c>
      <c r="V878" s="24">
        <f>IF($I878="","",IF(IFERROR(INDEX('CAT_TIPOS_OT'!$D$4:$D$23,MATCH($I878,'CAT_TIPOS_OT'!$A$4:$A$23,0)),"SIN CLASIFICAR")="","SIN CLASIFICAR",IFERROR(INDEX('CAT_TIPOS_OT'!$D$4:$D$23,MATCH($I878,'CAT_TIPOS_OT'!$A$4:$A$23,0)),"SIN CLASIFICAR")))</f>
        <v/>
      </c>
      <c r="W878" s="24">
        <f>IF($H878="","",IF(IFERROR(INDEX('CAT_ACTIVIDADES'!$F$4:$F$26,MATCH($H878,'CAT_ACTIVIDADES'!$A$4:$A$26,0)),"")=0,"",IFERROR(INDEX('CAT_ACTIVIDADES'!$F$4:$F$26,MATCH($H878,'CAT_ACTIVIDADES'!$A$4:$A$26,0)),"")))</f>
        <v/>
      </c>
      <c r="X878" s="24">
        <f>IF($F878="","",IFERROR(INDEX('CAT_CENTROS_COSTO'!$F$4:$F$28,MATCH($F878,'CAT_CENTROS_COSTO'!$A$4:$A$28,0)),"(sin catálogo)"))</f>
        <v/>
      </c>
      <c r="Y878" s="24">
        <f>IF($F878="","",IFERROR(INDEX('CAT_CENTROS_COSTO'!$D$4:$D$28,MATCH($F878,'CAT_CENTROS_COSTO'!$A$4:$A$28,0)),"(sin catálogo)"))</f>
        <v/>
      </c>
      <c r="Z878" s="24">
        <f>IF($F878="","",IF((IFERROR(INDEX('CAT_CENTROS_COSTO'!$E$4:$E$28,MATCH($F878,'CAT_CENTROS_COSTO'!$A$4:$A$28,0)),""))&lt;&gt;"",IFERROR(INDEX('CAT_CENTROS_COSTO'!$E$4:$E$28,MATCH($F878,'CAT_CENTROS_COSTO'!$A$4:$A$28,0)),""),$Y878))</f>
        <v/>
      </c>
      <c r="AA878" s="24">
        <f>IF($F878="","",IFERROR(INDEX('CAT_CENTROS_COSTO'!$G$4:$G$28,MATCH($F878,'CAT_CENTROS_COSTO'!$A$4:$A$28,0)),"(sin catálogo)"))</f>
        <v/>
      </c>
      <c r="AB878" s="24">
        <f>IF($G878="","",IFERROR(INDEX('CAT_PUESTOS'!$B$4:$B$23,MATCH($G878,'CAT_PUESTOS'!$A$4:$A$23,0)),"(sin catálogo)"))</f>
        <v/>
      </c>
      <c r="AC878" s="24">
        <f>IF($H878="","",IFERROR(INDEX('CAT_ACTIVIDADES'!$B$4:$B$26,MATCH($H878,'CAT_ACTIVIDADES'!$A$4:$A$26,0)),"(sin catálogo)"))</f>
        <v/>
      </c>
      <c r="AD878" s="26">
        <f>IF($J878="","",TODAY()-$J878)</f>
        <v/>
      </c>
      <c r="AE878" s="26">
        <f>IF($J878="","",IF($J878&lt;=TODAY(),COUNTIFS(cal_fechas,"&gt;="&amp;$J878,cal_fechas,"&lt;"&amp;TODAY(),cal_habil,"sí"),-COUNTIFS(cal_fechas,"&gt;="&amp;TODAY(),cal_fechas,"&lt;"&amp;$J878,cal_habil,"sí")))</f>
        <v/>
      </c>
      <c r="AF878" s="24">
        <f>IF($AE878="","",IF($AE878&lt;0,"FUTURO",IF($AE878&gt;p_dias_backlog_max,"BACKLOG","MES CORRIENTE")))</f>
        <v/>
      </c>
      <c r="AG878" s="24">
        <f>IF($AE878="",FALSE,AND($AE878&gt;p_dias_backlog_min,$AE878&lt;=p_dias_backlog_max))</f>
        <v/>
      </c>
      <c r="AH878" s="4" t="n"/>
      <c r="AI878" s="24">
        <f>IF($AH878="","",IF((IFERROR(INDEX('ASIGNACIONES'!$J$4:$J$451,MATCH($O878&amp;"|"&amp;$S878&amp;"|"&amp;$AH878,'ASIGNACIONES'!$N$4:$N$451,0)),""))=0,"",IFERROR(INDEX('ASIGNACIONES'!$J$4:$J$451,MATCH($O878&amp;"|"&amp;$S878&amp;"|"&amp;$AH878,'ASIGNACIONES'!$N$4:$N$451,0)),"")))</f>
        <v/>
      </c>
      <c r="AJ878" s="42">
        <f>IF($AH878="","",SUMIFS('ORDENES'!$M$4:$M$1203,'ORDENES'!$AH$4:$AH$1203,$AH878,'ORDENES'!$O$4:$O$1203,$O878,'ORDENES'!$S$4:$S$1203,$S878))</f>
        <v/>
      </c>
      <c r="AK878" s="42">
        <f>IF($AJ878="","",p_factor_productividad*IFERROR(INDEX('ASIGNACIONES'!$M$4:$M$451,MATCH($O878&amp;"|"&amp;$S878&amp;"|"&amp;$AH878,'ASIGNACIONES'!$N$4:$N$451,0)),0)-$AJ878)</f>
        <v/>
      </c>
      <c r="AL878" s="32">
        <f>IF($A878="","",IFERROR(INDEX('2_IMPORTAR_EJECUCION'!$F$9:$F$1208,MATCH($AU878,'2_IMPORTAR_EJECUCION'!$J$9:$J$1208,0)),0))</f>
        <v/>
      </c>
      <c r="AM878" s="32">
        <f>IF($A878="","",MAX(0,IFERROR(INDEX('2_IMPORTAR_EJECUCION'!$H$9:$H$1208,MATCH($AU878,'2_IMPORTAR_EJECUCION'!$J$9:$J$1208,0)),0)-$AL878))</f>
        <v/>
      </c>
      <c r="AN878" s="32">
        <f>IF($A878="","",$AL878+$AM878)</f>
        <v/>
      </c>
      <c r="AO878" s="24">
        <f>IF($A878="","",IF(OR((IFERROR(INDEX('CAT_ACTIVIDADES'!$D$4:$D$26,MATCH($H878,'CAT_ACTIVIDADES'!$A$4:$A$26,0)),""))=0,(IFERROR(INDEX('CAT_ACTIVIDADES'!$D$4:$D$26,MATCH($H878,'CAT_ACTIVIDADES'!$A$4:$A$26,0)),""))=""),"SIN CLASIFICAR",IFERROR(INDEX('CAT_ACTIVIDADES'!$D$4:$D$26,MATCH($H878,'CAT_ACTIVIDADES'!$A$4:$A$26,0)),"")))</f>
        <v/>
      </c>
      <c r="AP878" s="4" t="n"/>
      <c r="AQ878" s="4" t="n"/>
      <c r="AR878" s="4" t="n"/>
      <c r="AS878" s="24">
        <f>IF($AR878="","",HYPERLINK(p_ruta_base_checklists&amp;$AR878,"abrir"))</f>
        <v/>
      </c>
      <c r="AT878" s="4" t="n"/>
      <c r="AU878" s="24">
        <f>IF($A878="","",$A878&amp;IF($B878="","0010",$B878))</f>
        <v/>
      </c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41" t="n"/>
      <c r="K879" s="5" t="n"/>
      <c r="L879" s="18" t="n"/>
      <c r="M879" s="24">
        <f>IF($A879="","",IFERROR(INDEX('AJUSTES'!$B$4:$B$303,MATCH($AU879,'AJUSTES'!$A$4:$A$303,0)),IF($K879="","",$K879)))</f>
        <v/>
      </c>
      <c r="N879" s="24">
        <f>IF($A879="","",IFERROR(INDEX('CAT_ESTADOS_ERP'!$B$4:$B$22,MATCH(IFERROR(INDEX('2_IMPORTAR_EJECUCION'!$C$9:$C$1208,MATCH($AU879,'2_IMPORTAR_EJECUCION'!$J$9:$J$1208,0)),""),'CAT_ESTADOS_ERP'!$A$4:$A$22,0)),"Pendiente"))</f>
        <v/>
      </c>
      <c r="O879" s="24">
        <f>IF($J879="","",YEAR($J879+4-WEEKDAY($J879,2))&amp;"-S"&amp;TEXT(_xlfn.ISOWEEKNUM($J879),"00"))</f>
        <v/>
      </c>
      <c r="P879" s="24">
        <f>IF($J879="","",YEAR($J879))</f>
        <v/>
      </c>
      <c r="Q879" s="24">
        <f>IF($J879="","",MONTH($J879))</f>
        <v/>
      </c>
      <c r="R879" s="24">
        <f>IF($J879="","",$P879&amp;"-"&amp;TEXT($Q879,"00"))</f>
        <v/>
      </c>
      <c r="S879" s="24">
        <f>IF($J879="","",INDEX(lista_dias,WEEKDAY($J879,2)))</f>
        <v/>
      </c>
      <c r="T879" s="24">
        <f>IF($J879="","",IFERROR(INDEX('CALENDARIO'!$C$15:$C$214,MATCH(TEXT($J879,"yyyy-mm-dd")&amp;"|"&amp;$Y879&amp;"|"&amp;$Z879,'CALENDARIO'!$G$15:$G$214,0)),IFERROR(INDEX('CALENDARIO'!$C$15:$C$214,MATCH(TEXT($J879,"yyyy-mm-dd")&amp;"|"&amp;$Y879&amp;"|",'CALENDARIO'!$G$15:$G$214,0)),IFERROR(INDEX('CALENDARIO'!$C$15:$C$214,MATCH(TEXT($J879,"yyyy-mm-dd")&amp;"||",'CALENDARIO'!$G$15:$G$214,0)),INDEX(patronHabil,WEEKDAY($J879,2))))))</f>
        <v/>
      </c>
      <c r="U879" s="24">
        <f>IF($I879="","",IFERROR(INDEX('CAT_TIPOS_OT'!$C$4:$C$23,MATCH($I879,'CAT_TIPOS_OT'!$A$4:$A$23,0)),"sin_clasificar"))</f>
        <v/>
      </c>
      <c r="V879" s="24">
        <f>IF($I879="","",IF(IFERROR(INDEX('CAT_TIPOS_OT'!$D$4:$D$23,MATCH($I879,'CAT_TIPOS_OT'!$A$4:$A$23,0)),"SIN CLASIFICAR")="","SIN CLASIFICAR",IFERROR(INDEX('CAT_TIPOS_OT'!$D$4:$D$23,MATCH($I879,'CAT_TIPOS_OT'!$A$4:$A$23,0)),"SIN CLASIFICAR")))</f>
        <v/>
      </c>
      <c r="W879" s="24">
        <f>IF($H879="","",IF(IFERROR(INDEX('CAT_ACTIVIDADES'!$F$4:$F$26,MATCH($H879,'CAT_ACTIVIDADES'!$A$4:$A$26,0)),"")=0,"",IFERROR(INDEX('CAT_ACTIVIDADES'!$F$4:$F$26,MATCH($H879,'CAT_ACTIVIDADES'!$A$4:$A$26,0)),"")))</f>
        <v/>
      </c>
      <c r="X879" s="24">
        <f>IF($F879="","",IFERROR(INDEX('CAT_CENTROS_COSTO'!$F$4:$F$28,MATCH($F879,'CAT_CENTROS_COSTO'!$A$4:$A$28,0)),"(sin catálogo)"))</f>
        <v/>
      </c>
      <c r="Y879" s="24">
        <f>IF($F879="","",IFERROR(INDEX('CAT_CENTROS_COSTO'!$D$4:$D$28,MATCH($F879,'CAT_CENTROS_COSTO'!$A$4:$A$28,0)),"(sin catálogo)"))</f>
        <v/>
      </c>
      <c r="Z879" s="24">
        <f>IF($F879="","",IF((IFERROR(INDEX('CAT_CENTROS_COSTO'!$E$4:$E$28,MATCH($F879,'CAT_CENTROS_COSTO'!$A$4:$A$28,0)),""))&lt;&gt;"",IFERROR(INDEX('CAT_CENTROS_COSTO'!$E$4:$E$28,MATCH($F879,'CAT_CENTROS_COSTO'!$A$4:$A$28,0)),""),$Y879))</f>
        <v/>
      </c>
      <c r="AA879" s="24">
        <f>IF($F879="","",IFERROR(INDEX('CAT_CENTROS_COSTO'!$G$4:$G$28,MATCH($F879,'CAT_CENTROS_COSTO'!$A$4:$A$28,0)),"(sin catálogo)"))</f>
        <v/>
      </c>
      <c r="AB879" s="24">
        <f>IF($G879="","",IFERROR(INDEX('CAT_PUESTOS'!$B$4:$B$23,MATCH($G879,'CAT_PUESTOS'!$A$4:$A$23,0)),"(sin catálogo)"))</f>
        <v/>
      </c>
      <c r="AC879" s="24">
        <f>IF($H879="","",IFERROR(INDEX('CAT_ACTIVIDADES'!$B$4:$B$26,MATCH($H879,'CAT_ACTIVIDADES'!$A$4:$A$26,0)),"(sin catálogo)"))</f>
        <v/>
      </c>
      <c r="AD879" s="26">
        <f>IF($J879="","",TODAY()-$J879)</f>
        <v/>
      </c>
      <c r="AE879" s="26">
        <f>IF($J879="","",IF($J879&lt;=TODAY(),COUNTIFS(cal_fechas,"&gt;="&amp;$J879,cal_fechas,"&lt;"&amp;TODAY(),cal_habil,"sí"),-COUNTIFS(cal_fechas,"&gt;="&amp;TODAY(),cal_fechas,"&lt;"&amp;$J879,cal_habil,"sí")))</f>
        <v/>
      </c>
      <c r="AF879" s="24">
        <f>IF($AE879="","",IF($AE879&lt;0,"FUTURO",IF($AE879&gt;p_dias_backlog_max,"BACKLOG","MES CORRIENTE")))</f>
        <v/>
      </c>
      <c r="AG879" s="24">
        <f>IF($AE879="",FALSE,AND($AE879&gt;p_dias_backlog_min,$AE879&lt;=p_dias_backlog_max))</f>
        <v/>
      </c>
      <c r="AH879" s="4" t="n"/>
      <c r="AI879" s="24">
        <f>IF($AH879="","",IF((IFERROR(INDEX('ASIGNACIONES'!$J$4:$J$451,MATCH($O879&amp;"|"&amp;$S879&amp;"|"&amp;$AH879,'ASIGNACIONES'!$N$4:$N$451,0)),""))=0,"",IFERROR(INDEX('ASIGNACIONES'!$J$4:$J$451,MATCH($O879&amp;"|"&amp;$S879&amp;"|"&amp;$AH879,'ASIGNACIONES'!$N$4:$N$451,0)),"")))</f>
        <v/>
      </c>
      <c r="AJ879" s="42">
        <f>IF($AH879="","",SUMIFS('ORDENES'!$M$4:$M$1203,'ORDENES'!$AH$4:$AH$1203,$AH879,'ORDENES'!$O$4:$O$1203,$O879,'ORDENES'!$S$4:$S$1203,$S879))</f>
        <v/>
      </c>
      <c r="AK879" s="42">
        <f>IF($AJ879="","",p_factor_productividad*IFERROR(INDEX('ASIGNACIONES'!$M$4:$M$451,MATCH($O879&amp;"|"&amp;$S879&amp;"|"&amp;$AH879,'ASIGNACIONES'!$N$4:$N$451,0)),0)-$AJ879)</f>
        <v/>
      </c>
      <c r="AL879" s="32">
        <f>IF($A879="","",IFERROR(INDEX('2_IMPORTAR_EJECUCION'!$F$9:$F$1208,MATCH($AU879,'2_IMPORTAR_EJECUCION'!$J$9:$J$1208,0)),0))</f>
        <v/>
      </c>
      <c r="AM879" s="32">
        <f>IF($A879="","",MAX(0,IFERROR(INDEX('2_IMPORTAR_EJECUCION'!$H$9:$H$1208,MATCH($AU879,'2_IMPORTAR_EJECUCION'!$J$9:$J$1208,0)),0)-$AL879))</f>
        <v/>
      </c>
      <c r="AN879" s="32">
        <f>IF($A879="","",$AL879+$AM879)</f>
        <v/>
      </c>
      <c r="AO879" s="24">
        <f>IF($A879="","",IF(OR((IFERROR(INDEX('CAT_ACTIVIDADES'!$D$4:$D$26,MATCH($H879,'CAT_ACTIVIDADES'!$A$4:$A$26,0)),""))=0,(IFERROR(INDEX('CAT_ACTIVIDADES'!$D$4:$D$26,MATCH($H879,'CAT_ACTIVIDADES'!$A$4:$A$26,0)),""))=""),"SIN CLASIFICAR",IFERROR(INDEX('CAT_ACTIVIDADES'!$D$4:$D$26,MATCH($H879,'CAT_ACTIVIDADES'!$A$4:$A$26,0)),"")))</f>
        <v/>
      </c>
      <c r="AP879" s="4" t="n"/>
      <c r="AQ879" s="4" t="n"/>
      <c r="AR879" s="4" t="n"/>
      <c r="AS879" s="24">
        <f>IF($AR879="","",HYPERLINK(p_ruta_base_checklists&amp;$AR879,"abrir"))</f>
        <v/>
      </c>
      <c r="AT879" s="4" t="n"/>
      <c r="AU879" s="24">
        <f>IF($A879="","",$A879&amp;IF($B879="","0010",$B879))</f>
        <v/>
      </c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41" t="n"/>
      <c r="K880" s="5" t="n"/>
      <c r="L880" s="18" t="n"/>
      <c r="M880" s="24">
        <f>IF($A880="","",IFERROR(INDEX('AJUSTES'!$B$4:$B$303,MATCH($AU880,'AJUSTES'!$A$4:$A$303,0)),IF($K880="","",$K880)))</f>
        <v/>
      </c>
      <c r="N880" s="24">
        <f>IF($A880="","",IFERROR(INDEX('CAT_ESTADOS_ERP'!$B$4:$B$22,MATCH(IFERROR(INDEX('2_IMPORTAR_EJECUCION'!$C$9:$C$1208,MATCH($AU880,'2_IMPORTAR_EJECUCION'!$J$9:$J$1208,0)),""),'CAT_ESTADOS_ERP'!$A$4:$A$22,0)),"Pendiente"))</f>
        <v/>
      </c>
      <c r="O880" s="24">
        <f>IF($J880="","",YEAR($J880+4-WEEKDAY($J880,2))&amp;"-S"&amp;TEXT(_xlfn.ISOWEEKNUM($J880),"00"))</f>
        <v/>
      </c>
      <c r="P880" s="24">
        <f>IF($J880="","",YEAR($J880))</f>
        <v/>
      </c>
      <c r="Q880" s="24">
        <f>IF($J880="","",MONTH($J880))</f>
        <v/>
      </c>
      <c r="R880" s="24">
        <f>IF($J880="","",$P880&amp;"-"&amp;TEXT($Q880,"00"))</f>
        <v/>
      </c>
      <c r="S880" s="24">
        <f>IF($J880="","",INDEX(lista_dias,WEEKDAY($J880,2)))</f>
        <v/>
      </c>
      <c r="T880" s="24">
        <f>IF($J880="","",IFERROR(INDEX('CALENDARIO'!$C$15:$C$214,MATCH(TEXT($J880,"yyyy-mm-dd")&amp;"|"&amp;$Y880&amp;"|"&amp;$Z880,'CALENDARIO'!$G$15:$G$214,0)),IFERROR(INDEX('CALENDARIO'!$C$15:$C$214,MATCH(TEXT($J880,"yyyy-mm-dd")&amp;"|"&amp;$Y880&amp;"|",'CALENDARIO'!$G$15:$G$214,0)),IFERROR(INDEX('CALENDARIO'!$C$15:$C$214,MATCH(TEXT($J880,"yyyy-mm-dd")&amp;"||",'CALENDARIO'!$G$15:$G$214,0)),INDEX(patronHabil,WEEKDAY($J880,2))))))</f>
        <v/>
      </c>
      <c r="U880" s="24">
        <f>IF($I880="","",IFERROR(INDEX('CAT_TIPOS_OT'!$C$4:$C$23,MATCH($I880,'CAT_TIPOS_OT'!$A$4:$A$23,0)),"sin_clasificar"))</f>
        <v/>
      </c>
      <c r="V880" s="24">
        <f>IF($I880="","",IF(IFERROR(INDEX('CAT_TIPOS_OT'!$D$4:$D$23,MATCH($I880,'CAT_TIPOS_OT'!$A$4:$A$23,0)),"SIN CLASIFICAR")="","SIN CLASIFICAR",IFERROR(INDEX('CAT_TIPOS_OT'!$D$4:$D$23,MATCH($I880,'CAT_TIPOS_OT'!$A$4:$A$23,0)),"SIN CLASIFICAR")))</f>
        <v/>
      </c>
      <c r="W880" s="24">
        <f>IF($H880="","",IF(IFERROR(INDEX('CAT_ACTIVIDADES'!$F$4:$F$26,MATCH($H880,'CAT_ACTIVIDADES'!$A$4:$A$26,0)),"")=0,"",IFERROR(INDEX('CAT_ACTIVIDADES'!$F$4:$F$26,MATCH($H880,'CAT_ACTIVIDADES'!$A$4:$A$26,0)),"")))</f>
        <v/>
      </c>
      <c r="X880" s="24">
        <f>IF($F880="","",IFERROR(INDEX('CAT_CENTROS_COSTO'!$F$4:$F$28,MATCH($F880,'CAT_CENTROS_COSTO'!$A$4:$A$28,0)),"(sin catálogo)"))</f>
        <v/>
      </c>
      <c r="Y880" s="24">
        <f>IF($F880="","",IFERROR(INDEX('CAT_CENTROS_COSTO'!$D$4:$D$28,MATCH($F880,'CAT_CENTROS_COSTO'!$A$4:$A$28,0)),"(sin catálogo)"))</f>
        <v/>
      </c>
      <c r="Z880" s="24">
        <f>IF($F880="","",IF((IFERROR(INDEX('CAT_CENTROS_COSTO'!$E$4:$E$28,MATCH($F880,'CAT_CENTROS_COSTO'!$A$4:$A$28,0)),""))&lt;&gt;"",IFERROR(INDEX('CAT_CENTROS_COSTO'!$E$4:$E$28,MATCH($F880,'CAT_CENTROS_COSTO'!$A$4:$A$28,0)),""),$Y880))</f>
        <v/>
      </c>
      <c r="AA880" s="24">
        <f>IF($F880="","",IFERROR(INDEX('CAT_CENTROS_COSTO'!$G$4:$G$28,MATCH($F880,'CAT_CENTROS_COSTO'!$A$4:$A$28,0)),"(sin catálogo)"))</f>
        <v/>
      </c>
      <c r="AB880" s="24">
        <f>IF($G880="","",IFERROR(INDEX('CAT_PUESTOS'!$B$4:$B$23,MATCH($G880,'CAT_PUESTOS'!$A$4:$A$23,0)),"(sin catálogo)"))</f>
        <v/>
      </c>
      <c r="AC880" s="24">
        <f>IF($H880="","",IFERROR(INDEX('CAT_ACTIVIDADES'!$B$4:$B$26,MATCH($H880,'CAT_ACTIVIDADES'!$A$4:$A$26,0)),"(sin catálogo)"))</f>
        <v/>
      </c>
      <c r="AD880" s="26">
        <f>IF($J880="","",TODAY()-$J880)</f>
        <v/>
      </c>
      <c r="AE880" s="26">
        <f>IF($J880="","",IF($J880&lt;=TODAY(),COUNTIFS(cal_fechas,"&gt;="&amp;$J880,cal_fechas,"&lt;"&amp;TODAY(),cal_habil,"sí"),-COUNTIFS(cal_fechas,"&gt;="&amp;TODAY(),cal_fechas,"&lt;"&amp;$J880,cal_habil,"sí")))</f>
        <v/>
      </c>
      <c r="AF880" s="24">
        <f>IF($AE880="","",IF($AE880&lt;0,"FUTURO",IF($AE880&gt;p_dias_backlog_max,"BACKLOG","MES CORRIENTE")))</f>
        <v/>
      </c>
      <c r="AG880" s="24">
        <f>IF($AE880="",FALSE,AND($AE880&gt;p_dias_backlog_min,$AE880&lt;=p_dias_backlog_max))</f>
        <v/>
      </c>
      <c r="AH880" s="4" t="n"/>
      <c r="AI880" s="24">
        <f>IF($AH880="","",IF((IFERROR(INDEX('ASIGNACIONES'!$J$4:$J$451,MATCH($O880&amp;"|"&amp;$S880&amp;"|"&amp;$AH880,'ASIGNACIONES'!$N$4:$N$451,0)),""))=0,"",IFERROR(INDEX('ASIGNACIONES'!$J$4:$J$451,MATCH($O880&amp;"|"&amp;$S880&amp;"|"&amp;$AH880,'ASIGNACIONES'!$N$4:$N$451,0)),"")))</f>
        <v/>
      </c>
      <c r="AJ880" s="42">
        <f>IF($AH880="","",SUMIFS('ORDENES'!$M$4:$M$1203,'ORDENES'!$AH$4:$AH$1203,$AH880,'ORDENES'!$O$4:$O$1203,$O880,'ORDENES'!$S$4:$S$1203,$S880))</f>
        <v/>
      </c>
      <c r="AK880" s="42">
        <f>IF($AJ880="","",p_factor_productividad*IFERROR(INDEX('ASIGNACIONES'!$M$4:$M$451,MATCH($O880&amp;"|"&amp;$S880&amp;"|"&amp;$AH880,'ASIGNACIONES'!$N$4:$N$451,0)),0)-$AJ880)</f>
        <v/>
      </c>
      <c r="AL880" s="32">
        <f>IF($A880="","",IFERROR(INDEX('2_IMPORTAR_EJECUCION'!$F$9:$F$1208,MATCH($AU880,'2_IMPORTAR_EJECUCION'!$J$9:$J$1208,0)),0))</f>
        <v/>
      </c>
      <c r="AM880" s="32">
        <f>IF($A880="","",MAX(0,IFERROR(INDEX('2_IMPORTAR_EJECUCION'!$H$9:$H$1208,MATCH($AU880,'2_IMPORTAR_EJECUCION'!$J$9:$J$1208,0)),0)-$AL880))</f>
        <v/>
      </c>
      <c r="AN880" s="32">
        <f>IF($A880="","",$AL880+$AM880)</f>
        <v/>
      </c>
      <c r="AO880" s="24">
        <f>IF($A880="","",IF(OR((IFERROR(INDEX('CAT_ACTIVIDADES'!$D$4:$D$26,MATCH($H880,'CAT_ACTIVIDADES'!$A$4:$A$26,0)),""))=0,(IFERROR(INDEX('CAT_ACTIVIDADES'!$D$4:$D$26,MATCH($H880,'CAT_ACTIVIDADES'!$A$4:$A$26,0)),""))=""),"SIN CLASIFICAR",IFERROR(INDEX('CAT_ACTIVIDADES'!$D$4:$D$26,MATCH($H880,'CAT_ACTIVIDADES'!$A$4:$A$26,0)),"")))</f>
        <v/>
      </c>
      <c r="AP880" s="4" t="n"/>
      <c r="AQ880" s="4" t="n"/>
      <c r="AR880" s="4" t="n"/>
      <c r="AS880" s="24">
        <f>IF($AR880="","",HYPERLINK(p_ruta_base_checklists&amp;$AR880,"abrir"))</f>
        <v/>
      </c>
      <c r="AT880" s="4" t="n"/>
      <c r="AU880" s="24">
        <f>IF($A880="","",$A880&amp;IF($B880="","0010",$B880))</f>
        <v/>
      </c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41" t="n"/>
      <c r="K881" s="5" t="n"/>
      <c r="L881" s="18" t="n"/>
      <c r="M881" s="24">
        <f>IF($A881="","",IFERROR(INDEX('AJUSTES'!$B$4:$B$303,MATCH($AU881,'AJUSTES'!$A$4:$A$303,0)),IF($K881="","",$K881)))</f>
        <v/>
      </c>
      <c r="N881" s="24">
        <f>IF($A881="","",IFERROR(INDEX('CAT_ESTADOS_ERP'!$B$4:$B$22,MATCH(IFERROR(INDEX('2_IMPORTAR_EJECUCION'!$C$9:$C$1208,MATCH($AU881,'2_IMPORTAR_EJECUCION'!$J$9:$J$1208,0)),""),'CAT_ESTADOS_ERP'!$A$4:$A$22,0)),"Pendiente"))</f>
        <v/>
      </c>
      <c r="O881" s="24">
        <f>IF($J881="","",YEAR($J881+4-WEEKDAY($J881,2))&amp;"-S"&amp;TEXT(_xlfn.ISOWEEKNUM($J881),"00"))</f>
        <v/>
      </c>
      <c r="P881" s="24">
        <f>IF($J881="","",YEAR($J881))</f>
        <v/>
      </c>
      <c r="Q881" s="24">
        <f>IF($J881="","",MONTH($J881))</f>
        <v/>
      </c>
      <c r="R881" s="24">
        <f>IF($J881="","",$P881&amp;"-"&amp;TEXT($Q881,"00"))</f>
        <v/>
      </c>
      <c r="S881" s="24">
        <f>IF($J881="","",INDEX(lista_dias,WEEKDAY($J881,2)))</f>
        <v/>
      </c>
      <c r="T881" s="24">
        <f>IF($J881="","",IFERROR(INDEX('CALENDARIO'!$C$15:$C$214,MATCH(TEXT($J881,"yyyy-mm-dd")&amp;"|"&amp;$Y881&amp;"|"&amp;$Z881,'CALENDARIO'!$G$15:$G$214,0)),IFERROR(INDEX('CALENDARIO'!$C$15:$C$214,MATCH(TEXT($J881,"yyyy-mm-dd")&amp;"|"&amp;$Y881&amp;"|",'CALENDARIO'!$G$15:$G$214,0)),IFERROR(INDEX('CALENDARIO'!$C$15:$C$214,MATCH(TEXT($J881,"yyyy-mm-dd")&amp;"||",'CALENDARIO'!$G$15:$G$214,0)),INDEX(patronHabil,WEEKDAY($J881,2))))))</f>
        <v/>
      </c>
      <c r="U881" s="24">
        <f>IF($I881="","",IFERROR(INDEX('CAT_TIPOS_OT'!$C$4:$C$23,MATCH($I881,'CAT_TIPOS_OT'!$A$4:$A$23,0)),"sin_clasificar"))</f>
        <v/>
      </c>
      <c r="V881" s="24">
        <f>IF($I881="","",IF(IFERROR(INDEX('CAT_TIPOS_OT'!$D$4:$D$23,MATCH($I881,'CAT_TIPOS_OT'!$A$4:$A$23,0)),"SIN CLASIFICAR")="","SIN CLASIFICAR",IFERROR(INDEX('CAT_TIPOS_OT'!$D$4:$D$23,MATCH($I881,'CAT_TIPOS_OT'!$A$4:$A$23,0)),"SIN CLASIFICAR")))</f>
        <v/>
      </c>
      <c r="W881" s="24">
        <f>IF($H881="","",IF(IFERROR(INDEX('CAT_ACTIVIDADES'!$F$4:$F$26,MATCH($H881,'CAT_ACTIVIDADES'!$A$4:$A$26,0)),"")=0,"",IFERROR(INDEX('CAT_ACTIVIDADES'!$F$4:$F$26,MATCH($H881,'CAT_ACTIVIDADES'!$A$4:$A$26,0)),"")))</f>
        <v/>
      </c>
      <c r="X881" s="24">
        <f>IF($F881="","",IFERROR(INDEX('CAT_CENTROS_COSTO'!$F$4:$F$28,MATCH($F881,'CAT_CENTROS_COSTO'!$A$4:$A$28,0)),"(sin catálogo)"))</f>
        <v/>
      </c>
      <c r="Y881" s="24">
        <f>IF($F881="","",IFERROR(INDEX('CAT_CENTROS_COSTO'!$D$4:$D$28,MATCH($F881,'CAT_CENTROS_COSTO'!$A$4:$A$28,0)),"(sin catálogo)"))</f>
        <v/>
      </c>
      <c r="Z881" s="24">
        <f>IF($F881="","",IF((IFERROR(INDEX('CAT_CENTROS_COSTO'!$E$4:$E$28,MATCH($F881,'CAT_CENTROS_COSTO'!$A$4:$A$28,0)),""))&lt;&gt;"",IFERROR(INDEX('CAT_CENTROS_COSTO'!$E$4:$E$28,MATCH($F881,'CAT_CENTROS_COSTO'!$A$4:$A$28,0)),""),$Y881))</f>
        <v/>
      </c>
      <c r="AA881" s="24">
        <f>IF($F881="","",IFERROR(INDEX('CAT_CENTROS_COSTO'!$G$4:$G$28,MATCH($F881,'CAT_CENTROS_COSTO'!$A$4:$A$28,0)),"(sin catálogo)"))</f>
        <v/>
      </c>
      <c r="AB881" s="24">
        <f>IF($G881="","",IFERROR(INDEX('CAT_PUESTOS'!$B$4:$B$23,MATCH($G881,'CAT_PUESTOS'!$A$4:$A$23,0)),"(sin catálogo)"))</f>
        <v/>
      </c>
      <c r="AC881" s="24">
        <f>IF($H881="","",IFERROR(INDEX('CAT_ACTIVIDADES'!$B$4:$B$26,MATCH($H881,'CAT_ACTIVIDADES'!$A$4:$A$26,0)),"(sin catálogo)"))</f>
        <v/>
      </c>
      <c r="AD881" s="26">
        <f>IF($J881="","",TODAY()-$J881)</f>
        <v/>
      </c>
      <c r="AE881" s="26">
        <f>IF($J881="","",IF($J881&lt;=TODAY(),COUNTIFS(cal_fechas,"&gt;="&amp;$J881,cal_fechas,"&lt;"&amp;TODAY(),cal_habil,"sí"),-COUNTIFS(cal_fechas,"&gt;="&amp;TODAY(),cal_fechas,"&lt;"&amp;$J881,cal_habil,"sí")))</f>
        <v/>
      </c>
      <c r="AF881" s="24">
        <f>IF($AE881="","",IF($AE881&lt;0,"FUTURO",IF($AE881&gt;p_dias_backlog_max,"BACKLOG","MES CORRIENTE")))</f>
        <v/>
      </c>
      <c r="AG881" s="24">
        <f>IF($AE881="",FALSE,AND($AE881&gt;p_dias_backlog_min,$AE881&lt;=p_dias_backlog_max))</f>
        <v/>
      </c>
      <c r="AH881" s="4" t="n"/>
      <c r="AI881" s="24">
        <f>IF($AH881="","",IF((IFERROR(INDEX('ASIGNACIONES'!$J$4:$J$451,MATCH($O881&amp;"|"&amp;$S881&amp;"|"&amp;$AH881,'ASIGNACIONES'!$N$4:$N$451,0)),""))=0,"",IFERROR(INDEX('ASIGNACIONES'!$J$4:$J$451,MATCH($O881&amp;"|"&amp;$S881&amp;"|"&amp;$AH881,'ASIGNACIONES'!$N$4:$N$451,0)),"")))</f>
        <v/>
      </c>
      <c r="AJ881" s="42">
        <f>IF($AH881="","",SUMIFS('ORDENES'!$M$4:$M$1203,'ORDENES'!$AH$4:$AH$1203,$AH881,'ORDENES'!$O$4:$O$1203,$O881,'ORDENES'!$S$4:$S$1203,$S881))</f>
        <v/>
      </c>
      <c r="AK881" s="42">
        <f>IF($AJ881="","",p_factor_productividad*IFERROR(INDEX('ASIGNACIONES'!$M$4:$M$451,MATCH($O881&amp;"|"&amp;$S881&amp;"|"&amp;$AH881,'ASIGNACIONES'!$N$4:$N$451,0)),0)-$AJ881)</f>
        <v/>
      </c>
      <c r="AL881" s="32">
        <f>IF($A881="","",IFERROR(INDEX('2_IMPORTAR_EJECUCION'!$F$9:$F$1208,MATCH($AU881,'2_IMPORTAR_EJECUCION'!$J$9:$J$1208,0)),0))</f>
        <v/>
      </c>
      <c r="AM881" s="32">
        <f>IF($A881="","",MAX(0,IFERROR(INDEX('2_IMPORTAR_EJECUCION'!$H$9:$H$1208,MATCH($AU881,'2_IMPORTAR_EJECUCION'!$J$9:$J$1208,0)),0)-$AL881))</f>
        <v/>
      </c>
      <c r="AN881" s="32">
        <f>IF($A881="","",$AL881+$AM881)</f>
        <v/>
      </c>
      <c r="AO881" s="24">
        <f>IF($A881="","",IF(OR((IFERROR(INDEX('CAT_ACTIVIDADES'!$D$4:$D$26,MATCH($H881,'CAT_ACTIVIDADES'!$A$4:$A$26,0)),""))=0,(IFERROR(INDEX('CAT_ACTIVIDADES'!$D$4:$D$26,MATCH($H881,'CAT_ACTIVIDADES'!$A$4:$A$26,0)),""))=""),"SIN CLASIFICAR",IFERROR(INDEX('CAT_ACTIVIDADES'!$D$4:$D$26,MATCH($H881,'CAT_ACTIVIDADES'!$A$4:$A$26,0)),"")))</f>
        <v/>
      </c>
      <c r="AP881" s="4" t="n"/>
      <c r="AQ881" s="4" t="n"/>
      <c r="AR881" s="4" t="n"/>
      <c r="AS881" s="24">
        <f>IF($AR881="","",HYPERLINK(p_ruta_base_checklists&amp;$AR881,"abrir"))</f>
        <v/>
      </c>
      <c r="AT881" s="4" t="n"/>
      <c r="AU881" s="24">
        <f>IF($A881="","",$A881&amp;IF($B881="","0010",$B881))</f>
        <v/>
      </c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41" t="n"/>
      <c r="K882" s="5" t="n"/>
      <c r="L882" s="18" t="n"/>
      <c r="M882" s="24">
        <f>IF($A882="","",IFERROR(INDEX('AJUSTES'!$B$4:$B$303,MATCH($AU882,'AJUSTES'!$A$4:$A$303,0)),IF($K882="","",$K882)))</f>
        <v/>
      </c>
      <c r="N882" s="24">
        <f>IF($A882="","",IFERROR(INDEX('CAT_ESTADOS_ERP'!$B$4:$B$22,MATCH(IFERROR(INDEX('2_IMPORTAR_EJECUCION'!$C$9:$C$1208,MATCH($AU882,'2_IMPORTAR_EJECUCION'!$J$9:$J$1208,0)),""),'CAT_ESTADOS_ERP'!$A$4:$A$22,0)),"Pendiente"))</f>
        <v/>
      </c>
      <c r="O882" s="24">
        <f>IF($J882="","",YEAR($J882+4-WEEKDAY($J882,2))&amp;"-S"&amp;TEXT(_xlfn.ISOWEEKNUM($J882),"00"))</f>
        <v/>
      </c>
      <c r="P882" s="24">
        <f>IF($J882="","",YEAR($J882))</f>
        <v/>
      </c>
      <c r="Q882" s="24">
        <f>IF($J882="","",MONTH($J882))</f>
        <v/>
      </c>
      <c r="R882" s="24">
        <f>IF($J882="","",$P882&amp;"-"&amp;TEXT($Q882,"00"))</f>
        <v/>
      </c>
      <c r="S882" s="24">
        <f>IF($J882="","",INDEX(lista_dias,WEEKDAY($J882,2)))</f>
        <v/>
      </c>
      <c r="T882" s="24">
        <f>IF($J882="","",IFERROR(INDEX('CALENDARIO'!$C$15:$C$214,MATCH(TEXT($J882,"yyyy-mm-dd")&amp;"|"&amp;$Y882&amp;"|"&amp;$Z882,'CALENDARIO'!$G$15:$G$214,0)),IFERROR(INDEX('CALENDARIO'!$C$15:$C$214,MATCH(TEXT($J882,"yyyy-mm-dd")&amp;"|"&amp;$Y882&amp;"|",'CALENDARIO'!$G$15:$G$214,0)),IFERROR(INDEX('CALENDARIO'!$C$15:$C$214,MATCH(TEXT($J882,"yyyy-mm-dd")&amp;"||",'CALENDARIO'!$G$15:$G$214,0)),INDEX(patronHabil,WEEKDAY($J882,2))))))</f>
        <v/>
      </c>
      <c r="U882" s="24">
        <f>IF($I882="","",IFERROR(INDEX('CAT_TIPOS_OT'!$C$4:$C$23,MATCH($I882,'CAT_TIPOS_OT'!$A$4:$A$23,0)),"sin_clasificar"))</f>
        <v/>
      </c>
      <c r="V882" s="24">
        <f>IF($I882="","",IF(IFERROR(INDEX('CAT_TIPOS_OT'!$D$4:$D$23,MATCH($I882,'CAT_TIPOS_OT'!$A$4:$A$23,0)),"SIN CLASIFICAR")="","SIN CLASIFICAR",IFERROR(INDEX('CAT_TIPOS_OT'!$D$4:$D$23,MATCH($I882,'CAT_TIPOS_OT'!$A$4:$A$23,0)),"SIN CLASIFICAR")))</f>
        <v/>
      </c>
      <c r="W882" s="24">
        <f>IF($H882="","",IF(IFERROR(INDEX('CAT_ACTIVIDADES'!$F$4:$F$26,MATCH($H882,'CAT_ACTIVIDADES'!$A$4:$A$26,0)),"")=0,"",IFERROR(INDEX('CAT_ACTIVIDADES'!$F$4:$F$26,MATCH($H882,'CAT_ACTIVIDADES'!$A$4:$A$26,0)),"")))</f>
        <v/>
      </c>
      <c r="X882" s="24">
        <f>IF($F882="","",IFERROR(INDEX('CAT_CENTROS_COSTO'!$F$4:$F$28,MATCH($F882,'CAT_CENTROS_COSTO'!$A$4:$A$28,0)),"(sin catálogo)"))</f>
        <v/>
      </c>
      <c r="Y882" s="24">
        <f>IF($F882="","",IFERROR(INDEX('CAT_CENTROS_COSTO'!$D$4:$D$28,MATCH($F882,'CAT_CENTROS_COSTO'!$A$4:$A$28,0)),"(sin catálogo)"))</f>
        <v/>
      </c>
      <c r="Z882" s="24">
        <f>IF($F882="","",IF((IFERROR(INDEX('CAT_CENTROS_COSTO'!$E$4:$E$28,MATCH($F882,'CAT_CENTROS_COSTO'!$A$4:$A$28,0)),""))&lt;&gt;"",IFERROR(INDEX('CAT_CENTROS_COSTO'!$E$4:$E$28,MATCH($F882,'CAT_CENTROS_COSTO'!$A$4:$A$28,0)),""),$Y882))</f>
        <v/>
      </c>
      <c r="AA882" s="24">
        <f>IF($F882="","",IFERROR(INDEX('CAT_CENTROS_COSTO'!$G$4:$G$28,MATCH($F882,'CAT_CENTROS_COSTO'!$A$4:$A$28,0)),"(sin catálogo)"))</f>
        <v/>
      </c>
      <c r="AB882" s="24">
        <f>IF($G882="","",IFERROR(INDEX('CAT_PUESTOS'!$B$4:$B$23,MATCH($G882,'CAT_PUESTOS'!$A$4:$A$23,0)),"(sin catálogo)"))</f>
        <v/>
      </c>
      <c r="AC882" s="24">
        <f>IF($H882="","",IFERROR(INDEX('CAT_ACTIVIDADES'!$B$4:$B$26,MATCH($H882,'CAT_ACTIVIDADES'!$A$4:$A$26,0)),"(sin catálogo)"))</f>
        <v/>
      </c>
      <c r="AD882" s="26">
        <f>IF($J882="","",TODAY()-$J882)</f>
        <v/>
      </c>
      <c r="AE882" s="26">
        <f>IF($J882="","",IF($J882&lt;=TODAY(),COUNTIFS(cal_fechas,"&gt;="&amp;$J882,cal_fechas,"&lt;"&amp;TODAY(),cal_habil,"sí"),-COUNTIFS(cal_fechas,"&gt;="&amp;TODAY(),cal_fechas,"&lt;"&amp;$J882,cal_habil,"sí")))</f>
        <v/>
      </c>
      <c r="AF882" s="24">
        <f>IF($AE882="","",IF($AE882&lt;0,"FUTURO",IF($AE882&gt;p_dias_backlog_max,"BACKLOG","MES CORRIENTE")))</f>
        <v/>
      </c>
      <c r="AG882" s="24">
        <f>IF($AE882="",FALSE,AND($AE882&gt;p_dias_backlog_min,$AE882&lt;=p_dias_backlog_max))</f>
        <v/>
      </c>
      <c r="AH882" s="4" t="n"/>
      <c r="AI882" s="24">
        <f>IF($AH882="","",IF((IFERROR(INDEX('ASIGNACIONES'!$J$4:$J$451,MATCH($O882&amp;"|"&amp;$S882&amp;"|"&amp;$AH882,'ASIGNACIONES'!$N$4:$N$451,0)),""))=0,"",IFERROR(INDEX('ASIGNACIONES'!$J$4:$J$451,MATCH($O882&amp;"|"&amp;$S882&amp;"|"&amp;$AH882,'ASIGNACIONES'!$N$4:$N$451,0)),"")))</f>
        <v/>
      </c>
      <c r="AJ882" s="42">
        <f>IF($AH882="","",SUMIFS('ORDENES'!$M$4:$M$1203,'ORDENES'!$AH$4:$AH$1203,$AH882,'ORDENES'!$O$4:$O$1203,$O882,'ORDENES'!$S$4:$S$1203,$S882))</f>
        <v/>
      </c>
      <c r="AK882" s="42">
        <f>IF($AJ882="","",p_factor_productividad*IFERROR(INDEX('ASIGNACIONES'!$M$4:$M$451,MATCH($O882&amp;"|"&amp;$S882&amp;"|"&amp;$AH882,'ASIGNACIONES'!$N$4:$N$451,0)),0)-$AJ882)</f>
        <v/>
      </c>
      <c r="AL882" s="32">
        <f>IF($A882="","",IFERROR(INDEX('2_IMPORTAR_EJECUCION'!$F$9:$F$1208,MATCH($AU882,'2_IMPORTAR_EJECUCION'!$J$9:$J$1208,0)),0))</f>
        <v/>
      </c>
      <c r="AM882" s="32">
        <f>IF($A882="","",MAX(0,IFERROR(INDEX('2_IMPORTAR_EJECUCION'!$H$9:$H$1208,MATCH($AU882,'2_IMPORTAR_EJECUCION'!$J$9:$J$1208,0)),0)-$AL882))</f>
        <v/>
      </c>
      <c r="AN882" s="32">
        <f>IF($A882="","",$AL882+$AM882)</f>
        <v/>
      </c>
      <c r="AO882" s="24">
        <f>IF($A882="","",IF(OR((IFERROR(INDEX('CAT_ACTIVIDADES'!$D$4:$D$26,MATCH($H882,'CAT_ACTIVIDADES'!$A$4:$A$26,0)),""))=0,(IFERROR(INDEX('CAT_ACTIVIDADES'!$D$4:$D$26,MATCH($H882,'CAT_ACTIVIDADES'!$A$4:$A$26,0)),""))=""),"SIN CLASIFICAR",IFERROR(INDEX('CAT_ACTIVIDADES'!$D$4:$D$26,MATCH($H882,'CAT_ACTIVIDADES'!$A$4:$A$26,0)),"")))</f>
        <v/>
      </c>
      <c r="AP882" s="4" t="n"/>
      <c r="AQ882" s="4" t="n"/>
      <c r="AR882" s="4" t="n"/>
      <c r="AS882" s="24">
        <f>IF($AR882="","",HYPERLINK(p_ruta_base_checklists&amp;$AR882,"abrir"))</f>
        <v/>
      </c>
      <c r="AT882" s="4" t="n"/>
      <c r="AU882" s="24">
        <f>IF($A882="","",$A882&amp;IF($B882="","0010",$B882))</f>
        <v/>
      </c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41" t="n"/>
      <c r="K883" s="5" t="n"/>
      <c r="L883" s="18" t="n"/>
      <c r="M883" s="24">
        <f>IF($A883="","",IFERROR(INDEX('AJUSTES'!$B$4:$B$303,MATCH($AU883,'AJUSTES'!$A$4:$A$303,0)),IF($K883="","",$K883)))</f>
        <v/>
      </c>
      <c r="N883" s="24">
        <f>IF($A883="","",IFERROR(INDEX('CAT_ESTADOS_ERP'!$B$4:$B$22,MATCH(IFERROR(INDEX('2_IMPORTAR_EJECUCION'!$C$9:$C$1208,MATCH($AU883,'2_IMPORTAR_EJECUCION'!$J$9:$J$1208,0)),""),'CAT_ESTADOS_ERP'!$A$4:$A$22,0)),"Pendiente"))</f>
        <v/>
      </c>
      <c r="O883" s="24">
        <f>IF($J883="","",YEAR($J883+4-WEEKDAY($J883,2))&amp;"-S"&amp;TEXT(_xlfn.ISOWEEKNUM($J883),"00"))</f>
        <v/>
      </c>
      <c r="P883" s="24">
        <f>IF($J883="","",YEAR($J883))</f>
        <v/>
      </c>
      <c r="Q883" s="24">
        <f>IF($J883="","",MONTH($J883))</f>
        <v/>
      </c>
      <c r="R883" s="24">
        <f>IF($J883="","",$P883&amp;"-"&amp;TEXT($Q883,"00"))</f>
        <v/>
      </c>
      <c r="S883" s="24">
        <f>IF($J883="","",INDEX(lista_dias,WEEKDAY($J883,2)))</f>
        <v/>
      </c>
      <c r="T883" s="24">
        <f>IF($J883="","",IFERROR(INDEX('CALENDARIO'!$C$15:$C$214,MATCH(TEXT($J883,"yyyy-mm-dd")&amp;"|"&amp;$Y883&amp;"|"&amp;$Z883,'CALENDARIO'!$G$15:$G$214,0)),IFERROR(INDEX('CALENDARIO'!$C$15:$C$214,MATCH(TEXT($J883,"yyyy-mm-dd")&amp;"|"&amp;$Y883&amp;"|",'CALENDARIO'!$G$15:$G$214,0)),IFERROR(INDEX('CALENDARIO'!$C$15:$C$214,MATCH(TEXT($J883,"yyyy-mm-dd")&amp;"||",'CALENDARIO'!$G$15:$G$214,0)),INDEX(patronHabil,WEEKDAY($J883,2))))))</f>
        <v/>
      </c>
      <c r="U883" s="24">
        <f>IF($I883="","",IFERROR(INDEX('CAT_TIPOS_OT'!$C$4:$C$23,MATCH($I883,'CAT_TIPOS_OT'!$A$4:$A$23,0)),"sin_clasificar"))</f>
        <v/>
      </c>
      <c r="V883" s="24">
        <f>IF($I883="","",IF(IFERROR(INDEX('CAT_TIPOS_OT'!$D$4:$D$23,MATCH($I883,'CAT_TIPOS_OT'!$A$4:$A$23,0)),"SIN CLASIFICAR")="","SIN CLASIFICAR",IFERROR(INDEX('CAT_TIPOS_OT'!$D$4:$D$23,MATCH($I883,'CAT_TIPOS_OT'!$A$4:$A$23,0)),"SIN CLASIFICAR")))</f>
        <v/>
      </c>
      <c r="W883" s="24">
        <f>IF($H883="","",IF(IFERROR(INDEX('CAT_ACTIVIDADES'!$F$4:$F$26,MATCH($H883,'CAT_ACTIVIDADES'!$A$4:$A$26,0)),"")=0,"",IFERROR(INDEX('CAT_ACTIVIDADES'!$F$4:$F$26,MATCH($H883,'CAT_ACTIVIDADES'!$A$4:$A$26,0)),"")))</f>
        <v/>
      </c>
      <c r="X883" s="24">
        <f>IF($F883="","",IFERROR(INDEX('CAT_CENTROS_COSTO'!$F$4:$F$28,MATCH($F883,'CAT_CENTROS_COSTO'!$A$4:$A$28,0)),"(sin catálogo)"))</f>
        <v/>
      </c>
      <c r="Y883" s="24">
        <f>IF($F883="","",IFERROR(INDEX('CAT_CENTROS_COSTO'!$D$4:$D$28,MATCH($F883,'CAT_CENTROS_COSTO'!$A$4:$A$28,0)),"(sin catálogo)"))</f>
        <v/>
      </c>
      <c r="Z883" s="24">
        <f>IF($F883="","",IF((IFERROR(INDEX('CAT_CENTROS_COSTO'!$E$4:$E$28,MATCH($F883,'CAT_CENTROS_COSTO'!$A$4:$A$28,0)),""))&lt;&gt;"",IFERROR(INDEX('CAT_CENTROS_COSTO'!$E$4:$E$28,MATCH($F883,'CAT_CENTROS_COSTO'!$A$4:$A$28,0)),""),$Y883))</f>
        <v/>
      </c>
      <c r="AA883" s="24">
        <f>IF($F883="","",IFERROR(INDEX('CAT_CENTROS_COSTO'!$G$4:$G$28,MATCH($F883,'CAT_CENTROS_COSTO'!$A$4:$A$28,0)),"(sin catálogo)"))</f>
        <v/>
      </c>
      <c r="AB883" s="24">
        <f>IF($G883="","",IFERROR(INDEX('CAT_PUESTOS'!$B$4:$B$23,MATCH($G883,'CAT_PUESTOS'!$A$4:$A$23,0)),"(sin catálogo)"))</f>
        <v/>
      </c>
      <c r="AC883" s="24">
        <f>IF($H883="","",IFERROR(INDEX('CAT_ACTIVIDADES'!$B$4:$B$26,MATCH($H883,'CAT_ACTIVIDADES'!$A$4:$A$26,0)),"(sin catálogo)"))</f>
        <v/>
      </c>
      <c r="AD883" s="26">
        <f>IF($J883="","",TODAY()-$J883)</f>
        <v/>
      </c>
      <c r="AE883" s="26">
        <f>IF($J883="","",IF($J883&lt;=TODAY(),COUNTIFS(cal_fechas,"&gt;="&amp;$J883,cal_fechas,"&lt;"&amp;TODAY(),cal_habil,"sí"),-COUNTIFS(cal_fechas,"&gt;="&amp;TODAY(),cal_fechas,"&lt;"&amp;$J883,cal_habil,"sí")))</f>
        <v/>
      </c>
      <c r="AF883" s="24">
        <f>IF($AE883="","",IF($AE883&lt;0,"FUTURO",IF($AE883&gt;p_dias_backlog_max,"BACKLOG","MES CORRIENTE")))</f>
        <v/>
      </c>
      <c r="AG883" s="24">
        <f>IF($AE883="",FALSE,AND($AE883&gt;p_dias_backlog_min,$AE883&lt;=p_dias_backlog_max))</f>
        <v/>
      </c>
      <c r="AH883" s="4" t="n"/>
      <c r="AI883" s="24">
        <f>IF($AH883="","",IF((IFERROR(INDEX('ASIGNACIONES'!$J$4:$J$451,MATCH($O883&amp;"|"&amp;$S883&amp;"|"&amp;$AH883,'ASIGNACIONES'!$N$4:$N$451,0)),""))=0,"",IFERROR(INDEX('ASIGNACIONES'!$J$4:$J$451,MATCH($O883&amp;"|"&amp;$S883&amp;"|"&amp;$AH883,'ASIGNACIONES'!$N$4:$N$451,0)),"")))</f>
        <v/>
      </c>
      <c r="AJ883" s="42">
        <f>IF($AH883="","",SUMIFS('ORDENES'!$M$4:$M$1203,'ORDENES'!$AH$4:$AH$1203,$AH883,'ORDENES'!$O$4:$O$1203,$O883,'ORDENES'!$S$4:$S$1203,$S883))</f>
        <v/>
      </c>
      <c r="AK883" s="42">
        <f>IF($AJ883="","",p_factor_productividad*IFERROR(INDEX('ASIGNACIONES'!$M$4:$M$451,MATCH($O883&amp;"|"&amp;$S883&amp;"|"&amp;$AH883,'ASIGNACIONES'!$N$4:$N$451,0)),0)-$AJ883)</f>
        <v/>
      </c>
      <c r="AL883" s="32">
        <f>IF($A883="","",IFERROR(INDEX('2_IMPORTAR_EJECUCION'!$F$9:$F$1208,MATCH($AU883,'2_IMPORTAR_EJECUCION'!$J$9:$J$1208,0)),0))</f>
        <v/>
      </c>
      <c r="AM883" s="32">
        <f>IF($A883="","",MAX(0,IFERROR(INDEX('2_IMPORTAR_EJECUCION'!$H$9:$H$1208,MATCH($AU883,'2_IMPORTAR_EJECUCION'!$J$9:$J$1208,0)),0)-$AL883))</f>
        <v/>
      </c>
      <c r="AN883" s="32">
        <f>IF($A883="","",$AL883+$AM883)</f>
        <v/>
      </c>
      <c r="AO883" s="24">
        <f>IF($A883="","",IF(OR((IFERROR(INDEX('CAT_ACTIVIDADES'!$D$4:$D$26,MATCH($H883,'CAT_ACTIVIDADES'!$A$4:$A$26,0)),""))=0,(IFERROR(INDEX('CAT_ACTIVIDADES'!$D$4:$D$26,MATCH($H883,'CAT_ACTIVIDADES'!$A$4:$A$26,0)),""))=""),"SIN CLASIFICAR",IFERROR(INDEX('CAT_ACTIVIDADES'!$D$4:$D$26,MATCH($H883,'CAT_ACTIVIDADES'!$A$4:$A$26,0)),"")))</f>
        <v/>
      </c>
      <c r="AP883" s="4" t="n"/>
      <c r="AQ883" s="4" t="n"/>
      <c r="AR883" s="4" t="n"/>
      <c r="AS883" s="24">
        <f>IF($AR883="","",HYPERLINK(p_ruta_base_checklists&amp;$AR883,"abrir"))</f>
        <v/>
      </c>
      <c r="AT883" s="4" t="n"/>
      <c r="AU883" s="24">
        <f>IF($A883="","",$A883&amp;IF($B883="","0010",$B883))</f>
        <v/>
      </c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41" t="n"/>
      <c r="K884" s="5" t="n"/>
      <c r="L884" s="18" t="n"/>
      <c r="M884" s="24">
        <f>IF($A884="","",IFERROR(INDEX('AJUSTES'!$B$4:$B$303,MATCH($AU884,'AJUSTES'!$A$4:$A$303,0)),IF($K884="","",$K884)))</f>
        <v/>
      </c>
      <c r="N884" s="24">
        <f>IF($A884="","",IFERROR(INDEX('CAT_ESTADOS_ERP'!$B$4:$B$22,MATCH(IFERROR(INDEX('2_IMPORTAR_EJECUCION'!$C$9:$C$1208,MATCH($AU884,'2_IMPORTAR_EJECUCION'!$J$9:$J$1208,0)),""),'CAT_ESTADOS_ERP'!$A$4:$A$22,0)),"Pendiente"))</f>
        <v/>
      </c>
      <c r="O884" s="24">
        <f>IF($J884="","",YEAR($J884+4-WEEKDAY($J884,2))&amp;"-S"&amp;TEXT(_xlfn.ISOWEEKNUM($J884),"00"))</f>
        <v/>
      </c>
      <c r="P884" s="24">
        <f>IF($J884="","",YEAR($J884))</f>
        <v/>
      </c>
      <c r="Q884" s="24">
        <f>IF($J884="","",MONTH($J884))</f>
        <v/>
      </c>
      <c r="R884" s="24">
        <f>IF($J884="","",$P884&amp;"-"&amp;TEXT($Q884,"00"))</f>
        <v/>
      </c>
      <c r="S884" s="24">
        <f>IF($J884="","",INDEX(lista_dias,WEEKDAY($J884,2)))</f>
        <v/>
      </c>
      <c r="T884" s="24">
        <f>IF($J884="","",IFERROR(INDEX('CALENDARIO'!$C$15:$C$214,MATCH(TEXT($J884,"yyyy-mm-dd")&amp;"|"&amp;$Y884&amp;"|"&amp;$Z884,'CALENDARIO'!$G$15:$G$214,0)),IFERROR(INDEX('CALENDARIO'!$C$15:$C$214,MATCH(TEXT($J884,"yyyy-mm-dd")&amp;"|"&amp;$Y884&amp;"|",'CALENDARIO'!$G$15:$G$214,0)),IFERROR(INDEX('CALENDARIO'!$C$15:$C$214,MATCH(TEXT($J884,"yyyy-mm-dd")&amp;"||",'CALENDARIO'!$G$15:$G$214,0)),INDEX(patronHabil,WEEKDAY($J884,2))))))</f>
        <v/>
      </c>
      <c r="U884" s="24">
        <f>IF($I884="","",IFERROR(INDEX('CAT_TIPOS_OT'!$C$4:$C$23,MATCH($I884,'CAT_TIPOS_OT'!$A$4:$A$23,0)),"sin_clasificar"))</f>
        <v/>
      </c>
      <c r="V884" s="24">
        <f>IF($I884="","",IF(IFERROR(INDEX('CAT_TIPOS_OT'!$D$4:$D$23,MATCH($I884,'CAT_TIPOS_OT'!$A$4:$A$23,0)),"SIN CLASIFICAR")="","SIN CLASIFICAR",IFERROR(INDEX('CAT_TIPOS_OT'!$D$4:$D$23,MATCH($I884,'CAT_TIPOS_OT'!$A$4:$A$23,0)),"SIN CLASIFICAR")))</f>
        <v/>
      </c>
      <c r="W884" s="24">
        <f>IF($H884="","",IF(IFERROR(INDEX('CAT_ACTIVIDADES'!$F$4:$F$26,MATCH($H884,'CAT_ACTIVIDADES'!$A$4:$A$26,0)),"")=0,"",IFERROR(INDEX('CAT_ACTIVIDADES'!$F$4:$F$26,MATCH($H884,'CAT_ACTIVIDADES'!$A$4:$A$26,0)),"")))</f>
        <v/>
      </c>
      <c r="X884" s="24">
        <f>IF($F884="","",IFERROR(INDEX('CAT_CENTROS_COSTO'!$F$4:$F$28,MATCH($F884,'CAT_CENTROS_COSTO'!$A$4:$A$28,0)),"(sin catálogo)"))</f>
        <v/>
      </c>
      <c r="Y884" s="24">
        <f>IF($F884="","",IFERROR(INDEX('CAT_CENTROS_COSTO'!$D$4:$D$28,MATCH($F884,'CAT_CENTROS_COSTO'!$A$4:$A$28,0)),"(sin catálogo)"))</f>
        <v/>
      </c>
      <c r="Z884" s="24">
        <f>IF($F884="","",IF((IFERROR(INDEX('CAT_CENTROS_COSTO'!$E$4:$E$28,MATCH($F884,'CAT_CENTROS_COSTO'!$A$4:$A$28,0)),""))&lt;&gt;"",IFERROR(INDEX('CAT_CENTROS_COSTO'!$E$4:$E$28,MATCH($F884,'CAT_CENTROS_COSTO'!$A$4:$A$28,0)),""),$Y884))</f>
        <v/>
      </c>
      <c r="AA884" s="24">
        <f>IF($F884="","",IFERROR(INDEX('CAT_CENTROS_COSTO'!$G$4:$G$28,MATCH($F884,'CAT_CENTROS_COSTO'!$A$4:$A$28,0)),"(sin catálogo)"))</f>
        <v/>
      </c>
      <c r="AB884" s="24">
        <f>IF($G884="","",IFERROR(INDEX('CAT_PUESTOS'!$B$4:$B$23,MATCH($G884,'CAT_PUESTOS'!$A$4:$A$23,0)),"(sin catálogo)"))</f>
        <v/>
      </c>
      <c r="AC884" s="24">
        <f>IF($H884="","",IFERROR(INDEX('CAT_ACTIVIDADES'!$B$4:$B$26,MATCH($H884,'CAT_ACTIVIDADES'!$A$4:$A$26,0)),"(sin catálogo)"))</f>
        <v/>
      </c>
      <c r="AD884" s="26">
        <f>IF($J884="","",TODAY()-$J884)</f>
        <v/>
      </c>
      <c r="AE884" s="26">
        <f>IF($J884="","",IF($J884&lt;=TODAY(),COUNTIFS(cal_fechas,"&gt;="&amp;$J884,cal_fechas,"&lt;"&amp;TODAY(),cal_habil,"sí"),-COUNTIFS(cal_fechas,"&gt;="&amp;TODAY(),cal_fechas,"&lt;"&amp;$J884,cal_habil,"sí")))</f>
        <v/>
      </c>
      <c r="AF884" s="24">
        <f>IF($AE884="","",IF($AE884&lt;0,"FUTURO",IF($AE884&gt;p_dias_backlog_max,"BACKLOG","MES CORRIENTE")))</f>
        <v/>
      </c>
      <c r="AG884" s="24">
        <f>IF($AE884="",FALSE,AND($AE884&gt;p_dias_backlog_min,$AE884&lt;=p_dias_backlog_max))</f>
        <v/>
      </c>
      <c r="AH884" s="4" t="n"/>
      <c r="AI884" s="24">
        <f>IF($AH884="","",IF((IFERROR(INDEX('ASIGNACIONES'!$J$4:$J$451,MATCH($O884&amp;"|"&amp;$S884&amp;"|"&amp;$AH884,'ASIGNACIONES'!$N$4:$N$451,0)),""))=0,"",IFERROR(INDEX('ASIGNACIONES'!$J$4:$J$451,MATCH($O884&amp;"|"&amp;$S884&amp;"|"&amp;$AH884,'ASIGNACIONES'!$N$4:$N$451,0)),"")))</f>
        <v/>
      </c>
      <c r="AJ884" s="42">
        <f>IF($AH884="","",SUMIFS('ORDENES'!$M$4:$M$1203,'ORDENES'!$AH$4:$AH$1203,$AH884,'ORDENES'!$O$4:$O$1203,$O884,'ORDENES'!$S$4:$S$1203,$S884))</f>
        <v/>
      </c>
      <c r="AK884" s="42">
        <f>IF($AJ884="","",p_factor_productividad*IFERROR(INDEX('ASIGNACIONES'!$M$4:$M$451,MATCH($O884&amp;"|"&amp;$S884&amp;"|"&amp;$AH884,'ASIGNACIONES'!$N$4:$N$451,0)),0)-$AJ884)</f>
        <v/>
      </c>
      <c r="AL884" s="32">
        <f>IF($A884="","",IFERROR(INDEX('2_IMPORTAR_EJECUCION'!$F$9:$F$1208,MATCH($AU884,'2_IMPORTAR_EJECUCION'!$J$9:$J$1208,0)),0))</f>
        <v/>
      </c>
      <c r="AM884" s="32">
        <f>IF($A884="","",MAX(0,IFERROR(INDEX('2_IMPORTAR_EJECUCION'!$H$9:$H$1208,MATCH($AU884,'2_IMPORTAR_EJECUCION'!$J$9:$J$1208,0)),0)-$AL884))</f>
        <v/>
      </c>
      <c r="AN884" s="32">
        <f>IF($A884="","",$AL884+$AM884)</f>
        <v/>
      </c>
      <c r="AO884" s="24">
        <f>IF($A884="","",IF(OR((IFERROR(INDEX('CAT_ACTIVIDADES'!$D$4:$D$26,MATCH($H884,'CAT_ACTIVIDADES'!$A$4:$A$26,0)),""))=0,(IFERROR(INDEX('CAT_ACTIVIDADES'!$D$4:$D$26,MATCH($H884,'CAT_ACTIVIDADES'!$A$4:$A$26,0)),""))=""),"SIN CLASIFICAR",IFERROR(INDEX('CAT_ACTIVIDADES'!$D$4:$D$26,MATCH($H884,'CAT_ACTIVIDADES'!$A$4:$A$26,0)),"")))</f>
        <v/>
      </c>
      <c r="AP884" s="4" t="n"/>
      <c r="AQ884" s="4" t="n"/>
      <c r="AR884" s="4" t="n"/>
      <c r="AS884" s="24">
        <f>IF($AR884="","",HYPERLINK(p_ruta_base_checklists&amp;$AR884,"abrir"))</f>
        <v/>
      </c>
      <c r="AT884" s="4" t="n"/>
      <c r="AU884" s="24">
        <f>IF($A884="","",$A884&amp;IF($B884="","0010",$B884))</f>
        <v/>
      </c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41" t="n"/>
      <c r="K885" s="5" t="n"/>
      <c r="L885" s="18" t="n"/>
      <c r="M885" s="24">
        <f>IF($A885="","",IFERROR(INDEX('AJUSTES'!$B$4:$B$303,MATCH($AU885,'AJUSTES'!$A$4:$A$303,0)),IF($K885="","",$K885)))</f>
        <v/>
      </c>
      <c r="N885" s="24">
        <f>IF($A885="","",IFERROR(INDEX('CAT_ESTADOS_ERP'!$B$4:$B$22,MATCH(IFERROR(INDEX('2_IMPORTAR_EJECUCION'!$C$9:$C$1208,MATCH($AU885,'2_IMPORTAR_EJECUCION'!$J$9:$J$1208,0)),""),'CAT_ESTADOS_ERP'!$A$4:$A$22,0)),"Pendiente"))</f>
        <v/>
      </c>
      <c r="O885" s="24">
        <f>IF($J885="","",YEAR($J885+4-WEEKDAY($J885,2))&amp;"-S"&amp;TEXT(_xlfn.ISOWEEKNUM($J885),"00"))</f>
        <v/>
      </c>
      <c r="P885" s="24">
        <f>IF($J885="","",YEAR($J885))</f>
        <v/>
      </c>
      <c r="Q885" s="24">
        <f>IF($J885="","",MONTH($J885))</f>
        <v/>
      </c>
      <c r="R885" s="24">
        <f>IF($J885="","",$P885&amp;"-"&amp;TEXT($Q885,"00"))</f>
        <v/>
      </c>
      <c r="S885" s="24">
        <f>IF($J885="","",INDEX(lista_dias,WEEKDAY($J885,2)))</f>
        <v/>
      </c>
      <c r="T885" s="24">
        <f>IF($J885="","",IFERROR(INDEX('CALENDARIO'!$C$15:$C$214,MATCH(TEXT($J885,"yyyy-mm-dd")&amp;"|"&amp;$Y885&amp;"|"&amp;$Z885,'CALENDARIO'!$G$15:$G$214,0)),IFERROR(INDEX('CALENDARIO'!$C$15:$C$214,MATCH(TEXT($J885,"yyyy-mm-dd")&amp;"|"&amp;$Y885&amp;"|",'CALENDARIO'!$G$15:$G$214,0)),IFERROR(INDEX('CALENDARIO'!$C$15:$C$214,MATCH(TEXT($J885,"yyyy-mm-dd")&amp;"||",'CALENDARIO'!$G$15:$G$214,0)),INDEX(patronHabil,WEEKDAY($J885,2))))))</f>
        <v/>
      </c>
      <c r="U885" s="24">
        <f>IF($I885="","",IFERROR(INDEX('CAT_TIPOS_OT'!$C$4:$C$23,MATCH($I885,'CAT_TIPOS_OT'!$A$4:$A$23,0)),"sin_clasificar"))</f>
        <v/>
      </c>
      <c r="V885" s="24">
        <f>IF($I885="","",IF(IFERROR(INDEX('CAT_TIPOS_OT'!$D$4:$D$23,MATCH($I885,'CAT_TIPOS_OT'!$A$4:$A$23,0)),"SIN CLASIFICAR")="","SIN CLASIFICAR",IFERROR(INDEX('CAT_TIPOS_OT'!$D$4:$D$23,MATCH($I885,'CAT_TIPOS_OT'!$A$4:$A$23,0)),"SIN CLASIFICAR")))</f>
        <v/>
      </c>
      <c r="W885" s="24">
        <f>IF($H885="","",IF(IFERROR(INDEX('CAT_ACTIVIDADES'!$F$4:$F$26,MATCH($H885,'CAT_ACTIVIDADES'!$A$4:$A$26,0)),"")=0,"",IFERROR(INDEX('CAT_ACTIVIDADES'!$F$4:$F$26,MATCH($H885,'CAT_ACTIVIDADES'!$A$4:$A$26,0)),"")))</f>
        <v/>
      </c>
      <c r="X885" s="24">
        <f>IF($F885="","",IFERROR(INDEX('CAT_CENTROS_COSTO'!$F$4:$F$28,MATCH($F885,'CAT_CENTROS_COSTO'!$A$4:$A$28,0)),"(sin catálogo)"))</f>
        <v/>
      </c>
      <c r="Y885" s="24">
        <f>IF($F885="","",IFERROR(INDEX('CAT_CENTROS_COSTO'!$D$4:$D$28,MATCH($F885,'CAT_CENTROS_COSTO'!$A$4:$A$28,0)),"(sin catálogo)"))</f>
        <v/>
      </c>
      <c r="Z885" s="24">
        <f>IF($F885="","",IF((IFERROR(INDEX('CAT_CENTROS_COSTO'!$E$4:$E$28,MATCH($F885,'CAT_CENTROS_COSTO'!$A$4:$A$28,0)),""))&lt;&gt;"",IFERROR(INDEX('CAT_CENTROS_COSTO'!$E$4:$E$28,MATCH($F885,'CAT_CENTROS_COSTO'!$A$4:$A$28,0)),""),$Y885))</f>
        <v/>
      </c>
      <c r="AA885" s="24">
        <f>IF($F885="","",IFERROR(INDEX('CAT_CENTROS_COSTO'!$G$4:$G$28,MATCH($F885,'CAT_CENTROS_COSTO'!$A$4:$A$28,0)),"(sin catálogo)"))</f>
        <v/>
      </c>
      <c r="AB885" s="24">
        <f>IF($G885="","",IFERROR(INDEX('CAT_PUESTOS'!$B$4:$B$23,MATCH($G885,'CAT_PUESTOS'!$A$4:$A$23,0)),"(sin catálogo)"))</f>
        <v/>
      </c>
      <c r="AC885" s="24">
        <f>IF($H885="","",IFERROR(INDEX('CAT_ACTIVIDADES'!$B$4:$B$26,MATCH($H885,'CAT_ACTIVIDADES'!$A$4:$A$26,0)),"(sin catálogo)"))</f>
        <v/>
      </c>
      <c r="AD885" s="26">
        <f>IF($J885="","",TODAY()-$J885)</f>
        <v/>
      </c>
      <c r="AE885" s="26">
        <f>IF($J885="","",IF($J885&lt;=TODAY(),COUNTIFS(cal_fechas,"&gt;="&amp;$J885,cal_fechas,"&lt;"&amp;TODAY(),cal_habil,"sí"),-COUNTIFS(cal_fechas,"&gt;="&amp;TODAY(),cal_fechas,"&lt;"&amp;$J885,cal_habil,"sí")))</f>
        <v/>
      </c>
      <c r="AF885" s="24">
        <f>IF($AE885="","",IF($AE885&lt;0,"FUTURO",IF($AE885&gt;p_dias_backlog_max,"BACKLOG","MES CORRIENTE")))</f>
        <v/>
      </c>
      <c r="AG885" s="24">
        <f>IF($AE885="",FALSE,AND($AE885&gt;p_dias_backlog_min,$AE885&lt;=p_dias_backlog_max))</f>
        <v/>
      </c>
      <c r="AH885" s="4" t="n"/>
      <c r="AI885" s="24">
        <f>IF($AH885="","",IF((IFERROR(INDEX('ASIGNACIONES'!$J$4:$J$451,MATCH($O885&amp;"|"&amp;$S885&amp;"|"&amp;$AH885,'ASIGNACIONES'!$N$4:$N$451,0)),""))=0,"",IFERROR(INDEX('ASIGNACIONES'!$J$4:$J$451,MATCH($O885&amp;"|"&amp;$S885&amp;"|"&amp;$AH885,'ASIGNACIONES'!$N$4:$N$451,0)),"")))</f>
        <v/>
      </c>
      <c r="AJ885" s="42">
        <f>IF($AH885="","",SUMIFS('ORDENES'!$M$4:$M$1203,'ORDENES'!$AH$4:$AH$1203,$AH885,'ORDENES'!$O$4:$O$1203,$O885,'ORDENES'!$S$4:$S$1203,$S885))</f>
        <v/>
      </c>
      <c r="AK885" s="42">
        <f>IF($AJ885="","",p_factor_productividad*IFERROR(INDEX('ASIGNACIONES'!$M$4:$M$451,MATCH($O885&amp;"|"&amp;$S885&amp;"|"&amp;$AH885,'ASIGNACIONES'!$N$4:$N$451,0)),0)-$AJ885)</f>
        <v/>
      </c>
      <c r="AL885" s="32">
        <f>IF($A885="","",IFERROR(INDEX('2_IMPORTAR_EJECUCION'!$F$9:$F$1208,MATCH($AU885,'2_IMPORTAR_EJECUCION'!$J$9:$J$1208,0)),0))</f>
        <v/>
      </c>
      <c r="AM885" s="32">
        <f>IF($A885="","",MAX(0,IFERROR(INDEX('2_IMPORTAR_EJECUCION'!$H$9:$H$1208,MATCH($AU885,'2_IMPORTAR_EJECUCION'!$J$9:$J$1208,0)),0)-$AL885))</f>
        <v/>
      </c>
      <c r="AN885" s="32">
        <f>IF($A885="","",$AL885+$AM885)</f>
        <v/>
      </c>
      <c r="AO885" s="24">
        <f>IF($A885="","",IF(OR((IFERROR(INDEX('CAT_ACTIVIDADES'!$D$4:$D$26,MATCH($H885,'CAT_ACTIVIDADES'!$A$4:$A$26,0)),""))=0,(IFERROR(INDEX('CAT_ACTIVIDADES'!$D$4:$D$26,MATCH($H885,'CAT_ACTIVIDADES'!$A$4:$A$26,0)),""))=""),"SIN CLASIFICAR",IFERROR(INDEX('CAT_ACTIVIDADES'!$D$4:$D$26,MATCH($H885,'CAT_ACTIVIDADES'!$A$4:$A$26,0)),"")))</f>
        <v/>
      </c>
      <c r="AP885" s="4" t="n"/>
      <c r="AQ885" s="4" t="n"/>
      <c r="AR885" s="4" t="n"/>
      <c r="AS885" s="24">
        <f>IF($AR885="","",HYPERLINK(p_ruta_base_checklists&amp;$AR885,"abrir"))</f>
        <v/>
      </c>
      <c r="AT885" s="4" t="n"/>
      <c r="AU885" s="24">
        <f>IF($A885="","",$A885&amp;IF($B885="","0010",$B885))</f>
        <v/>
      </c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41" t="n"/>
      <c r="K886" s="5" t="n"/>
      <c r="L886" s="18" t="n"/>
      <c r="M886" s="24">
        <f>IF($A886="","",IFERROR(INDEX('AJUSTES'!$B$4:$B$303,MATCH($AU886,'AJUSTES'!$A$4:$A$303,0)),IF($K886="","",$K886)))</f>
        <v/>
      </c>
      <c r="N886" s="24">
        <f>IF($A886="","",IFERROR(INDEX('CAT_ESTADOS_ERP'!$B$4:$B$22,MATCH(IFERROR(INDEX('2_IMPORTAR_EJECUCION'!$C$9:$C$1208,MATCH($AU886,'2_IMPORTAR_EJECUCION'!$J$9:$J$1208,0)),""),'CAT_ESTADOS_ERP'!$A$4:$A$22,0)),"Pendiente"))</f>
        <v/>
      </c>
      <c r="O886" s="24">
        <f>IF($J886="","",YEAR($J886+4-WEEKDAY($J886,2))&amp;"-S"&amp;TEXT(_xlfn.ISOWEEKNUM($J886),"00"))</f>
        <v/>
      </c>
      <c r="P886" s="24">
        <f>IF($J886="","",YEAR($J886))</f>
        <v/>
      </c>
      <c r="Q886" s="24">
        <f>IF($J886="","",MONTH($J886))</f>
        <v/>
      </c>
      <c r="R886" s="24">
        <f>IF($J886="","",$P886&amp;"-"&amp;TEXT($Q886,"00"))</f>
        <v/>
      </c>
      <c r="S886" s="24">
        <f>IF($J886="","",INDEX(lista_dias,WEEKDAY($J886,2)))</f>
        <v/>
      </c>
      <c r="T886" s="24">
        <f>IF($J886="","",IFERROR(INDEX('CALENDARIO'!$C$15:$C$214,MATCH(TEXT($J886,"yyyy-mm-dd")&amp;"|"&amp;$Y886&amp;"|"&amp;$Z886,'CALENDARIO'!$G$15:$G$214,0)),IFERROR(INDEX('CALENDARIO'!$C$15:$C$214,MATCH(TEXT($J886,"yyyy-mm-dd")&amp;"|"&amp;$Y886&amp;"|",'CALENDARIO'!$G$15:$G$214,0)),IFERROR(INDEX('CALENDARIO'!$C$15:$C$214,MATCH(TEXT($J886,"yyyy-mm-dd")&amp;"||",'CALENDARIO'!$G$15:$G$214,0)),INDEX(patronHabil,WEEKDAY($J886,2))))))</f>
        <v/>
      </c>
      <c r="U886" s="24">
        <f>IF($I886="","",IFERROR(INDEX('CAT_TIPOS_OT'!$C$4:$C$23,MATCH($I886,'CAT_TIPOS_OT'!$A$4:$A$23,0)),"sin_clasificar"))</f>
        <v/>
      </c>
      <c r="V886" s="24">
        <f>IF($I886="","",IF(IFERROR(INDEX('CAT_TIPOS_OT'!$D$4:$D$23,MATCH($I886,'CAT_TIPOS_OT'!$A$4:$A$23,0)),"SIN CLASIFICAR")="","SIN CLASIFICAR",IFERROR(INDEX('CAT_TIPOS_OT'!$D$4:$D$23,MATCH($I886,'CAT_TIPOS_OT'!$A$4:$A$23,0)),"SIN CLASIFICAR")))</f>
        <v/>
      </c>
      <c r="W886" s="24">
        <f>IF($H886="","",IF(IFERROR(INDEX('CAT_ACTIVIDADES'!$F$4:$F$26,MATCH($H886,'CAT_ACTIVIDADES'!$A$4:$A$26,0)),"")=0,"",IFERROR(INDEX('CAT_ACTIVIDADES'!$F$4:$F$26,MATCH($H886,'CAT_ACTIVIDADES'!$A$4:$A$26,0)),"")))</f>
        <v/>
      </c>
      <c r="X886" s="24">
        <f>IF($F886="","",IFERROR(INDEX('CAT_CENTROS_COSTO'!$F$4:$F$28,MATCH($F886,'CAT_CENTROS_COSTO'!$A$4:$A$28,0)),"(sin catálogo)"))</f>
        <v/>
      </c>
      <c r="Y886" s="24">
        <f>IF($F886="","",IFERROR(INDEX('CAT_CENTROS_COSTO'!$D$4:$D$28,MATCH($F886,'CAT_CENTROS_COSTO'!$A$4:$A$28,0)),"(sin catálogo)"))</f>
        <v/>
      </c>
      <c r="Z886" s="24">
        <f>IF($F886="","",IF((IFERROR(INDEX('CAT_CENTROS_COSTO'!$E$4:$E$28,MATCH($F886,'CAT_CENTROS_COSTO'!$A$4:$A$28,0)),""))&lt;&gt;"",IFERROR(INDEX('CAT_CENTROS_COSTO'!$E$4:$E$28,MATCH($F886,'CAT_CENTROS_COSTO'!$A$4:$A$28,0)),""),$Y886))</f>
        <v/>
      </c>
      <c r="AA886" s="24">
        <f>IF($F886="","",IFERROR(INDEX('CAT_CENTROS_COSTO'!$G$4:$G$28,MATCH($F886,'CAT_CENTROS_COSTO'!$A$4:$A$28,0)),"(sin catálogo)"))</f>
        <v/>
      </c>
      <c r="AB886" s="24">
        <f>IF($G886="","",IFERROR(INDEX('CAT_PUESTOS'!$B$4:$B$23,MATCH($G886,'CAT_PUESTOS'!$A$4:$A$23,0)),"(sin catálogo)"))</f>
        <v/>
      </c>
      <c r="AC886" s="24">
        <f>IF($H886="","",IFERROR(INDEX('CAT_ACTIVIDADES'!$B$4:$B$26,MATCH($H886,'CAT_ACTIVIDADES'!$A$4:$A$26,0)),"(sin catálogo)"))</f>
        <v/>
      </c>
      <c r="AD886" s="26">
        <f>IF($J886="","",TODAY()-$J886)</f>
        <v/>
      </c>
      <c r="AE886" s="26">
        <f>IF($J886="","",IF($J886&lt;=TODAY(),COUNTIFS(cal_fechas,"&gt;="&amp;$J886,cal_fechas,"&lt;"&amp;TODAY(),cal_habil,"sí"),-COUNTIFS(cal_fechas,"&gt;="&amp;TODAY(),cal_fechas,"&lt;"&amp;$J886,cal_habil,"sí")))</f>
        <v/>
      </c>
      <c r="AF886" s="24">
        <f>IF($AE886="","",IF($AE886&lt;0,"FUTURO",IF($AE886&gt;p_dias_backlog_max,"BACKLOG","MES CORRIENTE")))</f>
        <v/>
      </c>
      <c r="AG886" s="24">
        <f>IF($AE886="",FALSE,AND($AE886&gt;p_dias_backlog_min,$AE886&lt;=p_dias_backlog_max))</f>
        <v/>
      </c>
      <c r="AH886" s="4" t="n"/>
      <c r="AI886" s="24">
        <f>IF($AH886="","",IF((IFERROR(INDEX('ASIGNACIONES'!$J$4:$J$451,MATCH($O886&amp;"|"&amp;$S886&amp;"|"&amp;$AH886,'ASIGNACIONES'!$N$4:$N$451,0)),""))=0,"",IFERROR(INDEX('ASIGNACIONES'!$J$4:$J$451,MATCH($O886&amp;"|"&amp;$S886&amp;"|"&amp;$AH886,'ASIGNACIONES'!$N$4:$N$451,0)),"")))</f>
        <v/>
      </c>
      <c r="AJ886" s="42">
        <f>IF($AH886="","",SUMIFS('ORDENES'!$M$4:$M$1203,'ORDENES'!$AH$4:$AH$1203,$AH886,'ORDENES'!$O$4:$O$1203,$O886,'ORDENES'!$S$4:$S$1203,$S886))</f>
        <v/>
      </c>
      <c r="AK886" s="42">
        <f>IF($AJ886="","",p_factor_productividad*IFERROR(INDEX('ASIGNACIONES'!$M$4:$M$451,MATCH($O886&amp;"|"&amp;$S886&amp;"|"&amp;$AH886,'ASIGNACIONES'!$N$4:$N$451,0)),0)-$AJ886)</f>
        <v/>
      </c>
      <c r="AL886" s="32">
        <f>IF($A886="","",IFERROR(INDEX('2_IMPORTAR_EJECUCION'!$F$9:$F$1208,MATCH($AU886,'2_IMPORTAR_EJECUCION'!$J$9:$J$1208,0)),0))</f>
        <v/>
      </c>
      <c r="AM886" s="32">
        <f>IF($A886="","",MAX(0,IFERROR(INDEX('2_IMPORTAR_EJECUCION'!$H$9:$H$1208,MATCH($AU886,'2_IMPORTAR_EJECUCION'!$J$9:$J$1208,0)),0)-$AL886))</f>
        <v/>
      </c>
      <c r="AN886" s="32">
        <f>IF($A886="","",$AL886+$AM886)</f>
        <v/>
      </c>
      <c r="AO886" s="24">
        <f>IF($A886="","",IF(OR((IFERROR(INDEX('CAT_ACTIVIDADES'!$D$4:$D$26,MATCH($H886,'CAT_ACTIVIDADES'!$A$4:$A$26,0)),""))=0,(IFERROR(INDEX('CAT_ACTIVIDADES'!$D$4:$D$26,MATCH($H886,'CAT_ACTIVIDADES'!$A$4:$A$26,0)),""))=""),"SIN CLASIFICAR",IFERROR(INDEX('CAT_ACTIVIDADES'!$D$4:$D$26,MATCH($H886,'CAT_ACTIVIDADES'!$A$4:$A$26,0)),"")))</f>
        <v/>
      </c>
      <c r="AP886" s="4" t="n"/>
      <c r="AQ886" s="4" t="n"/>
      <c r="AR886" s="4" t="n"/>
      <c r="AS886" s="24">
        <f>IF($AR886="","",HYPERLINK(p_ruta_base_checklists&amp;$AR886,"abrir"))</f>
        <v/>
      </c>
      <c r="AT886" s="4" t="n"/>
      <c r="AU886" s="24">
        <f>IF($A886="","",$A886&amp;IF($B886="","0010",$B886))</f>
        <v/>
      </c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41" t="n"/>
      <c r="K887" s="5" t="n"/>
      <c r="L887" s="18" t="n"/>
      <c r="M887" s="24">
        <f>IF($A887="","",IFERROR(INDEX('AJUSTES'!$B$4:$B$303,MATCH($AU887,'AJUSTES'!$A$4:$A$303,0)),IF($K887="","",$K887)))</f>
        <v/>
      </c>
      <c r="N887" s="24">
        <f>IF($A887="","",IFERROR(INDEX('CAT_ESTADOS_ERP'!$B$4:$B$22,MATCH(IFERROR(INDEX('2_IMPORTAR_EJECUCION'!$C$9:$C$1208,MATCH($AU887,'2_IMPORTAR_EJECUCION'!$J$9:$J$1208,0)),""),'CAT_ESTADOS_ERP'!$A$4:$A$22,0)),"Pendiente"))</f>
        <v/>
      </c>
      <c r="O887" s="24">
        <f>IF($J887="","",YEAR($J887+4-WEEKDAY($J887,2))&amp;"-S"&amp;TEXT(_xlfn.ISOWEEKNUM($J887),"00"))</f>
        <v/>
      </c>
      <c r="P887" s="24">
        <f>IF($J887="","",YEAR($J887))</f>
        <v/>
      </c>
      <c r="Q887" s="24">
        <f>IF($J887="","",MONTH($J887))</f>
        <v/>
      </c>
      <c r="R887" s="24">
        <f>IF($J887="","",$P887&amp;"-"&amp;TEXT($Q887,"00"))</f>
        <v/>
      </c>
      <c r="S887" s="24">
        <f>IF($J887="","",INDEX(lista_dias,WEEKDAY($J887,2)))</f>
        <v/>
      </c>
      <c r="T887" s="24">
        <f>IF($J887="","",IFERROR(INDEX('CALENDARIO'!$C$15:$C$214,MATCH(TEXT($J887,"yyyy-mm-dd")&amp;"|"&amp;$Y887&amp;"|"&amp;$Z887,'CALENDARIO'!$G$15:$G$214,0)),IFERROR(INDEX('CALENDARIO'!$C$15:$C$214,MATCH(TEXT($J887,"yyyy-mm-dd")&amp;"|"&amp;$Y887&amp;"|",'CALENDARIO'!$G$15:$G$214,0)),IFERROR(INDEX('CALENDARIO'!$C$15:$C$214,MATCH(TEXT($J887,"yyyy-mm-dd")&amp;"||",'CALENDARIO'!$G$15:$G$214,0)),INDEX(patronHabil,WEEKDAY($J887,2))))))</f>
        <v/>
      </c>
      <c r="U887" s="24">
        <f>IF($I887="","",IFERROR(INDEX('CAT_TIPOS_OT'!$C$4:$C$23,MATCH($I887,'CAT_TIPOS_OT'!$A$4:$A$23,0)),"sin_clasificar"))</f>
        <v/>
      </c>
      <c r="V887" s="24">
        <f>IF($I887="","",IF(IFERROR(INDEX('CAT_TIPOS_OT'!$D$4:$D$23,MATCH($I887,'CAT_TIPOS_OT'!$A$4:$A$23,0)),"SIN CLASIFICAR")="","SIN CLASIFICAR",IFERROR(INDEX('CAT_TIPOS_OT'!$D$4:$D$23,MATCH($I887,'CAT_TIPOS_OT'!$A$4:$A$23,0)),"SIN CLASIFICAR")))</f>
        <v/>
      </c>
      <c r="W887" s="24">
        <f>IF($H887="","",IF(IFERROR(INDEX('CAT_ACTIVIDADES'!$F$4:$F$26,MATCH($H887,'CAT_ACTIVIDADES'!$A$4:$A$26,0)),"")=0,"",IFERROR(INDEX('CAT_ACTIVIDADES'!$F$4:$F$26,MATCH($H887,'CAT_ACTIVIDADES'!$A$4:$A$26,0)),"")))</f>
        <v/>
      </c>
      <c r="X887" s="24">
        <f>IF($F887="","",IFERROR(INDEX('CAT_CENTROS_COSTO'!$F$4:$F$28,MATCH($F887,'CAT_CENTROS_COSTO'!$A$4:$A$28,0)),"(sin catálogo)"))</f>
        <v/>
      </c>
      <c r="Y887" s="24">
        <f>IF($F887="","",IFERROR(INDEX('CAT_CENTROS_COSTO'!$D$4:$D$28,MATCH($F887,'CAT_CENTROS_COSTO'!$A$4:$A$28,0)),"(sin catálogo)"))</f>
        <v/>
      </c>
      <c r="Z887" s="24">
        <f>IF($F887="","",IF((IFERROR(INDEX('CAT_CENTROS_COSTO'!$E$4:$E$28,MATCH($F887,'CAT_CENTROS_COSTO'!$A$4:$A$28,0)),""))&lt;&gt;"",IFERROR(INDEX('CAT_CENTROS_COSTO'!$E$4:$E$28,MATCH($F887,'CAT_CENTROS_COSTO'!$A$4:$A$28,0)),""),$Y887))</f>
        <v/>
      </c>
      <c r="AA887" s="24">
        <f>IF($F887="","",IFERROR(INDEX('CAT_CENTROS_COSTO'!$G$4:$G$28,MATCH($F887,'CAT_CENTROS_COSTO'!$A$4:$A$28,0)),"(sin catálogo)"))</f>
        <v/>
      </c>
      <c r="AB887" s="24">
        <f>IF($G887="","",IFERROR(INDEX('CAT_PUESTOS'!$B$4:$B$23,MATCH($G887,'CAT_PUESTOS'!$A$4:$A$23,0)),"(sin catálogo)"))</f>
        <v/>
      </c>
      <c r="AC887" s="24">
        <f>IF($H887="","",IFERROR(INDEX('CAT_ACTIVIDADES'!$B$4:$B$26,MATCH($H887,'CAT_ACTIVIDADES'!$A$4:$A$26,0)),"(sin catálogo)"))</f>
        <v/>
      </c>
      <c r="AD887" s="26">
        <f>IF($J887="","",TODAY()-$J887)</f>
        <v/>
      </c>
      <c r="AE887" s="26">
        <f>IF($J887="","",IF($J887&lt;=TODAY(),COUNTIFS(cal_fechas,"&gt;="&amp;$J887,cal_fechas,"&lt;"&amp;TODAY(),cal_habil,"sí"),-COUNTIFS(cal_fechas,"&gt;="&amp;TODAY(),cal_fechas,"&lt;"&amp;$J887,cal_habil,"sí")))</f>
        <v/>
      </c>
      <c r="AF887" s="24">
        <f>IF($AE887="","",IF($AE887&lt;0,"FUTURO",IF($AE887&gt;p_dias_backlog_max,"BACKLOG","MES CORRIENTE")))</f>
        <v/>
      </c>
      <c r="AG887" s="24">
        <f>IF($AE887="",FALSE,AND($AE887&gt;p_dias_backlog_min,$AE887&lt;=p_dias_backlog_max))</f>
        <v/>
      </c>
      <c r="AH887" s="4" t="n"/>
      <c r="AI887" s="24">
        <f>IF($AH887="","",IF((IFERROR(INDEX('ASIGNACIONES'!$J$4:$J$451,MATCH($O887&amp;"|"&amp;$S887&amp;"|"&amp;$AH887,'ASIGNACIONES'!$N$4:$N$451,0)),""))=0,"",IFERROR(INDEX('ASIGNACIONES'!$J$4:$J$451,MATCH($O887&amp;"|"&amp;$S887&amp;"|"&amp;$AH887,'ASIGNACIONES'!$N$4:$N$451,0)),"")))</f>
        <v/>
      </c>
      <c r="AJ887" s="42">
        <f>IF($AH887="","",SUMIFS('ORDENES'!$M$4:$M$1203,'ORDENES'!$AH$4:$AH$1203,$AH887,'ORDENES'!$O$4:$O$1203,$O887,'ORDENES'!$S$4:$S$1203,$S887))</f>
        <v/>
      </c>
      <c r="AK887" s="42">
        <f>IF($AJ887="","",p_factor_productividad*IFERROR(INDEX('ASIGNACIONES'!$M$4:$M$451,MATCH($O887&amp;"|"&amp;$S887&amp;"|"&amp;$AH887,'ASIGNACIONES'!$N$4:$N$451,0)),0)-$AJ887)</f>
        <v/>
      </c>
      <c r="AL887" s="32">
        <f>IF($A887="","",IFERROR(INDEX('2_IMPORTAR_EJECUCION'!$F$9:$F$1208,MATCH($AU887,'2_IMPORTAR_EJECUCION'!$J$9:$J$1208,0)),0))</f>
        <v/>
      </c>
      <c r="AM887" s="32">
        <f>IF($A887="","",MAX(0,IFERROR(INDEX('2_IMPORTAR_EJECUCION'!$H$9:$H$1208,MATCH($AU887,'2_IMPORTAR_EJECUCION'!$J$9:$J$1208,0)),0)-$AL887))</f>
        <v/>
      </c>
      <c r="AN887" s="32">
        <f>IF($A887="","",$AL887+$AM887)</f>
        <v/>
      </c>
      <c r="AO887" s="24">
        <f>IF($A887="","",IF(OR((IFERROR(INDEX('CAT_ACTIVIDADES'!$D$4:$D$26,MATCH($H887,'CAT_ACTIVIDADES'!$A$4:$A$26,0)),""))=0,(IFERROR(INDEX('CAT_ACTIVIDADES'!$D$4:$D$26,MATCH($H887,'CAT_ACTIVIDADES'!$A$4:$A$26,0)),""))=""),"SIN CLASIFICAR",IFERROR(INDEX('CAT_ACTIVIDADES'!$D$4:$D$26,MATCH($H887,'CAT_ACTIVIDADES'!$A$4:$A$26,0)),"")))</f>
        <v/>
      </c>
      <c r="AP887" s="4" t="n"/>
      <c r="AQ887" s="4" t="n"/>
      <c r="AR887" s="4" t="n"/>
      <c r="AS887" s="24">
        <f>IF($AR887="","",HYPERLINK(p_ruta_base_checklists&amp;$AR887,"abrir"))</f>
        <v/>
      </c>
      <c r="AT887" s="4" t="n"/>
      <c r="AU887" s="24">
        <f>IF($A887="","",$A887&amp;IF($B887="","0010",$B887))</f>
        <v/>
      </c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41" t="n"/>
      <c r="K888" s="5" t="n"/>
      <c r="L888" s="18" t="n"/>
      <c r="M888" s="24">
        <f>IF($A888="","",IFERROR(INDEX('AJUSTES'!$B$4:$B$303,MATCH($AU888,'AJUSTES'!$A$4:$A$303,0)),IF($K888="","",$K888)))</f>
        <v/>
      </c>
      <c r="N888" s="24">
        <f>IF($A888="","",IFERROR(INDEX('CAT_ESTADOS_ERP'!$B$4:$B$22,MATCH(IFERROR(INDEX('2_IMPORTAR_EJECUCION'!$C$9:$C$1208,MATCH($AU888,'2_IMPORTAR_EJECUCION'!$J$9:$J$1208,0)),""),'CAT_ESTADOS_ERP'!$A$4:$A$22,0)),"Pendiente"))</f>
        <v/>
      </c>
      <c r="O888" s="24">
        <f>IF($J888="","",YEAR($J888+4-WEEKDAY($J888,2))&amp;"-S"&amp;TEXT(_xlfn.ISOWEEKNUM($J888),"00"))</f>
        <v/>
      </c>
      <c r="P888" s="24">
        <f>IF($J888="","",YEAR($J888))</f>
        <v/>
      </c>
      <c r="Q888" s="24">
        <f>IF($J888="","",MONTH($J888))</f>
        <v/>
      </c>
      <c r="R888" s="24">
        <f>IF($J888="","",$P888&amp;"-"&amp;TEXT($Q888,"00"))</f>
        <v/>
      </c>
      <c r="S888" s="24">
        <f>IF($J888="","",INDEX(lista_dias,WEEKDAY($J888,2)))</f>
        <v/>
      </c>
      <c r="T888" s="24">
        <f>IF($J888="","",IFERROR(INDEX('CALENDARIO'!$C$15:$C$214,MATCH(TEXT($J888,"yyyy-mm-dd")&amp;"|"&amp;$Y888&amp;"|"&amp;$Z888,'CALENDARIO'!$G$15:$G$214,0)),IFERROR(INDEX('CALENDARIO'!$C$15:$C$214,MATCH(TEXT($J888,"yyyy-mm-dd")&amp;"|"&amp;$Y888&amp;"|",'CALENDARIO'!$G$15:$G$214,0)),IFERROR(INDEX('CALENDARIO'!$C$15:$C$214,MATCH(TEXT($J888,"yyyy-mm-dd")&amp;"||",'CALENDARIO'!$G$15:$G$214,0)),INDEX(patronHabil,WEEKDAY($J888,2))))))</f>
        <v/>
      </c>
      <c r="U888" s="24">
        <f>IF($I888="","",IFERROR(INDEX('CAT_TIPOS_OT'!$C$4:$C$23,MATCH($I888,'CAT_TIPOS_OT'!$A$4:$A$23,0)),"sin_clasificar"))</f>
        <v/>
      </c>
      <c r="V888" s="24">
        <f>IF($I888="","",IF(IFERROR(INDEX('CAT_TIPOS_OT'!$D$4:$D$23,MATCH($I888,'CAT_TIPOS_OT'!$A$4:$A$23,0)),"SIN CLASIFICAR")="","SIN CLASIFICAR",IFERROR(INDEX('CAT_TIPOS_OT'!$D$4:$D$23,MATCH($I888,'CAT_TIPOS_OT'!$A$4:$A$23,0)),"SIN CLASIFICAR")))</f>
        <v/>
      </c>
      <c r="W888" s="24">
        <f>IF($H888="","",IF(IFERROR(INDEX('CAT_ACTIVIDADES'!$F$4:$F$26,MATCH($H888,'CAT_ACTIVIDADES'!$A$4:$A$26,0)),"")=0,"",IFERROR(INDEX('CAT_ACTIVIDADES'!$F$4:$F$26,MATCH($H888,'CAT_ACTIVIDADES'!$A$4:$A$26,0)),"")))</f>
        <v/>
      </c>
      <c r="X888" s="24">
        <f>IF($F888="","",IFERROR(INDEX('CAT_CENTROS_COSTO'!$F$4:$F$28,MATCH($F888,'CAT_CENTROS_COSTO'!$A$4:$A$28,0)),"(sin catálogo)"))</f>
        <v/>
      </c>
      <c r="Y888" s="24">
        <f>IF($F888="","",IFERROR(INDEX('CAT_CENTROS_COSTO'!$D$4:$D$28,MATCH($F888,'CAT_CENTROS_COSTO'!$A$4:$A$28,0)),"(sin catálogo)"))</f>
        <v/>
      </c>
      <c r="Z888" s="24">
        <f>IF($F888="","",IF((IFERROR(INDEX('CAT_CENTROS_COSTO'!$E$4:$E$28,MATCH($F888,'CAT_CENTROS_COSTO'!$A$4:$A$28,0)),""))&lt;&gt;"",IFERROR(INDEX('CAT_CENTROS_COSTO'!$E$4:$E$28,MATCH($F888,'CAT_CENTROS_COSTO'!$A$4:$A$28,0)),""),$Y888))</f>
        <v/>
      </c>
      <c r="AA888" s="24">
        <f>IF($F888="","",IFERROR(INDEX('CAT_CENTROS_COSTO'!$G$4:$G$28,MATCH($F888,'CAT_CENTROS_COSTO'!$A$4:$A$28,0)),"(sin catálogo)"))</f>
        <v/>
      </c>
      <c r="AB888" s="24">
        <f>IF($G888="","",IFERROR(INDEX('CAT_PUESTOS'!$B$4:$B$23,MATCH($G888,'CAT_PUESTOS'!$A$4:$A$23,0)),"(sin catálogo)"))</f>
        <v/>
      </c>
      <c r="AC888" s="24">
        <f>IF($H888="","",IFERROR(INDEX('CAT_ACTIVIDADES'!$B$4:$B$26,MATCH($H888,'CAT_ACTIVIDADES'!$A$4:$A$26,0)),"(sin catálogo)"))</f>
        <v/>
      </c>
      <c r="AD888" s="26">
        <f>IF($J888="","",TODAY()-$J888)</f>
        <v/>
      </c>
      <c r="AE888" s="26">
        <f>IF($J888="","",IF($J888&lt;=TODAY(),COUNTIFS(cal_fechas,"&gt;="&amp;$J888,cal_fechas,"&lt;"&amp;TODAY(),cal_habil,"sí"),-COUNTIFS(cal_fechas,"&gt;="&amp;TODAY(),cal_fechas,"&lt;"&amp;$J888,cal_habil,"sí")))</f>
        <v/>
      </c>
      <c r="AF888" s="24">
        <f>IF($AE888="","",IF($AE888&lt;0,"FUTURO",IF($AE888&gt;p_dias_backlog_max,"BACKLOG","MES CORRIENTE")))</f>
        <v/>
      </c>
      <c r="AG888" s="24">
        <f>IF($AE888="",FALSE,AND($AE888&gt;p_dias_backlog_min,$AE888&lt;=p_dias_backlog_max))</f>
        <v/>
      </c>
      <c r="AH888" s="4" t="n"/>
      <c r="AI888" s="24">
        <f>IF($AH888="","",IF((IFERROR(INDEX('ASIGNACIONES'!$J$4:$J$451,MATCH($O888&amp;"|"&amp;$S888&amp;"|"&amp;$AH888,'ASIGNACIONES'!$N$4:$N$451,0)),""))=0,"",IFERROR(INDEX('ASIGNACIONES'!$J$4:$J$451,MATCH($O888&amp;"|"&amp;$S888&amp;"|"&amp;$AH888,'ASIGNACIONES'!$N$4:$N$451,0)),"")))</f>
        <v/>
      </c>
      <c r="AJ888" s="42">
        <f>IF($AH888="","",SUMIFS('ORDENES'!$M$4:$M$1203,'ORDENES'!$AH$4:$AH$1203,$AH888,'ORDENES'!$O$4:$O$1203,$O888,'ORDENES'!$S$4:$S$1203,$S888))</f>
        <v/>
      </c>
      <c r="AK888" s="42">
        <f>IF($AJ888="","",p_factor_productividad*IFERROR(INDEX('ASIGNACIONES'!$M$4:$M$451,MATCH($O888&amp;"|"&amp;$S888&amp;"|"&amp;$AH888,'ASIGNACIONES'!$N$4:$N$451,0)),0)-$AJ888)</f>
        <v/>
      </c>
      <c r="AL888" s="32">
        <f>IF($A888="","",IFERROR(INDEX('2_IMPORTAR_EJECUCION'!$F$9:$F$1208,MATCH($AU888,'2_IMPORTAR_EJECUCION'!$J$9:$J$1208,0)),0))</f>
        <v/>
      </c>
      <c r="AM888" s="32">
        <f>IF($A888="","",MAX(0,IFERROR(INDEX('2_IMPORTAR_EJECUCION'!$H$9:$H$1208,MATCH($AU888,'2_IMPORTAR_EJECUCION'!$J$9:$J$1208,0)),0)-$AL888))</f>
        <v/>
      </c>
      <c r="AN888" s="32">
        <f>IF($A888="","",$AL888+$AM888)</f>
        <v/>
      </c>
      <c r="AO888" s="24">
        <f>IF($A888="","",IF(OR((IFERROR(INDEX('CAT_ACTIVIDADES'!$D$4:$D$26,MATCH($H888,'CAT_ACTIVIDADES'!$A$4:$A$26,0)),""))=0,(IFERROR(INDEX('CAT_ACTIVIDADES'!$D$4:$D$26,MATCH($H888,'CAT_ACTIVIDADES'!$A$4:$A$26,0)),""))=""),"SIN CLASIFICAR",IFERROR(INDEX('CAT_ACTIVIDADES'!$D$4:$D$26,MATCH($H888,'CAT_ACTIVIDADES'!$A$4:$A$26,0)),"")))</f>
        <v/>
      </c>
      <c r="AP888" s="4" t="n"/>
      <c r="AQ888" s="4" t="n"/>
      <c r="AR888" s="4" t="n"/>
      <c r="AS888" s="24">
        <f>IF($AR888="","",HYPERLINK(p_ruta_base_checklists&amp;$AR888,"abrir"))</f>
        <v/>
      </c>
      <c r="AT888" s="4" t="n"/>
      <c r="AU888" s="24">
        <f>IF($A888="","",$A888&amp;IF($B888="","0010",$B888))</f>
        <v/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41" t="n"/>
      <c r="K889" s="5" t="n"/>
      <c r="L889" s="18" t="n"/>
      <c r="M889" s="24">
        <f>IF($A889="","",IFERROR(INDEX('AJUSTES'!$B$4:$B$303,MATCH($AU889,'AJUSTES'!$A$4:$A$303,0)),IF($K889="","",$K889)))</f>
        <v/>
      </c>
      <c r="N889" s="24">
        <f>IF($A889="","",IFERROR(INDEX('CAT_ESTADOS_ERP'!$B$4:$B$22,MATCH(IFERROR(INDEX('2_IMPORTAR_EJECUCION'!$C$9:$C$1208,MATCH($AU889,'2_IMPORTAR_EJECUCION'!$J$9:$J$1208,0)),""),'CAT_ESTADOS_ERP'!$A$4:$A$22,0)),"Pendiente"))</f>
        <v/>
      </c>
      <c r="O889" s="24">
        <f>IF($J889="","",YEAR($J889+4-WEEKDAY($J889,2))&amp;"-S"&amp;TEXT(_xlfn.ISOWEEKNUM($J889),"00"))</f>
        <v/>
      </c>
      <c r="P889" s="24">
        <f>IF($J889="","",YEAR($J889))</f>
        <v/>
      </c>
      <c r="Q889" s="24">
        <f>IF($J889="","",MONTH($J889))</f>
        <v/>
      </c>
      <c r="R889" s="24">
        <f>IF($J889="","",$P889&amp;"-"&amp;TEXT($Q889,"00"))</f>
        <v/>
      </c>
      <c r="S889" s="24">
        <f>IF($J889="","",INDEX(lista_dias,WEEKDAY($J889,2)))</f>
        <v/>
      </c>
      <c r="T889" s="24">
        <f>IF($J889="","",IFERROR(INDEX('CALENDARIO'!$C$15:$C$214,MATCH(TEXT($J889,"yyyy-mm-dd")&amp;"|"&amp;$Y889&amp;"|"&amp;$Z889,'CALENDARIO'!$G$15:$G$214,0)),IFERROR(INDEX('CALENDARIO'!$C$15:$C$214,MATCH(TEXT($J889,"yyyy-mm-dd")&amp;"|"&amp;$Y889&amp;"|",'CALENDARIO'!$G$15:$G$214,0)),IFERROR(INDEX('CALENDARIO'!$C$15:$C$214,MATCH(TEXT($J889,"yyyy-mm-dd")&amp;"||",'CALENDARIO'!$G$15:$G$214,0)),INDEX(patronHabil,WEEKDAY($J889,2))))))</f>
        <v/>
      </c>
      <c r="U889" s="24">
        <f>IF($I889="","",IFERROR(INDEX('CAT_TIPOS_OT'!$C$4:$C$23,MATCH($I889,'CAT_TIPOS_OT'!$A$4:$A$23,0)),"sin_clasificar"))</f>
        <v/>
      </c>
      <c r="V889" s="24">
        <f>IF($I889="","",IF(IFERROR(INDEX('CAT_TIPOS_OT'!$D$4:$D$23,MATCH($I889,'CAT_TIPOS_OT'!$A$4:$A$23,0)),"SIN CLASIFICAR")="","SIN CLASIFICAR",IFERROR(INDEX('CAT_TIPOS_OT'!$D$4:$D$23,MATCH($I889,'CAT_TIPOS_OT'!$A$4:$A$23,0)),"SIN CLASIFICAR")))</f>
        <v/>
      </c>
      <c r="W889" s="24">
        <f>IF($H889="","",IF(IFERROR(INDEX('CAT_ACTIVIDADES'!$F$4:$F$26,MATCH($H889,'CAT_ACTIVIDADES'!$A$4:$A$26,0)),"")=0,"",IFERROR(INDEX('CAT_ACTIVIDADES'!$F$4:$F$26,MATCH($H889,'CAT_ACTIVIDADES'!$A$4:$A$26,0)),"")))</f>
        <v/>
      </c>
      <c r="X889" s="24">
        <f>IF($F889="","",IFERROR(INDEX('CAT_CENTROS_COSTO'!$F$4:$F$28,MATCH($F889,'CAT_CENTROS_COSTO'!$A$4:$A$28,0)),"(sin catálogo)"))</f>
        <v/>
      </c>
      <c r="Y889" s="24">
        <f>IF($F889="","",IFERROR(INDEX('CAT_CENTROS_COSTO'!$D$4:$D$28,MATCH($F889,'CAT_CENTROS_COSTO'!$A$4:$A$28,0)),"(sin catálogo)"))</f>
        <v/>
      </c>
      <c r="Z889" s="24">
        <f>IF($F889="","",IF((IFERROR(INDEX('CAT_CENTROS_COSTO'!$E$4:$E$28,MATCH($F889,'CAT_CENTROS_COSTO'!$A$4:$A$28,0)),""))&lt;&gt;"",IFERROR(INDEX('CAT_CENTROS_COSTO'!$E$4:$E$28,MATCH($F889,'CAT_CENTROS_COSTO'!$A$4:$A$28,0)),""),$Y889))</f>
        <v/>
      </c>
      <c r="AA889" s="24">
        <f>IF($F889="","",IFERROR(INDEX('CAT_CENTROS_COSTO'!$G$4:$G$28,MATCH($F889,'CAT_CENTROS_COSTO'!$A$4:$A$28,0)),"(sin catálogo)"))</f>
        <v/>
      </c>
      <c r="AB889" s="24">
        <f>IF($G889="","",IFERROR(INDEX('CAT_PUESTOS'!$B$4:$B$23,MATCH($G889,'CAT_PUESTOS'!$A$4:$A$23,0)),"(sin catálogo)"))</f>
        <v/>
      </c>
      <c r="AC889" s="24">
        <f>IF($H889="","",IFERROR(INDEX('CAT_ACTIVIDADES'!$B$4:$B$26,MATCH($H889,'CAT_ACTIVIDADES'!$A$4:$A$26,0)),"(sin catálogo)"))</f>
        <v/>
      </c>
      <c r="AD889" s="26">
        <f>IF($J889="","",TODAY()-$J889)</f>
        <v/>
      </c>
      <c r="AE889" s="26">
        <f>IF($J889="","",IF($J889&lt;=TODAY(),COUNTIFS(cal_fechas,"&gt;="&amp;$J889,cal_fechas,"&lt;"&amp;TODAY(),cal_habil,"sí"),-COUNTIFS(cal_fechas,"&gt;="&amp;TODAY(),cal_fechas,"&lt;"&amp;$J889,cal_habil,"sí")))</f>
        <v/>
      </c>
      <c r="AF889" s="24">
        <f>IF($AE889="","",IF($AE889&lt;0,"FUTURO",IF($AE889&gt;p_dias_backlog_max,"BACKLOG","MES CORRIENTE")))</f>
        <v/>
      </c>
      <c r="AG889" s="24">
        <f>IF($AE889="",FALSE,AND($AE889&gt;p_dias_backlog_min,$AE889&lt;=p_dias_backlog_max))</f>
        <v/>
      </c>
      <c r="AH889" s="4" t="n"/>
      <c r="AI889" s="24">
        <f>IF($AH889="","",IF((IFERROR(INDEX('ASIGNACIONES'!$J$4:$J$451,MATCH($O889&amp;"|"&amp;$S889&amp;"|"&amp;$AH889,'ASIGNACIONES'!$N$4:$N$451,0)),""))=0,"",IFERROR(INDEX('ASIGNACIONES'!$J$4:$J$451,MATCH($O889&amp;"|"&amp;$S889&amp;"|"&amp;$AH889,'ASIGNACIONES'!$N$4:$N$451,0)),"")))</f>
        <v/>
      </c>
      <c r="AJ889" s="42">
        <f>IF($AH889="","",SUMIFS('ORDENES'!$M$4:$M$1203,'ORDENES'!$AH$4:$AH$1203,$AH889,'ORDENES'!$O$4:$O$1203,$O889,'ORDENES'!$S$4:$S$1203,$S889))</f>
        <v/>
      </c>
      <c r="AK889" s="42">
        <f>IF($AJ889="","",p_factor_productividad*IFERROR(INDEX('ASIGNACIONES'!$M$4:$M$451,MATCH($O889&amp;"|"&amp;$S889&amp;"|"&amp;$AH889,'ASIGNACIONES'!$N$4:$N$451,0)),0)-$AJ889)</f>
        <v/>
      </c>
      <c r="AL889" s="32">
        <f>IF($A889="","",IFERROR(INDEX('2_IMPORTAR_EJECUCION'!$F$9:$F$1208,MATCH($AU889,'2_IMPORTAR_EJECUCION'!$J$9:$J$1208,0)),0))</f>
        <v/>
      </c>
      <c r="AM889" s="32">
        <f>IF($A889="","",MAX(0,IFERROR(INDEX('2_IMPORTAR_EJECUCION'!$H$9:$H$1208,MATCH($AU889,'2_IMPORTAR_EJECUCION'!$J$9:$J$1208,0)),0)-$AL889))</f>
        <v/>
      </c>
      <c r="AN889" s="32">
        <f>IF($A889="","",$AL889+$AM889)</f>
        <v/>
      </c>
      <c r="AO889" s="24">
        <f>IF($A889="","",IF(OR((IFERROR(INDEX('CAT_ACTIVIDADES'!$D$4:$D$26,MATCH($H889,'CAT_ACTIVIDADES'!$A$4:$A$26,0)),""))=0,(IFERROR(INDEX('CAT_ACTIVIDADES'!$D$4:$D$26,MATCH($H889,'CAT_ACTIVIDADES'!$A$4:$A$26,0)),""))=""),"SIN CLASIFICAR",IFERROR(INDEX('CAT_ACTIVIDADES'!$D$4:$D$26,MATCH($H889,'CAT_ACTIVIDADES'!$A$4:$A$26,0)),"")))</f>
        <v/>
      </c>
      <c r="AP889" s="4" t="n"/>
      <c r="AQ889" s="4" t="n"/>
      <c r="AR889" s="4" t="n"/>
      <c r="AS889" s="24">
        <f>IF($AR889="","",HYPERLINK(p_ruta_base_checklists&amp;$AR889,"abrir"))</f>
        <v/>
      </c>
      <c r="AT889" s="4" t="n"/>
      <c r="AU889" s="24">
        <f>IF($A889="","",$A889&amp;IF($B889="","0010",$B889))</f>
        <v/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41" t="n"/>
      <c r="K890" s="5" t="n"/>
      <c r="L890" s="18" t="n"/>
      <c r="M890" s="24">
        <f>IF($A890="","",IFERROR(INDEX('AJUSTES'!$B$4:$B$303,MATCH($AU890,'AJUSTES'!$A$4:$A$303,0)),IF($K890="","",$K890)))</f>
        <v/>
      </c>
      <c r="N890" s="24">
        <f>IF($A890="","",IFERROR(INDEX('CAT_ESTADOS_ERP'!$B$4:$B$22,MATCH(IFERROR(INDEX('2_IMPORTAR_EJECUCION'!$C$9:$C$1208,MATCH($AU890,'2_IMPORTAR_EJECUCION'!$J$9:$J$1208,0)),""),'CAT_ESTADOS_ERP'!$A$4:$A$22,0)),"Pendiente"))</f>
        <v/>
      </c>
      <c r="O890" s="24">
        <f>IF($J890="","",YEAR($J890+4-WEEKDAY($J890,2))&amp;"-S"&amp;TEXT(_xlfn.ISOWEEKNUM($J890),"00"))</f>
        <v/>
      </c>
      <c r="P890" s="24">
        <f>IF($J890="","",YEAR($J890))</f>
        <v/>
      </c>
      <c r="Q890" s="24">
        <f>IF($J890="","",MONTH($J890))</f>
        <v/>
      </c>
      <c r="R890" s="24">
        <f>IF($J890="","",$P890&amp;"-"&amp;TEXT($Q890,"00"))</f>
        <v/>
      </c>
      <c r="S890" s="24">
        <f>IF($J890="","",INDEX(lista_dias,WEEKDAY($J890,2)))</f>
        <v/>
      </c>
      <c r="T890" s="24">
        <f>IF($J890="","",IFERROR(INDEX('CALENDARIO'!$C$15:$C$214,MATCH(TEXT($J890,"yyyy-mm-dd")&amp;"|"&amp;$Y890&amp;"|"&amp;$Z890,'CALENDARIO'!$G$15:$G$214,0)),IFERROR(INDEX('CALENDARIO'!$C$15:$C$214,MATCH(TEXT($J890,"yyyy-mm-dd")&amp;"|"&amp;$Y890&amp;"|",'CALENDARIO'!$G$15:$G$214,0)),IFERROR(INDEX('CALENDARIO'!$C$15:$C$214,MATCH(TEXT($J890,"yyyy-mm-dd")&amp;"||",'CALENDARIO'!$G$15:$G$214,0)),INDEX(patronHabil,WEEKDAY($J890,2))))))</f>
        <v/>
      </c>
      <c r="U890" s="24">
        <f>IF($I890="","",IFERROR(INDEX('CAT_TIPOS_OT'!$C$4:$C$23,MATCH($I890,'CAT_TIPOS_OT'!$A$4:$A$23,0)),"sin_clasificar"))</f>
        <v/>
      </c>
      <c r="V890" s="24">
        <f>IF($I890="","",IF(IFERROR(INDEX('CAT_TIPOS_OT'!$D$4:$D$23,MATCH($I890,'CAT_TIPOS_OT'!$A$4:$A$23,0)),"SIN CLASIFICAR")="","SIN CLASIFICAR",IFERROR(INDEX('CAT_TIPOS_OT'!$D$4:$D$23,MATCH($I890,'CAT_TIPOS_OT'!$A$4:$A$23,0)),"SIN CLASIFICAR")))</f>
        <v/>
      </c>
      <c r="W890" s="24">
        <f>IF($H890="","",IF(IFERROR(INDEX('CAT_ACTIVIDADES'!$F$4:$F$26,MATCH($H890,'CAT_ACTIVIDADES'!$A$4:$A$26,0)),"")=0,"",IFERROR(INDEX('CAT_ACTIVIDADES'!$F$4:$F$26,MATCH($H890,'CAT_ACTIVIDADES'!$A$4:$A$26,0)),"")))</f>
        <v/>
      </c>
      <c r="X890" s="24">
        <f>IF($F890="","",IFERROR(INDEX('CAT_CENTROS_COSTO'!$F$4:$F$28,MATCH($F890,'CAT_CENTROS_COSTO'!$A$4:$A$28,0)),"(sin catálogo)"))</f>
        <v/>
      </c>
      <c r="Y890" s="24">
        <f>IF($F890="","",IFERROR(INDEX('CAT_CENTROS_COSTO'!$D$4:$D$28,MATCH($F890,'CAT_CENTROS_COSTO'!$A$4:$A$28,0)),"(sin catálogo)"))</f>
        <v/>
      </c>
      <c r="Z890" s="24">
        <f>IF($F890="","",IF((IFERROR(INDEX('CAT_CENTROS_COSTO'!$E$4:$E$28,MATCH($F890,'CAT_CENTROS_COSTO'!$A$4:$A$28,0)),""))&lt;&gt;"",IFERROR(INDEX('CAT_CENTROS_COSTO'!$E$4:$E$28,MATCH($F890,'CAT_CENTROS_COSTO'!$A$4:$A$28,0)),""),$Y890))</f>
        <v/>
      </c>
      <c r="AA890" s="24">
        <f>IF($F890="","",IFERROR(INDEX('CAT_CENTROS_COSTO'!$G$4:$G$28,MATCH($F890,'CAT_CENTROS_COSTO'!$A$4:$A$28,0)),"(sin catálogo)"))</f>
        <v/>
      </c>
      <c r="AB890" s="24">
        <f>IF($G890="","",IFERROR(INDEX('CAT_PUESTOS'!$B$4:$B$23,MATCH($G890,'CAT_PUESTOS'!$A$4:$A$23,0)),"(sin catálogo)"))</f>
        <v/>
      </c>
      <c r="AC890" s="24">
        <f>IF($H890="","",IFERROR(INDEX('CAT_ACTIVIDADES'!$B$4:$B$26,MATCH($H890,'CAT_ACTIVIDADES'!$A$4:$A$26,0)),"(sin catálogo)"))</f>
        <v/>
      </c>
      <c r="AD890" s="26">
        <f>IF($J890="","",TODAY()-$J890)</f>
        <v/>
      </c>
      <c r="AE890" s="26">
        <f>IF($J890="","",IF($J890&lt;=TODAY(),COUNTIFS(cal_fechas,"&gt;="&amp;$J890,cal_fechas,"&lt;"&amp;TODAY(),cal_habil,"sí"),-COUNTIFS(cal_fechas,"&gt;="&amp;TODAY(),cal_fechas,"&lt;"&amp;$J890,cal_habil,"sí")))</f>
        <v/>
      </c>
      <c r="AF890" s="24">
        <f>IF($AE890="","",IF($AE890&lt;0,"FUTURO",IF($AE890&gt;p_dias_backlog_max,"BACKLOG","MES CORRIENTE")))</f>
        <v/>
      </c>
      <c r="AG890" s="24">
        <f>IF($AE890="",FALSE,AND($AE890&gt;p_dias_backlog_min,$AE890&lt;=p_dias_backlog_max))</f>
        <v/>
      </c>
      <c r="AH890" s="4" t="n"/>
      <c r="AI890" s="24">
        <f>IF($AH890="","",IF((IFERROR(INDEX('ASIGNACIONES'!$J$4:$J$451,MATCH($O890&amp;"|"&amp;$S890&amp;"|"&amp;$AH890,'ASIGNACIONES'!$N$4:$N$451,0)),""))=0,"",IFERROR(INDEX('ASIGNACIONES'!$J$4:$J$451,MATCH($O890&amp;"|"&amp;$S890&amp;"|"&amp;$AH890,'ASIGNACIONES'!$N$4:$N$451,0)),"")))</f>
        <v/>
      </c>
      <c r="AJ890" s="42">
        <f>IF($AH890="","",SUMIFS('ORDENES'!$M$4:$M$1203,'ORDENES'!$AH$4:$AH$1203,$AH890,'ORDENES'!$O$4:$O$1203,$O890,'ORDENES'!$S$4:$S$1203,$S890))</f>
        <v/>
      </c>
      <c r="AK890" s="42">
        <f>IF($AJ890="","",p_factor_productividad*IFERROR(INDEX('ASIGNACIONES'!$M$4:$M$451,MATCH($O890&amp;"|"&amp;$S890&amp;"|"&amp;$AH890,'ASIGNACIONES'!$N$4:$N$451,0)),0)-$AJ890)</f>
        <v/>
      </c>
      <c r="AL890" s="32">
        <f>IF($A890="","",IFERROR(INDEX('2_IMPORTAR_EJECUCION'!$F$9:$F$1208,MATCH($AU890,'2_IMPORTAR_EJECUCION'!$J$9:$J$1208,0)),0))</f>
        <v/>
      </c>
      <c r="AM890" s="32">
        <f>IF($A890="","",MAX(0,IFERROR(INDEX('2_IMPORTAR_EJECUCION'!$H$9:$H$1208,MATCH($AU890,'2_IMPORTAR_EJECUCION'!$J$9:$J$1208,0)),0)-$AL890))</f>
        <v/>
      </c>
      <c r="AN890" s="32">
        <f>IF($A890="","",$AL890+$AM890)</f>
        <v/>
      </c>
      <c r="AO890" s="24">
        <f>IF($A890="","",IF(OR((IFERROR(INDEX('CAT_ACTIVIDADES'!$D$4:$D$26,MATCH($H890,'CAT_ACTIVIDADES'!$A$4:$A$26,0)),""))=0,(IFERROR(INDEX('CAT_ACTIVIDADES'!$D$4:$D$26,MATCH($H890,'CAT_ACTIVIDADES'!$A$4:$A$26,0)),""))=""),"SIN CLASIFICAR",IFERROR(INDEX('CAT_ACTIVIDADES'!$D$4:$D$26,MATCH($H890,'CAT_ACTIVIDADES'!$A$4:$A$26,0)),"")))</f>
        <v/>
      </c>
      <c r="AP890" s="4" t="n"/>
      <c r="AQ890" s="4" t="n"/>
      <c r="AR890" s="4" t="n"/>
      <c r="AS890" s="24">
        <f>IF($AR890="","",HYPERLINK(p_ruta_base_checklists&amp;$AR890,"abrir"))</f>
        <v/>
      </c>
      <c r="AT890" s="4" t="n"/>
      <c r="AU890" s="24">
        <f>IF($A890="","",$A890&amp;IF($B890="","0010",$B890))</f>
        <v/>
      </c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41" t="n"/>
      <c r="K891" s="5" t="n"/>
      <c r="L891" s="18" t="n"/>
      <c r="M891" s="24">
        <f>IF($A891="","",IFERROR(INDEX('AJUSTES'!$B$4:$B$303,MATCH($AU891,'AJUSTES'!$A$4:$A$303,0)),IF($K891="","",$K891)))</f>
        <v/>
      </c>
      <c r="N891" s="24">
        <f>IF($A891="","",IFERROR(INDEX('CAT_ESTADOS_ERP'!$B$4:$B$22,MATCH(IFERROR(INDEX('2_IMPORTAR_EJECUCION'!$C$9:$C$1208,MATCH($AU891,'2_IMPORTAR_EJECUCION'!$J$9:$J$1208,0)),""),'CAT_ESTADOS_ERP'!$A$4:$A$22,0)),"Pendiente"))</f>
        <v/>
      </c>
      <c r="O891" s="24">
        <f>IF($J891="","",YEAR($J891+4-WEEKDAY($J891,2))&amp;"-S"&amp;TEXT(_xlfn.ISOWEEKNUM($J891),"00"))</f>
        <v/>
      </c>
      <c r="P891" s="24">
        <f>IF($J891="","",YEAR($J891))</f>
        <v/>
      </c>
      <c r="Q891" s="24">
        <f>IF($J891="","",MONTH($J891))</f>
        <v/>
      </c>
      <c r="R891" s="24">
        <f>IF($J891="","",$P891&amp;"-"&amp;TEXT($Q891,"00"))</f>
        <v/>
      </c>
      <c r="S891" s="24">
        <f>IF($J891="","",INDEX(lista_dias,WEEKDAY($J891,2)))</f>
        <v/>
      </c>
      <c r="T891" s="24">
        <f>IF($J891="","",IFERROR(INDEX('CALENDARIO'!$C$15:$C$214,MATCH(TEXT($J891,"yyyy-mm-dd")&amp;"|"&amp;$Y891&amp;"|"&amp;$Z891,'CALENDARIO'!$G$15:$G$214,0)),IFERROR(INDEX('CALENDARIO'!$C$15:$C$214,MATCH(TEXT($J891,"yyyy-mm-dd")&amp;"|"&amp;$Y891&amp;"|",'CALENDARIO'!$G$15:$G$214,0)),IFERROR(INDEX('CALENDARIO'!$C$15:$C$214,MATCH(TEXT($J891,"yyyy-mm-dd")&amp;"||",'CALENDARIO'!$G$15:$G$214,0)),INDEX(patronHabil,WEEKDAY($J891,2))))))</f>
        <v/>
      </c>
      <c r="U891" s="24">
        <f>IF($I891="","",IFERROR(INDEX('CAT_TIPOS_OT'!$C$4:$C$23,MATCH($I891,'CAT_TIPOS_OT'!$A$4:$A$23,0)),"sin_clasificar"))</f>
        <v/>
      </c>
      <c r="V891" s="24">
        <f>IF($I891="","",IF(IFERROR(INDEX('CAT_TIPOS_OT'!$D$4:$D$23,MATCH($I891,'CAT_TIPOS_OT'!$A$4:$A$23,0)),"SIN CLASIFICAR")="","SIN CLASIFICAR",IFERROR(INDEX('CAT_TIPOS_OT'!$D$4:$D$23,MATCH($I891,'CAT_TIPOS_OT'!$A$4:$A$23,0)),"SIN CLASIFICAR")))</f>
        <v/>
      </c>
      <c r="W891" s="24">
        <f>IF($H891="","",IF(IFERROR(INDEX('CAT_ACTIVIDADES'!$F$4:$F$26,MATCH($H891,'CAT_ACTIVIDADES'!$A$4:$A$26,0)),"")=0,"",IFERROR(INDEX('CAT_ACTIVIDADES'!$F$4:$F$26,MATCH($H891,'CAT_ACTIVIDADES'!$A$4:$A$26,0)),"")))</f>
        <v/>
      </c>
      <c r="X891" s="24">
        <f>IF($F891="","",IFERROR(INDEX('CAT_CENTROS_COSTO'!$F$4:$F$28,MATCH($F891,'CAT_CENTROS_COSTO'!$A$4:$A$28,0)),"(sin catálogo)"))</f>
        <v/>
      </c>
      <c r="Y891" s="24">
        <f>IF($F891="","",IFERROR(INDEX('CAT_CENTROS_COSTO'!$D$4:$D$28,MATCH($F891,'CAT_CENTROS_COSTO'!$A$4:$A$28,0)),"(sin catálogo)"))</f>
        <v/>
      </c>
      <c r="Z891" s="24">
        <f>IF($F891="","",IF((IFERROR(INDEX('CAT_CENTROS_COSTO'!$E$4:$E$28,MATCH($F891,'CAT_CENTROS_COSTO'!$A$4:$A$28,0)),""))&lt;&gt;"",IFERROR(INDEX('CAT_CENTROS_COSTO'!$E$4:$E$28,MATCH($F891,'CAT_CENTROS_COSTO'!$A$4:$A$28,0)),""),$Y891))</f>
        <v/>
      </c>
      <c r="AA891" s="24">
        <f>IF($F891="","",IFERROR(INDEX('CAT_CENTROS_COSTO'!$G$4:$G$28,MATCH($F891,'CAT_CENTROS_COSTO'!$A$4:$A$28,0)),"(sin catálogo)"))</f>
        <v/>
      </c>
      <c r="AB891" s="24">
        <f>IF($G891="","",IFERROR(INDEX('CAT_PUESTOS'!$B$4:$B$23,MATCH($G891,'CAT_PUESTOS'!$A$4:$A$23,0)),"(sin catálogo)"))</f>
        <v/>
      </c>
      <c r="AC891" s="24">
        <f>IF($H891="","",IFERROR(INDEX('CAT_ACTIVIDADES'!$B$4:$B$26,MATCH($H891,'CAT_ACTIVIDADES'!$A$4:$A$26,0)),"(sin catálogo)"))</f>
        <v/>
      </c>
      <c r="AD891" s="26">
        <f>IF($J891="","",TODAY()-$J891)</f>
        <v/>
      </c>
      <c r="AE891" s="26">
        <f>IF($J891="","",IF($J891&lt;=TODAY(),COUNTIFS(cal_fechas,"&gt;="&amp;$J891,cal_fechas,"&lt;"&amp;TODAY(),cal_habil,"sí"),-COUNTIFS(cal_fechas,"&gt;="&amp;TODAY(),cal_fechas,"&lt;"&amp;$J891,cal_habil,"sí")))</f>
        <v/>
      </c>
      <c r="AF891" s="24">
        <f>IF($AE891="","",IF($AE891&lt;0,"FUTURO",IF($AE891&gt;p_dias_backlog_max,"BACKLOG","MES CORRIENTE")))</f>
        <v/>
      </c>
      <c r="AG891" s="24">
        <f>IF($AE891="",FALSE,AND($AE891&gt;p_dias_backlog_min,$AE891&lt;=p_dias_backlog_max))</f>
        <v/>
      </c>
      <c r="AH891" s="4" t="n"/>
      <c r="AI891" s="24">
        <f>IF($AH891="","",IF((IFERROR(INDEX('ASIGNACIONES'!$J$4:$J$451,MATCH($O891&amp;"|"&amp;$S891&amp;"|"&amp;$AH891,'ASIGNACIONES'!$N$4:$N$451,0)),""))=0,"",IFERROR(INDEX('ASIGNACIONES'!$J$4:$J$451,MATCH($O891&amp;"|"&amp;$S891&amp;"|"&amp;$AH891,'ASIGNACIONES'!$N$4:$N$451,0)),"")))</f>
        <v/>
      </c>
      <c r="AJ891" s="42">
        <f>IF($AH891="","",SUMIFS('ORDENES'!$M$4:$M$1203,'ORDENES'!$AH$4:$AH$1203,$AH891,'ORDENES'!$O$4:$O$1203,$O891,'ORDENES'!$S$4:$S$1203,$S891))</f>
        <v/>
      </c>
      <c r="AK891" s="42">
        <f>IF($AJ891="","",p_factor_productividad*IFERROR(INDEX('ASIGNACIONES'!$M$4:$M$451,MATCH($O891&amp;"|"&amp;$S891&amp;"|"&amp;$AH891,'ASIGNACIONES'!$N$4:$N$451,0)),0)-$AJ891)</f>
        <v/>
      </c>
      <c r="AL891" s="32">
        <f>IF($A891="","",IFERROR(INDEX('2_IMPORTAR_EJECUCION'!$F$9:$F$1208,MATCH($AU891,'2_IMPORTAR_EJECUCION'!$J$9:$J$1208,0)),0))</f>
        <v/>
      </c>
      <c r="AM891" s="32">
        <f>IF($A891="","",MAX(0,IFERROR(INDEX('2_IMPORTAR_EJECUCION'!$H$9:$H$1208,MATCH($AU891,'2_IMPORTAR_EJECUCION'!$J$9:$J$1208,0)),0)-$AL891))</f>
        <v/>
      </c>
      <c r="AN891" s="32">
        <f>IF($A891="","",$AL891+$AM891)</f>
        <v/>
      </c>
      <c r="AO891" s="24">
        <f>IF($A891="","",IF(OR((IFERROR(INDEX('CAT_ACTIVIDADES'!$D$4:$D$26,MATCH($H891,'CAT_ACTIVIDADES'!$A$4:$A$26,0)),""))=0,(IFERROR(INDEX('CAT_ACTIVIDADES'!$D$4:$D$26,MATCH($H891,'CAT_ACTIVIDADES'!$A$4:$A$26,0)),""))=""),"SIN CLASIFICAR",IFERROR(INDEX('CAT_ACTIVIDADES'!$D$4:$D$26,MATCH($H891,'CAT_ACTIVIDADES'!$A$4:$A$26,0)),"")))</f>
        <v/>
      </c>
      <c r="AP891" s="4" t="n"/>
      <c r="AQ891" s="4" t="n"/>
      <c r="AR891" s="4" t="n"/>
      <c r="AS891" s="24">
        <f>IF($AR891="","",HYPERLINK(p_ruta_base_checklists&amp;$AR891,"abrir"))</f>
        <v/>
      </c>
      <c r="AT891" s="4" t="n"/>
      <c r="AU891" s="24">
        <f>IF($A891="","",$A891&amp;IF($B891="","0010",$B891))</f>
        <v/>
      </c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41" t="n"/>
      <c r="K892" s="5" t="n"/>
      <c r="L892" s="18" t="n"/>
      <c r="M892" s="24">
        <f>IF($A892="","",IFERROR(INDEX('AJUSTES'!$B$4:$B$303,MATCH($AU892,'AJUSTES'!$A$4:$A$303,0)),IF($K892="","",$K892)))</f>
        <v/>
      </c>
      <c r="N892" s="24">
        <f>IF($A892="","",IFERROR(INDEX('CAT_ESTADOS_ERP'!$B$4:$B$22,MATCH(IFERROR(INDEX('2_IMPORTAR_EJECUCION'!$C$9:$C$1208,MATCH($AU892,'2_IMPORTAR_EJECUCION'!$J$9:$J$1208,0)),""),'CAT_ESTADOS_ERP'!$A$4:$A$22,0)),"Pendiente"))</f>
        <v/>
      </c>
      <c r="O892" s="24">
        <f>IF($J892="","",YEAR($J892+4-WEEKDAY($J892,2))&amp;"-S"&amp;TEXT(_xlfn.ISOWEEKNUM($J892),"00"))</f>
        <v/>
      </c>
      <c r="P892" s="24">
        <f>IF($J892="","",YEAR($J892))</f>
        <v/>
      </c>
      <c r="Q892" s="24">
        <f>IF($J892="","",MONTH($J892))</f>
        <v/>
      </c>
      <c r="R892" s="24">
        <f>IF($J892="","",$P892&amp;"-"&amp;TEXT($Q892,"00"))</f>
        <v/>
      </c>
      <c r="S892" s="24">
        <f>IF($J892="","",INDEX(lista_dias,WEEKDAY($J892,2)))</f>
        <v/>
      </c>
      <c r="T892" s="24">
        <f>IF($J892="","",IFERROR(INDEX('CALENDARIO'!$C$15:$C$214,MATCH(TEXT($J892,"yyyy-mm-dd")&amp;"|"&amp;$Y892&amp;"|"&amp;$Z892,'CALENDARIO'!$G$15:$G$214,0)),IFERROR(INDEX('CALENDARIO'!$C$15:$C$214,MATCH(TEXT($J892,"yyyy-mm-dd")&amp;"|"&amp;$Y892&amp;"|",'CALENDARIO'!$G$15:$G$214,0)),IFERROR(INDEX('CALENDARIO'!$C$15:$C$214,MATCH(TEXT($J892,"yyyy-mm-dd")&amp;"||",'CALENDARIO'!$G$15:$G$214,0)),INDEX(patronHabil,WEEKDAY($J892,2))))))</f>
        <v/>
      </c>
      <c r="U892" s="24">
        <f>IF($I892="","",IFERROR(INDEX('CAT_TIPOS_OT'!$C$4:$C$23,MATCH($I892,'CAT_TIPOS_OT'!$A$4:$A$23,0)),"sin_clasificar"))</f>
        <v/>
      </c>
      <c r="V892" s="24">
        <f>IF($I892="","",IF(IFERROR(INDEX('CAT_TIPOS_OT'!$D$4:$D$23,MATCH($I892,'CAT_TIPOS_OT'!$A$4:$A$23,0)),"SIN CLASIFICAR")="","SIN CLASIFICAR",IFERROR(INDEX('CAT_TIPOS_OT'!$D$4:$D$23,MATCH($I892,'CAT_TIPOS_OT'!$A$4:$A$23,0)),"SIN CLASIFICAR")))</f>
        <v/>
      </c>
      <c r="W892" s="24">
        <f>IF($H892="","",IF(IFERROR(INDEX('CAT_ACTIVIDADES'!$F$4:$F$26,MATCH($H892,'CAT_ACTIVIDADES'!$A$4:$A$26,0)),"")=0,"",IFERROR(INDEX('CAT_ACTIVIDADES'!$F$4:$F$26,MATCH($H892,'CAT_ACTIVIDADES'!$A$4:$A$26,0)),"")))</f>
        <v/>
      </c>
      <c r="X892" s="24">
        <f>IF($F892="","",IFERROR(INDEX('CAT_CENTROS_COSTO'!$F$4:$F$28,MATCH($F892,'CAT_CENTROS_COSTO'!$A$4:$A$28,0)),"(sin catálogo)"))</f>
        <v/>
      </c>
      <c r="Y892" s="24">
        <f>IF($F892="","",IFERROR(INDEX('CAT_CENTROS_COSTO'!$D$4:$D$28,MATCH($F892,'CAT_CENTROS_COSTO'!$A$4:$A$28,0)),"(sin catálogo)"))</f>
        <v/>
      </c>
      <c r="Z892" s="24">
        <f>IF($F892="","",IF((IFERROR(INDEX('CAT_CENTROS_COSTO'!$E$4:$E$28,MATCH($F892,'CAT_CENTROS_COSTO'!$A$4:$A$28,0)),""))&lt;&gt;"",IFERROR(INDEX('CAT_CENTROS_COSTO'!$E$4:$E$28,MATCH($F892,'CAT_CENTROS_COSTO'!$A$4:$A$28,0)),""),$Y892))</f>
        <v/>
      </c>
      <c r="AA892" s="24">
        <f>IF($F892="","",IFERROR(INDEX('CAT_CENTROS_COSTO'!$G$4:$G$28,MATCH($F892,'CAT_CENTROS_COSTO'!$A$4:$A$28,0)),"(sin catálogo)"))</f>
        <v/>
      </c>
      <c r="AB892" s="24">
        <f>IF($G892="","",IFERROR(INDEX('CAT_PUESTOS'!$B$4:$B$23,MATCH($G892,'CAT_PUESTOS'!$A$4:$A$23,0)),"(sin catálogo)"))</f>
        <v/>
      </c>
      <c r="AC892" s="24">
        <f>IF($H892="","",IFERROR(INDEX('CAT_ACTIVIDADES'!$B$4:$B$26,MATCH($H892,'CAT_ACTIVIDADES'!$A$4:$A$26,0)),"(sin catálogo)"))</f>
        <v/>
      </c>
      <c r="AD892" s="26">
        <f>IF($J892="","",TODAY()-$J892)</f>
        <v/>
      </c>
      <c r="AE892" s="26">
        <f>IF($J892="","",IF($J892&lt;=TODAY(),COUNTIFS(cal_fechas,"&gt;="&amp;$J892,cal_fechas,"&lt;"&amp;TODAY(),cal_habil,"sí"),-COUNTIFS(cal_fechas,"&gt;="&amp;TODAY(),cal_fechas,"&lt;"&amp;$J892,cal_habil,"sí")))</f>
        <v/>
      </c>
      <c r="AF892" s="24">
        <f>IF($AE892="","",IF($AE892&lt;0,"FUTURO",IF($AE892&gt;p_dias_backlog_max,"BACKLOG","MES CORRIENTE")))</f>
        <v/>
      </c>
      <c r="AG892" s="24">
        <f>IF($AE892="",FALSE,AND($AE892&gt;p_dias_backlog_min,$AE892&lt;=p_dias_backlog_max))</f>
        <v/>
      </c>
      <c r="AH892" s="4" t="n"/>
      <c r="AI892" s="24">
        <f>IF($AH892="","",IF((IFERROR(INDEX('ASIGNACIONES'!$J$4:$J$451,MATCH($O892&amp;"|"&amp;$S892&amp;"|"&amp;$AH892,'ASIGNACIONES'!$N$4:$N$451,0)),""))=0,"",IFERROR(INDEX('ASIGNACIONES'!$J$4:$J$451,MATCH($O892&amp;"|"&amp;$S892&amp;"|"&amp;$AH892,'ASIGNACIONES'!$N$4:$N$451,0)),"")))</f>
        <v/>
      </c>
      <c r="AJ892" s="42">
        <f>IF($AH892="","",SUMIFS('ORDENES'!$M$4:$M$1203,'ORDENES'!$AH$4:$AH$1203,$AH892,'ORDENES'!$O$4:$O$1203,$O892,'ORDENES'!$S$4:$S$1203,$S892))</f>
        <v/>
      </c>
      <c r="AK892" s="42">
        <f>IF($AJ892="","",p_factor_productividad*IFERROR(INDEX('ASIGNACIONES'!$M$4:$M$451,MATCH($O892&amp;"|"&amp;$S892&amp;"|"&amp;$AH892,'ASIGNACIONES'!$N$4:$N$451,0)),0)-$AJ892)</f>
        <v/>
      </c>
      <c r="AL892" s="32">
        <f>IF($A892="","",IFERROR(INDEX('2_IMPORTAR_EJECUCION'!$F$9:$F$1208,MATCH($AU892,'2_IMPORTAR_EJECUCION'!$J$9:$J$1208,0)),0))</f>
        <v/>
      </c>
      <c r="AM892" s="32">
        <f>IF($A892="","",MAX(0,IFERROR(INDEX('2_IMPORTAR_EJECUCION'!$H$9:$H$1208,MATCH($AU892,'2_IMPORTAR_EJECUCION'!$J$9:$J$1208,0)),0)-$AL892))</f>
        <v/>
      </c>
      <c r="AN892" s="32">
        <f>IF($A892="","",$AL892+$AM892)</f>
        <v/>
      </c>
      <c r="AO892" s="24">
        <f>IF($A892="","",IF(OR((IFERROR(INDEX('CAT_ACTIVIDADES'!$D$4:$D$26,MATCH($H892,'CAT_ACTIVIDADES'!$A$4:$A$26,0)),""))=0,(IFERROR(INDEX('CAT_ACTIVIDADES'!$D$4:$D$26,MATCH($H892,'CAT_ACTIVIDADES'!$A$4:$A$26,0)),""))=""),"SIN CLASIFICAR",IFERROR(INDEX('CAT_ACTIVIDADES'!$D$4:$D$26,MATCH($H892,'CAT_ACTIVIDADES'!$A$4:$A$26,0)),"")))</f>
        <v/>
      </c>
      <c r="AP892" s="4" t="n"/>
      <c r="AQ892" s="4" t="n"/>
      <c r="AR892" s="4" t="n"/>
      <c r="AS892" s="24">
        <f>IF($AR892="","",HYPERLINK(p_ruta_base_checklists&amp;$AR892,"abrir"))</f>
        <v/>
      </c>
      <c r="AT892" s="4" t="n"/>
      <c r="AU892" s="24">
        <f>IF($A892="","",$A892&amp;IF($B892="","0010",$B892))</f>
        <v/>
      </c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41" t="n"/>
      <c r="K893" s="5" t="n"/>
      <c r="L893" s="18" t="n"/>
      <c r="M893" s="24">
        <f>IF($A893="","",IFERROR(INDEX('AJUSTES'!$B$4:$B$303,MATCH($AU893,'AJUSTES'!$A$4:$A$303,0)),IF($K893="","",$K893)))</f>
        <v/>
      </c>
      <c r="N893" s="24">
        <f>IF($A893="","",IFERROR(INDEX('CAT_ESTADOS_ERP'!$B$4:$B$22,MATCH(IFERROR(INDEX('2_IMPORTAR_EJECUCION'!$C$9:$C$1208,MATCH($AU893,'2_IMPORTAR_EJECUCION'!$J$9:$J$1208,0)),""),'CAT_ESTADOS_ERP'!$A$4:$A$22,0)),"Pendiente"))</f>
        <v/>
      </c>
      <c r="O893" s="24">
        <f>IF($J893="","",YEAR($J893+4-WEEKDAY($J893,2))&amp;"-S"&amp;TEXT(_xlfn.ISOWEEKNUM($J893),"00"))</f>
        <v/>
      </c>
      <c r="P893" s="24">
        <f>IF($J893="","",YEAR($J893))</f>
        <v/>
      </c>
      <c r="Q893" s="24">
        <f>IF($J893="","",MONTH($J893))</f>
        <v/>
      </c>
      <c r="R893" s="24">
        <f>IF($J893="","",$P893&amp;"-"&amp;TEXT($Q893,"00"))</f>
        <v/>
      </c>
      <c r="S893" s="24">
        <f>IF($J893="","",INDEX(lista_dias,WEEKDAY($J893,2)))</f>
        <v/>
      </c>
      <c r="T893" s="24">
        <f>IF($J893="","",IFERROR(INDEX('CALENDARIO'!$C$15:$C$214,MATCH(TEXT($J893,"yyyy-mm-dd")&amp;"|"&amp;$Y893&amp;"|"&amp;$Z893,'CALENDARIO'!$G$15:$G$214,0)),IFERROR(INDEX('CALENDARIO'!$C$15:$C$214,MATCH(TEXT($J893,"yyyy-mm-dd")&amp;"|"&amp;$Y893&amp;"|",'CALENDARIO'!$G$15:$G$214,0)),IFERROR(INDEX('CALENDARIO'!$C$15:$C$214,MATCH(TEXT($J893,"yyyy-mm-dd")&amp;"||",'CALENDARIO'!$G$15:$G$214,0)),INDEX(patronHabil,WEEKDAY($J893,2))))))</f>
        <v/>
      </c>
      <c r="U893" s="24">
        <f>IF($I893="","",IFERROR(INDEX('CAT_TIPOS_OT'!$C$4:$C$23,MATCH($I893,'CAT_TIPOS_OT'!$A$4:$A$23,0)),"sin_clasificar"))</f>
        <v/>
      </c>
      <c r="V893" s="24">
        <f>IF($I893="","",IF(IFERROR(INDEX('CAT_TIPOS_OT'!$D$4:$D$23,MATCH($I893,'CAT_TIPOS_OT'!$A$4:$A$23,0)),"SIN CLASIFICAR")="","SIN CLASIFICAR",IFERROR(INDEX('CAT_TIPOS_OT'!$D$4:$D$23,MATCH($I893,'CAT_TIPOS_OT'!$A$4:$A$23,0)),"SIN CLASIFICAR")))</f>
        <v/>
      </c>
      <c r="W893" s="24">
        <f>IF($H893="","",IF(IFERROR(INDEX('CAT_ACTIVIDADES'!$F$4:$F$26,MATCH($H893,'CAT_ACTIVIDADES'!$A$4:$A$26,0)),"")=0,"",IFERROR(INDEX('CAT_ACTIVIDADES'!$F$4:$F$26,MATCH($H893,'CAT_ACTIVIDADES'!$A$4:$A$26,0)),"")))</f>
        <v/>
      </c>
      <c r="X893" s="24">
        <f>IF($F893="","",IFERROR(INDEX('CAT_CENTROS_COSTO'!$F$4:$F$28,MATCH($F893,'CAT_CENTROS_COSTO'!$A$4:$A$28,0)),"(sin catálogo)"))</f>
        <v/>
      </c>
      <c r="Y893" s="24">
        <f>IF($F893="","",IFERROR(INDEX('CAT_CENTROS_COSTO'!$D$4:$D$28,MATCH($F893,'CAT_CENTROS_COSTO'!$A$4:$A$28,0)),"(sin catálogo)"))</f>
        <v/>
      </c>
      <c r="Z893" s="24">
        <f>IF($F893="","",IF((IFERROR(INDEX('CAT_CENTROS_COSTO'!$E$4:$E$28,MATCH($F893,'CAT_CENTROS_COSTO'!$A$4:$A$28,0)),""))&lt;&gt;"",IFERROR(INDEX('CAT_CENTROS_COSTO'!$E$4:$E$28,MATCH($F893,'CAT_CENTROS_COSTO'!$A$4:$A$28,0)),""),$Y893))</f>
        <v/>
      </c>
      <c r="AA893" s="24">
        <f>IF($F893="","",IFERROR(INDEX('CAT_CENTROS_COSTO'!$G$4:$G$28,MATCH($F893,'CAT_CENTROS_COSTO'!$A$4:$A$28,0)),"(sin catálogo)"))</f>
        <v/>
      </c>
      <c r="AB893" s="24">
        <f>IF($G893="","",IFERROR(INDEX('CAT_PUESTOS'!$B$4:$B$23,MATCH($G893,'CAT_PUESTOS'!$A$4:$A$23,0)),"(sin catálogo)"))</f>
        <v/>
      </c>
      <c r="AC893" s="24">
        <f>IF($H893="","",IFERROR(INDEX('CAT_ACTIVIDADES'!$B$4:$B$26,MATCH($H893,'CAT_ACTIVIDADES'!$A$4:$A$26,0)),"(sin catálogo)"))</f>
        <v/>
      </c>
      <c r="AD893" s="26">
        <f>IF($J893="","",TODAY()-$J893)</f>
        <v/>
      </c>
      <c r="AE893" s="26">
        <f>IF($J893="","",IF($J893&lt;=TODAY(),COUNTIFS(cal_fechas,"&gt;="&amp;$J893,cal_fechas,"&lt;"&amp;TODAY(),cal_habil,"sí"),-COUNTIFS(cal_fechas,"&gt;="&amp;TODAY(),cal_fechas,"&lt;"&amp;$J893,cal_habil,"sí")))</f>
        <v/>
      </c>
      <c r="AF893" s="24">
        <f>IF($AE893="","",IF($AE893&lt;0,"FUTURO",IF($AE893&gt;p_dias_backlog_max,"BACKLOG","MES CORRIENTE")))</f>
        <v/>
      </c>
      <c r="AG893" s="24">
        <f>IF($AE893="",FALSE,AND($AE893&gt;p_dias_backlog_min,$AE893&lt;=p_dias_backlog_max))</f>
        <v/>
      </c>
      <c r="AH893" s="4" t="n"/>
      <c r="AI893" s="24">
        <f>IF($AH893="","",IF((IFERROR(INDEX('ASIGNACIONES'!$J$4:$J$451,MATCH($O893&amp;"|"&amp;$S893&amp;"|"&amp;$AH893,'ASIGNACIONES'!$N$4:$N$451,0)),""))=0,"",IFERROR(INDEX('ASIGNACIONES'!$J$4:$J$451,MATCH($O893&amp;"|"&amp;$S893&amp;"|"&amp;$AH893,'ASIGNACIONES'!$N$4:$N$451,0)),"")))</f>
        <v/>
      </c>
      <c r="AJ893" s="42">
        <f>IF($AH893="","",SUMIFS('ORDENES'!$M$4:$M$1203,'ORDENES'!$AH$4:$AH$1203,$AH893,'ORDENES'!$O$4:$O$1203,$O893,'ORDENES'!$S$4:$S$1203,$S893))</f>
        <v/>
      </c>
      <c r="AK893" s="42">
        <f>IF($AJ893="","",p_factor_productividad*IFERROR(INDEX('ASIGNACIONES'!$M$4:$M$451,MATCH($O893&amp;"|"&amp;$S893&amp;"|"&amp;$AH893,'ASIGNACIONES'!$N$4:$N$451,0)),0)-$AJ893)</f>
        <v/>
      </c>
      <c r="AL893" s="32">
        <f>IF($A893="","",IFERROR(INDEX('2_IMPORTAR_EJECUCION'!$F$9:$F$1208,MATCH($AU893,'2_IMPORTAR_EJECUCION'!$J$9:$J$1208,0)),0))</f>
        <v/>
      </c>
      <c r="AM893" s="32">
        <f>IF($A893="","",MAX(0,IFERROR(INDEX('2_IMPORTAR_EJECUCION'!$H$9:$H$1208,MATCH($AU893,'2_IMPORTAR_EJECUCION'!$J$9:$J$1208,0)),0)-$AL893))</f>
        <v/>
      </c>
      <c r="AN893" s="32">
        <f>IF($A893="","",$AL893+$AM893)</f>
        <v/>
      </c>
      <c r="AO893" s="24">
        <f>IF($A893="","",IF(OR((IFERROR(INDEX('CAT_ACTIVIDADES'!$D$4:$D$26,MATCH($H893,'CAT_ACTIVIDADES'!$A$4:$A$26,0)),""))=0,(IFERROR(INDEX('CAT_ACTIVIDADES'!$D$4:$D$26,MATCH($H893,'CAT_ACTIVIDADES'!$A$4:$A$26,0)),""))=""),"SIN CLASIFICAR",IFERROR(INDEX('CAT_ACTIVIDADES'!$D$4:$D$26,MATCH($H893,'CAT_ACTIVIDADES'!$A$4:$A$26,0)),"")))</f>
        <v/>
      </c>
      <c r="AP893" s="4" t="n"/>
      <c r="AQ893" s="4" t="n"/>
      <c r="AR893" s="4" t="n"/>
      <c r="AS893" s="24">
        <f>IF($AR893="","",HYPERLINK(p_ruta_base_checklists&amp;$AR893,"abrir"))</f>
        <v/>
      </c>
      <c r="AT893" s="4" t="n"/>
      <c r="AU893" s="24">
        <f>IF($A893="","",$A893&amp;IF($B893="","0010",$B893))</f>
        <v/>
      </c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41" t="n"/>
      <c r="K894" s="5" t="n"/>
      <c r="L894" s="18" t="n"/>
      <c r="M894" s="24">
        <f>IF($A894="","",IFERROR(INDEX('AJUSTES'!$B$4:$B$303,MATCH($AU894,'AJUSTES'!$A$4:$A$303,0)),IF($K894="","",$K894)))</f>
        <v/>
      </c>
      <c r="N894" s="24">
        <f>IF($A894="","",IFERROR(INDEX('CAT_ESTADOS_ERP'!$B$4:$B$22,MATCH(IFERROR(INDEX('2_IMPORTAR_EJECUCION'!$C$9:$C$1208,MATCH($AU894,'2_IMPORTAR_EJECUCION'!$J$9:$J$1208,0)),""),'CAT_ESTADOS_ERP'!$A$4:$A$22,0)),"Pendiente"))</f>
        <v/>
      </c>
      <c r="O894" s="24">
        <f>IF($J894="","",YEAR($J894+4-WEEKDAY($J894,2))&amp;"-S"&amp;TEXT(_xlfn.ISOWEEKNUM($J894),"00"))</f>
        <v/>
      </c>
      <c r="P894" s="24">
        <f>IF($J894="","",YEAR($J894))</f>
        <v/>
      </c>
      <c r="Q894" s="24">
        <f>IF($J894="","",MONTH($J894))</f>
        <v/>
      </c>
      <c r="R894" s="24">
        <f>IF($J894="","",$P894&amp;"-"&amp;TEXT($Q894,"00"))</f>
        <v/>
      </c>
      <c r="S894" s="24">
        <f>IF($J894="","",INDEX(lista_dias,WEEKDAY($J894,2)))</f>
        <v/>
      </c>
      <c r="T894" s="24">
        <f>IF($J894="","",IFERROR(INDEX('CALENDARIO'!$C$15:$C$214,MATCH(TEXT($J894,"yyyy-mm-dd")&amp;"|"&amp;$Y894&amp;"|"&amp;$Z894,'CALENDARIO'!$G$15:$G$214,0)),IFERROR(INDEX('CALENDARIO'!$C$15:$C$214,MATCH(TEXT($J894,"yyyy-mm-dd")&amp;"|"&amp;$Y894&amp;"|",'CALENDARIO'!$G$15:$G$214,0)),IFERROR(INDEX('CALENDARIO'!$C$15:$C$214,MATCH(TEXT($J894,"yyyy-mm-dd")&amp;"||",'CALENDARIO'!$G$15:$G$214,0)),INDEX(patronHabil,WEEKDAY($J894,2))))))</f>
        <v/>
      </c>
      <c r="U894" s="24">
        <f>IF($I894="","",IFERROR(INDEX('CAT_TIPOS_OT'!$C$4:$C$23,MATCH($I894,'CAT_TIPOS_OT'!$A$4:$A$23,0)),"sin_clasificar"))</f>
        <v/>
      </c>
      <c r="V894" s="24">
        <f>IF($I894="","",IF(IFERROR(INDEX('CAT_TIPOS_OT'!$D$4:$D$23,MATCH($I894,'CAT_TIPOS_OT'!$A$4:$A$23,0)),"SIN CLASIFICAR")="","SIN CLASIFICAR",IFERROR(INDEX('CAT_TIPOS_OT'!$D$4:$D$23,MATCH($I894,'CAT_TIPOS_OT'!$A$4:$A$23,0)),"SIN CLASIFICAR")))</f>
        <v/>
      </c>
      <c r="W894" s="24">
        <f>IF($H894="","",IF(IFERROR(INDEX('CAT_ACTIVIDADES'!$F$4:$F$26,MATCH($H894,'CAT_ACTIVIDADES'!$A$4:$A$26,0)),"")=0,"",IFERROR(INDEX('CAT_ACTIVIDADES'!$F$4:$F$26,MATCH($H894,'CAT_ACTIVIDADES'!$A$4:$A$26,0)),"")))</f>
        <v/>
      </c>
      <c r="X894" s="24">
        <f>IF($F894="","",IFERROR(INDEX('CAT_CENTROS_COSTO'!$F$4:$F$28,MATCH($F894,'CAT_CENTROS_COSTO'!$A$4:$A$28,0)),"(sin catálogo)"))</f>
        <v/>
      </c>
      <c r="Y894" s="24">
        <f>IF($F894="","",IFERROR(INDEX('CAT_CENTROS_COSTO'!$D$4:$D$28,MATCH($F894,'CAT_CENTROS_COSTO'!$A$4:$A$28,0)),"(sin catálogo)"))</f>
        <v/>
      </c>
      <c r="Z894" s="24">
        <f>IF($F894="","",IF((IFERROR(INDEX('CAT_CENTROS_COSTO'!$E$4:$E$28,MATCH($F894,'CAT_CENTROS_COSTO'!$A$4:$A$28,0)),""))&lt;&gt;"",IFERROR(INDEX('CAT_CENTROS_COSTO'!$E$4:$E$28,MATCH($F894,'CAT_CENTROS_COSTO'!$A$4:$A$28,0)),""),$Y894))</f>
        <v/>
      </c>
      <c r="AA894" s="24">
        <f>IF($F894="","",IFERROR(INDEX('CAT_CENTROS_COSTO'!$G$4:$G$28,MATCH($F894,'CAT_CENTROS_COSTO'!$A$4:$A$28,0)),"(sin catálogo)"))</f>
        <v/>
      </c>
      <c r="AB894" s="24">
        <f>IF($G894="","",IFERROR(INDEX('CAT_PUESTOS'!$B$4:$B$23,MATCH($G894,'CAT_PUESTOS'!$A$4:$A$23,0)),"(sin catálogo)"))</f>
        <v/>
      </c>
      <c r="AC894" s="24">
        <f>IF($H894="","",IFERROR(INDEX('CAT_ACTIVIDADES'!$B$4:$B$26,MATCH($H894,'CAT_ACTIVIDADES'!$A$4:$A$26,0)),"(sin catálogo)"))</f>
        <v/>
      </c>
      <c r="AD894" s="26">
        <f>IF($J894="","",TODAY()-$J894)</f>
        <v/>
      </c>
      <c r="AE894" s="26">
        <f>IF($J894="","",IF($J894&lt;=TODAY(),COUNTIFS(cal_fechas,"&gt;="&amp;$J894,cal_fechas,"&lt;"&amp;TODAY(),cal_habil,"sí"),-COUNTIFS(cal_fechas,"&gt;="&amp;TODAY(),cal_fechas,"&lt;"&amp;$J894,cal_habil,"sí")))</f>
        <v/>
      </c>
      <c r="AF894" s="24">
        <f>IF($AE894="","",IF($AE894&lt;0,"FUTURO",IF($AE894&gt;p_dias_backlog_max,"BACKLOG","MES CORRIENTE")))</f>
        <v/>
      </c>
      <c r="AG894" s="24">
        <f>IF($AE894="",FALSE,AND($AE894&gt;p_dias_backlog_min,$AE894&lt;=p_dias_backlog_max))</f>
        <v/>
      </c>
      <c r="AH894" s="4" t="n"/>
      <c r="AI894" s="24">
        <f>IF($AH894="","",IF((IFERROR(INDEX('ASIGNACIONES'!$J$4:$J$451,MATCH($O894&amp;"|"&amp;$S894&amp;"|"&amp;$AH894,'ASIGNACIONES'!$N$4:$N$451,0)),""))=0,"",IFERROR(INDEX('ASIGNACIONES'!$J$4:$J$451,MATCH($O894&amp;"|"&amp;$S894&amp;"|"&amp;$AH894,'ASIGNACIONES'!$N$4:$N$451,0)),"")))</f>
        <v/>
      </c>
      <c r="AJ894" s="42">
        <f>IF($AH894="","",SUMIFS('ORDENES'!$M$4:$M$1203,'ORDENES'!$AH$4:$AH$1203,$AH894,'ORDENES'!$O$4:$O$1203,$O894,'ORDENES'!$S$4:$S$1203,$S894))</f>
        <v/>
      </c>
      <c r="AK894" s="42">
        <f>IF($AJ894="","",p_factor_productividad*IFERROR(INDEX('ASIGNACIONES'!$M$4:$M$451,MATCH($O894&amp;"|"&amp;$S894&amp;"|"&amp;$AH894,'ASIGNACIONES'!$N$4:$N$451,0)),0)-$AJ894)</f>
        <v/>
      </c>
      <c r="AL894" s="32">
        <f>IF($A894="","",IFERROR(INDEX('2_IMPORTAR_EJECUCION'!$F$9:$F$1208,MATCH($AU894,'2_IMPORTAR_EJECUCION'!$J$9:$J$1208,0)),0))</f>
        <v/>
      </c>
      <c r="AM894" s="32">
        <f>IF($A894="","",MAX(0,IFERROR(INDEX('2_IMPORTAR_EJECUCION'!$H$9:$H$1208,MATCH($AU894,'2_IMPORTAR_EJECUCION'!$J$9:$J$1208,0)),0)-$AL894))</f>
        <v/>
      </c>
      <c r="AN894" s="32">
        <f>IF($A894="","",$AL894+$AM894)</f>
        <v/>
      </c>
      <c r="AO894" s="24">
        <f>IF($A894="","",IF(OR((IFERROR(INDEX('CAT_ACTIVIDADES'!$D$4:$D$26,MATCH($H894,'CAT_ACTIVIDADES'!$A$4:$A$26,0)),""))=0,(IFERROR(INDEX('CAT_ACTIVIDADES'!$D$4:$D$26,MATCH($H894,'CAT_ACTIVIDADES'!$A$4:$A$26,0)),""))=""),"SIN CLASIFICAR",IFERROR(INDEX('CAT_ACTIVIDADES'!$D$4:$D$26,MATCH($H894,'CAT_ACTIVIDADES'!$A$4:$A$26,0)),"")))</f>
        <v/>
      </c>
      <c r="AP894" s="4" t="n"/>
      <c r="AQ894" s="4" t="n"/>
      <c r="AR894" s="4" t="n"/>
      <c r="AS894" s="24">
        <f>IF($AR894="","",HYPERLINK(p_ruta_base_checklists&amp;$AR894,"abrir"))</f>
        <v/>
      </c>
      <c r="AT894" s="4" t="n"/>
      <c r="AU894" s="24">
        <f>IF($A894="","",$A894&amp;IF($B894="","0010",$B894))</f>
        <v/>
      </c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41" t="n"/>
      <c r="K895" s="5" t="n"/>
      <c r="L895" s="18" t="n"/>
      <c r="M895" s="24">
        <f>IF($A895="","",IFERROR(INDEX('AJUSTES'!$B$4:$B$303,MATCH($AU895,'AJUSTES'!$A$4:$A$303,0)),IF($K895="","",$K895)))</f>
        <v/>
      </c>
      <c r="N895" s="24">
        <f>IF($A895="","",IFERROR(INDEX('CAT_ESTADOS_ERP'!$B$4:$B$22,MATCH(IFERROR(INDEX('2_IMPORTAR_EJECUCION'!$C$9:$C$1208,MATCH($AU895,'2_IMPORTAR_EJECUCION'!$J$9:$J$1208,0)),""),'CAT_ESTADOS_ERP'!$A$4:$A$22,0)),"Pendiente"))</f>
        <v/>
      </c>
      <c r="O895" s="24">
        <f>IF($J895="","",YEAR($J895+4-WEEKDAY($J895,2))&amp;"-S"&amp;TEXT(_xlfn.ISOWEEKNUM($J895),"00"))</f>
        <v/>
      </c>
      <c r="P895" s="24">
        <f>IF($J895="","",YEAR($J895))</f>
        <v/>
      </c>
      <c r="Q895" s="24">
        <f>IF($J895="","",MONTH($J895))</f>
        <v/>
      </c>
      <c r="R895" s="24">
        <f>IF($J895="","",$P895&amp;"-"&amp;TEXT($Q895,"00"))</f>
        <v/>
      </c>
      <c r="S895" s="24">
        <f>IF($J895="","",INDEX(lista_dias,WEEKDAY($J895,2)))</f>
        <v/>
      </c>
      <c r="T895" s="24">
        <f>IF($J895="","",IFERROR(INDEX('CALENDARIO'!$C$15:$C$214,MATCH(TEXT($J895,"yyyy-mm-dd")&amp;"|"&amp;$Y895&amp;"|"&amp;$Z895,'CALENDARIO'!$G$15:$G$214,0)),IFERROR(INDEX('CALENDARIO'!$C$15:$C$214,MATCH(TEXT($J895,"yyyy-mm-dd")&amp;"|"&amp;$Y895&amp;"|",'CALENDARIO'!$G$15:$G$214,0)),IFERROR(INDEX('CALENDARIO'!$C$15:$C$214,MATCH(TEXT($J895,"yyyy-mm-dd")&amp;"||",'CALENDARIO'!$G$15:$G$214,0)),INDEX(patronHabil,WEEKDAY($J895,2))))))</f>
        <v/>
      </c>
      <c r="U895" s="24">
        <f>IF($I895="","",IFERROR(INDEX('CAT_TIPOS_OT'!$C$4:$C$23,MATCH($I895,'CAT_TIPOS_OT'!$A$4:$A$23,0)),"sin_clasificar"))</f>
        <v/>
      </c>
      <c r="V895" s="24">
        <f>IF($I895="","",IF(IFERROR(INDEX('CAT_TIPOS_OT'!$D$4:$D$23,MATCH($I895,'CAT_TIPOS_OT'!$A$4:$A$23,0)),"SIN CLASIFICAR")="","SIN CLASIFICAR",IFERROR(INDEX('CAT_TIPOS_OT'!$D$4:$D$23,MATCH($I895,'CAT_TIPOS_OT'!$A$4:$A$23,0)),"SIN CLASIFICAR")))</f>
        <v/>
      </c>
      <c r="W895" s="24">
        <f>IF($H895="","",IF(IFERROR(INDEX('CAT_ACTIVIDADES'!$F$4:$F$26,MATCH($H895,'CAT_ACTIVIDADES'!$A$4:$A$26,0)),"")=0,"",IFERROR(INDEX('CAT_ACTIVIDADES'!$F$4:$F$26,MATCH($H895,'CAT_ACTIVIDADES'!$A$4:$A$26,0)),"")))</f>
        <v/>
      </c>
      <c r="X895" s="24">
        <f>IF($F895="","",IFERROR(INDEX('CAT_CENTROS_COSTO'!$F$4:$F$28,MATCH($F895,'CAT_CENTROS_COSTO'!$A$4:$A$28,0)),"(sin catálogo)"))</f>
        <v/>
      </c>
      <c r="Y895" s="24">
        <f>IF($F895="","",IFERROR(INDEX('CAT_CENTROS_COSTO'!$D$4:$D$28,MATCH($F895,'CAT_CENTROS_COSTO'!$A$4:$A$28,0)),"(sin catálogo)"))</f>
        <v/>
      </c>
      <c r="Z895" s="24">
        <f>IF($F895="","",IF((IFERROR(INDEX('CAT_CENTROS_COSTO'!$E$4:$E$28,MATCH($F895,'CAT_CENTROS_COSTO'!$A$4:$A$28,0)),""))&lt;&gt;"",IFERROR(INDEX('CAT_CENTROS_COSTO'!$E$4:$E$28,MATCH($F895,'CAT_CENTROS_COSTO'!$A$4:$A$28,0)),""),$Y895))</f>
        <v/>
      </c>
      <c r="AA895" s="24">
        <f>IF($F895="","",IFERROR(INDEX('CAT_CENTROS_COSTO'!$G$4:$G$28,MATCH($F895,'CAT_CENTROS_COSTO'!$A$4:$A$28,0)),"(sin catálogo)"))</f>
        <v/>
      </c>
      <c r="AB895" s="24">
        <f>IF($G895="","",IFERROR(INDEX('CAT_PUESTOS'!$B$4:$B$23,MATCH($G895,'CAT_PUESTOS'!$A$4:$A$23,0)),"(sin catálogo)"))</f>
        <v/>
      </c>
      <c r="AC895" s="24">
        <f>IF($H895="","",IFERROR(INDEX('CAT_ACTIVIDADES'!$B$4:$B$26,MATCH($H895,'CAT_ACTIVIDADES'!$A$4:$A$26,0)),"(sin catálogo)"))</f>
        <v/>
      </c>
      <c r="AD895" s="26">
        <f>IF($J895="","",TODAY()-$J895)</f>
        <v/>
      </c>
      <c r="AE895" s="26">
        <f>IF($J895="","",IF($J895&lt;=TODAY(),COUNTIFS(cal_fechas,"&gt;="&amp;$J895,cal_fechas,"&lt;"&amp;TODAY(),cal_habil,"sí"),-COUNTIFS(cal_fechas,"&gt;="&amp;TODAY(),cal_fechas,"&lt;"&amp;$J895,cal_habil,"sí")))</f>
        <v/>
      </c>
      <c r="AF895" s="24">
        <f>IF($AE895="","",IF($AE895&lt;0,"FUTURO",IF($AE895&gt;p_dias_backlog_max,"BACKLOG","MES CORRIENTE")))</f>
        <v/>
      </c>
      <c r="AG895" s="24">
        <f>IF($AE895="",FALSE,AND($AE895&gt;p_dias_backlog_min,$AE895&lt;=p_dias_backlog_max))</f>
        <v/>
      </c>
      <c r="AH895" s="4" t="n"/>
      <c r="AI895" s="24">
        <f>IF($AH895="","",IF((IFERROR(INDEX('ASIGNACIONES'!$J$4:$J$451,MATCH($O895&amp;"|"&amp;$S895&amp;"|"&amp;$AH895,'ASIGNACIONES'!$N$4:$N$451,0)),""))=0,"",IFERROR(INDEX('ASIGNACIONES'!$J$4:$J$451,MATCH($O895&amp;"|"&amp;$S895&amp;"|"&amp;$AH895,'ASIGNACIONES'!$N$4:$N$451,0)),"")))</f>
        <v/>
      </c>
      <c r="AJ895" s="42">
        <f>IF($AH895="","",SUMIFS('ORDENES'!$M$4:$M$1203,'ORDENES'!$AH$4:$AH$1203,$AH895,'ORDENES'!$O$4:$O$1203,$O895,'ORDENES'!$S$4:$S$1203,$S895))</f>
        <v/>
      </c>
      <c r="AK895" s="42">
        <f>IF($AJ895="","",p_factor_productividad*IFERROR(INDEX('ASIGNACIONES'!$M$4:$M$451,MATCH($O895&amp;"|"&amp;$S895&amp;"|"&amp;$AH895,'ASIGNACIONES'!$N$4:$N$451,0)),0)-$AJ895)</f>
        <v/>
      </c>
      <c r="AL895" s="32">
        <f>IF($A895="","",IFERROR(INDEX('2_IMPORTAR_EJECUCION'!$F$9:$F$1208,MATCH($AU895,'2_IMPORTAR_EJECUCION'!$J$9:$J$1208,0)),0))</f>
        <v/>
      </c>
      <c r="AM895" s="32">
        <f>IF($A895="","",MAX(0,IFERROR(INDEX('2_IMPORTAR_EJECUCION'!$H$9:$H$1208,MATCH($AU895,'2_IMPORTAR_EJECUCION'!$J$9:$J$1208,0)),0)-$AL895))</f>
        <v/>
      </c>
      <c r="AN895" s="32">
        <f>IF($A895="","",$AL895+$AM895)</f>
        <v/>
      </c>
      <c r="AO895" s="24">
        <f>IF($A895="","",IF(OR((IFERROR(INDEX('CAT_ACTIVIDADES'!$D$4:$D$26,MATCH($H895,'CAT_ACTIVIDADES'!$A$4:$A$26,0)),""))=0,(IFERROR(INDEX('CAT_ACTIVIDADES'!$D$4:$D$26,MATCH($H895,'CAT_ACTIVIDADES'!$A$4:$A$26,0)),""))=""),"SIN CLASIFICAR",IFERROR(INDEX('CAT_ACTIVIDADES'!$D$4:$D$26,MATCH($H895,'CAT_ACTIVIDADES'!$A$4:$A$26,0)),"")))</f>
        <v/>
      </c>
      <c r="AP895" s="4" t="n"/>
      <c r="AQ895" s="4" t="n"/>
      <c r="AR895" s="4" t="n"/>
      <c r="AS895" s="24">
        <f>IF($AR895="","",HYPERLINK(p_ruta_base_checklists&amp;$AR895,"abrir"))</f>
        <v/>
      </c>
      <c r="AT895" s="4" t="n"/>
      <c r="AU895" s="24">
        <f>IF($A895="","",$A895&amp;IF($B895="","0010",$B895))</f>
        <v/>
      </c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41" t="n"/>
      <c r="K896" s="5" t="n"/>
      <c r="L896" s="18" t="n"/>
      <c r="M896" s="24">
        <f>IF($A896="","",IFERROR(INDEX('AJUSTES'!$B$4:$B$303,MATCH($AU896,'AJUSTES'!$A$4:$A$303,0)),IF($K896="","",$K896)))</f>
        <v/>
      </c>
      <c r="N896" s="24">
        <f>IF($A896="","",IFERROR(INDEX('CAT_ESTADOS_ERP'!$B$4:$B$22,MATCH(IFERROR(INDEX('2_IMPORTAR_EJECUCION'!$C$9:$C$1208,MATCH($AU896,'2_IMPORTAR_EJECUCION'!$J$9:$J$1208,0)),""),'CAT_ESTADOS_ERP'!$A$4:$A$22,0)),"Pendiente"))</f>
        <v/>
      </c>
      <c r="O896" s="24">
        <f>IF($J896="","",YEAR($J896+4-WEEKDAY($J896,2))&amp;"-S"&amp;TEXT(_xlfn.ISOWEEKNUM($J896),"00"))</f>
        <v/>
      </c>
      <c r="P896" s="24">
        <f>IF($J896="","",YEAR($J896))</f>
        <v/>
      </c>
      <c r="Q896" s="24">
        <f>IF($J896="","",MONTH($J896))</f>
        <v/>
      </c>
      <c r="R896" s="24">
        <f>IF($J896="","",$P896&amp;"-"&amp;TEXT($Q896,"00"))</f>
        <v/>
      </c>
      <c r="S896" s="24">
        <f>IF($J896="","",INDEX(lista_dias,WEEKDAY($J896,2)))</f>
        <v/>
      </c>
      <c r="T896" s="24">
        <f>IF($J896="","",IFERROR(INDEX('CALENDARIO'!$C$15:$C$214,MATCH(TEXT($J896,"yyyy-mm-dd")&amp;"|"&amp;$Y896&amp;"|"&amp;$Z896,'CALENDARIO'!$G$15:$G$214,0)),IFERROR(INDEX('CALENDARIO'!$C$15:$C$214,MATCH(TEXT($J896,"yyyy-mm-dd")&amp;"|"&amp;$Y896&amp;"|",'CALENDARIO'!$G$15:$G$214,0)),IFERROR(INDEX('CALENDARIO'!$C$15:$C$214,MATCH(TEXT($J896,"yyyy-mm-dd")&amp;"||",'CALENDARIO'!$G$15:$G$214,0)),INDEX(patronHabil,WEEKDAY($J896,2))))))</f>
        <v/>
      </c>
      <c r="U896" s="24">
        <f>IF($I896="","",IFERROR(INDEX('CAT_TIPOS_OT'!$C$4:$C$23,MATCH($I896,'CAT_TIPOS_OT'!$A$4:$A$23,0)),"sin_clasificar"))</f>
        <v/>
      </c>
      <c r="V896" s="24">
        <f>IF($I896="","",IF(IFERROR(INDEX('CAT_TIPOS_OT'!$D$4:$D$23,MATCH($I896,'CAT_TIPOS_OT'!$A$4:$A$23,0)),"SIN CLASIFICAR")="","SIN CLASIFICAR",IFERROR(INDEX('CAT_TIPOS_OT'!$D$4:$D$23,MATCH($I896,'CAT_TIPOS_OT'!$A$4:$A$23,0)),"SIN CLASIFICAR")))</f>
        <v/>
      </c>
      <c r="W896" s="24">
        <f>IF($H896="","",IF(IFERROR(INDEX('CAT_ACTIVIDADES'!$F$4:$F$26,MATCH($H896,'CAT_ACTIVIDADES'!$A$4:$A$26,0)),"")=0,"",IFERROR(INDEX('CAT_ACTIVIDADES'!$F$4:$F$26,MATCH($H896,'CAT_ACTIVIDADES'!$A$4:$A$26,0)),"")))</f>
        <v/>
      </c>
      <c r="X896" s="24">
        <f>IF($F896="","",IFERROR(INDEX('CAT_CENTROS_COSTO'!$F$4:$F$28,MATCH($F896,'CAT_CENTROS_COSTO'!$A$4:$A$28,0)),"(sin catálogo)"))</f>
        <v/>
      </c>
      <c r="Y896" s="24">
        <f>IF($F896="","",IFERROR(INDEX('CAT_CENTROS_COSTO'!$D$4:$D$28,MATCH($F896,'CAT_CENTROS_COSTO'!$A$4:$A$28,0)),"(sin catálogo)"))</f>
        <v/>
      </c>
      <c r="Z896" s="24">
        <f>IF($F896="","",IF((IFERROR(INDEX('CAT_CENTROS_COSTO'!$E$4:$E$28,MATCH($F896,'CAT_CENTROS_COSTO'!$A$4:$A$28,0)),""))&lt;&gt;"",IFERROR(INDEX('CAT_CENTROS_COSTO'!$E$4:$E$28,MATCH($F896,'CAT_CENTROS_COSTO'!$A$4:$A$28,0)),""),$Y896))</f>
        <v/>
      </c>
      <c r="AA896" s="24">
        <f>IF($F896="","",IFERROR(INDEX('CAT_CENTROS_COSTO'!$G$4:$G$28,MATCH($F896,'CAT_CENTROS_COSTO'!$A$4:$A$28,0)),"(sin catálogo)"))</f>
        <v/>
      </c>
      <c r="AB896" s="24">
        <f>IF($G896="","",IFERROR(INDEX('CAT_PUESTOS'!$B$4:$B$23,MATCH($G896,'CAT_PUESTOS'!$A$4:$A$23,0)),"(sin catálogo)"))</f>
        <v/>
      </c>
      <c r="AC896" s="24">
        <f>IF($H896="","",IFERROR(INDEX('CAT_ACTIVIDADES'!$B$4:$B$26,MATCH($H896,'CAT_ACTIVIDADES'!$A$4:$A$26,0)),"(sin catálogo)"))</f>
        <v/>
      </c>
      <c r="AD896" s="26">
        <f>IF($J896="","",TODAY()-$J896)</f>
        <v/>
      </c>
      <c r="AE896" s="26">
        <f>IF($J896="","",IF($J896&lt;=TODAY(),COUNTIFS(cal_fechas,"&gt;="&amp;$J896,cal_fechas,"&lt;"&amp;TODAY(),cal_habil,"sí"),-COUNTIFS(cal_fechas,"&gt;="&amp;TODAY(),cal_fechas,"&lt;"&amp;$J896,cal_habil,"sí")))</f>
        <v/>
      </c>
      <c r="AF896" s="24">
        <f>IF($AE896="","",IF($AE896&lt;0,"FUTURO",IF($AE896&gt;p_dias_backlog_max,"BACKLOG","MES CORRIENTE")))</f>
        <v/>
      </c>
      <c r="AG896" s="24">
        <f>IF($AE896="",FALSE,AND($AE896&gt;p_dias_backlog_min,$AE896&lt;=p_dias_backlog_max))</f>
        <v/>
      </c>
      <c r="AH896" s="4" t="n"/>
      <c r="AI896" s="24">
        <f>IF($AH896="","",IF((IFERROR(INDEX('ASIGNACIONES'!$J$4:$J$451,MATCH($O896&amp;"|"&amp;$S896&amp;"|"&amp;$AH896,'ASIGNACIONES'!$N$4:$N$451,0)),""))=0,"",IFERROR(INDEX('ASIGNACIONES'!$J$4:$J$451,MATCH($O896&amp;"|"&amp;$S896&amp;"|"&amp;$AH896,'ASIGNACIONES'!$N$4:$N$451,0)),"")))</f>
        <v/>
      </c>
      <c r="AJ896" s="42">
        <f>IF($AH896="","",SUMIFS('ORDENES'!$M$4:$M$1203,'ORDENES'!$AH$4:$AH$1203,$AH896,'ORDENES'!$O$4:$O$1203,$O896,'ORDENES'!$S$4:$S$1203,$S896))</f>
        <v/>
      </c>
      <c r="AK896" s="42">
        <f>IF($AJ896="","",p_factor_productividad*IFERROR(INDEX('ASIGNACIONES'!$M$4:$M$451,MATCH($O896&amp;"|"&amp;$S896&amp;"|"&amp;$AH896,'ASIGNACIONES'!$N$4:$N$451,0)),0)-$AJ896)</f>
        <v/>
      </c>
      <c r="AL896" s="32">
        <f>IF($A896="","",IFERROR(INDEX('2_IMPORTAR_EJECUCION'!$F$9:$F$1208,MATCH($AU896,'2_IMPORTAR_EJECUCION'!$J$9:$J$1208,0)),0))</f>
        <v/>
      </c>
      <c r="AM896" s="32">
        <f>IF($A896="","",MAX(0,IFERROR(INDEX('2_IMPORTAR_EJECUCION'!$H$9:$H$1208,MATCH($AU896,'2_IMPORTAR_EJECUCION'!$J$9:$J$1208,0)),0)-$AL896))</f>
        <v/>
      </c>
      <c r="AN896" s="32">
        <f>IF($A896="","",$AL896+$AM896)</f>
        <v/>
      </c>
      <c r="AO896" s="24">
        <f>IF($A896="","",IF(OR((IFERROR(INDEX('CAT_ACTIVIDADES'!$D$4:$D$26,MATCH($H896,'CAT_ACTIVIDADES'!$A$4:$A$26,0)),""))=0,(IFERROR(INDEX('CAT_ACTIVIDADES'!$D$4:$D$26,MATCH($H896,'CAT_ACTIVIDADES'!$A$4:$A$26,0)),""))=""),"SIN CLASIFICAR",IFERROR(INDEX('CAT_ACTIVIDADES'!$D$4:$D$26,MATCH($H896,'CAT_ACTIVIDADES'!$A$4:$A$26,0)),"")))</f>
        <v/>
      </c>
      <c r="AP896" s="4" t="n"/>
      <c r="AQ896" s="4" t="n"/>
      <c r="AR896" s="4" t="n"/>
      <c r="AS896" s="24">
        <f>IF($AR896="","",HYPERLINK(p_ruta_base_checklists&amp;$AR896,"abrir"))</f>
        <v/>
      </c>
      <c r="AT896" s="4" t="n"/>
      <c r="AU896" s="24">
        <f>IF($A896="","",$A896&amp;IF($B896="","0010",$B896))</f>
        <v/>
      </c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41" t="n"/>
      <c r="K897" s="5" t="n"/>
      <c r="L897" s="18" t="n"/>
      <c r="M897" s="24">
        <f>IF($A897="","",IFERROR(INDEX('AJUSTES'!$B$4:$B$303,MATCH($AU897,'AJUSTES'!$A$4:$A$303,0)),IF($K897="","",$K897)))</f>
        <v/>
      </c>
      <c r="N897" s="24">
        <f>IF($A897="","",IFERROR(INDEX('CAT_ESTADOS_ERP'!$B$4:$B$22,MATCH(IFERROR(INDEX('2_IMPORTAR_EJECUCION'!$C$9:$C$1208,MATCH($AU897,'2_IMPORTAR_EJECUCION'!$J$9:$J$1208,0)),""),'CAT_ESTADOS_ERP'!$A$4:$A$22,0)),"Pendiente"))</f>
        <v/>
      </c>
      <c r="O897" s="24">
        <f>IF($J897="","",YEAR($J897+4-WEEKDAY($J897,2))&amp;"-S"&amp;TEXT(_xlfn.ISOWEEKNUM($J897),"00"))</f>
        <v/>
      </c>
      <c r="P897" s="24">
        <f>IF($J897="","",YEAR($J897))</f>
        <v/>
      </c>
      <c r="Q897" s="24">
        <f>IF($J897="","",MONTH($J897))</f>
        <v/>
      </c>
      <c r="R897" s="24">
        <f>IF($J897="","",$P897&amp;"-"&amp;TEXT($Q897,"00"))</f>
        <v/>
      </c>
      <c r="S897" s="24">
        <f>IF($J897="","",INDEX(lista_dias,WEEKDAY($J897,2)))</f>
        <v/>
      </c>
      <c r="T897" s="24">
        <f>IF($J897="","",IFERROR(INDEX('CALENDARIO'!$C$15:$C$214,MATCH(TEXT($J897,"yyyy-mm-dd")&amp;"|"&amp;$Y897&amp;"|"&amp;$Z897,'CALENDARIO'!$G$15:$G$214,0)),IFERROR(INDEX('CALENDARIO'!$C$15:$C$214,MATCH(TEXT($J897,"yyyy-mm-dd")&amp;"|"&amp;$Y897&amp;"|",'CALENDARIO'!$G$15:$G$214,0)),IFERROR(INDEX('CALENDARIO'!$C$15:$C$214,MATCH(TEXT($J897,"yyyy-mm-dd")&amp;"||",'CALENDARIO'!$G$15:$G$214,0)),INDEX(patronHabil,WEEKDAY($J897,2))))))</f>
        <v/>
      </c>
      <c r="U897" s="24">
        <f>IF($I897="","",IFERROR(INDEX('CAT_TIPOS_OT'!$C$4:$C$23,MATCH($I897,'CAT_TIPOS_OT'!$A$4:$A$23,0)),"sin_clasificar"))</f>
        <v/>
      </c>
      <c r="V897" s="24">
        <f>IF($I897="","",IF(IFERROR(INDEX('CAT_TIPOS_OT'!$D$4:$D$23,MATCH($I897,'CAT_TIPOS_OT'!$A$4:$A$23,0)),"SIN CLASIFICAR")="","SIN CLASIFICAR",IFERROR(INDEX('CAT_TIPOS_OT'!$D$4:$D$23,MATCH($I897,'CAT_TIPOS_OT'!$A$4:$A$23,0)),"SIN CLASIFICAR")))</f>
        <v/>
      </c>
      <c r="W897" s="24">
        <f>IF($H897="","",IF(IFERROR(INDEX('CAT_ACTIVIDADES'!$F$4:$F$26,MATCH($H897,'CAT_ACTIVIDADES'!$A$4:$A$26,0)),"")=0,"",IFERROR(INDEX('CAT_ACTIVIDADES'!$F$4:$F$26,MATCH($H897,'CAT_ACTIVIDADES'!$A$4:$A$26,0)),"")))</f>
        <v/>
      </c>
      <c r="X897" s="24">
        <f>IF($F897="","",IFERROR(INDEX('CAT_CENTROS_COSTO'!$F$4:$F$28,MATCH($F897,'CAT_CENTROS_COSTO'!$A$4:$A$28,0)),"(sin catálogo)"))</f>
        <v/>
      </c>
      <c r="Y897" s="24">
        <f>IF($F897="","",IFERROR(INDEX('CAT_CENTROS_COSTO'!$D$4:$D$28,MATCH($F897,'CAT_CENTROS_COSTO'!$A$4:$A$28,0)),"(sin catálogo)"))</f>
        <v/>
      </c>
      <c r="Z897" s="24">
        <f>IF($F897="","",IF((IFERROR(INDEX('CAT_CENTROS_COSTO'!$E$4:$E$28,MATCH($F897,'CAT_CENTROS_COSTO'!$A$4:$A$28,0)),""))&lt;&gt;"",IFERROR(INDEX('CAT_CENTROS_COSTO'!$E$4:$E$28,MATCH($F897,'CAT_CENTROS_COSTO'!$A$4:$A$28,0)),""),$Y897))</f>
        <v/>
      </c>
      <c r="AA897" s="24">
        <f>IF($F897="","",IFERROR(INDEX('CAT_CENTROS_COSTO'!$G$4:$G$28,MATCH($F897,'CAT_CENTROS_COSTO'!$A$4:$A$28,0)),"(sin catálogo)"))</f>
        <v/>
      </c>
      <c r="AB897" s="24">
        <f>IF($G897="","",IFERROR(INDEX('CAT_PUESTOS'!$B$4:$B$23,MATCH($G897,'CAT_PUESTOS'!$A$4:$A$23,0)),"(sin catálogo)"))</f>
        <v/>
      </c>
      <c r="AC897" s="24">
        <f>IF($H897="","",IFERROR(INDEX('CAT_ACTIVIDADES'!$B$4:$B$26,MATCH($H897,'CAT_ACTIVIDADES'!$A$4:$A$26,0)),"(sin catálogo)"))</f>
        <v/>
      </c>
      <c r="AD897" s="26">
        <f>IF($J897="","",TODAY()-$J897)</f>
        <v/>
      </c>
      <c r="AE897" s="26">
        <f>IF($J897="","",IF($J897&lt;=TODAY(),COUNTIFS(cal_fechas,"&gt;="&amp;$J897,cal_fechas,"&lt;"&amp;TODAY(),cal_habil,"sí"),-COUNTIFS(cal_fechas,"&gt;="&amp;TODAY(),cal_fechas,"&lt;"&amp;$J897,cal_habil,"sí")))</f>
        <v/>
      </c>
      <c r="AF897" s="24">
        <f>IF($AE897="","",IF($AE897&lt;0,"FUTURO",IF($AE897&gt;p_dias_backlog_max,"BACKLOG","MES CORRIENTE")))</f>
        <v/>
      </c>
      <c r="AG897" s="24">
        <f>IF($AE897="",FALSE,AND($AE897&gt;p_dias_backlog_min,$AE897&lt;=p_dias_backlog_max))</f>
        <v/>
      </c>
      <c r="AH897" s="4" t="n"/>
      <c r="AI897" s="24">
        <f>IF($AH897="","",IF((IFERROR(INDEX('ASIGNACIONES'!$J$4:$J$451,MATCH($O897&amp;"|"&amp;$S897&amp;"|"&amp;$AH897,'ASIGNACIONES'!$N$4:$N$451,0)),""))=0,"",IFERROR(INDEX('ASIGNACIONES'!$J$4:$J$451,MATCH($O897&amp;"|"&amp;$S897&amp;"|"&amp;$AH897,'ASIGNACIONES'!$N$4:$N$451,0)),"")))</f>
        <v/>
      </c>
      <c r="AJ897" s="42">
        <f>IF($AH897="","",SUMIFS('ORDENES'!$M$4:$M$1203,'ORDENES'!$AH$4:$AH$1203,$AH897,'ORDENES'!$O$4:$O$1203,$O897,'ORDENES'!$S$4:$S$1203,$S897))</f>
        <v/>
      </c>
      <c r="AK897" s="42">
        <f>IF($AJ897="","",p_factor_productividad*IFERROR(INDEX('ASIGNACIONES'!$M$4:$M$451,MATCH($O897&amp;"|"&amp;$S897&amp;"|"&amp;$AH897,'ASIGNACIONES'!$N$4:$N$451,0)),0)-$AJ897)</f>
        <v/>
      </c>
      <c r="AL897" s="32">
        <f>IF($A897="","",IFERROR(INDEX('2_IMPORTAR_EJECUCION'!$F$9:$F$1208,MATCH($AU897,'2_IMPORTAR_EJECUCION'!$J$9:$J$1208,0)),0))</f>
        <v/>
      </c>
      <c r="AM897" s="32">
        <f>IF($A897="","",MAX(0,IFERROR(INDEX('2_IMPORTAR_EJECUCION'!$H$9:$H$1208,MATCH($AU897,'2_IMPORTAR_EJECUCION'!$J$9:$J$1208,0)),0)-$AL897))</f>
        <v/>
      </c>
      <c r="AN897" s="32">
        <f>IF($A897="","",$AL897+$AM897)</f>
        <v/>
      </c>
      <c r="AO897" s="24">
        <f>IF($A897="","",IF(OR((IFERROR(INDEX('CAT_ACTIVIDADES'!$D$4:$D$26,MATCH($H897,'CAT_ACTIVIDADES'!$A$4:$A$26,0)),""))=0,(IFERROR(INDEX('CAT_ACTIVIDADES'!$D$4:$D$26,MATCH($H897,'CAT_ACTIVIDADES'!$A$4:$A$26,0)),""))=""),"SIN CLASIFICAR",IFERROR(INDEX('CAT_ACTIVIDADES'!$D$4:$D$26,MATCH($H897,'CAT_ACTIVIDADES'!$A$4:$A$26,0)),"")))</f>
        <v/>
      </c>
      <c r="AP897" s="4" t="n"/>
      <c r="AQ897" s="4" t="n"/>
      <c r="AR897" s="4" t="n"/>
      <c r="AS897" s="24">
        <f>IF($AR897="","",HYPERLINK(p_ruta_base_checklists&amp;$AR897,"abrir"))</f>
        <v/>
      </c>
      <c r="AT897" s="4" t="n"/>
      <c r="AU897" s="24">
        <f>IF($A897="","",$A897&amp;IF($B897="","0010",$B897))</f>
        <v/>
      </c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41" t="n"/>
      <c r="K898" s="5" t="n"/>
      <c r="L898" s="18" t="n"/>
      <c r="M898" s="24">
        <f>IF($A898="","",IFERROR(INDEX('AJUSTES'!$B$4:$B$303,MATCH($AU898,'AJUSTES'!$A$4:$A$303,0)),IF($K898="","",$K898)))</f>
        <v/>
      </c>
      <c r="N898" s="24">
        <f>IF($A898="","",IFERROR(INDEX('CAT_ESTADOS_ERP'!$B$4:$B$22,MATCH(IFERROR(INDEX('2_IMPORTAR_EJECUCION'!$C$9:$C$1208,MATCH($AU898,'2_IMPORTAR_EJECUCION'!$J$9:$J$1208,0)),""),'CAT_ESTADOS_ERP'!$A$4:$A$22,0)),"Pendiente"))</f>
        <v/>
      </c>
      <c r="O898" s="24">
        <f>IF($J898="","",YEAR($J898+4-WEEKDAY($J898,2))&amp;"-S"&amp;TEXT(_xlfn.ISOWEEKNUM($J898),"00"))</f>
        <v/>
      </c>
      <c r="P898" s="24">
        <f>IF($J898="","",YEAR($J898))</f>
        <v/>
      </c>
      <c r="Q898" s="24">
        <f>IF($J898="","",MONTH($J898))</f>
        <v/>
      </c>
      <c r="R898" s="24">
        <f>IF($J898="","",$P898&amp;"-"&amp;TEXT($Q898,"00"))</f>
        <v/>
      </c>
      <c r="S898" s="24">
        <f>IF($J898="","",INDEX(lista_dias,WEEKDAY($J898,2)))</f>
        <v/>
      </c>
      <c r="T898" s="24">
        <f>IF($J898="","",IFERROR(INDEX('CALENDARIO'!$C$15:$C$214,MATCH(TEXT($J898,"yyyy-mm-dd")&amp;"|"&amp;$Y898&amp;"|"&amp;$Z898,'CALENDARIO'!$G$15:$G$214,0)),IFERROR(INDEX('CALENDARIO'!$C$15:$C$214,MATCH(TEXT($J898,"yyyy-mm-dd")&amp;"|"&amp;$Y898&amp;"|",'CALENDARIO'!$G$15:$G$214,0)),IFERROR(INDEX('CALENDARIO'!$C$15:$C$214,MATCH(TEXT($J898,"yyyy-mm-dd")&amp;"||",'CALENDARIO'!$G$15:$G$214,0)),INDEX(patronHabil,WEEKDAY($J898,2))))))</f>
        <v/>
      </c>
      <c r="U898" s="24">
        <f>IF($I898="","",IFERROR(INDEX('CAT_TIPOS_OT'!$C$4:$C$23,MATCH($I898,'CAT_TIPOS_OT'!$A$4:$A$23,0)),"sin_clasificar"))</f>
        <v/>
      </c>
      <c r="V898" s="24">
        <f>IF($I898="","",IF(IFERROR(INDEX('CAT_TIPOS_OT'!$D$4:$D$23,MATCH($I898,'CAT_TIPOS_OT'!$A$4:$A$23,0)),"SIN CLASIFICAR")="","SIN CLASIFICAR",IFERROR(INDEX('CAT_TIPOS_OT'!$D$4:$D$23,MATCH($I898,'CAT_TIPOS_OT'!$A$4:$A$23,0)),"SIN CLASIFICAR")))</f>
        <v/>
      </c>
      <c r="W898" s="24">
        <f>IF($H898="","",IF(IFERROR(INDEX('CAT_ACTIVIDADES'!$F$4:$F$26,MATCH($H898,'CAT_ACTIVIDADES'!$A$4:$A$26,0)),"")=0,"",IFERROR(INDEX('CAT_ACTIVIDADES'!$F$4:$F$26,MATCH($H898,'CAT_ACTIVIDADES'!$A$4:$A$26,0)),"")))</f>
        <v/>
      </c>
      <c r="X898" s="24">
        <f>IF($F898="","",IFERROR(INDEX('CAT_CENTROS_COSTO'!$F$4:$F$28,MATCH($F898,'CAT_CENTROS_COSTO'!$A$4:$A$28,0)),"(sin catálogo)"))</f>
        <v/>
      </c>
      <c r="Y898" s="24">
        <f>IF($F898="","",IFERROR(INDEX('CAT_CENTROS_COSTO'!$D$4:$D$28,MATCH($F898,'CAT_CENTROS_COSTO'!$A$4:$A$28,0)),"(sin catálogo)"))</f>
        <v/>
      </c>
      <c r="Z898" s="24">
        <f>IF($F898="","",IF((IFERROR(INDEX('CAT_CENTROS_COSTO'!$E$4:$E$28,MATCH($F898,'CAT_CENTROS_COSTO'!$A$4:$A$28,0)),""))&lt;&gt;"",IFERROR(INDEX('CAT_CENTROS_COSTO'!$E$4:$E$28,MATCH($F898,'CAT_CENTROS_COSTO'!$A$4:$A$28,0)),""),$Y898))</f>
        <v/>
      </c>
      <c r="AA898" s="24">
        <f>IF($F898="","",IFERROR(INDEX('CAT_CENTROS_COSTO'!$G$4:$G$28,MATCH($F898,'CAT_CENTROS_COSTO'!$A$4:$A$28,0)),"(sin catálogo)"))</f>
        <v/>
      </c>
      <c r="AB898" s="24">
        <f>IF($G898="","",IFERROR(INDEX('CAT_PUESTOS'!$B$4:$B$23,MATCH($G898,'CAT_PUESTOS'!$A$4:$A$23,0)),"(sin catálogo)"))</f>
        <v/>
      </c>
      <c r="AC898" s="24">
        <f>IF($H898="","",IFERROR(INDEX('CAT_ACTIVIDADES'!$B$4:$B$26,MATCH($H898,'CAT_ACTIVIDADES'!$A$4:$A$26,0)),"(sin catálogo)"))</f>
        <v/>
      </c>
      <c r="AD898" s="26">
        <f>IF($J898="","",TODAY()-$J898)</f>
        <v/>
      </c>
      <c r="AE898" s="26">
        <f>IF($J898="","",IF($J898&lt;=TODAY(),COUNTIFS(cal_fechas,"&gt;="&amp;$J898,cal_fechas,"&lt;"&amp;TODAY(),cal_habil,"sí"),-COUNTIFS(cal_fechas,"&gt;="&amp;TODAY(),cal_fechas,"&lt;"&amp;$J898,cal_habil,"sí")))</f>
        <v/>
      </c>
      <c r="AF898" s="24">
        <f>IF($AE898="","",IF($AE898&lt;0,"FUTURO",IF($AE898&gt;p_dias_backlog_max,"BACKLOG","MES CORRIENTE")))</f>
        <v/>
      </c>
      <c r="AG898" s="24">
        <f>IF($AE898="",FALSE,AND($AE898&gt;p_dias_backlog_min,$AE898&lt;=p_dias_backlog_max))</f>
        <v/>
      </c>
      <c r="AH898" s="4" t="n"/>
      <c r="AI898" s="24">
        <f>IF($AH898="","",IF((IFERROR(INDEX('ASIGNACIONES'!$J$4:$J$451,MATCH($O898&amp;"|"&amp;$S898&amp;"|"&amp;$AH898,'ASIGNACIONES'!$N$4:$N$451,0)),""))=0,"",IFERROR(INDEX('ASIGNACIONES'!$J$4:$J$451,MATCH($O898&amp;"|"&amp;$S898&amp;"|"&amp;$AH898,'ASIGNACIONES'!$N$4:$N$451,0)),"")))</f>
        <v/>
      </c>
      <c r="AJ898" s="42">
        <f>IF($AH898="","",SUMIFS('ORDENES'!$M$4:$M$1203,'ORDENES'!$AH$4:$AH$1203,$AH898,'ORDENES'!$O$4:$O$1203,$O898,'ORDENES'!$S$4:$S$1203,$S898))</f>
        <v/>
      </c>
      <c r="AK898" s="42">
        <f>IF($AJ898="","",p_factor_productividad*IFERROR(INDEX('ASIGNACIONES'!$M$4:$M$451,MATCH($O898&amp;"|"&amp;$S898&amp;"|"&amp;$AH898,'ASIGNACIONES'!$N$4:$N$451,0)),0)-$AJ898)</f>
        <v/>
      </c>
      <c r="AL898" s="32">
        <f>IF($A898="","",IFERROR(INDEX('2_IMPORTAR_EJECUCION'!$F$9:$F$1208,MATCH($AU898,'2_IMPORTAR_EJECUCION'!$J$9:$J$1208,0)),0))</f>
        <v/>
      </c>
      <c r="AM898" s="32">
        <f>IF($A898="","",MAX(0,IFERROR(INDEX('2_IMPORTAR_EJECUCION'!$H$9:$H$1208,MATCH($AU898,'2_IMPORTAR_EJECUCION'!$J$9:$J$1208,0)),0)-$AL898))</f>
        <v/>
      </c>
      <c r="AN898" s="32">
        <f>IF($A898="","",$AL898+$AM898)</f>
        <v/>
      </c>
      <c r="AO898" s="24">
        <f>IF($A898="","",IF(OR((IFERROR(INDEX('CAT_ACTIVIDADES'!$D$4:$D$26,MATCH($H898,'CAT_ACTIVIDADES'!$A$4:$A$26,0)),""))=0,(IFERROR(INDEX('CAT_ACTIVIDADES'!$D$4:$D$26,MATCH($H898,'CAT_ACTIVIDADES'!$A$4:$A$26,0)),""))=""),"SIN CLASIFICAR",IFERROR(INDEX('CAT_ACTIVIDADES'!$D$4:$D$26,MATCH($H898,'CAT_ACTIVIDADES'!$A$4:$A$26,0)),"")))</f>
        <v/>
      </c>
      <c r="AP898" s="4" t="n"/>
      <c r="AQ898" s="4" t="n"/>
      <c r="AR898" s="4" t="n"/>
      <c r="AS898" s="24">
        <f>IF($AR898="","",HYPERLINK(p_ruta_base_checklists&amp;$AR898,"abrir"))</f>
        <v/>
      </c>
      <c r="AT898" s="4" t="n"/>
      <c r="AU898" s="24">
        <f>IF($A898="","",$A898&amp;IF($B898="","0010",$B898))</f>
        <v/>
      </c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41" t="n"/>
      <c r="K899" s="5" t="n"/>
      <c r="L899" s="18" t="n"/>
      <c r="M899" s="24">
        <f>IF($A899="","",IFERROR(INDEX('AJUSTES'!$B$4:$B$303,MATCH($AU899,'AJUSTES'!$A$4:$A$303,0)),IF($K899="","",$K899)))</f>
        <v/>
      </c>
      <c r="N899" s="24">
        <f>IF($A899="","",IFERROR(INDEX('CAT_ESTADOS_ERP'!$B$4:$B$22,MATCH(IFERROR(INDEX('2_IMPORTAR_EJECUCION'!$C$9:$C$1208,MATCH($AU899,'2_IMPORTAR_EJECUCION'!$J$9:$J$1208,0)),""),'CAT_ESTADOS_ERP'!$A$4:$A$22,0)),"Pendiente"))</f>
        <v/>
      </c>
      <c r="O899" s="24">
        <f>IF($J899="","",YEAR($J899+4-WEEKDAY($J899,2))&amp;"-S"&amp;TEXT(_xlfn.ISOWEEKNUM($J899),"00"))</f>
        <v/>
      </c>
      <c r="P899" s="24">
        <f>IF($J899="","",YEAR($J899))</f>
        <v/>
      </c>
      <c r="Q899" s="24">
        <f>IF($J899="","",MONTH($J899))</f>
        <v/>
      </c>
      <c r="R899" s="24">
        <f>IF($J899="","",$P899&amp;"-"&amp;TEXT($Q899,"00"))</f>
        <v/>
      </c>
      <c r="S899" s="24">
        <f>IF($J899="","",INDEX(lista_dias,WEEKDAY($J899,2)))</f>
        <v/>
      </c>
      <c r="T899" s="24">
        <f>IF($J899="","",IFERROR(INDEX('CALENDARIO'!$C$15:$C$214,MATCH(TEXT($J899,"yyyy-mm-dd")&amp;"|"&amp;$Y899&amp;"|"&amp;$Z899,'CALENDARIO'!$G$15:$G$214,0)),IFERROR(INDEX('CALENDARIO'!$C$15:$C$214,MATCH(TEXT($J899,"yyyy-mm-dd")&amp;"|"&amp;$Y899&amp;"|",'CALENDARIO'!$G$15:$G$214,0)),IFERROR(INDEX('CALENDARIO'!$C$15:$C$214,MATCH(TEXT($J899,"yyyy-mm-dd")&amp;"||",'CALENDARIO'!$G$15:$G$214,0)),INDEX(patronHabil,WEEKDAY($J899,2))))))</f>
        <v/>
      </c>
      <c r="U899" s="24">
        <f>IF($I899="","",IFERROR(INDEX('CAT_TIPOS_OT'!$C$4:$C$23,MATCH($I899,'CAT_TIPOS_OT'!$A$4:$A$23,0)),"sin_clasificar"))</f>
        <v/>
      </c>
      <c r="V899" s="24">
        <f>IF($I899="","",IF(IFERROR(INDEX('CAT_TIPOS_OT'!$D$4:$D$23,MATCH($I899,'CAT_TIPOS_OT'!$A$4:$A$23,0)),"SIN CLASIFICAR")="","SIN CLASIFICAR",IFERROR(INDEX('CAT_TIPOS_OT'!$D$4:$D$23,MATCH($I899,'CAT_TIPOS_OT'!$A$4:$A$23,0)),"SIN CLASIFICAR")))</f>
        <v/>
      </c>
      <c r="W899" s="24">
        <f>IF($H899="","",IF(IFERROR(INDEX('CAT_ACTIVIDADES'!$F$4:$F$26,MATCH($H899,'CAT_ACTIVIDADES'!$A$4:$A$26,0)),"")=0,"",IFERROR(INDEX('CAT_ACTIVIDADES'!$F$4:$F$26,MATCH($H899,'CAT_ACTIVIDADES'!$A$4:$A$26,0)),"")))</f>
        <v/>
      </c>
      <c r="X899" s="24">
        <f>IF($F899="","",IFERROR(INDEX('CAT_CENTROS_COSTO'!$F$4:$F$28,MATCH($F899,'CAT_CENTROS_COSTO'!$A$4:$A$28,0)),"(sin catálogo)"))</f>
        <v/>
      </c>
      <c r="Y899" s="24">
        <f>IF($F899="","",IFERROR(INDEX('CAT_CENTROS_COSTO'!$D$4:$D$28,MATCH($F899,'CAT_CENTROS_COSTO'!$A$4:$A$28,0)),"(sin catálogo)"))</f>
        <v/>
      </c>
      <c r="Z899" s="24">
        <f>IF($F899="","",IF((IFERROR(INDEX('CAT_CENTROS_COSTO'!$E$4:$E$28,MATCH($F899,'CAT_CENTROS_COSTO'!$A$4:$A$28,0)),""))&lt;&gt;"",IFERROR(INDEX('CAT_CENTROS_COSTO'!$E$4:$E$28,MATCH($F899,'CAT_CENTROS_COSTO'!$A$4:$A$28,0)),""),$Y899))</f>
        <v/>
      </c>
      <c r="AA899" s="24">
        <f>IF($F899="","",IFERROR(INDEX('CAT_CENTROS_COSTO'!$G$4:$G$28,MATCH($F899,'CAT_CENTROS_COSTO'!$A$4:$A$28,0)),"(sin catálogo)"))</f>
        <v/>
      </c>
      <c r="AB899" s="24">
        <f>IF($G899="","",IFERROR(INDEX('CAT_PUESTOS'!$B$4:$B$23,MATCH($G899,'CAT_PUESTOS'!$A$4:$A$23,0)),"(sin catálogo)"))</f>
        <v/>
      </c>
      <c r="AC899" s="24">
        <f>IF($H899="","",IFERROR(INDEX('CAT_ACTIVIDADES'!$B$4:$B$26,MATCH($H899,'CAT_ACTIVIDADES'!$A$4:$A$26,0)),"(sin catálogo)"))</f>
        <v/>
      </c>
      <c r="AD899" s="26">
        <f>IF($J899="","",TODAY()-$J899)</f>
        <v/>
      </c>
      <c r="AE899" s="26">
        <f>IF($J899="","",IF($J899&lt;=TODAY(),COUNTIFS(cal_fechas,"&gt;="&amp;$J899,cal_fechas,"&lt;"&amp;TODAY(),cal_habil,"sí"),-COUNTIFS(cal_fechas,"&gt;="&amp;TODAY(),cal_fechas,"&lt;"&amp;$J899,cal_habil,"sí")))</f>
        <v/>
      </c>
      <c r="AF899" s="24">
        <f>IF($AE899="","",IF($AE899&lt;0,"FUTURO",IF($AE899&gt;p_dias_backlog_max,"BACKLOG","MES CORRIENTE")))</f>
        <v/>
      </c>
      <c r="AG899" s="24">
        <f>IF($AE899="",FALSE,AND($AE899&gt;p_dias_backlog_min,$AE899&lt;=p_dias_backlog_max))</f>
        <v/>
      </c>
      <c r="AH899" s="4" t="n"/>
      <c r="AI899" s="24">
        <f>IF($AH899="","",IF((IFERROR(INDEX('ASIGNACIONES'!$J$4:$J$451,MATCH($O899&amp;"|"&amp;$S899&amp;"|"&amp;$AH899,'ASIGNACIONES'!$N$4:$N$451,0)),""))=0,"",IFERROR(INDEX('ASIGNACIONES'!$J$4:$J$451,MATCH($O899&amp;"|"&amp;$S899&amp;"|"&amp;$AH899,'ASIGNACIONES'!$N$4:$N$451,0)),"")))</f>
        <v/>
      </c>
      <c r="AJ899" s="42">
        <f>IF($AH899="","",SUMIFS('ORDENES'!$M$4:$M$1203,'ORDENES'!$AH$4:$AH$1203,$AH899,'ORDENES'!$O$4:$O$1203,$O899,'ORDENES'!$S$4:$S$1203,$S899))</f>
        <v/>
      </c>
      <c r="AK899" s="42">
        <f>IF($AJ899="","",p_factor_productividad*IFERROR(INDEX('ASIGNACIONES'!$M$4:$M$451,MATCH($O899&amp;"|"&amp;$S899&amp;"|"&amp;$AH899,'ASIGNACIONES'!$N$4:$N$451,0)),0)-$AJ899)</f>
        <v/>
      </c>
      <c r="AL899" s="32">
        <f>IF($A899="","",IFERROR(INDEX('2_IMPORTAR_EJECUCION'!$F$9:$F$1208,MATCH($AU899,'2_IMPORTAR_EJECUCION'!$J$9:$J$1208,0)),0))</f>
        <v/>
      </c>
      <c r="AM899" s="32">
        <f>IF($A899="","",MAX(0,IFERROR(INDEX('2_IMPORTAR_EJECUCION'!$H$9:$H$1208,MATCH($AU899,'2_IMPORTAR_EJECUCION'!$J$9:$J$1208,0)),0)-$AL899))</f>
        <v/>
      </c>
      <c r="AN899" s="32">
        <f>IF($A899="","",$AL899+$AM899)</f>
        <v/>
      </c>
      <c r="AO899" s="24">
        <f>IF($A899="","",IF(OR((IFERROR(INDEX('CAT_ACTIVIDADES'!$D$4:$D$26,MATCH($H899,'CAT_ACTIVIDADES'!$A$4:$A$26,0)),""))=0,(IFERROR(INDEX('CAT_ACTIVIDADES'!$D$4:$D$26,MATCH($H899,'CAT_ACTIVIDADES'!$A$4:$A$26,0)),""))=""),"SIN CLASIFICAR",IFERROR(INDEX('CAT_ACTIVIDADES'!$D$4:$D$26,MATCH($H899,'CAT_ACTIVIDADES'!$A$4:$A$26,0)),"")))</f>
        <v/>
      </c>
      <c r="AP899" s="4" t="n"/>
      <c r="AQ899" s="4" t="n"/>
      <c r="AR899" s="4" t="n"/>
      <c r="AS899" s="24">
        <f>IF($AR899="","",HYPERLINK(p_ruta_base_checklists&amp;$AR899,"abrir"))</f>
        <v/>
      </c>
      <c r="AT899" s="4" t="n"/>
      <c r="AU899" s="24">
        <f>IF($A899="","",$A899&amp;IF($B899="","0010",$B899))</f>
        <v/>
      </c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41" t="n"/>
      <c r="K900" s="5" t="n"/>
      <c r="L900" s="18" t="n"/>
      <c r="M900" s="24">
        <f>IF($A900="","",IFERROR(INDEX('AJUSTES'!$B$4:$B$303,MATCH($AU900,'AJUSTES'!$A$4:$A$303,0)),IF($K900="","",$K900)))</f>
        <v/>
      </c>
      <c r="N900" s="24">
        <f>IF($A900="","",IFERROR(INDEX('CAT_ESTADOS_ERP'!$B$4:$B$22,MATCH(IFERROR(INDEX('2_IMPORTAR_EJECUCION'!$C$9:$C$1208,MATCH($AU900,'2_IMPORTAR_EJECUCION'!$J$9:$J$1208,0)),""),'CAT_ESTADOS_ERP'!$A$4:$A$22,0)),"Pendiente"))</f>
        <v/>
      </c>
      <c r="O900" s="24">
        <f>IF($J900="","",YEAR($J900+4-WEEKDAY($J900,2))&amp;"-S"&amp;TEXT(_xlfn.ISOWEEKNUM($J900),"00"))</f>
        <v/>
      </c>
      <c r="P900" s="24">
        <f>IF($J900="","",YEAR($J900))</f>
        <v/>
      </c>
      <c r="Q900" s="24">
        <f>IF($J900="","",MONTH($J900))</f>
        <v/>
      </c>
      <c r="R900" s="24">
        <f>IF($J900="","",$P900&amp;"-"&amp;TEXT($Q900,"00"))</f>
        <v/>
      </c>
      <c r="S900" s="24">
        <f>IF($J900="","",INDEX(lista_dias,WEEKDAY($J900,2)))</f>
        <v/>
      </c>
      <c r="T900" s="24">
        <f>IF($J900="","",IFERROR(INDEX('CALENDARIO'!$C$15:$C$214,MATCH(TEXT($J900,"yyyy-mm-dd")&amp;"|"&amp;$Y900&amp;"|"&amp;$Z900,'CALENDARIO'!$G$15:$G$214,0)),IFERROR(INDEX('CALENDARIO'!$C$15:$C$214,MATCH(TEXT($J900,"yyyy-mm-dd")&amp;"|"&amp;$Y900&amp;"|",'CALENDARIO'!$G$15:$G$214,0)),IFERROR(INDEX('CALENDARIO'!$C$15:$C$214,MATCH(TEXT($J900,"yyyy-mm-dd")&amp;"||",'CALENDARIO'!$G$15:$G$214,0)),INDEX(patronHabil,WEEKDAY($J900,2))))))</f>
        <v/>
      </c>
      <c r="U900" s="24">
        <f>IF($I900="","",IFERROR(INDEX('CAT_TIPOS_OT'!$C$4:$C$23,MATCH($I900,'CAT_TIPOS_OT'!$A$4:$A$23,0)),"sin_clasificar"))</f>
        <v/>
      </c>
      <c r="V900" s="24">
        <f>IF($I900="","",IF(IFERROR(INDEX('CAT_TIPOS_OT'!$D$4:$D$23,MATCH($I900,'CAT_TIPOS_OT'!$A$4:$A$23,0)),"SIN CLASIFICAR")="","SIN CLASIFICAR",IFERROR(INDEX('CAT_TIPOS_OT'!$D$4:$D$23,MATCH($I900,'CAT_TIPOS_OT'!$A$4:$A$23,0)),"SIN CLASIFICAR")))</f>
        <v/>
      </c>
      <c r="W900" s="24">
        <f>IF($H900="","",IF(IFERROR(INDEX('CAT_ACTIVIDADES'!$F$4:$F$26,MATCH($H900,'CAT_ACTIVIDADES'!$A$4:$A$26,0)),"")=0,"",IFERROR(INDEX('CAT_ACTIVIDADES'!$F$4:$F$26,MATCH($H900,'CAT_ACTIVIDADES'!$A$4:$A$26,0)),"")))</f>
        <v/>
      </c>
      <c r="X900" s="24">
        <f>IF($F900="","",IFERROR(INDEX('CAT_CENTROS_COSTO'!$F$4:$F$28,MATCH($F900,'CAT_CENTROS_COSTO'!$A$4:$A$28,0)),"(sin catálogo)"))</f>
        <v/>
      </c>
      <c r="Y900" s="24">
        <f>IF($F900="","",IFERROR(INDEX('CAT_CENTROS_COSTO'!$D$4:$D$28,MATCH($F900,'CAT_CENTROS_COSTO'!$A$4:$A$28,0)),"(sin catálogo)"))</f>
        <v/>
      </c>
      <c r="Z900" s="24">
        <f>IF($F900="","",IF((IFERROR(INDEX('CAT_CENTROS_COSTO'!$E$4:$E$28,MATCH($F900,'CAT_CENTROS_COSTO'!$A$4:$A$28,0)),""))&lt;&gt;"",IFERROR(INDEX('CAT_CENTROS_COSTO'!$E$4:$E$28,MATCH($F900,'CAT_CENTROS_COSTO'!$A$4:$A$28,0)),""),$Y900))</f>
        <v/>
      </c>
      <c r="AA900" s="24">
        <f>IF($F900="","",IFERROR(INDEX('CAT_CENTROS_COSTO'!$G$4:$G$28,MATCH($F900,'CAT_CENTROS_COSTO'!$A$4:$A$28,0)),"(sin catálogo)"))</f>
        <v/>
      </c>
      <c r="AB900" s="24">
        <f>IF($G900="","",IFERROR(INDEX('CAT_PUESTOS'!$B$4:$B$23,MATCH($G900,'CAT_PUESTOS'!$A$4:$A$23,0)),"(sin catálogo)"))</f>
        <v/>
      </c>
      <c r="AC900" s="24">
        <f>IF($H900="","",IFERROR(INDEX('CAT_ACTIVIDADES'!$B$4:$B$26,MATCH($H900,'CAT_ACTIVIDADES'!$A$4:$A$26,0)),"(sin catálogo)"))</f>
        <v/>
      </c>
      <c r="AD900" s="26">
        <f>IF($J900="","",TODAY()-$J900)</f>
        <v/>
      </c>
      <c r="AE900" s="26">
        <f>IF($J900="","",IF($J900&lt;=TODAY(),COUNTIFS(cal_fechas,"&gt;="&amp;$J900,cal_fechas,"&lt;"&amp;TODAY(),cal_habil,"sí"),-COUNTIFS(cal_fechas,"&gt;="&amp;TODAY(),cal_fechas,"&lt;"&amp;$J900,cal_habil,"sí")))</f>
        <v/>
      </c>
      <c r="AF900" s="24">
        <f>IF($AE900="","",IF($AE900&lt;0,"FUTURO",IF($AE900&gt;p_dias_backlog_max,"BACKLOG","MES CORRIENTE")))</f>
        <v/>
      </c>
      <c r="AG900" s="24">
        <f>IF($AE900="",FALSE,AND($AE900&gt;p_dias_backlog_min,$AE900&lt;=p_dias_backlog_max))</f>
        <v/>
      </c>
      <c r="AH900" s="4" t="n"/>
      <c r="AI900" s="24">
        <f>IF($AH900="","",IF((IFERROR(INDEX('ASIGNACIONES'!$J$4:$J$451,MATCH($O900&amp;"|"&amp;$S900&amp;"|"&amp;$AH900,'ASIGNACIONES'!$N$4:$N$451,0)),""))=0,"",IFERROR(INDEX('ASIGNACIONES'!$J$4:$J$451,MATCH($O900&amp;"|"&amp;$S900&amp;"|"&amp;$AH900,'ASIGNACIONES'!$N$4:$N$451,0)),"")))</f>
        <v/>
      </c>
      <c r="AJ900" s="42">
        <f>IF($AH900="","",SUMIFS('ORDENES'!$M$4:$M$1203,'ORDENES'!$AH$4:$AH$1203,$AH900,'ORDENES'!$O$4:$O$1203,$O900,'ORDENES'!$S$4:$S$1203,$S900))</f>
        <v/>
      </c>
      <c r="AK900" s="42">
        <f>IF($AJ900="","",p_factor_productividad*IFERROR(INDEX('ASIGNACIONES'!$M$4:$M$451,MATCH($O900&amp;"|"&amp;$S900&amp;"|"&amp;$AH900,'ASIGNACIONES'!$N$4:$N$451,0)),0)-$AJ900)</f>
        <v/>
      </c>
      <c r="AL900" s="32">
        <f>IF($A900="","",IFERROR(INDEX('2_IMPORTAR_EJECUCION'!$F$9:$F$1208,MATCH($AU900,'2_IMPORTAR_EJECUCION'!$J$9:$J$1208,0)),0))</f>
        <v/>
      </c>
      <c r="AM900" s="32">
        <f>IF($A900="","",MAX(0,IFERROR(INDEX('2_IMPORTAR_EJECUCION'!$H$9:$H$1208,MATCH($AU900,'2_IMPORTAR_EJECUCION'!$J$9:$J$1208,0)),0)-$AL900))</f>
        <v/>
      </c>
      <c r="AN900" s="32">
        <f>IF($A900="","",$AL900+$AM900)</f>
        <v/>
      </c>
      <c r="AO900" s="24">
        <f>IF($A900="","",IF(OR((IFERROR(INDEX('CAT_ACTIVIDADES'!$D$4:$D$26,MATCH($H900,'CAT_ACTIVIDADES'!$A$4:$A$26,0)),""))=0,(IFERROR(INDEX('CAT_ACTIVIDADES'!$D$4:$D$26,MATCH($H900,'CAT_ACTIVIDADES'!$A$4:$A$26,0)),""))=""),"SIN CLASIFICAR",IFERROR(INDEX('CAT_ACTIVIDADES'!$D$4:$D$26,MATCH($H900,'CAT_ACTIVIDADES'!$A$4:$A$26,0)),"")))</f>
        <v/>
      </c>
      <c r="AP900" s="4" t="n"/>
      <c r="AQ900" s="4" t="n"/>
      <c r="AR900" s="4" t="n"/>
      <c r="AS900" s="24">
        <f>IF($AR900="","",HYPERLINK(p_ruta_base_checklists&amp;$AR900,"abrir"))</f>
        <v/>
      </c>
      <c r="AT900" s="4" t="n"/>
      <c r="AU900" s="24">
        <f>IF($A900="","",$A900&amp;IF($B900="","0010",$B900))</f>
        <v/>
      </c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41" t="n"/>
      <c r="K901" s="5" t="n"/>
      <c r="L901" s="18" t="n"/>
      <c r="M901" s="24">
        <f>IF($A901="","",IFERROR(INDEX('AJUSTES'!$B$4:$B$303,MATCH($AU901,'AJUSTES'!$A$4:$A$303,0)),IF($K901="","",$K901)))</f>
        <v/>
      </c>
      <c r="N901" s="24">
        <f>IF($A901="","",IFERROR(INDEX('CAT_ESTADOS_ERP'!$B$4:$B$22,MATCH(IFERROR(INDEX('2_IMPORTAR_EJECUCION'!$C$9:$C$1208,MATCH($AU901,'2_IMPORTAR_EJECUCION'!$J$9:$J$1208,0)),""),'CAT_ESTADOS_ERP'!$A$4:$A$22,0)),"Pendiente"))</f>
        <v/>
      </c>
      <c r="O901" s="24">
        <f>IF($J901="","",YEAR($J901+4-WEEKDAY($J901,2))&amp;"-S"&amp;TEXT(_xlfn.ISOWEEKNUM($J901),"00"))</f>
        <v/>
      </c>
      <c r="P901" s="24">
        <f>IF($J901="","",YEAR($J901))</f>
        <v/>
      </c>
      <c r="Q901" s="24">
        <f>IF($J901="","",MONTH($J901))</f>
        <v/>
      </c>
      <c r="R901" s="24">
        <f>IF($J901="","",$P901&amp;"-"&amp;TEXT($Q901,"00"))</f>
        <v/>
      </c>
      <c r="S901" s="24">
        <f>IF($J901="","",INDEX(lista_dias,WEEKDAY($J901,2)))</f>
        <v/>
      </c>
      <c r="T901" s="24">
        <f>IF($J901="","",IFERROR(INDEX('CALENDARIO'!$C$15:$C$214,MATCH(TEXT($J901,"yyyy-mm-dd")&amp;"|"&amp;$Y901&amp;"|"&amp;$Z901,'CALENDARIO'!$G$15:$G$214,0)),IFERROR(INDEX('CALENDARIO'!$C$15:$C$214,MATCH(TEXT($J901,"yyyy-mm-dd")&amp;"|"&amp;$Y901&amp;"|",'CALENDARIO'!$G$15:$G$214,0)),IFERROR(INDEX('CALENDARIO'!$C$15:$C$214,MATCH(TEXT($J901,"yyyy-mm-dd")&amp;"||",'CALENDARIO'!$G$15:$G$214,0)),INDEX(patronHabil,WEEKDAY($J901,2))))))</f>
        <v/>
      </c>
      <c r="U901" s="24">
        <f>IF($I901="","",IFERROR(INDEX('CAT_TIPOS_OT'!$C$4:$C$23,MATCH($I901,'CAT_TIPOS_OT'!$A$4:$A$23,0)),"sin_clasificar"))</f>
        <v/>
      </c>
      <c r="V901" s="24">
        <f>IF($I901="","",IF(IFERROR(INDEX('CAT_TIPOS_OT'!$D$4:$D$23,MATCH($I901,'CAT_TIPOS_OT'!$A$4:$A$23,0)),"SIN CLASIFICAR")="","SIN CLASIFICAR",IFERROR(INDEX('CAT_TIPOS_OT'!$D$4:$D$23,MATCH($I901,'CAT_TIPOS_OT'!$A$4:$A$23,0)),"SIN CLASIFICAR")))</f>
        <v/>
      </c>
      <c r="W901" s="24">
        <f>IF($H901="","",IF(IFERROR(INDEX('CAT_ACTIVIDADES'!$F$4:$F$26,MATCH($H901,'CAT_ACTIVIDADES'!$A$4:$A$26,0)),"")=0,"",IFERROR(INDEX('CAT_ACTIVIDADES'!$F$4:$F$26,MATCH($H901,'CAT_ACTIVIDADES'!$A$4:$A$26,0)),"")))</f>
        <v/>
      </c>
      <c r="X901" s="24">
        <f>IF($F901="","",IFERROR(INDEX('CAT_CENTROS_COSTO'!$F$4:$F$28,MATCH($F901,'CAT_CENTROS_COSTO'!$A$4:$A$28,0)),"(sin catálogo)"))</f>
        <v/>
      </c>
      <c r="Y901" s="24">
        <f>IF($F901="","",IFERROR(INDEX('CAT_CENTROS_COSTO'!$D$4:$D$28,MATCH($F901,'CAT_CENTROS_COSTO'!$A$4:$A$28,0)),"(sin catálogo)"))</f>
        <v/>
      </c>
      <c r="Z901" s="24">
        <f>IF($F901="","",IF((IFERROR(INDEX('CAT_CENTROS_COSTO'!$E$4:$E$28,MATCH($F901,'CAT_CENTROS_COSTO'!$A$4:$A$28,0)),""))&lt;&gt;"",IFERROR(INDEX('CAT_CENTROS_COSTO'!$E$4:$E$28,MATCH($F901,'CAT_CENTROS_COSTO'!$A$4:$A$28,0)),""),$Y901))</f>
        <v/>
      </c>
      <c r="AA901" s="24">
        <f>IF($F901="","",IFERROR(INDEX('CAT_CENTROS_COSTO'!$G$4:$G$28,MATCH($F901,'CAT_CENTROS_COSTO'!$A$4:$A$28,0)),"(sin catálogo)"))</f>
        <v/>
      </c>
      <c r="AB901" s="24">
        <f>IF($G901="","",IFERROR(INDEX('CAT_PUESTOS'!$B$4:$B$23,MATCH($G901,'CAT_PUESTOS'!$A$4:$A$23,0)),"(sin catálogo)"))</f>
        <v/>
      </c>
      <c r="AC901" s="24">
        <f>IF($H901="","",IFERROR(INDEX('CAT_ACTIVIDADES'!$B$4:$B$26,MATCH($H901,'CAT_ACTIVIDADES'!$A$4:$A$26,0)),"(sin catálogo)"))</f>
        <v/>
      </c>
      <c r="AD901" s="26">
        <f>IF($J901="","",TODAY()-$J901)</f>
        <v/>
      </c>
      <c r="AE901" s="26">
        <f>IF($J901="","",IF($J901&lt;=TODAY(),COUNTIFS(cal_fechas,"&gt;="&amp;$J901,cal_fechas,"&lt;"&amp;TODAY(),cal_habil,"sí"),-COUNTIFS(cal_fechas,"&gt;="&amp;TODAY(),cal_fechas,"&lt;"&amp;$J901,cal_habil,"sí")))</f>
        <v/>
      </c>
      <c r="AF901" s="24">
        <f>IF($AE901="","",IF($AE901&lt;0,"FUTURO",IF($AE901&gt;p_dias_backlog_max,"BACKLOG","MES CORRIENTE")))</f>
        <v/>
      </c>
      <c r="AG901" s="24">
        <f>IF($AE901="",FALSE,AND($AE901&gt;p_dias_backlog_min,$AE901&lt;=p_dias_backlog_max))</f>
        <v/>
      </c>
      <c r="AH901" s="4" t="n"/>
      <c r="AI901" s="24">
        <f>IF($AH901="","",IF((IFERROR(INDEX('ASIGNACIONES'!$J$4:$J$451,MATCH($O901&amp;"|"&amp;$S901&amp;"|"&amp;$AH901,'ASIGNACIONES'!$N$4:$N$451,0)),""))=0,"",IFERROR(INDEX('ASIGNACIONES'!$J$4:$J$451,MATCH($O901&amp;"|"&amp;$S901&amp;"|"&amp;$AH901,'ASIGNACIONES'!$N$4:$N$451,0)),"")))</f>
        <v/>
      </c>
      <c r="AJ901" s="42">
        <f>IF($AH901="","",SUMIFS('ORDENES'!$M$4:$M$1203,'ORDENES'!$AH$4:$AH$1203,$AH901,'ORDENES'!$O$4:$O$1203,$O901,'ORDENES'!$S$4:$S$1203,$S901))</f>
        <v/>
      </c>
      <c r="AK901" s="42">
        <f>IF($AJ901="","",p_factor_productividad*IFERROR(INDEX('ASIGNACIONES'!$M$4:$M$451,MATCH($O901&amp;"|"&amp;$S901&amp;"|"&amp;$AH901,'ASIGNACIONES'!$N$4:$N$451,0)),0)-$AJ901)</f>
        <v/>
      </c>
      <c r="AL901" s="32">
        <f>IF($A901="","",IFERROR(INDEX('2_IMPORTAR_EJECUCION'!$F$9:$F$1208,MATCH($AU901,'2_IMPORTAR_EJECUCION'!$J$9:$J$1208,0)),0))</f>
        <v/>
      </c>
      <c r="AM901" s="32">
        <f>IF($A901="","",MAX(0,IFERROR(INDEX('2_IMPORTAR_EJECUCION'!$H$9:$H$1208,MATCH($AU901,'2_IMPORTAR_EJECUCION'!$J$9:$J$1208,0)),0)-$AL901))</f>
        <v/>
      </c>
      <c r="AN901" s="32">
        <f>IF($A901="","",$AL901+$AM901)</f>
        <v/>
      </c>
      <c r="AO901" s="24">
        <f>IF($A901="","",IF(OR((IFERROR(INDEX('CAT_ACTIVIDADES'!$D$4:$D$26,MATCH($H901,'CAT_ACTIVIDADES'!$A$4:$A$26,0)),""))=0,(IFERROR(INDEX('CAT_ACTIVIDADES'!$D$4:$D$26,MATCH($H901,'CAT_ACTIVIDADES'!$A$4:$A$26,0)),""))=""),"SIN CLASIFICAR",IFERROR(INDEX('CAT_ACTIVIDADES'!$D$4:$D$26,MATCH($H901,'CAT_ACTIVIDADES'!$A$4:$A$26,0)),"")))</f>
        <v/>
      </c>
      <c r="AP901" s="4" t="n"/>
      <c r="AQ901" s="4" t="n"/>
      <c r="AR901" s="4" t="n"/>
      <c r="AS901" s="24">
        <f>IF($AR901="","",HYPERLINK(p_ruta_base_checklists&amp;$AR901,"abrir"))</f>
        <v/>
      </c>
      <c r="AT901" s="4" t="n"/>
      <c r="AU901" s="24">
        <f>IF($A901="","",$A901&amp;IF($B901="","0010",$B901))</f>
        <v/>
      </c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41" t="n"/>
      <c r="K902" s="5" t="n"/>
      <c r="L902" s="18" t="n"/>
      <c r="M902" s="24">
        <f>IF($A902="","",IFERROR(INDEX('AJUSTES'!$B$4:$B$303,MATCH($AU902,'AJUSTES'!$A$4:$A$303,0)),IF($K902="","",$K902)))</f>
        <v/>
      </c>
      <c r="N902" s="24">
        <f>IF($A902="","",IFERROR(INDEX('CAT_ESTADOS_ERP'!$B$4:$B$22,MATCH(IFERROR(INDEX('2_IMPORTAR_EJECUCION'!$C$9:$C$1208,MATCH($AU902,'2_IMPORTAR_EJECUCION'!$J$9:$J$1208,0)),""),'CAT_ESTADOS_ERP'!$A$4:$A$22,0)),"Pendiente"))</f>
        <v/>
      </c>
      <c r="O902" s="24">
        <f>IF($J902="","",YEAR($J902+4-WEEKDAY($J902,2))&amp;"-S"&amp;TEXT(_xlfn.ISOWEEKNUM($J902),"00"))</f>
        <v/>
      </c>
      <c r="P902" s="24">
        <f>IF($J902="","",YEAR($J902))</f>
        <v/>
      </c>
      <c r="Q902" s="24">
        <f>IF($J902="","",MONTH($J902))</f>
        <v/>
      </c>
      <c r="R902" s="24">
        <f>IF($J902="","",$P902&amp;"-"&amp;TEXT($Q902,"00"))</f>
        <v/>
      </c>
      <c r="S902" s="24">
        <f>IF($J902="","",INDEX(lista_dias,WEEKDAY($J902,2)))</f>
        <v/>
      </c>
      <c r="T902" s="24">
        <f>IF($J902="","",IFERROR(INDEX('CALENDARIO'!$C$15:$C$214,MATCH(TEXT($J902,"yyyy-mm-dd")&amp;"|"&amp;$Y902&amp;"|"&amp;$Z902,'CALENDARIO'!$G$15:$G$214,0)),IFERROR(INDEX('CALENDARIO'!$C$15:$C$214,MATCH(TEXT($J902,"yyyy-mm-dd")&amp;"|"&amp;$Y902&amp;"|",'CALENDARIO'!$G$15:$G$214,0)),IFERROR(INDEX('CALENDARIO'!$C$15:$C$214,MATCH(TEXT($J902,"yyyy-mm-dd")&amp;"||",'CALENDARIO'!$G$15:$G$214,0)),INDEX(patronHabil,WEEKDAY($J902,2))))))</f>
        <v/>
      </c>
      <c r="U902" s="24">
        <f>IF($I902="","",IFERROR(INDEX('CAT_TIPOS_OT'!$C$4:$C$23,MATCH($I902,'CAT_TIPOS_OT'!$A$4:$A$23,0)),"sin_clasificar"))</f>
        <v/>
      </c>
      <c r="V902" s="24">
        <f>IF($I902="","",IF(IFERROR(INDEX('CAT_TIPOS_OT'!$D$4:$D$23,MATCH($I902,'CAT_TIPOS_OT'!$A$4:$A$23,0)),"SIN CLASIFICAR")="","SIN CLASIFICAR",IFERROR(INDEX('CAT_TIPOS_OT'!$D$4:$D$23,MATCH($I902,'CAT_TIPOS_OT'!$A$4:$A$23,0)),"SIN CLASIFICAR")))</f>
        <v/>
      </c>
      <c r="W902" s="24">
        <f>IF($H902="","",IF(IFERROR(INDEX('CAT_ACTIVIDADES'!$F$4:$F$26,MATCH($H902,'CAT_ACTIVIDADES'!$A$4:$A$26,0)),"")=0,"",IFERROR(INDEX('CAT_ACTIVIDADES'!$F$4:$F$26,MATCH($H902,'CAT_ACTIVIDADES'!$A$4:$A$26,0)),"")))</f>
        <v/>
      </c>
      <c r="X902" s="24">
        <f>IF($F902="","",IFERROR(INDEX('CAT_CENTROS_COSTO'!$F$4:$F$28,MATCH($F902,'CAT_CENTROS_COSTO'!$A$4:$A$28,0)),"(sin catálogo)"))</f>
        <v/>
      </c>
      <c r="Y902" s="24">
        <f>IF($F902="","",IFERROR(INDEX('CAT_CENTROS_COSTO'!$D$4:$D$28,MATCH($F902,'CAT_CENTROS_COSTO'!$A$4:$A$28,0)),"(sin catálogo)"))</f>
        <v/>
      </c>
      <c r="Z902" s="24">
        <f>IF($F902="","",IF((IFERROR(INDEX('CAT_CENTROS_COSTO'!$E$4:$E$28,MATCH($F902,'CAT_CENTROS_COSTO'!$A$4:$A$28,0)),""))&lt;&gt;"",IFERROR(INDEX('CAT_CENTROS_COSTO'!$E$4:$E$28,MATCH($F902,'CAT_CENTROS_COSTO'!$A$4:$A$28,0)),""),$Y902))</f>
        <v/>
      </c>
      <c r="AA902" s="24">
        <f>IF($F902="","",IFERROR(INDEX('CAT_CENTROS_COSTO'!$G$4:$G$28,MATCH($F902,'CAT_CENTROS_COSTO'!$A$4:$A$28,0)),"(sin catálogo)"))</f>
        <v/>
      </c>
      <c r="AB902" s="24">
        <f>IF($G902="","",IFERROR(INDEX('CAT_PUESTOS'!$B$4:$B$23,MATCH($G902,'CAT_PUESTOS'!$A$4:$A$23,0)),"(sin catálogo)"))</f>
        <v/>
      </c>
      <c r="AC902" s="24">
        <f>IF($H902="","",IFERROR(INDEX('CAT_ACTIVIDADES'!$B$4:$B$26,MATCH($H902,'CAT_ACTIVIDADES'!$A$4:$A$26,0)),"(sin catálogo)"))</f>
        <v/>
      </c>
      <c r="AD902" s="26">
        <f>IF($J902="","",TODAY()-$J902)</f>
        <v/>
      </c>
      <c r="AE902" s="26">
        <f>IF($J902="","",IF($J902&lt;=TODAY(),COUNTIFS(cal_fechas,"&gt;="&amp;$J902,cal_fechas,"&lt;"&amp;TODAY(),cal_habil,"sí"),-COUNTIFS(cal_fechas,"&gt;="&amp;TODAY(),cal_fechas,"&lt;"&amp;$J902,cal_habil,"sí")))</f>
        <v/>
      </c>
      <c r="AF902" s="24">
        <f>IF($AE902="","",IF($AE902&lt;0,"FUTURO",IF($AE902&gt;p_dias_backlog_max,"BACKLOG","MES CORRIENTE")))</f>
        <v/>
      </c>
      <c r="AG902" s="24">
        <f>IF($AE902="",FALSE,AND($AE902&gt;p_dias_backlog_min,$AE902&lt;=p_dias_backlog_max))</f>
        <v/>
      </c>
      <c r="AH902" s="4" t="n"/>
      <c r="AI902" s="24">
        <f>IF($AH902="","",IF((IFERROR(INDEX('ASIGNACIONES'!$J$4:$J$451,MATCH($O902&amp;"|"&amp;$S902&amp;"|"&amp;$AH902,'ASIGNACIONES'!$N$4:$N$451,0)),""))=0,"",IFERROR(INDEX('ASIGNACIONES'!$J$4:$J$451,MATCH($O902&amp;"|"&amp;$S902&amp;"|"&amp;$AH902,'ASIGNACIONES'!$N$4:$N$451,0)),"")))</f>
        <v/>
      </c>
      <c r="AJ902" s="42">
        <f>IF($AH902="","",SUMIFS('ORDENES'!$M$4:$M$1203,'ORDENES'!$AH$4:$AH$1203,$AH902,'ORDENES'!$O$4:$O$1203,$O902,'ORDENES'!$S$4:$S$1203,$S902))</f>
        <v/>
      </c>
      <c r="AK902" s="42">
        <f>IF($AJ902="","",p_factor_productividad*IFERROR(INDEX('ASIGNACIONES'!$M$4:$M$451,MATCH($O902&amp;"|"&amp;$S902&amp;"|"&amp;$AH902,'ASIGNACIONES'!$N$4:$N$451,0)),0)-$AJ902)</f>
        <v/>
      </c>
      <c r="AL902" s="32">
        <f>IF($A902="","",IFERROR(INDEX('2_IMPORTAR_EJECUCION'!$F$9:$F$1208,MATCH($AU902,'2_IMPORTAR_EJECUCION'!$J$9:$J$1208,0)),0))</f>
        <v/>
      </c>
      <c r="AM902" s="32">
        <f>IF($A902="","",MAX(0,IFERROR(INDEX('2_IMPORTAR_EJECUCION'!$H$9:$H$1208,MATCH($AU902,'2_IMPORTAR_EJECUCION'!$J$9:$J$1208,0)),0)-$AL902))</f>
        <v/>
      </c>
      <c r="AN902" s="32">
        <f>IF($A902="","",$AL902+$AM902)</f>
        <v/>
      </c>
      <c r="AO902" s="24">
        <f>IF($A902="","",IF(OR((IFERROR(INDEX('CAT_ACTIVIDADES'!$D$4:$D$26,MATCH($H902,'CAT_ACTIVIDADES'!$A$4:$A$26,0)),""))=0,(IFERROR(INDEX('CAT_ACTIVIDADES'!$D$4:$D$26,MATCH($H902,'CAT_ACTIVIDADES'!$A$4:$A$26,0)),""))=""),"SIN CLASIFICAR",IFERROR(INDEX('CAT_ACTIVIDADES'!$D$4:$D$26,MATCH($H902,'CAT_ACTIVIDADES'!$A$4:$A$26,0)),"")))</f>
        <v/>
      </c>
      <c r="AP902" s="4" t="n"/>
      <c r="AQ902" s="4" t="n"/>
      <c r="AR902" s="4" t="n"/>
      <c r="AS902" s="24">
        <f>IF($AR902="","",HYPERLINK(p_ruta_base_checklists&amp;$AR902,"abrir"))</f>
        <v/>
      </c>
      <c r="AT902" s="4" t="n"/>
      <c r="AU902" s="24">
        <f>IF($A902="","",$A902&amp;IF($B902="","0010",$B902))</f>
        <v/>
      </c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41" t="n"/>
      <c r="K903" s="5" t="n"/>
      <c r="L903" s="18" t="n"/>
      <c r="M903" s="24">
        <f>IF($A903="","",IFERROR(INDEX('AJUSTES'!$B$4:$B$303,MATCH($AU903,'AJUSTES'!$A$4:$A$303,0)),IF($K903="","",$K903)))</f>
        <v/>
      </c>
      <c r="N903" s="24">
        <f>IF($A903="","",IFERROR(INDEX('CAT_ESTADOS_ERP'!$B$4:$B$22,MATCH(IFERROR(INDEX('2_IMPORTAR_EJECUCION'!$C$9:$C$1208,MATCH($AU903,'2_IMPORTAR_EJECUCION'!$J$9:$J$1208,0)),""),'CAT_ESTADOS_ERP'!$A$4:$A$22,0)),"Pendiente"))</f>
        <v/>
      </c>
      <c r="O903" s="24">
        <f>IF($J903="","",YEAR($J903+4-WEEKDAY($J903,2))&amp;"-S"&amp;TEXT(_xlfn.ISOWEEKNUM($J903),"00"))</f>
        <v/>
      </c>
      <c r="P903" s="24">
        <f>IF($J903="","",YEAR($J903))</f>
        <v/>
      </c>
      <c r="Q903" s="24">
        <f>IF($J903="","",MONTH($J903))</f>
        <v/>
      </c>
      <c r="R903" s="24">
        <f>IF($J903="","",$P903&amp;"-"&amp;TEXT($Q903,"00"))</f>
        <v/>
      </c>
      <c r="S903" s="24">
        <f>IF($J903="","",INDEX(lista_dias,WEEKDAY($J903,2)))</f>
        <v/>
      </c>
      <c r="T903" s="24">
        <f>IF($J903="","",IFERROR(INDEX('CALENDARIO'!$C$15:$C$214,MATCH(TEXT($J903,"yyyy-mm-dd")&amp;"|"&amp;$Y903&amp;"|"&amp;$Z903,'CALENDARIO'!$G$15:$G$214,0)),IFERROR(INDEX('CALENDARIO'!$C$15:$C$214,MATCH(TEXT($J903,"yyyy-mm-dd")&amp;"|"&amp;$Y903&amp;"|",'CALENDARIO'!$G$15:$G$214,0)),IFERROR(INDEX('CALENDARIO'!$C$15:$C$214,MATCH(TEXT($J903,"yyyy-mm-dd")&amp;"||",'CALENDARIO'!$G$15:$G$214,0)),INDEX(patronHabil,WEEKDAY($J903,2))))))</f>
        <v/>
      </c>
      <c r="U903" s="24">
        <f>IF($I903="","",IFERROR(INDEX('CAT_TIPOS_OT'!$C$4:$C$23,MATCH($I903,'CAT_TIPOS_OT'!$A$4:$A$23,0)),"sin_clasificar"))</f>
        <v/>
      </c>
      <c r="V903" s="24">
        <f>IF($I903="","",IF(IFERROR(INDEX('CAT_TIPOS_OT'!$D$4:$D$23,MATCH($I903,'CAT_TIPOS_OT'!$A$4:$A$23,0)),"SIN CLASIFICAR")="","SIN CLASIFICAR",IFERROR(INDEX('CAT_TIPOS_OT'!$D$4:$D$23,MATCH($I903,'CAT_TIPOS_OT'!$A$4:$A$23,0)),"SIN CLASIFICAR")))</f>
        <v/>
      </c>
      <c r="W903" s="24">
        <f>IF($H903="","",IF(IFERROR(INDEX('CAT_ACTIVIDADES'!$F$4:$F$26,MATCH($H903,'CAT_ACTIVIDADES'!$A$4:$A$26,0)),"")=0,"",IFERROR(INDEX('CAT_ACTIVIDADES'!$F$4:$F$26,MATCH($H903,'CAT_ACTIVIDADES'!$A$4:$A$26,0)),"")))</f>
        <v/>
      </c>
      <c r="X903" s="24">
        <f>IF($F903="","",IFERROR(INDEX('CAT_CENTROS_COSTO'!$F$4:$F$28,MATCH($F903,'CAT_CENTROS_COSTO'!$A$4:$A$28,0)),"(sin catálogo)"))</f>
        <v/>
      </c>
      <c r="Y903" s="24">
        <f>IF($F903="","",IFERROR(INDEX('CAT_CENTROS_COSTO'!$D$4:$D$28,MATCH($F903,'CAT_CENTROS_COSTO'!$A$4:$A$28,0)),"(sin catálogo)"))</f>
        <v/>
      </c>
      <c r="Z903" s="24">
        <f>IF($F903="","",IF((IFERROR(INDEX('CAT_CENTROS_COSTO'!$E$4:$E$28,MATCH($F903,'CAT_CENTROS_COSTO'!$A$4:$A$28,0)),""))&lt;&gt;"",IFERROR(INDEX('CAT_CENTROS_COSTO'!$E$4:$E$28,MATCH($F903,'CAT_CENTROS_COSTO'!$A$4:$A$28,0)),""),$Y903))</f>
        <v/>
      </c>
      <c r="AA903" s="24">
        <f>IF($F903="","",IFERROR(INDEX('CAT_CENTROS_COSTO'!$G$4:$G$28,MATCH($F903,'CAT_CENTROS_COSTO'!$A$4:$A$28,0)),"(sin catálogo)"))</f>
        <v/>
      </c>
      <c r="AB903" s="24">
        <f>IF($G903="","",IFERROR(INDEX('CAT_PUESTOS'!$B$4:$B$23,MATCH($G903,'CAT_PUESTOS'!$A$4:$A$23,0)),"(sin catálogo)"))</f>
        <v/>
      </c>
      <c r="AC903" s="24">
        <f>IF($H903="","",IFERROR(INDEX('CAT_ACTIVIDADES'!$B$4:$B$26,MATCH($H903,'CAT_ACTIVIDADES'!$A$4:$A$26,0)),"(sin catálogo)"))</f>
        <v/>
      </c>
      <c r="AD903" s="26">
        <f>IF($J903="","",TODAY()-$J903)</f>
        <v/>
      </c>
      <c r="AE903" s="26">
        <f>IF($J903="","",IF($J903&lt;=TODAY(),COUNTIFS(cal_fechas,"&gt;="&amp;$J903,cal_fechas,"&lt;"&amp;TODAY(),cal_habil,"sí"),-COUNTIFS(cal_fechas,"&gt;="&amp;TODAY(),cal_fechas,"&lt;"&amp;$J903,cal_habil,"sí")))</f>
        <v/>
      </c>
      <c r="AF903" s="24">
        <f>IF($AE903="","",IF($AE903&lt;0,"FUTURO",IF($AE903&gt;p_dias_backlog_max,"BACKLOG","MES CORRIENTE")))</f>
        <v/>
      </c>
      <c r="AG903" s="24">
        <f>IF($AE903="",FALSE,AND($AE903&gt;p_dias_backlog_min,$AE903&lt;=p_dias_backlog_max))</f>
        <v/>
      </c>
      <c r="AH903" s="4" t="n"/>
      <c r="AI903" s="24">
        <f>IF($AH903="","",IF((IFERROR(INDEX('ASIGNACIONES'!$J$4:$J$451,MATCH($O903&amp;"|"&amp;$S903&amp;"|"&amp;$AH903,'ASIGNACIONES'!$N$4:$N$451,0)),""))=0,"",IFERROR(INDEX('ASIGNACIONES'!$J$4:$J$451,MATCH($O903&amp;"|"&amp;$S903&amp;"|"&amp;$AH903,'ASIGNACIONES'!$N$4:$N$451,0)),"")))</f>
        <v/>
      </c>
      <c r="AJ903" s="42">
        <f>IF($AH903="","",SUMIFS('ORDENES'!$M$4:$M$1203,'ORDENES'!$AH$4:$AH$1203,$AH903,'ORDENES'!$O$4:$O$1203,$O903,'ORDENES'!$S$4:$S$1203,$S903))</f>
        <v/>
      </c>
      <c r="AK903" s="42">
        <f>IF($AJ903="","",p_factor_productividad*IFERROR(INDEX('ASIGNACIONES'!$M$4:$M$451,MATCH($O903&amp;"|"&amp;$S903&amp;"|"&amp;$AH903,'ASIGNACIONES'!$N$4:$N$451,0)),0)-$AJ903)</f>
        <v/>
      </c>
      <c r="AL903" s="32">
        <f>IF($A903="","",IFERROR(INDEX('2_IMPORTAR_EJECUCION'!$F$9:$F$1208,MATCH($AU903,'2_IMPORTAR_EJECUCION'!$J$9:$J$1208,0)),0))</f>
        <v/>
      </c>
      <c r="AM903" s="32">
        <f>IF($A903="","",MAX(0,IFERROR(INDEX('2_IMPORTAR_EJECUCION'!$H$9:$H$1208,MATCH($AU903,'2_IMPORTAR_EJECUCION'!$J$9:$J$1208,0)),0)-$AL903))</f>
        <v/>
      </c>
      <c r="AN903" s="32">
        <f>IF($A903="","",$AL903+$AM903)</f>
        <v/>
      </c>
      <c r="AO903" s="24">
        <f>IF($A903="","",IF(OR((IFERROR(INDEX('CAT_ACTIVIDADES'!$D$4:$D$26,MATCH($H903,'CAT_ACTIVIDADES'!$A$4:$A$26,0)),""))=0,(IFERROR(INDEX('CAT_ACTIVIDADES'!$D$4:$D$26,MATCH($H903,'CAT_ACTIVIDADES'!$A$4:$A$26,0)),""))=""),"SIN CLASIFICAR",IFERROR(INDEX('CAT_ACTIVIDADES'!$D$4:$D$26,MATCH($H903,'CAT_ACTIVIDADES'!$A$4:$A$26,0)),"")))</f>
        <v/>
      </c>
      <c r="AP903" s="4" t="n"/>
      <c r="AQ903" s="4" t="n"/>
      <c r="AR903" s="4" t="n"/>
      <c r="AS903" s="24">
        <f>IF($AR903="","",HYPERLINK(p_ruta_base_checklists&amp;$AR903,"abrir"))</f>
        <v/>
      </c>
      <c r="AT903" s="4" t="n"/>
      <c r="AU903" s="24">
        <f>IF($A903="","",$A903&amp;IF($B903="","0010",$B903))</f>
        <v/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41" t="n"/>
      <c r="K904" s="5" t="n"/>
      <c r="L904" s="18" t="n"/>
      <c r="M904" s="24">
        <f>IF($A904="","",IFERROR(INDEX('AJUSTES'!$B$4:$B$303,MATCH($AU904,'AJUSTES'!$A$4:$A$303,0)),IF($K904="","",$K904)))</f>
        <v/>
      </c>
      <c r="N904" s="24">
        <f>IF($A904="","",IFERROR(INDEX('CAT_ESTADOS_ERP'!$B$4:$B$22,MATCH(IFERROR(INDEX('2_IMPORTAR_EJECUCION'!$C$9:$C$1208,MATCH($AU904,'2_IMPORTAR_EJECUCION'!$J$9:$J$1208,0)),""),'CAT_ESTADOS_ERP'!$A$4:$A$22,0)),"Pendiente"))</f>
        <v/>
      </c>
      <c r="O904" s="24">
        <f>IF($J904="","",YEAR($J904+4-WEEKDAY($J904,2))&amp;"-S"&amp;TEXT(_xlfn.ISOWEEKNUM($J904),"00"))</f>
        <v/>
      </c>
      <c r="P904" s="24">
        <f>IF($J904="","",YEAR($J904))</f>
        <v/>
      </c>
      <c r="Q904" s="24">
        <f>IF($J904="","",MONTH($J904))</f>
        <v/>
      </c>
      <c r="R904" s="24">
        <f>IF($J904="","",$P904&amp;"-"&amp;TEXT($Q904,"00"))</f>
        <v/>
      </c>
      <c r="S904" s="24">
        <f>IF($J904="","",INDEX(lista_dias,WEEKDAY($J904,2)))</f>
        <v/>
      </c>
      <c r="T904" s="24">
        <f>IF($J904="","",IFERROR(INDEX('CALENDARIO'!$C$15:$C$214,MATCH(TEXT($J904,"yyyy-mm-dd")&amp;"|"&amp;$Y904&amp;"|"&amp;$Z904,'CALENDARIO'!$G$15:$G$214,0)),IFERROR(INDEX('CALENDARIO'!$C$15:$C$214,MATCH(TEXT($J904,"yyyy-mm-dd")&amp;"|"&amp;$Y904&amp;"|",'CALENDARIO'!$G$15:$G$214,0)),IFERROR(INDEX('CALENDARIO'!$C$15:$C$214,MATCH(TEXT($J904,"yyyy-mm-dd")&amp;"||",'CALENDARIO'!$G$15:$G$214,0)),INDEX(patronHabil,WEEKDAY($J904,2))))))</f>
        <v/>
      </c>
      <c r="U904" s="24">
        <f>IF($I904="","",IFERROR(INDEX('CAT_TIPOS_OT'!$C$4:$C$23,MATCH($I904,'CAT_TIPOS_OT'!$A$4:$A$23,0)),"sin_clasificar"))</f>
        <v/>
      </c>
      <c r="V904" s="24">
        <f>IF($I904="","",IF(IFERROR(INDEX('CAT_TIPOS_OT'!$D$4:$D$23,MATCH($I904,'CAT_TIPOS_OT'!$A$4:$A$23,0)),"SIN CLASIFICAR")="","SIN CLASIFICAR",IFERROR(INDEX('CAT_TIPOS_OT'!$D$4:$D$23,MATCH($I904,'CAT_TIPOS_OT'!$A$4:$A$23,0)),"SIN CLASIFICAR")))</f>
        <v/>
      </c>
      <c r="W904" s="24">
        <f>IF($H904="","",IF(IFERROR(INDEX('CAT_ACTIVIDADES'!$F$4:$F$26,MATCH($H904,'CAT_ACTIVIDADES'!$A$4:$A$26,0)),"")=0,"",IFERROR(INDEX('CAT_ACTIVIDADES'!$F$4:$F$26,MATCH($H904,'CAT_ACTIVIDADES'!$A$4:$A$26,0)),"")))</f>
        <v/>
      </c>
      <c r="X904" s="24">
        <f>IF($F904="","",IFERROR(INDEX('CAT_CENTROS_COSTO'!$F$4:$F$28,MATCH($F904,'CAT_CENTROS_COSTO'!$A$4:$A$28,0)),"(sin catálogo)"))</f>
        <v/>
      </c>
      <c r="Y904" s="24">
        <f>IF($F904="","",IFERROR(INDEX('CAT_CENTROS_COSTO'!$D$4:$D$28,MATCH($F904,'CAT_CENTROS_COSTO'!$A$4:$A$28,0)),"(sin catálogo)"))</f>
        <v/>
      </c>
      <c r="Z904" s="24">
        <f>IF($F904="","",IF((IFERROR(INDEX('CAT_CENTROS_COSTO'!$E$4:$E$28,MATCH($F904,'CAT_CENTROS_COSTO'!$A$4:$A$28,0)),""))&lt;&gt;"",IFERROR(INDEX('CAT_CENTROS_COSTO'!$E$4:$E$28,MATCH($F904,'CAT_CENTROS_COSTO'!$A$4:$A$28,0)),""),$Y904))</f>
        <v/>
      </c>
      <c r="AA904" s="24">
        <f>IF($F904="","",IFERROR(INDEX('CAT_CENTROS_COSTO'!$G$4:$G$28,MATCH($F904,'CAT_CENTROS_COSTO'!$A$4:$A$28,0)),"(sin catálogo)"))</f>
        <v/>
      </c>
      <c r="AB904" s="24">
        <f>IF($G904="","",IFERROR(INDEX('CAT_PUESTOS'!$B$4:$B$23,MATCH($G904,'CAT_PUESTOS'!$A$4:$A$23,0)),"(sin catálogo)"))</f>
        <v/>
      </c>
      <c r="AC904" s="24">
        <f>IF($H904="","",IFERROR(INDEX('CAT_ACTIVIDADES'!$B$4:$B$26,MATCH($H904,'CAT_ACTIVIDADES'!$A$4:$A$26,0)),"(sin catálogo)"))</f>
        <v/>
      </c>
      <c r="AD904" s="26">
        <f>IF($J904="","",TODAY()-$J904)</f>
        <v/>
      </c>
      <c r="AE904" s="26">
        <f>IF($J904="","",IF($J904&lt;=TODAY(),COUNTIFS(cal_fechas,"&gt;="&amp;$J904,cal_fechas,"&lt;"&amp;TODAY(),cal_habil,"sí"),-COUNTIFS(cal_fechas,"&gt;="&amp;TODAY(),cal_fechas,"&lt;"&amp;$J904,cal_habil,"sí")))</f>
        <v/>
      </c>
      <c r="AF904" s="24">
        <f>IF($AE904="","",IF($AE904&lt;0,"FUTURO",IF($AE904&gt;p_dias_backlog_max,"BACKLOG","MES CORRIENTE")))</f>
        <v/>
      </c>
      <c r="AG904" s="24">
        <f>IF($AE904="",FALSE,AND($AE904&gt;p_dias_backlog_min,$AE904&lt;=p_dias_backlog_max))</f>
        <v/>
      </c>
      <c r="AH904" s="4" t="n"/>
      <c r="AI904" s="24">
        <f>IF($AH904="","",IF((IFERROR(INDEX('ASIGNACIONES'!$J$4:$J$451,MATCH($O904&amp;"|"&amp;$S904&amp;"|"&amp;$AH904,'ASIGNACIONES'!$N$4:$N$451,0)),""))=0,"",IFERROR(INDEX('ASIGNACIONES'!$J$4:$J$451,MATCH($O904&amp;"|"&amp;$S904&amp;"|"&amp;$AH904,'ASIGNACIONES'!$N$4:$N$451,0)),"")))</f>
        <v/>
      </c>
      <c r="AJ904" s="42">
        <f>IF($AH904="","",SUMIFS('ORDENES'!$M$4:$M$1203,'ORDENES'!$AH$4:$AH$1203,$AH904,'ORDENES'!$O$4:$O$1203,$O904,'ORDENES'!$S$4:$S$1203,$S904))</f>
        <v/>
      </c>
      <c r="AK904" s="42">
        <f>IF($AJ904="","",p_factor_productividad*IFERROR(INDEX('ASIGNACIONES'!$M$4:$M$451,MATCH($O904&amp;"|"&amp;$S904&amp;"|"&amp;$AH904,'ASIGNACIONES'!$N$4:$N$451,0)),0)-$AJ904)</f>
        <v/>
      </c>
      <c r="AL904" s="32">
        <f>IF($A904="","",IFERROR(INDEX('2_IMPORTAR_EJECUCION'!$F$9:$F$1208,MATCH($AU904,'2_IMPORTAR_EJECUCION'!$J$9:$J$1208,0)),0))</f>
        <v/>
      </c>
      <c r="AM904" s="32">
        <f>IF($A904="","",MAX(0,IFERROR(INDEX('2_IMPORTAR_EJECUCION'!$H$9:$H$1208,MATCH($AU904,'2_IMPORTAR_EJECUCION'!$J$9:$J$1208,0)),0)-$AL904))</f>
        <v/>
      </c>
      <c r="AN904" s="32">
        <f>IF($A904="","",$AL904+$AM904)</f>
        <v/>
      </c>
      <c r="AO904" s="24">
        <f>IF($A904="","",IF(OR((IFERROR(INDEX('CAT_ACTIVIDADES'!$D$4:$D$26,MATCH($H904,'CAT_ACTIVIDADES'!$A$4:$A$26,0)),""))=0,(IFERROR(INDEX('CAT_ACTIVIDADES'!$D$4:$D$26,MATCH($H904,'CAT_ACTIVIDADES'!$A$4:$A$26,0)),""))=""),"SIN CLASIFICAR",IFERROR(INDEX('CAT_ACTIVIDADES'!$D$4:$D$26,MATCH($H904,'CAT_ACTIVIDADES'!$A$4:$A$26,0)),"")))</f>
        <v/>
      </c>
      <c r="AP904" s="4" t="n"/>
      <c r="AQ904" s="4" t="n"/>
      <c r="AR904" s="4" t="n"/>
      <c r="AS904" s="24">
        <f>IF($AR904="","",HYPERLINK(p_ruta_base_checklists&amp;$AR904,"abrir"))</f>
        <v/>
      </c>
      <c r="AT904" s="4" t="n"/>
      <c r="AU904" s="24">
        <f>IF($A904="","",$A904&amp;IF($B904="","0010",$B904))</f>
        <v/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41" t="n"/>
      <c r="K905" s="5" t="n"/>
      <c r="L905" s="18" t="n"/>
      <c r="M905" s="24">
        <f>IF($A905="","",IFERROR(INDEX('AJUSTES'!$B$4:$B$303,MATCH($AU905,'AJUSTES'!$A$4:$A$303,0)),IF($K905="","",$K905)))</f>
        <v/>
      </c>
      <c r="N905" s="24">
        <f>IF($A905="","",IFERROR(INDEX('CAT_ESTADOS_ERP'!$B$4:$B$22,MATCH(IFERROR(INDEX('2_IMPORTAR_EJECUCION'!$C$9:$C$1208,MATCH($AU905,'2_IMPORTAR_EJECUCION'!$J$9:$J$1208,0)),""),'CAT_ESTADOS_ERP'!$A$4:$A$22,0)),"Pendiente"))</f>
        <v/>
      </c>
      <c r="O905" s="24">
        <f>IF($J905="","",YEAR($J905+4-WEEKDAY($J905,2))&amp;"-S"&amp;TEXT(_xlfn.ISOWEEKNUM($J905),"00"))</f>
        <v/>
      </c>
      <c r="P905" s="24">
        <f>IF($J905="","",YEAR($J905))</f>
        <v/>
      </c>
      <c r="Q905" s="24">
        <f>IF($J905="","",MONTH($J905))</f>
        <v/>
      </c>
      <c r="R905" s="24">
        <f>IF($J905="","",$P905&amp;"-"&amp;TEXT($Q905,"00"))</f>
        <v/>
      </c>
      <c r="S905" s="24">
        <f>IF($J905="","",INDEX(lista_dias,WEEKDAY($J905,2)))</f>
        <v/>
      </c>
      <c r="T905" s="24">
        <f>IF($J905="","",IFERROR(INDEX('CALENDARIO'!$C$15:$C$214,MATCH(TEXT($J905,"yyyy-mm-dd")&amp;"|"&amp;$Y905&amp;"|"&amp;$Z905,'CALENDARIO'!$G$15:$G$214,0)),IFERROR(INDEX('CALENDARIO'!$C$15:$C$214,MATCH(TEXT($J905,"yyyy-mm-dd")&amp;"|"&amp;$Y905&amp;"|",'CALENDARIO'!$G$15:$G$214,0)),IFERROR(INDEX('CALENDARIO'!$C$15:$C$214,MATCH(TEXT($J905,"yyyy-mm-dd")&amp;"||",'CALENDARIO'!$G$15:$G$214,0)),INDEX(patronHabil,WEEKDAY($J905,2))))))</f>
        <v/>
      </c>
      <c r="U905" s="24">
        <f>IF($I905="","",IFERROR(INDEX('CAT_TIPOS_OT'!$C$4:$C$23,MATCH($I905,'CAT_TIPOS_OT'!$A$4:$A$23,0)),"sin_clasificar"))</f>
        <v/>
      </c>
      <c r="V905" s="24">
        <f>IF($I905="","",IF(IFERROR(INDEX('CAT_TIPOS_OT'!$D$4:$D$23,MATCH($I905,'CAT_TIPOS_OT'!$A$4:$A$23,0)),"SIN CLASIFICAR")="","SIN CLASIFICAR",IFERROR(INDEX('CAT_TIPOS_OT'!$D$4:$D$23,MATCH($I905,'CAT_TIPOS_OT'!$A$4:$A$23,0)),"SIN CLASIFICAR")))</f>
        <v/>
      </c>
      <c r="W905" s="24">
        <f>IF($H905="","",IF(IFERROR(INDEX('CAT_ACTIVIDADES'!$F$4:$F$26,MATCH($H905,'CAT_ACTIVIDADES'!$A$4:$A$26,0)),"")=0,"",IFERROR(INDEX('CAT_ACTIVIDADES'!$F$4:$F$26,MATCH($H905,'CAT_ACTIVIDADES'!$A$4:$A$26,0)),"")))</f>
        <v/>
      </c>
      <c r="X905" s="24">
        <f>IF($F905="","",IFERROR(INDEX('CAT_CENTROS_COSTO'!$F$4:$F$28,MATCH($F905,'CAT_CENTROS_COSTO'!$A$4:$A$28,0)),"(sin catálogo)"))</f>
        <v/>
      </c>
      <c r="Y905" s="24">
        <f>IF($F905="","",IFERROR(INDEX('CAT_CENTROS_COSTO'!$D$4:$D$28,MATCH($F905,'CAT_CENTROS_COSTO'!$A$4:$A$28,0)),"(sin catálogo)"))</f>
        <v/>
      </c>
      <c r="Z905" s="24">
        <f>IF($F905="","",IF((IFERROR(INDEX('CAT_CENTROS_COSTO'!$E$4:$E$28,MATCH($F905,'CAT_CENTROS_COSTO'!$A$4:$A$28,0)),""))&lt;&gt;"",IFERROR(INDEX('CAT_CENTROS_COSTO'!$E$4:$E$28,MATCH($F905,'CAT_CENTROS_COSTO'!$A$4:$A$28,0)),""),$Y905))</f>
        <v/>
      </c>
      <c r="AA905" s="24">
        <f>IF($F905="","",IFERROR(INDEX('CAT_CENTROS_COSTO'!$G$4:$G$28,MATCH($F905,'CAT_CENTROS_COSTO'!$A$4:$A$28,0)),"(sin catálogo)"))</f>
        <v/>
      </c>
      <c r="AB905" s="24">
        <f>IF($G905="","",IFERROR(INDEX('CAT_PUESTOS'!$B$4:$B$23,MATCH($G905,'CAT_PUESTOS'!$A$4:$A$23,0)),"(sin catálogo)"))</f>
        <v/>
      </c>
      <c r="AC905" s="24">
        <f>IF($H905="","",IFERROR(INDEX('CAT_ACTIVIDADES'!$B$4:$B$26,MATCH($H905,'CAT_ACTIVIDADES'!$A$4:$A$26,0)),"(sin catálogo)"))</f>
        <v/>
      </c>
      <c r="AD905" s="26">
        <f>IF($J905="","",TODAY()-$J905)</f>
        <v/>
      </c>
      <c r="AE905" s="26">
        <f>IF($J905="","",IF($J905&lt;=TODAY(),COUNTIFS(cal_fechas,"&gt;="&amp;$J905,cal_fechas,"&lt;"&amp;TODAY(),cal_habil,"sí"),-COUNTIFS(cal_fechas,"&gt;="&amp;TODAY(),cal_fechas,"&lt;"&amp;$J905,cal_habil,"sí")))</f>
        <v/>
      </c>
      <c r="AF905" s="24">
        <f>IF($AE905="","",IF($AE905&lt;0,"FUTURO",IF($AE905&gt;p_dias_backlog_max,"BACKLOG","MES CORRIENTE")))</f>
        <v/>
      </c>
      <c r="AG905" s="24">
        <f>IF($AE905="",FALSE,AND($AE905&gt;p_dias_backlog_min,$AE905&lt;=p_dias_backlog_max))</f>
        <v/>
      </c>
      <c r="AH905" s="4" t="n"/>
      <c r="AI905" s="24">
        <f>IF($AH905="","",IF((IFERROR(INDEX('ASIGNACIONES'!$J$4:$J$451,MATCH($O905&amp;"|"&amp;$S905&amp;"|"&amp;$AH905,'ASIGNACIONES'!$N$4:$N$451,0)),""))=0,"",IFERROR(INDEX('ASIGNACIONES'!$J$4:$J$451,MATCH($O905&amp;"|"&amp;$S905&amp;"|"&amp;$AH905,'ASIGNACIONES'!$N$4:$N$451,0)),"")))</f>
        <v/>
      </c>
      <c r="AJ905" s="42">
        <f>IF($AH905="","",SUMIFS('ORDENES'!$M$4:$M$1203,'ORDENES'!$AH$4:$AH$1203,$AH905,'ORDENES'!$O$4:$O$1203,$O905,'ORDENES'!$S$4:$S$1203,$S905))</f>
        <v/>
      </c>
      <c r="AK905" s="42">
        <f>IF($AJ905="","",p_factor_productividad*IFERROR(INDEX('ASIGNACIONES'!$M$4:$M$451,MATCH($O905&amp;"|"&amp;$S905&amp;"|"&amp;$AH905,'ASIGNACIONES'!$N$4:$N$451,0)),0)-$AJ905)</f>
        <v/>
      </c>
      <c r="AL905" s="32">
        <f>IF($A905="","",IFERROR(INDEX('2_IMPORTAR_EJECUCION'!$F$9:$F$1208,MATCH($AU905,'2_IMPORTAR_EJECUCION'!$J$9:$J$1208,0)),0))</f>
        <v/>
      </c>
      <c r="AM905" s="32">
        <f>IF($A905="","",MAX(0,IFERROR(INDEX('2_IMPORTAR_EJECUCION'!$H$9:$H$1208,MATCH($AU905,'2_IMPORTAR_EJECUCION'!$J$9:$J$1208,0)),0)-$AL905))</f>
        <v/>
      </c>
      <c r="AN905" s="32">
        <f>IF($A905="","",$AL905+$AM905)</f>
        <v/>
      </c>
      <c r="AO905" s="24">
        <f>IF($A905="","",IF(OR((IFERROR(INDEX('CAT_ACTIVIDADES'!$D$4:$D$26,MATCH($H905,'CAT_ACTIVIDADES'!$A$4:$A$26,0)),""))=0,(IFERROR(INDEX('CAT_ACTIVIDADES'!$D$4:$D$26,MATCH($H905,'CAT_ACTIVIDADES'!$A$4:$A$26,0)),""))=""),"SIN CLASIFICAR",IFERROR(INDEX('CAT_ACTIVIDADES'!$D$4:$D$26,MATCH($H905,'CAT_ACTIVIDADES'!$A$4:$A$26,0)),"")))</f>
        <v/>
      </c>
      <c r="AP905" s="4" t="n"/>
      <c r="AQ905" s="4" t="n"/>
      <c r="AR905" s="4" t="n"/>
      <c r="AS905" s="24">
        <f>IF($AR905="","",HYPERLINK(p_ruta_base_checklists&amp;$AR905,"abrir"))</f>
        <v/>
      </c>
      <c r="AT905" s="4" t="n"/>
      <c r="AU905" s="24">
        <f>IF($A905="","",$A905&amp;IF($B905="","0010",$B905))</f>
        <v/>
      </c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41" t="n"/>
      <c r="K906" s="5" t="n"/>
      <c r="L906" s="18" t="n"/>
      <c r="M906" s="24">
        <f>IF($A906="","",IFERROR(INDEX('AJUSTES'!$B$4:$B$303,MATCH($AU906,'AJUSTES'!$A$4:$A$303,0)),IF($K906="","",$K906)))</f>
        <v/>
      </c>
      <c r="N906" s="24">
        <f>IF($A906="","",IFERROR(INDEX('CAT_ESTADOS_ERP'!$B$4:$B$22,MATCH(IFERROR(INDEX('2_IMPORTAR_EJECUCION'!$C$9:$C$1208,MATCH($AU906,'2_IMPORTAR_EJECUCION'!$J$9:$J$1208,0)),""),'CAT_ESTADOS_ERP'!$A$4:$A$22,0)),"Pendiente"))</f>
        <v/>
      </c>
      <c r="O906" s="24">
        <f>IF($J906="","",YEAR($J906+4-WEEKDAY($J906,2))&amp;"-S"&amp;TEXT(_xlfn.ISOWEEKNUM($J906),"00"))</f>
        <v/>
      </c>
      <c r="P906" s="24">
        <f>IF($J906="","",YEAR($J906))</f>
        <v/>
      </c>
      <c r="Q906" s="24">
        <f>IF($J906="","",MONTH($J906))</f>
        <v/>
      </c>
      <c r="R906" s="24">
        <f>IF($J906="","",$P906&amp;"-"&amp;TEXT($Q906,"00"))</f>
        <v/>
      </c>
      <c r="S906" s="24">
        <f>IF($J906="","",INDEX(lista_dias,WEEKDAY($J906,2)))</f>
        <v/>
      </c>
      <c r="T906" s="24">
        <f>IF($J906="","",IFERROR(INDEX('CALENDARIO'!$C$15:$C$214,MATCH(TEXT($J906,"yyyy-mm-dd")&amp;"|"&amp;$Y906&amp;"|"&amp;$Z906,'CALENDARIO'!$G$15:$G$214,0)),IFERROR(INDEX('CALENDARIO'!$C$15:$C$214,MATCH(TEXT($J906,"yyyy-mm-dd")&amp;"|"&amp;$Y906&amp;"|",'CALENDARIO'!$G$15:$G$214,0)),IFERROR(INDEX('CALENDARIO'!$C$15:$C$214,MATCH(TEXT($J906,"yyyy-mm-dd")&amp;"||",'CALENDARIO'!$G$15:$G$214,0)),INDEX(patronHabil,WEEKDAY($J906,2))))))</f>
        <v/>
      </c>
      <c r="U906" s="24">
        <f>IF($I906="","",IFERROR(INDEX('CAT_TIPOS_OT'!$C$4:$C$23,MATCH($I906,'CAT_TIPOS_OT'!$A$4:$A$23,0)),"sin_clasificar"))</f>
        <v/>
      </c>
      <c r="V906" s="24">
        <f>IF($I906="","",IF(IFERROR(INDEX('CAT_TIPOS_OT'!$D$4:$D$23,MATCH($I906,'CAT_TIPOS_OT'!$A$4:$A$23,0)),"SIN CLASIFICAR")="","SIN CLASIFICAR",IFERROR(INDEX('CAT_TIPOS_OT'!$D$4:$D$23,MATCH($I906,'CAT_TIPOS_OT'!$A$4:$A$23,0)),"SIN CLASIFICAR")))</f>
        <v/>
      </c>
      <c r="W906" s="24">
        <f>IF($H906="","",IF(IFERROR(INDEX('CAT_ACTIVIDADES'!$F$4:$F$26,MATCH($H906,'CAT_ACTIVIDADES'!$A$4:$A$26,0)),"")=0,"",IFERROR(INDEX('CAT_ACTIVIDADES'!$F$4:$F$26,MATCH($H906,'CAT_ACTIVIDADES'!$A$4:$A$26,0)),"")))</f>
        <v/>
      </c>
      <c r="X906" s="24">
        <f>IF($F906="","",IFERROR(INDEX('CAT_CENTROS_COSTO'!$F$4:$F$28,MATCH($F906,'CAT_CENTROS_COSTO'!$A$4:$A$28,0)),"(sin catálogo)"))</f>
        <v/>
      </c>
      <c r="Y906" s="24">
        <f>IF($F906="","",IFERROR(INDEX('CAT_CENTROS_COSTO'!$D$4:$D$28,MATCH($F906,'CAT_CENTROS_COSTO'!$A$4:$A$28,0)),"(sin catálogo)"))</f>
        <v/>
      </c>
      <c r="Z906" s="24">
        <f>IF($F906="","",IF((IFERROR(INDEX('CAT_CENTROS_COSTO'!$E$4:$E$28,MATCH($F906,'CAT_CENTROS_COSTO'!$A$4:$A$28,0)),""))&lt;&gt;"",IFERROR(INDEX('CAT_CENTROS_COSTO'!$E$4:$E$28,MATCH($F906,'CAT_CENTROS_COSTO'!$A$4:$A$28,0)),""),$Y906))</f>
        <v/>
      </c>
      <c r="AA906" s="24">
        <f>IF($F906="","",IFERROR(INDEX('CAT_CENTROS_COSTO'!$G$4:$G$28,MATCH($F906,'CAT_CENTROS_COSTO'!$A$4:$A$28,0)),"(sin catálogo)"))</f>
        <v/>
      </c>
      <c r="AB906" s="24">
        <f>IF($G906="","",IFERROR(INDEX('CAT_PUESTOS'!$B$4:$B$23,MATCH($G906,'CAT_PUESTOS'!$A$4:$A$23,0)),"(sin catálogo)"))</f>
        <v/>
      </c>
      <c r="AC906" s="24">
        <f>IF($H906="","",IFERROR(INDEX('CAT_ACTIVIDADES'!$B$4:$B$26,MATCH($H906,'CAT_ACTIVIDADES'!$A$4:$A$26,0)),"(sin catálogo)"))</f>
        <v/>
      </c>
      <c r="AD906" s="26">
        <f>IF($J906="","",TODAY()-$J906)</f>
        <v/>
      </c>
      <c r="AE906" s="26">
        <f>IF($J906="","",IF($J906&lt;=TODAY(),COUNTIFS(cal_fechas,"&gt;="&amp;$J906,cal_fechas,"&lt;"&amp;TODAY(),cal_habil,"sí"),-COUNTIFS(cal_fechas,"&gt;="&amp;TODAY(),cal_fechas,"&lt;"&amp;$J906,cal_habil,"sí")))</f>
        <v/>
      </c>
      <c r="AF906" s="24">
        <f>IF($AE906="","",IF($AE906&lt;0,"FUTURO",IF($AE906&gt;p_dias_backlog_max,"BACKLOG","MES CORRIENTE")))</f>
        <v/>
      </c>
      <c r="AG906" s="24">
        <f>IF($AE906="",FALSE,AND($AE906&gt;p_dias_backlog_min,$AE906&lt;=p_dias_backlog_max))</f>
        <v/>
      </c>
      <c r="AH906" s="4" t="n"/>
      <c r="AI906" s="24">
        <f>IF($AH906="","",IF((IFERROR(INDEX('ASIGNACIONES'!$J$4:$J$451,MATCH($O906&amp;"|"&amp;$S906&amp;"|"&amp;$AH906,'ASIGNACIONES'!$N$4:$N$451,0)),""))=0,"",IFERROR(INDEX('ASIGNACIONES'!$J$4:$J$451,MATCH($O906&amp;"|"&amp;$S906&amp;"|"&amp;$AH906,'ASIGNACIONES'!$N$4:$N$451,0)),"")))</f>
        <v/>
      </c>
      <c r="AJ906" s="42">
        <f>IF($AH906="","",SUMIFS('ORDENES'!$M$4:$M$1203,'ORDENES'!$AH$4:$AH$1203,$AH906,'ORDENES'!$O$4:$O$1203,$O906,'ORDENES'!$S$4:$S$1203,$S906))</f>
        <v/>
      </c>
      <c r="AK906" s="42">
        <f>IF($AJ906="","",p_factor_productividad*IFERROR(INDEX('ASIGNACIONES'!$M$4:$M$451,MATCH($O906&amp;"|"&amp;$S906&amp;"|"&amp;$AH906,'ASIGNACIONES'!$N$4:$N$451,0)),0)-$AJ906)</f>
        <v/>
      </c>
      <c r="AL906" s="32">
        <f>IF($A906="","",IFERROR(INDEX('2_IMPORTAR_EJECUCION'!$F$9:$F$1208,MATCH($AU906,'2_IMPORTAR_EJECUCION'!$J$9:$J$1208,0)),0))</f>
        <v/>
      </c>
      <c r="AM906" s="32">
        <f>IF($A906="","",MAX(0,IFERROR(INDEX('2_IMPORTAR_EJECUCION'!$H$9:$H$1208,MATCH($AU906,'2_IMPORTAR_EJECUCION'!$J$9:$J$1208,0)),0)-$AL906))</f>
        <v/>
      </c>
      <c r="AN906" s="32">
        <f>IF($A906="","",$AL906+$AM906)</f>
        <v/>
      </c>
      <c r="AO906" s="24">
        <f>IF($A906="","",IF(OR((IFERROR(INDEX('CAT_ACTIVIDADES'!$D$4:$D$26,MATCH($H906,'CAT_ACTIVIDADES'!$A$4:$A$26,0)),""))=0,(IFERROR(INDEX('CAT_ACTIVIDADES'!$D$4:$D$26,MATCH($H906,'CAT_ACTIVIDADES'!$A$4:$A$26,0)),""))=""),"SIN CLASIFICAR",IFERROR(INDEX('CAT_ACTIVIDADES'!$D$4:$D$26,MATCH($H906,'CAT_ACTIVIDADES'!$A$4:$A$26,0)),"")))</f>
        <v/>
      </c>
      <c r="AP906" s="4" t="n"/>
      <c r="AQ906" s="4" t="n"/>
      <c r="AR906" s="4" t="n"/>
      <c r="AS906" s="24">
        <f>IF($AR906="","",HYPERLINK(p_ruta_base_checklists&amp;$AR906,"abrir"))</f>
        <v/>
      </c>
      <c r="AT906" s="4" t="n"/>
      <c r="AU906" s="24">
        <f>IF($A906="","",$A906&amp;IF($B906="","0010",$B906))</f>
        <v/>
      </c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41" t="n"/>
      <c r="K907" s="5" t="n"/>
      <c r="L907" s="18" t="n"/>
      <c r="M907" s="24">
        <f>IF($A907="","",IFERROR(INDEX('AJUSTES'!$B$4:$B$303,MATCH($AU907,'AJUSTES'!$A$4:$A$303,0)),IF($K907="","",$K907)))</f>
        <v/>
      </c>
      <c r="N907" s="24">
        <f>IF($A907="","",IFERROR(INDEX('CAT_ESTADOS_ERP'!$B$4:$B$22,MATCH(IFERROR(INDEX('2_IMPORTAR_EJECUCION'!$C$9:$C$1208,MATCH($AU907,'2_IMPORTAR_EJECUCION'!$J$9:$J$1208,0)),""),'CAT_ESTADOS_ERP'!$A$4:$A$22,0)),"Pendiente"))</f>
        <v/>
      </c>
      <c r="O907" s="24">
        <f>IF($J907="","",YEAR($J907+4-WEEKDAY($J907,2))&amp;"-S"&amp;TEXT(_xlfn.ISOWEEKNUM($J907),"00"))</f>
        <v/>
      </c>
      <c r="P907" s="24">
        <f>IF($J907="","",YEAR($J907))</f>
        <v/>
      </c>
      <c r="Q907" s="24">
        <f>IF($J907="","",MONTH($J907))</f>
        <v/>
      </c>
      <c r="R907" s="24">
        <f>IF($J907="","",$P907&amp;"-"&amp;TEXT($Q907,"00"))</f>
        <v/>
      </c>
      <c r="S907" s="24">
        <f>IF($J907="","",INDEX(lista_dias,WEEKDAY($J907,2)))</f>
        <v/>
      </c>
      <c r="T907" s="24">
        <f>IF($J907="","",IFERROR(INDEX('CALENDARIO'!$C$15:$C$214,MATCH(TEXT($J907,"yyyy-mm-dd")&amp;"|"&amp;$Y907&amp;"|"&amp;$Z907,'CALENDARIO'!$G$15:$G$214,0)),IFERROR(INDEX('CALENDARIO'!$C$15:$C$214,MATCH(TEXT($J907,"yyyy-mm-dd")&amp;"|"&amp;$Y907&amp;"|",'CALENDARIO'!$G$15:$G$214,0)),IFERROR(INDEX('CALENDARIO'!$C$15:$C$214,MATCH(TEXT($J907,"yyyy-mm-dd")&amp;"||",'CALENDARIO'!$G$15:$G$214,0)),INDEX(patronHabil,WEEKDAY($J907,2))))))</f>
        <v/>
      </c>
      <c r="U907" s="24">
        <f>IF($I907="","",IFERROR(INDEX('CAT_TIPOS_OT'!$C$4:$C$23,MATCH($I907,'CAT_TIPOS_OT'!$A$4:$A$23,0)),"sin_clasificar"))</f>
        <v/>
      </c>
      <c r="V907" s="24">
        <f>IF($I907="","",IF(IFERROR(INDEX('CAT_TIPOS_OT'!$D$4:$D$23,MATCH($I907,'CAT_TIPOS_OT'!$A$4:$A$23,0)),"SIN CLASIFICAR")="","SIN CLASIFICAR",IFERROR(INDEX('CAT_TIPOS_OT'!$D$4:$D$23,MATCH($I907,'CAT_TIPOS_OT'!$A$4:$A$23,0)),"SIN CLASIFICAR")))</f>
        <v/>
      </c>
      <c r="W907" s="24">
        <f>IF($H907="","",IF(IFERROR(INDEX('CAT_ACTIVIDADES'!$F$4:$F$26,MATCH($H907,'CAT_ACTIVIDADES'!$A$4:$A$26,0)),"")=0,"",IFERROR(INDEX('CAT_ACTIVIDADES'!$F$4:$F$26,MATCH($H907,'CAT_ACTIVIDADES'!$A$4:$A$26,0)),"")))</f>
        <v/>
      </c>
      <c r="X907" s="24">
        <f>IF($F907="","",IFERROR(INDEX('CAT_CENTROS_COSTO'!$F$4:$F$28,MATCH($F907,'CAT_CENTROS_COSTO'!$A$4:$A$28,0)),"(sin catálogo)"))</f>
        <v/>
      </c>
      <c r="Y907" s="24">
        <f>IF($F907="","",IFERROR(INDEX('CAT_CENTROS_COSTO'!$D$4:$D$28,MATCH($F907,'CAT_CENTROS_COSTO'!$A$4:$A$28,0)),"(sin catálogo)"))</f>
        <v/>
      </c>
      <c r="Z907" s="24">
        <f>IF($F907="","",IF((IFERROR(INDEX('CAT_CENTROS_COSTO'!$E$4:$E$28,MATCH($F907,'CAT_CENTROS_COSTO'!$A$4:$A$28,0)),""))&lt;&gt;"",IFERROR(INDEX('CAT_CENTROS_COSTO'!$E$4:$E$28,MATCH($F907,'CAT_CENTROS_COSTO'!$A$4:$A$28,0)),""),$Y907))</f>
        <v/>
      </c>
      <c r="AA907" s="24">
        <f>IF($F907="","",IFERROR(INDEX('CAT_CENTROS_COSTO'!$G$4:$G$28,MATCH($F907,'CAT_CENTROS_COSTO'!$A$4:$A$28,0)),"(sin catálogo)"))</f>
        <v/>
      </c>
      <c r="AB907" s="24">
        <f>IF($G907="","",IFERROR(INDEX('CAT_PUESTOS'!$B$4:$B$23,MATCH($G907,'CAT_PUESTOS'!$A$4:$A$23,0)),"(sin catálogo)"))</f>
        <v/>
      </c>
      <c r="AC907" s="24">
        <f>IF($H907="","",IFERROR(INDEX('CAT_ACTIVIDADES'!$B$4:$B$26,MATCH($H907,'CAT_ACTIVIDADES'!$A$4:$A$26,0)),"(sin catálogo)"))</f>
        <v/>
      </c>
      <c r="AD907" s="26">
        <f>IF($J907="","",TODAY()-$J907)</f>
        <v/>
      </c>
      <c r="AE907" s="26">
        <f>IF($J907="","",IF($J907&lt;=TODAY(),COUNTIFS(cal_fechas,"&gt;="&amp;$J907,cal_fechas,"&lt;"&amp;TODAY(),cal_habil,"sí"),-COUNTIFS(cal_fechas,"&gt;="&amp;TODAY(),cal_fechas,"&lt;"&amp;$J907,cal_habil,"sí")))</f>
        <v/>
      </c>
      <c r="AF907" s="24">
        <f>IF($AE907="","",IF($AE907&lt;0,"FUTURO",IF($AE907&gt;p_dias_backlog_max,"BACKLOG","MES CORRIENTE")))</f>
        <v/>
      </c>
      <c r="AG907" s="24">
        <f>IF($AE907="",FALSE,AND($AE907&gt;p_dias_backlog_min,$AE907&lt;=p_dias_backlog_max))</f>
        <v/>
      </c>
      <c r="AH907" s="4" t="n"/>
      <c r="AI907" s="24">
        <f>IF($AH907="","",IF((IFERROR(INDEX('ASIGNACIONES'!$J$4:$J$451,MATCH($O907&amp;"|"&amp;$S907&amp;"|"&amp;$AH907,'ASIGNACIONES'!$N$4:$N$451,0)),""))=0,"",IFERROR(INDEX('ASIGNACIONES'!$J$4:$J$451,MATCH($O907&amp;"|"&amp;$S907&amp;"|"&amp;$AH907,'ASIGNACIONES'!$N$4:$N$451,0)),"")))</f>
        <v/>
      </c>
      <c r="AJ907" s="42">
        <f>IF($AH907="","",SUMIFS('ORDENES'!$M$4:$M$1203,'ORDENES'!$AH$4:$AH$1203,$AH907,'ORDENES'!$O$4:$O$1203,$O907,'ORDENES'!$S$4:$S$1203,$S907))</f>
        <v/>
      </c>
      <c r="AK907" s="42">
        <f>IF($AJ907="","",p_factor_productividad*IFERROR(INDEX('ASIGNACIONES'!$M$4:$M$451,MATCH($O907&amp;"|"&amp;$S907&amp;"|"&amp;$AH907,'ASIGNACIONES'!$N$4:$N$451,0)),0)-$AJ907)</f>
        <v/>
      </c>
      <c r="AL907" s="32">
        <f>IF($A907="","",IFERROR(INDEX('2_IMPORTAR_EJECUCION'!$F$9:$F$1208,MATCH($AU907,'2_IMPORTAR_EJECUCION'!$J$9:$J$1208,0)),0))</f>
        <v/>
      </c>
      <c r="AM907" s="32">
        <f>IF($A907="","",MAX(0,IFERROR(INDEX('2_IMPORTAR_EJECUCION'!$H$9:$H$1208,MATCH($AU907,'2_IMPORTAR_EJECUCION'!$J$9:$J$1208,0)),0)-$AL907))</f>
        <v/>
      </c>
      <c r="AN907" s="32">
        <f>IF($A907="","",$AL907+$AM907)</f>
        <v/>
      </c>
      <c r="AO907" s="24">
        <f>IF($A907="","",IF(OR((IFERROR(INDEX('CAT_ACTIVIDADES'!$D$4:$D$26,MATCH($H907,'CAT_ACTIVIDADES'!$A$4:$A$26,0)),""))=0,(IFERROR(INDEX('CAT_ACTIVIDADES'!$D$4:$D$26,MATCH($H907,'CAT_ACTIVIDADES'!$A$4:$A$26,0)),""))=""),"SIN CLASIFICAR",IFERROR(INDEX('CAT_ACTIVIDADES'!$D$4:$D$26,MATCH($H907,'CAT_ACTIVIDADES'!$A$4:$A$26,0)),"")))</f>
        <v/>
      </c>
      <c r="AP907" s="4" t="n"/>
      <c r="AQ907" s="4" t="n"/>
      <c r="AR907" s="4" t="n"/>
      <c r="AS907" s="24">
        <f>IF($AR907="","",HYPERLINK(p_ruta_base_checklists&amp;$AR907,"abrir"))</f>
        <v/>
      </c>
      <c r="AT907" s="4" t="n"/>
      <c r="AU907" s="24">
        <f>IF($A907="","",$A907&amp;IF($B907="","0010",$B907))</f>
        <v/>
      </c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41" t="n"/>
      <c r="K908" s="5" t="n"/>
      <c r="L908" s="18" t="n"/>
      <c r="M908" s="24">
        <f>IF($A908="","",IFERROR(INDEX('AJUSTES'!$B$4:$B$303,MATCH($AU908,'AJUSTES'!$A$4:$A$303,0)),IF($K908="","",$K908)))</f>
        <v/>
      </c>
      <c r="N908" s="24">
        <f>IF($A908="","",IFERROR(INDEX('CAT_ESTADOS_ERP'!$B$4:$B$22,MATCH(IFERROR(INDEX('2_IMPORTAR_EJECUCION'!$C$9:$C$1208,MATCH($AU908,'2_IMPORTAR_EJECUCION'!$J$9:$J$1208,0)),""),'CAT_ESTADOS_ERP'!$A$4:$A$22,0)),"Pendiente"))</f>
        <v/>
      </c>
      <c r="O908" s="24">
        <f>IF($J908="","",YEAR($J908+4-WEEKDAY($J908,2))&amp;"-S"&amp;TEXT(_xlfn.ISOWEEKNUM($J908),"00"))</f>
        <v/>
      </c>
      <c r="P908" s="24">
        <f>IF($J908="","",YEAR($J908))</f>
        <v/>
      </c>
      <c r="Q908" s="24">
        <f>IF($J908="","",MONTH($J908))</f>
        <v/>
      </c>
      <c r="R908" s="24">
        <f>IF($J908="","",$P908&amp;"-"&amp;TEXT($Q908,"00"))</f>
        <v/>
      </c>
      <c r="S908" s="24">
        <f>IF($J908="","",INDEX(lista_dias,WEEKDAY($J908,2)))</f>
        <v/>
      </c>
      <c r="T908" s="24">
        <f>IF($J908="","",IFERROR(INDEX('CALENDARIO'!$C$15:$C$214,MATCH(TEXT($J908,"yyyy-mm-dd")&amp;"|"&amp;$Y908&amp;"|"&amp;$Z908,'CALENDARIO'!$G$15:$G$214,0)),IFERROR(INDEX('CALENDARIO'!$C$15:$C$214,MATCH(TEXT($J908,"yyyy-mm-dd")&amp;"|"&amp;$Y908&amp;"|",'CALENDARIO'!$G$15:$G$214,0)),IFERROR(INDEX('CALENDARIO'!$C$15:$C$214,MATCH(TEXT($J908,"yyyy-mm-dd")&amp;"||",'CALENDARIO'!$G$15:$G$214,0)),INDEX(patronHabil,WEEKDAY($J908,2))))))</f>
        <v/>
      </c>
      <c r="U908" s="24">
        <f>IF($I908="","",IFERROR(INDEX('CAT_TIPOS_OT'!$C$4:$C$23,MATCH($I908,'CAT_TIPOS_OT'!$A$4:$A$23,0)),"sin_clasificar"))</f>
        <v/>
      </c>
      <c r="V908" s="24">
        <f>IF($I908="","",IF(IFERROR(INDEX('CAT_TIPOS_OT'!$D$4:$D$23,MATCH($I908,'CAT_TIPOS_OT'!$A$4:$A$23,0)),"SIN CLASIFICAR")="","SIN CLASIFICAR",IFERROR(INDEX('CAT_TIPOS_OT'!$D$4:$D$23,MATCH($I908,'CAT_TIPOS_OT'!$A$4:$A$23,0)),"SIN CLASIFICAR")))</f>
        <v/>
      </c>
      <c r="W908" s="24">
        <f>IF($H908="","",IF(IFERROR(INDEX('CAT_ACTIVIDADES'!$F$4:$F$26,MATCH($H908,'CAT_ACTIVIDADES'!$A$4:$A$26,0)),"")=0,"",IFERROR(INDEX('CAT_ACTIVIDADES'!$F$4:$F$26,MATCH($H908,'CAT_ACTIVIDADES'!$A$4:$A$26,0)),"")))</f>
        <v/>
      </c>
      <c r="X908" s="24">
        <f>IF($F908="","",IFERROR(INDEX('CAT_CENTROS_COSTO'!$F$4:$F$28,MATCH($F908,'CAT_CENTROS_COSTO'!$A$4:$A$28,0)),"(sin catálogo)"))</f>
        <v/>
      </c>
      <c r="Y908" s="24">
        <f>IF($F908="","",IFERROR(INDEX('CAT_CENTROS_COSTO'!$D$4:$D$28,MATCH($F908,'CAT_CENTROS_COSTO'!$A$4:$A$28,0)),"(sin catálogo)"))</f>
        <v/>
      </c>
      <c r="Z908" s="24">
        <f>IF($F908="","",IF((IFERROR(INDEX('CAT_CENTROS_COSTO'!$E$4:$E$28,MATCH($F908,'CAT_CENTROS_COSTO'!$A$4:$A$28,0)),""))&lt;&gt;"",IFERROR(INDEX('CAT_CENTROS_COSTO'!$E$4:$E$28,MATCH($F908,'CAT_CENTROS_COSTO'!$A$4:$A$28,0)),""),$Y908))</f>
        <v/>
      </c>
      <c r="AA908" s="24">
        <f>IF($F908="","",IFERROR(INDEX('CAT_CENTROS_COSTO'!$G$4:$G$28,MATCH($F908,'CAT_CENTROS_COSTO'!$A$4:$A$28,0)),"(sin catálogo)"))</f>
        <v/>
      </c>
      <c r="AB908" s="24">
        <f>IF($G908="","",IFERROR(INDEX('CAT_PUESTOS'!$B$4:$B$23,MATCH($G908,'CAT_PUESTOS'!$A$4:$A$23,0)),"(sin catálogo)"))</f>
        <v/>
      </c>
      <c r="AC908" s="24">
        <f>IF($H908="","",IFERROR(INDEX('CAT_ACTIVIDADES'!$B$4:$B$26,MATCH($H908,'CAT_ACTIVIDADES'!$A$4:$A$26,0)),"(sin catálogo)"))</f>
        <v/>
      </c>
      <c r="AD908" s="26">
        <f>IF($J908="","",TODAY()-$J908)</f>
        <v/>
      </c>
      <c r="AE908" s="26">
        <f>IF($J908="","",IF($J908&lt;=TODAY(),COUNTIFS(cal_fechas,"&gt;="&amp;$J908,cal_fechas,"&lt;"&amp;TODAY(),cal_habil,"sí"),-COUNTIFS(cal_fechas,"&gt;="&amp;TODAY(),cal_fechas,"&lt;"&amp;$J908,cal_habil,"sí")))</f>
        <v/>
      </c>
      <c r="AF908" s="24">
        <f>IF($AE908="","",IF($AE908&lt;0,"FUTURO",IF($AE908&gt;p_dias_backlog_max,"BACKLOG","MES CORRIENTE")))</f>
        <v/>
      </c>
      <c r="AG908" s="24">
        <f>IF($AE908="",FALSE,AND($AE908&gt;p_dias_backlog_min,$AE908&lt;=p_dias_backlog_max))</f>
        <v/>
      </c>
      <c r="AH908" s="4" t="n"/>
      <c r="AI908" s="24">
        <f>IF($AH908="","",IF((IFERROR(INDEX('ASIGNACIONES'!$J$4:$J$451,MATCH($O908&amp;"|"&amp;$S908&amp;"|"&amp;$AH908,'ASIGNACIONES'!$N$4:$N$451,0)),""))=0,"",IFERROR(INDEX('ASIGNACIONES'!$J$4:$J$451,MATCH($O908&amp;"|"&amp;$S908&amp;"|"&amp;$AH908,'ASIGNACIONES'!$N$4:$N$451,0)),"")))</f>
        <v/>
      </c>
      <c r="AJ908" s="42">
        <f>IF($AH908="","",SUMIFS('ORDENES'!$M$4:$M$1203,'ORDENES'!$AH$4:$AH$1203,$AH908,'ORDENES'!$O$4:$O$1203,$O908,'ORDENES'!$S$4:$S$1203,$S908))</f>
        <v/>
      </c>
      <c r="AK908" s="42">
        <f>IF($AJ908="","",p_factor_productividad*IFERROR(INDEX('ASIGNACIONES'!$M$4:$M$451,MATCH($O908&amp;"|"&amp;$S908&amp;"|"&amp;$AH908,'ASIGNACIONES'!$N$4:$N$451,0)),0)-$AJ908)</f>
        <v/>
      </c>
      <c r="AL908" s="32">
        <f>IF($A908="","",IFERROR(INDEX('2_IMPORTAR_EJECUCION'!$F$9:$F$1208,MATCH($AU908,'2_IMPORTAR_EJECUCION'!$J$9:$J$1208,0)),0))</f>
        <v/>
      </c>
      <c r="AM908" s="32">
        <f>IF($A908="","",MAX(0,IFERROR(INDEX('2_IMPORTAR_EJECUCION'!$H$9:$H$1208,MATCH($AU908,'2_IMPORTAR_EJECUCION'!$J$9:$J$1208,0)),0)-$AL908))</f>
        <v/>
      </c>
      <c r="AN908" s="32">
        <f>IF($A908="","",$AL908+$AM908)</f>
        <v/>
      </c>
      <c r="AO908" s="24">
        <f>IF($A908="","",IF(OR((IFERROR(INDEX('CAT_ACTIVIDADES'!$D$4:$D$26,MATCH($H908,'CAT_ACTIVIDADES'!$A$4:$A$26,0)),""))=0,(IFERROR(INDEX('CAT_ACTIVIDADES'!$D$4:$D$26,MATCH($H908,'CAT_ACTIVIDADES'!$A$4:$A$26,0)),""))=""),"SIN CLASIFICAR",IFERROR(INDEX('CAT_ACTIVIDADES'!$D$4:$D$26,MATCH($H908,'CAT_ACTIVIDADES'!$A$4:$A$26,0)),"")))</f>
        <v/>
      </c>
      <c r="AP908" s="4" t="n"/>
      <c r="AQ908" s="4" t="n"/>
      <c r="AR908" s="4" t="n"/>
      <c r="AS908" s="24">
        <f>IF($AR908="","",HYPERLINK(p_ruta_base_checklists&amp;$AR908,"abrir"))</f>
        <v/>
      </c>
      <c r="AT908" s="4" t="n"/>
      <c r="AU908" s="24">
        <f>IF($A908="","",$A908&amp;IF($B908="","0010",$B908))</f>
        <v/>
      </c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41" t="n"/>
      <c r="K909" s="5" t="n"/>
      <c r="L909" s="18" t="n"/>
      <c r="M909" s="24">
        <f>IF($A909="","",IFERROR(INDEX('AJUSTES'!$B$4:$B$303,MATCH($AU909,'AJUSTES'!$A$4:$A$303,0)),IF($K909="","",$K909)))</f>
        <v/>
      </c>
      <c r="N909" s="24">
        <f>IF($A909="","",IFERROR(INDEX('CAT_ESTADOS_ERP'!$B$4:$B$22,MATCH(IFERROR(INDEX('2_IMPORTAR_EJECUCION'!$C$9:$C$1208,MATCH($AU909,'2_IMPORTAR_EJECUCION'!$J$9:$J$1208,0)),""),'CAT_ESTADOS_ERP'!$A$4:$A$22,0)),"Pendiente"))</f>
        <v/>
      </c>
      <c r="O909" s="24">
        <f>IF($J909="","",YEAR($J909+4-WEEKDAY($J909,2))&amp;"-S"&amp;TEXT(_xlfn.ISOWEEKNUM($J909),"00"))</f>
        <v/>
      </c>
      <c r="P909" s="24">
        <f>IF($J909="","",YEAR($J909))</f>
        <v/>
      </c>
      <c r="Q909" s="24">
        <f>IF($J909="","",MONTH($J909))</f>
        <v/>
      </c>
      <c r="R909" s="24">
        <f>IF($J909="","",$P909&amp;"-"&amp;TEXT($Q909,"00"))</f>
        <v/>
      </c>
      <c r="S909" s="24">
        <f>IF($J909="","",INDEX(lista_dias,WEEKDAY($J909,2)))</f>
        <v/>
      </c>
      <c r="T909" s="24">
        <f>IF($J909="","",IFERROR(INDEX('CALENDARIO'!$C$15:$C$214,MATCH(TEXT($J909,"yyyy-mm-dd")&amp;"|"&amp;$Y909&amp;"|"&amp;$Z909,'CALENDARIO'!$G$15:$G$214,0)),IFERROR(INDEX('CALENDARIO'!$C$15:$C$214,MATCH(TEXT($J909,"yyyy-mm-dd")&amp;"|"&amp;$Y909&amp;"|",'CALENDARIO'!$G$15:$G$214,0)),IFERROR(INDEX('CALENDARIO'!$C$15:$C$214,MATCH(TEXT($J909,"yyyy-mm-dd")&amp;"||",'CALENDARIO'!$G$15:$G$214,0)),INDEX(patronHabil,WEEKDAY($J909,2))))))</f>
        <v/>
      </c>
      <c r="U909" s="24">
        <f>IF($I909="","",IFERROR(INDEX('CAT_TIPOS_OT'!$C$4:$C$23,MATCH($I909,'CAT_TIPOS_OT'!$A$4:$A$23,0)),"sin_clasificar"))</f>
        <v/>
      </c>
      <c r="V909" s="24">
        <f>IF($I909="","",IF(IFERROR(INDEX('CAT_TIPOS_OT'!$D$4:$D$23,MATCH($I909,'CAT_TIPOS_OT'!$A$4:$A$23,0)),"SIN CLASIFICAR")="","SIN CLASIFICAR",IFERROR(INDEX('CAT_TIPOS_OT'!$D$4:$D$23,MATCH($I909,'CAT_TIPOS_OT'!$A$4:$A$23,0)),"SIN CLASIFICAR")))</f>
        <v/>
      </c>
      <c r="W909" s="24">
        <f>IF($H909="","",IF(IFERROR(INDEX('CAT_ACTIVIDADES'!$F$4:$F$26,MATCH($H909,'CAT_ACTIVIDADES'!$A$4:$A$26,0)),"")=0,"",IFERROR(INDEX('CAT_ACTIVIDADES'!$F$4:$F$26,MATCH($H909,'CAT_ACTIVIDADES'!$A$4:$A$26,0)),"")))</f>
        <v/>
      </c>
      <c r="X909" s="24">
        <f>IF($F909="","",IFERROR(INDEX('CAT_CENTROS_COSTO'!$F$4:$F$28,MATCH($F909,'CAT_CENTROS_COSTO'!$A$4:$A$28,0)),"(sin catálogo)"))</f>
        <v/>
      </c>
      <c r="Y909" s="24">
        <f>IF($F909="","",IFERROR(INDEX('CAT_CENTROS_COSTO'!$D$4:$D$28,MATCH($F909,'CAT_CENTROS_COSTO'!$A$4:$A$28,0)),"(sin catálogo)"))</f>
        <v/>
      </c>
      <c r="Z909" s="24">
        <f>IF($F909="","",IF((IFERROR(INDEX('CAT_CENTROS_COSTO'!$E$4:$E$28,MATCH($F909,'CAT_CENTROS_COSTO'!$A$4:$A$28,0)),""))&lt;&gt;"",IFERROR(INDEX('CAT_CENTROS_COSTO'!$E$4:$E$28,MATCH($F909,'CAT_CENTROS_COSTO'!$A$4:$A$28,0)),""),$Y909))</f>
        <v/>
      </c>
      <c r="AA909" s="24">
        <f>IF($F909="","",IFERROR(INDEX('CAT_CENTROS_COSTO'!$G$4:$G$28,MATCH($F909,'CAT_CENTROS_COSTO'!$A$4:$A$28,0)),"(sin catálogo)"))</f>
        <v/>
      </c>
      <c r="AB909" s="24">
        <f>IF($G909="","",IFERROR(INDEX('CAT_PUESTOS'!$B$4:$B$23,MATCH($G909,'CAT_PUESTOS'!$A$4:$A$23,0)),"(sin catálogo)"))</f>
        <v/>
      </c>
      <c r="AC909" s="24">
        <f>IF($H909="","",IFERROR(INDEX('CAT_ACTIVIDADES'!$B$4:$B$26,MATCH($H909,'CAT_ACTIVIDADES'!$A$4:$A$26,0)),"(sin catálogo)"))</f>
        <v/>
      </c>
      <c r="AD909" s="26">
        <f>IF($J909="","",TODAY()-$J909)</f>
        <v/>
      </c>
      <c r="AE909" s="26">
        <f>IF($J909="","",IF($J909&lt;=TODAY(),COUNTIFS(cal_fechas,"&gt;="&amp;$J909,cal_fechas,"&lt;"&amp;TODAY(),cal_habil,"sí"),-COUNTIFS(cal_fechas,"&gt;="&amp;TODAY(),cal_fechas,"&lt;"&amp;$J909,cal_habil,"sí")))</f>
        <v/>
      </c>
      <c r="AF909" s="24">
        <f>IF($AE909="","",IF($AE909&lt;0,"FUTURO",IF($AE909&gt;p_dias_backlog_max,"BACKLOG","MES CORRIENTE")))</f>
        <v/>
      </c>
      <c r="AG909" s="24">
        <f>IF($AE909="",FALSE,AND($AE909&gt;p_dias_backlog_min,$AE909&lt;=p_dias_backlog_max))</f>
        <v/>
      </c>
      <c r="AH909" s="4" t="n"/>
      <c r="AI909" s="24">
        <f>IF($AH909="","",IF((IFERROR(INDEX('ASIGNACIONES'!$J$4:$J$451,MATCH($O909&amp;"|"&amp;$S909&amp;"|"&amp;$AH909,'ASIGNACIONES'!$N$4:$N$451,0)),""))=0,"",IFERROR(INDEX('ASIGNACIONES'!$J$4:$J$451,MATCH($O909&amp;"|"&amp;$S909&amp;"|"&amp;$AH909,'ASIGNACIONES'!$N$4:$N$451,0)),"")))</f>
        <v/>
      </c>
      <c r="AJ909" s="42">
        <f>IF($AH909="","",SUMIFS('ORDENES'!$M$4:$M$1203,'ORDENES'!$AH$4:$AH$1203,$AH909,'ORDENES'!$O$4:$O$1203,$O909,'ORDENES'!$S$4:$S$1203,$S909))</f>
        <v/>
      </c>
      <c r="AK909" s="42">
        <f>IF($AJ909="","",p_factor_productividad*IFERROR(INDEX('ASIGNACIONES'!$M$4:$M$451,MATCH($O909&amp;"|"&amp;$S909&amp;"|"&amp;$AH909,'ASIGNACIONES'!$N$4:$N$451,0)),0)-$AJ909)</f>
        <v/>
      </c>
      <c r="AL909" s="32">
        <f>IF($A909="","",IFERROR(INDEX('2_IMPORTAR_EJECUCION'!$F$9:$F$1208,MATCH($AU909,'2_IMPORTAR_EJECUCION'!$J$9:$J$1208,0)),0))</f>
        <v/>
      </c>
      <c r="AM909" s="32">
        <f>IF($A909="","",MAX(0,IFERROR(INDEX('2_IMPORTAR_EJECUCION'!$H$9:$H$1208,MATCH($AU909,'2_IMPORTAR_EJECUCION'!$J$9:$J$1208,0)),0)-$AL909))</f>
        <v/>
      </c>
      <c r="AN909" s="32">
        <f>IF($A909="","",$AL909+$AM909)</f>
        <v/>
      </c>
      <c r="AO909" s="24">
        <f>IF($A909="","",IF(OR((IFERROR(INDEX('CAT_ACTIVIDADES'!$D$4:$D$26,MATCH($H909,'CAT_ACTIVIDADES'!$A$4:$A$26,0)),""))=0,(IFERROR(INDEX('CAT_ACTIVIDADES'!$D$4:$D$26,MATCH($H909,'CAT_ACTIVIDADES'!$A$4:$A$26,0)),""))=""),"SIN CLASIFICAR",IFERROR(INDEX('CAT_ACTIVIDADES'!$D$4:$D$26,MATCH($H909,'CAT_ACTIVIDADES'!$A$4:$A$26,0)),"")))</f>
        <v/>
      </c>
      <c r="AP909" s="4" t="n"/>
      <c r="AQ909" s="4" t="n"/>
      <c r="AR909" s="4" t="n"/>
      <c r="AS909" s="24">
        <f>IF($AR909="","",HYPERLINK(p_ruta_base_checklists&amp;$AR909,"abrir"))</f>
        <v/>
      </c>
      <c r="AT909" s="4" t="n"/>
      <c r="AU909" s="24">
        <f>IF($A909="","",$A909&amp;IF($B909="","0010",$B909))</f>
        <v/>
      </c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41" t="n"/>
      <c r="K910" s="5" t="n"/>
      <c r="L910" s="18" t="n"/>
      <c r="M910" s="24">
        <f>IF($A910="","",IFERROR(INDEX('AJUSTES'!$B$4:$B$303,MATCH($AU910,'AJUSTES'!$A$4:$A$303,0)),IF($K910="","",$K910)))</f>
        <v/>
      </c>
      <c r="N910" s="24">
        <f>IF($A910="","",IFERROR(INDEX('CAT_ESTADOS_ERP'!$B$4:$B$22,MATCH(IFERROR(INDEX('2_IMPORTAR_EJECUCION'!$C$9:$C$1208,MATCH($AU910,'2_IMPORTAR_EJECUCION'!$J$9:$J$1208,0)),""),'CAT_ESTADOS_ERP'!$A$4:$A$22,0)),"Pendiente"))</f>
        <v/>
      </c>
      <c r="O910" s="24">
        <f>IF($J910="","",YEAR($J910+4-WEEKDAY($J910,2))&amp;"-S"&amp;TEXT(_xlfn.ISOWEEKNUM($J910),"00"))</f>
        <v/>
      </c>
      <c r="P910" s="24">
        <f>IF($J910="","",YEAR($J910))</f>
        <v/>
      </c>
      <c r="Q910" s="24">
        <f>IF($J910="","",MONTH($J910))</f>
        <v/>
      </c>
      <c r="R910" s="24">
        <f>IF($J910="","",$P910&amp;"-"&amp;TEXT($Q910,"00"))</f>
        <v/>
      </c>
      <c r="S910" s="24">
        <f>IF($J910="","",INDEX(lista_dias,WEEKDAY($J910,2)))</f>
        <v/>
      </c>
      <c r="T910" s="24">
        <f>IF($J910="","",IFERROR(INDEX('CALENDARIO'!$C$15:$C$214,MATCH(TEXT($J910,"yyyy-mm-dd")&amp;"|"&amp;$Y910&amp;"|"&amp;$Z910,'CALENDARIO'!$G$15:$G$214,0)),IFERROR(INDEX('CALENDARIO'!$C$15:$C$214,MATCH(TEXT($J910,"yyyy-mm-dd")&amp;"|"&amp;$Y910&amp;"|",'CALENDARIO'!$G$15:$G$214,0)),IFERROR(INDEX('CALENDARIO'!$C$15:$C$214,MATCH(TEXT($J910,"yyyy-mm-dd")&amp;"||",'CALENDARIO'!$G$15:$G$214,0)),INDEX(patronHabil,WEEKDAY($J910,2))))))</f>
        <v/>
      </c>
      <c r="U910" s="24">
        <f>IF($I910="","",IFERROR(INDEX('CAT_TIPOS_OT'!$C$4:$C$23,MATCH($I910,'CAT_TIPOS_OT'!$A$4:$A$23,0)),"sin_clasificar"))</f>
        <v/>
      </c>
      <c r="V910" s="24">
        <f>IF($I910="","",IF(IFERROR(INDEX('CAT_TIPOS_OT'!$D$4:$D$23,MATCH($I910,'CAT_TIPOS_OT'!$A$4:$A$23,0)),"SIN CLASIFICAR")="","SIN CLASIFICAR",IFERROR(INDEX('CAT_TIPOS_OT'!$D$4:$D$23,MATCH($I910,'CAT_TIPOS_OT'!$A$4:$A$23,0)),"SIN CLASIFICAR")))</f>
        <v/>
      </c>
      <c r="W910" s="24">
        <f>IF($H910="","",IF(IFERROR(INDEX('CAT_ACTIVIDADES'!$F$4:$F$26,MATCH($H910,'CAT_ACTIVIDADES'!$A$4:$A$26,0)),"")=0,"",IFERROR(INDEX('CAT_ACTIVIDADES'!$F$4:$F$26,MATCH($H910,'CAT_ACTIVIDADES'!$A$4:$A$26,0)),"")))</f>
        <v/>
      </c>
      <c r="X910" s="24">
        <f>IF($F910="","",IFERROR(INDEX('CAT_CENTROS_COSTO'!$F$4:$F$28,MATCH($F910,'CAT_CENTROS_COSTO'!$A$4:$A$28,0)),"(sin catálogo)"))</f>
        <v/>
      </c>
      <c r="Y910" s="24">
        <f>IF($F910="","",IFERROR(INDEX('CAT_CENTROS_COSTO'!$D$4:$D$28,MATCH($F910,'CAT_CENTROS_COSTO'!$A$4:$A$28,0)),"(sin catálogo)"))</f>
        <v/>
      </c>
      <c r="Z910" s="24">
        <f>IF($F910="","",IF((IFERROR(INDEX('CAT_CENTROS_COSTO'!$E$4:$E$28,MATCH($F910,'CAT_CENTROS_COSTO'!$A$4:$A$28,0)),""))&lt;&gt;"",IFERROR(INDEX('CAT_CENTROS_COSTO'!$E$4:$E$28,MATCH($F910,'CAT_CENTROS_COSTO'!$A$4:$A$28,0)),""),$Y910))</f>
        <v/>
      </c>
      <c r="AA910" s="24">
        <f>IF($F910="","",IFERROR(INDEX('CAT_CENTROS_COSTO'!$G$4:$G$28,MATCH($F910,'CAT_CENTROS_COSTO'!$A$4:$A$28,0)),"(sin catálogo)"))</f>
        <v/>
      </c>
      <c r="AB910" s="24">
        <f>IF($G910="","",IFERROR(INDEX('CAT_PUESTOS'!$B$4:$B$23,MATCH($G910,'CAT_PUESTOS'!$A$4:$A$23,0)),"(sin catálogo)"))</f>
        <v/>
      </c>
      <c r="AC910" s="24">
        <f>IF($H910="","",IFERROR(INDEX('CAT_ACTIVIDADES'!$B$4:$B$26,MATCH($H910,'CAT_ACTIVIDADES'!$A$4:$A$26,0)),"(sin catálogo)"))</f>
        <v/>
      </c>
      <c r="AD910" s="26">
        <f>IF($J910="","",TODAY()-$J910)</f>
        <v/>
      </c>
      <c r="AE910" s="26">
        <f>IF($J910="","",IF($J910&lt;=TODAY(),COUNTIFS(cal_fechas,"&gt;="&amp;$J910,cal_fechas,"&lt;"&amp;TODAY(),cal_habil,"sí"),-COUNTIFS(cal_fechas,"&gt;="&amp;TODAY(),cal_fechas,"&lt;"&amp;$J910,cal_habil,"sí")))</f>
        <v/>
      </c>
      <c r="AF910" s="24">
        <f>IF($AE910="","",IF($AE910&lt;0,"FUTURO",IF($AE910&gt;p_dias_backlog_max,"BACKLOG","MES CORRIENTE")))</f>
        <v/>
      </c>
      <c r="AG910" s="24">
        <f>IF($AE910="",FALSE,AND($AE910&gt;p_dias_backlog_min,$AE910&lt;=p_dias_backlog_max))</f>
        <v/>
      </c>
      <c r="AH910" s="4" t="n"/>
      <c r="AI910" s="24">
        <f>IF($AH910="","",IF((IFERROR(INDEX('ASIGNACIONES'!$J$4:$J$451,MATCH($O910&amp;"|"&amp;$S910&amp;"|"&amp;$AH910,'ASIGNACIONES'!$N$4:$N$451,0)),""))=0,"",IFERROR(INDEX('ASIGNACIONES'!$J$4:$J$451,MATCH($O910&amp;"|"&amp;$S910&amp;"|"&amp;$AH910,'ASIGNACIONES'!$N$4:$N$451,0)),"")))</f>
        <v/>
      </c>
      <c r="AJ910" s="42">
        <f>IF($AH910="","",SUMIFS('ORDENES'!$M$4:$M$1203,'ORDENES'!$AH$4:$AH$1203,$AH910,'ORDENES'!$O$4:$O$1203,$O910,'ORDENES'!$S$4:$S$1203,$S910))</f>
        <v/>
      </c>
      <c r="AK910" s="42">
        <f>IF($AJ910="","",p_factor_productividad*IFERROR(INDEX('ASIGNACIONES'!$M$4:$M$451,MATCH($O910&amp;"|"&amp;$S910&amp;"|"&amp;$AH910,'ASIGNACIONES'!$N$4:$N$451,0)),0)-$AJ910)</f>
        <v/>
      </c>
      <c r="AL910" s="32">
        <f>IF($A910="","",IFERROR(INDEX('2_IMPORTAR_EJECUCION'!$F$9:$F$1208,MATCH($AU910,'2_IMPORTAR_EJECUCION'!$J$9:$J$1208,0)),0))</f>
        <v/>
      </c>
      <c r="AM910" s="32">
        <f>IF($A910="","",MAX(0,IFERROR(INDEX('2_IMPORTAR_EJECUCION'!$H$9:$H$1208,MATCH($AU910,'2_IMPORTAR_EJECUCION'!$J$9:$J$1208,0)),0)-$AL910))</f>
        <v/>
      </c>
      <c r="AN910" s="32">
        <f>IF($A910="","",$AL910+$AM910)</f>
        <v/>
      </c>
      <c r="AO910" s="24">
        <f>IF($A910="","",IF(OR((IFERROR(INDEX('CAT_ACTIVIDADES'!$D$4:$D$26,MATCH($H910,'CAT_ACTIVIDADES'!$A$4:$A$26,0)),""))=0,(IFERROR(INDEX('CAT_ACTIVIDADES'!$D$4:$D$26,MATCH($H910,'CAT_ACTIVIDADES'!$A$4:$A$26,0)),""))=""),"SIN CLASIFICAR",IFERROR(INDEX('CAT_ACTIVIDADES'!$D$4:$D$26,MATCH($H910,'CAT_ACTIVIDADES'!$A$4:$A$26,0)),"")))</f>
        <v/>
      </c>
      <c r="AP910" s="4" t="n"/>
      <c r="AQ910" s="4" t="n"/>
      <c r="AR910" s="4" t="n"/>
      <c r="AS910" s="24">
        <f>IF($AR910="","",HYPERLINK(p_ruta_base_checklists&amp;$AR910,"abrir"))</f>
        <v/>
      </c>
      <c r="AT910" s="4" t="n"/>
      <c r="AU910" s="24">
        <f>IF($A910="","",$A910&amp;IF($B910="","0010",$B910))</f>
        <v/>
      </c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41" t="n"/>
      <c r="K911" s="5" t="n"/>
      <c r="L911" s="18" t="n"/>
      <c r="M911" s="24">
        <f>IF($A911="","",IFERROR(INDEX('AJUSTES'!$B$4:$B$303,MATCH($AU911,'AJUSTES'!$A$4:$A$303,0)),IF($K911="","",$K911)))</f>
        <v/>
      </c>
      <c r="N911" s="24">
        <f>IF($A911="","",IFERROR(INDEX('CAT_ESTADOS_ERP'!$B$4:$B$22,MATCH(IFERROR(INDEX('2_IMPORTAR_EJECUCION'!$C$9:$C$1208,MATCH($AU911,'2_IMPORTAR_EJECUCION'!$J$9:$J$1208,0)),""),'CAT_ESTADOS_ERP'!$A$4:$A$22,0)),"Pendiente"))</f>
        <v/>
      </c>
      <c r="O911" s="24">
        <f>IF($J911="","",YEAR($J911+4-WEEKDAY($J911,2))&amp;"-S"&amp;TEXT(_xlfn.ISOWEEKNUM($J911),"00"))</f>
        <v/>
      </c>
      <c r="P911" s="24">
        <f>IF($J911="","",YEAR($J911))</f>
        <v/>
      </c>
      <c r="Q911" s="24">
        <f>IF($J911="","",MONTH($J911))</f>
        <v/>
      </c>
      <c r="R911" s="24">
        <f>IF($J911="","",$P911&amp;"-"&amp;TEXT($Q911,"00"))</f>
        <v/>
      </c>
      <c r="S911" s="24">
        <f>IF($J911="","",INDEX(lista_dias,WEEKDAY($J911,2)))</f>
        <v/>
      </c>
      <c r="T911" s="24">
        <f>IF($J911="","",IFERROR(INDEX('CALENDARIO'!$C$15:$C$214,MATCH(TEXT($J911,"yyyy-mm-dd")&amp;"|"&amp;$Y911&amp;"|"&amp;$Z911,'CALENDARIO'!$G$15:$G$214,0)),IFERROR(INDEX('CALENDARIO'!$C$15:$C$214,MATCH(TEXT($J911,"yyyy-mm-dd")&amp;"|"&amp;$Y911&amp;"|",'CALENDARIO'!$G$15:$G$214,0)),IFERROR(INDEX('CALENDARIO'!$C$15:$C$214,MATCH(TEXT($J911,"yyyy-mm-dd")&amp;"||",'CALENDARIO'!$G$15:$G$214,0)),INDEX(patronHabil,WEEKDAY($J911,2))))))</f>
        <v/>
      </c>
      <c r="U911" s="24">
        <f>IF($I911="","",IFERROR(INDEX('CAT_TIPOS_OT'!$C$4:$C$23,MATCH($I911,'CAT_TIPOS_OT'!$A$4:$A$23,0)),"sin_clasificar"))</f>
        <v/>
      </c>
      <c r="V911" s="24">
        <f>IF($I911="","",IF(IFERROR(INDEX('CAT_TIPOS_OT'!$D$4:$D$23,MATCH($I911,'CAT_TIPOS_OT'!$A$4:$A$23,0)),"SIN CLASIFICAR")="","SIN CLASIFICAR",IFERROR(INDEX('CAT_TIPOS_OT'!$D$4:$D$23,MATCH($I911,'CAT_TIPOS_OT'!$A$4:$A$23,0)),"SIN CLASIFICAR")))</f>
        <v/>
      </c>
      <c r="W911" s="24">
        <f>IF($H911="","",IF(IFERROR(INDEX('CAT_ACTIVIDADES'!$F$4:$F$26,MATCH($H911,'CAT_ACTIVIDADES'!$A$4:$A$26,0)),"")=0,"",IFERROR(INDEX('CAT_ACTIVIDADES'!$F$4:$F$26,MATCH($H911,'CAT_ACTIVIDADES'!$A$4:$A$26,0)),"")))</f>
        <v/>
      </c>
      <c r="X911" s="24">
        <f>IF($F911="","",IFERROR(INDEX('CAT_CENTROS_COSTO'!$F$4:$F$28,MATCH($F911,'CAT_CENTROS_COSTO'!$A$4:$A$28,0)),"(sin catálogo)"))</f>
        <v/>
      </c>
      <c r="Y911" s="24">
        <f>IF($F911="","",IFERROR(INDEX('CAT_CENTROS_COSTO'!$D$4:$D$28,MATCH($F911,'CAT_CENTROS_COSTO'!$A$4:$A$28,0)),"(sin catálogo)"))</f>
        <v/>
      </c>
      <c r="Z911" s="24">
        <f>IF($F911="","",IF((IFERROR(INDEX('CAT_CENTROS_COSTO'!$E$4:$E$28,MATCH($F911,'CAT_CENTROS_COSTO'!$A$4:$A$28,0)),""))&lt;&gt;"",IFERROR(INDEX('CAT_CENTROS_COSTO'!$E$4:$E$28,MATCH($F911,'CAT_CENTROS_COSTO'!$A$4:$A$28,0)),""),$Y911))</f>
        <v/>
      </c>
      <c r="AA911" s="24">
        <f>IF($F911="","",IFERROR(INDEX('CAT_CENTROS_COSTO'!$G$4:$G$28,MATCH($F911,'CAT_CENTROS_COSTO'!$A$4:$A$28,0)),"(sin catálogo)"))</f>
        <v/>
      </c>
      <c r="AB911" s="24">
        <f>IF($G911="","",IFERROR(INDEX('CAT_PUESTOS'!$B$4:$B$23,MATCH($G911,'CAT_PUESTOS'!$A$4:$A$23,0)),"(sin catálogo)"))</f>
        <v/>
      </c>
      <c r="AC911" s="24">
        <f>IF($H911="","",IFERROR(INDEX('CAT_ACTIVIDADES'!$B$4:$B$26,MATCH($H911,'CAT_ACTIVIDADES'!$A$4:$A$26,0)),"(sin catálogo)"))</f>
        <v/>
      </c>
      <c r="AD911" s="26">
        <f>IF($J911="","",TODAY()-$J911)</f>
        <v/>
      </c>
      <c r="AE911" s="26">
        <f>IF($J911="","",IF($J911&lt;=TODAY(),COUNTIFS(cal_fechas,"&gt;="&amp;$J911,cal_fechas,"&lt;"&amp;TODAY(),cal_habil,"sí"),-COUNTIFS(cal_fechas,"&gt;="&amp;TODAY(),cal_fechas,"&lt;"&amp;$J911,cal_habil,"sí")))</f>
        <v/>
      </c>
      <c r="AF911" s="24">
        <f>IF($AE911="","",IF($AE911&lt;0,"FUTURO",IF($AE911&gt;p_dias_backlog_max,"BACKLOG","MES CORRIENTE")))</f>
        <v/>
      </c>
      <c r="AG911" s="24">
        <f>IF($AE911="",FALSE,AND($AE911&gt;p_dias_backlog_min,$AE911&lt;=p_dias_backlog_max))</f>
        <v/>
      </c>
      <c r="AH911" s="4" t="n"/>
      <c r="AI911" s="24">
        <f>IF($AH911="","",IF((IFERROR(INDEX('ASIGNACIONES'!$J$4:$J$451,MATCH($O911&amp;"|"&amp;$S911&amp;"|"&amp;$AH911,'ASIGNACIONES'!$N$4:$N$451,0)),""))=0,"",IFERROR(INDEX('ASIGNACIONES'!$J$4:$J$451,MATCH($O911&amp;"|"&amp;$S911&amp;"|"&amp;$AH911,'ASIGNACIONES'!$N$4:$N$451,0)),"")))</f>
        <v/>
      </c>
      <c r="AJ911" s="42">
        <f>IF($AH911="","",SUMIFS('ORDENES'!$M$4:$M$1203,'ORDENES'!$AH$4:$AH$1203,$AH911,'ORDENES'!$O$4:$O$1203,$O911,'ORDENES'!$S$4:$S$1203,$S911))</f>
        <v/>
      </c>
      <c r="AK911" s="42">
        <f>IF($AJ911="","",p_factor_productividad*IFERROR(INDEX('ASIGNACIONES'!$M$4:$M$451,MATCH($O911&amp;"|"&amp;$S911&amp;"|"&amp;$AH911,'ASIGNACIONES'!$N$4:$N$451,0)),0)-$AJ911)</f>
        <v/>
      </c>
      <c r="AL911" s="32">
        <f>IF($A911="","",IFERROR(INDEX('2_IMPORTAR_EJECUCION'!$F$9:$F$1208,MATCH($AU911,'2_IMPORTAR_EJECUCION'!$J$9:$J$1208,0)),0))</f>
        <v/>
      </c>
      <c r="AM911" s="32">
        <f>IF($A911="","",MAX(0,IFERROR(INDEX('2_IMPORTAR_EJECUCION'!$H$9:$H$1208,MATCH($AU911,'2_IMPORTAR_EJECUCION'!$J$9:$J$1208,0)),0)-$AL911))</f>
        <v/>
      </c>
      <c r="AN911" s="32">
        <f>IF($A911="","",$AL911+$AM911)</f>
        <v/>
      </c>
      <c r="AO911" s="24">
        <f>IF($A911="","",IF(OR((IFERROR(INDEX('CAT_ACTIVIDADES'!$D$4:$D$26,MATCH($H911,'CAT_ACTIVIDADES'!$A$4:$A$26,0)),""))=0,(IFERROR(INDEX('CAT_ACTIVIDADES'!$D$4:$D$26,MATCH($H911,'CAT_ACTIVIDADES'!$A$4:$A$26,0)),""))=""),"SIN CLASIFICAR",IFERROR(INDEX('CAT_ACTIVIDADES'!$D$4:$D$26,MATCH($H911,'CAT_ACTIVIDADES'!$A$4:$A$26,0)),"")))</f>
        <v/>
      </c>
      <c r="AP911" s="4" t="n"/>
      <c r="AQ911" s="4" t="n"/>
      <c r="AR911" s="4" t="n"/>
      <c r="AS911" s="24">
        <f>IF($AR911="","",HYPERLINK(p_ruta_base_checklists&amp;$AR911,"abrir"))</f>
        <v/>
      </c>
      <c r="AT911" s="4" t="n"/>
      <c r="AU911" s="24">
        <f>IF($A911="","",$A911&amp;IF($B911="","0010",$B911))</f>
        <v/>
      </c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41" t="n"/>
      <c r="K912" s="5" t="n"/>
      <c r="L912" s="18" t="n"/>
      <c r="M912" s="24">
        <f>IF($A912="","",IFERROR(INDEX('AJUSTES'!$B$4:$B$303,MATCH($AU912,'AJUSTES'!$A$4:$A$303,0)),IF($K912="","",$K912)))</f>
        <v/>
      </c>
      <c r="N912" s="24">
        <f>IF($A912="","",IFERROR(INDEX('CAT_ESTADOS_ERP'!$B$4:$B$22,MATCH(IFERROR(INDEX('2_IMPORTAR_EJECUCION'!$C$9:$C$1208,MATCH($AU912,'2_IMPORTAR_EJECUCION'!$J$9:$J$1208,0)),""),'CAT_ESTADOS_ERP'!$A$4:$A$22,0)),"Pendiente"))</f>
        <v/>
      </c>
      <c r="O912" s="24">
        <f>IF($J912="","",YEAR($J912+4-WEEKDAY($J912,2))&amp;"-S"&amp;TEXT(_xlfn.ISOWEEKNUM($J912),"00"))</f>
        <v/>
      </c>
      <c r="P912" s="24">
        <f>IF($J912="","",YEAR($J912))</f>
        <v/>
      </c>
      <c r="Q912" s="24">
        <f>IF($J912="","",MONTH($J912))</f>
        <v/>
      </c>
      <c r="R912" s="24">
        <f>IF($J912="","",$P912&amp;"-"&amp;TEXT($Q912,"00"))</f>
        <v/>
      </c>
      <c r="S912" s="24">
        <f>IF($J912="","",INDEX(lista_dias,WEEKDAY($J912,2)))</f>
        <v/>
      </c>
      <c r="T912" s="24">
        <f>IF($J912="","",IFERROR(INDEX('CALENDARIO'!$C$15:$C$214,MATCH(TEXT($J912,"yyyy-mm-dd")&amp;"|"&amp;$Y912&amp;"|"&amp;$Z912,'CALENDARIO'!$G$15:$G$214,0)),IFERROR(INDEX('CALENDARIO'!$C$15:$C$214,MATCH(TEXT($J912,"yyyy-mm-dd")&amp;"|"&amp;$Y912&amp;"|",'CALENDARIO'!$G$15:$G$214,0)),IFERROR(INDEX('CALENDARIO'!$C$15:$C$214,MATCH(TEXT($J912,"yyyy-mm-dd")&amp;"||",'CALENDARIO'!$G$15:$G$214,0)),INDEX(patronHabil,WEEKDAY($J912,2))))))</f>
        <v/>
      </c>
      <c r="U912" s="24">
        <f>IF($I912="","",IFERROR(INDEX('CAT_TIPOS_OT'!$C$4:$C$23,MATCH($I912,'CAT_TIPOS_OT'!$A$4:$A$23,0)),"sin_clasificar"))</f>
        <v/>
      </c>
      <c r="V912" s="24">
        <f>IF($I912="","",IF(IFERROR(INDEX('CAT_TIPOS_OT'!$D$4:$D$23,MATCH($I912,'CAT_TIPOS_OT'!$A$4:$A$23,0)),"SIN CLASIFICAR")="","SIN CLASIFICAR",IFERROR(INDEX('CAT_TIPOS_OT'!$D$4:$D$23,MATCH($I912,'CAT_TIPOS_OT'!$A$4:$A$23,0)),"SIN CLASIFICAR")))</f>
        <v/>
      </c>
      <c r="W912" s="24">
        <f>IF($H912="","",IF(IFERROR(INDEX('CAT_ACTIVIDADES'!$F$4:$F$26,MATCH($H912,'CAT_ACTIVIDADES'!$A$4:$A$26,0)),"")=0,"",IFERROR(INDEX('CAT_ACTIVIDADES'!$F$4:$F$26,MATCH($H912,'CAT_ACTIVIDADES'!$A$4:$A$26,0)),"")))</f>
        <v/>
      </c>
      <c r="X912" s="24">
        <f>IF($F912="","",IFERROR(INDEX('CAT_CENTROS_COSTO'!$F$4:$F$28,MATCH($F912,'CAT_CENTROS_COSTO'!$A$4:$A$28,0)),"(sin catálogo)"))</f>
        <v/>
      </c>
      <c r="Y912" s="24">
        <f>IF($F912="","",IFERROR(INDEX('CAT_CENTROS_COSTO'!$D$4:$D$28,MATCH($F912,'CAT_CENTROS_COSTO'!$A$4:$A$28,0)),"(sin catálogo)"))</f>
        <v/>
      </c>
      <c r="Z912" s="24">
        <f>IF($F912="","",IF((IFERROR(INDEX('CAT_CENTROS_COSTO'!$E$4:$E$28,MATCH($F912,'CAT_CENTROS_COSTO'!$A$4:$A$28,0)),""))&lt;&gt;"",IFERROR(INDEX('CAT_CENTROS_COSTO'!$E$4:$E$28,MATCH($F912,'CAT_CENTROS_COSTO'!$A$4:$A$28,0)),""),$Y912))</f>
        <v/>
      </c>
      <c r="AA912" s="24">
        <f>IF($F912="","",IFERROR(INDEX('CAT_CENTROS_COSTO'!$G$4:$G$28,MATCH($F912,'CAT_CENTROS_COSTO'!$A$4:$A$28,0)),"(sin catálogo)"))</f>
        <v/>
      </c>
      <c r="AB912" s="24">
        <f>IF($G912="","",IFERROR(INDEX('CAT_PUESTOS'!$B$4:$B$23,MATCH($G912,'CAT_PUESTOS'!$A$4:$A$23,0)),"(sin catálogo)"))</f>
        <v/>
      </c>
      <c r="AC912" s="24">
        <f>IF($H912="","",IFERROR(INDEX('CAT_ACTIVIDADES'!$B$4:$B$26,MATCH($H912,'CAT_ACTIVIDADES'!$A$4:$A$26,0)),"(sin catálogo)"))</f>
        <v/>
      </c>
      <c r="AD912" s="26">
        <f>IF($J912="","",TODAY()-$J912)</f>
        <v/>
      </c>
      <c r="AE912" s="26">
        <f>IF($J912="","",IF($J912&lt;=TODAY(),COUNTIFS(cal_fechas,"&gt;="&amp;$J912,cal_fechas,"&lt;"&amp;TODAY(),cal_habil,"sí"),-COUNTIFS(cal_fechas,"&gt;="&amp;TODAY(),cal_fechas,"&lt;"&amp;$J912,cal_habil,"sí")))</f>
        <v/>
      </c>
      <c r="AF912" s="24">
        <f>IF($AE912="","",IF($AE912&lt;0,"FUTURO",IF($AE912&gt;p_dias_backlog_max,"BACKLOG","MES CORRIENTE")))</f>
        <v/>
      </c>
      <c r="AG912" s="24">
        <f>IF($AE912="",FALSE,AND($AE912&gt;p_dias_backlog_min,$AE912&lt;=p_dias_backlog_max))</f>
        <v/>
      </c>
      <c r="AH912" s="4" t="n"/>
      <c r="AI912" s="24">
        <f>IF($AH912="","",IF((IFERROR(INDEX('ASIGNACIONES'!$J$4:$J$451,MATCH($O912&amp;"|"&amp;$S912&amp;"|"&amp;$AH912,'ASIGNACIONES'!$N$4:$N$451,0)),""))=0,"",IFERROR(INDEX('ASIGNACIONES'!$J$4:$J$451,MATCH($O912&amp;"|"&amp;$S912&amp;"|"&amp;$AH912,'ASIGNACIONES'!$N$4:$N$451,0)),"")))</f>
        <v/>
      </c>
      <c r="AJ912" s="42">
        <f>IF($AH912="","",SUMIFS('ORDENES'!$M$4:$M$1203,'ORDENES'!$AH$4:$AH$1203,$AH912,'ORDENES'!$O$4:$O$1203,$O912,'ORDENES'!$S$4:$S$1203,$S912))</f>
        <v/>
      </c>
      <c r="AK912" s="42">
        <f>IF($AJ912="","",p_factor_productividad*IFERROR(INDEX('ASIGNACIONES'!$M$4:$M$451,MATCH($O912&amp;"|"&amp;$S912&amp;"|"&amp;$AH912,'ASIGNACIONES'!$N$4:$N$451,0)),0)-$AJ912)</f>
        <v/>
      </c>
      <c r="AL912" s="32">
        <f>IF($A912="","",IFERROR(INDEX('2_IMPORTAR_EJECUCION'!$F$9:$F$1208,MATCH($AU912,'2_IMPORTAR_EJECUCION'!$J$9:$J$1208,0)),0))</f>
        <v/>
      </c>
      <c r="AM912" s="32">
        <f>IF($A912="","",MAX(0,IFERROR(INDEX('2_IMPORTAR_EJECUCION'!$H$9:$H$1208,MATCH($AU912,'2_IMPORTAR_EJECUCION'!$J$9:$J$1208,0)),0)-$AL912))</f>
        <v/>
      </c>
      <c r="AN912" s="32">
        <f>IF($A912="","",$AL912+$AM912)</f>
        <v/>
      </c>
      <c r="AO912" s="24">
        <f>IF($A912="","",IF(OR((IFERROR(INDEX('CAT_ACTIVIDADES'!$D$4:$D$26,MATCH($H912,'CAT_ACTIVIDADES'!$A$4:$A$26,0)),""))=0,(IFERROR(INDEX('CAT_ACTIVIDADES'!$D$4:$D$26,MATCH($H912,'CAT_ACTIVIDADES'!$A$4:$A$26,0)),""))=""),"SIN CLASIFICAR",IFERROR(INDEX('CAT_ACTIVIDADES'!$D$4:$D$26,MATCH($H912,'CAT_ACTIVIDADES'!$A$4:$A$26,0)),"")))</f>
        <v/>
      </c>
      <c r="AP912" s="4" t="n"/>
      <c r="AQ912" s="4" t="n"/>
      <c r="AR912" s="4" t="n"/>
      <c r="AS912" s="24">
        <f>IF($AR912="","",HYPERLINK(p_ruta_base_checklists&amp;$AR912,"abrir"))</f>
        <v/>
      </c>
      <c r="AT912" s="4" t="n"/>
      <c r="AU912" s="24">
        <f>IF($A912="","",$A912&amp;IF($B912="","0010",$B912))</f>
        <v/>
      </c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41" t="n"/>
      <c r="K913" s="5" t="n"/>
      <c r="L913" s="18" t="n"/>
      <c r="M913" s="24">
        <f>IF($A913="","",IFERROR(INDEX('AJUSTES'!$B$4:$B$303,MATCH($AU913,'AJUSTES'!$A$4:$A$303,0)),IF($K913="","",$K913)))</f>
        <v/>
      </c>
      <c r="N913" s="24">
        <f>IF($A913="","",IFERROR(INDEX('CAT_ESTADOS_ERP'!$B$4:$B$22,MATCH(IFERROR(INDEX('2_IMPORTAR_EJECUCION'!$C$9:$C$1208,MATCH($AU913,'2_IMPORTAR_EJECUCION'!$J$9:$J$1208,0)),""),'CAT_ESTADOS_ERP'!$A$4:$A$22,0)),"Pendiente"))</f>
        <v/>
      </c>
      <c r="O913" s="24">
        <f>IF($J913="","",YEAR($J913+4-WEEKDAY($J913,2))&amp;"-S"&amp;TEXT(_xlfn.ISOWEEKNUM($J913),"00"))</f>
        <v/>
      </c>
      <c r="P913" s="24">
        <f>IF($J913="","",YEAR($J913))</f>
        <v/>
      </c>
      <c r="Q913" s="24">
        <f>IF($J913="","",MONTH($J913))</f>
        <v/>
      </c>
      <c r="R913" s="24">
        <f>IF($J913="","",$P913&amp;"-"&amp;TEXT($Q913,"00"))</f>
        <v/>
      </c>
      <c r="S913" s="24">
        <f>IF($J913="","",INDEX(lista_dias,WEEKDAY($J913,2)))</f>
        <v/>
      </c>
      <c r="T913" s="24">
        <f>IF($J913="","",IFERROR(INDEX('CALENDARIO'!$C$15:$C$214,MATCH(TEXT($J913,"yyyy-mm-dd")&amp;"|"&amp;$Y913&amp;"|"&amp;$Z913,'CALENDARIO'!$G$15:$G$214,0)),IFERROR(INDEX('CALENDARIO'!$C$15:$C$214,MATCH(TEXT($J913,"yyyy-mm-dd")&amp;"|"&amp;$Y913&amp;"|",'CALENDARIO'!$G$15:$G$214,0)),IFERROR(INDEX('CALENDARIO'!$C$15:$C$214,MATCH(TEXT($J913,"yyyy-mm-dd")&amp;"||",'CALENDARIO'!$G$15:$G$214,0)),INDEX(patronHabil,WEEKDAY($J913,2))))))</f>
        <v/>
      </c>
      <c r="U913" s="24">
        <f>IF($I913="","",IFERROR(INDEX('CAT_TIPOS_OT'!$C$4:$C$23,MATCH($I913,'CAT_TIPOS_OT'!$A$4:$A$23,0)),"sin_clasificar"))</f>
        <v/>
      </c>
      <c r="V913" s="24">
        <f>IF($I913="","",IF(IFERROR(INDEX('CAT_TIPOS_OT'!$D$4:$D$23,MATCH($I913,'CAT_TIPOS_OT'!$A$4:$A$23,0)),"SIN CLASIFICAR")="","SIN CLASIFICAR",IFERROR(INDEX('CAT_TIPOS_OT'!$D$4:$D$23,MATCH($I913,'CAT_TIPOS_OT'!$A$4:$A$23,0)),"SIN CLASIFICAR")))</f>
        <v/>
      </c>
      <c r="W913" s="24">
        <f>IF($H913="","",IF(IFERROR(INDEX('CAT_ACTIVIDADES'!$F$4:$F$26,MATCH($H913,'CAT_ACTIVIDADES'!$A$4:$A$26,0)),"")=0,"",IFERROR(INDEX('CAT_ACTIVIDADES'!$F$4:$F$26,MATCH($H913,'CAT_ACTIVIDADES'!$A$4:$A$26,0)),"")))</f>
        <v/>
      </c>
      <c r="X913" s="24">
        <f>IF($F913="","",IFERROR(INDEX('CAT_CENTROS_COSTO'!$F$4:$F$28,MATCH($F913,'CAT_CENTROS_COSTO'!$A$4:$A$28,0)),"(sin catálogo)"))</f>
        <v/>
      </c>
      <c r="Y913" s="24">
        <f>IF($F913="","",IFERROR(INDEX('CAT_CENTROS_COSTO'!$D$4:$D$28,MATCH($F913,'CAT_CENTROS_COSTO'!$A$4:$A$28,0)),"(sin catálogo)"))</f>
        <v/>
      </c>
      <c r="Z913" s="24">
        <f>IF($F913="","",IF((IFERROR(INDEX('CAT_CENTROS_COSTO'!$E$4:$E$28,MATCH($F913,'CAT_CENTROS_COSTO'!$A$4:$A$28,0)),""))&lt;&gt;"",IFERROR(INDEX('CAT_CENTROS_COSTO'!$E$4:$E$28,MATCH($F913,'CAT_CENTROS_COSTO'!$A$4:$A$28,0)),""),$Y913))</f>
        <v/>
      </c>
      <c r="AA913" s="24">
        <f>IF($F913="","",IFERROR(INDEX('CAT_CENTROS_COSTO'!$G$4:$G$28,MATCH($F913,'CAT_CENTROS_COSTO'!$A$4:$A$28,0)),"(sin catálogo)"))</f>
        <v/>
      </c>
      <c r="AB913" s="24">
        <f>IF($G913="","",IFERROR(INDEX('CAT_PUESTOS'!$B$4:$B$23,MATCH($G913,'CAT_PUESTOS'!$A$4:$A$23,0)),"(sin catálogo)"))</f>
        <v/>
      </c>
      <c r="AC913" s="24">
        <f>IF($H913="","",IFERROR(INDEX('CAT_ACTIVIDADES'!$B$4:$B$26,MATCH($H913,'CAT_ACTIVIDADES'!$A$4:$A$26,0)),"(sin catálogo)"))</f>
        <v/>
      </c>
      <c r="AD913" s="26">
        <f>IF($J913="","",TODAY()-$J913)</f>
        <v/>
      </c>
      <c r="AE913" s="26">
        <f>IF($J913="","",IF($J913&lt;=TODAY(),COUNTIFS(cal_fechas,"&gt;="&amp;$J913,cal_fechas,"&lt;"&amp;TODAY(),cal_habil,"sí"),-COUNTIFS(cal_fechas,"&gt;="&amp;TODAY(),cal_fechas,"&lt;"&amp;$J913,cal_habil,"sí")))</f>
        <v/>
      </c>
      <c r="AF913" s="24">
        <f>IF($AE913="","",IF($AE913&lt;0,"FUTURO",IF($AE913&gt;p_dias_backlog_max,"BACKLOG","MES CORRIENTE")))</f>
        <v/>
      </c>
      <c r="AG913" s="24">
        <f>IF($AE913="",FALSE,AND($AE913&gt;p_dias_backlog_min,$AE913&lt;=p_dias_backlog_max))</f>
        <v/>
      </c>
      <c r="AH913" s="4" t="n"/>
      <c r="AI913" s="24">
        <f>IF($AH913="","",IF((IFERROR(INDEX('ASIGNACIONES'!$J$4:$J$451,MATCH($O913&amp;"|"&amp;$S913&amp;"|"&amp;$AH913,'ASIGNACIONES'!$N$4:$N$451,0)),""))=0,"",IFERROR(INDEX('ASIGNACIONES'!$J$4:$J$451,MATCH($O913&amp;"|"&amp;$S913&amp;"|"&amp;$AH913,'ASIGNACIONES'!$N$4:$N$451,0)),"")))</f>
        <v/>
      </c>
      <c r="AJ913" s="42">
        <f>IF($AH913="","",SUMIFS('ORDENES'!$M$4:$M$1203,'ORDENES'!$AH$4:$AH$1203,$AH913,'ORDENES'!$O$4:$O$1203,$O913,'ORDENES'!$S$4:$S$1203,$S913))</f>
        <v/>
      </c>
      <c r="AK913" s="42">
        <f>IF($AJ913="","",p_factor_productividad*IFERROR(INDEX('ASIGNACIONES'!$M$4:$M$451,MATCH($O913&amp;"|"&amp;$S913&amp;"|"&amp;$AH913,'ASIGNACIONES'!$N$4:$N$451,0)),0)-$AJ913)</f>
        <v/>
      </c>
      <c r="AL913" s="32">
        <f>IF($A913="","",IFERROR(INDEX('2_IMPORTAR_EJECUCION'!$F$9:$F$1208,MATCH($AU913,'2_IMPORTAR_EJECUCION'!$J$9:$J$1208,0)),0))</f>
        <v/>
      </c>
      <c r="AM913" s="32">
        <f>IF($A913="","",MAX(0,IFERROR(INDEX('2_IMPORTAR_EJECUCION'!$H$9:$H$1208,MATCH($AU913,'2_IMPORTAR_EJECUCION'!$J$9:$J$1208,0)),0)-$AL913))</f>
        <v/>
      </c>
      <c r="AN913" s="32">
        <f>IF($A913="","",$AL913+$AM913)</f>
        <v/>
      </c>
      <c r="AO913" s="24">
        <f>IF($A913="","",IF(OR((IFERROR(INDEX('CAT_ACTIVIDADES'!$D$4:$D$26,MATCH($H913,'CAT_ACTIVIDADES'!$A$4:$A$26,0)),""))=0,(IFERROR(INDEX('CAT_ACTIVIDADES'!$D$4:$D$26,MATCH($H913,'CAT_ACTIVIDADES'!$A$4:$A$26,0)),""))=""),"SIN CLASIFICAR",IFERROR(INDEX('CAT_ACTIVIDADES'!$D$4:$D$26,MATCH($H913,'CAT_ACTIVIDADES'!$A$4:$A$26,0)),"")))</f>
        <v/>
      </c>
      <c r="AP913" s="4" t="n"/>
      <c r="AQ913" s="4" t="n"/>
      <c r="AR913" s="4" t="n"/>
      <c r="AS913" s="24">
        <f>IF($AR913="","",HYPERLINK(p_ruta_base_checklists&amp;$AR913,"abrir"))</f>
        <v/>
      </c>
      <c r="AT913" s="4" t="n"/>
      <c r="AU913" s="24">
        <f>IF($A913="","",$A913&amp;IF($B913="","0010",$B913))</f>
        <v/>
      </c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41" t="n"/>
      <c r="K914" s="5" t="n"/>
      <c r="L914" s="18" t="n"/>
      <c r="M914" s="24">
        <f>IF($A914="","",IFERROR(INDEX('AJUSTES'!$B$4:$B$303,MATCH($AU914,'AJUSTES'!$A$4:$A$303,0)),IF($K914="","",$K914)))</f>
        <v/>
      </c>
      <c r="N914" s="24">
        <f>IF($A914="","",IFERROR(INDEX('CAT_ESTADOS_ERP'!$B$4:$B$22,MATCH(IFERROR(INDEX('2_IMPORTAR_EJECUCION'!$C$9:$C$1208,MATCH($AU914,'2_IMPORTAR_EJECUCION'!$J$9:$J$1208,0)),""),'CAT_ESTADOS_ERP'!$A$4:$A$22,0)),"Pendiente"))</f>
        <v/>
      </c>
      <c r="O914" s="24">
        <f>IF($J914="","",YEAR($J914+4-WEEKDAY($J914,2))&amp;"-S"&amp;TEXT(_xlfn.ISOWEEKNUM($J914),"00"))</f>
        <v/>
      </c>
      <c r="P914" s="24">
        <f>IF($J914="","",YEAR($J914))</f>
        <v/>
      </c>
      <c r="Q914" s="24">
        <f>IF($J914="","",MONTH($J914))</f>
        <v/>
      </c>
      <c r="R914" s="24">
        <f>IF($J914="","",$P914&amp;"-"&amp;TEXT($Q914,"00"))</f>
        <v/>
      </c>
      <c r="S914" s="24">
        <f>IF($J914="","",INDEX(lista_dias,WEEKDAY($J914,2)))</f>
        <v/>
      </c>
      <c r="T914" s="24">
        <f>IF($J914="","",IFERROR(INDEX('CALENDARIO'!$C$15:$C$214,MATCH(TEXT($J914,"yyyy-mm-dd")&amp;"|"&amp;$Y914&amp;"|"&amp;$Z914,'CALENDARIO'!$G$15:$G$214,0)),IFERROR(INDEX('CALENDARIO'!$C$15:$C$214,MATCH(TEXT($J914,"yyyy-mm-dd")&amp;"|"&amp;$Y914&amp;"|",'CALENDARIO'!$G$15:$G$214,0)),IFERROR(INDEX('CALENDARIO'!$C$15:$C$214,MATCH(TEXT($J914,"yyyy-mm-dd")&amp;"||",'CALENDARIO'!$G$15:$G$214,0)),INDEX(patronHabil,WEEKDAY($J914,2))))))</f>
        <v/>
      </c>
      <c r="U914" s="24">
        <f>IF($I914="","",IFERROR(INDEX('CAT_TIPOS_OT'!$C$4:$C$23,MATCH($I914,'CAT_TIPOS_OT'!$A$4:$A$23,0)),"sin_clasificar"))</f>
        <v/>
      </c>
      <c r="V914" s="24">
        <f>IF($I914="","",IF(IFERROR(INDEX('CAT_TIPOS_OT'!$D$4:$D$23,MATCH($I914,'CAT_TIPOS_OT'!$A$4:$A$23,0)),"SIN CLASIFICAR")="","SIN CLASIFICAR",IFERROR(INDEX('CAT_TIPOS_OT'!$D$4:$D$23,MATCH($I914,'CAT_TIPOS_OT'!$A$4:$A$23,0)),"SIN CLASIFICAR")))</f>
        <v/>
      </c>
      <c r="W914" s="24">
        <f>IF($H914="","",IF(IFERROR(INDEX('CAT_ACTIVIDADES'!$F$4:$F$26,MATCH($H914,'CAT_ACTIVIDADES'!$A$4:$A$26,0)),"")=0,"",IFERROR(INDEX('CAT_ACTIVIDADES'!$F$4:$F$26,MATCH($H914,'CAT_ACTIVIDADES'!$A$4:$A$26,0)),"")))</f>
        <v/>
      </c>
      <c r="X914" s="24">
        <f>IF($F914="","",IFERROR(INDEX('CAT_CENTROS_COSTO'!$F$4:$F$28,MATCH($F914,'CAT_CENTROS_COSTO'!$A$4:$A$28,0)),"(sin catálogo)"))</f>
        <v/>
      </c>
      <c r="Y914" s="24">
        <f>IF($F914="","",IFERROR(INDEX('CAT_CENTROS_COSTO'!$D$4:$D$28,MATCH($F914,'CAT_CENTROS_COSTO'!$A$4:$A$28,0)),"(sin catálogo)"))</f>
        <v/>
      </c>
      <c r="Z914" s="24">
        <f>IF($F914="","",IF((IFERROR(INDEX('CAT_CENTROS_COSTO'!$E$4:$E$28,MATCH($F914,'CAT_CENTROS_COSTO'!$A$4:$A$28,0)),""))&lt;&gt;"",IFERROR(INDEX('CAT_CENTROS_COSTO'!$E$4:$E$28,MATCH($F914,'CAT_CENTROS_COSTO'!$A$4:$A$28,0)),""),$Y914))</f>
        <v/>
      </c>
      <c r="AA914" s="24">
        <f>IF($F914="","",IFERROR(INDEX('CAT_CENTROS_COSTO'!$G$4:$G$28,MATCH($F914,'CAT_CENTROS_COSTO'!$A$4:$A$28,0)),"(sin catálogo)"))</f>
        <v/>
      </c>
      <c r="AB914" s="24">
        <f>IF($G914="","",IFERROR(INDEX('CAT_PUESTOS'!$B$4:$B$23,MATCH($G914,'CAT_PUESTOS'!$A$4:$A$23,0)),"(sin catálogo)"))</f>
        <v/>
      </c>
      <c r="AC914" s="24">
        <f>IF($H914="","",IFERROR(INDEX('CAT_ACTIVIDADES'!$B$4:$B$26,MATCH($H914,'CAT_ACTIVIDADES'!$A$4:$A$26,0)),"(sin catálogo)"))</f>
        <v/>
      </c>
      <c r="AD914" s="26">
        <f>IF($J914="","",TODAY()-$J914)</f>
        <v/>
      </c>
      <c r="AE914" s="26">
        <f>IF($J914="","",IF($J914&lt;=TODAY(),COUNTIFS(cal_fechas,"&gt;="&amp;$J914,cal_fechas,"&lt;"&amp;TODAY(),cal_habil,"sí"),-COUNTIFS(cal_fechas,"&gt;="&amp;TODAY(),cal_fechas,"&lt;"&amp;$J914,cal_habil,"sí")))</f>
        <v/>
      </c>
      <c r="AF914" s="24">
        <f>IF($AE914="","",IF($AE914&lt;0,"FUTURO",IF($AE914&gt;p_dias_backlog_max,"BACKLOG","MES CORRIENTE")))</f>
        <v/>
      </c>
      <c r="AG914" s="24">
        <f>IF($AE914="",FALSE,AND($AE914&gt;p_dias_backlog_min,$AE914&lt;=p_dias_backlog_max))</f>
        <v/>
      </c>
      <c r="AH914" s="4" t="n"/>
      <c r="AI914" s="24">
        <f>IF($AH914="","",IF((IFERROR(INDEX('ASIGNACIONES'!$J$4:$J$451,MATCH($O914&amp;"|"&amp;$S914&amp;"|"&amp;$AH914,'ASIGNACIONES'!$N$4:$N$451,0)),""))=0,"",IFERROR(INDEX('ASIGNACIONES'!$J$4:$J$451,MATCH($O914&amp;"|"&amp;$S914&amp;"|"&amp;$AH914,'ASIGNACIONES'!$N$4:$N$451,0)),"")))</f>
        <v/>
      </c>
      <c r="AJ914" s="42">
        <f>IF($AH914="","",SUMIFS('ORDENES'!$M$4:$M$1203,'ORDENES'!$AH$4:$AH$1203,$AH914,'ORDENES'!$O$4:$O$1203,$O914,'ORDENES'!$S$4:$S$1203,$S914))</f>
        <v/>
      </c>
      <c r="AK914" s="42">
        <f>IF($AJ914="","",p_factor_productividad*IFERROR(INDEX('ASIGNACIONES'!$M$4:$M$451,MATCH($O914&amp;"|"&amp;$S914&amp;"|"&amp;$AH914,'ASIGNACIONES'!$N$4:$N$451,0)),0)-$AJ914)</f>
        <v/>
      </c>
      <c r="AL914" s="32">
        <f>IF($A914="","",IFERROR(INDEX('2_IMPORTAR_EJECUCION'!$F$9:$F$1208,MATCH($AU914,'2_IMPORTAR_EJECUCION'!$J$9:$J$1208,0)),0))</f>
        <v/>
      </c>
      <c r="AM914" s="32">
        <f>IF($A914="","",MAX(0,IFERROR(INDEX('2_IMPORTAR_EJECUCION'!$H$9:$H$1208,MATCH($AU914,'2_IMPORTAR_EJECUCION'!$J$9:$J$1208,0)),0)-$AL914))</f>
        <v/>
      </c>
      <c r="AN914" s="32">
        <f>IF($A914="","",$AL914+$AM914)</f>
        <v/>
      </c>
      <c r="AO914" s="24">
        <f>IF($A914="","",IF(OR((IFERROR(INDEX('CAT_ACTIVIDADES'!$D$4:$D$26,MATCH($H914,'CAT_ACTIVIDADES'!$A$4:$A$26,0)),""))=0,(IFERROR(INDEX('CAT_ACTIVIDADES'!$D$4:$D$26,MATCH($H914,'CAT_ACTIVIDADES'!$A$4:$A$26,0)),""))=""),"SIN CLASIFICAR",IFERROR(INDEX('CAT_ACTIVIDADES'!$D$4:$D$26,MATCH($H914,'CAT_ACTIVIDADES'!$A$4:$A$26,0)),"")))</f>
        <v/>
      </c>
      <c r="AP914" s="4" t="n"/>
      <c r="AQ914" s="4" t="n"/>
      <c r="AR914" s="4" t="n"/>
      <c r="AS914" s="24">
        <f>IF($AR914="","",HYPERLINK(p_ruta_base_checklists&amp;$AR914,"abrir"))</f>
        <v/>
      </c>
      <c r="AT914" s="4" t="n"/>
      <c r="AU914" s="24">
        <f>IF($A914="","",$A914&amp;IF($B914="","0010",$B914))</f>
        <v/>
      </c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41" t="n"/>
      <c r="K915" s="5" t="n"/>
      <c r="L915" s="18" t="n"/>
      <c r="M915" s="24">
        <f>IF($A915="","",IFERROR(INDEX('AJUSTES'!$B$4:$B$303,MATCH($AU915,'AJUSTES'!$A$4:$A$303,0)),IF($K915="","",$K915)))</f>
        <v/>
      </c>
      <c r="N915" s="24">
        <f>IF($A915="","",IFERROR(INDEX('CAT_ESTADOS_ERP'!$B$4:$B$22,MATCH(IFERROR(INDEX('2_IMPORTAR_EJECUCION'!$C$9:$C$1208,MATCH($AU915,'2_IMPORTAR_EJECUCION'!$J$9:$J$1208,0)),""),'CAT_ESTADOS_ERP'!$A$4:$A$22,0)),"Pendiente"))</f>
        <v/>
      </c>
      <c r="O915" s="24">
        <f>IF($J915="","",YEAR($J915+4-WEEKDAY($J915,2))&amp;"-S"&amp;TEXT(_xlfn.ISOWEEKNUM($J915),"00"))</f>
        <v/>
      </c>
      <c r="P915" s="24">
        <f>IF($J915="","",YEAR($J915))</f>
        <v/>
      </c>
      <c r="Q915" s="24">
        <f>IF($J915="","",MONTH($J915))</f>
        <v/>
      </c>
      <c r="R915" s="24">
        <f>IF($J915="","",$P915&amp;"-"&amp;TEXT($Q915,"00"))</f>
        <v/>
      </c>
      <c r="S915" s="24">
        <f>IF($J915="","",INDEX(lista_dias,WEEKDAY($J915,2)))</f>
        <v/>
      </c>
      <c r="T915" s="24">
        <f>IF($J915="","",IFERROR(INDEX('CALENDARIO'!$C$15:$C$214,MATCH(TEXT($J915,"yyyy-mm-dd")&amp;"|"&amp;$Y915&amp;"|"&amp;$Z915,'CALENDARIO'!$G$15:$G$214,0)),IFERROR(INDEX('CALENDARIO'!$C$15:$C$214,MATCH(TEXT($J915,"yyyy-mm-dd")&amp;"|"&amp;$Y915&amp;"|",'CALENDARIO'!$G$15:$G$214,0)),IFERROR(INDEX('CALENDARIO'!$C$15:$C$214,MATCH(TEXT($J915,"yyyy-mm-dd")&amp;"||",'CALENDARIO'!$G$15:$G$214,0)),INDEX(patronHabil,WEEKDAY($J915,2))))))</f>
        <v/>
      </c>
      <c r="U915" s="24">
        <f>IF($I915="","",IFERROR(INDEX('CAT_TIPOS_OT'!$C$4:$C$23,MATCH($I915,'CAT_TIPOS_OT'!$A$4:$A$23,0)),"sin_clasificar"))</f>
        <v/>
      </c>
      <c r="V915" s="24">
        <f>IF($I915="","",IF(IFERROR(INDEX('CAT_TIPOS_OT'!$D$4:$D$23,MATCH($I915,'CAT_TIPOS_OT'!$A$4:$A$23,0)),"SIN CLASIFICAR")="","SIN CLASIFICAR",IFERROR(INDEX('CAT_TIPOS_OT'!$D$4:$D$23,MATCH($I915,'CAT_TIPOS_OT'!$A$4:$A$23,0)),"SIN CLASIFICAR")))</f>
        <v/>
      </c>
      <c r="W915" s="24">
        <f>IF($H915="","",IF(IFERROR(INDEX('CAT_ACTIVIDADES'!$F$4:$F$26,MATCH($H915,'CAT_ACTIVIDADES'!$A$4:$A$26,0)),"")=0,"",IFERROR(INDEX('CAT_ACTIVIDADES'!$F$4:$F$26,MATCH($H915,'CAT_ACTIVIDADES'!$A$4:$A$26,0)),"")))</f>
        <v/>
      </c>
      <c r="X915" s="24">
        <f>IF($F915="","",IFERROR(INDEX('CAT_CENTROS_COSTO'!$F$4:$F$28,MATCH($F915,'CAT_CENTROS_COSTO'!$A$4:$A$28,0)),"(sin catálogo)"))</f>
        <v/>
      </c>
      <c r="Y915" s="24">
        <f>IF($F915="","",IFERROR(INDEX('CAT_CENTROS_COSTO'!$D$4:$D$28,MATCH($F915,'CAT_CENTROS_COSTO'!$A$4:$A$28,0)),"(sin catálogo)"))</f>
        <v/>
      </c>
      <c r="Z915" s="24">
        <f>IF($F915="","",IF((IFERROR(INDEX('CAT_CENTROS_COSTO'!$E$4:$E$28,MATCH($F915,'CAT_CENTROS_COSTO'!$A$4:$A$28,0)),""))&lt;&gt;"",IFERROR(INDEX('CAT_CENTROS_COSTO'!$E$4:$E$28,MATCH($F915,'CAT_CENTROS_COSTO'!$A$4:$A$28,0)),""),$Y915))</f>
        <v/>
      </c>
      <c r="AA915" s="24">
        <f>IF($F915="","",IFERROR(INDEX('CAT_CENTROS_COSTO'!$G$4:$G$28,MATCH($F915,'CAT_CENTROS_COSTO'!$A$4:$A$28,0)),"(sin catálogo)"))</f>
        <v/>
      </c>
      <c r="AB915" s="24">
        <f>IF($G915="","",IFERROR(INDEX('CAT_PUESTOS'!$B$4:$B$23,MATCH($G915,'CAT_PUESTOS'!$A$4:$A$23,0)),"(sin catálogo)"))</f>
        <v/>
      </c>
      <c r="AC915" s="24">
        <f>IF($H915="","",IFERROR(INDEX('CAT_ACTIVIDADES'!$B$4:$B$26,MATCH($H915,'CAT_ACTIVIDADES'!$A$4:$A$26,0)),"(sin catálogo)"))</f>
        <v/>
      </c>
      <c r="AD915" s="26">
        <f>IF($J915="","",TODAY()-$J915)</f>
        <v/>
      </c>
      <c r="AE915" s="26">
        <f>IF($J915="","",IF($J915&lt;=TODAY(),COUNTIFS(cal_fechas,"&gt;="&amp;$J915,cal_fechas,"&lt;"&amp;TODAY(),cal_habil,"sí"),-COUNTIFS(cal_fechas,"&gt;="&amp;TODAY(),cal_fechas,"&lt;"&amp;$J915,cal_habil,"sí")))</f>
        <v/>
      </c>
      <c r="AF915" s="24">
        <f>IF($AE915="","",IF($AE915&lt;0,"FUTURO",IF($AE915&gt;p_dias_backlog_max,"BACKLOG","MES CORRIENTE")))</f>
        <v/>
      </c>
      <c r="AG915" s="24">
        <f>IF($AE915="",FALSE,AND($AE915&gt;p_dias_backlog_min,$AE915&lt;=p_dias_backlog_max))</f>
        <v/>
      </c>
      <c r="AH915" s="4" t="n"/>
      <c r="AI915" s="24">
        <f>IF($AH915="","",IF((IFERROR(INDEX('ASIGNACIONES'!$J$4:$J$451,MATCH($O915&amp;"|"&amp;$S915&amp;"|"&amp;$AH915,'ASIGNACIONES'!$N$4:$N$451,0)),""))=0,"",IFERROR(INDEX('ASIGNACIONES'!$J$4:$J$451,MATCH($O915&amp;"|"&amp;$S915&amp;"|"&amp;$AH915,'ASIGNACIONES'!$N$4:$N$451,0)),"")))</f>
        <v/>
      </c>
      <c r="AJ915" s="42">
        <f>IF($AH915="","",SUMIFS('ORDENES'!$M$4:$M$1203,'ORDENES'!$AH$4:$AH$1203,$AH915,'ORDENES'!$O$4:$O$1203,$O915,'ORDENES'!$S$4:$S$1203,$S915))</f>
        <v/>
      </c>
      <c r="AK915" s="42">
        <f>IF($AJ915="","",p_factor_productividad*IFERROR(INDEX('ASIGNACIONES'!$M$4:$M$451,MATCH($O915&amp;"|"&amp;$S915&amp;"|"&amp;$AH915,'ASIGNACIONES'!$N$4:$N$451,0)),0)-$AJ915)</f>
        <v/>
      </c>
      <c r="AL915" s="32">
        <f>IF($A915="","",IFERROR(INDEX('2_IMPORTAR_EJECUCION'!$F$9:$F$1208,MATCH($AU915,'2_IMPORTAR_EJECUCION'!$J$9:$J$1208,0)),0))</f>
        <v/>
      </c>
      <c r="AM915" s="32">
        <f>IF($A915="","",MAX(0,IFERROR(INDEX('2_IMPORTAR_EJECUCION'!$H$9:$H$1208,MATCH($AU915,'2_IMPORTAR_EJECUCION'!$J$9:$J$1208,0)),0)-$AL915))</f>
        <v/>
      </c>
      <c r="AN915" s="32">
        <f>IF($A915="","",$AL915+$AM915)</f>
        <v/>
      </c>
      <c r="AO915" s="24">
        <f>IF($A915="","",IF(OR((IFERROR(INDEX('CAT_ACTIVIDADES'!$D$4:$D$26,MATCH($H915,'CAT_ACTIVIDADES'!$A$4:$A$26,0)),""))=0,(IFERROR(INDEX('CAT_ACTIVIDADES'!$D$4:$D$26,MATCH($H915,'CAT_ACTIVIDADES'!$A$4:$A$26,0)),""))=""),"SIN CLASIFICAR",IFERROR(INDEX('CAT_ACTIVIDADES'!$D$4:$D$26,MATCH($H915,'CAT_ACTIVIDADES'!$A$4:$A$26,0)),"")))</f>
        <v/>
      </c>
      <c r="AP915" s="4" t="n"/>
      <c r="AQ915" s="4" t="n"/>
      <c r="AR915" s="4" t="n"/>
      <c r="AS915" s="24">
        <f>IF($AR915="","",HYPERLINK(p_ruta_base_checklists&amp;$AR915,"abrir"))</f>
        <v/>
      </c>
      <c r="AT915" s="4" t="n"/>
      <c r="AU915" s="24">
        <f>IF($A915="","",$A915&amp;IF($B915="","0010",$B915))</f>
        <v/>
      </c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41" t="n"/>
      <c r="K916" s="5" t="n"/>
      <c r="L916" s="18" t="n"/>
      <c r="M916" s="24">
        <f>IF($A916="","",IFERROR(INDEX('AJUSTES'!$B$4:$B$303,MATCH($AU916,'AJUSTES'!$A$4:$A$303,0)),IF($K916="","",$K916)))</f>
        <v/>
      </c>
      <c r="N916" s="24">
        <f>IF($A916="","",IFERROR(INDEX('CAT_ESTADOS_ERP'!$B$4:$B$22,MATCH(IFERROR(INDEX('2_IMPORTAR_EJECUCION'!$C$9:$C$1208,MATCH($AU916,'2_IMPORTAR_EJECUCION'!$J$9:$J$1208,0)),""),'CAT_ESTADOS_ERP'!$A$4:$A$22,0)),"Pendiente"))</f>
        <v/>
      </c>
      <c r="O916" s="24">
        <f>IF($J916="","",YEAR($J916+4-WEEKDAY($J916,2))&amp;"-S"&amp;TEXT(_xlfn.ISOWEEKNUM($J916),"00"))</f>
        <v/>
      </c>
      <c r="P916" s="24">
        <f>IF($J916="","",YEAR($J916))</f>
        <v/>
      </c>
      <c r="Q916" s="24">
        <f>IF($J916="","",MONTH($J916))</f>
        <v/>
      </c>
      <c r="R916" s="24">
        <f>IF($J916="","",$P916&amp;"-"&amp;TEXT($Q916,"00"))</f>
        <v/>
      </c>
      <c r="S916" s="24">
        <f>IF($J916="","",INDEX(lista_dias,WEEKDAY($J916,2)))</f>
        <v/>
      </c>
      <c r="T916" s="24">
        <f>IF($J916="","",IFERROR(INDEX('CALENDARIO'!$C$15:$C$214,MATCH(TEXT($J916,"yyyy-mm-dd")&amp;"|"&amp;$Y916&amp;"|"&amp;$Z916,'CALENDARIO'!$G$15:$G$214,0)),IFERROR(INDEX('CALENDARIO'!$C$15:$C$214,MATCH(TEXT($J916,"yyyy-mm-dd")&amp;"|"&amp;$Y916&amp;"|",'CALENDARIO'!$G$15:$G$214,0)),IFERROR(INDEX('CALENDARIO'!$C$15:$C$214,MATCH(TEXT($J916,"yyyy-mm-dd")&amp;"||",'CALENDARIO'!$G$15:$G$214,0)),INDEX(patronHabil,WEEKDAY($J916,2))))))</f>
        <v/>
      </c>
      <c r="U916" s="24">
        <f>IF($I916="","",IFERROR(INDEX('CAT_TIPOS_OT'!$C$4:$C$23,MATCH($I916,'CAT_TIPOS_OT'!$A$4:$A$23,0)),"sin_clasificar"))</f>
        <v/>
      </c>
      <c r="V916" s="24">
        <f>IF($I916="","",IF(IFERROR(INDEX('CAT_TIPOS_OT'!$D$4:$D$23,MATCH($I916,'CAT_TIPOS_OT'!$A$4:$A$23,0)),"SIN CLASIFICAR")="","SIN CLASIFICAR",IFERROR(INDEX('CAT_TIPOS_OT'!$D$4:$D$23,MATCH($I916,'CAT_TIPOS_OT'!$A$4:$A$23,0)),"SIN CLASIFICAR")))</f>
        <v/>
      </c>
      <c r="W916" s="24">
        <f>IF($H916="","",IF(IFERROR(INDEX('CAT_ACTIVIDADES'!$F$4:$F$26,MATCH($H916,'CAT_ACTIVIDADES'!$A$4:$A$26,0)),"")=0,"",IFERROR(INDEX('CAT_ACTIVIDADES'!$F$4:$F$26,MATCH($H916,'CAT_ACTIVIDADES'!$A$4:$A$26,0)),"")))</f>
        <v/>
      </c>
      <c r="X916" s="24">
        <f>IF($F916="","",IFERROR(INDEX('CAT_CENTROS_COSTO'!$F$4:$F$28,MATCH($F916,'CAT_CENTROS_COSTO'!$A$4:$A$28,0)),"(sin catálogo)"))</f>
        <v/>
      </c>
      <c r="Y916" s="24">
        <f>IF($F916="","",IFERROR(INDEX('CAT_CENTROS_COSTO'!$D$4:$D$28,MATCH($F916,'CAT_CENTROS_COSTO'!$A$4:$A$28,0)),"(sin catálogo)"))</f>
        <v/>
      </c>
      <c r="Z916" s="24">
        <f>IF($F916="","",IF((IFERROR(INDEX('CAT_CENTROS_COSTO'!$E$4:$E$28,MATCH($F916,'CAT_CENTROS_COSTO'!$A$4:$A$28,0)),""))&lt;&gt;"",IFERROR(INDEX('CAT_CENTROS_COSTO'!$E$4:$E$28,MATCH($F916,'CAT_CENTROS_COSTO'!$A$4:$A$28,0)),""),$Y916))</f>
        <v/>
      </c>
      <c r="AA916" s="24">
        <f>IF($F916="","",IFERROR(INDEX('CAT_CENTROS_COSTO'!$G$4:$G$28,MATCH($F916,'CAT_CENTROS_COSTO'!$A$4:$A$28,0)),"(sin catálogo)"))</f>
        <v/>
      </c>
      <c r="AB916" s="24">
        <f>IF($G916="","",IFERROR(INDEX('CAT_PUESTOS'!$B$4:$B$23,MATCH($G916,'CAT_PUESTOS'!$A$4:$A$23,0)),"(sin catálogo)"))</f>
        <v/>
      </c>
      <c r="AC916" s="24">
        <f>IF($H916="","",IFERROR(INDEX('CAT_ACTIVIDADES'!$B$4:$B$26,MATCH($H916,'CAT_ACTIVIDADES'!$A$4:$A$26,0)),"(sin catálogo)"))</f>
        <v/>
      </c>
      <c r="AD916" s="26">
        <f>IF($J916="","",TODAY()-$J916)</f>
        <v/>
      </c>
      <c r="AE916" s="26">
        <f>IF($J916="","",IF($J916&lt;=TODAY(),COUNTIFS(cal_fechas,"&gt;="&amp;$J916,cal_fechas,"&lt;"&amp;TODAY(),cal_habil,"sí"),-COUNTIFS(cal_fechas,"&gt;="&amp;TODAY(),cal_fechas,"&lt;"&amp;$J916,cal_habil,"sí")))</f>
        <v/>
      </c>
      <c r="AF916" s="24">
        <f>IF($AE916="","",IF($AE916&lt;0,"FUTURO",IF($AE916&gt;p_dias_backlog_max,"BACKLOG","MES CORRIENTE")))</f>
        <v/>
      </c>
      <c r="AG916" s="24">
        <f>IF($AE916="",FALSE,AND($AE916&gt;p_dias_backlog_min,$AE916&lt;=p_dias_backlog_max))</f>
        <v/>
      </c>
      <c r="AH916" s="4" t="n"/>
      <c r="AI916" s="24">
        <f>IF($AH916="","",IF((IFERROR(INDEX('ASIGNACIONES'!$J$4:$J$451,MATCH($O916&amp;"|"&amp;$S916&amp;"|"&amp;$AH916,'ASIGNACIONES'!$N$4:$N$451,0)),""))=0,"",IFERROR(INDEX('ASIGNACIONES'!$J$4:$J$451,MATCH($O916&amp;"|"&amp;$S916&amp;"|"&amp;$AH916,'ASIGNACIONES'!$N$4:$N$451,0)),"")))</f>
        <v/>
      </c>
      <c r="AJ916" s="42">
        <f>IF($AH916="","",SUMIFS('ORDENES'!$M$4:$M$1203,'ORDENES'!$AH$4:$AH$1203,$AH916,'ORDENES'!$O$4:$O$1203,$O916,'ORDENES'!$S$4:$S$1203,$S916))</f>
        <v/>
      </c>
      <c r="AK916" s="42">
        <f>IF($AJ916="","",p_factor_productividad*IFERROR(INDEX('ASIGNACIONES'!$M$4:$M$451,MATCH($O916&amp;"|"&amp;$S916&amp;"|"&amp;$AH916,'ASIGNACIONES'!$N$4:$N$451,0)),0)-$AJ916)</f>
        <v/>
      </c>
      <c r="AL916" s="32">
        <f>IF($A916="","",IFERROR(INDEX('2_IMPORTAR_EJECUCION'!$F$9:$F$1208,MATCH($AU916,'2_IMPORTAR_EJECUCION'!$J$9:$J$1208,0)),0))</f>
        <v/>
      </c>
      <c r="AM916" s="32">
        <f>IF($A916="","",MAX(0,IFERROR(INDEX('2_IMPORTAR_EJECUCION'!$H$9:$H$1208,MATCH($AU916,'2_IMPORTAR_EJECUCION'!$J$9:$J$1208,0)),0)-$AL916))</f>
        <v/>
      </c>
      <c r="AN916" s="32">
        <f>IF($A916="","",$AL916+$AM916)</f>
        <v/>
      </c>
      <c r="AO916" s="24">
        <f>IF($A916="","",IF(OR((IFERROR(INDEX('CAT_ACTIVIDADES'!$D$4:$D$26,MATCH($H916,'CAT_ACTIVIDADES'!$A$4:$A$26,0)),""))=0,(IFERROR(INDEX('CAT_ACTIVIDADES'!$D$4:$D$26,MATCH($H916,'CAT_ACTIVIDADES'!$A$4:$A$26,0)),""))=""),"SIN CLASIFICAR",IFERROR(INDEX('CAT_ACTIVIDADES'!$D$4:$D$26,MATCH($H916,'CAT_ACTIVIDADES'!$A$4:$A$26,0)),"")))</f>
        <v/>
      </c>
      <c r="AP916" s="4" t="n"/>
      <c r="AQ916" s="4" t="n"/>
      <c r="AR916" s="4" t="n"/>
      <c r="AS916" s="24">
        <f>IF($AR916="","",HYPERLINK(p_ruta_base_checklists&amp;$AR916,"abrir"))</f>
        <v/>
      </c>
      <c r="AT916" s="4" t="n"/>
      <c r="AU916" s="24">
        <f>IF($A916="","",$A916&amp;IF($B916="","0010",$B916))</f>
        <v/>
      </c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41" t="n"/>
      <c r="K917" s="5" t="n"/>
      <c r="L917" s="18" t="n"/>
      <c r="M917" s="24">
        <f>IF($A917="","",IFERROR(INDEX('AJUSTES'!$B$4:$B$303,MATCH($AU917,'AJUSTES'!$A$4:$A$303,0)),IF($K917="","",$K917)))</f>
        <v/>
      </c>
      <c r="N917" s="24">
        <f>IF($A917="","",IFERROR(INDEX('CAT_ESTADOS_ERP'!$B$4:$B$22,MATCH(IFERROR(INDEX('2_IMPORTAR_EJECUCION'!$C$9:$C$1208,MATCH($AU917,'2_IMPORTAR_EJECUCION'!$J$9:$J$1208,0)),""),'CAT_ESTADOS_ERP'!$A$4:$A$22,0)),"Pendiente"))</f>
        <v/>
      </c>
      <c r="O917" s="24">
        <f>IF($J917="","",YEAR($J917+4-WEEKDAY($J917,2))&amp;"-S"&amp;TEXT(_xlfn.ISOWEEKNUM($J917),"00"))</f>
        <v/>
      </c>
      <c r="P917" s="24">
        <f>IF($J917="","",YEAR($J917))</f>
        <v/>
      </c>
      <c r="Q917" s="24">
        <f>IF($J917="","",MONTH($J917))</f>
        <v/>
      </c>
      <c r="R917" s="24">
        <f>IF($J917="","",$P917&amp;"-"&amp;TEXT($Q917,"00"))</f>
        <v/>
      </c>
      <c r="S917" s="24">
        <f>IF($J917="","",INDEX(lista_dias,WEEKDAY($J917,2)))</f>
        <v/>
      </c>
      <c r="T917" s="24">
        <f>IF($J917="","",IFERROR(INDEX('CALENDARIO'!$C$15:$C$214,MATCH(TEXT($J917,"yyyy-mm-dd")&amp;"|"&amp;$Y917&amp;"|"&amp;$Z917,'CALENDARIO'!$G$15:$G$214,0)),IFERROR(INDEX('CALENDARIO'!$C$15:$C$214,MATCH(TEXT($J917,"yyyy-mm-dd")&amp;"|"&amp;$Y917&amp;"|",'CALENDARIO'!$G$15:$G$214,0)),IFERROR(INDEX('CALENDARIO'!$C$15:$C$214,MATCH(TEXT($J917,"yyyy-mm-dd")&amp;"||",'CALENDARIO'!$G$15:$G$214,0)),INDEX(patronHabil,WEEKDAY($J917,2))))))</f>
        <v/>
      </c>
      <c r="U917" s="24">
        <f>IF($I917="","",IFERROR(INDEX('CAT_TIPOS_OT'!$C$4:$C$23,MATCH($I917,'CAT_TIPOS_OT'!$A$4:$A$23,0)),"sin_clasificar"))</f>
        <v/>
      </c>
      <c r="V917" s="24">
        <f>IF($I917="","",IF(IFERROR(INDEX('CAT_TIPOS_OT'!$D$4:$D$23,MATCH($I917,'CAT_TIPOS_OT'!$A$4:$A$23,0)),"SIN CLASIFICAR")="","SIN CLASIFICAR",IFERROR(INDEX('CAT_TIPOS_OT'!$D$4:$D$23,MATCH($I917,'CAT_TIPOS_OT'!$A$4:$A$23,0)),"SIN CLASIFICAR")))</f>
        <v/>
      </c>
      <c r="W917" s="24">
        <f>IF($H917="","",IF(IFERROR(INDEX('CAT_ACTIVIDADES'!$F$4:$F$26,MATCH($H917,'CAT_ACTIVIDADES'!$A$4:$A$26,0)),"")=0,"",IFERROR(INDEX('CAT_ACTIVIDADES'!$F$4:$F$26,MATCH($H917,'CAT_ACTIVIDADES'!$A$4:$A$26,0)),"")))</f>
        <v/>
      </c>
      <c r="X917" s="24">
        <f>IF($F917="","",IFERROR(INDEX('CAT_CENTROS_COSTO'!$F$4:$F$28,MATCH($F917,'CAT_CENTROS_COSTO'!$A$4:$A$28,0)),"(sin catálogo)"))</f>
        <v/>
      </c>
      <c r="Y917" s="24">
        <f>IF($F917="","",IFERROR(INDEX('CAT_CENTROS_COSTO'!$D$4:$D$28,MATCH($F917,'CAT_CENTROS_COSTO'!$A$4:$A$28,0)),"(sin catálogo)"))</f>
        <v/>
      </c>
      <c r="Z917" s="24">
        <f>IF($F917="","",IF((IFERROR(INDEX('CAT_CENTROS_COSTO'!$E$4:$E$28,MATCH($F917,'CAT_CENTROS_COSTO'!$A$4:$A$28,0)),""))&lt;&gt;"",IFERROR(INDEX('CAT_CENTROS_COSTO'!$E$4:$E$28,MATCH($F917,'CAT_CENTROS_COSTO'!$A$4:$A$28,0)),""),$Y917))</f>
        <v/>
      </c>
      <c r="AA917" s="24">
        <f>IF($F917="","",IFERROR(INDEX('CAT_CENTROS_COSTO'!$G$4:$G$28,MATCH($F917,'CAT_CENTROS_COSTO'!$A$4:$A$28,0)),"(sin catálogo)"))</f>
        <v/>
      </c>
      <c r="AB917" s="24">
        <f>IF($G917="","",IFERROR(INDEX('CAT_PUESTOS'!$B$4:$B$23,MATCH($G917,'CAT_PUESTOS'!$A$4:$A$23,0)),"(sin catálogo)"))</f>
        <v/>
      </c>
      <c r="AC917" s="24">
        <f>IF($H917="","",IFERROR(INDEX('CAT_ACTIVIDADES'!$B$4:$B$26,MATCH($H917,'CAT_ACTIVIDADES'!$A$4:$A$26,0)),"(sin catálogo)"))</f>
        <v/>
      </c>
      <c r="AD917" s="26">
        <f>IF($J917="","",TODAY()-$J917)</f>
        <v/>
      </c>
      <c r="AE917" s="26">
        <f>IF($J917="","",IF($J917&lt;=TODAY(),COUNTIFS(cal_fechas,"&gt;="&amp;$J917,cal_fechas,"&lt;"&amp;TODAY(),cal_habil,"sí"),-COUNTIFS(cal_fechas,"&gt;="&amp;TODAY(),cal_fechas,"&lt;"&amp;$J917,cal_habil,"sí")))</f>
        <v/>
      </c>
      <c r="AF917" s="24">
        <f>IF($AE917="","",IF($AE917&lt;0,"FUTURO",IF($AE917&gt;p_dias_backlog_max,"BACKLOG","MES CORRIENTE")))</f>
        <v/>
      </c>
      <c r="AG917" s="24">
        <f>IF($AE917="",FALSE,AND($AE917&gt;p_dias_backlog_min,$AE917&lt;=p_dias_backlog_max))</f>
        <v/>
      </c>
      <c r="AH917" s="4" t="n"/>
      <c r="AI917" s="24">
        <f>IF($AH917="","",IF((IFERROR(INDEX('ASIGNACIONES'!$J$4:$J$451,MATCH($O917&amp;"|"&amp;$S917&amp;"|"&amp;$AH917,'ASIGNACIONES'!$N$4:$N$451,0)),""))=0,"",IFERROR(INDEX('ASIGNACIONES'!$J$4:$J$451,MATCH($O917&amp;"|"&amp;$S917&amp;"|"&amp;$AH917,'ASIGNACIONES'!$N$4:$N$451,0)),"")))</f>
        <v/>
      </c>
      <c r="AJ917" s="42">
        <f>IF($AH917="","",SUMIFS('ORDENES'!$M$4:$M$1203,'ORDENES'!$AH$4:$AH$1203,$AH917,'ORDENES'!$O$4:$O$1203,$O917,'ORDENES'!$S$4:$S$1203,$S917))</f>
        <v/>
      </c>
      <c r="AK917" s="42">
        <f>IF($AJ917="","",p_factor_productividad*IFERROR(INDEX('ASIGNACIONES'!$M$4:$M$451,MATCH($O917&amp;"|"&amp;$S917&amp;"|"&amp;$AH917,'ASIGNACIONES'!$N$4:$N$451,0)),0)-$AJ917)</f>
        <v/>
      </c>
      <c r="AL917" s="32">
        <f>IF($A917="","",IFERROR(INDEX('2_IMPORTAR_EJECUCION'!$F$9:$F$1208,MATCH($AU917,'2_IMPORTAR_EJECUCION'!$J$9:$J$1208,0)),0))</f>
        <v/>
      </c>
      <c r="AM917" s="32">
        <f>IF($A917="","",MAX(0,IFERROR(INDEX('2_IMPORTAR_EJECUCION'!$H$9:$H$1208,MATCH($AU917,'2_IMPORTAR_EJECUCION'!$J$9:$J$1208,0)),0)-$AL917))</f>
        <v/>
      </c>
      <c r="AN917" s="32">
        <f>IF($A917="","",$AL917+$AM917)</f>
        <v/>
      </c>
      <c r="AO917" s="24">
        <f>IF($A917="","",IF(OR((IFERROR(INDEX('CAT_ACTIVIDADES'!$D$4:$D$26,MATCH($H917,'CAT_ACTIVIDADES'!$A$4:$A$26,0)),""))=0,(IFERROR(INDEX('CAT_ACTIVIDADES'!$D$4:$D$26,MATCH($H917,'CAT_ACTIVIDADES'!$A$4:$A$26,0)),""))=""),"SIN CLASIFICAR",IFERROR(INDEX('CAT_ACTIVIDADES'!$D$4:$D$26,MATCH($H917,'CAT_ACTIVIDADES'!$A$4:$A$26,0)),"")))</f>
        <v/>
      </c>
      <c r="AP917" s="4" t="n"/>
      <c r="AQ917" s="4" t="n"/>
      <c r="AR917" s="4" t="n"/>
      <c r="AS917" s="24">
        <f>IF($AR917="","",HYPERLINK(p_ruta_base_checklists&amp;$AR917,"abrir"))</f>
        <v/>
      </c>
      <c r="AT917" s="4" t="n"/>
      <c r="AU917" s="24">
        <f>IF($A917="","",$A917&amp;IF($B917="","0010",$B917))</f>
        <v/>
      </c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41" t="n"/>
      <c r="K918" s="5" t="n"/>
      <c r="L918" s="18" t="n"/>
      <c r="M918" s="24">
        <f>IF($A918="","",IFERROR(INDEX('AJUSTES'!$B$4:$B$303,MATCH($AU918,'AJUSTES'!$A$4:$A$303,0)),IF($K918="","",$K918)))</f>
        <v/>
      </c>
      <c r="N918" s="24">
        <f>IF($A918="","",IFERROR(INDEX('CAT_ESTADOS_ERP'!$B$4:$B$22,MATCH(IFERROR(INDEX('2_IMPORTAR_EJECUCION'!$C$9:$C$1208,MATCH($AU918,'2_IMPORTAR_EJECUCION'!$J$9:$J$1208,0)),""),'CAT_ESTADOS_ERP'!$A$4:$A$22,0)),"Pendiente"))</f>
        <v/>
      </c>
      <c r="O918" s="24">
        <f>IF($J918="","",YEAR($J918+4-WEEKDAY($J918,2))&amp;"-S"&amp;TEXT(_xlfn.ISOWEEKNUM($J918),"00"))</f>
        <v/>
      </c>
      <c r="P918" s="24">
        <f>IF($J918="","",YEAR($J918))</f>
        <v/>
      </c>
      <c r="Q918" s="24">
        <f>IF($J918="","",MONTH($J918))</f>
        <v/>
      </c>
      <c r="R918" s="24">
        <f>IF($J918="","",$P918&amp;"-"&amp;TEXT($Q918,"00"))</f>
        <v/>
      </c>
      <c r="S918" s="24">
        <f>IF($J918="","",INDEX(lista_dias,WEEKDAY($J918,2)))</f>
        <v/>
      </c>
      <c r="T918" s="24">
        <f>IF($J918="","",IFERROR(INDEX('CALENDARIO'!$C$15:$C$214,MATCH(TEXT($J918,"yyyy-mm-dd")&amp;"|"&amp;$Y918&amp;"|"&amp;$Z918,'CALENDARIO'!$G$15:$G$214,0)),IFERROR(INDEX('CALENDARIO'!$C$15:$C$214,MATCH(TEXT($J918,"yyyy-mm-dd")&amp;"|"&amp;$Y918&amp;"|",'CALENDARIO'!$G$15:$G$214,0)),IFERROR(INDEX('CALENDARIO'!$C$15:$C$214,MATCH(TEXT($J918,"yyyy-mm-dd")&amp;"||",'CALENDARIO'!$G$15:$G$214,0)),INDEX(patronHabil,WEEKDAY($J918,2))))))</f>
        <v/>
      </c>
      <c r="U918" s="24">
        <f>IF($I918="","",IFERROR(INDEX('CAT_TIPOS_OT'!$C$4:$C$23,MATCH($I918,'CAT_TIPOS_OT'!$A$4:$A$23,0)),"sin_clasificar"))</f>
        <v/>
      </c>
      <c r="V918" s="24">
        <f>IF($I918="","",IF(IFERROR(INDEX('CAT_TIPOS_OT'!$D$4:$D$23,MATCH($I918,'CAT_TIPOS_OT'!$A$4:$A$23,0)),"SIN CLASIFICAR")="","SIN CLASIFICAR",IFERROR(INDEX('CAT_TIPOS_OT'!$D$4:$D$23,MATCH($I918,'CAT_TIPOS_OT'!$A$4:$A$23,0)),"SIN CLASIFICAR")))</f>
        <v/>
      </c>
      <c r="W918" s="24">
        <f>IF($H918="","",IF(IFERROR(INDEX('CAT_ACTIVIDADES'!$F$4:$F$26,MATCH($H918,'CAT_ACTIVIDADES'!$A$4:$A$26,0)),"")=0,"",IFERROR(INDEX('CAT_ACTIVIDADES'!$F$4:$F$26,MATCH($H918,'CAT_ACTIVIDADES'!$A$4:$A$26,0)),"")))</f>
        <v/>
      </c>
      <c r="X918" s="24">
        <f>IF($F918="","",IFERROR(INDEX('CAT_CENTROS_COSTO'!$F$4:$F$28,MATCH($F918,'CAT_CENTROS_COSTO'!$A$4:$A$28,0)),"(sin catálogo)"))</f>
        <v/>
      </c>
      <c r="Y918" s="24">
        <f>IF($F918="","",IFERROR(INDEX('CAT_CENTROS_COSTO'!$D$4:$D$28,MATCH($F918,'CAT_CENTROS_COSTO'!$A$4:$A$28,0)),"(sin catálogo)"))</f>
        <v/>
      </c>
      <c r="Z918" s="24">
        <f>IF($F918="","",IF((IFERROR(INDEX('CAT_CENTROS_COSTO'!$E$4:$E$28,MATCH($F918,'CAT_CENTROS_COSTO'!$A$4:$A$28,0)),""))&lt;&gt;"",IFERROR(INDEX('CAT_CENTROS_COSTO'!$E$4:$E$28,MATCH($F918,'CAT_CENTROS_COSTO'!$A$4:$A$28,0)),""),$Y918))</f>
        <v/>
      </c>
      <c r="AA918" s="24">
        <f>IF($F918="","",IFERROR(INDEX('CAT_CENTROS_COSTO'!$G$4:$G$28,MATCH($F918,'CAT_CENTROS_COSTO'!$A$4:$A$28,0)),"(sin catálogo)"))</f>
        <v/>
      </c>
      <c r="AB918" s="24">
        <f>IF($G918="","",IFERROR(INDEX('CAT_PUESTOS'!$B$4:$B$23,MATCH($G918,'CAT_PUESTOS'!$A$4:$A$23,0)),"(sin catálogo)"))</f>
        <v/>
      </c>
      <c r="AC918" s="24">
        <f>IF($H918="","",IFERROR(INDEX('CAT_ACTIVIDADES'!$B$4:$B$26,MATCH($H918,'CAT_ACTIVIDADES'!$A$4:$A$26,0)),"(sin catálogo)"))</f>
        <v/>
      </c>
      <c r="AD918" s="26">
        <f>IF($J918="","",TODAY()-$J918)</f>
        <v/>
      </c>
      <c r="AE918" s="26">
        <f>IF($J918="","",IF($J918&lt;=TODAY(),COUNTIFS(cal_fechas,"&gt;="&amp;$J918,cal_fechas,"&lt;"&amp;TODAY(),cal_habil,"sí"),-COUNTIFS(cal_fechas,"&gt;="&amp;TODAY(),cal_fechas,"&lt;"&amp;$J918,cal_habil,"sí")))</f>
        <v/>
      </c>
      <c r="AF918" s="24">
        <f>IF($AE918="","",IF($AE918&lt;0,"FUTURO",IF($AE918&gt;p_dias_backlog_max,"BACKLOG","MES CORRIENTE")))</f>
        <v/>
      </c>
      <c r="AG918" s="24">
        <f>IF($AE918="",FALSE,AND($AE918&gt;p_dias_backlog_min,$AE918&lt;=p_dias_backlog_max))</f>
        <v/>
      </c>
      <c r="AH918" s="4" t="n"/>
      <c r="AI918" s="24">
        <f>IF($AH918="","",IF((IFERROR(INDEX('ASIGNACIONES'!$J$4:$J$451,MATCH($O918&amp;"|"&amp;$S918&amp;"|"&amp;$AH918,'ASIGNACIONES'!$N$4:$N$451,0)),""))=0,"",IFERROR(INDEX('ASIGNACIONES'!$J$4:$J$451,MATCH($O918&amp;"|"&amp;$S918&amp;"|"&amp;$AH918,'ASIGNACIONES'!$N$4:$N$451,0)),"")))</f>
        <v/>
      </c>
      <c r="AJ918" s="42">
        <f>IF($AH918="","",SUMIFS('ORDENES'!$M$4:$M$1203,'ORDENES'!$AH$4:$AH$1203,$AH918,'ORDENES'!$O$4:$O$1203,$O918,'ORDENES'!$S$4:$S$1203,$S918))</f>
        <v/>
      </c>
      <c r="AK918" s="42">
        <f>IF($AJ918="","",p_factor_productividad*IFERROR(INDEX('ASIGNACIONES'!$M$4:$M$451,MATCH($O918&amp;"|"&amp;$S918&amp;"|"&amp;$AH918,'ASIGNACIONES'!$N$4:$N$451,0)),0)-$AJ918)</f>
        <v/>
      </c>
      <c r="AL918" s="32">
        <f>IF($A918="","",IFERROR(INDEX('2_IMPORTAR_EJECUCION'!$F$9:$F$1208,MATCH($AU918,'2_IMPORTAR_EJECUCION'!$J$9:$J$1208,0)),0))</f>
        <v/>
      </c>
      <c r="AM918" s="32">
        <f>IF($A918="","",MAX(0,IFERROR(INDEX('2_IMPORTAR_EJECUCION'!$H$9:$H$1208,MATCH($AU918,'2_IMPORTAR_EJECUCION'!$J$9:$J$1208,0)),0)-$AL918))</f>
        <v/>
      </c>
      <c r="AN918" s="32">
        <f>IF($A918="","",$AL918+$AM918)</f>
        <v/>
      </c>
      <c r="AO918" s="24">
        <f>IF($A918="","",IF(OR((IFERROR(INDEX('CAT_ACTIVIDADES'!$D$4:$D$26,MATCH($H918,'CAT_ACTIVIDADES'!$A$4:$A$26,0)),""))=0,(IFERROR(INDEX('CAT_ACTIVIDADES'!$D$4:$D$26,MATCH($H918,'CAT_ACTIVIDADES'!$A$4:$A$26,0)),""))=""),"SIN CLASIFICAR",IFERROR(INDEX('CAT_ACTIVIDADES'!$D$4:$D$26,MATCH($H918,'CAT_ACTIVIDADES'!$A$4:$A$26,0)),"")))</f>
        <v/>
      </c>
      <c r="AP918" s="4" t="n"/>
      <c r="AQ918" s="4" t="n"/>
      <c r="AR918" s="4" t="n"/>
      <c r="AS918" s="24">
        <f>IF($AR918="","",HYPERLINK(p_ruta_base_checklists&amp;$AR918,"abrir"))</f>
        <v/>
      </c>
      <c r="AT918" s="4" t="n"/>
      <c r="AU918" s="24">
        <f>IF($A918="","",$A918&amp;IF($B918="","0010",$B918))</f>
        <v/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41" t="n"/>
      <c r="K919" s="5" t="n"/>
      <c r="L919" s="18" t="n"/>
      <c r="M919" s="24">
        <f>IF($A919="","",IFERROR(INDEX('AJUSTES'!$B$4:$B$303,MATCH($AU919,'AJUSTES'!$A$4:$A$303,0)),IF($K919="","",$K919)))</f>
        <v/>
      </c>
      <c r="N919" s="24">
        <f>IF($A919="","",IFERROR(INDEX('CAT_ESTADOS_ERP'!$B$4:$B$22,MATCH(IFERROR(INDEX('2_IMPORTAR_EJECUCION'!$C$9:$C$1208,MATCH($AU919,'2_IMPORTAR_EJECUCION'!$J$9:$J$1208,0)),""),'CAT_ESTADOS_ERP'!$A$4:$A$22,0)),"Pendiente"))</f>
        <v/>
      </c>
      <c r="O919" s="24">
        <f>IF($J919="","",YEAR($J919+4-WEEKDAY($J919,2))&amp;"-S"&amp;TEXT(_xlfn.ISOWEEKNUM($J919),"00"))</f>
        <v/>
      </c>
      <c r="P919" s="24">
        <f>IF($J919="","",YEAR($J919))</f>
        <v/>
      </c>
      <c r="Q919" s="24">
        <f>IF($J919="","",MONTH($J919))</f>
        <v/>
      </c>
      <c r="R919" s="24">
        <f>IF($J919="","",$P919&amp;"-"&amp;TEXT($Q919,"00"))</f>
        <v/>
      </c>
      <c r="S919" s="24">
        <f>IF($J919="","",INDEX(lista_dias,WEEKDAY($J919,2)))</f>
        <v/>
      </c>
      <c r="T919" s="24">
        <f>IF($J919="","",IFERROR(INDEX('CALENDARIO'!$C$15:$C$214,MATCH(TEXT($J919,"yyyy-mm-dd")&amp;"|"&amp;$Y919&amp;"|"&amp;$Z919,'CALENDARIO'!$G$15:$G$214,0)),IFERROR(INDEX('CALENDARIO'!$C$15:$C$214,MATCH(TEXT($J919,"yyyy-mm-dd")&amp;"|"&amp;$Y919&amp;"|",'CALENDARIO'!$G$15:$G$214,0)),IFERROR(INDEX('CALENDARIO'!$C$15:$C$214,MATCH(TEXT($J919,"yyyy-mm-dd")&amp;"||",'CALENDARIO'!$G$15:$G$214,0)),INDEX(patronHabil,WEEKDAY($J919,2))))))</f>
        <v/>
      </c>
      <c r="U919" s="24">
        <f>IF($I919="","",IFERROR(INDEX('CAT_TIPOS_OT'!$C$4:$C$23,MATCH($I919,'CAT_TIPOS_OT'!$A$4:$A$23,0)),"sin_clasificar"))</f>
        <v/>
      </c>
      <c r="V919" s="24">
        <f>IF($I919="","",IF(IFERROR(INDEX('CAT_TIPOS_OT'!$D$4:$D$23,MATCH($I919,'CAT_TIPOS_OT'!$A$4:$A$23,0)),"SIN CLASIFICAR")="","SIN CLASIFICAR",IFERROR(INDEX('CAT_TIPOS_OT'!$D$4:$D$23,MATCH($I919,'CAT_TIPOS_OT'!$A$4:$A$23,0)),"SIN CLASIFICAR")))</f>
        <v/>
      </c>
      <c r="W919" s="24">
        <f>IF($H919="","",IF(IFERROR(INDEX('CAT_ACTIVIDADES'!$F$4:$F$26,MATCH($H919,'CAT_ACTIVIDADES'!$A$4:$A$26,0)),"")=0,"",IFERROR(INDEX('CAT_ACTIVIDADES'!$F$4:$F$26,MATCH($H919,'CAT_ACTIVIDADES'!$A$4:$A$26,0)),"")))</f>
        <v/>
      </c>
      <c r="X919" s="24">
        <f>IF($F919="","",IFERROR(INDEX('CAT_CENTROS_COSTO'!$F$4:$F$28,MATCH($F919,'CAT_CENTROS_COSTO'!$A$4:$A$28,0)),"(sin catálogo)"))</f>
        <v/>
      </c>
      <c r="Y919" s="24">
        <f>IF($F919="","",IFERROR(INDEX('CAT_CENTROS_COSTO'!$D$4:$D$28,MATCH($F919,'CAT_CENTROS_COSTO'!$A$4:$A$28,0)),"(sin catálogo)"))</f>
        <v/>
      </c>
      <c r="Z919" s="24">
        <f>IF($F919="","",IF((IFERROR(INDEX('CAT_CENTROS_COSTO'!$E$4:$E$28,MATCH($F919,'CAT_CENTROS_COSTO'!$A$4:$A$28,0)),""))&lt;&gt;"",IFERROR(INDEX('CAT_CENTROS_COSTO'!$E$4:$E$28,MATCH($F919,'CAT_CENTROS_COSTO'!$A$4:$A$28,0)),""),$Y919))</f>
        <v/>
      </c>
      <c r="AA919" s="24">
        <f>IF($F919="","",IFERROR(INDEX('CAT_CENTROS_COSTO'!$G$4:$G$28,MATCH($F919,'CAT_CENTROS_COSTO'!$A$4:$A$28,0)),"(sin catálogo)"))</f>
        <v/>
      </c>
      <c r="AB919" s="24">
        <f>IF($G919="","",IFERROR(INDEX('CAT_PUESTOS'!$B$4:$B$23,MATCH($G919,'CAT_PUESTOS'!$A$4:$A$23,0)),"(sin catálogo)"))</f>
        <v/>
      </c>
      <c r="AC919" s="24">
        <f>IF($H919="","",IFERROR(INDEX('CAT_ACTIVIDADES'!$B$4:$B$26,MATCH($H919,'CAT_ACTIVIDADES'!$A$4:$A$26,0)),"(sin catálogo)"))</f>
        <v/>
      </c>
      <c r="AD919" s="26">
        <f>IF($J919="","",TODAY()-$J919)</f>
        <v/>
      </c>
      <c r="AE919" s="26">
        <f>IF($J919="","",IF($J919&lt;=TODAY(),COUNTIFS(cal_fechas,"&gt;="&amp;$J919,cal_fechas,"&lt;"&amp;TODAY(),cal_habil,"sí"),-COUNTIFS(cal_fechas,"&gt;="&amp;TODAY(),cal_fechas,"&lt;"&amp;$J919,cal_habil,"sí")))</f>
        <v/>
      </c>
      <c r="AF919" s="24">
        <f>IF($AE919="","",IF($AE919&lt;0,"FUTURO",IF($AE919&gt;p_dias_backlog_max,"BACKLOG","MES CORRIENTE")))</f>
        <v/>
      </c>
      <c r="AG919" s="24">
        <f>IF($AE919="",FALSE,AND($AE919&gt;p_dias_backlog_min,$AE919&lt;=p_dias_backlog_max))</f>
        <v/>
      </c>
      <c r="AH919" s="4" t="n"/>
      <c r="AI919" s="24">
        <f>IF($AH919="","",IF((IFERROR(INDEX('ASIGNACIONES'!$J$4:$J$451,MATCH($O919&amp;"|"&amp;$S919&amp;"|"&amp;$AH919,'ASIGNACIONES'!$N$4:$N$451,0)),""))=0,"",IFERROR(INDEX('ASIGNACIONES'!$J$4:$J$451,MATCH($O919&amp;"|"&amp;$S919&amp;"|"&amp;$AH919,'ASIGNACIONES'!$N$4:$N$451,0)),"")))</f>
        <v/>
      </c>
      <c r="AJ919" s="42">
        <f>IF($AH919="","",SUMIFS('ORDENES'!$M$4:$M$1203,'ORDENES'!$AH$4:$AH$1203,$AH919,'ORDENES'!$O$4:$O$1203,$O919,'ORDENES'!$S$4:$S$1203,$S919))</f>
        <v/>
      </c>
      <c r="AK919" s="42">
        <f>IF($AJ919="","",p_factor_productividad*IFERROR(INDEX('ASIGNACIONES'!$M$4:$M$451,MATCH($O919&amp;"|"&amp;$S919&amp;"|"&amp;$AH919,'ASIGNACIONES'!$N$4:$N$451,0)),0)-$AJ919)</f>
        <v/>
      </c>
      <c r="AL919" s="32">
        <f>IF($A919="","",IFERROR(INDEX('2_IMPORTAR_EJECUCION'!$F$9:$F$1208,MATCH($AU919,'2_IMPORTAR_EJECUCION'!$J$9:$J$1208,0)),0))</f>
        <v/>
      </c>
      <c r="AM919" s="32">
        <f>IF($A919="","",MAX(0,IFERROR(INDEX('2_IMPORTAR_EJECUCION'!$H$9:$H$1208,MATCH($AU919,'2_IMPORTAR_EJECUCION'!$J$9:$J$1208,0)),0)-$AL919))</f>
        <v/>
      </c>
      <c r="AN919" s="32">
        <f>IF($A919="","",$AL919+$AM919)</f>
        <v/>
      </c>
      <c r="AO919" s="24">
        <f>IF($A919="","",IF(OR((IFERROR(INDEX('CAT_ACTIVIDADES'!$D$4:$D$26,MATCH($H919,'CAT_ACTIVIDADES'!$A$4:$A$26,0)),""))=0,(IFERROR(INDEX('CAT_ACTIVIDADES'!$D$4:$D$26,MATCH($H919,'CAT_ACTIVIDADES'!$A$4:$A$26,0)),""))=""),"SIN CLASIFICAR",IFERROR(INDEX('CAT_ACTIVIDADES'!$D$4:$D$26,MATCH($H919,'CAT_ACTIVIDADES'!$A$4:$A$26,0)),"")))</f>
        <v/>
      </c>
      <c r="AP919" s="4" t="n"/>
      <c r="AQ919" s="4" t="n"/>
      <c r="AR919" s="4" t="n"/>
      <c r="AS919" s="24">
        <f>IF($AR919="","",HYPERLINK(p_ruta_base_checklists&amp;$AR919,"abrir"))</f>
        <v/>
      </c>
      <c r="AT919" s="4" t="n"/>
      <c r="AU919" s="24">
        <f>IF($A919="","",$A919&amp;IF($B919="","0010",$B919))</f>
        <v/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41" t="n"/>
      <c r="K920" s="5" t="n"/>
      <c r="L920" s="18" t="n"/>
      <c r="M920" s="24">
        <f>IF($A920="","",IFERROR(INDEX('AJUSTES'!$B$4:$B$303,MATCH($AU920,'AJUSTES'!$A$4:$A$303,0)),IF($K920="","",$K920)))</f>
        <v/>
      </c>
      <c r="N920" s="24">
        <f>IF($A920="","",IFERROR(INDEX('CAT_ESTADOS_ERP'!$B$4:$B$22,MATCH(IFERROR(INDEX('2_IMPORTAR_EJECUCION'!$C$9:$C$1208,MATCH($AU920,'2_IMPORTAR_EJECUCION'!$J$9:$J$1208,0)),""),'CAT_ESTADOS_ERP'!$A$4:$A$22,0)),"Pendiente"))</f>
        <v/>
      </c>
      <c r="O920" s="24">
        <f>IF($J920="","",YEAR($J920+4-WEEKDAY($J920,2))&amp;"-S"&amp;TEXT(_xlfn.ISOWEEKNUM($J920),"00"))</f>
        <v/>
      </c>
      <c r="P920" s="24">
        <f>IF($J920="","",YEAR($J920))</f>
        <v/>
      </c>
      <c r="Q920" s="24">
        <f>IF($J920="","",MONTH($J920))</f>
        <v/>
      </c>
      <c r="R920" s="24">
        <f>IF($J920="","",$P920&amp;"-"&amp;TEXT($Q920,"00"))</f>
        <v/>
      </c>
      <c r="S920" s="24">
        <f>IF($J920="","",INDEX(lista_dias,WEEKDAY($J920,2)))</f>
        <v/>
      </c>
      <c r="T920" s="24">
        <f>IF($J920="","",IFERROR(INDEX('CALENDARIO'!$C$15:$C$214,MATCH(TEXT($J920,"yyyy-mm-dd")&amp;"|"&amp;$Y920&amp;"|"&amp;$Z920,'CALENDARIO'!$G$15:$G$214,0)),IFERROR(INDEX('CALENDARIO'!$C$15:$C$214,MATCH(TEXT($J920,"yyyy-mm-dd")&amp;"|"&amp;$Y920&amp;"|",'CALENDARIO'!$G$15:$G$214,0)),IFERROR(INDEX('CALENDARIO'!$C$15:$C$214,MATCH(TEXT($J920,"yyyy-mm-dd")&amp;"||",'CALENDARIO'!$G$15:$G$214,0)),INDEX(patronHabil,WEEKDAY($J920,2))))))</f>
        <v/>
      </c>
      <c r="U920" s="24">
        <f>IF($I920="","",IFERROR(INDEX('CAT_TIPOS_OT'!$C$4:$C$23,MATCH($I920,'CAT_TIPOS_OT'!$A$4:$A$23,0)),"sin_clasificar"))</f>
        <v/>
      </c>
      <c r="V920" s="24">
        <f>IF($I920="","",IF(IFERROR(INDEX('CAT_TIPOS_OT'!$D$4:$D$23,MATCH($I920,'CAT_TIPOS_OT'!$A$4:$A$23,0)),"SIN CLASIFICAR")="","SIN CLASIFICAR",IFERROR(INDEX('CAT_TIPOS_OT'!$D$4:$D$23,MATCH($I920,'CAT_TIPOS_OT'!$A$4:$A$23,0)),"SIN CLASIFICAR")))</f>
        <v/>
      </c>
      <c r="W920" s="24">
        <f>IF($H920="","",IF(IFERROR(INDEX('CAT_ACTIVIDADES'!$F$4:$F$26,MATCH($H920,'CAT_ACTIVIDADES'!$A$4:$A$26,0)),"")=0,"",IFERROR(INDEX('CAT_ACTIVIDADES'!$F$4:$F$26,MATCH($H920,'CAT_ACTIVIDADES'!$A$4:$A$26,0)),"")))</f>
        <v/>
      </c>
      <c r="X920" s="24">
        <f>IF($F920="","",IFERROR(INDEX('CAT_CENTROS_COSTO'!$F$4:$F$28,MATCH($F920,'CAT_CENTROS_COSTO'!$A$4:$A$28,0)),"(sin catálogo)"))</f>
        <v/>
      </c>
      <c r="Y920" s="24">
        <f>IF($F920="","",IFERROR(INDEX('CAT_CENTROS_COSTO'!$D$4:$D$28,MATCH($F920,'CAT_CENTROS_COSTO'!$A$4:$A$28,0)),"(sin catálogo)"))</f>
        <v/>
      </c>
      <c r="Z920" s="24">
        <f>IF($F920="","",IF((IFERROR(INDEX('CAT_CENTROS_COSTO'!$E$4:$E$28,MATCH($F920,'CAT_CENTROS_COSTO'!$A$4:$A$28,0)),""))&lt;&gt;"",IFERROR(INDEX('CAT_CENTROS_COSTO'!$E$4:$E$28,MATCH($F920,'CAT_CENTROS_COSTO'!$A$4:$A$28,0)),""),$Y920))</f>
        <v/>
      </c>
      <c r="AA920" s="24">
        <f>IF($F920="","",IFERROR(INDEX('CAT_CENTROS_COSTO'!$G$4:$G$28,MATCH($F920,'CAT_CENTROS_COSTO'!$A$4:$A$28,0)),"(sin catálogo)"))</f>
        <v/>
      </c>
      <c r="AB920" s="24">
        <f>IF($G920="","",IFERROR(INDEX('CAT_PUESTOS'!$B$4:$B$23,MATCH($G920,'CAT_PUESTOS'!$A$4:$A$23,0)),"(sin catálogo)"))</f>
        <v/>
      </c>
      <c r="AC920" s="24">
        <f>IF($H920="","",IFERROR(INDEX('CAT_ACTIVIDADES'!$B$4:$B$26,MATCH($H920,'CAT_ACTIVIDADES'!$A$4:$A$26,0)),"(sin catálogo)"))</f>
        <v/>
      </c>
      <c r="AD920" s="26">
        <f>IF($J920="","",TODAY()-$J920)</f>
        <v/>
      </c>
      <c r="AE920" s="26">
        <f>IF($J920="","",IF($J920&lt;=TODAY(),COUNTIFS(cal_fechas,"&gt;="&amp;$J920,cal_fechas,"&lt;"&amp;TODAY(),cal_habil,"sí"),-COUNTIFS(cal_fechas,"&gt;="&amp;TODAY(),cal_fechas,"&lt;"&amp;$J920,cal_habil,"sí")))</f>
        <v/>
      </c>
      <c r="AF920" s="24">
        <f>IF($AE920="","",IF($AE920&lt;0,"FUTURO",IF($AE920&gt;p_dias_backlog_max,"BACKLOG","MES CORRIENTE")))</f>
        <v/>
      </c>
      <c r="AG920" s="24">
        <f>IF($AE920="",FALSE,AND($AE920&gt;p_dias_backlog_min,$AE920&lt;=p_dias_backlog_max))</f>
        <v/>
      </c>
      <c r="AH920" s="4" t="n"/>
      <c r="AI920" s="24">
        <f>IF($AH920="","",IF((IFERROR(INDEX('ASIGNACIONES'!$J$4:$J$451,MATCH($O920&amp;"|"&amp;$S920&amp;"|"&amp;$AH920,'ASIGNACIONES'!$N$4:$N$451,0)),""))=0,"",IFERROR(INDEX('ASIGNACIONES'!$J$4:$J$451,MATCH($O920&amp;"|"&amp;$S920&amp;"|"&amp;$AH920,'ASIGNACIONES'!$N$4:$N$451,0)),"")))</f>
        <v/>
      </c>
      <c r="AJ920" s="42">
        <f>IF($AH920="","",SUMIFS('ORDENES'!$M$4:$M$1203,'ORDENES'!$AH$4:$AH$1203,$AH920,'ORDENES'!$O$4:$O$1203,$O920,'ORDENES'!$S$4:$S$1203,$S920))</f>
        <v/>
      </c>
      <c r="AK920" s="42">
        <f>IF($AJ920="","",p_factor_productividad*IFERROR(INDEX('ASIGNACIONES'!$M$4:$M$451,MATCH($O920&amp;"|"&amp;$S920&amp;"|"&amp;$AH920,'ASIGNACIONES'!$N$4:$N$451,0)),0)-$AJ920)</f>
        <v/>
      </c>
      <c r="AL920" s="32">
        <f>IF($A920="","",IFERROR(INDEX('2_IMPORTAR_EJECUCION'!$F$9:$F$1208,MATCH($AU920,'2_IMPORTAR_EJECUCION'!$J$9:$J$1208,0)),0))</f>
        <v/>
      </c>
      <c r="AM920" s="32">
        <f>IF($A920="","",MAX(0,IFERROR(INDEX('2_IMPORTAR_EJECUCION'!$H$9:$H$1208,MATCH($AU920,'2_IMPORTAR_EJECUCION'!$J$9:$J$1208,0)),0)-$AL920))</f>
        <v/>
      </c>
      <c r="AN920" s="32">
        <f>IF($A920="","",$AL920+$AM920)</f>
        <v/>
      </c>
      <c r="AO920" s="24">
        <f>IF($A920="","",IF(OR((IFERROR(INDEX('CAT_ACTIVIDADES'!$D$4:$D$26,MATCH($H920,'CAT_ACTIVIDADES'!$A$4:$A$26,0)),""))=0,(IFERROR(INDEX('CAT_ACTIVIDADES'!$D$4:$D$26,MATCH($H920,'CAT_ACTIVIDADES'!$A$4:$A$26,0)),""))=""),"SIN CLASIFICAR",IFERROR(INDEX('CAT_ACTIVIDADES'!$D$4:$D$26,MATCH($H920,'CAT_ACTIVIDADES'!$A$4:$A$26,0)),"")))</f>
        <v/>
      </c>
      <c r="AP920" s="4" t="n"/>
      <c r="AQ920" s="4" t="n"/>
      <c r="AR920" s="4" t="n"/>
      <c r="AS920" s="24">
        <f>IF($AR920="","",HYPERLINK(p_ruta_base_checklists&amp;$AR920,"abrir"))</f>
        <v/>
      </c>
      <c r="AT920" s="4" t="n"/>
      <c r="AU920" s="24">
        <f>IF($A920="","",$A920&amp;IF($B920="","0010",$B920))</f>
        <v/>
      </c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41" t="n"/>
      <c r="K921" s="5" t="n"/>
      <c r="L921" s="18" t="n"/>
      <c r="M921" s="24">
        <f>IF($A921="","",IFERROR(INDEX('AJUSTES'!$B$4:$B$303,MATCH($AU921,'AJUSTES'!$A$4:$A$303,0)),IF($K921="","",$K921)))</f>
        <v/>
      </c>
      <c r="N921" s="24">
        <f>IF($A921="","",IFERROR(INDEX('CAT_ESTADOS_ERP'!$B$4:$B$22,MATCH(IFERROR(INDEX('2_IMPORTAR_EJECUCION'!$C$9:$C$1208,MATCH($AU921,'2_IMPORTAR_EJECUCION'!$J$9:$J$1208,0)),""),'CAT_ESTADOS_ERP'!$A$4:$A$22,0)),"Pendiente"))</f>
        <v/>
      </c>
      <c r="O921" s="24">
        <f>IF($J921="","",YEAR($J921+4-WEEKDAY($J921,2))&amp;"-S"&amp;TEXT(_xlfn.ISOWEEKNUM($J921),"00"))</f>
        <v/>
      </c>
      <c r="P921" s="24">
        <f>IF($J921="","",YEAR($J921))</f>
        <v/>
      </c>
      <c r="Q921" s="24">
        <f>IF($J921="","",MONTH($J921))</f>
        <v/>
      </c>
      <c r="R921" s="24">
        <f>IF($J921="","",$P921&amp;"-"&amp;TEXT($Q921,"00"))</f>
        <v/>
      </c>
      <c r="S921" s="24">
        <f>IF($J921="","",INDEX(lista_dias,WEEKDAY($J921,2)))</f>
        <v/>
      </c>
      <c r="T921" s="24">
        <f>IF($J921="","",IFERROR(INDEX('CALENDARIO'!$C$15:$C$214,MATCH(TEXT($J921,"yyyy-mm-dd")&amp;"|"&amp;$Y921&amp;"|"&amp;$Z921,'CALENDARIO'!$G$15:$G$214,0)),IFERROR(INDEX('CALENDARIO'!$C$15:$C$214,MATCH(TEXT($J921,"yyyy-mm-dd")&amp;"|"&amp;$Y921&amp;"|",'CALENDARIO'!$G$15:$G$214,0)),IFERROR(INDEX('CALENDARIO'!$C$15:$C$214,MATCH(TEXT($J921,"yyyy-mm-dd")&amp;"||",'CALENDARIO'!$G$15:$G$214,0)),INDEX(patronHabil,WEEKDAY($J921,2))))))</f>
        <v/>
      </c>
      <c r="U921" s="24">
        <f>IF($I921="","",IFERROR(INDEX('CAT_TIPOS_OT'!$C$4:$C$23,MATCH($I921,'CAT_TIPOS_OT'!$A$4:$A$23,0)),"sin_clasificar"))</f>
        <v/>
      </c>
      <c r="V921" s="24">
        <f>IF($I921="","",IF(IFERROR(INDEX('CAT_TIPOS_OT'!$D$4:$D$23,MATCH($I921,'CAT_TIPOS_OT'!$A$4:$A$23,0)),"SIN CLASIFICAR")="","SIN CLASIFICAR",IFERROR(INDEX('CAT_TIPOS_OT'!$D$4:$D$23,MATCH($I921,'CAT_TIPOS_OT'!$A$4:$A$23,0)),"SIN CLASIFICAR")))</f>
        <v/>
      </c>
      <c r="W921" s="24">
        <f>IF($H921="","",IF(IFERROR(INDEX('CAT_ACTIVIDADES'!$F$4:$F$26,MATCH($H921,'CAT_ACTIVIDADES'!$A$4:$A$26,0)),"")=0,"",IFERROR(INDEX('CAT_ACTIVIDADES'!$F$4:$F$26,MATCH($H921,'CAT_ACTIVIDADES'!$A$4:$A$26,0)),"")))</f>
        <v/>
      </c>
      <c r="X921" s="24">
        <f>IF($F921="","",IFERROR(INDEX('CAT_CENTROS_COSTO'!$F$4:$F$28,MATCH($F921,'CAT_CENTROS_COSTO'!$A$4:$A$28,0)),"(sin catálogo)"))</f>
        <v/>
      </c>
      <c r="Y921" s="24">
        <f>IF($F921="","",IFERROR(INDEX('CAT_CENTROS_COSTO'!$D$4:$D$28,MATCH($F921,'CAT_CENTROS_COSTO'!$A$4:$A$28,0)),"(sin catálogo)"))</f>
        <v/>
      </c>
      <c r="Z921" s="24">
        <f>IF($F921="","",IF((IFERROR(INDEX('CAT_CENTROS_COSTO'!$E$4:$E$28,MATCH($F921,'CAT_CENTROS_COSTO'!$A$4:$A$28,0)),""))&lt;&gt;"",IFERROR(INDEX('CAT_CENTROS_COSTO'!$E$4:$E$28,MATCH($F921,'CAT_CENTROS_COSTO'!$A$4:$A$28,0)),""),$Y921))</f>
        <v/>
      </c>
      <c r="AA921" s="24">
        <f>IF($F921="","",IFERROR(INDEX('CAT_CENTROS_COSTO'!$G$4:$G$28,MATCH($F921,'CAT_CENTROS_COSTO'!$A$4:$A$28,0)),"(sin catálogo)"))</f>
        <v/>
      </c>
      <c r="AB921" s="24">
        <f>IF($G921="","",IFERROR(INDEX('CAT_PUESTOS'!$B$4:$B$23,MATCH($G921,'CAT_PUESTOS'!$A$4:$A$23,0)),"(sin catálogo)"))</f>
        <v/>
      </c>
      <c r="AC921" s="24">
        <f>IF($H921="","",IFERROR(INDEX('CAT_ACTIVIDADES'!$B$4:$B$26,MATCH($H921,'CAT_ACTIVIDADES'!$A$4:$A$26,0)),"(sin catálogo)"))</f>
        <v/>
      </c>
      <c r="AD921" s="26">
        <f>IF($J921="","",TODAY()-$J921)</f>
        <v/>
      </c>
      <c r="AE921" s="26">
        <f>IF($J921="","",IF($J921&lt;=TODAY(),COUNTIFS(cal_fechas,"&gt;="&amp;$J921,cal_fechas,"&lt;"&amp;TODAY(),cal_habil,"sí"),-COUNTIFS(cal_fechas,"&gt;="&amp;TODAY(),cal_fechas,"&lt;"&amp;$J921,cal_habil,"sí")))</f>
        <v/>
      </c>
      <c r="AF921" s="24">
        <f>IF($AE921="","",IF($AE921&lt;0,"FUTURO",IF($AE921&gt;p_dias_backlog_max,"BACKLOG","MES CORRIENTE")))</f>
        <v/>
      </c>
      <c r="AG921" s="24">
        <f>IF($AE921="",FALSE,AND($AE921&gt;p_dias_backlog_min,$AE921&lt;=p_dias_backlog_max))</f>
        <v/>
      </c>
      <c r="AH921" s="4" t="n"/>
      <c r="AI921" s="24">
        <f>IF($AH921="","",IF((IFERROR(INDEX('ASIGNACIONES'!$J$4:$J$451,MATCH($O921&amp;"|"&amp;$S921&amp;"|"&amp;$AH921,'ASIGNACIONES'!$N$4:$N$451,0)),""))=0,"",IFERROR(INDEX('ASIGNACIONES'!$J$4:$J$451,MATCH($O921&amp;"|"&amp;$S921&amp;"|"&amp;$AH921,'ASIGNACIONES'!$N$4:$N$451,0)),"")))</f>
        <v/>
      </c>
      <c r="AJ921" s="42">
        <f>IF($AH921="","",SUMIFS('ORDENES'!$M$4:$M$1203,'ORDENES'!$AH$4:$AH$1203,$AH921,'ORDENES'!$O$4:$O$1203,$O921,'ORDENES'!$S$4:$S$1203,$S921))</f>
        <v/>
      </c>
      <c r="AK921" s="42">
        <f>IF($AJ921="","",p_factor_productividad*IFERROR(INDEX('ASIGNACIONES'!$M$4:$M$451,MATCH($O921&amp;"|"&amp;$S921&amp;"|"&amp;$AH921,'ASIGNACIONES'!$N$4:$N$451,0)),0)-$AJ921)</f>
        <v/>
      </c>
      <c r="AL921" s="32">
        <f>IF($A921="","",IFERROR(INDEX('2_IMPORTAR_EJECUCION'!$F$9:$F$1208,MATCH($AU921,'2_IMPORTAR_EJECUCION'!$J$9:$J$1208,0)),0))</f>
        <v/>
      </c>
      <c r="AM921" s="32">
        <f>IF($A921="","",MAX(0,IFERROR(INDEX('2_IMPORTAR_EJECUCION'!$H$9:$H$1208,MATCH($AU921,'2_IMPORTAR_EJECUCION'!$J$9:$J$1208,0)),0)-$AL921))</f>
        <v/>
      </c>
      <c r="AN921" s="32">
        <f>IF($A921="","",$AL921+$AM921)</f>
        <v/>
      </c>
      <c r="AO921" s="24">
        <f>IF($A921="","",IF(OR((IFERROR(INDEX('CAT_ACTIVIDADES'!$D$4:$D$26,MATCH($H921,'CAT_ACTIVIDADES'!$A$4:$A$26,0)),""))=0,(IFERROR(INDEX('CAT_ACTIVIDADES'!$D$4:$D$26,MATCH($H921,'CAT_ACTIVIDADES'!$A$4:$A$26,0)),""))=""),"SIN CLASIFICAR",IFERROR(INDEX('CAT_ACTIVIDADES'!$D$4:$D$26,MATCH($H921,'CAT_ACTIVIDADES'!$A$4:$A$26,0)),"")))</f>
        <v/>
      </c>
      <c r="AP921" s="4" t="n"/>
      <c r="AQ921" s="4" t="n"/>
      <c r="AR921" s="4" t="n"/>
      <c r="AS921" s="24">
        <f>IF($AR921="","",HYPERLINK(p_ruta_base_checklists&amp;$AR921,"abrir"))</f>
        <v/>
      </c>
      <c r="AT921" s="4" t="n"/>
      <c r="AU921" s="24">
        <f>IF($A921="","",$A921&amp;IF($B921="","0010",$B921))</f>
        <v/>
      </c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41" t="n"/>
      <c r="K922" s="5" t="n"/>
      <c r="L922" s="18" t="n"/>
      <c r="M922" s="24">
        <f>IF($A922="","",IFERROR(INDEX('AJUSTES'!$B$4:$B$303,MATCH($AU922,'AJUSTES'!$A$4:$A$303,0)),IF($K922="","",$K922)))</f>
        <v/>
      </c>
      <c r="N922" s="24">
        <f>IF($A922="","",IFERROR(INDEX('CAT_ESTADOS_ERP'!$B$4:$B$22,MATCH(IFERROR(INDEX('2_IMPORTAR_EJECUCION'!$C$9:$C$1208,MATCH($AU922,'2_IMPORTAR_EJECUCION'!$J$9:$J$1208,0)),""),'CAT_ESTADOS_ERP'!$A$4:$A$22,0)),"Pendiente"))</f>
        <v/>
      </c>
      <c r="O922" s="24">
        <f>IF($J922="","",YEAR($J922+4-WEEKDAY($J922,2))&amp;"-S"&amp;TEXT(_xlfn.ISOWEEKNUM($J922),"00"))</f>
        <v/>
      </c>
      <c r="P922" s="24">
        <f>IF($J922="","",YEAR($J922))</f>
        <v/>
      </c>
      <c r="Q922" s="24">
        <f>IF($J922="","",MONTH($J922))</f>
        <v/>
      </c>
      <c r="R922" s="24">
        <f>IF($J922="","",$P922&amp;"-"&amp;TEXT($Q922,"00"))</f>
        <v/>
      </c>
      <c r="S922" s="24">
        <f>IF($J922="","",INDEX(lista_dias,WEEKDAY($J922,2)))</f>
        <v/>
      </c>
      <c r="T922" s="24">
        <f>IF($J922="","",IFERROR(INDEX('CALENDARIO'!$C$15:$C$214,MATCH(TEXT($J922,"yyyy-mm-dd")&amp;"|"&amp;$Y922&amp;"|"&amp;$Z922,'CALENDARIO'!$G$15:$G$214,0)),IFERROR(INDEX('CALENDARIO'!$C$15:$C$214,MATCH(TEXT($J922,"yyyy-mm-dd")&amp;"|"&amp;$Y922&amp;"|",'CALENDARIO'!$G$15:$G$214,0)),IFERROR(INDEX('CALENDARIO'!$C$15:$C$214,MATCH(TEXT($J922,"yyyy-mm-dd")&amp;"||",'CALENDARIO'!$G$15:$G$214,0)),INDEX(patronHabil,WEEKDAY($J922,2))))))</f>
        <v/>
      </c>
      <c r="U922" s="24">
        <f>IF($I922="","",IFERROR(INDEX('CAT_TIPOS_OT'!$C$4:$C$23,MATCH($I922,'CAT_TIPOS_OT'!$A$4:$A$23,0)),"sin_clasificar"))</f>
        <v/>
      </c>
      <c r="V922" s="24">
        <f>IF($I922="","",IF(IFERROR(INDEX('CAT_TIPOS_OT'!$D$4:$D$23,MATCH($I922,'CAT_TIPOS_OT'!$A$4:$A$23,0)),"SIN CLASIFICAR")="","SIN CLASIFICAR",IFERROR(INDEX('CAT_TIPOS_OT'!$D$4:$D$23,MATCH($I922,'CAT_TIPOS_OT'!$A$4:$A$23,0)),"SIN CLASIFICAR")))</f>
        <v/>
      </c>
      <c r="W922" s="24">
        <f>IF($H922="","",IF(IFERROR(INDEX('CAT_ACTIVIDADES'!$F$4:$F$26,MATCH($H922,'CAT_ACTIVIDADES'!$A$4:$A$26,0)),"")=0,"",IFERROR(INDEX('CAT_ACTIVIDADES'!$F$4:$F$26,MATCH($H922,'CAT_ACTIVIDADES'!$A$4:$A$26,0)),"")))</f>
        <v/>
      </c>
      <c r="X922" s="24">
        <f>IF($F922="","",IFERROR(INDEX('CAT_CENTROS_COSTO'!$F$4:$F$28,MATCH($F922,'CAT_CENTROS_COSTO'!$A$4:$A$28,0)),"(sin catálogo)"))</f>
        <v/>
      </c>
      <c r="Y922" s="24">
        <f>IF($F922="","",IFERROR(INDEX('CAT_CENTROS_COSTO'!$D$4:$D$28,MATCH($F922,'CAT_CENTROS_COSTO'!$A$4:$A$28,0)),"(sin catálogo)"))</f>
        <v/>
      </c>
      <c r="Z922" s="24">
        <f>IF($F922="","",IF((IFERROR(INDEX('CAT_CENTROS_COSTO'!$E$4:$E$28,MATCH($F922,'CAT_CENTROS_COSTO'!$A$4:$A$28,0)),""))&lt;&gt;"",IFERROR(INDEX('CAT_CENTROS_COSTO'!$E$4:$E$28,MATCH($F922,'CAT_CENTROS_COSTO'!$A$4:$A$28,0)),""),$Y922))</f>
        <v/>
      </c>
      <c r="AA922" s="24">
        <f>IF($F922="","",IFERROR(INDEX('CAT_CENTROS_COSTO'!$G$4:$G$28,MATCH($F922,'CAT_CENTROS_COSTO'!$A$4:$A$28,0)),"(sin catálogo)"))</f>
        <v/>
      </c>
      <c r="AB922" s="24">
        <f>IF($G922="","",IFERROR(INDEX('CAT_PUESTOS'!$B$4:$B$23,MATCH($G922,'CAT_PUESTOS'!$A$4:$A$23,0)),"(sin catálogo)"))</f>
        <v/>
      </c>
      <c r="AC922" s="24">
        <f>IF($H922="","",IFERROR(INDEX('CAT_ACTIVIDADES'!$B$4:$B$26,MATCH($H922,'CAT_ACTIVIDADES'!$A$4:$A$26,0)),"(sin catálogo)"))</f>
        <v/>
      </c>
      <c r="AD922" s="26">
        <f>IF($J922="","",TODAY()-$J922)</f>
        <v/>
      </c>
      <c r="AE922" s="26">
        <f>IF($J922="","",IF($J922&lt;=TODAY(),COUNTIFS(cal_fechas,"&gt;="&amp;$J922,cal_fechas,"&lt;"&amp;TODAY(),cal_habil,"sí"),-COUNTIFS(cal_fechas,"&gt;="&amp;TODAY(),cal_fechas,"&lt;"&amp;$J922,cal_habil,"sí")))</f>
        <v/>
      </c>
      <c r="AF922" s="24">
        <f>IF($AE922="","",IF($AE922&lt;0,"FUTURO",IF($AE922&gt;p_dias_backlog_max,"BACKLOG","MES CORRIENTE")))</f>
        <v/>
      </c>
      <c r="AG922" s="24">
        <f>IF($AE922="",FALSE,AND($AE922&gt;p_dias_backlog_min,$AE922&lt;=p_dias_backlog_max))</f>
        <v/>
      </c>
      <c r="AH922" s="4" t="n"/>
      <c r="AI922" s="24">
        <f>IF($AH922="","",IF((IFERROR(INDEX('ASIGNACIONES'!$J$4:$J$451,MATCH($O922&amp;"|"&amp;$S922&amp;"|"&amp;$AH922,'ASIGNACIONES'!$N$4:$N$451,0)),""))=0,"",IFERROR(INDEX('ASIGNACIONES'!$J$4:$J$451,MATCH($O922&amp;"|"&amp;$S922&amp;"|"&amp;$AH922,'ASIGNACIONES'!$N$4:$N$451,0)),"")))</f>
        <v/>
      </c>
      <c r="AJ922" s="42">
        <f>IF($AH922="","",SUMIFS('ORDENES'!$M$4:$M$1203,'ORDENES'!$AH$4:$AH$1203,$AH922,'ORDENES'!$O$4:$O$1203,$O922,'ORDENES'!$S$4:$S$1203,$S922))</f>
        <v/>
      </c>
      <c r="AK922" s="42">
        <f>IF($AJ922="","",p_factor_productividad*IFERROR(INDEX('ASIGNACIONES'!$M$4:$M$451,MATCH($O922&amp;"|"&amp;$S922&amp;"|"&amp;$AH922,'ASIGNACIONES'!$N$4:$N$451,0)),0)-$AJ922)</f>
        <v/>
      </c>
      <c r="AL922" s="32">
        <f>IF($A922="","",IFERROR(INDEX('2_IMPORTAR_EJECUCION'!$F$9:$F$1208,MATCH($AU922,'2_IMPORTAR_EJECUCION'!$J$9:$J$1208,0)),0))</f>
        <v/>
      </c>
      <c r="AM922" s="32">
        <f>IF($A922="","",MAX(0,IFERROR(INDEX('2_IMPORTAR_EJECUCION'!$H$9:$H$1208,MATCH($AU922,'2_IMPORTAR_EJECUCION'!$J$9:$J$1208,0)),0)-$AL922))</f>
        <v/>
      </c>
      <c r="AN922" s="32">
        <f>IF($A922="","",$AL922+$AM922)</f>
        <v/>
      </c>
      <c r="AO922" s="24">
        <f>IF($A922="","",IF(OR((IFERROR(INDEX('CAT_ACTIVIDADES'!$D$4:$D$26,MATCH($H922,'CAT_ACTIVIDADES'!$A$4:$A$26,0)),""))=0,(IFERROR(INDEX('CAT_ACTIVIDADES'!$D$4:$D$26,MATCH($H922,'CAT_ACTIVIDADES'!$A$4:$A$26,0)),""))=""),"SIN CLASIFICAR",IFERROR(INDEX('CAT_ACTIVIDADES'!$D$4:$D$26,MATCH($H922,'CAT_ACTIVIDADES'!$A$4:$A$26,0)),"")))</f>
        <v/>
      </c>
      <c r="AP922" s="4" t="n"/>
      <c r="AQ922" s="4" t="n"/>
      <c r="AR922" s="4" t="n"/>
      <c r="AS922" s="24">
        <f>IF($AR922="","",HYPERLINK(p_ruta_base_checklists&amp;$AR922,"abrir"))</f>
        <v/>
      </c>
      <c r="AT922" s="4" t="n"/>
      <c r="AU922" s="24">
        <f>IF($A922="","",$A922&amp;IF($B922="","0010",$B922))</f>
        <v/>
      </c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41" t="n"/>
      <c r="K923" s="5" t="n"/>
      <c r="L923" s="18" t="n"/>
      <c r="M923" s="24">
        <f>IF($A923="","",IFERROR(INDEX('AJUSTES'!$B$4:$B$303,MATCH($AU923,'AJUSTES'!$A$4:$A$303,0)),IF($K923="","",$K923)))</f>
        <v/>
      </c>
      <c r="N923" s="24">
        <f>IF($A923="","",IFERROR(INDEX('CAT_ESTADOS_ERP'!$B$4:$B$22,MATCH(IFERROR(INDEX('2_IMPORTAR_EJECUCION'!$C$9:$C$1208,MATCH($AU923,'2_IMPORTAR_EJECUCION'!$J$9:$J$1208,0)),""),'CAT_ESTADOS_ERP'!$A$4:$A$22,0)),"Pendiente"))</f>
        <v/>
      </c>
      <c r="O923" s="24">
        <f>IF($J923="","",YEAR($J923+4-WEEKDAY($J923,2))&amp;"-S"&amp;TEXT(_xlfn.ISOWEEKNUM($J923),"00"))</f>
        <v/>
      </c>
      <c r="P923" s="24">
        <f>IF($J923="","",YEAR($J923))</f>
        <v/>
      </c>
      <c r="Q923" s="24">
        <f>IF($J923="","",MONTH($J923))</f>
        <v/>
      </c>
      <c r="R923" s="24">
        <f>IF($J923="","",$P923&amp;"-"&amp;TEXT($Q923,"00"))</f>
        <v/>
      </c>
      <c r="S923" s="24">
        <f>IF($J923="","",INDEX(lista_dias,WEEKDAY($J923,2)))</f>
        <v/>
      </c>
      <c r="T923" s="24">
        <f>IF($J923="","",IFERROR(INDEX('CALENDARIO'!$C$15:$C$214,MATCH(TEXT($J923,"yyyy-mm-dd")&amp;"|"&amp;$Y923&amp;"|"&amp;$Z923,'CALENDARIO'!$G$15:$G$214,0)),IFERROR(INDEX('CALENDARIO'!$C$15:$C$214,MATCH(TEXT($J923,"yyyy-mm-dd")&amp;"|"&amp;$Y923&amp;"|",'CALENDARIO'!$G$15:$G$214,0)),IFERROR(INDEX('CALENDARIO'!$C$15:$C$214,MATCH(TEXT($J923,"yyyy-mm-dd")&amp;"||",'CALENDARIO'!$G$15:$G$214,0)),INDEX(patronHabil,WEEKDAY($J923,2))))))</f>
        <v/>
      </c>
      <c r="U923" s="24">
        <f>IF($I923="","",IFERROR(INDEX('CAT_TIPOS_OT'!$C$4:$C$23,MATCH($I923,'CAT_TIPOS_OT'!$A$4:$A$23,0)),"sin_clasificar"))</f>
        <v/>
      </c>
      <c r="V923" s="24">
        <f>IF($I923="","",IF(IFERROR(INDEX('CAT_TIPOS_OT'!$D$4:$D$23,MATCH($I923,'CAT_TIPOS_OT'!$A$4:$A$23,0)),"SIN CLASIFICAR")="","SIN CLASIFICAR",IFERROR(INDEX('CAT_TIPOS_OT'!$D$4:$D$23,MATCH($I923,'CAT_TIPOS_OT'!$A$4:$A$23,0)),"SIN CLASIFICAR")))</f>
        <v/>
      </c>
      <c r="W923" s="24">
        <f>IF($H923="","",IF(IFERROR(INDEX('CAT_ACTIVIDADES'!$F$4:$F$26,MATCH($H923,'CAT_ACTIVIDADES'!$A$4:$A$26,0)),"")=0,"",IFERROR(INDEX('CAT_ACTIVIDADES'!$F$4:$F$26,MATCH($H923,'CAT_ACTIVIDADES'!$A$4:$A$26,0)),"")))</f>
        <v/>
      </c>
      <c r="X923" s="24">
        <f>IF($F923="","",IFERROR(INDEX('CAT_CENTROS_COSTO'!$F$4:$F$28,MATCH($F923,'CAT_CENTROS_COSTO'!$A$4:$A$28,0)),"(sin catálogo)"))</f>
        <v/>
      </c>
      <c r="Y923" s="24">
        <f>IF($F923="","",IFERROR(INDEX('CAT_CENTROS_COSTO'!$D$4:$D$28,MATCH($F923,'CAT_CENTROS_COSTO'!$A$4:$A$28,0)),"(sin catálogo)"))</f>
        <v/>
      </c>
      <c r="Z923" s="24">
        <f>IF($F923="","",IF((IFERROR(INDEX('CAT_CENTROS_COSTO'!$E$4:$E$28,MATCH($F923,'CAT_CENTROS_COSTO'!$A$4:$A$28,0)),""))&lt;&gt;"",IFERROR(INDEX('CAT_CENTROS_COSTO'!$E$4:$E$28,MATCH($F923,'CAT_CENTROS_COSTO'!$A$4:$A$28,0)),""),$Y923))</f>
        <v/>
      </c>
      <c r="AA923" s="24">
        <f>IF($F923="","",IFERROR(INDEX('CAT_CENTROS_COSTO'!$G$4:$G$28,MATCH($F923,'CAT_CENTROS_COSTO'!$A$4:$A$28,0)),"(sin catálogo)"))</f>
        <v/>
      </c>
      <c r="AB923" s="24">
        <f>IF($G923="","",IFERROR(INDEX('CAT_PUESTOS'!$B$4:$B$23,MATCH($G923,'CAT_PUESTOS'!$A$4:$A$23,0)),"(sin catálogo)"))</f>
        <v/>
      </c>
      <c r="AC923" s="24">
        <f>IF($H923="","",IFERROR(INDEX('CAT_ACTIVIDADES'!$B$4:$B$26,MATCH($H923,'CAT_ACTIVIDADES'!$A$4:$A$26,0)),"(sin catálogo)"))</f>
        <v/>
      </c>
      <c r="AD923" s="26">
        <f>IF($J923="","",TODAY()-$J923)</f>
        <v/>
      </c>
      <c r="AE923" s="26">
        <f>IF($J923="","",IF($J923&lt;=TODAY(),COUNTIFS(cal_fechas,"&gt;="&amp;$J923,cal_fechas,"&lt;"&amp;TODAY(),cal_habil,"sí"),-COUNTIFS(cal_fechas,"&gt;="&amp;TODAY(),cal_fechas,"&lt;"&amp;$J923,cal_habil,"sí")))</f>
        <v/>
      </c>
      <c r="AF923" s="24">
        <f>IF($AE923="","",IF($AE923&lt;0,"FUTURO",IF($AE923&gt;p_dias_backlog_max,"BACKLOG","MES CORRIENTE")))</f>
        <v/>
      </c>
      <c r="AG923" s="24">
        <f>IF($AE923="",FALSE,AND($AE923&gt;p_dias_backlog_min,$AE923&lt;=p_dias_backlog_max))</f>
        <v/>
      </c>
      <c r="AH923" s="4" t="n"/>
      <c r="AI923" s="24">
        <f>IF($AH923="","",IF((IFERROR(INDEX('ASIGNACIONES'!$J$4:$J$451,MATCH($O923&amp;"|"&amp;$S923&amp;"|"&amp;$AH923,'ASIGNACIONES'!$N$4:$N$451,0)),""))=0,"",IFERROR(INDEX('ASIGNACIONES'!$J$4:$J$451,MATCH($O923&amp;"|"&amp;$S923&amp;"|"&amp;$AH923,'ASIGNACIONES'!$N$4:$N$451,0)),"")))</f>
        <v/>
      </c>
      <c r="AJ923" s="42">
        <f>IF($AH923="","",SUMIFS('ORDENES'!$M$4:$M$1203,'ORDENES'!$AH$4:$AH$1203,$AH923,'ORDENES'!$O$4:$O$1203,$O923,'ORDENES'!$S$4:$S$1203,$S923))</f>
        <v/>
      </c>
      <c r="AK923" s="42">
        <f>IF($AJ923="","",p_factor_productividad*IFERROR(INDEX('ASIGNACIONES'!$M$4:$M$451,MATCH($O923&amp;"|"&amp;$S923&amp;"|"&amp;$AH923,'ASIGNACIONES'!$N$4:$N$451,0)),0)-$AJ923)</f>
        <v/>
      </c>
      <c r="AL923" s="32">
        <f>IF($A923="","",IFERROR(INDEX('2_IMPORTAR_EJECUCION'!$F$9:$F$1208,MATCH($AU923,'2_IMPORTAR_EJECUCION'!$J$9:$J$1208,0)),0))</f>
        <v/>
      </c>
      <c r="AM923" s="32">
        <f>IF($A923="","",MAX(0,IFERROR(INDEX('2_IMPORTAR_EJECUCION'!$H$9:$H$1208,MATCH($AU923,'2_IMPORTAR_EJECUCION'!$J$9:$J$1208,0)),0)-$AL923))</f>
        <v/>
      </c>
      <c r="AN923" s="32">
        <f>IF($A923="","",$AL923+$AM923)</f>
        <v/>
      </c>
      <c r="AO923" s="24">
        <f>IF($A923="","",IF(OR((IFERROR(INDEX('CAT_ACTIVIDADES'!$D$4:$D$26,MATCH($H923,'CAT_ACTIVIDADES'!$A$4:$A$26,0)),""))=0,(IFERROR(INDEX('CAT_ACTIVIDADES'!$D$4:$D$26,MATCH($H923,'CAT_ACTIVIDADES'!$A$4:$A$26,0)),""))=""),"SIN CLASIFICAR",IFERROR(INDEX('CAT_ACTIVIDADES'!$D$4:$D$26,MATCH($H923,'CAT_ACTIVIDADES'!$A$4:$A$26,0)),"")))</f>
        <v/>
      </c>
      <c r="AP923" s="4" t="n"/>
      <c r="AQ923" s="4" t="n"/>
      <c r="AR923" s="4" t="n"/>
      <c r="AS923" s="24">
        <f>IF($AR923="","",HYPERLINK(p_ruta_base_checklists&amp;$AR923,"abrir"))</f>
        <v/>
      </c>
      <c r="AT923" s="4" t="n"/>
      <c r="AU923" s="24">
        <f>IF($A923="","",$A923&amp;IF($B923="","0010",$B923))</f>
        <v/>
      </c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41" t="n"/>
      <c r="K924" s="5" t="n"/>
      <c r="L924" s="18" t="n"/>
      <c r="M924" s="24">
        <f>IF($A924="","",IFERROR(INDEX('AJUSTES'!$B$4:$B$303,MATCH($AU924,'AJUSTES'!$A$4:$A$303,0)),IF($K924="","",$K924)))</f>
        <v/>
      </c>
      <c r="N924" s="24">
        <f>IF($A924="","",IFERROR(INDEX('CAT_ESTADOS_ERP'!$B$4:$B$22,MATCH(IFERROR(INDEX('2_IMPORTAR_EJECUCION'!$C$9:$C$1208,MATCH($AU924,'2_IMPORTAR_EJECUCION'!$J$9:$J$1208,0)),""),'CAT_ESTADOS_ERP'!$A$4:$A$22,0)),"Pendiente"))</f>
        <v/>
      </c>
      <c r="O924" s="24">
        <f>IF($J924="","",YEAR($J924+4-WEEKDAY($J924,2))&amp;"-S"&amp;TEXT(_xlfn.ISOWEEKNUM($J924),"00"))</f>
        <v/>
      </c>
      <c r="P924" s="24">
        <f>IF($J924="","",YEAR($J924))</f>
        <v/>
      </c>
      <c r="Q924" s="24">
        <f>IF($J924="","",MONTH($J924))</f>
        <v/>
      </c>
      <c r="R924" s="24">
        <f>IF($J924="","",$P924&amp;"-"&amp;TEXT($Q924,"00"))</f>
        <v/>
      </c>
      <c r="S924" s="24">
        <f>IF($J924="","",INDEX(lista_dias,WEEKDAY($J924,2)))</f>
        <v/>
      </c>
      <c r="T924" s="24">
        <f>IF($J924="","",IFERROR(INDEX('CALENDARIO'!$C$15:$C$214,MATCH(TEXT($J924,"yyyy-mm-dd")&amp;"|"&amp;$Y924&amp;"|"&amp;$Z924,'CALENDARIO'!$G$15:$G$214,0)),IFERROR(INDEX('CALENDARIO'!$C$15:$C$214,MATCH(TEXT($J924,"yyyy-mm-dd")&amp;"|"&amp;$Y924&amp;"|",'CALENDARIO'!$G$15:$G$214,0)),IFERROR(INDEX('CALENDARIO'!$C$15:$C$214,MATCH(TEXT($J924,"yyyy-mm-dd")&amp;"||",'CALENDARIO'!$G$15:$G$214,0)),INDEX(patronHabil,WEEKDAY($J924,2))))))</f>
        <v/>
      </c>
      <c r="U924" s="24">
        <f>IF($I924="","",IFERROR(INDEX('CAT_TIPOS_OT'!$C$4:$C$23,MATCH($I924,'CAT_TIPOS_OT'!$A$4:$A$23,0)),"sin_clasificar"))</f>
        <v/>
      </c>
      <c r="V924" s="24">
        <f>IF($I924="","",IF(IFERROR(INDEX('CAT_TIPOS_OT'!$D$4:$D$23,MATCH($I924,'CAT_TIPOS_OT'!$A$4:$A$23,0)),"SIN CLASIFICAR")="","SIN CLASIFICAR",IFERROR(INDEX('CAT_TIPOS_OT'!$D$4:$D$23,MATCH($I924,'CAT_TIPOS_OT'!$A$4:$A$23,0)),"SIN CLASIFICAR")))</f>
        <v/>
      </c>
      <c r="W924" s="24">
        <f>IF($H924="","",IF(IFERROR(INDEX('CAT_ACTIVIDADES'!$F$4:$F$26,MATCH($H924,'CAT_ACTIVIDADES'!$A$4:$A$26,0)),"")=0,"",IFERROR(INDEX('CAT_ACTIVIDADES'!$F$4:$F$26,MATCH($H924,'CAT_ACTIVIDADES'!$A$4:$A$26,0)),"")))</f>
        <v/>
      </c>
      <c r="X924" s="24">
        <f>IF($F924="","",IFERROR(INDEX('CAT_CENTROS_COSTO'!$F$4:$F$28,MATCH($F924,'CAT_CENTROS_COSTO'!$A$4:$A$28,0)),"(sin catálogo)"))</f>
        <v/>
      </c>
      <c r="Y924" s="24">
        <f>IF($F924="","",IFERROR(INDEX('CAT_CENTROS_COSTO'!$D$4:$D$28,MATCH($F924,'CAT_CENTROS_COSTO'!$A$4:$A$28,0)),"(sin catálogo)"))</f>
        <v/>
      </c>
      <c r="Z924" s="24">
        <f>IF($F924="","",IF((IFERROR(INDEX('CAT_CENTROS_COSTO'!$E$4:$E$28,MATCH($F924,'CAT_CENTROS_COSTO'!$A$4:$A$28,0)),""))&lt;&gt;"",IFERROR(INDEX('CAT_CENTROS_COSTO'!$E$4:$E$28,MATCH($F924,'CAT_CENTROS_COSTO'!$A$4:$A$28,0)),""),$Y924))</f>
        <v/>
      </c>
      <c r="AA924" s="24">
        <f>IF($F924="","",IFERROR(INDEX('CAT_CENTROS_COSTO'!$G$4:$G$28,MATCH($F924,'CAT_CENTROS_COSTO'!$A$4:$A$28,0)),"(sin catálogo)"))</f>
        <v/>
      </c>
      <c r="AB924" s="24">
        <f>IF($G924="","",IFERROR(INDEX('CAT_PUESTOS'!$B$4:$B$23,MATCH($G924,'CAT_PUESTOS'!$A$4:$A$23,0)),"(sin catálogo)"))</f>
        <v/>
      </c>
      <c r="AC924" s="24">
        <f>IF($H924="","",IFERROR(INDEX('CAT_ACTIVIDADES'!$B$4:$B$26,MATCH($H924,'CAT_ACTIVIDADES'!$A$4:$A$26,0)),"(sin catálogo)"))</f>
        <v/>
      </c>
      <c r="AD924" s="26">
        <f>IF($J924="","",TODAY()-$J924)</f>
        <v/>
      </c>
      <c r="AE924" s="26">
        <f>IF($J924="","",IF($J924&lt;=TODAY(),COUNTIFS(cal_fechas,"&gt;="&amp;$J924,cal_fechas,"&lt;"&amp;TODAY(),cal_habil,"sí"),-COUNTIFS(cal_fechas,"&gt;="&amp;TODAY(),cal_fechas,"&lt;"&amp;$J924,cal_habil,"sí")))</f>
        <v/>
      </c>
      <c r="AF924" s="24">
        <f>IF($AE924="","",IF($AE924&lt;0,"FUTURO",IF($AE924&gt;p_dias_backlog_max,"BACKLOG","MES CORRIENTE")))</f>
        <v/>
      </c>
      <c r="AG924" s="24">
        <f>IF($AE924="",FALSE,AND($AE924&gt;p_dias_backlog_min,$AE924&lt;=p_dias_backlog_max))</f>
        <v/>
      </c>
      <c r="AH924" s="4" t="n"/>
      <c r="AI924" s="24">
        <f>IF($AH924="","",IF((IFERROR(INDEX('ASIGNACIONES'!$J$4:$J$451,MATCH($O924&amp;"|"&amp;$S924&amp;"|"&amp;$AH924,'ASIGNACIONES'!$N$4:$N$451,0)),""))=0,"",IFERROR(INDEX('ASIGNACIONES'!$J$4:$J$451,MATCH($O924&amp;"|"&amp;$S924&amp;"|"&amp;$AH924,'ASIGNACIONES'!$N$4:$N$451,0)),"")))</f>
        <v/>
      </c>
      <c r="AJ924" s="42">
        <f>IF($AH924="","",SUMIFS('ORDENES'!$M$4:$M$1203,'ORDENES'!$AH$4:$AH$1203,$AH924,'ORDENES'!$O$4:$O$1203,$O924,'ORDENES'!$S$4:$S$1203,$S924))</f>
        <v/>
      </c>
      <c r="AK924" s="42">
        <f>IF($AJ924="","",p_factor_productividad*IFERROR(INDEX('ASIGNACIONES'!$M$4:$M$451,MATCH($O924&amp;"|"&amp;$S924&amp;"|"&amp;$AH924,'ASIGNACIONES'!$N$4:$N$451,0)),0)-$AJ924)</f>
        <v/>
      </c>
      <c r="AL924" s="32">
        <f>IF($A924="","",IFERROR(INDEX('2_IMPORTAR_EJECUCION'!$F$9:$F$1208,MATCH($AU924,'2_IMPORTAR_EJECUCION'!$J$9:$J$1208,0)),0))</f>
        <v/>
      </c>
      <c r="AM924" s="32">
        <f>IF($A924="","",MAX(0,IFERROR(INDEX('2_IMPORTAR_EJECUCION'!$H$9:$H$1208,MATCH($AU924,'2_IMPORTAR_EJECUCION'!$J$9:$J$1208,0)),0)-$AL924))</f>
        <v/>
      </c>
      <c r="AN924" s="32">
        <f>IF($A924="","",$AL924+$AM924)</f>
        <v/>
      </c>
      <c r="AO924" s="24">
        <f>IF($A924="","",IF(OR((IFERROR(INDEX('CAT_ACTIVIDADES'!$D$4:$D$26,MATCH($H924,'CAT_ACTIVIDADES'!$A$4:$A$26,0)),""))=0,(IFERROR(INDEX('CAT_ACTIVIDADES'!$D$4:$D$26,MATCH($H924,'CAT_ACTIVIDADES'!$A$4:$A$26,0)),""))=""),"SIN CLASIFICAR",IFERROR(INDEX('CAT_ACTIVIDADES'!$D$4:$D$26,MATCH($H924,'CAT_ACTIVIDADES'!$A$4:$A$26,0)),"")))</f>
        <v/>
      </c>
      <c r="AP924" s="4" t="n"/>
      <c r="AQ924" s="4" t="n"/>
      <c r="AR924" s="4" t="n"/>
      <c r="AS924" s="24">
        <f>IF($AR924="","",HYPERLINK(p_ruta_base_checklists&amp;$AR924,"abrir"))</f>
        <v/>
      </c>
      <c r="AT924" s="4" t="n"/>
      <c r="AU924" s="24">
        <f>IF($A924="","",$A924&amp;IF($B924="","0010",$B924))</f>
        <v/>
      </c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41" t="n"/>
      <c r="K925" s="5" t="n"/>
      <c r="L925" s="18" t="n"/>
      <c r="M925" s="24">
        <f>IF($A925="","",IFERROR(INDEX('AJUSTES'!$B$4:$B$303,MATCH($AU925,'AJUSTES'!$A$4:$A$303,0)),IF($K925="","",$K925)))</f>
        <v/>
      </c>
      <c r="N925" s="24">
        <f>IF($A925="","",IFERROR(INDEX('CAT_ESTADOS_ERP'!$B$4:$B$22,MATCH(IFERROR(INDEX('2_IMPORTAR_EJECUCION'!$C$9:$C$1208,MATCH($AU925,'2_IMPORTAR_EJECUCION'!$J$9:$J$1208,0)),""),'CAT_ESTADOS_ERP'!$A$4:$A$22,0)),"Pendiente"))</f>
        <v/>
      </c>
      <c r="O925" s="24">
        <f>IF($J925="","",YEAR($J925+4-WEEKDAY($J925,2))&amp;"-S"&amp;TEXT(_xlfn.ISOWEEKNUM($J925),"00"))</f>
        <v/>
      </c>
      <c r="P925" s="24">
        <f>IF($J925="","",YEAR($J925))</f>
        <v/>
      </c>
      <c r="Q925" s="24">
        <f>IF($J925="","",MONTH($J925))</f>
        <v/>
      </c>
      <c r="R925" s="24">
        <f>IF($J925="","",$P925&amp;"-"&amp;TEXT($Q925,"00"))</f>
        <v/>
      </c>
      <c r="S925" s="24">
        <f>IF($J925="","",INDEX(lista_dias,WEEKDAY($J925,2)))</f>
        <v/>
      </c>
      <c r="T925" s="24">
        <f>IF($J925="","",IFERROR(INDEX('CALENDARIO'!$C$15:$C$214,MATCH(TEXT($J925,"yyyy-mm-dd")&amp;"|"&amp;$Y925&amp;"|"&amp;$Z925,'CALENDARIO'!$G$15:$G$214,0)),IFERROR(INDEX('CALENDARIO'!$C$15:$C$214,MATCH(TEXT($J925,"yyyy-mm-dd")&amp;"|"&amp;$Y925&amp;"|",'CALENDARIO'!$G$15:$G$214,0)),IFERROR(INDEX('CALENDARIO'!$C$15:$C$214,MATCH(TEXT($J925,"yyyy-mm-dd")&amp;"||",'CALENDARIO'!$G$15:$G$214,0)),INDEX(patronHabil,WEEKDAY($J925,2))))))</f>
        <v/>
      </c>
      <c r="U925" s="24">
        <f>IF($I925="","",IFERROR(INDEX('CAT_TIPOS_OT'!$C$4:$C$23,MATCH($I925,'CAT_TIPOS_OT'!$A$4:$A$23,0)),"sin_clasificar"))</f>
        <v/>
      </c>
      <c r="V925" s="24">
        <f>IF($I925="","",IF(IFERROR(INDEX('CAT_TIPOS_OT'!$D$4:$D$23,MATCH($I925,'CAT_TIPOS_OT'!$A$4:$A$23,0)),"SIN CLASIFICAR")="","SIN CLASIFICAR",IFERROR(INDEX('CAT_TIPOS_OT'!$D$4:$D$23,MATCH($I925,'CAT_TIPOS_OT'!$A$4:$A$23,0)),"SIN CLASIFICAR")))</f>
        <v/>
      </c>
      <c r="W925" s="24">
        <f>IF($H925="","",IF(IFERROR(INDEX('CAT_ACTIVIDADES'!$F$4:$F$26,MATCH($H925,'CAT_ACTIVIDADES'!$A$4:$A$26,0)),"")=0,"",IFERROR(INDEX('CAT_ACTIVIDADES'!$F$4:$F$26,MATCH($H925,'CAT_ACTIVIDADES'!$A$4:$A$26,0)),"")))</f>
        <v/>
      </c>
      <c r="X925" s="24">
        <f>IF($F925="","",IFERROR(INDEX('CAT_CENTROS_COSTO'!$F$4:$F$28,MATCH($F925,'CAT_CENTROS_COSTO'!$A$4:$A$28,0)),"(sin catálogo)"))</f>
        <v/>
      </c>
      <c r="Y925" s="24">
        <f>IF($F925="","",IFERROR(INDEX('CAT_CENTROS_COSTO'!$D$4:$D$28,MATCH($F925,'CAT_CENTROS_COSTO'!$A$4:$A$28,0)),"(sin catálogo)"))</f>
        <v/>
      </c>
      <c r="Z925" s="24">
        <f>IF($F925="","",IF((IFERROR(INDEX('CAT_CENTROS_COSTO'!$E$4:$E$28,MATCH($F925,'CAT_CENTROS_COSTO'!$A$4:$A$28,0)),""))&lt;&gt;"",IFERROR(INDEX('CAT_CENTROS_COSTO'!$E$4:$E$28,MATCH($F925,'CAT_CENTROS_COSTO'!$A$4:$A$28,0)),""),$Y925))</f>
        <v/>
      </c>
      <c r="AA925" s="24">
        <f>IF($F925="","",IFERROR(INDEX('CAT_CENTROS_COSTO'!$G$4:$G$28,MATCH($F925,'CAT_CENTROS_COSTO'!$A$4:$A$28,0)),"(sin catálogo)"))</f>
        <v/>
      </c>
      <c r="AB925" s="24">
        <f>IF($G925="","",IFERROR(INDEX('CAT_PUESTOS'!$B$4:$B$23,MATCH($G925,'CAT_PUESTOS'!$A$4:$A$23,0)),"(sin catálogo)"))</f>
        <v/>
      </c>
      <c r="AC925" s="24">
        <f>IF($H925="","",IFERROR(INDEX('CAT_ACTIVIDADES'!$B$4:$B$26,MATCH($H925,'CAT_ACTIVIDADES'!$A$4:$A$26,0)),"(sin catálogo)"))</f>
        <v/>
      </c>
      <c r="AD925" s="26">
        <f>IF($J925="","",TODAY()-$J925)</f>
        <v/>
      </c>
      <c r="AE925" s="26">
        <f>IF($J925="","",IF($J925&lt;=TODAY(),COUNTIFS(cal_fechas,"&gt;="&amp;$J925,cal_fechas,"&lt;"&amp;TODAY(),cal_habil,"sí"),-COUNTIFS(cal_fechas,"&gt;="&amp;TODAY(),cal_fechas,"&lt;"&amp;$J925,cal_habil,"sí")))</f>
        <v/>
      </c>
      <c r="AF925" s="24">
        <f>IF($AE925="","",IF($AE925&lt;0,"FUTURO",IF($AE925&gt;p_dias_backlog_max,"BACKLOG","MES CORRIENTE")))</f>
        <v/>
      </c>
      <c r="AG925" s="24">
        <f>IF($AE925="",FALSE,AND($AE925&gt;p_dias_backlog_min,$AE925&lt;=p_dias_backlog_max))</f>
        <v/>
      </c>
      <c r="AH925" s="4" t="n"/>
      <c r="AI925" s="24">
        <f>IF($AH925="","",IF((IFERROR(INDEX('ASIGNACIONES'!$J$4:$J$451,MATCH($O925&amp;"|"&amp;$S925&amp;"|"&amp;$AH925,'ASIGNACIONES'!$N$4:$N$451,0)),""))=0,"",IFERROR(INDEX('ASIGNACIONES'!$J$4:$J$451,MATCH($O925&amp;"|"&amp;$S925&amp;"|"&amp;$AH925,'ASIGNACIONES'!$N$4:$N$451,0)),"")))</f>
        <v/>
      </c>
      <c r="AJ925" s="42">
        <f>IF($AH925="","",SUMIFS('ORDENES'!$M$4:$M$1203,'ORDENES'!$AH$4:$AH$1203,$AH925,'ORDENES'!$O$4:$O$1203,$O925,'ORDENES'!$S$4:$S$1203,$S925))</f>
        <v/>
      </c>
      <c r="AK925" s="42">
        <f>IF($AJ925="","",p_factor_productividad*IFERROR(INDEX('ASIGNACIONES'!$M$4:$M$451,MATCH($O925&amp;"|"&amp;$S925&amp;"|"&amp;$AH925,'ASIGNACIONES'!$N$4:$N$451,0)),0)-$AJ925)</f>
        <v/>
      </c>
      <c r="AL925" s="32">
        <f>IF($A925="","",IFERROR(INDEX('2_IMPORTAR_EJECUCION'!$F$9:$F$1208,MATCH($AU925,'2_IMPORTAR_EJECUCION'!$J$9:$J$1208,0)),0))</f>
        <v/>
      </c>
      <c r="AM925" s="32">
        <f>IF($A925="","",MAX(0,IFERROR(INDEX('2_IMPORTAR_EJECUCION'!$H$9:$H$1208,MATCH($AU925,'2_IMPORTAR_EJECUCION'!$J$9:$J$1208,0)),0)-$AL925))</f>
        <v/>
      </c>
      <c r="AN925" s="32">
        <f>IF($A925="","",$AL925+$AM925)</f>
        <v/>
      </c>
      <c r="AO925" s="24">
        <f>IF($A925="","",IF(OR((IFERROR(INDEX('CAT_ACTIVIDADES'!$D$4:$D$26,MATCH($H925,'CAT_ACTIVIDADES'!$A$4:$A$26,0)),""))=0,(IFERROR(INDEX('CAT_ACTIVIDADES'!$D$4:$D$26,MATCH($H925,'CAT_ACTIVIDADES'!$A$4:$A$26,0)),""))=""),"SIN CLASIFICAR",IFERROR(INDEX('CAT_ACTIVIDADES'!$D$4:$D$26,MATCH($H925,'CAT_ACTIVIDADES'!$A$4:$A$26,0)),"")))</f>
        <v/>
      </c>
      <c r="AP925" s="4" t="n"/>
      <c r="AQ925" s="4" t="n"/>
      <c r="AR925" s="4" t="n"/>
      <c r="AS925" s="24">
        <f>IF($AR925="","",HYPERLINK(p_ruta_base_checklists&amp;$AR925,"abrir"))</f>
        <v/>
      </c>
      <c r="AT925" s="4" t="n"/>
      <c r="AU925" s="24">
        <f>IF($A925="","",$A925&amp;IF($B925="","0010",$B925))</f>
        <v/>
      </c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41" t="n"/>
      <c r="K926" s="5" t="n"/>
      <c r="L926" s="18" t="n"/>
      <c r="M926" s="24">
        <f>IF($A926="","",IFERROR(INDEX('AJUSTES'!$B$4:$B$303,MATCH($AU926,'AJUSTES'!$A$4:$A$303,0)),IF($K926="","",$K926)))</f>
        <v/>
      </c>
      <c r="N926" s="24">
        <f>IF($A926="","",IFERROR(INDEX('CAT_ESTADOS_ERP'!$B$4:$B$22,MATCH(IFERROR(INDEX('2_IMPORTAR_EJECUCION'!$C$9:$C$1208,MATCH($AU926,'2_IMPORTAR_EJECUCION'!$J$9:$J$1208,0)),""),'CAT_ESTADOS_ERP'!$A$4:$A$22,0)),"Pendiente"))</f>
        <v/>
      </c>
      <c r="O926" s="24">
        <f>IF($J926="","",YEAR($J926+4-WEEKDAY($J926,2))&amp;"-S"&amp;TEXT(_xlfn.ISOWEEKNUM($J926),"00"))</f>
        <v/>
      </c>
      <c r="P926" s="24">
        <f>IF($J926="","",YEAR($J926))</f>
        <v/>
      </c>
      <c r="Q926" s="24">
        <f>IF($J926="","",MONTH($J926))</f>
        <v/>
      </c>
      <c r="R926" s="24">
        <f>IF($J926="","",$P926&amp;"-"&amp;TEXT($Q926,"00"))</f>
        <v/>
      </c>
      <c r="S926" s="24">
        <f>IF($J926="","",INDEX(lista_dias,WEEKDAY($J926,2)))</f>
        <v/>
      </c>
      <c r="T926" s="24">
        <f>IF($J926="","",IFERROR(INDEX('CALENDARIO'!$C$15:$C$214,MATCH(TEXT($J926,"yyyy-mm-dd")&amp;"|"&amp;$Y926&amp;"|"&amp;$Z926,'CALENDARIO'!$G$15:$G$214,0)),IFERROR(INDEX('CALENDARIO'!$C$15:$C$214,MATCH(TEXT($J926,"yyyy-mm-dd")&amp;"|"&amp;$Y926&amp;"|",'CALENDARIO'!$G$15:$G$214,0)),IFERROR(INDEX('CALENDARIO'!$C$15:$C$214,MATCH(TEXT($J926,"yyyy-mm-dd")&amp;"||",'CALENDARIO'!$G$15:$G$214,0)),INDEX(patronHabil,WEEKDAY($J926,2))))))</f>
        <v/>
      </c>
      <c r="U926" s="24">
        <f>IF($I926="","",IFERROR(INDEX('CAT_TIPOS_OT'!$C$4:$C$23,MATCH($I926,'CAT_TIPOS_OT'!$A$4:$A$23,0)),"sin_clasificar"))</f>
        <v/>
      </c>
      <c r="V926" s="24">
        <f>IF($I926="","",IF(IFERROR(INDEX('CAT_TIPOS_OT'!$D$4:$D$23,MATCH($I926,'CAT_TIPOS_OT'!$A$4:$A$23,0)),"SIN CLASIFICAR")="","SIN CLASIFICAR",IFERROR(INDEX('CAT_TIPOS_OT'!$D$4:$D$23,MATCH($I926,'CAT_TIPOS_OT'!$A$4:$A$23,0)),"SIN CLASIFICAR")))</f>
        <v/>
      </c>
      <c r="W926" s="24">
        <f>IF($H926="","",IF(IFERROR(INDEX('CAT_ACTIVIDADES'!$F$4:$F$26,MATCH($H926,'CAT_ACTIVIDADES'!$A$4:$A$26,0)),"")=0,"",IFERROR(INDEX('CAT_ACTIVIDADES'!$F$4:$F$26,MATCH($H926,'CAT_ACTIVIDADES'!$A$4:$A$26,0)),"")))</f>
        <v/>
      </c>
      <c r="X926" s="24">
        <f>IF($F926="","",IFERROR(INDEX('CAT_CENTROS_COSTO'!$F$4:$F$28,MATCH($F926,'CAT_CENTROS_COSTO'!$A$4:$A$28,0)),"(sin catálogo)"))</f>
        <v/>
      </c>
      <c r="Y926" s="24">
        <f>IF($F926="","",IFERROR(INDEX('CAT_CENTROS_COSTO'!$D$4:$D$28,MATCH($F926,'CAT_CENTROS_COSTO'!$A$4:$A$28,0)),"(sin catálogo)"))</f>
        <v/>
      </c>
      <c r="Z926" s="24">
        <f>IF($F926="","",IF((IFERROR(INDEX('CAT_CENTROS_COSTO'!$E$4:$E$28,MATCH($F926,'CAT_CENTROS_COSTO'!$A$4:$A$28,0)),""))&lt;&gt;"",IFERROR(INDEX('CAT_CENTROS_COSTO'!$E$4:$E$28,MATCH($F926,'CAT_CENTROS_COSTO'!$A$4:$A$28,0)),""),$Y926))</f>
        <v/>
      </c>
      <c r="AA926" s="24">
        <f>IF($F926="","",IFERROR(INDEX('CAT_CENTROS_COSTO'!$G$4:$G$28,MATCH($F926,'CAT_CENTROS_COSTO'!$A$4:$A$28,0)),"(sin catálogo)"))</f>
        <v/>
      </c>
      <c r="AB926" s="24">
        <f>IF($G926="","",IFERROR(INDEX('CAT_PUESTOS'!$B$4:$B$23,MATCH($G926,'CAT_PUESTOS'!$A$4:$A$23,0)),"(sin catálogo)"))</f>
        <v/>
      </c>
      <c r="AC926" s="24">
        <f>IF($H926="","",IFERROR(INDEX('CAT_ACTIVIDADES'!$B$4:$B$26,MATCH($H926,'CAT_ACTIVIDADES'!$A$4:$A$26,0)),"(sin catálogo)"))</f>
        <v/>
      </c>
      <c r="AD926" s="26">
        <f>IF($J926="","",TODAY()-$J926)</f>
        <v/>
      </c>
      <c r="AE926" s="26">
        <f>IF($J926="","",IF($J926&lt;=TODAY(),COUNTIFS(cal_fechas,"&gt;="&amp;$J926,cal_fechas,"&lt;"&amp;TODAY(),cal_habil,"sí"),-COUNTIFS(cal_fechas,"&gt;="&amp;TODAY(),cal_fechas,"&lt;"&amp;$J926,cal_habil,"sí")))</f>
        <v/>
      </c>
      <c r="AF926" s="24">
        <f>IF($AE926="","",IF($AE926&lt;0,"FUTURO",IF($AE926&gt;p_dias_backlog_max,"BACKLOG","MES CORRIENTE")))</f>
        <v/>
      </c>
      <c r="AG926" s="24">
        <f>IF($AE926="",FALSE,AND($AE926&gt;p_dias_backlog_min,$AE926&lt;=p_dias_backlog_max))</f>
        <v/>
      </c>
      <c r="AH926" s="4" t="n"/>
      <c r="AI926" s="24">
        <f>IF($AH926="","",IF((IFERROR(INDEX('ASIGNACIONES'!$J$4:$J$451,MATCH($O926&amp;"|"&amp;$S926&amp;"|"&amp;$AH926,'ASIGNACIONES'!$N$4:$N$451,0)),""))=0,"",IFERROR(INDEX('ASIGNACIONES'!$J$4:$J$451,MATCH($O926&amp;"|"&amp;$S926&amp;"|"&amp;$AH926,'ASIGNACIONES'!$N$4:$N$451,0)),"")))</f>
        <v/>
      </c>
      <c r="AJ926" s="42">
        <f>IF($AH926="","",SUMIFS('ORDENES'!$M$4:$M$1203,'ORDENES'!$AH$4:$AH$1203,$AH926,'ORDENES'!$O$4:$O$1203,$O926,'ORDENES'!$S$4:$S$1203,$S926))</f>
        <v/>
      </c>
      <c r="AK926" s="42">
        <f>IF($AJ926="","",p_factor_productividad*IFERROR(INDEX('ASIGNACIONES'!$M$4:$M$451,MATCH($O926&amp;"|"&amp;$S926&amp;"|"&amp;$AH926,'ASIGNACIONES'!$N$4:$N$451,0)),0)-$AJ926)</f>
        <v/>
      </c>
      <c r="AL926" s="32">
        <f>IF($A926="","",IFERROR(INDEX('2_IMPORTAR_EJECUCION'!$F$9:$F$1208,MATCH($AU926,'2_IMPORTAR_EJECUCION'!$J$9:$J$1208,0)),0))</f>
        <v/>
      </c>
      <c r="AM926" s="32">
        <f>IF($A926="","",MAX(0,IFERROR(INDEX('2_IMPORTAR_EJECUCION'!$H$9:$H$1208,MATCH($AU926,'2_IMPORTAR_EJECUCION'!$J$9:$J$1208,0)),0)-$AL926))</f>
        <v/>
      </c>
      <c r="AN926" s="32">
        <f>IF($A926="","",$AL926+$AM926)</f>
        <v/>
      </c>
      <c r="AO926" s="24">
        <f>IF($A926="","",IF(OR((IFERROR(INDEX('CAT_ACTIVIDADES'!$D$4:$D$26,MATCH($H926,'CAT_ACTIVIDADES'!$A$4:$A$26,0)),""))=0,(IFERROR(INDEX('CAT_ACTIVIDADES'!$D$4:$D$26,MATCH($H926,'CAT_ACTIVIDADES'!$A$4:$A$26,0)),""))=""),"SIN CLASIFICAR",IFERROR(INDEX('CAT_ACTIVIDADES'!$D$4:$D$26,MATCH($H926,'CAT_ACTIVIDADES'!$A$4:$A$26,0)),"")))</f>
        <v/>
      </c>
      <c r="AP926" s="4" t="n"/>
      <c r="AQ926" s="4" t="n"/>
      <c r="AR926" s="4" t="n"/>
      <c r="AS926" s="24">
        <f>IF($AR926="","",HYPERLINK(p_ruta_base_checklists&amp;$AR926,"abrir"))</f>
        <v/>
      </c>
      <c r="AT926" s="4" t="n"/>
      <c r="AU926" s="24">
        <f>IF($A926="","",$A926&amp;IF($B926="","0010",$B926))</f>
        <v/>
      </c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41" t="n"/>
      <c r="K927" s="5" t="n"/>
      <c r="L927" s="18" t="n"/>
      <c r="M927" s="24">
        <f>IF($A927="","",IFERROR(INDEX('AJUSTES'!$B$4:$B$303,MATCH($AU927,'AJUSTES'!$A$4:$A$303,0)),IF($K927="","",$K927)))</f>
        <v/>
      </c>
      <c r="N927" s="24">
        <f>IF($A927="","",IFERROR(INDEX('CAT_ESTADOS_ERP'!$B$4:$B$22,MATCH(IFERROR(INDEX('2_IMPORTAR_EJECUCION'!$C$9:$C$1208,MATCH($AU927,'2_IMPORTAR_EJECUCION'!$J$9:$J$1208,0)),""),'CAT_ESTADOS_ERP'!$A$4:$A$22,0)),"Pendiente"))</f>
        <v/>
      </c>
      <c r="O927" s="24">
        <f>IF($J927="","",YEAR($J927+4-WEEKDAY($J927,2))&amp;"-S"&amp;TEXT(_xlfn.ISOWEEKNUM($J927),"00"))</f>
        <v/>
      </c>
      <c r="P927" s="24">
        <f>IF($J927="","",YEAR($J927))</f>
        <v/>
      </c>
      <c r="Q927" s="24">
        <f>IF($J927="","",MONTH($J927))</f>
        <v/>
      </c>
      <c r="R927" s="24">
        <f>IF($J927="","",$P927&amp;"-"&amp;TEXT($Q927,"00"))</f>
        <v/>
      </c>
      <c r="S927" s="24">
        <f>IF($J927="","",INDEX(lista_dias,WEEKDAY($J927,2)))</f>
        <v/>
      </c>
      <c r="T927" s="24">
        <f>IF($J927="","",IFERROR(INDEX('CALENDARIO'!$C$15:$C$214,MATCH(TEXT($J927,"yyyy-mm-dd")&amp;"|"&amp;$Y927&amp;"|"&amp;$Z927,'CALENDARIO'!$G$15:$G$214,0)),IFERROR(INDEX('CALENDARIO'!$C$15:$C$214,MATCH(TEXT($J927,"yyyy-mm-dd")&amp;"|"&amp;$Y927&amp;"|",'CALENDARIO'!$G$15:$G$214,0)),IFERROR(INDEX('CALENDARIO'!$C$15:$C$214,MATCH(TEXT($J927,"yyyy-mm-dd")&amp;"||",'CALENDARIO'!$G$15:$G$214,0)),INDEX(patronHabil,WEEKDAY($J927,2))))))</f>
        <v/>
      </c>
      <c r="U927" s="24">
        <f>IF($I927="","",IFERROR(INDEX('CAT_TIPOS_OT'!$C$4:$C$23,MATCH($I927,'CAT_TIPOS_OT'!$A$4:$A$23,0)),"sin_clasificar"))</f>
        <v/>
      </c>
      <c r="V927" s="24">
        <f>IF($I927="","",IF(IFERROR(INDEX('CAT_TIPOS_OT'!$D$4:$D$23,MATCH($I927,'CAT_TIPOS_OT'!$A$4:$A$23,0)),"SIN CLASIFICAR")="","SIN CLASIFICAR",IFERROR(INDEX('CAT_TIPOS_OT'!$D$4:$D$23,MATCH($I927,'CAT_TIPOS_OT'!$A$4:$A$23,0)),"SIN CLASIFICAR")))</f>
        <v/>
      </c>
      <c r="W927" s="24">
        <f>IF($H927="","",IF(IFERROR(INDEX('CAT_ACTIVIDADES'!$F$4:$F$26,MATCH($H927,'CAT_ACTIVIDADES'!$A$4:$A$26,0)),"")=0,"",IFERROR(INDEX('CAT_ACTIVIDADES'!$F$4:$F$26,MATCH($H927,'CAT_ACTIVIDADES'!$A$4:$A$26,0)),"")))</f>
        <v/>
      </c>
      <c r="X927" s="24">
        <f>IF($F927="","",IFERROR(INDEX('CAT_CENTROS_COSTO'!$F$4:$F$28,MATCH($F927,'CAT_CENTROS_COSTO'!$A$4:$A$28,0)),"(sin catálogo)"))</f>
        <v/>
      </c>
      <c r="Y927" s="24">
        <f>IF($F927="","",IFERROR(INDEX('CAT_CENTROS_COSTO'!$D$4:$D$28,MATCH($F927,'CAT_CENTROS_COSTO'!$A$4:$A$28,0)),"(sin catálogo)"))</f>
        <v/>
      </c>
      <c r="Z927" s="24">
        <f>IF($F927="","",IF((IFERROR(INDEX('CAT_CENTROS_COSTO'!$E$4:$E$28,MATCH($F927,'CAT_CENTROS_COSTO'!$A$4:$A$28,0)),""))&lt;&gt;"",IFERROR(INDEX('CAT_CENTROS_COSTO'!$E$4:$E$28,MATCH($F927,'CAT_CENTROS_COSTO'!$A$4:$A$28,0)),""),$Y927))</f>
        <v/>
      </c>
      <c r="AA927" s="24">
        <f>IF($F927="","",IFERROR(INDEX('CAT_CENTROS_COSTO'!$G$4:$G$28,MATCH($F927,'CAT_CENTROS_COSTO'!$A$4:$A$28,0)),"(sin catálogo)"))</f>
        <v/>
      </c>
      <c r="AB927" s="24">
        <f>IF($G927="","",IFERROR(INDEX('CAT_PUESTOS'!$B$4:$B$23,MATCH($G927,'CAT_PUESTOS'!$A$4:$A$23,0)),"(sin catálogo)"))</f>
        <v/>
      </c>
      <c r="AC927" s="24">
        <f>IF($H927="","",IFERROR(INDEX('CAT_ACTIVIDADES'!$B$4:$B$26,MATCH($H927,'CAT_ACTIVIDADES'!$A$4:$A$26,0)),"(sin catálogo)"))</f>
        <v/>
      </c>
      <c r="AD927" s="26">
        <f>IF($J927="","",TODAY()-$J927)</f>
        <v/>
      </c>
      <c r="AE927" s="26">
        <f>IF($J927="","",IF($J927&lt;=TODAY(),COUNTIFS(cal_fechas,"&gt;="&amp;$J927,cal_fechas,"&lt;"&amp;TODAY(),cal_habil,"sí"),-COUNTIFS(cal_fechas,"&gt;="&amp;TODAY(),cal_fechas,"&lt;"&amp;$J927,cal_habil,"sí")))</f>
        <v/>
      </c>
      <c r="AF927" s="24">
        <f>IF($AE927="","",IF($AE927&lt;0,"FUTURO",IF($AE927&gt;p_dias_backlog_max,"BACKLOG","MES CORRIENTE")))</f>
        <v/>
      </c>
      <c r="AG927" s="24">
        <f>IF($AE927="",FALSE,AND($AE927&gt;p_dias_backlog_min,$AE927&lt;=p_dias_backlog_max))</f>
        <v/>
      </c>
      <c r="AH927" s="4" t="n"/>
      <c r="AI927" s="24">
        <f>IF($AH927="","",IF((IFERROR(INDEX('ASIGNACIONES'!$J$4:$J$451,MATCH($O927&amp;"|"&amp;$S927&amp;"|"&amp;$AH927,'ASIGNACIONES'!$N$4:$N$451,0)),""))=0,"",IFERROR(INDEX('ASIGNACIONES'!$J$4:$J$451,MATCH($O927&amp;"|"&amp;$S927&amp;"|"&amp;$AH927,'ASIGNACIONES'!$N$4:$N$451,0)),"")))</f>
        <v/>
      </c>
      <c r="AJ927" s="42">
        <f>IF($AH927="","",SUMIFS('ORDENES'!$M$4:$M$1203,'ORDENES'!$AH$4:$AH$1203,$AH927,'ORDENES'!$O$4:$O$1203,$O927,'ORDENES'!$S$4:$S$1203,$S927))</f>
        <v/>
      </c>
      <c r="AK927" s="42">
        <f>IF($AJ927="","",p_factor_productividad*IFERROR(INDEX('ASIGNACIONES'!$M$4:$M$451,MATCH($O927&amp;"|"&amp;$S927&amp;"|"&amp;$AH927,'ASIGNACIONES'!$N$4:$N$451,0)),0)-$AJ927)</f>
        <v/>
      </c>
      <c r="AL927" s="32">
        <f>IF($A927="","",IFERROR(INDEX('2_IMPORTAR_EJECUCION'!$F$9:$F$1208,MATCH($AU927,'2_IMPORTAR_EJECUCION'!$J$9:$J$1208,0)),0))</f>
        <v/>
      </c>
      <c r="AM927" s="32">
        <f>IF($A927="","",MAX(0,IFERROR(INDEX('2_IMPORTAR_EJECUCION'!$H$9:$H$1208,MATCH($AU927,'2_IMPORTAR_EJECUCION'!$J$9:$J$1208,0)),0)-$AL927))</f>
        <v/>
      </c>
      <c r="AN927" s="32">
        <f>IF($A927="","",$AL927+$AM927)</f>
        <v/>
      </c>
      <c r="AO927" s="24">
        <f>IF($A927="","",IF(OR((IFERROR(INDEX('CAT_ACTIVIDADES'!$D$4:$D$26,MATCH($H927,'CAT_ACTIVIDADES'!$A$4:$A$26,0)),""))=0,(IFERROR(INDEX('CAT_ACTIVIDADES'!$D$4:$D$26,MATCH($H927,'CAT_ACTIVIDADES'!$A$4:$A$26,0)),""))=""),"SIN CLASIFICAR",IFERROR(INDEX('CAT_ACTIVIDADES'!$D$4:$D$26,MATCH($H927,'CAT_ACTIVIDADES'!$A$4:$A$26,0)),"")))</f>
        <v/>
      </c>
      <c r="AP927" s="4" t="n"/>
      <c r="AQ927" s="4" t="n"/>
      <c r="AR927" s="4" t="n"/>
      <c r="AS927" s="24">
        <f>IF($AR927="","",HYPERLINK(p_ruta_base_checklists&amp;$AR927,"abrir"))</f>
        <v/>
      </c>
      <c r="AT927" s="4" t="n"/>
      <c r="AU927" s="24">
        <f>IF($A927="","",$A927&amp;IF($B927="","0010",$B927))</f>
        <v/>
      </c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41" t="n"/>
      <c r="K928" s="5" t="n"/>
      <c r="L928" s="18" t="n"/>
      <c r="M928" s="24">
        <f>IF($A928="","",IFERROR(INDEX('AJUSTES'!$B$4:$B$303,MATCH($AU928,'AJUSTES'!$A$4:$A$303,0)),IF($K928="","",$K928)))</f>
        <v/>
      </c>
      <c r="N928" s="24">
        <f>IF($A928="","",IFERROR(INDEX('CAT_ESTADOS_ERP'!$B$4:$B$22,MATCH(IFERROR(INDEX('2_IMPORTAR_EJECUCION'!$C$9:$C$1208,MATCH($AU928,'2_IMPORTAR_EJECUCION'!$J$9:$J$1208,0)),""),'CAT_ESTADOS_ERP'!$A$4:$A$22,0)),"Pendiente"))</f>
        <v/>
      </c>
      <c r="O928" s="24">
        <f>IF($J928="","",YEAR($J928+4-WEEKDAY($J928,2))&amp;"-S"&amp;TEXT(_xlfn.ISOWEEKNUM($J928),"00"))</f>
        <v/>
      </c>
      <c r="P928" s="24">
        <f>IF($J928="","",YEAR($J928))</f>
        <v/>
      </c>
      <c r="Q928" s="24">
        <f>IF($J928="","",MONTH($J928))</f>
        <v/>
      </c>
      <c r="R928" s="24">
        <f>IF($J928="","",$P928&amp;"-"&amp;TEXT($Q928,"00"))</f>
        <v/>
      </c>
      <c r="S928" s="24">
        <f>IF($J928="","",INDEX(lista_dias,WEEKDAY($J928,2)))</f>
        <v/>
      </c>
      <c r="T928" s="24">
        <f>IF($J928="","",IFERROR(INDEX('CALENDARIO'!$C$15:$C$214,MATCH(TEXT($J928,"yyyy-mm-dd")&amp;"|"&amp;$Y928&amp;"|"&amp;$Z928,'CALENDARIO'!$G$15:$G$214,0)),IFERROR(INDEX('CALENDARIO'!$C$15:$C$214,MATCH(TEXT($J928,"yyyy-mm-dd")&amp;"|"&amp;$Y928&amp;"|",'CALENDARIO'!$G$15:$G$214,0)),IFERROR(INDEX('CALENDARIO'!$C$15:$C$214,MATCH(TEXT($J928,"yyyy-mm-dd")&amp;"||",'CALENDARIO'!$G$15:$G$214,0)),INDEX(patronHabil,WEEKDAY($J928,2))))))</f>
        <v/>
      </c>
      <c r="U928" s="24">
        <f>IF($I928="","",IFERROR(INDEX('CAT_TIPOS_OT'!$C$4:$C$23,MATCH($I928,'CAT_TIPOS_OT'!$A$4:$A$23,0)),"sin_clasificar"))</f>
        <v/>
      </c>
      <c r="V928" s="24">
        <f>IF($I928="","",IF(IFERROR(INDEX('CAT_TIPOS_OT'!$D$4:$D$23,MATCH($I928,'CAT_TIPOS_OT'!$A$4:$A$23,0)),"SIN CLASIFICAR")="","SIN CLASIFICAR",IFERROR(INDEX('CAT_TIPOS_OT'!$D$4:$D$23,MATCH($I928,'CAT_TIPOS_OT'!$A$4:$A$23,0)),"SIN CLASIFICAR")))</f>
        <v/>
      </c>
      <c r="W928" s="24">
        <f>IF($H928="","",IF(IFERROR(INDEX('CAT_ACTIVIDADES'!$F$4:$F$26,MATCH($H928,'CAT_ACTIVIDADES'!$A$4:$A$26,0)),"")=0,"",IFERROR(INDEX('CAT_ACTIVIDADES'!$F$4:$F$26,MATCH($H928,'CAT_ACTIVIDADES'!$A$4:$A$26,0)),"")))</f>
        <v/>
      </c>
      <c r="X928" s="24">
        <f>IF($F928="","",IFERROR(INDEX('CAT_CENTROS_COSTO'!$F$4:$F$28,MATCH($F928,'CAT_CENTROS_COSTO'!$A$4:$A$28,0)),"(sin catálogo)"))</f>
        <v/>
      </c>
      <c r="Y928" s="24">
        <f>IF($F928="","",IFERROR(INDEX('CAT_CENTROS_COSTO'!$D$4:$D$28,MATCH($F928,'CAT_CENTROS_COSTO'!$A$4:$A$28,0)),"(sin catálogo)"))</f>
        <v/>
      </c>
      <c r="Z928" s="24">
        <f>IF($F928="","",IF((IFERROR(INDEX('CAT_CENTROS_COSTO'!$E$4:$E$28,MATCH($F928,'CAT_CENTROS_COSTO'!$A$4:$A$28,0)),""))&lt;&gt;"",IFERROR(INDEX('CAT_CENTROS_COSTO'!$E$4:$E$28,MATCH($F928,'CAT_CENTROS_COSTO'!$A$4:$A$28,0)),""),$Y928))</f>
        <v/>
      </c>
      <c r="AA928" s="24">
        <f>IF($F928="","",IFERROR(INDEX('CAT_CENTROS_COSTO'!$G$4:$G$28,MATCH($F928,'CAT_CENTROS_COSTO'!$A$4:$A$28,0)),"(sin catálogo)"))</f>
        <v/>
      </c>
      <c r="AB928" s="24">
        <f>IF($G928="","",IFERROR(INDEX('CAT_PUESTOS'!$B$4:$B$23,MATCH($G928,'CAT_PUESTOS'!$A$4:$A$23,0)),"(sin catálogo)"))</f>
        <v/>
      </c>
      <c r="AC928" s="24">
        <f>IF($H928="","",IFERROR(INDEX('CAT_ACTIVIDADES'!$B$4:$B$26,MATCH($H928,'CAT_ACTIVIDADES'!$A$4:$A$26,0)),"(sin catálogo)"))</f>
        <v/>
      </c>
      <c r="AD928" s="26">
        <f>IF($J928="","",TODAY()-$J928)</f>
        <v/>
      </c>
      <c r="AE928" s="26">
        <f>IF($J928="","",IF($J928&lt;=TODAY(),COUNTIFS(cal_fechas,"&gt;="&amp;$J928,cal_fechas,"&lt;"&amp;TODAY(),cal_habil,"sí"),-COUNTIFS(cal_fechas,"&gt;="&amp;TODAY(),cal_fechas,"&lt;"&amp;$J928,cal_habil,"sí")))</f>
        <v/>
      </c>
      <c r="AF928" s="24">
        <f>IF($AE928="","",IF($AE928&lt;0,"FUTURO",IF($AE928&gt;p_dias_backlog_max,"BACKLOG","MES CORRIENTE")))</f>
        <v/>
      </c>
      <c r="AG928" s="24">
        <f>IF($AE928="",FALSE,AND($AE928&gt;p_dias_backlog_min,$AE928&lt;=p_dias_backlog_max))</f>
        <v/>
      </c>
      <c r="AH928" s="4" t="n"/>
      <c r="AI928" s="24">
        <f>IF($AH928="","",IF((IFERROR(INDEX('ASIGNACIONES'!$J$4:$J$451,MATCH($O928&amp;"|"&amp;$S928&amp;"|"&amp;$AH928,'ASIGNACIONES'!$N$4:$N$451,0)),""))=0,"",IFERROR(INDEX('ASIGNACIONES'!$J$4:$J$451,MATCH($O928&amp;"|"&amp;$S928&amp;"|"&amp;$AH928,'ASIGNACIONES'!$N$4:$N$451,0)),"")))</f>
        <v/>
      </c>
      <c r="AJ928" s="42">
        <f>IF($AH928="","",SUMIFS('ORDENES'!$M$4:$M$1203,'ORDENES'!$AH$4:$AH$1203,$AH928,'ORDENES'!$O$4:$O$1203,$O928,'ORDENES'!$S$4:$S$1203,$S928))</f>
        <v/>
      </c>
      <c r="AK928" s="42">
        <f>IF($AJ928="","",p_factor_productividad*IFERROR(INDEX('ASIGNACIONES'!$M$4:$M$451,MATCH($O928&amp;"|"&amp;$S928&amp;"|"&amp;$AH928,'ASIGNACIONES'!$N$4:$N$451,0)),0)-$AJ928)</f>
        <v/>
      </c>
      <c r="AL928" s="32">
        <f>IF($A928="","",IFERROR(INDEX('2_IMPORTAR_EJECUCION'!$F$9:$F$1208,MATCH($AU928,'2_IMPORTAR_EJECUCION'!$J$9:$J$1208,0)),0))</f>
        <v/>
      </c>
      <c r="AM928" s="32">
        <f>IF($A928="","",MAX(0,IFERROR(INDEX('2_IMPORTAR_EJECUCION'!$H$9:$H$1208,MATCH($AU928,'2_IMPORTAR_EJECUCION'!$J$9:$J$1208,0)),0)-$AL928))</f>
        <v/>
      </c>
      <c r="AN928" s="32">
        <f>IF($A928="","",$AL928+$AM928)</f>
        <v/>
      </c>
      <c r="AO928" s="24">
        <f>IF($A928="","",IF(OR((IFERROR(INDEX('CAT_ACTIVIDADES'!$D$4:$D$26,MATCH($H928,'CAT_ACTIVIDADES'!$A$4:$A$26,0)),""))=0,(IFERROR(INDEX('CAT_ACTIVIDADES'!$D$4:$D$26,MATCH($H928,'CAT_ACTIVIDADES'!$A$4:$A$26,0)),""))=""),"SIN CLASIFICAR",IFERROR(INDEX('CAT_ACTIVIDADES'!$D$4:$D$26,MATCH($H928,'CAT_ACTIVIDADES'!$A$4:$A$26,0)),"")))</f>
        <v/>
      </c>
      <c r="AP928" s="4" t="n"/>
      <c r="AQ928" s="4" t="n"/>
      <c r="AR928" s="4" t="n"/>
      <c r="AS928" s="24">
        <f>IF($AR928="","",HYPERLINK(p_ruta_base_checklists&amp;$AR928,"abrir"))</f>
        <v/>
      </c>
      <c r="AT928" s="4" t="n"/>
      <c r="AU928" s="24">
        <f>IF($A928="","",$A928&amp;IF($B928="","0010",$B928))</f>
        <v/>
      </c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41" t="n"/>
      <c r="K929" s="5" t="n"/>
      <c r="L929" s="18" t="n"/>
      <c r="M929" s="24">
        <f>IF($A929="","",IFERROR(INDEX('AJUSTES'!$B$4:$B$303,MATCH($AU929,'AJUSTES'!$A$4:$A$303,0)),IF($K929="","",$K929)))</f>
        <v/>
      </c>
      <c r="N929" s="24">
        <f>IF($A929="","",IFERROR(INDEX('CAT_ESTADOS_ERP'!$B$4:$B$22,MATCH(IFERROR(INDEX('2_IMPORTAR_EJECUCION'!$C$9:$C$1208,MATCH($AU929,'2_IMPORTAR_EJECUCION'!$J$9:$J$1208,0)),""),'CAT_ESTADOS_ERP'!$A$4:$A$22,0)),"Pendiente"))</f>
        <v/>
      </c>
      <c r="O929" s="24">
        <f>IF($J929="","",YEAR($J929+4-WEEKDAY($J929,2))&amp;"-S"&amp;TEXT(_xlfn.ISOWEEKNUM($J929),"00"))</f>
        <v/>
      </c>
      <c r="P929" s="24">
        <f>IF($J929="","",YEAR($J929))</f>
        <v/>
      </c>
      <c r="Q929" s="24">
        <f>IF($J929="","",MONTH($J929))</f>
        <v/>
      </c>
      <c r="R929" s="24">
        <f>IF($J929="","",$P929&amp;"-"&amp;TEXT($Q929,"00"))</f>
        <v/>
      </c>
      <c r="S929" s="24">
        <f>IF($J929="","",INDEX(lista_dias,WEEKDAY($J929,2)))</f>
        <v/>
      </c>
      <c r="T929" s="24">
        <f>IF($J929="","",IFERROR(INDEX('CALENDARIO'!$C$15:$C$214,MATCH(TEXT($J929,"yyyy-mm-dd")&amp;"|"&amp;$Y929&amp;"|"&amp;$Z929,'CALENDARIO'!$G$15:$G$214,0)),IFERROR(INDEX('CALENDARIO'!$C$15:$C$214,MATCH(TEXT($J929,"yyyy-mm-dd")&amp;"|"&amp;$Y929&amp;"|",'CALENDARIO'!$G$15:$G$214,0)),IFERROR(INDEX('CALENDARIO'!$C$15:$C$214,MATCH(TEXT($J929,"yyyy-mm-dd")&amp;"||",'CALENDARIO'!$G$15:$G$214,0)),INDEX(patronHabil,WEEKDAY($J929,2))))))</f>
        <v/>
      </c>
      <c r="U929" s="24">
        <f>IF($I929="","",IFERROR(INDEX('CAT_TIPOS_OT'!$C$4:$C$23,MATCH($I929,'CAT_TIPOS_OT'!$A$4:$A$23,0)),"sin_clasificar"))</f>
        <v/>
      </c>
      <c r="V929" s="24">
        <f>IF($I929="","",IF(IFERROR(INDEX('CAT_TIPOS_OT'!$D$4:$D$23,MATCH($I929,'CAT_TIPOS_OT'!$A$4:$A$23,0)),"SIN CLASIFICAR")="","SIN CLASIFICAR",IFERROR(INDEX('CAT_TIPOS_OT'!$D$4:$D$23,MATCH($I929,'CAT_TIPOS_OT'!$A$4:$A$23,0)),"SIN CLASIFICAR")))</f>
        <v/>
      </c>
      <c r="W929" s="24">
        <f>IF($H929="","",IF(IFERROR(INDEX('CAT_ACTIVIDADES'!$F$4:$F$26,MATCH($H929,'CAT_ACTIVIDADES'!$A$4:$A$26,0)),"")=0,"",IFERROR(INDEX('CAT_ACTIVIDADES'!$F$4:$F$26,MATCH($H929,'CAT_ACTIVIDADES'!$A$4:$A$26,0)),"")))</f>
        <v/>
      </c>
      <c r="X929" s="24">
        <f>IF($F929="","",IFERROR(INDEX('CAT_CENTROS_COSTO'!$F$4:$F$28,MATCH($F929,'CAT_CENTROS_COSTO'!$A$4:$A$28,0)),"(sin catálogo)"))</f>
        <v/>
      </c>
      <c r="Y929" s="24">
        <f>IF($F929="","",IFERROR(INDEX('CAT_CENTROS_COSTO'!$D$4:$D$28,MATCH($F929,'CAT_CENTROS_COSTO'!$A$4:$A$28,0)),"(sin catálogo)"))</f>
        <v/>
      </c>
      <c r="Z929" s="24">
        <f>IF($F929="","",IF((IFERROR(INDEX('CAT_CENTROS_COSTO'!$E$4:$E$28,MATCH($F929,'CAT_CENTROS_COSTO'!$A$4:$A$28,0)),""))&lt;&gt;"",IFERROR(INDEX('CAT_CENTROS_COSTO'!$E$4:$E$28,MATCH($F929,'CAT_CENTROS_COSTO'!$A$4:$A$28,0)),""),$Y929))</f>
        <v/>
      </c>
      <c r="AA929" s="24">
        <f>IF($F929="","",IFERROR(INDEX('CAT_CENTROS_COSTO'!$G$4:$G$28,MATCH($F929,'CAT_CENTROS_COSTO'!$A$4:$A$28,0)),"(sin catálogo)"))</f>
        <v/>
      </c>
      <c r="AB929" s="24">
        <f>IF($G929="","",IFERROR(INDEX('CAT_PUESTOS'!$B$4:$B$23,MATCH($G929,'CAT_PUESTOS'!$A$4:$A$23,0)),"(sin catálogo)"))</f>
        <v/>
      </c>
      <c r="AC929" s="24">
        <f>IF($H929="","",IFERROR(INDEX('CAT_ACTIVIDADES'!$B$4:$B$26,MATCH($H929,'CAT_ACTIVIDADES'!$A$4:$A$26,0)),"(sin catálogo)"))</f>
        <v/>
      </c>
      <c r="AD929" s="26">
        <f>IF($J929="","",TODAY()-$J929)</f>
        <v/>
      </c>
      <c r="AE929" s="26">
        <f>IF($J929="","",IF($J929&lt;=TODAY(),COUNTIFS(cal_fechas,"&gt;="&amp;$J929,cal_fechas,"&lt;"&amp;TODAY(),cal_habil,"sí"),-COUNTIFS(cal_fechas,"&gt;="&amp;TODAY(),cal_fechas,"&lt;"&amp;$J929,cal_habil,"sí")))</f>
        <v/>
      </c>
      <c r="AF929" s="24">
        <f>IF($AE929="","",IF($AE929&lt;0,"FUTURO",IF($AE929&gt;p_dias_backlog_max,"BACKLOG","MES CORRIENTE")))</f>
        <v/>
      </c>
      <c r="AG929" s="24">
        <f>IF($AE929="",FALSE,AND($AE929&gt;p_dias_backlog_min,$AE929&lt;=p_dias_backlog_max))</f>
        <v/>
      </c>
      <c r="AH929" s="4" t="n"/>
      <c r="AI929" s="24">
        <f>IF($AH929="","",IF((IFERROR(INDEX('ASIGNACIONES'!$J$4:$J$451,MATCH($O929&amp;"|"&amp;$S929&amp;"|"&amp;$AH929,'ASIGNACIONES'!$N$4:$N$451,0)),""))=0,"",IFERROR(INDEX('ASIGNACIONES'!$J$4:$J$451,MATCH($O929&amp;"|"&amp;$S929&amp;"|"&amp;$AH929,'ASIGNACIONES'!$N$4:$N$451,0)),"")))</f>
        <v/>
      </c>
      <c r="AJ929" s="42">
        <f>IF($AH929="","",SUMIFS('ORDENES'!$M$4:$M$1203,'ORDENES'!$AH$4:$AH$1203,$AH929,'ORDENES'!$O$4:$O$1203,$O929,'ORDENES'!$S$4:$S$1203,$S929))</f>
        <v/>
      </c>
      <c r="AK929" s="42">
        <f>IF($AJ929="","",p_factor_productividad*IFERROR(INDEX('ASIGNACIONES'!$M$4:$M$451,MATCH($O929&amp;"|"&amp;$S929&amp;"|"&amp;$AH929,'ASIGNACIONES'!$N$4:$N$451,0)),0)-$AJ929)</f>
        <v/>
      </c>
      <c r="AL929" s="32">
        <f>IF($A929="","",IFERROR(INDEX('2_IMPORTAR_EJECUCION'!$F$9:$F$1208,MATCH($AU929,'2_IMPORTAR_EJECUCION'!$J$9:$J$1208,0)),0))</f>
        <v/>
      </c>
      <c r="AM929" s="32">
        <f>IF($A929="","",MAX(0,IFERROR(INDEX('2_IMPORTAR_EJECUCION'!$H$9:$H$1208,MATCH($AU929,'2_IMPORTAR_EJECUCION'!$J$9:$J$1208,0)),0)-$AL929))</f>
        <v/>
      </c>
      <c r="AN929" s="32">
        <f>IF($A929="","",$AL929+$AM929)</f>
        <v/>
      </c>
      <c r="AO929" s="24">
        <f>IF($A929="","",IF(OR((IFERROR(INDEX('CAT_ACTIVIDADES'!$D$4:$D$26,MATCH($H929,'CAT_ACTIVIDADES'!$A$4:$A$26,0)),""))=0,(IFERROR(INDEX('CAT_ACTIVIDADES'!$D$4:$D$26,MATCH($H929,'CAT_ACTIVIDADES'!$A$4:$A$26,0)),""))=""),"SIN CLASIFICAR",IFERROR(INDEX('CAT_ACTIVIDADES'!$D$4:$D$26,MATCH($H929,'CAT_ACTIVIDADES'!$A$4:$A$26,0)),"")))</f>
        <v/>
      </c>
      <c r="AP929" s="4" t="n"/>
      <c r="AQ929" s="4" t="n"/>
      <c r="AR929" s="4" t="n"/>
      <c r="AS929" s="24">
        <f>IF($AR929="","",HYPERLINK(p_ruta_base_checklists&amp;$AR929,"abrir"))</f>
        <v/>
      </c>
      <c r="AT929" s="4" t="n"/>
      <c r="AU929" s="24">
        <f>IF($A929="","",$A929&amp;IF($B929="","0010",$B929))</f>
        <v/>
      </c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41" t="n"/>
      <c r="K930" s="5" t="n"/>
      <c r="L930" s="18" t="n"/>
      <c r="M930" s="24">
        <f>IF($A930="","",IFERROR(INDEX('AJUSTES'!$B$4:$B$303,MATCH($AU930,'AJUSTES'!$A$4:$A$303,0)),IF($K930="","",$K930)))</f>
        <v/>
      </c>
      <c r="N930" s="24">
        <f>IF($A930="","",IFERROR(INDEX('CAT_ESTADOS_ERP'!$B$4:$B$22,MATCH(IFERROR(INDEX('2_IMPORTAR_EJECUCION'!$C$9:$C$1208,MATCH($AU930,'2_IMPORTAR_EJECUCION'!$J$9:$J$1208,0)),""),'CAT_ESTADOS_ERP'!$A$4:$A$22,0)),"Pendiente"))</f>
        <v/>
      </c>
      <c r="O930" s="24">
        <f>IF($J930="","",YEAR($J930+4-WEEKDAY($J930,2))&amp;"-S"&amp;TEXT(_xlfn.ISOWEEKNUM($J930),"00"))</f>
        <v/>
      </c>
      <c r="P930" s="24">
        <f>IF($J930="","",YEAR($J930))</f>
        <v/>
      </c>
      <c r="Q930" s="24">
        <f>IF($J930="","",MONTH($J930))</f>
        <v/>
      </c>
      <c r="R930" s="24">
        <f>IF($J930="","",$P930&amp;"-"&amp;TEXT($Q930,"00"))</f>
        <v/>
      </c>
      <c r="S930" s="24">
        <f>IF($J930="","",INDEX(lista_dias,WEEKDAY($J930,2)))</f>
        <v/>
      </c>
      <c r="T930" s="24">
        <f>IF($J930="","",IFERROR(INDEX('CALENDARIO'!$C$15:$C$214,MATCH(TEXT($J930,"yyyy-mm-dd")&amp;"|"&amp;$Y930&amp;"|"&amp;$Z930,'CALENDARIO'!$G$15:$G$214,0)),IFERROR(INDEX('CALENDARIO'!$C$15:$C$214,MATCH(TEXT($J930,"yyyy-mm-dd")&amp;"|"&amp;$Y930&amp;"|",'CALENDARIO'!$G$15:$G$214,0)),IFERROR(INDEX('CALENDARIO'!$C$15:$C$214,MATCH(TEXT($J930,"yyyy-mm-dd")&amp;"||",'CALENDARIO'!$G$15:$G$214,0)),INDEX(patronHabil,WEEKDAY($J930,2))))))</f>
        <v/>
      </c>
      <c r="U930" s="24">
        <f>IF($I930="","",IFERROR(INDEX('CAT_TIPOS_OT'!$C$4:$C$23,MATCH($I930,'CAT_TIPOS_OT'!$A$4:$A$23,0)),"sin_clasificar"))</f>
        <v/>
      </c>
      <c r="V930" s="24">
        <f>IF($I930="","",IF(IFERROR(INDEX('CAT_TIPOS_OT'!$D$4:$D$23,MATCH($I930,'CAT_TIPOS_OT'!$A$4:$A$23,0)),"SIN CLASIFICAR")="","SIN CLASIFICAR",IFERROR(INDEX('CAT_TIPOS_OT'!$D$4:$D$23,MATCH($I930,'CAT_TIPOS_OT'!$A$4:$A$23,0)),"SIN CLASIFICAR")))</f>
        <v/>
      </c>
      <c r="W930" s="24">
        <f>IF($H930="","",IF(IFERROR(INDEX('CAT_ACTIVIDADES'!$F$4:$F$26,MATCH($H930,'CAT_ACTIVIDADES'!$A$4:$A$26,0)),"")=0,"",IFERROR(INDEX('CAT_ACTIVIDADES'!$F$4:$F$26,MATCH($H930,'CAT_ACTIVIDADES'!$A$4:$A$26,0)),"")))</f>
        <v/>
      </c>
      <c r="X930" s="24">
        <f>IF($F930="","",IFERROR(INDEX('CAT_CENTROS_COSTO'!$F$4:$F$28,MATCH($F930,'CAT_CENTROS_COSTO'!$A$4:$A$28,0)),"(sin catálogo)"))</f>
        <v/>
      </c>
      <c r="Y930" s="24">
        <f>IF($F930="","",IFERROR(INDEX('CAT_CENTROS_COSTO'!$D$4:$D$28,MATCH($F930,'CAT_CENTROS_COSTO'!$A$4:$A$28,0)),"(sin catálogo)"))</f>
        <v/>
      </c>
      <c r="Z930" s="24">
        <f>IF($F930="","",IF((IFERROR(INDEX('CAT_CENTROS_COSTO'!$E$4:$E$28,MATCH($F930,'CAT_CENTROS_COSTO'!$A$4:$A$28,0)),""))&lt;&gt;"",IFERROR(INDEX('CAT_CENTROS_COSTO'!$E$4:$E$28,MATCH($F930,'CAT_CENTROS_COSTO'!$A$4:$A$28,0)),""),$Y930))</f>
        <v/>
      </c>
      <c r="AA930" s="24">
        <f>IF($F930="","",IFERROR(INDEX('CAT_CENTROS_COSTO'!$G$4:$G$28,MATCH($F930,'CAT_CENTROS_COSTO'!$A$4:$A$28,0)),"(sin catálogo)"))</f>
        <v/>
      </c>
      <c r="AB930" s="24">
        <f>IF($G930="","",IFERROR(INDEX('CAT_PUESTOS'!$B$4:$B$23,MATCH($G930,'CAT_PUESTOS'!$A$4:$A$23,0)),"(sin catálogo)"))</f>
        <v/>
      </c>
      <c r="AC930" s="24">
        <f>IF($H930="","",IFERROR(INDEX('CAT_ACTIVIDADES'!$B$4:$B$26,MATCH($H930,'CAT_ACTIVIDADES'!$A$4:$A$26,0)),"(sin catálogo)"))</f>
        <v/>
      </c>
      <c r="AD930" s="26">
        <f>IF($J930="","",TODAY()-$J930)</f>
        <v/>
      </c>
      <c r="AE930" s="26">
        <f>IF($J930="","",IF($J930&lt;=TODAY(),COUNTIFS(cal_fechas,"&gt;="&amp;$J930,cal_fechas,"&lt;"&amp;TODAY(),cal_habil,"sí"),-COUNTIFS(cal_fechas,"&gt;="&amp;TODAY(),cal_fechas,"&lt;"&amp;$J930,cal_habil,"sí")))</f>
        <v/>
      </c>
      <c r="AF930" s="24">
        <f>IF($AE930="","",IF($AE930&lt;0,"FUTURO",IF($AE930&gt;p_dias_backlog_max,"BACKLOG","MES CORRIENTE")))</f>
        <v/>
      </c>
      <c r="AG930" s="24">
        <f>IF($AE930="",FALSE,AND($AE930&gt;p_dias_backlog_min,$AE930&lt;=p_dias_backlog_max))</f>
        <v/>
      </c>
      <c r="AH930" s="4" t="n"/>
      <c r="AI930" s="24">
        <f>IF($AH930="","",IF((IFERROR(INDEX('ASIGNACIONES'!$J$4:$J$451,MATCH($O930&amp;"|"&amp;$S930&amp;"|"&amp;$AH930,'ASIGNACIONES'!$N$4:$N$451,0)),""))=0,"",IFERROR(INDEX('ASIGNACIONES'!$J$4:$J$451,MATCH($O930&amp;"|"&amp;$S930&amp;"|"&amp;$AH930,'ASIGNACIONES'!$N$4:$N$451,0)),"")))</f>
        <v/>
      </c>
      <c r="AJ930" s="42">
        <f>IF($AH930="","",SUMIFS('ORDENES'!$M$4:$M$1203,'ORDENES'!$AH$4:$AH$1203,$AH930,'ORDENES'!$O$4:$O$1203,$O930,'ORDENES'!$S$4:$S$1203,$S930))</f>
        <v/>
      </c>
      <c r="AK930" s="42">
        <f>IF($AJ930="","",p_factor_productividad*IFERROR(INDEX('ASIGNACIONES'!$M$4:$M$451,MATCH($O930&amp;"|"&amp;$S930&amp;"|"&amp;$AH930,'ASIGNACIONES'!$N$4:$N$451,0)),0)-$AJ930)</f>
        <v/>
      </c>
      <c r="AL930" s="32">
        <f>IF($A930="","",IFERROR(INDEX('2_IMPORTAR_EJECUCION'!$F$9:$F$1208,MATCH($AU930,'2_IMPORTAR_EJECUCION'!$J$9:$J$1208,0)),0))</f>
        <v/>
      </c>
      <c r="AM930" s="32">
        <f>IF($A930="","",MAX(0,IFERROR(INDEX('2_IMPORTAR_EJECUCION'!$H$9:$H$1208,MATCH($AU930,'2_IMPORTAR_EJECUCION'!$J$9:$J$1208,0)),0)-$AL930))</f>
        <v/>
      </c>
      <c r="AN930" s="32">
        <f>IF($A930="","",$AL930+$AM930)</f>
        <v/>
      </c>
      <c r="AO930" s="24">
        <f>IF($A930="","",IF(OR((IFERROR(INDEX('CAT_ACTIVIDADES'!$D$4:$D$26,MATCH($H930,'CAT_ACTIVIDADES'!$A$4:$A$26,0)),""))=0,(IFERROR(INDEX('CAT_ACTIVIDADES'!$D$4:$D$26,MATCH($H930,'CAT_ACTIVIDADES'!$A$4:$A$26,0)),""))=""),"SIN CLASIFICAR",IFERROR(INDEX('CAT_ACTIVIDADES'!$D$4:$D$26,MATCH($H930,'CAT_ACTIVIDADES'!$A$4:$A$26,0)),"")))</f>
        <v/>
      </c>
      <c r="AP930" s="4" t="n"/>
      <c r="AQ930" s="4" t="n"/>
      <c r="AR930" s="4" t="n"/>
      <c r="AS930" s="24">
        <f>IF($AR930="","",HYPERLINK(p_ruta_base_checklists&amp;$AR930,"abrir"))</f>
        <v/>
      </c>
      <c r="AT930" s="4" t="n"/>
      <c r="AU930" s="24">
        <f>IF($A930="","",$A930&amp;IF($B930="","0010",$B930))</f>
        <v/>
      </c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41" t="n"/>
      <c r="K931" s="5" t="n"/>
      <c r="L931" s="18" t="n"/>
      <c r="M931" s="24">
        <f>IF($A931="","",IFERROR(INDEX('AJUSTES'!$B$4:$B$303,MATCH($AU931,'AJUSTES'!$A$4:$A$303,0)),IF($K931="","",$K931)))</f>
        <v/>
      </c>
      <c r="N931" s="24">
        <f>IF($A931="","",IFERROR(INDEX('CAT_ESTADOS_ERP'!$B$4:$B$22,MATCH(IFERROR(INDEX('2_IMPORTAR_EJECUCION'!$C$9:$C$1208,MATCH($AU931,'2_IMPORTAR_EJECUCION'!$J$9:$J$1208,0)),""),'CAT_ESTADOS_ERP'!$A$4:$A$22,0)),"Pendiente"))</f>
        <v/>
      </c>
      <c r="O931" s="24">
        <f>IF($J931="","",YEAR($J931+4-WEEKDAY($J931,2))&amp;"-S"&amp;TEXT(_xlfn.ISOWEEKNUM($J931),"00"))</f>
        <v/>
      </c>
      <c r="P931" s="24">
        <f>IF($J931="","",YEAR($J931))</f>
        <v/>
      </c>
      <c r="Q931" s="24">
        <f>IF($J931="","",MONTH($J931))</f>
        <v/>
      </c>
      <c r="R931" s="24">
        <f>IF($J931="","",$P931&amp;"-"&amp;TEXT($Q931,"00"))</f>
        <v/>
      </c>
      <c r="S931" s="24">
        <f>IF($J931="","",INDEX(lista_dias,WEEKDAY($J931,2)))</f>
        <v/>
      </c>
      <c r="T931" s="24">
        <f>IF($J931="","",IFERROR(INDEX('CALENDARIO'!$C$15:$C$214,MATCH(TEXT($J931,"yyyy-mm-dd")&amp;"|"&amp;$Y931&amp;"|"&amp;$Z931,'CALENDARIO'!$G$15:$G$214,0)),IFERROR(INDEX('CALENDARIO'!$C$15:$C$214,MATCH(TEXT($J931,"yyyy-mm-dd")&amp;"|"&amp;$Y931&amp;"|",'CALENDARIO'!$G$15:$G$214,0)),IFERROR(INDEX('CALENDARIO'!$C$15:$C$214,MATCH(TEXT($J931,"yyyy-mm-dd")&amp;"||",'CALENDARIO'!$G$15:$G$214,0)),INDEX(patronHabil,WEEKDAY($J931,2))))))</f>
        <v/>
      </c>
      <c r="U931" s="24">
        <f>IF($I931="","",IFERROR(INDEX('CAT_TIPOS_OT'!$C$4:$C$23,MATCH($I931,'CAT_TIPOS_OT'!$A$4:$A$23,0)),"sin_clasificar"))</f>
        <v/>
      </c>
      <c r="V931" s="24">
        <f>IF($I931="","",IF(IFERROR(INDEX('CAT_TIPOS_OT'!$D$4:$D$23,MATCH($I931,'CAT_TIPOS_OT'!$A$4:$A$23,0)),"SIN CLASIFICAR")="","SIN CLASIFICAR",IFERROR(INDEX('CAT_TIPOS_OT'!$D$4:$D$23,MATCH($I931,'CAT_TIPOS_OT'!$A$4:$A$23,0)),"SIN CLASIFICAR")))</f>
        <v/>
      </c>
      <c r="W931" s="24">
        <f>IF($H931="","",IF(IFERROR(INDEX('CAT_ACTIVIDADES'!$F$4:$F$26,MATCH($H931,'CAT_ACTIVIDADES'!$A$4:$A$26,0)),"")=0,"",IFERROR(INDEX('CAT_ACTIVIDADES'!$F$4:$F$26,MATCH($H931,'CAT_ACTIVIDADES'!$A$4:$A$26,0)),"")))</f>
        <v/>
      </c>
      <c r="X931" s="24">
        <f>IF($F931="","",IFERROR(INDEX('CAT_CENTROS_COSTO'!$F$4:$F$28,MATCH($F931,'CAT_CENTROS_COSTO'!$A$4:$A$28,0)),"(sin catálogo)"))</f>
        <v/>
      </c>
      <c r="Y931" s="24">
        <f>IF($F931="","",IFERROR(INDEX('CAT_CENTROS_COSTO'!$D$4:$D$28,MATCH($F931,'CAT_CENTROS_COSTO'!$A$4:$A$28,0)),"(sin catálogo)"))</f>
        <v/>
      </c>
      <c r="Z931" s="24">
        <f>IF($F931="","",IF((IFERROR(INDEX('CAT_CENTROS_COSTO'!$E$4:$E$28,MATCH($F931,'CAT_CENTROS_COSTO'!$A$4:$A$28,0)),""))&lt;&gt;"",IFERROR(INDEX('CAT_CENTROS_COSTO'!$E$4:$E$28,MATCH($F931,'CAT_CENTROS_COSTO'!$A$4:$A$28,0)),""),$Y931))</f>
        <v/>
      </c>
      <c r="AA931" s="24">
        <f>IF($F931="","",IFERROR(INDEX('CAT_CENTROS_COSTO'!$G$4:$G$28,MATCH($F931,'CAT_CENTROS_COSTO'!$A$4:$A$28,0)),"(sin catálogo)"))</f>
        <v/>
      </c>
      <c r="AB931" s="24">
        <f>IF($G931="","",IFERROR(INDEX('CAT_PUESTOS'!$B$4:$B$23,MATCH($G931,'CAT_PUESTOS'!$A$4:$A$23,0)),"(sin catálogo)"))</f>
        <v/>
      </c>
      <c r="AC931" s="24">
        <f>IF($H931="","",IFERROR(INDEX('CAT_ACTIVIDADES'!$B$4:$B$26,MATCH($H931,'CAT_ACTIVIDADES'!$A$4:$A$26,0)),"(sin catálogo)"))</f>
        <v/>
      </c>
      <c r="AD931" s="26">
        <f>IF($J931="","",TODAY()-$J931)</f>
        <v/>
      </c>
      <c r="AE931" s="26">
        <f>IF($J931="","",IF($J931&lt;=TODAY(),COUNTIFS(cal_fechas,"&gt;="&amp;$J931,cal_fechas,"&lt;"&amp;TODAY(),cal_habil,"sí"),-COUNTIFS(cal_fechas,"&gt;="&amp;TODAY(),cal_fechas,"&lt;"&amp;$J931,cal_habil,"sí")))</f>
        <v/>
      </c>
      <c r="AF931" s="24">
        <f>IF($AE931="","",IF($AE931&lt;0,"FUTURO",IF($AE931&gt;p_dias_backlog_max,"BACKLOG","MES CORRIENTE")))</f>
        <v/>
      </c>
      <c r="AG931" s="24">
        <f>IF($AE931="",FALSE,AND($AE931&gt;p_dias_backlog_min,$AE931&lt;=p_dias_backlog_max))</f>
        <v/>
      </c>
      <c r="AH931" s="4" t="n"/>
      <c r="AI931" s="24">
        <f>IF($AH931="","",IF((IFERROR(INDEX('ASIGNACIONES'!$J$4:$J$451,MATCH($O931&amp;"|"&amp;$S931&amp;"|"&amp;$AH931,'ASIGNACIONES'!$N$4:$N$451,0)),""))=0,"",IFERROR(INDEX('ASIGNACIONES'!$J$4:$J$451,MATCH($O931&amp;"|"&amp;$S931&amp;"|"&amp;$AH931,'ASIGNACIONES'!$N$4:$N$451,0)),"")))</f>
        <v/>
      </c>
      <c r="AJ931" s="42">
        <f>IF($AH931="","",SUMIFS('ORDENES'!$M$4:$M$1203,'ORDENES'!$AH$4:$AH$1203,$AH931,'ORDENES'!$O$4:$O$1203,$O931,'ORDENES'!$S$4:$S$1203,$S931))</f>
        <v/>
      </c>
      <c r="AK931" s="42">
        <f>IF($AJ931="","",p_factor_productividad*IFERROR(INDEX('ASIGNACIONES'!$M$4:$M$451,MATCH($O931&amp;"|"&amp;$S931&amp;"|"&amp;$AH931,'ASIGNACIONES'!$N$4:$N$451,0)),0)-$AJ931)</f>
        <v/>
      </c>
      <c r="AL931" s="32">
        <f>IF($A931="","",IFERROR(INDEX('2_IMPORTAR_EJECUCION'!$F$9:$F$1208,MATCH($AU931,'2_IMPORTAR_EJECUCION'!$J$9:$J$1208,0)),0))</f>
        <v/>
      </c>
      <c r="AM931" s="32">
        <f>IF($A931="","",MAX(0,IFERROR(INDEX('2_IMPORTAR_EJECUCION'!$H$9:$H$1208,MATCH($AU931,'2_IMPORTAR_EJECUCION'!$J$9:$J$1208,0)),0)-$AL931))</f>
        <v/>
      </c>
      <c r="AN931" s="32">
        <f>IF($A931="","",$AL931+$AM931)</f>
        <v/>
      </c>
      <c r="AO931" s="24">
        <f>IF($A931="","",IF(OR((IFERROR(INDEX('CAT_ACTIVIDADES'!$D$4:$D$26,MATCH($H931,'CAT_ACTIVIDADES'!$A$4:$A$26,0)),""))=0,(IFERROR(INDEX('CAT_ACTIVIDADES'!$D$4:$D$26,MATCH($H931,'CAT_ACTIVIDADES'!$A$4:$A$26,0)),""))=""),"SIN CLASIFICAR",IFERROR(INDEX('CAT_ACTIVIDADES'!$D$4:$D$26,MATCH($H931,'CAT_ACTIVIDADES'!$A$4:$A$26,0)),"")))</f>
        <v/>
      </c>
      <c r="AP931" s="4" t="n"/>
      <c r="AQ931" s="4" t="n"/>
      <c r="AR931" s="4" t="n"/>
      <c r="AS931" s="24">
        <f>IF($AR931="","",HYPERLINK(p_ruta_base_checklists&amp;$AR931,"abrir"))</f>
        <v/>
      </c>
      <c r="AT931" s="4" t="n"/>
      <c r="AU931" s="24">
        <f>IF($A931="","",$A931&amp;IF($B931="","0010",$B931))</f>
        <v/>
      </c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41" t="n"/>
      <c r="K932" s="5" t="n"/>
      <c r="L932" s="18" t="n"/>
      <c r="M932" s="24">
        <f>IF($A932="","",IFERROR(INDEX('AJUSTES'!$B$4:$B$303,MATCH($AU932,'AJUSTES'!$A$4:$A$303,0)),IF($K932="","",$K932)))</f>
        <v/>
      </c>
      <c r="N932" s="24">
        <f>IF($A932="","",IFERROR(INDEX('CAT_ESTADOS_ERP'!$B$4:$B$22,MATCH(IFERROR(INDEX('2_IMPORTAR_EJECUCION'!$C$9:$C$1208,MATCH($AU932,'2_IMPORTAR_EJECUCION'!$J$9:$J$1208,0)),""),'CAT_ESTADOS_ERP'!$A$4:$A$22,0)),"Pendiente"))</f>
        <v/>
      </c>
      <c r="O932" s="24">
        <f>IF($J932="","",YEAR($J932+4-WEEKDAY($J932,2))&amp;"-S"&amp;TEXT(_xlfn.ISOWEEKNUM($J932),"00"))</f>
        <v/>
      </c>
      <c r="P932" s="24">
        <f>IF($J932="","",YEAR($J932))</f>
        <v/>
      </c>
      <c r="Q932" s="24">
        <f>IF($J932="","",MONTH($J932))</f>
        <v/>
      </c>
      <c r="R932" s="24">
        <f>IF($J932="","",$P932&amp;"-"&amp;TEXT($Q932,"00"))</f>
        <v/>
      </c>
      <c r="S932" s="24">
        <f>IF($J932="","",INDEX(lista_dias,WEEKDAY($J932,2)))</f>
        <v/>
      </c>
      <c r="T932" s="24">
        <f>IF($J932="","",IFERROR(INDEX('CALENDARIO'!$C$15:$C$214,MATCH(TEXT($J932,"yyyy-mm-dd")&amp;"|"&amp;$Y932&amp;"|"&amp;$Z932,'CALENDARIO'!$G$15:$G$214,0)),IFERROR(INDEX('CALENDARIO'!$C$15:$C$214,MATCH(TEXT($J932,"yyyy-mm-dd")&amp;"|"&amp;$Y932&amp;"|",'CALENDARIO'!$G$15:$G$214,0)),IFERROR(INDEX('CALENDARIO'!$C$15:$C$214,MATCH(TEXT($J932,"yyyy-mm-dd")&amp;"||",'CALENDARIO'!$G$15:$G$214,0)),INDEX(patronHabil,WEEKDAY($J932,2))))))</f>
        <v/>
      </c>
      <c r="U932" s="24">
        <f>IF($I932="","",IFERROR(INDEX('CAT_TIPOS_OT'!$C$4:$C$23,MATCH($I932,'CAT_TIPOS_OT'!$A$4:$A$23,0)),"sin_clasificar"))</f>
        <v/>
      </c>
      <c r="V932" s="24">
        <f>IF($I932="","",IF(IFERROR(INDEX('CAT_TIPOS_OT'!$D$4:$D$23,MATCH($I932,'CAT_TIPOS_OT'!$A$4:$A$23,0)),"SIN CLASIFICAR")="","SIN CLASIFICAR",IFERROR(INDEX('CAT_TIPOS_OT'!$D$4:$D$23,MATCH($I932,'CAT_TIPOS_OT'!$A$4:$A$23,0)),"SIN CLASIFICAR")))</f>
        <v/>
      </c>
      <c r="W932" s="24">
        <f>IF($H932="","",IF(IFERROR(INDEX('CAT_ACTIVIDADES'!$F$4:$F$26,MATCH($H932,'CAT_ACTIVIDADES'!$A$4:$A$26,0)),"")=0,"",IFERROR(INDEX('CAT_ACTIVIDADES'!$F$4:$F$26,MATCH($H932,'CAT_ACTIVIDADES'!$A$4:$A$26,0)),"")))</f>
        <v/>
      </c>
      <c r="X932" s="24">
        <f>IF($F932="","",IFERROR(INDEX('CAT_CENTROS_COSTO'!$F$4:$F$28,MATCH($F932,'CAT_CENTROS_COSTO'!$A$4:$A$28,0)),"(sin catálogo)"))</f>
        <v/>
      </c>
      <c r="Y932" s="24">
        <f>IF($F932="","",IFERROR(INDEX('CAT_CENTROS_COSTO'!$D$4:$D$28,MATCH($F932,'CAT_CENTROS_COSTO'!$A$4:$A$28,0)),"(sin catálogo)"))</f>
        <v/>
      </c>
      <c r="Z932" s="24">
        <f>IF($F932="","",IF((IFERROR(INDEX('CAT_CENTROS_COSTO'!$E$4:$E$28,MATCH($F932,'CAT_CENTROS_COSTO'!$A$4:$A$28,0)),""))&lt;&gt;"",IFERROR(INDEX('CAT_CENTROS_COSTO'!$E$4:$E$28,MATCH($F932,'CAT_CENTROS_COSTO'!$A$4:$A$28,0)),""),$Y932))</f>
        <v/>
      </c>
      <c r="AA932" s="24">
        <f>IF($F932="","",IFERROR(INDEX('CAT_CENTROS_COSTO'!$G$4:$G$28,MATCH($F932,'CAT_CENTROS_COSTO'!$A$4:$A$28,0)),"(sin catálogo)"))</f>
        <v/>
      </c>
      <c r="AB932" s="24">
        <f>IF($G932="","",IFERROR(INDEX('CAT_PUESTOS'!$B$4:$B$23,MATCH($G932,'CAT_PUESTOS'!$A$4:$A$23,0)),"(sin catálogo)"))</f>
        <v/>
      </c>
      <c r="AC932" s="24">
        <f>IF($H932="","",IFERROR(INDEX('CAT_ACTIVIDADES'!$B$4:$B$26,MATCH($H932,'CAT_ACTIVIDADES'!$A$4:$A$26,0)),"(sin catálogo)"))</f>
        <v/>
      </c>
      <c r="AD932" s="26">
        <f>IF($J932="","",TODAY()-$J932)</f>
        <v/>
      </c>
      <c r="AE932" s="26">
        <f>IF($J932="","",IF($J932&lt;=TODAY(),COUNTIFS(cal_fechas,"&gt;="&amp;$J932,cal_fechas,"&lt;"&amp;TODAY(),cal_habil,"sí"),-COUNTIFS(cal_fechas,"&gt;="&amp;TODAY(),cal_fechas,"&lt;"&amp;$J932,cal_habil,"sí")))</f>
        <v/>
      </c>
      <c r="AF932" s="24">
        <f>IF($AE932="","",IF($AE932&lt;0,"FUTURO",IF($AE932&gt;p_dias_backlog_max,"BACKLOG","MES CORRIENTE")))</f>
        <v/>
      </c>
      <c r="AG932" s="24">
        <f>IF($AE932="",FALSE,AND($AE932&gt;p_dias_backlog_min,$AE932&lt;=p_dias_backlog_max))</f>
        <v/>
      </c>
      <c r="AH932" s="4" t="n"/>
      <c r="AI932" s="24">
        <f>IF($AH932="","",IF((IFERROR(INDEX('ASIGNACIONES'!$J$4:$J$451,MATCH($O932&amp;"|"&amp;$S932&amp;"|"&amp;$AH932,'ASIGNACIONES'!$N$4:$N$451,0)),""))=0,"",IFERROR(INDEX('ASIGNACIONES'!$J$4:$J$451,MATCH($O932&amp;"|"&amp;$S932&amp;"|"&amp;$AH932,'ASIGNACIONES'!$N$4:$N$451,0)),"")))</f>
        <v/>
      </c>
      <c r="AJ932" s="42">
        <f>IF($AH932="","",SUMIFS('ORDENES'!$M$4:$M$1203,'ORDENES'!$AH$4:$AH$1203,$AH932,'ORDENES'!$O$4:$O$1203,$O932,'ORDENES'!$S$4:$S$1203,$S932))</f>
        <v/>
      </c>
      <c r="AK932" s="42">
        <f>IF($AJ932="","",p_factor_productividad*IFERROR(INDEX('ASIGNACIONES'!$M$4:$M$451,MATCH($O932&amp;"|"&amp;$S932&amp;"|"&amp;$AH932,'ASIGNACIONES'!$N$4:$N$451,0)),0)-$AJ932)</f>
        <v/>
      </c>
      <c r="AL932" s="32">
        <f>IF($A932="","",IFERROR(INDEX('2_IMPORTAR_EJECUCION'!$F$9:$F$1208,MATCH($AU932,'2_IMPORTAR_EJECUCION'!$J$9:$J$1208,0)),0))</f>
        <v/>
      </c>
      <c r="AM932" s="32">
        <f>IF($A932="","",MAX(0,IFERROR(INDEX('2_IMPORTAR_EJECUCION'!$H$9:$H$1208,MATCH($AU932,'2_IMPORTAR_EJECUCION'!$J$9:$J$1208,0)),0)-$AL932))</f>
        <v/>
      </c>
      <c r="AN932" s="32">
        <f>IF($A932="","",$AL932+$AM932)</f>
        <v/>
      </c>
      <c r="AO932" s="24">
        <f>IF($A932="","",IF(OR((IFERROR(INDEX('CAT_ACTIVIDADES'!$D$4:$D$26,MATCH($H932,'CAT_ACTIVIDADES'!$A$4:$A$26,0)),""))=0,(IFERROR(INDEX('CAT_ACTIVIDADES'!$D$4:$D$26,MATCH($H932,'CAT_ACTIVIDADES'!$A$4:$A$26,0)),""))=""),"SIN CLASIFICAR",IFERROR(INDEX('CAT_ACTIVIDADES'!$D$4:$D$26,MATCH($H932,'CAT_ACTIVIDADES'!$A$4:$A$26,0)),"")))</f>
        <v/>
      </c>
      <c r="AP932" s="4" t="n"/>
      <c r="AQ932" s="4" t="n"/>
      <c r="AR932" s="4" t="n"/>
      <c r="AS932" s="24">
        <f>IF($AR932="","",HYPERLINK(p_ruta_base_checklists&amp;$AR932,"abrir"))</f>
        <v/>
      </c>
      <c r="AT932" s="4" t="n"/>
      <c r="AU932" s="24">
        <f>IF($A932="","",$A932&amp;IF($B932="","0010",$B932))</f>
        <v/>
      </c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41" t="n"/>
      <c r="K933" s="5" t="n"/>
      <c r="L933" s="18" t="n"/>
      <c r="M933" s="24">
        <f>IF($A933="","",IFERROR(INDEX('AJUSTES'!$B$4:$B$303,MATCH($AU933,'AJUSTES'!$A$4:$A$303,0)),IF($K933="","",$K933)))</f>
        <v/>
      </c>
      <c r="N933" s="24">
        <f>IF($A933="","",IFERROR(INDEX('CAT_ESTADOS_ERP'!$B$4:$B$22,MATCH(IFERROR(INDEX('2_IMPORTAR_EJECUCION'!$C$9:$C$1208,MATCH($AU933,'2_IMPORTAR_EJECUCION'!$J$9:$J$1208,0)),""),'CAT_ESTADOS_ERP'!$A$4:$A$22,0)),"Pendiente"))</f>
        <v/>
      </c>
      <c r="O933" s="24">
        <f>IF($J933="","",YEAR($J933+4-WEEKDAY($J933,2))&amp;"-S"&amp;TEXT(_xlfn.ISOWEEKNUM($J933),"00"))</f>
        <v/>
      </c>
      <c r="P933" s="24">
        <f>IF($J933="","",YEAR($J933))</f>
        <v/>
      </c>
      <c r="Q933" s="24">
        <f>IF($J933="","",MONTH($J933))</f>
        <v/>
      </c>
      <c r="R933" s="24">
        <f>IF($J933="","",$P933&amp;"-"&amp;TEXT($Q933,"00"))</f>
        <v/>
      </c>
      <c r="S933" s="24">
        <f>IF($J933="","",INDEX(lista_dias,WEEKDAY($J933,2)))</f>
        <v/>
      </c>
      <c r="T933" s="24">
        <f>IF($J933="","",IFERROR(INDEX('CALENDARIO'!$C$15:$C$214,MATCH(TEXT($J933,"yyyy-mm-dd")&amp;"|"&amp;$Y933&amp;"|"&amp;$Z933,'CALENDARIO'!$G$15:$G$214,0)),IFERROR(INDEX('CALENDARIO'!$C$15:$C$214,MATCH(TEXT($J933,"yyyy-mm-dd")&amp;"|"&amp;$Y933&amp;"|",'CALENDARIO'!$G$15:$G$214,0)),IFERROR(INDEX('CALENDARIO'!$C$15:$C$214,MATCH(TEXT($J933,"yyyy-mm-dd")&amp;"||",'CALENDARIO'!$G$15:$G$214,0)),INDEX(patronHabil,WEEKDAY($J933,2))))))</f>
        <v/>
      </c>
      <c r="U933" s="24">
        <f>IF($I933="","",IFERROR(INDEX('CAT_TIPOS_OT'!$C$4:$C$23,MATCH($I933,'CAT_TIPOS_OT'!$A$4:$A$23,0)),"sin_clasificar"))</f>
        <v/>
      </c>
      <c r="V933" s="24">
        <f>IF($I933="","",IF(IFERROR(INDEX('CAT_TIPOS_OT'!$D$4:$D$23,MATCH($I933,'CAT_TIPOS_OT'!$A$4:$A$23,0)),"SIN CLASIFICAR")="","SIN CLASIFICAR",IFERROR(INDEX('CAT_TIPOS_OT'!$D$4:$D$23,MATCH($I933,'CAT_TIPOS_OT'!$A$4:$A$23,0)),"SIN CLASIFICAR")))</f>
        <v/>
      </c>
      <c r="W933" s="24">
        <f>IF($H933="","",IF(IFERROR(INDEX('CAT_ACTIVIDADES'!$F$4:$F$26,MATCH($H933,'CAT_ACTIVIDADES'!$A$4:$A$26,0)),"")=0,"",IFERROR(INDEX('CAT_ACTIVIDADES'!$F$4:$F$26,MATCH($H933,'CAT_ACTIVIDADES'!$A$4:$A$26,0)),"")))</f>
        <v/>
      </c>
      <c r="X933" s="24">
        <f>IF($F933="","",IFERROR(INDEX('CAT_CENTROS_COSTO'!$F$4:$F$28,MATCH($F933,'CAT_CENTROS_COSTO'!$A$4:$A$28,0)),"(sin catálogo)"))</f>
        <v/>
      </c>
      <c r="Y933" s="24">
        <f>IF($F933="","",IFERROR(INDEX('CAT_CENTROS_COSTO'!$D$4:$D$28,MATCH($F933,'CAT_CENTROS_COSTO'!$A$4:$A$28,0)),"(sin catálogo)"))</f>
        <v/>
      </c>
      <c r="Z933" s="24">
        <f>IF($F933="","",IF((IFERROR(INDEX('CAT_CENTROS_COSTO'!$E$4:$E$28,MATCH($F933,'CAT_CENTROS_COSTO'!$A$4:$A$28,0)),""))&lt;&gt;"",IFERROR(INDEX('CAT_CENTROS_COSTO'!$E$4:$E$28,MATCH($F933,'CAT_CENTROS_COSTO'!$A$4:$A$28,0)),""),$Y933))</f>
        <v/>
      </c>
      <c r="AA933" s="24">
        <f>IF($F933="","",IFERROR(INDEX('CAT_CENTROS_COSTO'!$G$4:$G$28,MATCH($F933,'CAT_CENTROS_COSTO'!$A$4:$A$28,0)),"(sin catálogo)"))</f>
        <v/>
      </c>
      <c r="AB933" s="24">
        <f>IF($G933="","",IFERROR(INDEX('CAT_PUESTOS'!$B$4:$B$23,MATCH($G933,'CAT_PUESTOS'!$A$4:$A$23,0)),"(sin catálogo)"))</f>
        <v/>
      </c>
      <c r="AC933" s="24">
        <f>IF($H933="","",IFERROR(INDEX('CAT_ACTIVIDADES'!$B$4:$B$26,MATCH($H933,'CAT_ACTIVIDADES'!$A$4:$A$26,0)),"(sin catálogo)"))</f>
        <v/>
      </c>
      <c r="AD933" s="26">
        <f>IF($J933="","",TODAY()-$J933)</f>
        <v/>
      </c>
      <c r="AE933" s="26">
        <f>IF($J933="","",IF($J933&lt;=TODAY(),COUNTIFS(cal_fechas,"&gt;="&amp;$J933,cal_fechas,"&lt;"&amp;TODAY(),cal_habil,"sí"),-COUNTIFS(cal_fechas,"&gt;="&amp;TODAY(),cal_fechas,"&lt;"&amp;$J933,cal_habil,"sí")))</f>
        <v/>
      </c>
      <c r="AF933" s="24">
        <f>IF($AE933="","",IF($AE933&lt;0,"FUTURO",IF($AE933&gt;p_dias_backlog_max,"BACKLOG","MES CORRIENTE")))</f>
        <v/>
      </c>
      <c r="AG933" s="24">
        <f>IF($AE933="",FALSE,AND($AE933&gt;p_dias_backlog_min,$AE933&lt;=p_dias_backlog_max))</f>
        <v/>
      </c>
      <c r="AH933" s="4" t="n"/>
      <c r="AI933" s="24">
        <f>IF($AH933="","",IF((IFERROR(INDEX('ASIGNACIONES'!$J$4:$J$451,MATCH($O933&amp;"|"&amp;$S933&amp;"|"&amp;$AH933,'ASIGNACIONES'!$N$4:$N$451,0)),""))=0,"",IFERROR(INDEX('ASIGNACIONES'!$J$4:$J$451,MATCH($O933&amp;"|"&amp;$S933&amp;"|"&amp;$AH933,'ASIGNACIONES'!$N$4:$N$451,0)),"")))</f>
        <v/>
      </c>
      <c r="AJ933" s="42">
        <f>IF($AH933="","",SUMIFS('ORDENES'!$M$4:$M$1203,'ORDENES'!$AH$4:$AH$1203,$AH933,'ORDENES'!$O$4:$O$1203,$O933,'ORDENES'!$S$4:$S$1203,$S933))</f>
        <v/>
      </c>
      <c r="AK933" s="42">
        <f>IF($AJ933="","",p_factor_productividad*IFERROR(INDEX('ASIGNACIONES'!$M$4:$M$451,MATCH($O933&amp;"|"&amp;$S933&amp;"|"&amp;$AH933,'ASIGNACIONES'!$N$4:$N$451,0)),0)-$AJ933)</f>
        <v/>
      </c>
      <c r="AL933" s="32">
        <f>IF($A933="","",IFERROR(INDEX('2_IMPORTAR_EJECUCION'!$F$9:$F$1208,MATCH($AU933,'2_IMPORTAR_EJECUCION'!$J$9:$J$1208,0)),0))</f>
        <v/>
      </c>
      <c r="AM933" s="32">
        <f>IF($A933="","",MAX(0,IFERROR(INDEX('2_IMPORTAR_EJECUCION'!$H$9:$H$1208,MATCH($AU933,'2_IMPORTAR_EJECUCION'!$J$9:$J$1208,0)),0)-$AL933))</f>
        <v/>
      </c>
      <c r="AN933" s="32">
        <f>IF($A933="","",$AL933+$AM933)</f>
        <v/>
      </c>
      <c r="AO933" s="24">
        <f>IF($A933="","",IF(OR((IFERROR(INDEX('CAT_ACTIVIDADES'!$D$4:$D$26,MATCH($H933,'CAT_ACTIVIDADES'!$A$4:$A$26,0)),""))=0,(IFERROR(INDEX('CAT_ACTIVIDADES'!$D$4:$D$26,MATCH($H933,'CAT_ACTIVIDADES'!$A$4:$A$26,0)),""))=""),"SIN CLASIFICAR",IFERROR(INDEX('CAT_ACTIVIDADES'!$D$4:$D$26,MATCH($H933,'CAT_ACTIVIDADES'!$A$4:$A$26,0)),"")))</f>
        <v/>
      </c>
      <c r="AP933" s="4" t="n"/>
      <c r="AQ933" s="4" t="n"/>
      <c r="AR933" s="4" t="n"/>
      <c r="AS933" s="24">
        <f>IF($AR933="","",HYPERLINK(p_ruta_base_checklists&amp;$AR933,"abrir"))</f>
        <v/>
      </c>
      <c r="AT933" s="4" t="n"/>
      <c r="AU933" s="24">
        <f>IF($A933="","",$A933&amp;IF($B933="","0010",$B933))</f>
        <v/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41" t="n"/>
      <c r="K934" s="5" t="n"/>
      <c r="L934" s="18" t="n"/>
      <c r="M934" s="24">
        <f>IF($A934="","",IFERROR(INDEX('AJUSTES'!$B$4:$B$303,MATCH($AU934,'AJUSTES'!$A$4:$A$303,0)),IF($K934="","",$K934)))</f>
        <v/>
      </c>
      <c r="N934" s="24">
        <f>IF($A934="","",IFERROR(INDEX('CAT_ESTADOS_ERP'!$B$4:$B$22,MATCH(IFERROR(INDEX('2_IMPORTAR_EJECUCION'!$C$9:$C$1208,MATCH($AU934,'2_IMPORTAR_EJECUCION'!$J$9:$J$1208,0)),""),'CAT_ESTADOS_ERP'!$A$4:$A$22,0)),"Pendiente"))</f>
        <v/>
      </c>
      <c r="O934" s="24">
        <f>IF($J934="","",YEAR($J934+4-WEEKDAY($J934,2))&amp;"-S"&amp;TEXT(_xlfn.ISOWEEKNUM($J934),"00"))</f>
        <v/>
      </c>
      <c r="P934" s="24">
        <f>IF($J934="","",YEAR($J934))</f>
        <v/>
      </c>
      <c r="Q934" s="24">
        <f>IF($J934="","",MONTH($J934))</f>
        <v/>
      </c>
      <c r="R934" s="24">
        <f>IF($J934="","",$P934&amp;"-"&amp;TEXT($Q934,"00"))</f>
        <v/>
      </c>
      <c r="S934" s="24">
        <f>IF($J934="","",INDEX(lista_dias,WEEKDAY($J934,2)))</f>
        <v/>
      </c>
      <c r="T934" s="24">
        <f>IF($J934="","",IFERROR(INDEX('CALENDARIO'!$C$15:$C$214,MATCH(TEXT($J934,"yyyy-mm-dd")&amp;"|"&amp;$Y934&amp;"|"&amp;$Z934,'CALENDARIO'!$G$15:$G$214,0)),IFERROR(INDEX('CALENDARIO'!$C$15:$C$214,MATCH(TEXT($J934,"yyyy-mm-dd")&amp;"|"&amp;$Y934&amp;"|",'CALENDARIO'!$G$15:$G$214,0)),IFERROR(INDEX('CALENDARIO'!$C$15:$C$214,MATCH(TEXT($J934,"yyyy-mm-dd")&amp;"||",'CALENDARIO'!$G$15:$G$214,0)),INDEX(patronHabil,WEEKDAY($J934,2))))))</f>
        <v/>
      </c>
      <c r="U934" s="24">
        <f>IF($I934="","",IFERROR(INDEX('CAT_TIPOS_OT'!$C$4:$C$23,MATCH($I934,'CAT_TIPOS_OT'!$A$4:$A$23,0)),"sin_clasificar"))</f>
        <v/>
      </c>
      <c r="V934" s="24">
        <f>IF($I934="","",IF(IFERROR(INDEX('CAT_TIPOS_OT'!$D$4:$D$23,MATCH($I934,'CAT_TIPOS_OT'!$A$4:$A$23,0)),"SIN CLASIFICAR")="","SIN CLASIFICAR",IFERROR(INDEX('CAT_TIPOS_OT'!$D$4:$D$23,MATCH($I934,'CAT_TIPOS_OT'!$A$4:$A$23,0)),"SIN CLASIFICAR")))</f>
        <v/>
      </c>
      <c r="W934" s="24">
        <f>IF($H934="","",IF(IFERROR(INDEX('CAT_ACTIVIDADES'!$F$4:$F$26,MATCH($H934,'CAT_ACTIVIDADES'!$A$4:$A$26,0)),"")=0,"",IFERROR(INDEX('CAT_ACTIVIDADES'!$F$4:$F$26,MATCH($H934,'CAT_ACTIVIDADES'!$A$4:$A$26,0)),"")))</f>
        <v/>
      </c>
      <c r="X934" s="24">
        <f>IF($F934="","",IFERROR(INDEX('CAT_CENTROS_COSTO'!$F$4:$F$28,MATCH($F934,'CAT_CENTROS_COSTO'!$A$4:$A$28,0)),"(sin catálogo)"))</f>
        <v/>
      </c>
      <c r="Y934" s="24">
        <f>IF($F934="","",IFERROR(INDEX('CAT_CENTROS_COSTO'!$D$4:$D$28,MATCH($F934,'CAT_CENTROS_COSTO'!$A$4:$A$28,0)),"(sin catálogo)"))</f>
        <v/>
      </c>
      <c r="Z934" s="24">
        <f>IF($F934="","",IF((IFERROR(INDEX('CAT_CENTROS_COSTO'!$E$4:$E$28,MATCH($F934,'CAT_CENTROS_COSTO'!$A$4:$A$28,0)),""))&lt;&gt;"",IFERROR(INDEX('CAT_CENTROS_COSTO'!$E$4:$E$28,MATCH($F934,'CAT_CENTROS_COSTO'!$A$4:$A$28,0)),""),$Y934))</f>
        <v/>
      </c>
      <c r="AA934" s="24">
        <f>IF($F934="","",IFERROR(INDEX('CAT_CENTROS_COSTO'!$G$4:$G$28,MATCH($F934,'CAT_CENTROS_COSTO'!$A$4:$A$28,0)),"(sin catálogo)"))</f>
        <v/>
      </c>
      <c r="AB934" s="24">
        <f>IF($G934="","",IFERROR(INDEX('CAT_PUESTOS'!$B$4:$B$23,MATCH($G934,'CAT_PUESTOS'!$A$4:$A$23,0)),"(sin catálogo)"))</f>
        <v/>
      </c>
      <c r="AC934" s="24">
        <f>IF($H934="","",IFERROR(INDEX('CAT_ACTIVIDADES'!$B$4:$B$26,MATCH($H934,'CAT_ACTIVIDADES'!$A$4:$A$26,0)),"(sin catálogo)"))</f>
        <v/>
      </c>
      <c r="AD934" s="26">
        <f>IF($J934="","",TODAY()-$J934)</f>
        <v/>
      </c>
      <c r="AE934" s="26">
        <f>IF($J934="","",IF($J934&lt;=TODAY(),COUNTIFS(cal_fechas,"&gt;="&amp;$J934,cal_fechas,"&lt;"&amp;TODAY(),cal_habil,"sí"),-COUNTIFS(cal_fechas,"&gt;="&amp;TODAY(),cal_fechas,"&lt;"&amp;$J934,cal_habil,"sí")))</f>
        <v/>
      </c>
      <c r="AF934" s="24">
        <f>IF($AE934="","",IF($AE934&lt;0,"FUTURO",IF($AE934&gt;p_dias_backlog_max,"BACKLOG","MES CORRIENTE")))</f>
        <v/>
      </c>
      <c r="AG934" s="24">
        <f>IF($AE934="",FALSE,AND($AE934&gt;p_dias_backlog_min,$AE934&lt;=p_dias_backlog_max))</f>
        <v/>
      </c>
      <c r="AH934" s="4" t="n"/>
      <c r="AI934" s="24">
        <f>IF($AH934="","",IF((IFERROR(INDEX('ASIGNACIONES'!$J$4:$J$451,MATCH($O934&amp;"|"&amp;$S934&amp;"|"&amp;$AH934,'ASIGNACIONES'!$N$4:$N$451,0)),""))=0,"",IFERROR(INDEX('ASIGNACIONES'!$J$4:$J$451,MATCH($O934&amp;"|"&amp;$S934&amp;"|"&amp;$AH934,'ASIGNACIONES'!$N$4:$N$451,0)),"")))</f>
        <v/>
      </c>
      <c r="AJ934" s="42">
        <f>IF($AH934="","",SUMIFS('ORDENES'!$M$4:$M$1203,'ORDENES'!$AH$4:$AH$1203,$AH934,'ORDENES'!$O$4:$O$1203,$O934,'ORDENES'!$S$4:$S$1203,$S934))</f>
        <v/>
      </c>
      <c r="AK934" s="42">
        <f>IF($AJ934="","",p_factor_productividad*IFERROR(INDEX('ASIGNACIONES'!$M$4:$M$451,MATCH($O934&amp;"|"&amp;$S934&amp;"|"&amp;$AH934,'ASIGNACIONES'!$N$4:$N$451,0)),0)-$AJ934)</f>
        <v/>
      </c>
      <c r="AL934" s="32">
        <f>IF($A934="","",IFERROR(INDEX('2_IMPORTAR_EJECUCION'!$F$9:$F$1208,MATCH($AU934,'2_IMPORTAR_EJECUCION'!$J$9:$J$1208,0)),0))</f>
        <v/>
      </c>
      <c r="AM934" s="32">
        <f>IF($A934="","",MAX(0,IFERROR(INDEX('2_IMPORTAR_EJECUCION'!$H$9:$H$1208,MATCH($AU934,'2_IMPORTAR_EJECUCION'!$J$9:$J$1208,0)),0)-$AL934))</f>
        <v/>
      </c>
      <c r="AN934" s="32">
        <f>IF($A934="","",$AL934+$AM934)</f>
        <v/>
      </c>
      <c r="AO934" s="24">
        <f>IF($A934="","",IF(OR((IFERROR(INDEX('CAT_ACTIVIDADES'!$D$4:$D$26,MATCH($H934,'CAT_ACTIVIDADES'!$A$4:$A$26,0)),""))=0,(IFERROR(INDEX('CAT_ACTIVIDADES'!$D$4:$D$26,MATCH($H934,'CAT_ACTIVIDADES'!$A$4:$A$26,0)),""))=""),"SIN CLASIFICAR",IFERROR(INDEX('CAT_ACTIVIDADES'!$D$4:$D$26,MATCH($H934,'CAT_ACTIVIDADES'!$A$4:$A$26,0)),"")))</f>
        <v/>
      </c>
      <c r="AP934" s="4" t="n"/>
      <c r="AQ934" s="4" t="n"/>
      <c r="AR934" s="4" t="n"/>
      <c r="AS934" s="24">
        <f>IF($AR934="","",HYPERLINK(p_ruta_base_checklists&amp;$AR934,"abrir"))</f>
        <v/>
      </c>
      <c r="AT934" s="4" t="n"/>
      <c r="AU934" s="24">
        <f>IF($A934="","",$A934&amp;IF($B934="","0010",$B934))</f>
        <v/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41" t="n"/>
      <c r="K935" s="5" t="n"/>
      <c r="L935" s="18" t="n"/>
      <c r="M935" s="24">
        <f>IF($A935="","",IFERROR(INDEX('AJUSTES'!$B$4:$B$303,MATCH($AU935,'AJUSTES'!$A$4:$A$303,0)),IF($K935="","",$K935)))</f>
        <v/>
      </c>
      <c r="N935" s="24">
        <f>IF($A935="","",IFERROR(INDEX('CAT_ESTADOS_ERP'!$B$4:$B$22,MATCH(IFERROR(INDEX('2_IMPORTAR_EJECUCION'!$C$9:$C$1208,MATCH($AU935,'2_IMPORTAR_EJECUCION'!$J$9:$J$1208,0)),""),'CAT_ESTADOS_ERP'!$A$4:$A$22,0)),"Pendiente"))</f>
        <v/>
      </c>
      <c r="O935" s="24">
        <f>IF($J935="","",YEAR($J935+4-WEEKDAY($J935,2))&amp;"-S"&amp;TEXT(_xlfn.ISOWEEKNUM($J935),"00"))</f>
        <v/>
      </c>
      <c r="P935" s="24">
        <f>IF($J935="","",YEAR($J935))</f>
        <v/>
      </c>
      <c r="Q935" s="24">
        <f>IF($J935="","",MONTH($J935))</f>
        <v/>
      </c>
      <c r="R935" s="24">
        <f>IF($J935="","",$P935&amp;"-"&amp;TEXT($Q935,"00"))</f>
        <v/>
      </c>
      <c r="S935" s="24">
        <f>IF($J935="","",INDEX(lista_dias,WEEKDAY($J935,2)))</f>
        <v/>
      </c>
      <c r="T935" s="24">
        <f>IF($J935="","",IFERROR(INDEX('CALENDARIO'!$C$15:$C$214,MATCH(TEXT($J935,"yyyy-mm-dd")&amp;"|"&amp;$Y935&amp;"|"&amp;$Z935,'CALENDARIO'!$G$15:$G$214,0)),IFERROR(INDEX('CALENDARIO'!$C$15:$C$214,MATCH(TEXT($J935,"yyyy-mm-dd")&amp;"|"&amp;$Y935&amp;"|",'CALENDARIO'!$G$15:$G$214,0)),IFERROR(INDEX('CALENDARIO'!$C$15:$C$214,MATCH(TEXT($J935,"yyyy-mm-dd")&amp;"||",'CALENDARIO'!$G$15:$G$214,0)),INDEX(patronHabil,WEEKDAY($J935,2))))))</f>
        <v/>
      </c>
      <c r="U935" s="24">
        <f>IF($I935="","",IFERROR(INDEX('CAT_TIPOS_OT'!$C$4:$C$23,MATCH($I935,'CAT_TIPOS_OT'!$A$4:$A$23,0)),"sin_clasificar"))</f>
        <v/>
      </c>
      <c r="V935" s="24">
        <f>IF($I935="","",IF(IFERROR(INDEX('CAT_TIPOS_OT'!$D$4:$D$23,MATCH($I935,'CAT_TIPOS_OT'!$A$4:$A$23,0)),"SIN CLASIFICAR")="","SIN CLASIFICAR",IFERROR(INDEX('CAT_TIPOS_OT'!$D$4:$D$23,MATCH($I935,'CAT_TIPOS_OT'!$A$4:$A$23,0)),"SIN CLASIFICAR")))</f>
        <v/>
      </c>
      <c r="W935" s="24">
        <f>IF($H935="","",IF(IFERROR(INDEX('CAT_ACTIVIDADES'!$F$4:$F$26,MATCH($H935,'CAT_ACTIVIDADES'!$A$4:$A$26,0)),"")=0,"",IFERROR(INDEX('CAT_ACTIVIDADES'!$F$4:$F$26,MATCH($H935,'CAT_ACTIVIDADES'!$A$4:$A$26,0)),"")))</f>
        <v/>
      </c>
      <c r="X935" s="24">
        <f>IF($F935="","",IFERROR(INDEX('CAT_CENTROS_COSTO'!$F$4:$F$28,MATCH($F935,'CAT_CENTROS_COSTO'!$A$4:$A$28,0)),"(sin catálogo)"))</f>
        <v/>
      </c>
      <c r="Y935" s="24">
        <f>IF($F935="","",IFERROR(INDEX('CAT_CENTROS_COSTO'!$D$4:$D$28,MATCH($F935,'CAT_CENTROS_COSTO'!$A$4:$A$28,0)),"(sin catálogo)"))</f>
        <v/>
      </c>
      <c r="Z935" s="24">
        <f>IF($F935="","",IF((IFERROR(INDEX('CAT_CENTROS_COSTO'!$E$4:$E$28,MATCH($F935,'CAT_CENTROS_COSTO'!$A$4:$A$28,0)),""))&lt;&gt;"",IFERROR(INDEX('CAT_CENTROS_COSTO'!$E$4:$E$28,MATCH($F935,'CAT_CENTROS_COSTO'!$A$4:$A$28,0)),""),$Y935))</f>
        <v/>
      </c>
      <c r="AA935" s="24">
        <f>IF($F935="","",IFERROR(INDEX('CAT_CENTROS_COSTO'!$G$4:$G$28,MATCH($F935,'CAT_CENTROS_COSTO'!$A$4:$A$28,0)),"(sin catálogo)"))</f>
        <v/>
      </c>
      <c r="AB935" s="24">
        <f>IF($G935="","",IFERROR(INDEX('CAT_PUESTOS'!$B$4:$B$23,MATCH($G935,'CAT_PUESTOS'!$A$4:$A$23,0)),"(sin catálogo)"))</f>
        <v/>
      </c>
      <c r="AC935" s="24">
        <f>IF($H935="","",IFERROR(INDEX('CAT_ACTIVIDADES'!$B$4:$B$26,MATCH($H935,'CAT_ACTIVIDADES'!$A$4:$A$26,0)),"(sin catálogo)"))</f>
        <v/>
      </c>
      <c r="AD935" s="26">
        <f>IF($J935="","",TODAY()-$J935)</f>
        <v/>
      </c>
      <c r="AE935" s="26">
        <f>IF($J935="","",IF($J935&lt;=TODAY(),COUNTIFS(cal_fechas,"&gt;="&amp;$J935,cal_fechas,"&lt;"&amp;TODAY(),cal_habil,"sí"),-COUNTIFS(cal_fechas,"&gt;="&amp;TODAY(),cal_fechas,"&lt;"&amp;$J935,cal_habil,"sí")))</f>
        <v/>
      </c>
      <c r="AF935" s="24">
        <f>IF($AE935="","",IF($AE935&lt;0,"FUTURO",IF($AE935&gt;p_dias_backlog_max,"BACKLOG","MES CORRIENTE")))</f>
        <v/>
      </c>
      <c r="AG935" s="24">
        <f>IF($AE935="",FALSE,AND($AE935&gt;p_dias_backlog_min,$AE935&lt;=p_dias_backlog_max))</f>
        <v/>
      </c>
      <c r="AH935" s="4" t="n"/>
      <c r="AI935" s="24">
        <f>IF($AH935="","",IF((IFERROR(INDEX('ASIGNACIONES'!$J$4:$J$451,MATCH($O935&amp;"|"&amp;$S935&amp;"|"&amp;$AH935,'ASIGNACIONES'!$N$4:$N$451,0)),""))=0,"",IFERROR(INDEX('ASIGNACIONES'!$J$4:$J$451,MATCH($O935&amp;"|"&amp;$S935&amp;"|"&amp;$AH935,'ASIGNACIONES'!$N$4:$N$451,0)),"")))</f>
        <v/>
      </c>
      <c r="AJ935" s="42">
        <f>IF($AH935="","",SUMIFS('ORDENES'!$M$4:$M$1203,'ORDENES'!$AH$4:$AH$1203,$AH935,'ORDENES'!$O$4:$O$1203,$O935,'ORDENES'!$S$4:$S$1203,$S935))</f>
        <v/>
      </c>
      <c r="AK935" s="42">
        <f>IF($AJ935="","",p_factor_productividad*IFERROR(INDEX('ASIGNACIONES'!$M$4:$M$451,MATCH($O935&amp;"|"&amp;$S935&amp;"|"&amp;$AH935,'ASIGNACIONES'!$N$4:$N$451,0)),0)-$AJ935)</f>
        <v/>
      </c>
      <c r="AL935" s="32">
        <f>IF($A935="","",IFERROR(INDEX('2_IMPORTAR_EJECUCION'!$F$9:$F$1208,MATCH($AU935,'2_IMPORTAR_EJECUCION'!$J$9:$J$1208,0)),0))</f>
        <v/>
      </c>
      <c r="AM935" s="32">
        <f>IF($A935="","",MAX(0,IFERROR(INDEX('2_IMPORTAR_EJECUCION'!$H$9:$H$1208,MATCH($AU935,'2_IMPORTAR_EJECUCION'!$J$9:$J$1208,0)),0)-$AL935))</f>
        <v/>
      </c>
      <c r="AN935" s="32">
        <f>IF($A935="","",$AL935+$AM935)</f>
        <v/>
      </c>
      <c r="AO935" s="24">
        <f>IF($A935="","",IF(OR((IFERROR(INDEX('CAT_ACTIVIDADES'!$D$4:$D$26,MATCH($H935,'CAT_ACTIVIDADES'!$A$4:$A$26,0)),""))=0,(IFERROR(INDEX('CAT_ACTIVIDADES'!$D$4:$D$26,MATCH($H935,'CAT_ACTIVIDADES'!$A$4:$A$26,0)),""))=""),"SIN CLASIFICAR",IFERROR(INDEX('CAT_ACTIVIDADES'!$D$4:$D$26,MATCH($H935,'CAT_ACTIVIDADES'!$A$4:$A$26,0)),"")))</f>
        <v/>
      </c>
      <c r="AP935" s="4" t="n"/>
      <c r="AQ935" s="4" t="n"/>
      <c r="AR935" s="4" t="n"/>
      <c r="AS935" s="24">
        <f>IF($AR935="","",HYPERLINK(p_ruta_base_checklists&amp;$AR935,"abrir"))</f>
        <v/>
      </c>
      <c r="AT935" s="4" t="n"/>
      <c r="AU935" s="24">
        <f>IF($A935="","",$A935&amp;IF($B935="","0010",$B935))</f>
        <v/>
      </c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41" t="n"/>
      <c r="K936" s="5" t="n"/>
      <c r="L936" s="18" t="n"/>
      <c r="M936" s="24">
        <f>IF($A936="","",IFERROR(INDEX('AJUSTES'!$B$4:$B$303,MATCH($AU936,'AJUSTES'!$A$4:$A$303,0)),IF($K936="","",$K936)))</f>
        <v/>
      </c>
      <c r="N936" s="24">
        <f>IF($A936="","",IFERROR(INDEX('CAT_ESTADOS_ERP'!$B$4:$B$22,MATCH(IFERROR(INDEX('2_IMPORTAR_EJECUCION'!$C$9:$C$1208,MATCH($AU936,'2_IMPORTAR_EJECUCION'!$J$9:$J$1208,0)),""),'CAT_ESTADOS_ERP'!$A$4:$A$22,0)),"Pendiente"))</f>
        <v/>
      </c>
      <c r="O936" s="24">
        <f>IF($J936="","",YEAR($J936+4-WEEKDAY($J936,2))&amp;"-S"&amp;TEXT(_xlfn.ISOWEEKNUM($J936),"00"))</f>
        <v/>
      </c>
      <c r="P936" s="24">
        <f>IF($J936="","",YEAR($J936))</f>
        <v/>
      </c>
      <c r="Q936" s="24">
        <f>IF($J936="","",MONTH($J936))</f>
        <v/>
      </c>
      <c r="R936" s="24">
        <f>IF($J936="","",$P936&amp;"-"&amp;TEXT($Q936,"00"))</f>
        <v/>
      </c>
      <c r="S936" s="24">
        <f>IF($J936="","",INDEX(lista_dias,WEEKDAY($J936,2)))</f>
        <v/>
      </c>
      <c r="T936" s="24">
        <f>IF($J936="","",IFERROR(INDEX('CALENDARIO'!$C$15:$C$214,MATCH(TEXT($J936,"yyyy-mm-dd")&amp;"|"&amp;$Y936&amp;"|"&amp;$Z936,'CALENDARIO'!$G$15:$G$214,0)),IFERROR(INDEX('CALENDARIO'!$C$15:$C$214,MATCH(TEXT($J936,"yyyy-mm-dd")&amp;"|"&amp;$Y936&amp;"|",'CALENDARIO'!$G$15:$G$214,0)),IFERROR(INDEX('CALENDARIO'!$C$15:$C$214,MATCH(TEXT($J936,"yyyy-mm-dd")&amp;"||",'CALENDARIO'!$G$15:$G$214,0)),INDEX(patronHabil,WEEKDAY($J936,2))))))</f>
        <v/>
      </c>
      <c r="U936" s="24">
        <f>IF($I936="","",IFERROR(INDEX('CAT_TIPOS_OT'!$C$4:$C$23,MATCH($I936,'CAT_TIPOS_OT'!$A$4:$A$23,0)),"sin_clasificar"))</f>
        <v/>
      </c>
      <c r="V936" s="24">
        <f>IF($I936="","",IF(IFERROR(INDEX('CAT_TIPOS_OT'!$D$4:$D$23,MATCH($I936,'CAT_TIPOS_OT'!$A$4:$A$23,0)),"SIN CLASIFICAR")="","SIN CLASIFICAR",IFERROR(INDEX('CAT_TIPOS_OT'!$D$4:$D$23,MATCH($I936,'CAT_TIPOS_OT'!$A$4:$A$23,0)),"SIN CLASIFICAR")))</f>
        <v/>
      </c>
      <c r="W936" s="24">
        <f>IF($H936="","",IF(IFERROR(INDEX('CAT_ACTIVIDADES'!$F$4:$F$26,MATCH($H936,'CAT_ACTIVIDADES'!$A$4:$A$26,0)),"")=0,"",IFERROR(INDEX('CAT_ACTIVIDADES'!$F$4:$F$26,MATCH($H936,'CAT_ACTIVIDADES'!$A$4:$A$26,0)),"")))</f>
        <v/>
      </c>
      <c r="X936" s="24">
        <f>IF($F936="","",IFERROR(INDEX('CAT_CENTROS_COSTO'!$F$4:$F$28,MATCH($F936,'CAT_CENTROS_COSTO'!$A$4:$A$28,0)),"(sin catálogo)"))</f>
        <v/>
      </c>
      <c r="Y936" s="24">
        <f>IF($F936="","",IFERROR(INDEX('CAT_CENTROS_COSTO'!$D$4:$D$28,MATCH($F936,'CAT_CENTROS_COSTO'!$A$4:$A$28,0)),"(sin catálogo)"))</f>
        <v/>
      </c>
      <c r="Z936" s="24">
        <f>IF($F936="","",IF((IFERROR(INDEX('CAT_CENTROS_COSTO'!$E$4:$E$28,MATCH($F936,'CAT_CENTROS_COSTO'!$A$4:$A$28,0)),""))&lt;&gt;"",IFERROR(INDEX('CAT_CENTROS_COSTO'!$E$4:$E$28,MATCH($F936,'CAT_CENTROS_COSTO'!$A$4:$A$28,0)),""),$Y936))</f>
        <v/>
      </c>
      <c r="AA936" s="24">
        <f>IF($F936="","",IFERROR(INDEX('CAT_CENTROS_COSTO'!$G$4:$G$28,MATCH($F936,'CAT_CENTROS_COSTO'!$A$4:$A$28,0)),"(sin catálogo)"))</f>
        <v/>
      </c>
      <c r="AB936" s="24">
        <f>IF($G936="","",IFERROR(INDEX('CAT_PUESTOS'!$B$4:$B$23,MATCH($G936,'CAT_PUESTOS'!$A$4:$A$23,0)),"(sin catálogo)"))</f>
        <v/>
      </c>
      <c r="AC936" s="24">
        <f>IF($H936="","",IFERROR(INDEX('CAT_ACTIVIDADES'!$B$4:$B$26,MATCH($H936,'CAT_ACTIVIDADES'!$A$4:$A$26,0)),"(sin catálogo)"))</f>
        <v/>
      </c>
      <c r="AD936" s="26">
        <f>IF($J936="","",TODAY()-$J936)</f>
        <v/>
      </c>
      <c r="AE936" s="26">
        <f>IF($J936="","",IF($J936&lt;=TODAY(),COUNTIFS(cal_fechas,"&gt;="&amp;$J936,cal_fechas,"&lt;"&amp;TODAY(),cal_habil,"sí"),-COUNTIFS(cal_fechas,"&gt;="&amp;TODAY(),cal_fechas,"&lt;"&amp;$J936,cal_habil,"sí")))</f>
        <v/>
      </c>
      <c r="AF936" s="24">
        <f>IF($AE936="","",IF($AE936&lt;0,"FUTURO",IF($AE936&gt;p_dias_backlog_max,"BACKLOG","MES CORRIENTE")))</f>
        <v/>
      </c>
      <c r="AG936" s="24">
        <f>IF($AE936="",FALSE,AND($AE936&gt;p_dias_backlog_min,$AE936&lt;=p_dias_backlog_max))</f>
        <v/>
      </c>
      <c r="AH936" s="4" t="n"/>
      <c r="AI936" s="24">
        <f>IF($AH936="","",IF((IFERROR(INDEX('ASIGNACIONES'!$J$4:$J$451,MATCH($O936&amp;"|"&amp;$S936&amp;"|"&amp;$AH936,'ASIGNACIONES'!$N$4:$N$451,0)),""))=0,"",IFERROR(INDEX('ASIGNACIONES'!$J$4:$J$451,MATCH($O936&amp;"|"&amp;$S936&amp;"|"&amp;$AH936,'ASIGNACIONES'!$N$4:$N$451,0)),"")))</f>
        <v/>
      </c>
      <c r="AJ936" s="42">
        <f>IF($AH936="","",SUMIFS('ORDENES'!$M$4:$M$1203,'ORDENES'!$AH$4:$AH$1203,$AH936,'ORDENES'!$O$4:$O$1203,$O936,'ORDENES'!$S$4:$S$1203,$S936))</f>
        <v/>
      </c>
      <c r="AK936" s="42">
        <f>IF($AJ936="","",p_factor_productividad*IFERROR(INDEX('ASIGNACIONES'!$M$4:$M$451,MATCH($O936&amp;"|"&amp;$S936&amp;"|"&amp;$AH936,'ASIGNACIONES'!$N$4:$N$451,0)),0)-$AJ936)</f>
        <v/>
      </c>
      <c r="AL936" s="32">
        <f>IF($A936="","",IFERROR(INDEX('2_IMPORTAR_EJECUCION'!$F$9:$F$1208,MATCH($AU936,'2_IMPORTAR_EJECUCION'!$J$9:$J$1208,0)),0))</f>
        <v/>
      </c>
      <c r="AM936" s="32">
        <f>IF($A936="","",MAX(0,IFERROR(INDEX('2_IMPORTAR_EJECUCION'!$H$9:$H$1208,MATCH($AU936,'2_IMPORTAR_EJECUCION'!$J$9:$J$1208,0)),0)-$AL936))</f>
        <v/>
      </c>
      <c r="AN936" s="32">
        <f>IF($A936="","",$AL936+$AM936)</f>
        <v/>
      </c>
      <c r="AO936" s="24">
        <f>IF($A936="","",IF(OR((IFERROR(INDEX('CAT_ACTIVIDADES'!$D$4:$D$26,MATCH($H936,'CAT_ACTIVIDADES'!$A$4:$A$26,0)),""))=0,(IFERROR(INDEX('CAT_ACTIVIDADES'!$D$4:$D$26,MATCH($H936,'CAT_ACTIVIDADES'!$A$4:$A$26,0)),""))=""),"SIN CLASIFICAR",IFERROR(INDEX('CAT_ACTIVIDADES'!$D$4:$D$26,MATCH($H936,'CAT_ACTIVIDADES'!$A$4:$A$26,0)),"")))</f>
        <v/>
      </c>
      <c r="AP936" s="4" t="n"/>
      <c r="AQ936" s="4" t="n"/>
      <c r="AR936" s="4" t="n"/>
      <c r="AS936" s="24">
        <f>IF($AR936="","",HYPERLINK(p_ruta_base_checklists&amp;$AR936,"abrir"))</f>
        <v/>
      </c>
      <c r="AT936" s="4" t="n"/>
      <c r="AU936" s="24">
        <f>IF($A936="","",$A936&amp;IF($B936="","0010",$B936))</f>
        <v/>
      </c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41" t="n"/>
      <c r="K937" s="5" t="n"/>
      <c r="L937" s="18" t="n"/>
      <c r="M937" s="24">
        <f>IF($A937="","",IFERROR(INDEX('AJUSTES'!$B$4:$B$303,MATCH($AU937,'AJUSTES'!$A$4:$A$303,0)),IF($K937="","",$K937)))</f>
        <v/>
      </c>
      <c r="N937" s="24">
        <f>IF($A937="","",IFERROR(INDEX('CAT_ESTADOS_ERP'!$B$4:$B$22,MATCH(IFERROR(INDEX('2_IMPORTAR_EJECUCION'!$C$9:$C$1208,MATCH($AU937,'2_IMPORTAR_EJECUCION'!$J$9:$J$1208,0)),""),'CAT_ESTADOS_ERP'!$A$4:$A$22,0)),"Pendiente"))</f>
        <v/>
      </c>
      <c r="O937" s="24">
        <f>IF($J937="","",YEAR($J937+4-WEEKDAY($J937,2))&amp;"-S"&amp;TEXT(_xlfn.ISOWEEKNUM($J937),"00"))</f>
        <v/>
      </c>
      <c r="P937" s="24">
        <f>IF($J937="","",YEAR($J937))</f>
        <v/>
      </c>
      <c r="Q937" s="24">
        <f>IF($J937="","",MONTH($J937))</f>
        <v/>
      </c>
      <c r="R937" s="24">
        <f>IF($J937="","",$P937&amp;"-"&amp;TEXT($Q937,"00"))</f>
        <v/>
      </c>
      <c r="S937" s="24">
        <f>IF($J937="","",INDEX(lista_dias,WEEKDAY($J937,2)))</f>
        <v/>
      </c>
      <c r="T937" s="24">
        <f>IF($J937="","",IFERROR(INDEX('CALENDARIO'!$C$15:$C$214,MATCH(TEXT($J937,"yyyy-mm-dd")&amp;"|"&amp;$Y937&amp;"|"&amp;$Z937,'CALENDARIO'!$G$15:$G$214,0)),IFERROR(INDEX('CALENDARIO'!$C$15:$C$214,MATCH(TEXT($J937,"yyyy-mm-dd")&amp;"|"&amp;$Y937&amp;"|",'CALENDARIO'!$G$15:$G$214,0)),IFERROR(INDEX('CALENDARIO'!$C$15:$C$214,MATCH(TEXT($J937,"yyyy-mm-dd")&amp;"||",'CALENDARIO'!$G$15:$G$214,0)),INDEX(patronHabil,WEEKDAY($J937,2))))))</f>
        <v/>
      </c>
      <c r="U937" s="24">
        <f>IF($I937="","",IFERROR(INDEX('CAT_TIPOS_OT'!$C$4:$C$23,MATCH($I937,'CAT_TIPOS_OT'!$A$4:$A$23,0)),"sin_clasificar"))</f>
        <v/>
      </c>
      <c r="V937" s="24">
        <f>IF($I937="","",IF(IFERROR(INDEX('CAT_TIPOS_OT'!$D$4:$D$23,MATCH($I937,'CAT_TIPOS_OT'!$A$4:$A$23,0)),"SIN CLASIFICAR")="","SIN CLASIFICAR",IFERROR(INDEX('CAT_TIPOS_OT'!$D$4:$D$23,MATCH($I937,'CAT_TIPOS_OT'!$A$4:$A$23,0)),"SIN CLASIFICAR")))</f>
        <v/>
      </c>
      <c r="W937" s="24">
        <f>IF($H937="","",IF(IFERROR(INDEX('CAT_ACTIVIDADES'!$F$4:$F$26,MATCH($H937,'CAT_ACTIVIDADES'!$A$4:$A$26,0)),"")=0,"",IFERROR(INDEX('CAT_ACTIVIDADES'!$F$4:$F$26,MATCH($H937,'CAT_ACTIVIDADES'!$A$4:$A$26,0)),"")))</f>
        <v/>
      </c>
      <c r="X937" s="24">
        <f>IF($F937="","",IFERROR(INDEX('CAT_CENTROS_COSTO'!$F$4:$F$28,MATCH($F937,'CAT_CENTROS_COSTO'!$A$4:$A$28,0)),"(sin catálogo)"))</f>
        <v/>
      </c>
      <c r="Y937" s="24">
        <f>IF($F937="","",IFERROR(INDEX('CAT_CENTROS_COSTO'!$D$4:$D$28,MATCH($F937,'CAT_CENTROS_COSTO'!$A$4:$A$28,0)),"(sin catálogo)"))</f>
        <v/>
      </c>
      <c r="Z937" s="24">
        <f>IF($F937="","",IF((IFERROR(INDEX('CAT_CENTROS_COSTO'!$E$4:$E$28,MATCH($F937,'CAT_CENTROS_COSTO'!$A$4:$A$28,0)),""))&lt;&gt;"",IFERROR(INDEX('CAT_CENTROS_COSTO'!$E$4:$E$28,MATCH($F937,'CAT_CENTROS_COSTO'!$A$4:$A$28,0)),""),$Y937))</f>
        <v/>
      </c>
      <c r="AA937" s="24">
        <f>IF($F937="","",IFERROR(INDEX('CAT_CENTROS_COSTO'!$G$4:$G$28,MATCH($F937,'CAT_CENTROS_COSTO'!$A$4:$A$28,0)),"(sin catálogo)"))</f>
        <v/>
      </c>
      <c r="AB937" s="24">
        <f>IF($G937="","",IFERROR(INDEX('CAT_PUESTOS'!$B$4:$B$23,MATCH($G937,'CAT_PUESTOS'!$A$4:$A$23,0)),"(sin catálogo)"))</f>
        <v/>
      </c>
      <c r="AC937" s="24">
        <f>IF($H937="","",IFERROR(INDEX('CAT_ACTIVIDADES'!$B$4:$B$26,MATCH($H937,'CAT_ACTIVIDADES'!$A$4:$A$26,0)),"(sin catálogo)"))</f>
        <v/>
      </c>
      <c r="AD937" s="26">
        <f>IF($J937="","",TODAY()-$J937)</f>
        <v/>
      </c>
      <c r="AE937" s="26">
        <f>IF($J937="","",IF($J937&lt;=TODAY(),COUNTIFS(cal_fechas,"&gt;="&amp;$J937,cal_fechas,"&lt;"&amp;TODAY(),cal_habil,"sí"),-COUNTIFS(cal_fechas,"&gt;="&amp;TODAY(),cal_fechas,"&lt;"&amp;$J937,cal_habil,"sí")))</f>
        <v/>
      </c>
      <c r="AF937" s="24">
        <f>IF($AE937="","",IF($AE937&lt;0,"FUTURO",IF($AE937&gt;p_dias_backlog_max,"BACKLOG","MES CORRIENTE")))</f>
        <v/>
      </c>
      <c r="AG937" s="24">
        <f>IF($AE937="",FALSE,AND($AE937&gt;p_dias_backlog_min,$AE937&lt;=p_dias_backlog_max))</f>
        <v/>
      </c>
      <c r="AH937" s="4" t="n"/>
      <c r="AI937" s="24">
        <f>IF($AH937="","",IF((IFERROR(INDEX('ASIGNACIONES'!$J$4:$J$451,MATCH($O937&amp;"|"&amp;$S937&amp;"|"&amp;$AH937,'ASIGNACIONES'!$N$4:$N$451,0)),""))=0,"",IFERROR(INDEX('ASIGNACIONES'!$J$4:$J$451,MATCH($O937&amp;"|"&amp;$S937&amp;"|"&amp;$AH937,'ASIGNACIONES'!$N$4:$N$451,0)),"")))</f>
        <v/>
      </c>
      <c r="AJ937" s="42">
        <f>IF($AH937="","",SUMIFS('ORDENES'!$M$4:$M$1203,'ORDENES'!$AH$4:$AH$1203,$AH937,'ORDENES'!$O$4:$O$1203,$O937,'ORDENES'!$S$4:$S$1203,$S937))</f>
        <v/>
      </c>
      <c r="AK937" s="42">
        <f>IF($AJ937="","",p_factor_productividad*IFERROR(INDEX('ASIGNACIONES'!$M$4:$M$451,MATCH($O937&amp;"|"&amp;$S937&amp;"|"&amp;$AH937,'ASIGNACIONES'!$N$4:$N$451,0)),0)-$AJ937)</f>
        <v/>
      </c>
      <c r="AL937" s="32">
        <f>IF($A937="","",IFERROR(INDEX('2_IMPORTAR_EJECUCION'!$F$9:$F$1208,MATCH($AU937,'2_IMPORTAR_EJECUCION'!$J$9:$J$1208,0)),0))</f>
        <v/>
      </c>
      <c r="AM937" s="32">
        <f>IF($A937="","",MAX(0,IFERROR(INDEX('2_IMPORTAR_EJECUCION'!$H$9:$H$1208,MATCH($AU937,'2_IMPORTAR_EJECUCION'!$J$9:$J$1208,0)),0)-$AL937))</f>
        <v/>
      </c>
      <c r="AN937" s="32">
        <f>IF($A937="","",$AL937+$AM937)</f>
        <v/>
      </c>
      <c r="AO937" s="24">
        <f>IF($A937="","",IF(OR((IFERROR(INDEX('CAT_ACTIVIDADES'!$D$4:$D$26,MATCH($H937,'CAT_ACTIVIDADES'!$A$4:$A$26,0)),""))=0,(IFERROR(INDEX('CAT_ACTIVIDADES'!$D$4:$D$26,MATCH($H937,'CAT_ACTIVIDADES'!$A$4:$A$26,0)),""))=""),"SIN CLASIFICAR",IFERROR(INDEX('CAT_ACTIVIDADES'!$D$4:$D$26,MATCH($H937,'CAT_ACTIVIDADES'!$A$4:$A$26,0)),"")))</f>
        <v/>
      </c>
      <c r="AP937" s="4" t="n"/>
      <c r="AQ937" s="4" t="n"/>
      <c r="AR937" s="4" t="n"/>
      <c r="AS937" s="24">
        <f>IF($AR937="","",HYPERLINK(p_ruta_base_checklists&amp;$AR937,"abrir"))</f>
        <v/>
      </c>
      <c r="AT937" s="4" t="n"/>
      <c r="AU937" s="24">
        <f>IF($A937="","",$A937&amp;IF($B937="","0010",$B937))</f>
        <v/>
      </c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41" t="n"/>
      <c r="K938" s="5" t="n"/>
      <c r="L938" s="18" t="n"/>
      <c r="M938" s="24">
        <f>IF($A938="","",IFERROR(INDEX('AJUSTES'!$B$4:$B$303,MATCH($AU938,'AJUSTES'!$A$4:$A$303,0)),IF($K938="","",$K938)))</f>
        <v/>
      </c>
      <c r="N938" s="24">
        <f>IF($A938="","",IFERROR(INDEX('CAT_ESTADOS_ERP'!$B$4:$B$22,MATCH(IFERROR(INDEX('2_IMPORTAR_EJECUCION'!$C$9:$C$1208,MATCH($AU938,'2_IMPORTAR_EJECUCION'!$J$9:$J$1208,0)),""),'CAT_ESTADOS_ERP'!$A$4:$A$22,0)),"Pendiente"))</f>
        <v/>
      </c>
      <c r="O938" s="24">
        <f>IF($J938="","",YEAR($J938+4-WEEKDAY($J938,2))&amp;"-S"&amp;TEXT(_xlfn.ISOWEEKNUM($J938),"00"))</f>
        <v/>
      </c>
      <c r="P938" s="24">
        <f>IF($J938="","",YEAR($J938))</f>
        <v/>
      </c>
      <c r="Q938" s="24">
        <f>IF($J938="","",MONTH($J938))</f>
        <v/>
      </c>
      <c r="R938" s="24">
        <f>IF($J938="","",$P938&amp;"-"&amp;TEXT($Q938,"00"))</f>
        <v/>
      </c>
      <c r="S938" s="24">
        <f>IF($J938="","",INDEX(lista_dias,WEEKDAY($J938,2)))</f>
        <v/>
      </c>
      <c r="T938" s="24">
        <f>IF($J938="","",IFERROR(INDEX('CALENDARIO'!$C$15:$C$214,MATCH(TEXT($J938,"yyyy-mm-dd")&amp;"|"&amp;$Y938&amp;"|"&amp;$Z938,'CALENDARIO'!$G$15:$G$214,0)),IFERROR(INDEX('CALENDARIO'!$C$15:$C$214,MATCH(TEXT($J938,"yyyy-mm-dd")&amp;"|"&amp;$Y938&amp;"|",'CALENDARIO'!$G$15:$G$214,0)),IFERROR(INDEX('CALENDARIO'!$C$15:$C$214,MATCH(TEXT($J938,"yyyy-mm-dd")&amp;"||",'CALENDARIO'!$G$15:$G$214,0)),INDEX(patronHabil,WEEKDAY($J938,2))))))</f>
        <v/>
      </c>
      <c r="U938" s="24">
        <f>IF($I938="","",IFERROR(INDEX('CAT_TIPOS_OT'!$C$4:$C$23,MATCH($I938,'CAT_TIPOS_OT'!$A$4:$A$23,0)),"sin_clasificar"))</f>
        <v/>
      </c>
      <c r="V938" s="24">
        <f>IF($I938="","",IF(IFERROR(INDEX('CAT_TIPOS_OT'!$D$4:$D$23,MATCH($I938,'CAT_TIPOS_OT'!$A$4:$A$23,0)),"SIN CLASIFICAR")="","SIN CLASIFICAR",IFERROR(INDEX('CAT_TIPOS_OT'!$D$4:$D$23,MATCH($I938,'CAT_TIPOS_OT'!$A$4:$A$23,0)),"SIN CLASIFICAR")))</f>
        <v/>
      </c>
      <c r="W938" s="24">
        <f>IF($H938="","",IF(IFERROR(INDEX('CAT_ACTIVIDADES'!$F$4:$F$26,MATCH($H938,'CAT_ACTIVIDADES'!$A$4:$A$26,0)),"")=0,"",IFERROR(INDEX('CAT_ACTIVIDADES'!$F$4:$F$26,MATCH($H938,'CAT_ACTIVIDADES'!$A$4:$A$26,0)),"")))</f>
        <v/>
      </c>
      <c r="X938" s="24">
        <f>IF($F938="","",IFERROR(INDEX('CAT_CENTROS_COSTO'!$F$4:$F$28,MATCH($F938,'CAT_CENTROS_COSTO'!$A$4:$A$28,0)),"(sin catálogo)"))</f>
        <v/>
      </c>
      <c r="Y938" s="24">
        <f>IF($F938="","",IFERROR(INDEX('CAT_CENTROS_COSTO'!$D$4:$D$28,MATCH($F938,'CAT_CENTROS_COSTO'!$A$4:$A$28,0)),"(sin catálogo)"))</f>
        <v/>
      </c>
      <c r="Z938" s="24">
        <f>IF($F938="","",IF((IFERROR(INDEX('CAT_CENTROS_COSTO'!$E$4:$E$28,MATCH($F938,'CAT_CENTROS_COSTO'!$A$4:$A$28,0)),""))&lt;&gt;"",IFERROR(INDEX('CAT_CENTROS_COSTO'!$E$4:$E$28,MATCH($F938,'CAT_CENTROS_COSTO'!$A$4:$A$28,0)),""),$Y938))</f>
        <v/>
      </c>
      <c r="AA938" s="24">
        <f>IF($F938="","",IFERROR(INDEX('CAT_CENTROS_COSTO'!$G$4:$G$28,MATCH($F938,'CAT_CENTROS_COSTO'!$A$4:$A$28,0)),"(sin catálogo)"))</f>
        <v/>
      </c>
      <c r="AB938" s="24">
        <f>IF($G938="","",IFERROR(INDEX('CAT_PUESTOS'!$B$4:$B$23,MATCH($G938,'CAT_PUESTOS'!$A$4:$A$23,0)),"(sin catálogo)"))</f>
        <v/>
      </c>
      <c r="AC938" s="24">
        <f>IF($H938="","",IFERROR(INDEX('CAT_ACTIVIDADES'!$B$4:$B$26,MATCH($H938,'CAT_ACTIVIDADES'!$A$4:$A$26,0)),"(sin catálogo)"))</f>
        <v/>
      </c>
      <c r="AD938" s="26">
        <f>IF($J938="","",TODAY()-$J938)</f>
        <v/>
      </c>
      <c r="AE938" s="26">
        <f>IF($J938="","",IF($J938&lt;=TODAY(),COUNTIFS(cal_fechas,"&gt;="&amp;$J938,cal_fechas,"&lt;"&amp;TODAY(),cal_habil,"sí"),-COUNTIFS(cal_fechas,"&gt;="&amp;TODAY(),cal_fechas,"&lt;"&amp;$J938,cal_habil,"sí")))</f>
        <v/>
      </c>
      <c r="AF938" s="24">
        <f>IF($AE938="","",IF($AE938&lt;0,"FUTURO",IF($AE938&gt;p_dias_backlog_max,"BACKLOG","MES CORRIENTE")))</f>
        <v/>
      </c>
      <c r="AG938" s="24">
        <f>IF($AE938="",FALSE,AND($AE938&gt;p_dias_backlog_min,$AE938&lt;=p_dias_backlog_max))</f>
        <v/>
      </c>
      <c r="AH938" s="4" t="n"/>
      <c r="AI938" s="24">
        <f>IF($AH938="","",IF((IFERROR(INDEX('ASIGNACIONES'!$J$4:$J$451,MATCH($O938&amp;"|"&amp;$S938&amp;"|"&amp;$AH938,'ASIGNACIONES'!$N$4:$N$451,0)),""))=0,"",IFERROR(INDEX('ASIGNACIONES'!$J$4:$J$451,MATCH($O938&amp;"|"&amp;$S938&amp;"|"&amp;$AH938,'ASIGNACIONES'!$N$4:$N$451,0)),"")))</f>
        <v/>
      </c>
      <c r="AJ938" s="42">
        <f>IF($AH938="","",SUMIFS('ORDENES'!$M$4:$M$1203,'ORDENES'!$AH$4:$AH$1203,$AH938,'ORDENES'!$O$4:$O$1203,$O938,'ORDENES'!$S$4:$S$1203,$S938))</f>
        <v/>
      </c>
      <c r="AK938" s="42">
        <f>IF($AJ938="","",p_factor_productividad*IFERROR(INDEX('ASIGNACIONES'!$M$4:$M$451,MATCH($O938&amp;"|"&amp;$S938&amp;"|"&amp;$AH938,'ASIGNACIONES'!$N$4:$N$451,0)),0)-$AJ938)</f>
        <v/>
      </c>
      <c r="AL938" s="32">
        <f>IF($A938="","",IFERROR(INDEX('2_IMPORTAR_EJECUCION'!$F$9:$F$1208,MATCH($AU938,'2_IMPORTAR_EJECUCION'!$J$9:$J$1208,0)),0))</f>
        <v/>
      </c>
      <c r="AM938" s="32">
        <f>IF($A938="","",MAX(0,IFERROR(INDEX('2_IMPORTAR_EJECUCION'!$H$9:$H$1208,MATCH($AU938,'2_IMPORTAR_EJECUCION'!$J$9:$J$1208,0)),0)-$AL938))</f>
        <v/>
      </c>
      <c r="AN938" s="32">
        <f>IF($A938="","",$AL938+$AM938)</f>
        <v/>
      </c>
      <c r="AO938" s="24">
        <f>IF($A938="","",IF(OR((IFERROR(INDEX('CAT_ACTIVIDADES'!$D$4:$D$26,MATCH($H938,'CAT_ACTIVIDADES'!$A$4:$A$26,0)),""))=0,(IFERROR(INDEX('CAT_ACTIVIDADES'!$D$4:$D$26,MATCH($H938,'CAT_ACTIVIDADES'!$A$4:$A$26,0)),""))=""),"SIN CLASIFICAR",IFERROR(INDEX('CAT_ACTIVIDADES'!$D$4:$D$26,MATCH($H938,'CAT_ACTIVIDADES'!$A$4:$A$26,0)),"")))</f>
        <v/>
      </c>
      <c r="AP938" s="4" t="n"/>
      <c r="AQ938" s="4" t="n"/>
      <c r="AR938" s="4" t="n"/>
      <c r="AS938" s="24">
        <f>IF($AR938="","",HYPERLINK(p_ruta_base_checklists&amp;$AR938,"abrir"))</f>
        <v/>
      </c>
      <c r="AT938" s="4" t="n"/>
      <c r="AU938" s="24">
        <f>IF($A938="","",$A938&amp;IF($B938="","0010",$B938))</f>
        <v/>
      </c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41" t="n"/>
      <c r="K939" s="5" t="n"/>
      <c r="L939" s="18" t="n"/>
      <c r="M939" s="24">
        <f>IF($A939="","",IFERROR(INDEX('AJUSTES'!$B$4:$B$303,MATCH($AU939,'AJUSTES'!$A$4:$A$303,0)),IF($K939="","",$K939)))</f>
        <v/>
      </c>
      <c r="N939" s="24">
        <f>IF($A939="","",IFERROR(INDEX('CAT_ESTADOS_ERP'!$B$4:$B$22,MATCH(IFERROR(INDEX('2_IMPORTAR_EJECUCION'!$C$9:$C$1208,MATCH($AU939,'2_IMPORTAR_EJECUCION'!$J$9:$J$1208,0)),""),'CAT_ESTADOS_ERP'!$A$4:$A$22,0)),"Pendiente"))</f>
        <v/>
      </c>
      <c r="O939" s="24">
        <f>IF($J939="","",YEAR($J939+4-WEEKDAY($J939,2))&amp;"-S"&amp;TEXT(_xlfn.ISOWEEKNUM($J939),"00"))</f>
        <v/>
      </c>
      <c r="P939" s="24">
        <f>IF($J939="","",YEAR($J939))</f>
        <v/>
      </c>
      <c r="Q939" s="24">
        <f>IF($J939="","",MONTH($J939))</f>
        <v/>
      </c>
      <c r="R939" s="24">
        <f>IF($J939="","",$P939&amp;"-"&amp;TEXT($Q939,"00"))</f>
        <v/>
      </c>
      <c r="S939" s="24">
        <f>IF($J939="","",INDEX(lista_dias,WEEKDAY($J939,2)))</f>
        <v/>
      </c>
      <c r="T939" s="24">
        <f>IF($J939="","",IFERROR(INDEX('CALENDARIO'!$C$15:$C$214,MATCH(TEXT($J939,"yyyy-mm-dd")&amp;"|"&amp;$Y939&amp;"|"&amp;$Z939,'CALENDARIO'!$G$15:$G$214,0)),IFERROR(INDEX('CALENDARIO'!$C$15:$C$214,MATCH(TEXT($J939,"yyyy-mm-dd")&amp;"|"&amp;$Y939&amp;"|",'CALENDARIO'!$G$15:$G$214,0)),IFERROR(INDEX('CALENDARIO'!$C$15:$C$214,MATCH(TEXT($J939,"yyyy-mm-dd")&amp;"||",'CALENDARIO'!$G$15:$G$214,0)),INDEX(patronHabil,WEEKDAY($J939,2))))))</f>
        <v/>
      </c>
      <c r="U939" s="24">
        <f>IF($I939="","",IFERROR(INDEX('CAT_TIPOS_OT'!$C$4:$C$23,MATCH($I939,'CAT_TIPOS_OT'!$A$4:$A$23,0)),"sin_clasificar"))</f>
        <v/>
      </c>
      <c r="V939" s="24">
        <f>IF($I939="","",IF(IFERROR(INDEX('CAT_TIPOS_OT'!$D$4:$D$23,MATCH($I939,'CAT_TIPOS_OT'!$A$4:$A$23,0)),"SIN CLASIFICAR")="","SIN CLASIFICAR",IFERROR(INDEX('CAT_TIPOS_OT'!$D$4:$D$23,MATCH($I939,'CAT_TIPOS_OT'!$A$4:$A$23,0)),"SIN CLASIFICAR")))</f>
        <v/>
      </c>
      <c r="W939" s="24">
        <f>IF($H939="","",IF(IFERROR(INDEX('CAT_ACTIVIDADES'!$F$4:$F$26,MATCH($H939,'CAT_ACTIVIDADES'!$A$4:$A$26,0)),"")=0,"",IFERROR(INDEX('CAT_ACTIVIDADES'!$F$4:$F$26,MATCH($H939,'CAT_ACTIVIDADES'!$A$4:$A$26,0)),"")))</f>
        <v/>
      </c>
      <c r="X939" s="24">
        <f>IF($F939="","",IFERROR(INDEX('CAT_CENTROS_COSTO'!$F$4:$F$28,MATCH($F939,'CAT_CENTROS_COSTO'!$A$4:$A$28,0)),"(sin catálogo)"))</f>
        <v/>
      </c>
      <c r="Y939" s="24">
        <f>IF($F939="","",IFERROR(INDEX('CAT_CENTROS_COSTO'!$D$4:$D$28,MATCH($F939,'CAT_CENTROS_COSTO'!$A$4:$A$28,0)),"(sin catálogo)"))</f>
        <v/>
      </c>
      <c r="Z939" s="24">
        <f>IF($F939="","",IF((IFERROR(INDEX('CAT_CENTROS_COSTO'!$E$4:$E$28,MATCH($F939,'CAT_CENTROS_COSTO'!$A$4:$A$28,0)),""))&lt;&gt;"",IFERROR(INDEX('CAT_CENTROS_COSTO'!$E$4:$E$28,MATCH($F939,'CAT_CENTROS_COSTO'!$A$4:$A$28,0)),""),$Y939))</f>
        <v/>
      </c>
      <c r="AA939" s="24">
        <f>IF($F939="","",IFERROR(INDEX('CAT_CENTROS_COSTO'!$G$4:$G$28,MATCH($F939,'CAT_CENTROS_COSTO'!$A$4:$A$28,0)),"(sin catálogo)"))</f>
        <v/>
      </c>
      <c r="AB939" s="24">
        <f>IF($G939="","",IFERROR(INDEX('CAT_PUESTOS'!$B$4:$B$23,MATCH($G939,'CAT_PUESTOS'!$A$4:$A$23,0)),"(sin catálogo)"))</f>
        <v/>
      </c>
      <c r="AC939" s="24">
        <f>IF($H939="","",IFERROR(INDEX('CAT_ACTIVIDADES'!$B$4:$B$26,MATCH($H939,'CAT_ACTIVIDADES'!$A$4:$A$26,0)),"(sin catálogo)"))</f>
        <v/>
      </c>
      <c r="AD939" s="26">
        <f>IF($J939="","",TODAY()-$J939)</f>
        <v/>
      </c>
      <c r="AE939" s="26">
        <f>IF($J939="","",IF($J939&lt;=TODAY(),COUNTIFS(cal_fechas,"&gt;="&amp;$J939,cal_fechas,"&lt;"&amp;TODAY(),cal_habil,"sí"),-COUNTIFS(cal_fechas,"&gt;="&amp;TODAY(),cal_fechas,"&lt;"&amp;$J939,cal_habil,"sí")))</f>
        <v/>
      </c>
      <c r="AF939" s="24">
        <f>IF($AE939="","",IF($AE939&lt;0,"FUTURO",IF($AE939&gt;p_dias_backlog_max,"BACKLOG","MES CORRIENTE")))</f>
        <v/>
      </c>
      <c r="AG939" s="24">
        <f>IF($AE939="",FALSE,AND($AE939&gt;p_dias_backlog_min,$AE939&lt;=p_dias_backlog_max))</f>
        <v/>
      </c>
      <c r="AH939" s="4" t="n"/>
      <c r="AI939" s="24">
        <f>IF($AH939="","",IF((IFERROR(INDEX('ASIGNACIONES'!$J$4:$J$451,MATCH($O939&amp;"|"&amp;$S939&amp;"|"&amp;$AH939,'ASIGNACIONES'!$N$4:$N$451,0)),""))=0,"",IFERROR(INDEX('ASIGNACIONES'!$J$4:$J$451,MATCH($O939&amp;"|"&amp;$S939&amp;"|"&amp;$AH939,'ASIGNACIONES'!$N$4:$N$451,0)),"")))</f>
        <v/>
      </c>
      <c r="AJ939" s="42">
        <f>IF($AH939="","",SUMIFS('ORDENES'!$M$4:$M$1203,'ORDENES'!$AH$4:$AH$1203,$AH939,'ORDENES'!$O$4:$O$1203,$O939,'ORDENES'!$S$4:$S$1203,$S939))</f>
        <v/>
      </c>
      <c r="AK939" s="42">
        <f>IF($AJ939="","",p_factor_productividad*IFERROR(INDEX('ASIGNACIONES'!$M$4:$M$451,MATCH($O939&amp;"|"&amp;$S939&amp;"|"&amp;$AH939,'ASIGNACIONES'!$N$4:$N$451,0)),0)-$AJ939)</f>
        <v/>
      </c>
      <c r="AL939" s="32">
        <f>IF($A939="","",IFERROR(INDEX('2_IMPORTAR_EJECUCION'!$F$9:$F$1208,MATCH($AU939,'2_IMPORTAR_EJECUCION'!$J$9:$J$1208,0)),0))</f>
        <v/>
      </c>
      <c r="AM939" s="32">
        <f>IF($A939="","",MAX(0,IFERROR(INDEX('2_IMPORTAR_EJECUCION'!$H$9:$H$1208,MATCH($AU939,'2_IMPORTAR_EJECUCION'!$J$9:$J$1208,0)),0)-$AL939))</f>
        <v/>
      </c>
      <c r="AN939" s="32">
        <f>IF($A939="","",$AL939+$AM939)</f>
        <v/>
      </c>
      <c r="AO939" s="24">
        <f>IF($A939="","",IF(OR((IFERROR(INDEX('CAT_ACTIVIDADES'!$D$4:$D$26,MATCH($H939,'CAT_ACTIVIDADES'!$A$4:$A$26,0)),""))=0,(IFERROR(INDEX('CAT_ACTIVIDADES'!$D$4:$D$26,MATCH($H939,'CAT_ACTIVIDADES'!$A$4:$A$26,0)),""))=""),"SIN CLASIFICAR",IFERROR(INDEX('CAT_ACTIVIDADES'!$D$4:$D$26,MATCH($H939,'CAT_ACTIVIDADES'!$A$4:$A$26,0)),"")))</f>
        <v/>
      </c>
      <c r="AP939" s="4" t="n"/>
      <c r="AQ939" s="4" t="n"/>
      <c r="AR939" s="4" t="n"/>
      <c r="AS939" s="24">
        <f>IF($AR939="","",HYPERLINK(p_ruta_base_checklists&amp;$AR939,"abrir"))</f>
        <v/>
      </c>
      <c r="AT939" s="4" t="n"/>
      <c r="AU939" s="24">
        <f>IF($A939="","",$A939&amp;IF($B939="","0010",$B939))</f>
        <v/>
      </c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41" t="n"/>
      <c r="K940" s="5" t="n"/>
      <c r="L940" s="18" t="n"/>
      <c r="M940" s="24">
        <f>IF($A940="","",IFERROR(INDEX('AJUSTES'!$B$4:$B$303,MATCH($AU940,'AJUSTES'!$A$4:$A$303,0)),IF($K940="","",$K940)))</f>
        <v/>
      </c>
      <c r="N940" s="24">
        <f>IF($A940="","",IFERROR(INDEX('CAT_ESTADOS_ERP'!$B$4:$B$22,MATCH(IFERROR(INDEX('2_IMPORTAR_EJECUCION'!$C$9:$C$1208,MATCH($AU940,'2_IMPORTAR_EJECUCION'!$J$9:$J$1208,0)),""),'CAT_ESTADOS_ERP'!$A$4:$A$22,0)),"Pendiente"))</f>
        <v/>
      </c>
      <c r="O940" s="24">
        <f>IF($J940="","",YEAR($J940+4-WEEKDAY($J940,2))&amp;"-S"&amp;TEXT(_xlfn.ISOWEEKNUM($J940),"00"))</f>
        <v/>
      </c>
      <c r="P940" s="24">
        <f>IF($J940="","",YEAR($J940))</f>
        <v/>
      </c>
      <c r="Q940" s="24">
        <f>IF($J940="","",MONTH($J940))</f>
        <v/>
      </c>
      <c r="R940" s="24">
        <f>IF($J940="","",$P940&amp;"-"&amp;TEXT($Q940,"00"))</f>
        <v/>
      </c>
      <c r="S940" s="24">
        <f>IF($J940="","",INDEX(lista_dias,WEEKDAY($J940,2)))</f>
        <v/>
      </c>
      <c r="T940" s="24">
        <f>IF($J940="","",IFERROR(INDEX('CALENDARIO'!$C$15:$C$214,MATCH(TEXT($J940,"yyyy-mm-dd")&amp;"|"&amp;$Y940&amp;"|"&amp;$Z940,'CALENDARIO'!$G$15:$G$214,0)),IFERROR(INDEX('CALENDARIO'!$C$15:$C$214,MATCH(TEXT($J940,"yyyy-mm-dd")&amp;"|"&amp;$Y940&amp;"|",'CALENDARIO'!$G$15:$G$214,0)),IFERROR(INDEX('CALENDARIO'!$C$15:$C$214,MATCH(TEXT($J940,"yyyy-mm-dd")&amp;"||",'CALENDARIO'!$G$15:$G$214,0)),INDEX(patronHabil,WEEKDAY($J940,2))))))</f>
        <v/>
      </c>
      <c r="U940" s="24">
        <f>IF($I940="","",IFERROR(INDEX('CAT_TIPOS_OT'!$C$4:$C$23,MATCH($I940,'CAT_TIPOS_OT'!$A$4:$A$23,0)),"sin_clasificar"))</f>
        <v/>
      </c>
      <c r="V940" s="24">
        <f>IF($I940="","",IF(IFERROR(INDEX('CAT_TIPOS_OT'!$D$4:$D$23,MATCH($I940,'CAT_TIPOS_OT'!$A$4:$A$23,0)),"SIN CLASIFICAR")="","SIN CLASIFICAR",IFERROR(INDEX('CAT_TIPOS_OT'!$D$4:$D$23,MATCH($I940,'CAT_TIPOS_OT'!$A$4:$A$23,0)),"SIN CLASIFICAR")))</f>
        <v/>
      </c>
      <c r="W940" s="24">
        <f>IF($H940="","",IF(IFERROR(INDEX('CAT_ACTIVIDADES'!$F$4:$F$26,MATCH($H940,'CAT_ACTIVIDADES'!$A$4:$A$26,0)),"")=0,"",IFERROR(INDEX('CAT_ACTIVIDADES'!$F$4:$F$26,MATCH($H940,'CAT_ACTIVIDADES'!$A$4:$A$26,0)),"")))</f>
        <v/>
      </c>
      <c r="X940" s="24">
        <f>IF($F940="","",IFERROR(INDEX('CAT_CENTROS_COSTO'!$F$4:$F$28,MATCH($F940,'CAT_CENTROS_COSTO'!$A$4:$A$28,0)),"(sin catálogo)"))</f>
        <v/>
      </c>
      <c r="Y940" s="24">
        <f>IF($F940="","",IFERROR(INDEX('CAT_CENTROS_COSTO'!$D$4:$D$28,MATCH($F940,'CAT_CENTROS_COSTO'!$A$4:$A$28,0)),"(sin catálogo)"))</f>
        <v/>
      </c>
      <c r="Z940" s="24">
        <f>IF($F940="","",IF((IFERROR(INDEX('CAT_CENTROS_COSTO'!$E$4:$E$28,MATCH($F940,'CAT_CENTROS_COSTO'!$A$4:$A$28,0)),""))&lt;&gt;"",IFERROR(INDEX('CAT_CENTROS_COSTO'!$E$4:$E$28,MATCH($F940,'CAT_CENTROS_COSTO'!$A$4:$A$28,0)),""),$Y940))</f>
        <v/>
      </c>
      <c r="AA940" s="24">
        <f>IF($F940="","",IFERROR(INDEX('CAT_CENTROS_COSTO'!$G$4:$G$28,MATCH($F940,'CAT_CENTROS_COSTO'!$A$4:$A$28,0)),"(sin catálogo)"))</f>
        <v/>
      </c>
      <c r="AB940" s="24">
        <f>IF($G940="","",IFERROR(INDEX('CAT_PUESTOS'!$B$4:$B$23,MATCH($G940,'CAT_PUESTOS'!$A$4:$A$23,0)),"(sin catálogo)"))</f>
        <v/>
      </c>
      <c r="AC940" s="24">
        <f>IF($H940="","",IFERROR(INDEX('CAT_ACTIVIDADES'!$B$4:$B$26,MATCH($H940,'CAT_ACTIVIDADES'!$A$4:$A$26,0)),"(sin catálogo)"))</f>
        <v/>
      </c>
      <c r="AD940" s="26">
        <f>IF($J940="","",TODAY()-$J940)</f>
        <v/>
      </c>
      <c r="AE940" s="26">
        <f>IF($J940="","",IF($J940&lt;=TODAY(),COUNTIFS(cal_fechas,"&gt;="&amp;$J940,cal_fechas,"&lt;"&amp;TODAY(),cal_habil,"sí"),-COUNTIFS(cal_fechas,"&gt;="&amp;TODAY(),cal_fechas,"&lt;"&amp;$J940,cal_habil,"sí")))</f>
        <v/>
      </c>
      <c r="AF940" s="24">
        <f>IF($AE940="","",IF($AE940&lt;0,"FUTURO",IF($AE940&gt;p_dias_backlog_max,"BACKLOG","MES CORRIENTE")))</f>
        <v/>
      </c>
      <c r="AG940" s="24">
        <f>IF($AE940="",FALSE,AND($AE940&gt;p_dias_backlog_min,$AE940&lt;=p_dias_backlog_max))</f>
        <v/>
      </c>
      <c r="AH940" s="4" t="n"/>
      <c r="AI940" s="24">
        <f>IF($AH940="","",IF((IFERROR(INDEX('ASIGNACIONES'!$J$4:$J$451,MATCH($O940&amp;"|"&amp;$S940&amp;"|"&amp;$AH940,'ASIGNACIONES'!$N$4:$N$451,0)),""))=0,"",IFERROR(INDEX('ASIGNACIONES'!$J$4:$J$451,MATCH($O940&amp;"|"&amp;$S940&amp;"|"&amp;$AH940,'ASIGNACIONES'!$N$4:$N$451,0)),"")))</f>
        <v/>
      </c>
      <c r="AJ940" s="42">
        <f>IF($AH940="","",SUMIFS('ORDENES'!$M$4:$M$1203,'ORDENES'!$AH$4:$AH$1203,$AH940,'ORDENES'!$O$4:$O$1203,$O940,'ORDENES'!$S$4:$S$1203,$S940))</f>
        <v/>
      </c>
      <c r="AK940" s="42">
        <f>IF($AJ940="","",p_factor_productividad*IFERROR(INDEX('ASIGNACIONES'!$M$4:$M$451,MATCH($O940&amp;"|"&amp;$S940&amp;"|"&amp;$AH940,'ASIGNACIONES'!$N$4:$N$451,0)),0)-$AJ940)</f>
        <v/>
      </c>
      <c r="AL940" s="32">
        <f>IF($A940="","",IFERROR(INDEX('2_IMPORTAR_EJECUCION'!$F$9:$F$1208,MATCH($AU940,'2_IMPORTAR_EJECUCION'!$J$9:$J$1208,0)),0))</f>
        <v/>
      </c>
      <c r="AM940" s="32">
        <f>IF($A940="","",MAX(0,IFERROR(INDEX('2_IMPORTAR_EJECUCION'!$H$9:$H$1208,MATCH($AU940,'2_IMPORTAR_EJECUCION'!$J$9:$J$1208,0)),0)-$AL940))</f>
        <v/>
      </c>
      <c r="AN940" s="32">
        <f>IF($A940="","",$AL940+$AM940)</f>
        <v/>
      </c>
      <c r="AO940" s="24">
        <f>IF($A940="","",IF(OR((IFERROR(INDEX('CAT_ACTIVIDADES'!$D$4:$D$26,MATCH($H940,'CAT_ACTIVIDADES'!$A$4:$A$26,0)),""))=0,(IFERROR(INDEX('CAT_ACTIVIDADES'!$D$4:$D$26,MATCH($H940,'CAT_ACTIVIDADES'!$A$4:$A$26,0)),""))=""),"SIN CLASIFICAR",IFERROR(INDEX('CAT_ACTIVIDADES'!$D$4:$D$26,MATCH($H940,'CAT_ACTIVIDADES'!$A$4:$A$26,0)),"")))</f>
        <v/>
      </c>
      <c r="AP940" s="4" t="n"/>
      <c r="AQ940" s="4" t="n"/>
      <c r="AR940" s="4" t="n"/>
      <c r="AS940" s="24">
        <f>IF($AR940="","",HYPERLINK(p_ruta_base_checklists&amp;$AR940,"abrir"))</f>
        <v/>
      </c>
      <c r="AT940" s="4" t="n"/>
      <c r="AU940" s="24">
        <f>IF($A940="","",$A940&amp;IF($B940="","0010",$B940))</f>
        <v/>
      </c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41" t="n"/>
      <c r="K941" s="5" t="n"/>
      <c r="L941" s="18" t="n"/>
      <c r="M941" s="24">
        <f>IF($A941="","",IFERROR(INDEX('AJUSTES'!$B$4:$B$303,MATCH($AU941,'AJUSTES'!$A$4:$A$303,0)),IF($K941="","",$K941)))</f>
        <v/>
      </c>
      <c r="N941" s="24">
        <f>IF($A941="","",IFERROR(INDEX('CAT_ESTADOS_ERP'!$B$4:$B$22,MATCH(IFERROR(INDEX('2_IMPORTAR_EJECUCION'!$C$9:$C$1208,MATCH($AU941,'2_IMPORTAR_EJECUCION'!$J$9:$J$1208,0)),""),'CAT_ESTADOS_ERP'!$A$4:$A$22,0)),"Pendiente"))</f>
        <v/>
      </c>
      <c r="O941" s="24">
        <f>IF($J941="","",YEAR($J941+4-WEEKDAY($J941,2))&amp;"-S"&amp;TEXT(_xlfn.ISOWEEKNUM($J941),"00"))</f>
        <v/>
      </c>
      <c r="P941" s="24">
        <f>IF($J941="","",YEAR($J941))</f>
        <v/>
      </c>
      <c r="Q941" s="24">
        <f>IF($J941="","",MONTH($J941))</f>
        <v/>
      </c>
      <c r="R941" s="24">
        <f>IF($J941="","",$P941&amp;"-"&amp;TEXT($Q941,"00"))</f>
        <v/>
      </c>
      <c r="S941" s="24">
        <f>IF($J941="","",INDEX(lista_dias,WEEKDAY($J941,2)))</f>
        <v/>
      </c>
      <c r="T941" s="24">
        <f>IF($J941="","",IFERROR(INDEX('CALENDARIO'!$C$15:$C$214,MATCH(TEXT($J941,"yyyy-mm-dd")&amp;"|"&amp;$Y941&amp;"|"&amp;$Z941,'CALENDARIO'!$G$15:$G$214,0)),IFERROR(INDEX('CALENDARIO'!$C$15:$C$214,MATCH(TEXT($J941,"yyyy-mm-dd")&amp;"|"&amp;$Y941&amp;"|",'CALENDARIO'!$G$15:$G$214,0)),IFERROR(INDEX('CALENDARIO'!$C$15:$C$214,MATCH(TEXT($J941,"yyyy-mm-dd")&amp;"||",'CALENDARIO'!$G$15:$G$214,0)),INDEX(patronHabil,WEEKDAY($J941,2))))))</f>
        <v/>
      </c>
      <c r="U941" s="24">
        <f>IF($I941="","",IFERROR(INDEX('CAT_TIPOS_OT'!$C$4:$C$23,MATCH($I941,'CAT_TIPOS_OT'!$A$4:$A$23,0)),"sin_clasificar"))</f>
        <v/>
      </c>
      <c r="V941" s="24">
        <f>IF($I941="","",IF(IFERROR(INDEX('CAT_TIPOS_OT'!$D$4:$D$23,MATCH($I941,'CAT_TIPOS_OT'!$A$4:$A$23,0)),"SIN CLASIFICAR")="","SIN CLASIFICAR",IFERROR(INDEX('CAT_TIPOS_OT'!$D$4:$D$23,MATCH($I941,'CAT_TIPOS_OT'!$A$4:$A$23,0)),"SIN CLASIFICAR")))</f>
        <v/>
      </c>
      <c r="W941" s="24">
        <f>IF($H941="","",IF(IFERROR(INDEX('CAT_ACTIVIDADES'!$F$4:$F$26,MATCH($H941,'CAT_ACTIVIDADES'!$A$4:$A$26,0)),"")=0,"",IFERROR(INDEX('CAT_ACTIVIDADES'!$F$4:$F$26,MATCH($H941,'CAT_ACTIVIDADES'!$A$4:$A$26,0)),"")))</f>
        <v/>
      </c>
      <c r="X941" s="24">
        <f>IF($F941="","",IFERROR(INDEX('CAT_CENTROS_COSTO'!$F$4:$F$28,MATCH($F941,'CAT_CENTROS_COSTO'!$A$4:$A$28,0)),"(sin catálogo)"))</f>
        <v/>
      </c>
      <c r="Y941" s="24">
        <f>IF($F941="","",IFERROR(INDEX('CAT_CENTROS_COSTO'!$D$4:$D$28,MATCH($F941,'CAT_CENTROS_COSTO'!$A$4:$A$28,0)),"(sin catálogo)"))</f>
        <v/>
      </c>
      <c r="Z941" s="24">
        <f>IF($F941="","",IF((IFERROR(INDEX('CAT_CENTROS_COSTO'!$E$4:$E$28,MATCH($F941,'CAT_CENTROS_COSTO'!$A$4:$A$28,0)),""))&lt;&gt;"",IFERROR(INDEX('CAT_CENTROS_COSTO'!$E$4:$E$28,MATCH($F941,'CAT_CENTROS_COSTO'!$A$4:$A$28,0)),""),$Y941))</f>
        <v/>
      </c>
      <c r="AA941" s="24">
        <f>IF($F941="","",IFERROR(INDEX('CAT_CENTROS_COSTO'!$G$4:$G$28,MATCH($F941,'CAT_CENTROS_COSTO'!$A$4:$A$28,0)),"(sin catálogo)"))</f>
        <v/>
      </c>
      <c r="AB941" s="24">
        <f>IF($G941="","",IFERROR(INDEX('CAT_PUESTOS'!$B$4:$B$23,MATCH($G941,'CAT_PUESTOS'!$A$4:$A$23,0)),"(sin catálogo)"))</f>
        <v/>
      </c>
      <c r="AC941" s="24">
        <f>IF($H941="","",IFERROR(INDEX('CAT_ACTIVIDADES'!$B$4:$B$26,MATCH($H941,'CAT_ACTIVIDADES'!$A$4:$A$26,0)),"(sin catálogo)"))</f>
        <v/>
      </c>
      <c r="AD941" s="26">
        <f>IF($J941="","",TODAY()-$J941)</f>
        <v/>
      </c>
      <c r="AE941" s="26">
        <f>IF($J941="","",IF($J941&lt;=TODAY(),COUNTIFS(cal_fechas,"&gt;="&amp;$J941,cal_fechas,"&lt;"&amp;TODAY(),cal_habil,"sí"),-COUNTIFS(cal_fechas,"&gt;="&amp;TODAY(),cal_fechas,"&lt;"&amp;$J941,cal_habil,"sí")))</f>
        <v/>
      </c>
      <c r="AF941" s="24">
        <f>IF($AE941="","",IF($AE941&lt;0,"FUTURO",IF($AE941&gt;p_dias_backlog_max,"BACKLOG","MES CORRIENTE")))</f>
        <v/>
      </c>
      <c r="AG941" s="24">
        <f>IF($AE941="",FALSE,AND($AE941&gt;p_dias_backlog_min,$AE941&lt;=p_dias_backlog_max))</f>
        <v/>
      </c>
      <c r="AH941" s="4" t="n"/>
      <c r="AI941" s="24">
        <f>IF($AH941="","",IF((IFERROR(INDEX('ASIGNACIONES'!$J$4:$J$451,MATCH($O941&amp;"|"&amp;$S941&amp;"|"&amp;$AH941,'ASIGNACIONES'!$N$4:$N$451,0)),""))=0,"",IFERROR(INDEX('ASIGNACIONES'!$J$4:$J$451,MATCH($O941&amp;"|"&amp;$S941&amp;"|"&amp;$AH941,'ASIGNACIONES'!$N$4:$N$451,0)),"")))</f>
        <v/>
      </c>
      <c r="AJ941" s="42">
        <f>IF($AH941="","",SUMIFS('ORDENES'!$M$4:$M$1203,'ORDENES'!$AH$4:$AH$1203,$AH941,'ORDENES'!$O$4:$O$1203,$O941,'ORDENES'!$S$4:$S$1203,$S941))</f>
        <v/>
      </c>
      <c r="AK941" s="42">
        <f>IF($AJ941="","",p_factor_productividad*IFERROR(INDEX('ASIGNACIONES'!$M$4:$M$451,MATCH($O941&amp;"|"&amp;$S941&amp;"|"&amp;$AH941,'ASIGNACIONES'!$N$4:$N$451,0)),0)-$AJ941)</f>
        <v/>
      </c>
      <c r="AL941" s="32">
        <f>IF($A941="","",IFERROR(INDEX('2_IMPORTAR_EJECUCION'!$F$9:$F$1208,MATCH($AU941,'2_IMPORTAR_EJECUCION'!$J$9:$J$1208,0)),0))</f>
        <v/>
      </c>
      <c r="AM941" s="32">
        <f>IF($A941="","",MAX(0,IFERROR(INDEX('2_IMPORTAR_EJECUCION'!$H$9:$H$1208,MATCH($AU941,'2_IMPORTAR_EJECUCION'!$J$9:$J$1208,0)),0)-$AL941))</f>
        <v/>
      </c>
      <c r="AN941" s="32">
        <f>IF($A941="","",$AL941+$AM941)</f>
        <v/>
      </c>
      <c r="AO941" s="24">
        <f>IF($A941="","",IF(OR((IFERROR(INDEX('CAT_ACTIVIDADES'!$D$4:$D$26,MATCH($H941,'CAT_ACTIVIDADES'!$A$4:$A$26,0)),""))=0,(IFERROR(INDEX('CAT_ACTIVIDADES'!$D$4:$D$26,MATCH($H941,'CAT_ACTIVIDADES'!$A$4:$A$26,0)),""))=""),"SIN CLASIFICAR",IFERROR(INDEX('CAT_ACTIVIDADES'!$D$4:$D$26,MATCH($H941,'CAT_ACTIVIDADES'!$A$4:$A$26,0)),"")))</f>
        <v/>
      </c>
      <c r="AP941" s="4" t="n"/>
      <c r="AQ941" s="4" t="n"/>
      <c r="AR941" s="4" t="n"/>
      <c r="AS941" s="24">
        <f>IF($AR941="","",HYPERLINK(p_ruta_base_checklists&amp;$AR941,"abrir"))</f>
        <v/>
      </c>
      <c r="AT941" s="4" t="n"/>
      <c r="AU941" s="24">
        <f>IF($A941="","",$A941&amp;IF($B941="","0010",$B941))</f>
        <v/>
      </c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41" t="n"/>
      <c r="K942" s="5" t="n"/>
      <c r="L942" s="18" t="n"/>
      <c r="M942" s="24">
        <f>IF($A942="","",IFERROR(INDEX('AJUSTES'!$B$4:$B$303,MATCH($AU942,'AJUSTES'!$A$4:$A$303,0)),IF($K942="","",$K942)))</f>
        <v/>
      </c>
      <c r="N942" s="24">
        <f>IF($A942="","",IFERROR(INDEX('CAT_ESTADOS_ERP'!$B$4:$B$22,MATCH(IFERROR(INDEX('2_IMPORTAR_EJECUCION'!$C$9:$C$1208,MATCH($AU942,'2_IMPORTAR_EJECUCION'!$J$9:$J$1208,0)),""),'CAT_ESTADOS_ERP'!$A$4:$A$22,0)),"Pendiente"))</f>
        <v/>
      </c>
      <c r="O942" s="24">
        <f>IF($J942="","",YEAR($J942+4-WEEKDAY($J942,2))&amp;"-S"&amp;TEXT(_xlfn.ISOWEEKNUM($J942),"00"))</f>
        <v/>
      </c>
      <c r="P942" s="24">
        <f>IF($J942="","",YEAR($J942))</f>
        <v/>
      </c>
      <c r="Q942" s="24">
        <f>IF($J942="","",MONTH($J942))</f>
        <v/>
      </c>
      <c r="R942" s="24">
        <f>IF($J942="","",$P942&amp;"-"&amp;TEXT($Q942,"00"))</f>
        <v/>
      </c>
      <c r="S942" s="24">
        <f>IF($J942="","",INDEX(lista_dias,WEEKDAY($J942,2)))</f>
        <v/>
      </c>
      <c r="T942" s="24">
        <f>IF($J942="","",IFERROR(INDEX('CALENDARIO'!$C$15:$C$214,MATCH(TEXT($J942,"yyyy-mm-dd")&amp;"|"&amp;$Y942&amp;"|"&amp;$Z942,'CALENDARIO'!$G$15:$G$214,0)),IFERROR(INDEX('CALENDARIO'!$C$15:$C$214,MATCH(TEXT($J942,"yyyy-mm-dd")&amp;"|"&amp;$Y942&amp;"|",'CALENDARIO'!$G$15:$G$214,0)),IFERROR(INDEX('CALENDARIO'!$C$15:$C$214,MATCH(TEXT($J942,"yyyy-mm-dd")&amp;"||",'CALENDARIO'!$G$15:$G$214,0)),INDEX(patronHabil,WEEKDAY($J942,2))))))</f>
        <v/>
      </c>
      <c r="U942" s="24">
        <f>IF($I942="","",IFERROR(INDEX('CAT_TIPOS_OT'!$C$4:$C$23,MATCH($I942,'CAT_TIPOS_OT'!$A$4:$A$23,0)),"sin_clasificar"))</f>
        <v/>
      </c>
      <c r="V942" s="24">
        <f>IF($I942="","",IF(IFERROR(INDEX('CAT_TIPOS_OT'!$D$4:$D$23,MATCH($I942,'CAT_TIPOS_OT'!$A$4:$A$23,0)),"SIN CLASIFICAR")="","SIN CLASIFICAR",IFERROR(INDEX('CAT_TIPOS_OT'!$D$4:$D$23,MATCH($I942,'CAT_TIPOS_OT'!$A$4:$A$23,0)),"SIN CLASIFICAR")))</f>
        <v/>
      </c>
      <c r="W942" s="24">
        <f>IF($H942="","",IF(IFERROR(INDEX('CAT_ACTIVIDADES'!$F$4:$F$26,MATCH($H942,'CAT_ACTIVIDADES'!$A$4:$A$26,0)),"")=0,"",IFERROR(INDEX('CAT_ACTIVIDADES'!$F$4:$F$26,MATCH($H942,'CAT_ACTIVIDADES'!$A$4:$A$26,0)),"")))</f>
        <v/>
      </c>
      <c r="X942" s="24">
        <f>IF($F942="","",IFERROR(INDEX('CAT_CENTROS_COSTO'!$F$4:$F$28,MATCH($F942,'CAT_CENTROS_COSTO'!$A$4:$A$28,0)),"(sin catálogo)"))</f>
        <v/>
      </c>
      <c r="Y942" s="24">
        <f>IF($F942="","",IFERROR(INDEX('CAT_CENTROS_COSTO'!$D$4:$D$28,MATCH($F942,'CAT_CENTROS_COSTO'!$A$4:$A$28,0)),"(sin catálogo)"))</f>
        <v/>
      </c>
      <c r="Z942" s="24">
        <f>IF($F942="","",IF((IFERROR(INDEX('CAT_CENTROS_COSTO'!$E$4:$E$28,MATCH($F942,'CAT_CENTROS_COSTO'!$A$4:$A$28,0)),""))&lt;&gt;"",IFERROR(INDEX('CAT_CENTROS_COSTO'!$E$4:$E$28,MATCH($F942,'CAT_CENTROS_COSTO'!$A$4:$A$28,0)),""),$Y942))</f>
        <v/>
      </c>
      <c r="AA942" s="24">
        <f>IF($F942="","",IFERROR(INDEX('CAT_CENTROS_COSTO'!$G$4:$G$28,MATCH($F942,'CAT_CENTROS_COSTO'!$A$4:$A$28,0)),"(sin catálogo)"))</f>
        <v/>
      </c>
      <c r="AB942" s="24">
        <f>IF($G942="","",IFERROR(INDEX('CAT_PUESTOS'!$B$4:$B$23,MATCH($G942,'CAT_PUESTOS'!$A$4:$A$23,0)),"(sin catálogo)"))</f>
        <v/>
      </c>
      <c r="AC942" s="24">
        <f>IF($H942="","",IFERROR(INDEX('CAT_ACTIVIDADES'!$B$4:$B$26,MATCH($H942,'CAT_ACTIVIDADES'!$A$4:$A$26,0)),"(sin catálogo)"))</f>
        <v/>
      </c>
      <c r="AD942" s="26">
        <f>IF($J942="","",TODAY()-$J942)</f>
        <v/>
      </c>
      <c r="AE942" s="26">
        <f>IF($J942="","",IF($J942&lt;=TODAY(),COUNTIFS(cal_fechas,"&gt;="&amp;$J942,cal_fechas,"&lt;"&amp;TODAY(),cal_habil,"sí"),-COUNTIFS(cal_fechas,"&gt;="&amp;TODAY(),cal_fechas,"&lt;"&amp;$J942,cal_habil,"sí")))</f>
        <v/>
      </c>
      <c r="AF942" s="24">
        <f>IF($AE942="","",IF($AE942&lt;0,"FUTURO",IF($AE942&gt;p_dias_backlog_max,"BACKLOG","MES CORRIENTE")))</f>
        <v/>
      </c>
      <c r="AG942" s="24">
        <f>IF($AE942="",FALSE,AND($AE942&gt;p_dias_backlog_min,$AE942&lt;=p_dias_backlog_max))</f>
        <v/>
      </c>
      <c r="AH942" s="4" t="n"/>
      <c r="AI942" s="24">
        <f>IF($AH942="","",IF((IFERROR(INDEX('ASIGNACIONES'!$J$4:$J$451,MATCH($O942&amp;"|"&amp;$S942&amp;"|"&amp;$AH942,'ASIGNACIONES'!$N$4:$N$451,0)),""))=0,"",IFERROR(INDEX('ASIGNACIONES'!$J$4:$J$451,MATCH($O942&amp;"|"&amp;$S942&amp;"|"&amp;$AH942,'ASIGNACIONES'!$N$4:$N$451,0)),"")))</f>
        <v/>
      </c>
      <c r="AJ942" s="42">
        <f>IF($AH942="","",SUMIFS('ORDENES'!$M$4:$M$1203,'ORDENES'!$AH$4:$AH$1203,$AH942,'ORDENES'!$O$4:$O$1203,$O942,'ORDENES'!$S$4:$S$1203,$S942))</f>
        <v/>
      </c>
      <c r="AK942" s="42">
        <f>IF($AJ942="","",p_factor_productividad*IFERROR(INDEX('ASIGNACIONES'!$M$4:$M$451,MATCH($O942&amp;"|"&amp;$S942&amp;"|"&amp;$AH942,'ASIGNACIONES'!$N$4:$N$451,0)),0)-$AJ942)</f>
        <v/>
      </c>
      <c r="AL942" s="32">
        <f>IF($A942="","",IFERROR(INDEX('2_IMPORTAR_EJECUCION'!$F$9:$F$1208,MATCH($AU942,'2_IMPORTAR_EJECUCION'!$J$9:$J$1208,0)),0))</f>
        <v/>
      </c>
      <c r="AM942" s="32">
        <f>IF($A942="","",MAX(0,IFERROR(INDEX('2_IMPORTAR_EJECUCION'!$H$9:$H$1208,MATCH($AU942,'2_IMPORTAR_EJECUCION'!$J$9:$J$1208,0)),0)-$AL942))</f>
        <v/>
      </c>
      <c r="AN942" s="32">
        <f>IF($A942="","",$AL942+$AM942)</f>
        <v/>
      </c>
      <c r="AO942" s="24">
        <f>IF($A942="","",IF(OR((IFERROR(INDEX('CAT_ACTIVIDADES'!$D$4:$D$26,MATCH($H942,'CAT_ACTIVIDADES'!$A$4:$A$26,0)),""))=0,(IFERROR(INDEX('CAT_ACTIVIDADES'!$D$4:$D$26,MATCH($H942,'CAT_ACTIVIDADES'!$A$4:$A$26,0)),""))=""),"SIN CLASIFICAR",IFERROR(INDEX('CAT_ACTIVIDADES'!$D$4:$D$26,MATCH($H942,'CAT_ACTIVIDADES'!$A$4:$A$26,0)),"")))</f>
        <v/>
      </c>
      <c r="AP942" s="4" t="n"/>
      <c r="AQ942" s="4" t="n"/>
      <c r="AR942" s="4" t="n"/>
      <c r="AS942" s="24">
        <f>IF($AR942="","",HYPERLINK(p_ruta_base_checklists&amp;$AR942,"abrir"))</f>
        <v/>
      </c>
      <c r="AT942" s="4" t="n"/>
      <c r="AU942" s="24">
        <f>IF($A942="","",$A942&amp;IF($B942="","0010",$B942))</f>
        <v/>
      </c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41" t="n"/>
      <c r="K943" s="5" t="n"/>
      <c r="L943" s="18" t="n"/>
      <c r="M943" s="24">
        <f>IF($A943="","",IFERROR(INDEX('AJUSTES'!$B$4:$B$303,MATCH($AU943,'AJUSTES'!$A$4:$A$303,0)),IF($K943="","",$K943)))</f>
        <v/>
      </c>
      <c r="N943" s="24">
        <f>IF($A943="","",IFERROR(INDEX('CAT_ESTADOS_ERP'!$B$4:$B$22,MATCH(IFERROR(INDEX('2_IMPORTAR_EJECUCION'!$C$9:$C$1208,MATCH($AU943,'2_IMPORTAR_EJECUCION'!$J$9:$J$1208,0)),""),'CAT_ESTADOS_ERP'!$A$4:$A$22,0)),"Pendiente"))</f>
        <v/>
      </c>
      <c r="O943" s="24">
        <f>IF($J943="","",YEAR($J943+4-WEEKDAY($J943,2))&amp;"-S"&amp;TEXT(_xlfn.ISOWEEKNUM($J943),"00"))</f>
        <v/>
      </c>
      <c r="P943" s="24">
        <f>IF($J943="","",YEAR($J943))</f>
        <v/>
      </c>
      <c r="Q943" s="24">
        <f>IF($J943="","",MONTH($J943))</f>
        <v/>
      </c>
      <c r="R943" s="24">
        <f>IF($J943="","",$P943&amp;"-"&amp;TEXT($Q943,"00"))</f>
        <v/>
      </c>
      <c r="S943" s="24">
        <f>IF($J943="","",INDEX(lista_dias,WEEKDAY($J943,2)))</f>
        <v/>
      </c>
      <c r="T943" s="24">
        <f>IF($J943="","",IFERROR(INDEX('CALENDARIO'!$C$15:$C$214,MATCH(TEXT($J943,"yyyy-mm-dd")&amp;"|"&amp;$Y943&amp;"|"&amp;$Z943,'CALENDARIO'!$G$15:$G$214,0)),IFERROR(INDEX('CALENDARIO'!$C$15:$C$214,MATCH(TEXT($J943,"yyyy-mm-dd")&amp;"|"&amp;$Y943&amp;"|",'CALENDARIO'!$G$15:$G$214,0)),IFERROR(INDEX('CALENDARIO'!$C$15:$C$214,MATCH(TEXT($J943,"yyyy-mm-dd")&amp;"||",'CALENDARIO'!$G$15:$G$214,0)),INDEX(patronHabil,WEEKDAY($J943,2))))))</f>
        <v/>
      </c>
      <c r="U943" s="24">
        <f>IF($I943="","",IFERROR(INDEX('CAT_TIPOS_OT'!$C$4:$C$23,MATCH($I943,'CAT_TIPOS_OT'!$A$4:$A$23,0)),"sin_clasificar"))</f>
        <v/>
      </c>
      <c r="V943" s="24">
        <f>IF($I943="","",IF(IFERROR(INDEX('CAT_TIPOS_OT'!$D$4:$D$23,MATCH($I943,'CAT_TIPOS_OT'!$A$4:$A$23,0)),"SIN CLASIFICAR")="","SIN CLASIFICAR",IFERROR(INDEX('CAT_TIPOS_OT'!$D$4:$D$23,MATCH($I943,'CAT_TIPOS_OT'!$A$4:$A$23,0)),"SIN CLASIFICAR")))</f>
        <v/>
      </c>
      <c r="W943" s="24">
        <f>IF($H943="","",IF(IFERROR(INDEX('CAT_ACTIVIDADES'!$F$4:$F$26,MATCH($H943,'CAT_ACTIVIDADES'!$A$4:$A$26,0)),"")=0,"",IFERROR(INDEX('CAT_ACTIVIDADES'!$F$4:$F$26,MATCH($H943,'CAT_ACTIVIDADES'!$A$4:$A$26,0)),"")))</f>
        <v/>
      </c>
      <c r="X943" s="24">
        <f>IF($F943="","",IFERROR(INDEX('CAT_CENTROS_COSTO'!$F$4:$F$28,MATCH($F943,'CAT_CENTROS_COSTO'!$A$4:$A$28,0)),"(sin catálogo)"))</f>
        <v/>
      </c>
      <c r="Y943" s="24">
        <f>IF($F943="","",IFERROR(INDEX('CAT_CENTROS_COSTO'!$D$4:$D$28,MATCH($F943,'CAT_CENTROS_COSTO'!$A$4:$A$28,0)),"(sin catálogo)"))</f>
        <v/>
      </c>
      <c r="Z943" s="24">
        <f>IF($F943="","",IF((IFERROR(INDEX('CAT_CENTROS_COSTO'!$E$4:$E$28,MATCH($F943,'CAT_CENTROS_COSTO'!$A$4:$A$28,0)),""))&lt;&gt;"",IFERROR(INDEX('CAT_CENTROS_COSTO'!$E$4:$E$28,MATCH($F943,'CAT_CENTROS_COSTO'!$A$4:$A$28,0)),""),$Y943))</f>
        <v/>
      </c>
      <c r="AA943" s="24">
        <f>IF($F943="","",IFERROR(INDEX('CAT_CENTROS_COSTO'!$G$4:$G$28,MATCH($F943,'CAT_CENTROS_COSTO'!$A$4:$A$28,0)),"(sin catálogo)"))</f>
        <v/>
      </c>
      <c r="AB943" s="24">
        <f>IF($G943="","",IFERROR(INDEX('CAT_PUESTOS'!$B$4:$B$23,MATCH($G943,'CAT_PUESTOS'!$A$4:$A$23,0)),"(sin catálogo)"))</f>
        <v/>
      </c>
      <c r="AC943" s="24">
        <f>IF($H943="","",IFERROR(INDEX('CAT_ACTIVIDADES'!$B$4:$B$26,MATCH($H943,'CAT_ACTIVIDADES'!$A$4:$A$26,0)),"(sin catálogo)"))</f>
        <v/>
      </c>
      <c r="AD943" s="26">
        <f>IF($J943="","",TODAY()-$J943)</f>
        <v/>
      </c>
      <c r="AE943" s="26">
        <f>IF($J943="","",IF($J943&lt;=TODAY(),COUNTIFS(cal_fechas,"&gt;="&amp;$J943,cal_fechas,"&lt;"&amp;TODAY(),cal_habil,"sí"),-COUNTIFS(cal_fechas,"&gt;="&amp;TODAY(),cal_fechas,"&lt;"&amp;$J943,cal_habil,"sí")))</f>
        <v/>
      </c>
      <c r="AF943" s="24">
        <f>IF($AE943="","",IF($AE943&lt;0,"FUTURO",IF($AE943&gt;p_dias_backlog_max,"BACKLOG","MES CORRIENTE")))</f>
        <v/>
      </c>
      <c r="AG943" s="24">
        <f>IF($AE943="",FALSE,AND($AE943&gt;p_dias_backlog_min,$AE943&lt;=p_dias_backlog_max))</f>
        <v/>
      </c>
      <c r="AH943" s="4" t="n"/>
      <c r="AI943" s="24">
        <f>IF($AH943="","",IF((IFERROR(INDEX('ASIGNACIONES'!$J$4:$J$451,MATCH($O943&amp;"|"&amp;$S943&amp;"|"&amp;$AH943,'ASIGNACIONES'!$N$4:$N$451,0)),""))=0,"",IFERROR(INDEX('ASIGNACIONES'!$J$4:$J$451,MATCH($O943&amp;"|"&amp;$S943&amp;"|"&amp;$AH943,'ASIGNACIONES'!$N$4:$N$451,0)),"")))</f>
        <v/>
      </c>
      <c r="AJ943" s="42">
        <f>IF($AH943="","",SUMIFS('ORDENES'!$M$4:$M$1203,'ORDENES'!$AH$4:$AH$1203,$AH943,'ORDENES'!$O$4:$O$1203,$O943,'ORDENES'!$S$4:$S$1203,$S943))</f>
        <v/>
      </c>
      <c r="AK943" s="42">
        <f>IF($AJ943="","",p_factor_productividad*IFERROR(INDEX('ASIGNACIONES'!$M$4:$M$451,MATCH($O943&amp;"|"&amp;$S943&amp;"|"&amp;$AH943,'ASIGNACIONES'!$N$4:$N$451,0)),0)-$AJ943)</f>
        <v/>
      </c>
      <c r="AL943" s="32">
        <f>IF($A943="","",IFERROR(INDEX('2_IMPORTAR_EJECUCION'!$F$9:$F$1208,MATCH($AU943,'2_IMPORTAR_EJECUCION'!$J$9:$J$1208,0)),0))</f>
        <v/>
      </c>
      <c r="AM943" s="32">
        <f>IF($A943="","",MAX(0,IFERROR(INDEX('2_IMPORTAR_EJECUCION'!$H$9:$H$1208,MATCH($AU943,'2_IMPORTAR_EJECUCION'!$J$9:$J$1208,0)),0)-$AL943))</f>
        <v/>
      </c>
      <c r="AN943" s="32">
        <f>IF($A943="","",$AL943+$AM943)</f>
        <v/>
      </c>
      <c r="AO943" s="24">
        <f>IF($A943="","",IF(OR((IFERROR(INDEX('CAT_ACTIVIDADES'!$D$4:$D$26,MATCH($H943,'CAT_ACTIVIDADES'!$A$4:$A$26,0)),""))=0,(IFERROR(INDEX('CAT_ACTIVIDADES'!$D$4:$D$26,MATCH($H943,'CAT_ACTIVIDADES'!$A$4:$A$26,0)),""))=""),"SIN CLASIFICAR",IFERROR(INDEX('CAT_ACTIVIDADES'!$D$4:$D$26,MATCH($H943,'CAT_ACTIVIDADES'!$A$4:$A$26,0)),"")))</f>
        <v/>
      </c>
      <c r="AP943" s="4" t="n"/>
      <c r="AQ943" s="4" t="n"/>
      <c r="AR943" s="4" t="n"/>
      <c r="AS943" s="24">
        <f>IF($AR943="","",HYPERLINK(p_ruta_base_checklists&amp;$AR943,"abrir"))</f>
        <v/>
      </c>
      <c r="AT943" s="4" t="n"/>
      <c r="AU943" s="24">
        <f>IF($A943="","",$A943&amp;IF($B943="","0010",$B943))</f>
        <v/>
      </c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41" t="n"/>
      <c r="K944" s="5" t="n"/>
      <c r="L944" s="18" t="n"/>
      <c r="M944" s="24">
        <f>IF($A944="","",IFERROR(INDEX('AJUSTES'!$B$4:$B$303,MATCH($AU944,'AJUSTES'!$A$4:$A$303,0)),IF($K944="","",$K944)))</f>
        <v/>
      </c>
      <c r="N944" s="24">
        <f>IF($A944="","",IFERROR(INDEX('CAT_ESTADOS_ERP'!$B$4:$B$22,MATCH(IFERROR(INDEX('2_IMPORTAR_EJECUCION'!$C$9:$C$1208,MATCH($AU944,'2_IMPORTAR_EJECUCION'!$J$9:$J$1208,0)),""),'CAT_ESTADOS_ERP'!$A$4:$A$22,0)),"Pendiente"))</f>
        <v/>
      </c>
      <c r="O944" s="24">
        <f>IF($J944="","",YEAR($J944+4-WEEKDAY($J944,2))&amp;"-S"&amp;TEXT(_xlfn.ISOWEEKNUM($J944),"00"))</f>
        <v/>
      </c>
      <c r="P944" s="24">
        <f>IF($J944="","",YEAR($J944))</f>
        <v/>
      </c>
      <c r="Q944" s="24">
        <f>IF($J944="","",MONTH($J944))</f>
        <v/>
      </c>
      <c r="R944" s="24">
        <f>IF($J944="","",$P944&amp;"-"&amp;TEXT($Q944,"00"))</f>
        <v/>
      </c>
      <c r="S944" s="24">
        <f>IF($J944="","",INDEX(lista_dias,WEEKDAY($J944,2)))</f>
        <v/>
      </c>
      <c r="T944" s="24">
        <f>IF($J944="","",IFERROR(INDEX('CALENDARIO'!$C$15:$C$214,MATCH(TEXT($J944,"yyyy-mm-dd")&amp;"|"&amp;$Y944&amp;"|"&amp;$Z944,'CALENDARIO'!$G$15:$G$214,0)),IFERROR(INDEX('CALENDARIO'!$C$15:$C$214,MATCH(TEXT($J944,"yyyy-mm-dd")&amp;"|"&amp;$Y944&amp;"|",'CALENDARIO'!$G$15:$G$214,0)),IFERROR(INDEX('CALENDARIO'!$C$15:$C$214,MATCH(TEXT($J944,"yyyy-mm-dd")&amp;"||",'CALENDARIO'!$G$15:$G$214,0)),INDEX(patronHabil,WEEKDAY($J944,2))))))</f>
        <v/>
      </c>
      <c r="U944" s="24">
        <f>IF($I944="","",IFERROR(INDEX('CAT_TIPOS_OT'!$C$4:$C$23,MATCH($I944,'CAT_TIPOS_OT'!$A$4:$A$23,0)),"sin_clasificar"))</f>
        <v/>
      </c>
      <c r="V944" s="24">
        <f>IF($I944="","",IF(IFERROR(INDEX('CAT_TIPOS_OT'!$D$4:$D$23,MATCH($I944,'CAT_TIPOS_OT'!$A$4:$A$23,0)),"SIN CLASIFICAR")="","SIN CLASIFICAR",IFERROR(INDEX('CAT_TIPOS_OT'!$D$4:$D$23,MATCH($I944,'CAT_TIPOS_OT'!$A$4:$A$23,0)),"SIN CLASIFICAR")))</f>
        <v/>
      </c>
      <c r="W944" s="24">
        <f>IF($H944="","",IF(IFERROR(INDEX('CAT_ACTIVIDADES'!$F$4:$F$26,MATCH($H944,'CAT_ACTIVIDADES'!$A$4:$A$26,0)),"")=0,"",IFERROR(INDEX('CAT_ACTIVIDADES'!$F$4:$F$26,MATCH($H944,'CAT_ACTIVIDADES'!$A$4:$A$26,0)),"")))</f>
        <v/>
      </c>
      <c r="X944" s="24">
        <f>IF($F944="","",IFERROR(INDEX('CAT_CENTROS_COSTO'!$F$4:$F$28,MATCH($F944,'CAT_CENTROS_COSTO'!$A$4:$A$28,0)),"(sin catálogo)"))</f>
        <v/>
      </c>
      <c r="Y944" s="24">
        <f>IF($F944="","",IFERROR(INDEX('CAT_CENTROS_COSTO'!$D$4:$D$28,MATCH($F944,'CAT_CENTROS_COSTO'!$A$4:$A$28,0)),"(sin catálogo)"))</f>
        <v/>
      </c>
      <c r="Z944" s="24">
        <f>IF($F944="","",IF((IFERROR(INDEX('CAT_CENTROS_COSTO'!$E$4:$E$28,MATCH($F944,'CAT_CENTROS_COSTO'!$A$4:$A$28,0)),""))&lt;&gt;"",IFERROR(INDEX('CAT_CENTROS_COSTO'!$E$4:$E$28,MATCH($F944,'CAT_CENTROS_COSTO'!$A$4:$A$28,0)),""),$Y944))</f>
        <v/>
      </c>
      <c r="AA944" s="24">
        <f>IF($F944="","",IFERROR(INDEX('CAT_CENTROS_COSTO'!$G$4:$G$28,MATCH($F944,'CAT_CENTROS_COSTO'!$A$4:$A$28,0)),"(sin catálogo)"))</f>
        <v/>
      </c>
      <c r="AB944" s="24">
        <f>IF($G944="","",IFERROR(INDEX('CAT_PUESTOS'!$B$4:$B$23,MATCH($G944,'CAT_PUESTOS'!$A$4:$A$23,0)),"(sin catálogo)"))</f>
        <v/>
      </c>
      <c r="AC944" s="24">
        <f>IF($H944="","",IFERROR(INDEX('CAT_ACTIVIDADES'!$B$4:$B$26,MATCH($H944,'CAT_ACTIVIDADES'!$A$4:$A$26,0)),"(sin catálogo)"))</f>
        <v/>
      </c>
      <c r="AD944" s="26">
        <f>IF($J944="","",TODAY()-$J944)</f>
        <v/>
      </c>
      <c r="AE944" s="26">
        <f>IF($J944="","",IF($J944&lt;=TODAY(),COUNTIFS(cal_fechas,"&gt;="&amp;$J944,cal_fechas,"&lt;"&amp;TODAY(),cal_habil,"sí"),-COUNTIFS(cal_fechas,"&gt;="&amp;TODAY(),cal_fechas,"&lt;"&amp;$J944,cal_habil,"sí")))</f>
        <v/>
      </c>
      <c r="AF944" s="24">
        <f>IF($AE944="","",IF($AE944&lt;0,"FUTURO",IF($AE944&gt;p_dias_backlog_max,"BACKLOG","MES CORRIENTE")))</f>
        <v/>
      </c>
      <c r="AG944" s="24">
        <f>IF($AE944="",FALSE,AND($AE944&gt;p_dias_backlog_min,$AE944&lt;=p_dias_backlog_max))</f>
        <v/>
      </c>
      <c r="AH944" s="4" t="n"/>
      <c r="AI944" s="24">
        <f>IF($AH944="","",IF((IFERROR(INDEX('ASIGNACIONES'!$J$4:$J$451,MATCH($O944&amp;"|"&amp;$S944&amp;"|"&amp;$AH944,'ASIGNACIONES'!$N$4:$N$451,0)),""))=0,"",IFERROR(INDEX('ASIGNACIONES'!$J$4:$J$451,MATCH($O944&amp;"|"&amp;$S944&amp;"|"&amp;$AH944,'ASIGNACIONES'!$N$4:$N$451,0)),"")))</f>
        <v/>
      </c>
      <c r="AJ944" s="42">
        <f>IF($AH944="","",SUMIFS('ORDENES'!$M$4:$M$1203,'ORDENES'!$AH$4:$AH$1203,$AH944,'ORDENES'!$O$4:$O$1203,$O944,'ORDENES'!$S$4:$S$1203,$S944))</f>
        <v/>
      </c>
      <c r="AK944" s="42">
        <f>IF($AJ944="","",p_factor_productividad*IFERROR(INDEX('ASIGNACIONES'!$M$4:$M$451,MATCH($O944&amp;"|"&amp;$S944&amp;"|"&amp;$AH944,'ASIGNACIONES'!$N$4:$N$451,0)),0)-$AJ944)</f>
        <v/>
      </c>
      <c r="AL944" s="32">
        <f>IF($A944="","",IFERROR(INDEX('2_IMPORTAR_EJECUCION'!$F$9:$F$1208,MATCH($AU944,'2_IMPORTAR_EJECUCION'!$J$9:$J$1208,0)),0))</f>
        <v/>
      </c>
      <c r="AM944" s="32">
        <f>IF($A944="","",MAX(0,IFERROR(INDEX('2_IMPORTAR_EJECUCION'!$H$9:$H$1208,MATCH($AU944,'2_IMPORTAR_EJECUCION'!$J$9:$J$1208,0)),0)-$AL944))</f>
        <v/>
      </c>
      <c r="AN944" s="32">
        <f>IF($A944="","",$AL944+$AM944)</f>
        <v/>
      </c>
      <c r="AO944" s="24">
        <f>IF($A944="","",IF(OR((IFERROR(INDEX('CAT_ACTIVIDADES'!$D$4:$D$26,MATCH($H944,'CAT_ACTIVIDADES'!$A$4:$A$26,0)),""))=0,(IFERROR(INDEX('CAT_ACTIVIDADES'!$D$4:$D$26,MATCH($H944,'CAT_ACTIVIDADES'!$A$4:$A$26,0)),""))=""),"SIN CLASIFICAR",IFERROR(INDEX('CAT_ACTIVIDADES'!$D$4:$D$26,MATCH($H944,'CAT_ACTIVIDADES'!$A$4:$A$26,0)),"")))</f>
        <v/>
      </c>
      <c r="AP944" s="4" t="n"/>
      <c r="AQ944" s="4" t="n"/>
      <c r="AR944" s="4" t="n"/>
      <c r="AS944" s="24">
        <f>IF($AR944="","",HYPERLINK(p_ruta_base_checklists&amp;$AR944,"abrir"))</f>
        <v/>
      </c>
      <c r="AT944" s="4" t="n"/>
      <c r="AU944" s="24">
        <f>IF($A944="","",$A944&amp;IF($B944="","0010",$B944))</f>
        <v/>
      </c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41" t="n"/>
      <c r="K945" s="5" t="n"/>
      <c r="L945" s="18" t="n"/>
      <c r="M945" s="24">
        <f>IF($A945="","",IFERROR(INDEX('AJUSTES'!$B$4:$B$303,MATCH($AU945,'AJUSTES'!$A$4:$A$303,0)),IF($K945="","",$K945)))</f>
        <v/>
      </c>
      <c r="N945" s="24">
        <f>IF($A945="","",IFERROR(INDEX('CAT_ESTADOS_ERP'!$B$4:$B$22,MATCH(IFERROR(INDEX('2_IMPORTAR_EJECUCION'!$C$9:$C$1208,MATCH($AU945,'2_IMPORTAR_EJECUCION'!$J$9:$J$1208,0)),""),'CAT_ESTADOS_ERP'!$A$4:$A$22,0)),"Pendiente"))</f>
        <v/>
      </c>
      <c r="O945" s="24">
        <f>IF($J945="","",YEAR($J945+4-WEEKDAY($J945,2))&amp;"-S"&amp;TEXT(_xlfn.ISOWEEKNUM($J945),"00"))</f>
        <v/>
      </c>
      <c r="P945" s="24">
        <f>IF($J945="","",YEAR($J945))</f>
        <v/>
      </c>
      <c r="Q945" s="24">
        <f>IF($J945="","",MONTH($J945))</f>
        <v/>
      </c>
      <c r="R945" s="24">
        <f>IF($J945="","",$P945&amp;"-"&amp;TEXT($Q945,"00"))</f>
        <v/>
      </c>
      <c r="S945" s="24">
        <f>IF($J945="","",INDEX(lista_dias,WEEKDAY($J945,2)))</f>
        <v/>
      </c>
      <c r="T945" s="24">
        <f>IF($J945="","",IFERROR(INDEX('CALENDARIO'!$C$15:$C$214,MATCH(TEXT($J945,"yyyy-mm-dd")&amp;"|"&amp;$Y945&amp;"|"&amp;$Z945,'CALENDARIO'!$G$15:$G$214,0)),IFERROR(INDEX('CALENDARIO'!$C$15:$C$214,MATCH(TEXT($J945,"yyyy-mm-dd")&amp;"|"&amp;$Y945&amp;"|",'CALENDARIO'!$G$15:$G$214,0)),IFERROR(INDEX('CALENDARIO'!$C$15:$C$214,MATCH(TEXT($J945,"yyyy-mm-dd")&amp;"||",'CALENDARIO'!$G$15:$G$214,0)),INDEX(patronHabil,WEEKDAY($J945,2))))))</f>
        <v/>
      </c>
      <c r="U945" s="24">
        <f>IF($I945="","",IFERROR(INDEX('CAT_TIPOS_OT'!$C$4:$C$23,MATCH($I945,'CAT_TIPOS_OT'!$A$4:$A$23,0)),"sin_clasificar"))</f>
        <v/>
      </c>
      <c r="V945" s="24">
        <f>IF($I945="","",IF(IFERROR(INDEX('CAT_TIPOS_OT'!$D$4:$D$23,MATCH($I945,'CAT_TIPOS_OT'!$A$4:$A$23,0)),"SIN CLASIFICAR")="","SIN CLASIFICAR",IFERROR(INDEX('CAT_TIPOS_OT'!$D$4:$D$23,MATCH($I945,'CAT_TIPOS_OT'!$A$4:$A$23,0)),"SIN CLASIFICAR")))</f>
        <v/>
      </c>
      <c r="W945" s="24">
        <f>IF($H945="","",IF(IFERROR(INDEX('CAT_ACTIVIDADES'!$F$4:$F$26,MATCH($H945,'CAT_ACTIVIDADES'!$A$4:$A$26,0)),"")=0,"",IFERROR(INDEX('CAT_ACTIVIDADES'!$F$4:$F$26,MATCH($H945,'CAT_ACTIVIDADES'!$A$4:$A$26,0)),"")))</f>
        <v/>
      </c>
      <c r="X945" s="24">
        <f>IF($F945="","",IFERROR(INDEX('CAT_CENTROS_COSTO'!$F$4:$F$28,MATCH($F945,'CAT_CENTROS_COSTO'!$A$4:$A$28,0)),"(sin catálogo)"))</f>
        <v/>
      </c>
      <c r="Y945" s="24">
        <f>IF($F945="","",IFERROR(INDEX('CAT_CENTROS_COSTO'!$D$4:$D$28,MATCH($F945,'CAT_CENTROS_COSTO'!$A$4:$A$28,0)),"(sin catálogo)"))</f>
        <v/>
      </c>
      <c r="Z945" s="24">
        <f>IF($F945="","",IF((IFERROR(INDEX('CAT_CENTROS_COSTO'!$E$4:$E$28,MATCH($F945,'CAT_CENTROS_COSTO'!$A$4:$A$28,0)),""))&lt;&gt;"",IFERROR(INDEX('CAT_CENTROS_COSTO'!$E$4:$E$28,MATCH($F945,'CAT_CENTROS_COSTO'!$A$4:$A$28,0)),""),$Y945))</f>
        <v/>
      </c>
      <c r="AA945" s="24">
        <f>IF($F945="","",IFERROR(INDEX('CAT_CENTROS_COSTO'!$G$4:$G$28,MATCH($F945,'CAT_CENTROS_COSTO'!$A$4:$A$28,0)),"(sin catálogo)"))</f>
        <v/>
      </c>
      <c r="AB945" s="24">
        <f>IF($G945="","",IFERROR(INDEX('CAT_PUESTOS'!$B$4:$B$23,MATCH($G945,'CAT_PUESTOS'!$A$4:$A$23,0)),"(sin catálogo)"))</f>
        <v/>
      </c>
      <c r="AC945" s="24">
        <f>IF($H945="","",IFERROR(INDEX('CAT_ACTIVIDADES'!$B$4:$B$26,MATCH($H945,'CAT_ACTIVIDADES'!$A$4:$A$26,0)),"(sin catálogo)"))</f>
        <v/>
      </c>
      <c r="AD945" s="26">
        <f>IF($J945="","",TODAY()-$J945)</f>
        <v/>
      </c>
      <c r="AE945" s="26">
        <f>IF($J945="","",IF($J945&lt;=TODAY(),COUNTIFS(cal_fechas,"&gt;="&amp;$J945,cal_fechas,"&lt;"&amp;TODAY(),cal_habil,"sí"),-COUNTIFS(cal_fechas,"&gt;="&amp;TODAY(),cal_fechas,"&lt;"&amp;$J945,cal_habil,"sí")))</f>
        <v/>
      </c>
      <c r="AF945" s="24">
        <f>IF($AE945="","",IF($AE945&lt;0,"FUTURO",IF($AE945&gt;p_dias_backlog_max,"BACKLOG","MES CORRIENTE")))</f>
        <v/>
      </c>
      <c r="AG945" s="24">
        <f>IF($AE945="",FALSE,AND($AE945&gt;p_dias_backlog_min,$AE945&lt;=p_dias_backlog_max))</f>
        <v/>
      </c>
      <c r="AH945" s="4" t="n"/>
      <c r="AI945" s="24">
        <f>IF($AH945="","",IF((IFERROR(INDEX('ASIGNACIONES'!$J$4:$J$451,MATCH($O945&amp;"|"&amp;$S945&amp;"|"&amp;$AH945,'ASIGNACIONES'!$N$4:$N$451,0)),""))=0,"",IFERROR(INDEX('ASIGNACIONES'!$J$4:$J$451,MATCH($O945&amp;"|"&amp;$S945&amp;"|"&amp;$AH945,'ASIGNACIONES'!$N$4:$N$451,0)),"")))</f>
        <v/>
      </c>
      <c r="AJ945" s="42">
        <f>IF($AH945="","",SUMIFS('ORDENES'!$M$4:$M$1203,'ORDENES'!$AH$4:$AH$1203,$AH945,'ORDENES'!$O$4:$O$1203,$O945,'ORDENES'!$S$4:$S$1203,$S945))</f>
        <v/>
      </c>
      <c r="AK945" s="42">
        <f>IF($AJ945="","",p_factor_productividad*IFERROR(INDEX('ASIGNACIONES'!$M$4:$M$451,MATCH($O945&amp;"|"&amp;$S945&amp;"|"&amp;$AH945,'ASIGNACIONES'!$N$4:$N$451,0)),0)-$AJ945)</f>
        <v/>
      </c>
      <c r="AL945" s="32">
        <f>IF($A945="","",IFERROR(INDEX('2_IMPORTAR_EJECUCION'!$F$9:$F$1208,MATCH($AU945,'2_IMPORTAR_EJECUCION'!$J$9:$J$1208,0)),0))</f>
        <v/>
      </c>
      <c r="AM945" s="32">
        <f>IF($A945="","",MAX(0,IFERROR(INDEX('2_IMPORTAR_EJECUCION'!$H$9:$H$1208,MATCH($AU945,'2_IMPORTAR_EJECUCION'!$J$9:$J$1208,0)),0)-$AL945))</f>
        <v/>
      </c>
      <c r="AN945" s="32">
        <f>IF($A945="","",$AL945+$AM945)</f>
        <v/>
      </c>
      <c r="AO945" s="24">
        <f>IF($A945="","",IF(OR((IFERROR(INDEX('CAT_ACTIVIDADES'!$D$4:$D$26,MATCH($H945,'CAT_ACTIVIDADES'!$A$4:$A$26,0)),""))=0,(IFERROR(INDEX('CAT_ACTIVIDADES'!$D$4:$D$26,MATCH($H945,'CAT_ACTIVIDADES'!$A$4:$A$26,0)),""))=""),"SIN CLASIFICAR",IFERROR(INDEX('CAT_ACTIVIDADES'!$D$4:$D$26,MATCH($H945,'CAT_ACTIVIDADES'!$A$4:$A$26,0)),"")))</f>
        <v/>
      </c>
      <c r="AP945" s="4" t="n"/>
      <c r="AQ945" s="4" t="n"/>
      <c r="AR945" s="4" t="n"/>
      <c r="AS945" s="24">
        <f>IF($AR945="","",HYPERLINK(p_ruta_base_checklists&amp;$AR945,"abrir"))</f>
        <v/>
      </c>
      <c r="AT945" s="4" t="n"/>
      <c r="AU945" s="24">
        <f>IF($A945="","",$A945&amp;IF($B945="","0010",$B945))</f>
        <v/>
      </c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41" t="n"/>
      <c r="K946" s="5" t="n"/>
      <c r="L946" s="18" t="n"/>
      <c r="M946" s="24">
        <f>IF($A946="","",IFERROR(INDEX('AJUSTES'!$B$4:$B$303,MATCH($AU946,'AJUSTES'!$A$4:$A$303,0)),IF($K946="","",$K946)))</f>
        <v/>
      </c>
      <c r="N946" s="24">
        <f>IF($A946="","",IFERROR(INDEX('CAT_ESTADOS_ERP'!$B$4:$B$22,MATCH(IFERROR(INDEX('2_IMPORTAR_EJECUCION'!$C$9:$C$1208,MATCH($AU946,'2_IMPORTAR_EJECUCION'!$J$9:$J$1208,0)),""),'CAT_ESTADOS_ERP'!$A$4:$A$22,0)),"Pendiente"))</f>
        <v/>
      </c>
      <c r="O946" s="24">
        <f>IF($J946="","",YEAR($J946+4-WEEKDAY($J946,2))&amp;"-S"&amp;TEXT(_xlfn.ISOWEEKNUM($J946),"00"))</f>
        <v/>
      </c>
      <c r="P946" s="24">
        <f>IF($J946="","",YEAR($J946))</f>
        <v/>
      </c>
      <c r="Q946" s="24">
        <f>IF($J946="","",MONTH($J946))</f>
        <v/>
      </c>
      <c r="R946" s="24">
        <f>IF($J946="","",$P946&amp;"-"&amp;TEXT($Q946,"00"))</f>
        <v/>
      </c>
      <c r="S946" s="24">
        <f>IF($J946="","",INDEX(lista_dias,WEEKDAY($J946,2)))</f>
        <v/>
      </c>
      <c r="T946" s="24">
        <f>IF($J946="","",IFERROR(INDEX('CALENDARIO'!$C$15:$C$214,MATCH(TEXT($J946,"yyyy-mm-dd")&amp;"|"&amp;$Y946&amp;"|"&amp;$Z946,'CALENDARIO'!$G$15:$G$214,0)),IFERROR(INDEX('CALENDARIO'!$C$15:$C$214,MATCH(TEXT($J946,"yyyy-mm-dd")&amp;"|"&amp;$Y946&amp;"|",'CALENDARIO'!$G$15:$G$214,0)),IFERROR(INDEX('CALENDARIO'!$C$15:$C$214,MATCH(TEXT($J946,"yyyy-mm-dd")&amp;"||",'CALENDARIO'!$G$15:$G$214,0)),INDEX(patronHabil,WEEKDAY($J946,2))))))</f>
        <v/>
      </c>
      <c r="U946" s="24">
        <f>IF($I946="","",IFERROR(INDEX('CAT_TIPOS_OT'!$C$4:$C$23,MATCH($I946,'CAT_TIPOS_OT'!$A$4:$A$23,0)),"sin_clasificar"))</f>
        <v/>
      </c>
      <c r="V946" s="24">
        <f>IF($I946="","",IF(IFERROR(INDEX('CAT_TIPOS_OT'!$D$4:$D$23,MATCH($I946,'CAT_TIPOS_OT'!$A$4:$A$23,0)),"SIN CLASIFICAR")="","SIN CLASIFICAR",IFERROR(INDEX('CAT_TIPOS_OT'!$D$4:$D$23,MATCH($I946,'CAT_TIPOS_OT'!$A$4:$A$23,0)),"SIN CLASIFICAR")))</f>
        <v/>
      </c>
      <c r="W946" s="24">
        <f>IF($H946="","",IF(IFERROR(INDEX('CAT_ACTIVIDADES'!$F$4:$F$26,MATCH($H946,'CAT_ACTIVIDADES'!$A$4:$A$26,0)),"")=0,"",IFERROR(INDEX('CAT_ACTIVIDADES'!$F$4:$F$26,MATCH($H946,'CAT_ACTIVIDADES'!$A$4:$A$26,0)),"")))</f>
        <v/>
      </c>
      <c r="X946" s="24">
        <f>IF($F946="","",IFERROR(INDEX('CAT_CENTROS_COSTO'!$F$4:$F$28,MATCH($F946,'CAT_CENTROS_COSTO'!$A$4:$A$28,0)),"(sin catálogo)"))</f>
        <v/>
      </c>
      <c r="Y946" s="24">
        <f>IF($F946="","",IFERROR(INDEX('CAT_CENTROS_COSTO'!$D$4:$D$28,MATCH($F946,'CAT_CENTROS_COSTO'!$A$4:$A$28,0)),"(sin catálogo)"))</f>
        <v/>
      </c>
      <c r="Z946" s="24">
        <f>IF($F946="","",IF((IFERROR(INDEX('CAT_CENTROS_COSTO'!$E$4:$E$28,MATCH($F946,'CAT_CENTROS_COSTO'!$A$4:$A$28,0)),""))&lt;&gt;"",IFERROR(INDEX('CAT_CENTROS_COSTO'!$E$4:$E$28,MATCH($F946,'CAT_CENTROS_COSTO'!$A$4:$A$28,0)),""),$Y946))</f>
        <v/>
      </c>
      <c r="AA946" s="24">
        <f>IF($F946="","",IFERROR(INDEX('CAT_CENTROS_COSTO'!$G$4:$G$28,MATCH($F946,'CAT_CENTROS_COSTO'!$A$4:$A$28,0)),"(sin catálogo)"))</f>
        <v/>
      </c>
      <c r="AB946" s="24">
        <f>IF($G946="","",IFERROR(INDEX('CAT_PUESTOS'!$B$4:$B$23,MATCH($G946,'CAT_PUESTOS'!$A$4:$A$23,0)),"(sin catálogo)"))</f>
        <v/>
      </c>
      <c r="AC946" s="24">
        <f>IF($H946="","",IFERROR(INDEX('CAT_ACTIVIDADES'!$B$4:$B$26,MATCH($H946,'CAT_ACTIVIDADES'!$A$4:$A$26,0)),"(sin catálogo)"))</f>
        <v/>
      </c>
      <c r="AD946" s="26">
        <f>IF($J946="","",TODAY()-$J946)</f>
        <v/>
      </c>
      <c r="AE946" s="26">
        <f>IF($J946="","",IF($J946&lt;=TODAY(),COUNTIFS(cal_fechas,"&gt;="&amp;$J946,cal_fechas,"&lt;"&amp;TODAY(),cal_habil,"sí"),-COUNTIFS(cal_fechas,"&gt;="&amp;TODAY(),cal_fechas,"&lt;"&amp;$J946,cal_habil,"sí")))</f>
        <v/>
      </c>
      <c r="AF946" s="24">
        <f>IF($AE946="","",IF($AE946&lt;0,"FUTURO",IF($AE946&gt;p_dias_backlog_max,"BACKLOG","MES CORRIENTE")))</f>
        <v/>
      </c>
      <c r="AG946" s="24">
        <f>IF($AE946="",FALSE,AND($AE946&gt;p_dias_backlog_min,$AE946&lt;=p_dias_backlog_max))</f>
        <v/>
      </c>
      <c r="AH946" s="4" t="n"/>
      <c r="AI946" s="24">
        <f>IF($AH946="","",IF((IFERROR(INDEX('ASIGNACIONES'!$J$4:$J$451,MATCH($O946&amp;"|"&amp;$S946&amp;"|"&amp;$AH946,'ASIGNACIONES'!$N$4:$N$451,0)),""))=0,"",IFERROR(INDEX('ASIGNACIONES'!$J$4:$J$451,MATCH($O946&amp;"|"&amp;$S946&amp;"|"&amp;$AH946,'ASIGNACIONES'!$N$4:$N$451,0)),"")))</f>
        <v/>
      </c>
      <c r="AJ946" s="42">
        <f>IF($AH946="","",SUMIFS('ORDENES'!$M$4:$M$1203,'ORDENES'!$AH$4:$AH$1203,$AH946,'ORDENES'!$O$4:$O$1203,$O946,'ORDENES'!$S$4:$S$1203,$S946))</f>
        <v/>
      </c>
      <c r="AK946" s="42">
        <f>IF($AJ946="","",p_factor_productividad*IFERROR(INDEX('ASIGNACIONES'!$M$4:$M$451,MATCH($O946&amp;"|"&amp;$S946&amp;"|"&amp;$AH946,'ASIGNACIONES'!$N$4:$N$451,0)),0)-$AJ946)</f>
        <v/>
      </c>
      <c r="AL946" s="32">
        <f>IF($A946="","",IFERROR(INDEX('2_IMPORTAR_EJECUCION'!$F$9:$F$1208,MATCH($AU946,'2_IMPORTAR_EJECUCION'!$J$9:$J$1208,0)),0))</f>
        <v/>
      </c>
      <c r="AM946" s="32">
        <f>IF($A946="","",MAX(0,IFERROR(INDEX('2_IMPORTAR_EJECUCION'!$H$9:$H$1208,MATCH($AU946,'2_IMPORTAR_EJECUCION'!$J$9:$J$1208,0)),0)-$AL946))</f>
        <v/>
      </c>
      <c r="AN946" s="32">
        <f>IF($A946="","",$AL946+$AM946)</f>
        <v/>
      </c>
      <c r="AO946" s="24">
        <f>IF($A946="","",IF(OR((IFERROR(INDEX('CAT_ACTIVIDADES'!$D$4:$D$26,MATCH($H946,'CAT_ACTIVIDADES'!$A$4:$A$26,0)),""))=0,(IFERROR(INDEX('CAT_ACTIVIDADES'!$D$4:$D$26,MATCH($H946,'CAT_ACTIVIDADES'!$A$4:$A$26,0)),""))=""),"SIN CLASIFICAR",IFERROR(INDEX('CAT_ACTIVIDADES'!$D$4:$D$26,MATCH($H946,'CAT_ACTIVIDADES'!$A$4:$A$26,0)),"")))</f>
        <v/>
      </c>
      <c r="AP946" s="4" t="n"/>
      <c r="AQ946" s="4" t="n"/>
      <c r="AR946" s="4" t="n"/>
      <c r="AS946" s="24">
        <f>IF($AR946="","",HYPERLINK(p_ruta_base_checklists&amp;$AR946,"abrir"))</f>
        <v/>
      </c>
      <c r="AT946" s="4" t="n"/>
      <c r="AU946" s="24">
        <f>IF($A946="","",$A946&amp;IF($B946="","0010",$B946))</f>
        <v/>
      </c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41" t="n"/>
      <c r="K947" s="5" t="n"/>
      <c r="L947" s="18" t="n"/>
      <c r="M947" s="24">
        <f>IF($A947="","",IFERROR(INDEX('AJUSTES'!$B$4:$B$303,MATCH($AU947,'AJUSTES'!$A$4:$A$303,0)),IF($K947="","",$K947)))</f>
        <v/>
      </c>
      <c r="N947" s="24">
        <f>IF($A947="","",IFERROR(INDEX('CAT_ESTADOS_ERP'!$B$4:$B$22,MATCH(IFERROR(INDEX('2_IMPORTAR_EJECUCION'!$C$9:$C$1208,MATCH($AU947,'2_IMPORTAR_EJECUCION'!$J$9:$J$1208,0)),""),'CAT_ESTADOS_ERP'!$A$4:$A$22,0)),"Pendiente"))</f>
        <v/>
      </c>
      <c r="O947" s="24">
        <f>IF($J947="","",YEAR($J947+4-WEEKDAY($J947,2))&amp;"-S"&amp;TEXT(_xlfn.ISOWEEKNUM($J947),"00"))</f>
        <v/>
      </c>
      <c r="P947" s="24">
        <f>IF($J947="","",YEAR($J947))</f>
        <v/>
      </c>
      <c r="Q947" s="24">
        <f>IF($J947="","",MONTH($J947))</f>
        <v/>
      </c>
      <c r="R947" s="24">
        <f>IF($J947="","",$P947&amp;"-"&amp;TEXT($Q947,"00"))</f>
        <v/>
      </c>
      <c r="S947" s="24">
        <f>IF($J947="","",INDEX(lista_dias,WEEKDAY($J947,2)))</f>
        <v/>
      </c>
      <c r="T947" s="24">
        <f>IF($J947="","",IFERROR(INDEX('CALENDARIO'!$C$15:$C$214,MATCH(TEXT($J947,"yyyy-mm-dd")&amp;"|"&amp;$Y947&amp;"|"&amp;$Z947,'CALENDARIO'!$G$15:$G$214,0)),IFERROR(INDEX('CALENDARIO'!$C$15:$C$214,MATCH(TEXT($J947,"yyyy-mm-dd")&amp;"|"&amp;$Y947&amp;"|",'CALENDARIO'!$G$15:$G$214,0)),IFERROR(INDEX('CALENDARIO'!$C$15:$C$214,MATCH(TEXT($J947,"yyyy-mm-dd")&amp;"||",'CALENDARIO'!$G$15:$G$214,0)),INDEX(patronHabil,WEEKDAY($J947,2))))))</f>
        <v/>
      </c>
      <c r="U947" s="24">
        <f>IF($I947="","",IFERROR(INDEX('CAT_TIPOS_OT'!$C$4:$C$23,MATCH($I947,'CAT_TIPOS_OT'!$A$4:$A$23,0)),"sin_clasificar"))</f>
        <v/>
      </c>
      <c r="V947" s="24">
        <f>IF($I947="","",IF(IFERROR(INDEX('CAT_TIPOS_OT'!$D$4:$D$23,MATCH($I947,'CAT_TIPOS_OT'!$A$4:$A$23,0)),"SIN CLASIFICAR")="","SIN CLASIFICAR",IFERROR(INDEX('CAT_TIPOS_OT'!$D$4:$D$23,MATCH($I947,'CAT_TIPOS_OT'!$A$4:$A$23,0)),"SIN CLASIFICAR")))</f>
        <v/>
      </c>
      <c r="W947" s="24">
        <f>IF($H947="","",IF(IFERROR(INDEX('CAT_ACTIVIDADES'!$F$4:$F$26,MATCH($H947,'CAT_ACTIVIDADES'!$A$4:$A$26,0)),"")=0,"",IFERROR(INDEX('CAT_ACTIVIDADES'!$F$4:$F$26,MATCH($H947,'CAT_ACTIVIDADES'!$A$4:$A$26,0)),"")))</f>
        <v/>
      </c>
      <c r="X947" s="24">
        <f>IF($F947="","",IFERROR(INDEX('CAT_CENTROS_COSTO'!$F$4:$F$28,MATCH($F947,'CAT_CENTROS_COSTO'!$A$4:$A$28,0)),"(sin catálogo)"))</f>
        <v/>
      </c>
      <c r="Y947" s="24">
        <f>IF($F947="","",IFERROR(INDEX('CAT_CENTROS_COSTO'!$D$4:$D$28,MATCH($F947,'CAT_CENTROS_COSTO'!$A$4:$A$28,0)),"(sin catálogo)"))</f>
        <v/>
      </c>
      <c r="Z947" s="24">
        <f>IF($F947="","",IF((IFERROR(INDEX('CAT_CENTROS_COSTO'!$E$4:$E$28,MATCH($F947,'CAT_CENTROS_COSTO'!$A$4:$A$28,0)),""))&lt;&gt;"",IFERROR(INDEX('CAT_CENTROS_COSTO'!$E$4:$E$28,MATCH($F947,'CAT_CENTROS_COSTO'!$A$4:$A$28,0)),""),$Y947))</f>
        <v/>
      </c>
      <c r="AA947" s="24">
        <f>IF($F947="","",IFERROR(INDEX('CAT_CENTROS_COSTO'!$G$4:$G$28,MATCH($F947,'CAT_CENTROS_COSTO'!$A$4:$A$28,0)),"(sin catálogo)"))</f>
        <v/>
      </c>
      <c r="AB947" s="24">
        <f>IF($G947="","",IFERROR(INDEX('CAT_PUESTOS'!$B$4:$B$23,MATCH($G947,'CAT_PUESTOS'!$A$4:$A$23,0)),"(sin catálogo)"))</f>
        <v/>
      </c>
      <c r="AC947" s="24">
        <f>IF($H947="","",IFERROR(INDEX('CAT_ACTIVIDADES'!$B$4:$B$26,MATCH($H947,'CAT_ACTIVIDADES'!$A$4:$A$26,0)),"(sin catálogo)"))</f>
        <v/>
      </c>
      <c r="AD947" s="26">
        <f>IF($J947="","",TODAY()-$J947)</f>
        <v/>
      </c>
      <c r="AE947" s="26">
        <f>IF($J947="","",IF($J947&lt;=TODAY(),COUNTIFS(cal_fechas,"&gt;="&amp;$J947,cal_fechas,"&lt;"&amp;TODAY(),cal_habil,"sí"),-COUNTIFS(cal_fechas,"&gt;="&amp;TODAY(),cal_fechas,"&lt;"&amp;$J947,cal_habil,"sí")))</f>
        <v/>
      </c>
      <c r="AF947" s="24">
        <f>IF($AE947="","",IF($AE947&lt;0,"FUTURO",IF($AE947&gt;p_dias_backlog_max,"BACKLOG","MES CORRIENTE")))</f>
        <v/>
      </c>
      <c r="AG947" s="24">
        <f>IF($AE947="",FALSE,AND($AE947&gt;p_dias_backlog_min,$AE947&lt;=p_dias_backlog_max))</f>
        <v/>
      </c>
      <c r="AH947" s="4" t="n"/>
      <c r="AI947" s="24">
        <f>IF($AH947="","",IF((IFERROR(INDEX('ASIGNACIONES'!$J$4:$J$451,MATCH($O947&amp;"|"&amp;$S947&amp;"|"&amp;$AH947,'ASIGNACIONES'!$N$4:$N$451,0)),""))=0,"",IFERROR(INDEX('ASIGNACIONES'!$J$4:$J$451,MATCH($O947&amp;"|"&amp;$S947&amp;"|"&amp;$AH947,'ASIGNACIONES'!$N$4:$N$451,0)),"")))</f>
        <v/>
      </c>
      <c r="AJ947" s="42">
        <f>IF($AH947="","",SUMIFS('ORDENES'!$M$4:$M$1203,'ORDENES'!$AH$4:$AH$1203,$AH947,'ORDENES'!$O$4:$O$1203,$O947,'ORDENES'!$S$4:$S$1203,$S947))</f>
        <v/>
      </c>
      <c r="AK947" s="42">
        <f>IF($AJ947="","",p_factor_productividad*IFERROR(INDEX('ASIGNACIONES'!$M$4:$M$451,MATCH($O947&amp;"|"&amp;$S947&amp;"|"&amp;$AH947,'ASIGNACIONES'!$N$4:$N$451,0)),0)-$AJ947)</f>
        <v/>
      </c>
      <c r="AL947" s="32">
        <f>IF($A947="","",IFERROR(INDEX('2_IMPORTAR_EJECUCION'!$F$9:$F$1208,MATCH($AU947,'2_IMPORTAR_EJECUCION'!$J$9:$J$1208,0)),0))</f>
        <v/>
      </c>
      <c r="AM947" s="32">
        <f>IF($A947="","",MAX(0,IFERROR(INDEX('2_IMPORTAR_EJECUCION'!$H$9:$H$1208,MATCH($AU947,'2_IMPORTAR_EJECUCION'!$J$9:$J$1208,0)),0)-$AL947))</f>
        <v/>
      </c>
      <c r="AN947" s="32">
        <f>IF($A947="","",$AL947+$AM947)</f>
        <v/>
      </c>
      <c r="AO947" s="24">
        <f>IF($A947="","",IF(OR((IFERROR(INDEX('CAT_ACTIVIDADES'!$D$4:$D$26,MATCH($H947,'CAT_ACTIVIDADES'!$A$4:$A$26,0)),""))=0,(IFERROR(INDEX('CAT_ACTIVIDADES'!$D$4:$D$26,MATCH($H947,'CAT_ACTIVIDADES'!$A$4:$A$26,0)),""))=""),"SIN CLASIFICAR",IFERROR(INDEX('CAT_ACTIVIDADES'!$D$4:$D$26,MATCH($H947,'CAT_ACTIVIDADES'!$A$4:$A$26,0)),"")))</f>
        <v/>
      </c>
      <c r="AP947" s="4" t="n"/>
      <c r="AQ947" s="4" t="n"/>
      <c r="AR947" s="4" t="n"/>
      <c r="AS947" s="24">
        <f>IF($AR947="","",HYPERLINK(p_ruta_base_checklists&amp;$AR947,"abrir"))</f>
        <v/>
      </c>
      <c r="AT947" s="4" t="n"/>
      <c r="AU947" s="24">
        <f>IF($A947="","",$A947&amp;IF($B947="","0010",$B947))</f>
        <v/>
      </c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41" t="n"/>
      <c r="K948" s="5" t="n"/>
      <c r="L948" s="18" t="n"/>
      <c r="M948" s="24">
        <f>IF($A948="","",IFERROR(INDEX('AJUSTES'!$B$4:$B$303,MATCH($AU948,'AJUSTES'!$A$4:$A$303,0)),IF($K948="","",$K948)))</f>
        <v/>
      </c>
      <c r="N948" s="24">
        <f>IF($A948="","",IFERROR(INDEX('CAT_ESTADOS_ERP'!$B$4:$B$22,MATCH(IFERROR(INDEX('2_IMPORTAR_EJECUCION'!$C$9:$C$1208,MATCH($AU948,'2_IMPORTAR_EJECUCION'!$J$9:$J$1208,0)),""),'CAT_ESTADOS_ERP'!$A$4:$A$22,0)),"Pendiente"))</f>
        <v/>
      </c>
      <c r="O948" s="24">
        <f>IF($J948="","",YEAR($J948+4-WEEKDAY($J948,2))&amp;"-S"&amp;TEXT(_xlfn.ISOWEEKNUM($J948),"00"))</f>
        <v/>
      </c>
      <c r="P948" s="24">
        <f>IF($J948="","",YEAR($J948))</f>
        <v/>
      </c>
      <c r="Q948" s="24">
        <f>IF($J948="","",MONTH($J948))</f>
        <v/>
      </c>
      <c r="R948" s="24">
        <f>IF($J948="","",$P948&amp;"-"&amp;TEXT($Q948,"00"))</f>
        <v/>
      </c>
      <c r="S948" s="24">
        <f>IF($J948="","",INDEX(lista_dias,WEEKDAY($J948,2)))</f>
        <v/>
      </c>
      <c r="T948" s="24">
        <f>IF($J948="","",IFERROR(INDEX('CALENDARIO'!$C$15:$C$214,MATCH(TEXT($J948,"yyyy-mm-dd")&amp;"|"&amp;$Y948&amp;"|"&amp;$Z948,'CALENDARIO'!$G$15:$G$214,0)),IFERROR(INDEX('CALENDARIO'!$C$15:$C$214,MATCH(TEXT($J948,"yyyy-mm-dd")&amp;"|"&amp;$Y948&amp;"|",'CALENDARIO'!$G$15:$G$214,0)),IFERROR(INDEX('CALENDARIO'!$C$15:$C$214,MATCH(TEXT($J948,"yyyy-mm-dd")&amp;"||",'CALENDARIO'!$G$15:$G$214,0)),INDEX(patronHabil,WEEKDAY($J948,2))))))</f>
        <v/>
      </c>
      <c r="U948" s="24">
        <f>IF($I948="","",IFERROR(INDEX('CAT_TIPOS_OT'!$C$4:$C$23,MATCH($I948,'CAT_TIPOS_OT'!$A$4:$A$23,0)),"sin_clasificar"))</f>
        <v/>
      </c>
      <c r="V948" s="24">
        <f>IF($I948="","",IF(IFERROR(INDEX('CAT_TIPOS_OT'!$D$4:$D$23,MATCH($I948,'CAT_TIPOS_OT'!$A$4:$A$23,0)),"SIN CLASIFICAR")="","SIN CLASIFICAR",IFERROR(INDEX('CAT_TIPOS_OT'!$D$4:$D$23,MATCH($I948,'CAT_TIPOS_OT'!$A$4:$A$23,0)),"SIN CLASIFICAR")))</f>
        <v/>
      </c>
      <c r="W948" s="24">
        <f>IF($H948="","",IF(IFERROR(INDEX('CAT_ACTIVIDADES'!$F$4:$F$26,MATCH($H948,'CAT_ACTIVIDADES'!$A$4:$A$26,0)),"")=0,"",IFERROR(INDEX('CAT_ACTIVIDADES'!$F$4:$F$26,MATCH($H948,'CAT_ACTIVIDADES'!$A$4:$A$26,0)),"")))</f>
        <v/>
      </c>
      <c r="X948" s="24">
        <f>IF($F948="","",IFERROR(INDEX('CAT_CENTROS_COSTO'!$F$4:$F$28,MATCH($F948,'CAT_CENTROS_COSTO'!$A$4:$A$28,0)),"(sin catálogo)"))</f>
        <v/>
      </c>
      <c r="Y948" s="24">
        <f>IF($F948="","",IFERROR(INDEX('CAT_CENTROS_COSTO'!$D$4:$D$28,MATCH($F948,'CAT_CENTROS_COSTO'!$A$4:$A$28,0)),"(sin catálogo)"))</f>
        <v/>
      </c>
      <c r="Z948" s="24">
        <f>IF($F948="","",IF((IFERROR(INDEX('CAT_CENTROS_COSTO'!$E$4:$E$28,MATCH($F948,'CAT_CENTROS_COSTO'!$A$4:$A$28,0)),""))&lt;&gt;"",IFERROR(INDEX('CAT_CENTROS_COSTO'!$E$4:$E$28,MATCH($F948,'CAT_CENTROS_COSTO'!$A$4:$A$28,0)),""),$Y948))</f>
        <v/>
      </c>
      <c r="AA948" s="24">
        <f>IF($F948="","",IFERROR(INDEX('CAT_CENTROS_COSTO'!$G$4:$G$28,MATCH($F948,'CAT_CENTROS_COSTO'!$A$4:$A$28,0)),"(sin catálogo)"))</f>
        <v/>
      </c>
      <c r="AB948" s="24">
        <f>IF($G948="","",IFERROR(INDEX('CAT_PUESTOS'!$B$4:$B$23,MATCH($G948,'CAT_PUESTOS'!$A$4:$A$23,0)),"(sin catálogo)"))</f>
        <v/>
      </c>
      <c r="AC948" s="24">
        <f>IF($H948="","",IFERROR(INDEX('CAT_ACTIVIDADES'!$B$4:$B$26,MATCH($H948,'CAT_ACTIVIDADES'!$A$4:$A$26,0)),"(sin catálogo)"))</f>
        <v/>
      </c>
      <c r="AD948" s="26">
        <f>IF($J948="","",TODAY()-$J948)</f>
        <v/>
      </c>
      <c r="AE948" s="26">
        <f>IF($J948="","",IF($J948&lt;=TODAY(),COUNTIFS(cal_fechas,"&gt;="&amp;$J948,cal_fechas,"&lt;"&amp;TODAY(),cal_habil,"sí"),-COUNTIFS(cal_fechas,"&gt;="&amp;TODAY(),cal_fechas,"&lt;"&amp;$J948,cal_habil,"sí")))</f>
        <v/>
      </c>
      <c r="AF948" s="24">
        <f>IF($AE948="","",IF($AE948&lt;0,"FUTURO",IF($AE948&gt;p_dias_backlog_max,"BACKLOG","MES CORRIENTE")))</f>
        <v/>
      </c>
      <c r="AG948" s="24">
        <f>IF($AE948="",FALSE,AND($AE948&gt;p_dias_backlog_min,$AE948&lt;=p_dias_backlog_max))</f>
        <v/>
      </c>
      <c r="AH948" s="4" t="n"/>
      <c r="AI948" s="24">
        <f>IF($AH948="","",IF((IFERROR(INDEX('ASIGNACIONES'!$J$4:$J$451,MATCH($O948&amp;"|"&amp;$S948&amp;"|"&amp;$AH948,'ASIGNACIONES'!$N$4:$N$451,0)),""))=0,"",IFERROR(INDEX('ASIGNACIONES'!$J$4:$J$451,MATCH($O948&amp;"|"&amp;$S948&amp;"|"&amp;$AH948,'ASIGNACIONES'!$N$4:$N$451,0)),"")))</f>
        <v/>
      </c>
      <c r="AJ948" s="42">
        <f>IF($AH948="","",SUMIFS('ORDENES'!$M$4:$M$1203,'ORDENES'!$AH$4:$AH$1203,$AH948,'ORDENES'!$O$4:$O$1203,$O948,'ORDENES'!$S$4:$S$1203,$S948))</f>
        <v/>
      </c>
      <c r="AK948" s="42">
        <f>IF($AJ948="","",p_factor_productividad*IFERROR(INDEX('ASIGNACIONES'!$M$4:$M$451,MATCH($O948&amp;"|"&amp;$S948&amp;"|"&amp;$AH948,'ASIGNACIONES'!$N$4:$N$451,0)),0)-$AJ948)</f>
        <v/>
      </c>
      <c r="AL948" s="32">
        <f>IF($A948="","",IFERROR(INDEX('2_IMPORTAR_EJECUCION'!$F$9:$F$1208,MATCH($AU948,'2_IMPORTAR_EJECUCION'!$J$9:$J$1208,0)),0))</f>
        <v/>
      </c>
      <c r="AM948" s="32">
        <f>IF($A948="","",MAX(0,IFERROR(INDEX('2_IMPORTAR_EJECUCION'!$H$9:$H$1208,MATCH($AU948,'2_IMPORTAR_EJECUCION'!$J$9:$J$1208,0)),0)-$AL948))</f>
        <v/>
      </c>
      <c r="AN948" s="32">
        <f>IF($A948="","",$AL948+$AM948)</f>
        <v/>
      </c>
      <c r="AO948" s="24">
        <f>IF($A948="","",IF(OR((IFERROR(INDEX('CAT_ACTIVIDADES'!$D$4:$D$26,MATCH($H948,'CAT_ACTIVIDADES'!$A$4:$A$26,0)),""))=0,(IFERROR(INDEX('CAT_ACTIVIDADES'!$D$4:$D$26,MATCH($H948,'CAT_ACTIVIDADES'!$A$4:$A$26,0)),""))=""),"SIN CLASIFICAR",IFERROR(INDEX('CAT_ACTIVIDADES'!$D$4:$D$26,MATCH($H948,'CAT_ACTIVIDADES'!$A$4:$A$26,0)),"")))</f>
        <v/>
      </c>
      <c r="AP948" s="4" t="n"/>
      <c r="AQ948" s="4" t="n"/>
      <c r="AR948" s="4" t="n"/>
      <c r="AS948" s="24">
        <f>IF($AR948="","",HYPERLINK(p_ruta_base_checklists&amp;$AR948,"abrir"))</f>
        <v/>
      </c>
      <c r="AT948" s="4" t="n"/>
      <c r="AU948" s="24">
        <f>IF($A948="","",$A948&amp;IF($B948="","0010",$B948))</f>
        <v/>
      </c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41" t="n"/>
      <c r="K949" s="5" t="n"/>
      <c r="L949" s="18" t="n"/>
      <c r="M949" s="24">
        <f>IF($A949="","",IFERROR(INDEX('AJUSTES'!$B$4:$B$303,MATCH($AU949,'AJUSTES'!$A$4:$A$303,0)),IF($K949="","",$K949)))</f>
        <v/>
      </c>
      <c r="N949" s="24">
        <f>IF($A949="","",IFERROR(INDEX('CAT_ESTADOS_ERP'!$B$4:$B$22,MATCH(IFERROR(INDEX('2_IMPORTAR_EJECUCION'!$C$9:$C$1208,MATCH($AU949,'2_IMPORTAR_EJECUCION'!$J$9:$J$1208,0)),""),'CAT_ESTADOS_ERP'!$A$4:$A$22,0)),"Pendiente"))</f>
        <v/>
      </c>
      <c r="O949" s="24">
        <f>IF($J949="","",YEAR($J949+4-WEEKDAY($J949,2))&amp;"-S"&amp;TEXT(_xlfn.ISOWEEKNUM($J949),"00"))</f>
        <v/>
      </c>
      <c r="P949" s="24">
        <f>IF($J949="","",YEAR($J949))</f>
        <v/>
      </c>
      <c r="Q949" s="24">
        <f>IF($J949="","",MONTH($J949))</f>
        <v/>
      </c>
      <c r="R949" s="24">
        <f>IF($J949="","",$P949&amp;"-"&amp;TEXT($Q949,"00"))</f>
        <v/>
      </c>
      <c r="S949" s="24">
        <f>IF($J949="","",INDEX(lista_dias,WEEKDAY($J949,2)))</f>
        <v/>
      </c>
      <c r="T949" s="24">
        <f>IF($J949="","",IFERROR(INDEX('CALENDARIO'!$C$15:$C$214,MATCH(TEXT($J949,"yyyy-mm-dd")&amp;"|"&amp;$Y949&amp;"|"&amp;$Z949,'CALENDARIO'!$G$15:$G$214,0)),IFERROR(INDEX('CALENDARIO'!$C$15:$C$214,MATCH(TEXT($J949,"yyyy-mm-dd")&amp;"|"&amp;$Y949&amp;"|",'CALENDARIO'!$G$15:$G$214,0)),IFERROR(INDEX('CALENDARIO'!$C$15:$C$214,MATCH(TEXT($J949,"yyyy-mm-dd")&amp;"||",'CALENDARIO'!$G$15:$G$214,0)),INDEX(patronHabil,WEEKDAY($J949,2))))))</f>
        <v/>
      </c>
      <c r="U949" s="24">
        <f>IF($I949="","",IFERROR(INDEX('CAT_TIPOS_OT'!$C$4:$C$23,MATCH($I949,'CAT_TIPOS_OT'!$A$4:$A$23,0)),"sin_clasificar"))</f>
        <v/>
      </c>
      <c r="V949" s="24">
        <f>IF($I949="","",IF(IFERROR(INDEX('CAT_TIPOS_OT'!$D$4:$D$23,MATCH($I949,'CAT_TIPOS_OT'!$A$4:$A$23,0)),"SIN CLASIFICAR")="","SIN CLASIFICAR",IFERROR(INDEX('CAT_TIPOS_OT'!$D$4:$D$23,MATCH($I949,'CAT_TIPOS_OT'!$A$4:$A$23,0)),"SIN CLASIFICAR")))</f>
        <v/>
      </c>
      <c r="W949" s="24">
        <f>IF($H949="","",IF(IFERROR(INDEX('CAT_ACTIVIDADES'!$F$4:$F$26,MATCH($H949,'CAT_ACTIVIDADES'!$A$4:$A$26,0)),"")=0,"",IFERROR(INDEX('CAT_ACTIVIDADES'!$F$4:$F$26,MATCH($H949,'CAT_ACTIVIDADES'!$A$4:$A$26,0)),"")))</f>
        <v/>
      </c>
      <c r="X949" s="24">
        <f>IF($F949="","",IFERROR(INDEX('CAT_CENTROS_COSTO'!$F$4:$F$28,MATCH($F949,'CAT_CENTROS_COSTO'!$A$4:$A$28,0)),"(sin catálogo)"))</f>
        <v/>
      </c>
      <c r="Y949" s="24">
        <f>IF($F949="","",IFERROR(INDEX('CAT_CENTROS_COSTO'!$D$4:$D$28,MATCH($F949,'CAT_CENTROS_COSTO'!$A$4:$A$28,0)),"(sin catálogo)"))</f>
        <v/>
      </c>
      <c r="Z949" s="24">
        <f>IF($F949="","",IF((IFERROR(INDEX('CAT_CENTROS_COSTO'!$E$4:$E$28,MATCH($F949,'CAT_CENTROS_COSTO'!$A$4:$A$28,0)),""))&lt;&gt;"",IFERROR(INDEX('CAT_CENTROS_COSTO'!$E$4:$E$28,MATCH($F949,'CAT_CENTROS_COSTO'!$A$4:$A$28,0)),""),$Y949))</f>
        <v/>
      </c>
      <c r="AA949" s="24">
        <f>IF($F949="","",IFERROR(INDEX('CAT_CENTROS_COSTO'!$G$4:$G$28,MATCH($F949,'CAT_CENTROS_COSTO'!$A$4:$A$28,0)),"(sin catálogo)"))</f>
        <v/>
      </c>
      <c r="AB949" s="24">
        <f>IF($G949="","",IFERROR(INDEX('CAT_PUESTOS'!$B$4:$B$23,MATCH($G949,'CAT_PUESTOS'!$A$4:$A$23,0)),"(sin catálogo)"))</f>
        <v/>
      </c>
      <c r="AC949" s="24">
        <f>IF($H949="","",IFERROR(INDEX('CAT_ACTIVIDADES'!$B$4:$B$26,MATCH($H949,'CAT_ACTIVIDADES'!$A$4:$A$26,0)),"(sin catálogo)"))</f>
        <v/>
      </c>
      <c r="AD949" s="26">
        <f>IF($J949="","",TODAY()-$J949)</f>
        <v/>
      </c>
      <c r="AE949" s="26">
        <f>IF($J949="","",IF($J949&lt;=TODAY(),COUNTIFS(cal_fechas,"&gt;="&amp;$J949,cal_fechas,"&lt;"&amp;TODAY(),cal_habil,"sí"),-COUNTIFS(cal_fechas,"&gt;="&amp;TODAY(),cal_fechas,"&lt;"&amp;$J949,cal_habil,"sí")))</f>
        <v/>
      </c>
      <c r="AF949" s="24">
        <f>IF($AE949="","",IF($AE949&lt;0,"FUTURO",IF($AE949&gt;p_dias_backlog_max,"BACKLOG","MES CORRIENTE")))</f>
        <v/>
      </c>
      <c r="AG949" s="24">
        <f>IF($AE949="",FALSE,AND($AE949&gt;p_dias_backlog_min,$AE949&lt;=p_dias_backlog_max))</f>
        <v/>
      </c>
      <c r="AH949" s="4" t="n"/>
      <c r="AI949" s="24">
        <f>IF($AH949="","",IF((IFERROR(INDEX('ASIGNACIONES'!$J$4:$J$451,MATCH($O949&amp;"|"&amp;$S949&amp;"|"&amp;$AH949,'ASIGNACIONES'!$N$4:$N$451,0)),""))=0,"",IFERROR(INDEX('ASIGNACIONES'!$J$4:$J$451,MATCH($O949&amp;"|"&amp;$S949&amp;"|"&amp;$AH949,'ASIGNACIONES'!$N$4:$N$451,0)),"")))</f>
        <v/>
      </c>
      <c r="AJ949" s="42">
        <f>IF($AH949="","",SUMIFS('ORDENES'!$M$4:$M$1203,'ORDENES'!$AH$4:$AH$1203,$AH949,'ORDENES'!$O$4:$O$1203,$O949,'ORDENES'!$S$4:$S$1203,$S949))</f>
        <v/>
      </c>
      <c r="AK949" s="42">
        <f>IF($AJ949="","",p_factor_productividad*IFERROR(INDEX('ASIGNACIONES'!$M$4:$M$451,MATCH($O949&amp;"|"&amp;$S949&amp;"|"&amp;$AH949,'ASIGNACIONES'!$N$4:$N$451,0)),0)-$AJ949)</f>
        <v/>
      </c>
      <c r="AL949" s="32">
        <f>IF($A949="","",IFERROR(INDEX('2_IMPORTAR_EJECUCION'!$F$9:$F$1208,MATCH($AU949,'2_IMPORTAR_EJECUCION'!$J$9:$J$1208,0)),0))</f>
        <v/>
      </c>
      <c r="AM949" s="32">
        <f>IF($A949="","",MAX(0,IFERROR(INDEX('2_IMPORTAR_EJECUCION'!$H$9:$H$1208,MATCH($AU949,'2_IMPORTAR_EJECUCION'!$J$9:$J$1208,0)),0)-$AL949))</f>
        <v/>
      </c>
      <c r="AN949" s="32">
        <f>IF($A949="","",$AL949+$AM949)</f>
        <v/>
      </c>
      <c r="AO949" s="24">
        <f>IF($A949="","",IF(OR((IFERROR(INDEX('CAT_ACTIVIDADES'!$D$4:$D$26,MATCH($H949,'CAT_ACTIVIDADES'!$A$4:$A$26,0)),""))=0,(IFERROR(INDEX('CAT_ACTIVIDADES'!$D$4:$D$26,MATCH($H949,'CAT_ACTIVIDADES'!$A$4:$A$26,0)),""))=""),"SIN CLASIFICAR",IFERROR(INDEX('CAT_ACTIVIDADES'!$D$4:$D$26,MATCH($H949,'CAT_ACTIVIDADES'!$A$4:$A$26,0)),"")))</f>
        <v/>
      </c>
      <c r="AP949" s="4" t="n"/>
      <c r="AQ949" s="4" t="n"/>
      <c r="AR949" s="4" t="n"/>
      <c r="AS949" s="24">
        <f>IF($AR949="","",HYPERLINK(p_ruta_base_checklists&amp;$AR949,"abrir"))</f>
        <v/>
      </c>
      <c r="AT949" s="4" t="n"/>
      <c r="AU949" s="24">
        <f>IF($A949="","",$A949&amp;IF($B949="","0010",$B949))</f>
        <v/>
      </c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41" t="n"/>
      <c r="K950" s="5" t="n"/>
      <c r="L950" s="18" t="n"/>
      <c r="M950" s="24">
        <f>IF($A950="","",IFERROR(INDEX('AJUSTES'!$B$4:$B$303,MATCH($AU950,'AJUSTES'!$A$4:$A$303,0)),IF($K950="","",$K950)))</f>
        <v/>
      </c>
      <c r="N950" s="24">
        <f>IF($A950="","",IFERROR(INDEX('CAT_ESTADOS_ERP'!$B$4:$B$22,MATCH(IFERROR(INDEX('2_IMPORTAR_EJECUCION'!$C$9:$C$1208,MATCH($AU950,'2_IMPORTAR_EJECUCION'!$J$9:$J$1208,0)),""),'CAT_ESTADOS_ERP'!$A$4:$A$22,0)),"Pendiente"))</f>
        <v/>
      </c>
      <c r="O950" s="24">
        <f>IF($J950="","",YEAR($J950+4-WEEKDAY($J950,2))&amp;"-S"&amp;TEXT(_xlfn.ISOWEEKNUM($J950),"00"))</f>
        <v/>
      </c>
      <c r="P950" s="24">
        <f>IF($J950="","",YEAR($J950))</f>
        <v/>
      </c>
      <c r="Q950" s="24">
        <f>IF($J950="","",MONTH($J950))</f>
        <v/>
      </c>
      <c r="R950" s="24">
        <f>IF($J950="","",$P950&amp;"-"&amp;TEXT($Q950,"00"))</f>
        <v/>
      </c>
      <c r="S950" s="24">
        <f>IF($J950="","",INDEX(lista_dias,WEEKDAY($J950,2)))</f>
        <v/>
      </c>
      <c r="T950" s="24">
        <f>IF($J950="","",IFERROR(INDEX('CALENDARIO'!$C$15:$C$214,MATCH(TEXT($J950,"yyyy-mm-dd")&amp;"|"&amp;$Y950&amp;"|"&amp;$Z950,'CALENDARIO'!$G$15:$G$214,0)),IFERROR(INDEX('CALENDARIO'!$C$15:$C$214,MATCH(TEXT($J950,"yyyy-mm-dd")&amp;"|"&amp;$Y950&amp;"|",'CALENDARIO'!$G$15:$G$214,0)),IFERROR(INDEX('CALENDARIO'!$C$15:$C$214,MATCH(TEXT($J950,"yyyy-mm-dd")&amp;"||",'CALENDARIO'!$G$15:$G$214,0)),INDEX(patronHabil,WEEKDAY($J950,2))))))</f>
        <v/>
      </c>
      <c r="U950" s="24">
        <f>IF($I950="","",IFERROR(INDEX('CAT_TIPOS_OT'!$C$4:$C$23,MATCH($I950,'CAT_TIPOS_OT'!$A$4:$A$23,0)),"sin_clasificar"))</f>
        <v/>
      </c>
      <c r="V950" s="24">
        <f>IF($I950="","",IF(IFERROR(INDEX('CAT_TIPOS_OT'!$D$4:$D$23,MATCH($I950,'CAT_TIPOS_OT'!$A$4:$A$23,0)),"SIN CLASIFICAR")="","SIN CLASIFICAR",IFERROR(INDEX('CAT_TIPOS_OT'!$D$4:$D$23,MATCH($I950,'CAT_TIPOS_OT'!$A$4:$A$23,0)),"SIN CLASIFICAR")))</f>
        <v/>
      </c>
      <c r="W950" s="24">
        <f>IF($H950="","",IF(IFERROR(INDEX('CAT_ACTIVIDADES'!$F$4:$F$26,MATCH($H950,'CAT_ACTIVIDADES'!$A$4:$A$26,0)),"")=0,"",IFERROR(INDEX('CAT_ACTIVIDADES'!$F$4:$F$26,MATCH($H950,'CAT_ACTIVIDADES'!$A$4:$A$26,0)),"")))</f>
        <v/>
      </c>
      <c r="X950" s="24">
        <f>IF($F950="","",IFERROR(INDEX('CAT_CENTROS_COSTO'!$F$4:$F$28,MATCH($F950,'CAT_CENTROS_COSTO'!$A$4:$A$28,0)),"(sin catálogo)"))</f>
        <v/>
      </c>
      <c r="Y950" s="24">
        <f>IF($F950="","",IFERROR(INDEX('CAT_CENTROS_COSTO'!$D$4:$D$28,MATCH($F950,'CAT_CENTROS_COSTO'!$A$4:$A$28,0)),"(sin catálogo)"))</f>
        <v/>
      </c>
      <c r="Z950" s="24">
        <f>IF($F950="","",IF((IFERROR(INDEX('CAT_CENTROS_COSTO'!$E$4:$E$28,MATCH($F950,'CAT_CENTROS_COSTO'!$A$4:$A$28,0)),""))&lt;&gt;"",IFERROR(INDEX('CAT_CENTROS_COSTO'!$E$4:$E$28,MATCH($F950,'CAT_CENTROS_COSTO'!$A$4:$A$28,0)),""),$Y950))</f>
        <v/>
      </c>
      <c r="AA950" s="24">
        <f>IF($F950="","",IFERROR(INDEX('CAT_CENTROS_COSTO'!$G$4:$G$28,MATCH($F950,'CAT_CENTROS_COSTO'!$A$4:$A$28,0)),"(sin catálogo)"))</f>
        <v/>
      </c>
      <c r="AB950" s="24">
        <f>IF($G950="","",IFERROR(INDEX('CAT_PUESTOS'!$B$4:$B$23,MATCH($G950,'CAT_PUESTOS'!$A$4:$A$23,0)),"(sin catálogo)"))</f>
        <v/>
      </c>
      <c r="AC950" s="24">
        <f>IF($H950="","",IFERROR(INDEX('CAT_ACTIVIDADES'!$B$4:$B$26,MATCH($H950,'CAT_ACTIVIDADES'!$A$4:$A$26,0)),"(sin catálogo)"))</f>
        <v/>
      </c>
      <c r="AD950" s="26">
        <f>IF($J950="","",TODAY()-$J950)</f>
        <v/>
      </c>
      <c r="AE950" s="26">
        <f>IF($J950="","",IF($J950&lt;=TODAY(),COUNTIFS(cal_fechas,"&gt;="&amp;$J950,cal_fechas,"&lt;"&amp;TODAY(),cal_habil,"sí"),-COUNTIFS(cal_fechas,"&gt;="&amp;TODAY(),cal_fechas,"&lt;"&amp;$J950,cal_habil,"sí")))</f>
        <v/>
      </c>
      <c r="AF950" s="24">
        <f>IF($AE950="","",IF($AE950&lt;0,"FUTURO",IF($AE950&gt;p_dias_backlog_max,"BACKLOG","MES CORRIENTE")))</f>
        <v/>
      </c>
      <c r="AG950" s="24">
        <f>IF($AE950="",FALSE,AND($AE950&gt;p_dias_backlog_min,$AE950&lt;=p_dias_backlog_max))</f>
        <v/>
      </c>
      <c r="AH950" s="4" t="n"/>
      <c r="AI950" s="24">
        <f>IF($AH950="","",IF((IFERROR(INDEX('ASIGNACIONES'!$J$4:$J$451,MATCH($O950&amp;"|"&amp;$S950&amp;"|"&amp;$AH950,'ASIGNACIONES'!$N$4:$N$451,0)),""))=0,"",IFERROR(INDEX('ASIGNACIONES'!$J$4:$J$451,MATCH($O950&amp;"|"&amp;$S950&amp;"|"&amp;$AH950,'ASIGNACIONES'!$N$4:$N$451,0)),"")))</f>
        <v/>
      </c>
      <c r="AJ950" s="42">
        <f>IF($AH950="","",SUMIFS('ORDENES'!$M$4:$M$1203,'ORDENES'!$AH$4:$AH$1203,$AH950,'ORDENES'!$O$4:$O$1203,$O950,'ORDENES'!$S$4:$S$1203,$S950))</f>
        <v/>
      </c>
      <c r="AK950" s="42">
        <f>IF($AJ950="","",p_factor_productividad*IFERROR(INDEX('ASIGNACIONES'!$M$4:$M$451,MATCH($O950&amp;"|"&amp;$S950&amp;"|"&amp;$AH950,'ASIGNACIONES'!$N$4:$N$451,0)),0)-$AJ950)</f>
        <v/>
      </c>
      <c r="AL950" s="32">
        <f>IF($A950="","",IFERROR(INDEX('2_IMPORTAR_EJECUCION'!$F$9:$F$1208,MATCH($AU950,'2_IMPORTAR_EJECUCION'!$J$9:$J$1208,0)),0))</f>
        <v/>
      </c>
      <c r="AM950" s="32">
        <f>IF($A950="","",MAX(0,IFERROR(INDEX('2_IMPORTAR_EJECUCION'!$H$9:$H$1208,MATCH($AU950,'2_IMPORTAR_EJECUCION'!$J$9:$J$1208,0)),0)-$AL950))</f>
        <v/>
      </c>
      <c r="AN950" s="32">
        <f>IF($A950="","",$AL950+$AM950)</f>
        <v/>
      </c>
      <c r="AO950" s="24">
        <f>IF($A950="","",IF(OR((IFERROR(INDEX('CAT_ACTIVIDADES'!$D$4:$D$26,MATCH($H950,'CAT_ACTIVIDADES'!$A$4:$A$26,0)),""))=0,(IFERROR(INDEX('CAT_ACTIVIDADES'!$D$4:$D$26,MATCH($H950,'CAT_ACTIVIDADES'!$A$4:$A$26,0)),""))=""),"SIN CLASIFICAR",IFERROR(INDEX('CAT_ACTIVIDADES'!$D$4:$D$26,MATCH($H950,'CAT_ACTIVIDADES'!$A$4:$A$26,0)),"")))</f>
        <v/>
      </c>
      <c r="AP950" s="4" t="n"/>
      <c r="AQ950" s="4" t="n"/>
      <c r="AR950" s="4" t="n"/>
      <c r="AS950" s="24">
        <f>IF($AR950="","",HYPERLINK(p_ruta_base_checklists&amp;$AR950,"abrir"))</f>
        <v/>
      </c>
      <c r="AT950" s="4" t="n"/>
      <c r="AU950" s="24">
        <f>IF($A950="","",$A950&amp;IF($B950="","0010",$B950))</f>
        <v/>
      </c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41" t="n"/>
      <c r="K951" s="5" t="n"/>
      <c r="L951" s="18" t="n"/>
      <c r="M951" s="24">
        <f>IF($A951="","",IFERROR(INDEX('AJUSTES'!$B$4:$B$303,MATCH($AU951,'AJUSTES'!$A$4:$A$303,0)),IF($K951="","",$K951)))</f>
        <v/>
      </c>
      <c r="N951" s="24">
        <f>IF($A951="","",IFERROR(INDEX('CAT_ESTADOS_ERP'!$B$4:$B$22,MATCH(IFERROR(INDEX('2_IMPORTAR_EJECUCION'!$C$9:$C$1208,MATCH($AU951,'2_IMPORTAR_EJECUCION'!$J$9:$J$1208,0)),""),'CAT_ESTADOS_ERP'!$A$4:$A$22,0)),"Pendiente"))</f>
        <v/>
      </c>
      <c r="O951" s="24">
        <f>IF($J951="","",YEAR($J951+4-WEEKDAY($J951,2))&amp;"-S"&amp;TEXT(_xlfn.ISOWEEKNUM($J951),"00"))</f>
        <v/>
      </c>
      <c r="P951" s="24">
        <f>IF($J951="","",YEAR($J951))</f>
        <v/>
      </c>
      <c r="Q951" s="24">
        <f>IF($J951="","",MONTH($J951))</f>
        <v/>
      </c>
      <c r="R951" s="24">
        <f>IF($J951="","",$P951&amp;"-"&amp;TEXT($Q951,"00"))</f>
        <v/>
      </c>
      <c r="S951" s="24">
        <f>IF($J951="","",INDEX(lista_dias,WEEKDAY($J951,2)))</f>
        <v/>
      </c>
      <c r="T951" s="24">
        <f>IF($J951="","",IFERROR(INDEX('CALENDARIO'!$C$15:$C$214,MATCH(TEXT($J951,"yyyy-mm-dd")&amp;"|"&amp;$Y951&amp;"|"&amp;$Z951,'CALENDARIO'!$G$15:$G$214,0)),IFERROR(INDEX('CALENDARIO'!$C$15:$C$214,MATCH(TEXT($J951,"yyyy-mm-dd")&amp;"|"&amp;$Y951&amp;"|",'CALENDARIO'!$G$15:$G$214,0)),IFERROR(INDEX('CALENDARIO'!$C$15:$C$214,MATCH(TEXT($J951,"yyyy-mm-dd")&amp;"||",'CALENDARIO'!$G$15:$G$214,0)),INDEX(patronHabil,WEEKDAY($J951,2))))))</f>
        <v/>
      </c>
      <c r="U951" s="24">
        <f>IF($I951="","",IFERROR(INDEX('CAT_TIPOS_OT'!$C$4:$C$23,MATCH($I951,'CAT_TIPOS_OT'!$A$4:$A$23,0)),"sin_clasificar"))</f>
        <v/>
      </c>
      <c r="V951" s="24">
        <f>IF($I951="","",IF(IFERROR(INDEX('CAT_TIPOS_OT'!$D$4:$D$23,MATCH($I951,'CAT_TIPOS_OT'!$A$4:$A$23,0)),"SIN CLASIFICAR")="","SIN CLASIFICAR",IFERROR(INDEX('CAT_TIPOS_OT'!$D$4:$D$23,MATCH($I951,'CAT_TIPOS_OT'!$A$4:$A$23,0)),"SIN CLASIFICAR")))</f>
        <v/>
      </c>
      <c r="W951" s="24">
        <f>IF($H951="","",IF(IFERROR(INDEX('CAT_ACTIVIDADES'!$F$4:$F$26,MATCH($H951,'CAT_ACTIVIDADES'!$A$4:$A$26,0)),"")=0,"",IFERROR(INDEX('CAT_ACTIVIDADES'!$F$4:$F$26,MATCH($H951,'CAT_ACTIVIDADES'!$A$4:$A$26,0)),"")))</f>
        <v/>
      </c>
      <c r="X951" s="24">
        <f>IF($F951="","",IFERROR(INDEX('CAT_CENTROS_COSTO'!$F$4:$F$28,MATCH($F951,'CAT_CENTROS_COSTO'!$A$4:$A$28,0)),"(sin catálogo)"))</f>
        <v/>
      </c>
      <c r="Y951" s="24">
        <f>IF($F951="","",IFERROR(INDEX('CAT_CENTROS_COSTO'!$D$4:$D$28,MATCH($F951,'CAT_CENTROS_COSTO'!$A$4:$A$28,0)),"(sin catálogo)"))</f>
        <v/>
      </c>
      <c r="Z951" s="24">
        <f>IF($F951="","",IF((IFERROR(INDEX('CAT_CENTROS_COSTO'!$E$4:$E$28,MATCH($F951,'CAT_CENTROS_COSTO'!$A$4:$A$28,0)),""))&lt;&gt;"",IFERROR(INDEX('CAT_CENTROS_COSTO'!$E$4:$E$28,MATCH($F951,'CAT_CENTROS_COSTO'!$A$4:$A$28,0)),""),$Y951))</f>
        <v/>
      </c>
      <c r="AA951" s="24">
        <f>IF($F951="","",IFERROR(INDEX('CAT_CENTROS_COSTO'!$G$4:$G$28,MATCH($F951,'CAT_CENTROS_COSTO'!$A$4:$A$28,0)),"(sin catálogo)"))</f>
        <v/>
      </c>
      <c r="AB951" s="24">
        <f>IF($G951="","",IFERROR(INDEX('CAT_PUESTOS'!$B$4:$B$23,MATCH($G951,'CAT_PUESTOS'!$A$4:$A$23,0)),"(sin catálogo)"))</f>
        <v/>
      </c>
      <c r="AC951" s="24">
        <f>IF($H951="","",IFERROR(INDEX('CAT_ACTIVIDADES'!$B$4:$B$26,MATCH($H951,'CAT_ACTIVIDADES'!$A$4:$A$26,0)),"(sin catálogo)"))</f>
        <v/>
      </c>
      <c r="AD951" s="26">
        <f>IF($J951="","",TODAY()-$J951)</f>
        <v/>
      </c>
      <c r="AE951" s="26">
        <f>IF($J951="","",IF($J951&lt;=TODAY(),COUNTIFS(cal_fechas,"&gt;="&amp;$J951,cal_fechas,"&lt;"&amp;TODAY(),cal_habil,"sí"),-COUNTIFS(cal_fechas,"&gt;="&amp;TODAY(),cal_fechas,"&lt;"&amp;$J951,cal_habil,"sí")))</f>
        <v/>
      </c>
      <c r="AF951" s="24">
        <f>IF($AE951="","",IF($AE951&lt;0,"FUTURO",IF($AE951&gt;p_dias_backlog_max,"BACKLOG","MES CORRIENTE")))</f>
        <v/>
      </c>
      <c r="AG951" s="24">
        <f>IF($AE951="",FALSE,AND($AE951&gt;p_dias_backlog_min,$AE951&lt;=p_dias_backlog_max))</f>
        <v/>
      </c>
      <c r="AH951" s="4" t="n"/>
      <c r="AI951" s="24">
        <f>IF($AH951="","",IF((IFERROR(INDEX('ASIGNACIONES'!$J$4:$J$451,MATCH($O951&amp;"|"&amp;$S951&amp;"|"&amp;$AH951,'ASIGNACIONES'!$N$4:$N$451,0)),""))=0,"",IFERROR(INDEX('ASIGNACIONES'!$J$4:$J$451,MATCH($O951&amp;"|"&amp;$S951&amp;"|"&amp;$AH951,'ASIGNACIONES'!$N$4:$N$451,0)),"")))</f>
        <v/>
      </c>
      <c r="AJ951" s="42">
        <f>IF($AH951="","",SUMIFS('ORDENES'!$M$4:$M$1203,'ORDENES'!$AH$4:$AH$1203,$AH951,'ORDENES'!$O$4:$O$1203,$O951,'ORDENES'!$S$4:$S$1203,$S951))</f>
        <v/>
      </c>
      <c r="AK951" s="42">
        <f>IF($AJ951="","",p_factor_productividad*IFERROR(INDEX('ASIGNACIONES'!$M$4:$M$451,MATCH($O951&amp;"|"&amp;$S951&amp;"|"&amp;$AH951,'ASIGNACIONES'!$N$4:$N$451,0)),0)-$AJ951)</f>
        <v/>
      </c>
      <c r="AL951" s="32">
        <f>IF($A951="","",IFERROR(INDEX('2_IMPORTAR_EJECUCION'!$F$9:$F$1208,MATCH($AU951,'2_IMPORTAR_EJECUCION'!$J$9:$J$1208,0)),0))</f>
        <v/>
      </c>
      <c r="AM951" s="32">
        <f>IF($A951="","",MAX(0,IFERROR(INDEX('2_IMPORTAR_EJECUCION'!$H$9:$H$1208,MATCH($AU951,'2_IMPORTAR_EJECUCION'!$J$9:$J$1208,0)),0)-$AL951))</f>
        <v/>
      </c>
      <c r="AN951" s="32">
        <f>IF($A951="","",$AL951+$AM951)</f>
        <v/>
      </c>
      <c r="AO951" s="24">
        <f>IF($A951="","",IF(OR((IFERROR(INDEX('CAT_ACTIVIDADES'!$D$4:$D$26,MATCH($H951,'CAT_ACTIVIDADES'!$A$4:$A$26,0)),""))=0,(IFERROR(INDEX('CAT_ACTIVIDADES'!$D$4:$D$26,MATCH($H951,'CAT_ACTIVIDADES'!$A$4:$A$26,0)),""))=""),"SIN CLASIFICAR",IFERROR(INDEX('CAT_ACTIVIDADES'!$D$4:$D$26,MATCH($H951,'CAT_ACTIVIDADES'!$A$4:$A$26,0)),"")))</f>
        <v/>
      </c>
      <c r="AP951" s="4" t="n"/>
      <c r="AQ951" s="4" t="n"/>
      <c r="AR951" s="4" t="n"/>
      <c r="AS951" s="24">
        <f>IF($AR951="","",HYPERLINK(p_ruta_base_checklists&amp;$AR951,"abrir"))</f>
        <v/>
      </c>
      <c r="AT951" s="4" t="n"/>
      <c r="AU951" s="24">
        <f>IF($A951="","",$A951&amp;IF($B951="","0010",$B951))</f>
        <v/>
      </c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41" t="n"/>
      <c r="K952" s="5" t="n"/>
      <c r="L952" s="18" t="n"/>
      <c r="M952" s="24">
        <f>IF($A952="","",IFERROR(INDEX('AJUSTES'!$B$4:$B$303,MATCH($AU952,'AJUSTES'!$A$4:$A$303,0)),IF($K952="","",$K952)))</f>
        <v/>
      </c>
      <c r="N952" s="24">
        <f>IF($A952="","",IFERROR(INDEX('CAT_ESTADOS_ERP'!$B$4:$B$22,MATCH(IFERROR(INDEX('2_IMPORTAR_EJECUCION'!$C$9:$C$1208,MATCH($AU952,'2_IMPORTAR_EJECUCION'!$J$9:$J$1208,0)),""),'CAT_ESTADOS_ERP'!$A$4:$A$22,0)),"Pendiente"))</f>
        <v/>
      </c>
      <c r="O952" s="24">
        <f>IF($J952="","",YEAR($J952+4-WEEKDAY($J952,2))&amp;"-S"&amp;TEXT(_xlfn.ISOWEEKNUM($J952),"00"))</f>
        <v/>
      </c>
      <c r="P952" s="24">
        <f>IF($J952="","",YEAR($J952))</f>
        <v/>
      </c>
      <c r="Q952" s="24">
        <f>IF($J952="","",MONTH($J952))</f>
        <v/>
      </c>
      <c r="R952" s="24">
        <f>IF($J952="","",$P952&amp;"-"&amp;TEXT($Q952,"00"))</f>
        <v/>
      </c>
      <c r="S952" s="24">
        <f>IF($J952="","",INDEX(lista_dias,WEEKDAY($J952,2)))</f>
        <v/>
      </c>
      <c r="T952" s="24">
        <f>IF($J952="","",IFERROR(INDEX('CALENDARIO'!$C$15:$C$214,MATCH(TEXT($J952,"yyyy-mm-dd")&amp;"|"&amp;$Y952&amp;"|"&amp;$Z952,'CALENDARIO'!$G$15:$G$214,0)),IFERROR(INDEX('CALENDARIO'!$C$15:$C$214,MATCH(TEXT($J952,"yyyy-mm-dd")&amp;"|"&amp;$Y952&amp;"|",'CALENDARIO'!$G$15:$G$214,0)),IFERROR(INDEX('CALENDARIO'!$C$15:$C$214,MATCH(TEXT($J952,"yyyy-mm-dd")&amp;"||",'CALENDARIO'!$G$15:$G$214,0)),INDEX(patronHabil,WEEKDAY($J952,2))))))</f>
        <v/>
      </c>
      <c r="U952" s="24">
        <f>IF($I952="","",IFERROR(INDEX('CAT_TIPOS_OT'!$C$4:$C$23,MATCH($I952,'CAT_TIPOS_OT'!$A$4:$A$23,0)),"sin_clasificar"))</f>
        <v/>
      </c>
      <c r="V952" s="24">
        <f>IF($I952="","",IF(IFERROR(INDEX('CAT_TIPOS_OT'!$D$4:$D$23,MATCH($I952,'CAT_TIPOS_OT'!$A$4:$A$23,0)),"SIN CLASIFICAR")="","SIN CLASIFICAR",IFERROR(INDEX('CAT_TIPOS_OT'!$D$4:$D$23,MATCH($I952,'CAT_TIPOS_OT'!$A$4:$A$23,0)),"SIN CLASIFICAR")))</f>
        <v/>
      </c>
      <c r="W952" s="24">
        <f>IF($H952="","",IF(IFERROR(INDEX('CAT_ACTIVIDADES'!$F$4:$F$26,MATCH($H952,'CAT_ACTIVIDADES'!$A$4:$A$26,0)),"")=0,"",IFERROR(INDEX('CAT_ACTIVIDADES'!$F$4:$F$26,MATCH($H952,'CAT_ACTIVIDADES'!$A$4:$A$26,0)),"")))</f>
        <v/>
      </c>
      <c r="X952" s="24">
        <f>IF($F952="","",IFERROR(INDEX('CAT_CENTROS_COSTO'!$F$4:$F$28,MATCH($F952,'CAT_CENTROS_COSTO'!$A$4:$A$28,0)),"(sin catálogo)"))</f>
        <v/>
      </c>
      <c r="Y952" s="24">
        <f>IF($F952="","",IFERROR(INDEX('CAT_CENTROS_COSTO'!$D$4:$D$28,MATCH($F952,'CAT_CENTROS_COSTO'!$A$4:$A$28,0)),"(sin catálogo)"))</f>
        <v/>
      </c>
      <c r="Z952" s="24">
        <f>IF($F952="","",IF((IFERROR(INDEX('CAT_CENTROS_COSTO'!$E$4:$E$28,MATCH($F952,'CAT_CENTROS_COSTO'!$A$4:$A$28,0)),""))&lt;&gt;"",IFERROR(INDEX('CAT_CENTROS_COSTO'!$E$4:$E$28,MATCH($F952,'CAT_CENTROS_COSTO'!$A$4:$A$28,0)),""),$Y952))</f>
        <v/>
      </c>
      <c r="AA952" s="24">
        <f>IF($F952="","",IFERROR(INDEX('CAT_CENTROS_COSTO'!$G$4:$G$28,MATCH($F952,'CAT_CENTROS_COSTO'!$A$4:$A$28,0)),"(sin catálogo)"))</f>
        <v/>
      </c>
      <c r="AB952" s="24">
        <f>IF($G952="","",IFERROR(INDEX('CAT_PUESTOS'!$B$4:$B$23,MATCH($G952,'CAT_PUESTOS'!$A$4:$A$23,0)),"(sin catálogo)"))</f>
        <v/>
      </c>
      <c r="AC952" s="24">
        <f>IF($H952="","",IFERROR(INDEX('CAT_ACTIVIDADES'!$B$4:$B$26,MATCH($H952,'CAT_ACTIVIDADES'!$A$4:$A$26,0)),"(sin catálogo)"))</f>
        <v/>
      </c>
      <c r="AD952" s="26">
        <f>IF($J952="","",TODAY()-$J952)</f>
        <v/>
      </c>
      <c r="AE952" s="26">
        <f>IF($J952="","",IF($J952&lt;=TODAY(),COUNTIFS(cal_fechas,"&gt;="&amp;$J952,cal_fechas,"&lt;"&amp;TODAY(),cal_habil,"sí"),-COUNTIFS(cal_fechas,"&gt;="&amp;TODAY(),cal_fechas,"&lt;"&amp;$J952,cal_habil,"sí")))</f>
        <v/>
      </c>
      <c r="AF952" s="24">
        <f>IF($AE952="","",IF($AE952&lt;0,"FUTURO",IF($AE952&gt;p_dias_backlog_max,"BACKLOG","MES CORRIENTE")))</f>
        <v/>
      </c>
      <c r="AG952" s="24">
        <f>IF($AE952="",FALSE,AND($AE952&gt;p_dias_backlog_min,$AE952&lt;=p_dias_backlog_max))</f>
        <v/>
      </c>
      <c r="AH952" s="4" t="n"/>
      <c r="AI952" s="24">
        <f>IF($AH952="","",IF((IFERROR(INDEX('ASIGNACIONES'!$J$4:$J$451,MATCH($O952&amp;"|"&amp;$S952&amp;"|"&amp;$AH952,'ASIGNACIONES'!$N$4:$N$451,0)),""))=0,"",IFERROR(INDEX('ASIGNACIONES'!$J$4:$J$451,MATCH($O952&amp;"|"&amp;$S952&amp;"|"&amp;$AH952,'ASIGNACIONES'!$N$4:$N$451,0)),"")))</f>
        <v/>
      </c>
      <c r="AJ952" s="42">
        <f>IF($AH952="","",SUMIFS('ORDENES'!$M$4:$M$1203,'ORDENES'!$AH$4:$AH$1203,$AH952,'ORDENES'!$O$4:$O$1203,$O952,'ORDENES'!$S$4:$S$1203,$S952))</f>
        <v/>
      </c>
      <c r="AK952" s="42">
        <f>IF($AJ952="","",p_factor_productividad*IFERROR(INDEX('ASIGNACIONES'!$M$4:$M$451,MATCH($O952&amp;"|"&amp;$S952&amp;"|"&amp;$AH952,'ASIGNACIONES'!$N$4:$N$451,0)),0)-$AJ952)</f>
        <v/>
      </c>
      <c r="AL952" s="32">
        <f>IF($A952="","",IFERROR(INDEX('2_IMPORTAR_EJECUCION'!$F$9:$F$1208,MATCH($AU952,'2_IMPORTAR_EJECUCION'!$J$9:$J$1208,0)),0))</f>
        <v/>
      </c>
      <c r="AM952" s="32">
        <f>IF($A952="","",MAX(0,IFERROR(INDEX('2_IMPORTAR_EJECUCION'!$H$9:$H$1208,MATCH($AU952,'2_IMPORTAR_EJECUCION'!$J$9:$J$1208,0)),0)-$AL952))</f>
        <v/>
      </c>
      <c r="AN952" s="32">
        <f>IF($A952="","",$AL952+$AM952)</f>
        <v/>
      </c>
      <c r="AO952" s="24">
        <f>IF($A952="","",IF(OR((IFERROR(INDEX('CAT_ACTIVIDADES'!$D$4:$D$26,MATCH($H952,'CAT_ACTIVIDADES'!$A$4:$A$26,0)),""))=0,(IFERROR(INDEX('CAT_ACTIVIDADES'!$D$4:$D$26,MATCH($H952,'CAT_ACTIVIDADES'!$A$4:$A$26,0)),""))=""),"SIN CLASIFICAR",IFERROR(INDEX('CAT_ACTIVIDADES'!$D$4:$D$26,MATCH($H952,'CAT_ACTIVIDADES'!$A$4:$A$26,0)),"")))</f>
        <v/>
      </c>
      <c r="AP952" s="4" t="n"/>
      <c r="AQ952" s="4" t="n"/>
      <c r="AR952" s="4" t="n"/>
      <c r="AS952" s="24">
        <f>IF($AR952="","",HYPERLINK(p_ruta_base_checklists&amp;$AR952,"abrir"))</f>
        <v/>
      </c>
      <c r="AT952" s="4" t="n"/>
      <c r="AU952" s="24">
        <f>IF($A952="","",$A952&amp;IF($B952="","0010",$B952))</f>
        <v/>
      </c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41" t="n"/>
      <c r="K953" s="5" t="n"/>
      <c r="L953" s="18" t="n"/>
      <c r="M953" s="24">
        <f>IF($A953="","",IFERROR(INDEX('AJUSTES'!$B$4:$B$303,MATCH($AU953,'AJUSTES'!$A$4:$A$303,0)),IF($K953="","",$K953)))</f>
        <v/>
      </c>
      <c r="N953" s="24">
        <f>IF($A953="","",IFERROR(INDEX('CAT_ESTADOS_ERP'!$B$4:$B$22,MATCH(IFERROR(INDEX('2_IMPORTAR_EJECUCION'!$C$9:$C$1208,MATCH($AU953,'2_IMPORTAR_EJECUCION'!$J$9:$J$1208,0)),""),'CAT_ESTADOS_ERP'!$A$4:$A$22,0)),"Pendiente"))</f>
        <v/>
      </c>
      <c r="O953" s="24">
        <f>IF($J953="","",YEAR($J953+4-WEEKDAY($J953,2))&amp;"-S"&amp;TEXT(_xlfn.ISOWEEKNUM($J953),"00"))</f>
        <v/>
      </c>
      <c r="P953" s="24">
        <f>IF($J953="","",YEAR($J953))</f>
        <v/>
      </c>
      <c r="Q953" s="24">
        <f>IF($J953="","",MONTH($J953))</f>
        <v/>
      </c>
      <c r="R953" s="24">
        <f>IF($J953="","",$P953&amp;"-"&amp;TEXT($Q953,"00"))</f>
        <v/>
      </c>
      <c r="S953" s="24">
        <f>IF($J953="","",INDEX(lista_dias,WEEKDAY($J953,2)))</f>
        <v/>
      </c>
      <c r="T953" s="24">
        <f>IF($J953="","",IFERROR(INDEX('CALENDARIO'!$C$15:$C$214,MATCH(TEXT($J953,"yyyy-mm-dd")&amp;"|"&amp;$Y953&amp;"|"&amp;$Z953,'CALENDARIO'!$G$15:$G$214,0)),IFERROR(INDEX('CALENDARIO'!$C$15:$C$214,MATCH(TEXT($J953,"yyyy-mm-dd")&amp;"|"&amp;$Y953&amp;"|",'CALENDARIO'!$G$15:$G$214,0)),IFERROR(INDEX('CALENDARIO'!$C$15:$C$214,MATCH(TEXT($J953,"yyyy-mm-dd")&amp;"||",'CALENDARIO'!$G$15:$G$214,0)),INDEX(patronHabil,WEEKDAY($J953,2))))))</f>
        <v/>
      </c>
      <c r="U953" s="24">
        <f>IF($I953="","",IFERROR(INDEX('CAT_TIPOS_OT'!$C$4:$C$23,MATCH($I953,'CAT_TIPOS_OT'!$A$4:$A$23,0)),"sin_clasificar"))</f>
        <v/>
      </c>
      <c r="V953" s="24">
        <f>IF($I953="","",IF(IFERROR(INDEX('CAT_TIPOS_OT'!$D$4:$D$23,MATCH($I953,'CAT_TIPOS_OT'!$A$4:$A$23,0)),"SIN CLASIFICAR")="","SIN CLASIFICAR",IFERROR(INDEX('CAT_TIPOS_OT'!$D$4:$D$23,MATCH($I953,'CAT_TIPOS_OT'!$A$4:$A$23,0)),"SIN CLASIFICAR")))</f>
        <v/>
      </c>
      <c r="W953" s="24">
        <f>IF($H953="","",IF(IFERROR(INDEX('CAT_ACTIVIDADES'!$F$4:$F$26,MATCH($H953,'CAT_ACTIVIDADES'!$A$4:$A$26,0)),"")=0,"",IFERROR(INDEX('CAT_ACTIVIDADES'!$F$4:$F$26,MATCH($H953,'CAT_ACTIVIDADES'!$A$4:$A$26,0)),"")))</f>
        <v/>
      </c>
      <c r="X953" s="24">
        <f>IF($F953="","",IFERROR(INDEX('CAT_CENTROS_COSTO'!$F$4:$F$28,MATCH($F953,'CAT_CENTROS_COSTO'!$A$4:$A$28,0)),"(sin catálogo)"))</f>
        <v/>
      </c>
      <c r="Y953" s="24">
        <f>IF($F953="","",IFERROR(INDEX('CAT_CENTROS_COSTO'!$D$4:$D$28,MATCH($F953,'CAT_CENTROS_COSTO'!$A$4:$A$28,0)),"(sin catálogo)"))</f>
        <v/>
      </c>
      <c r="Z953" s="24">
        <f>IF($F953="","",IF((IFERROR(INDEX('CAT_CENTROS_COSTO'!$E$4:$E$28,MATCH($F953,'CAT_CENTROS_COSTO'!$A$4:$A$28,0)),""))&lt;&gt;"",IFERROR(INDEX('CAT_CENTROS_COSTO'!$E$4:$E$28,MATCH($F953,'CAT_CENTROS_COSTO'!$A$4:$A$28,0)),""),$Y953))</f>
        <v/>
      </c>
      <c r="AA953" s="24">
        <f>IF($F953="","",IFERROR(INDEX('CAT_CENTROS_COSTO'!$G$4:$G$28,MATCH($F953,'CAT_CENTROS_COSTO'!$A$4:$A$28,0)),"(sin catálogo)"))</f>
        <v/>
      </c>
      <c r="AB953" s="24">
        <f>IF($G953="","",IFERROR(INDEX('CAT_PUESTOS'!$B$4:$B$23,MATCH($G953,'CAT_PUESTOS'!$A$4:$A$23,0)),"(sin catálogo)"))</f>
        <v/>
      </c>
      <c r="AC953" s="24">
        <f>IF($H953="","",IFERROR(INDEX('CAT_ACTIVIDADES'!$B$4:$B$26,MATCH($H953,'CAT_ACTIVIDADES'!$A$4:$A$26,0)),"(sin catálogo)"))</f>
        <v/>
      </c>
      <c r="AD953" s="26">
        <f>IF($J953="","",TODAY()-$J953)</f>
        <v/>
      </c>
      <c r="AE953" s="26">
        <f>IF($J953="","",IF($J953&lt;=TODAY(),COUNTIFS(cal_fechas,"&gt;="&amp;$J953,cal_fechas,"&lt;"&amp;TODAY(),cal_habil,"sí"),-COUNTIFS(cal_fechas,"&gt;="&amp;TODAY(),cal_fechas,"&lt;"&amp;$J953,cal_habil,"sí")))</f>
        <v/>
      </c>
      <c r="AF953" s="24">
        <f>IF($AE953="","",IF($AE953&lt;0,"FUTURO",IF($AE953&gt;p_dias_backlog_max,"BACKLOG","MES CORRIENTE")))</f>
        <v/>
      </c>
      <c r="AG953" s="24">
        <f>IF($AE953="",FALSE,AND($AE953&gt;p_dias_backlog_min,$AE953&lt;=p_dias_backlog_max))</f>
        <v/>
      </c>
      <c r="AH953" s="4" t="n"/>
      <c r="AI953" s="24">
        <f>IF($AH953="","",IF((IFERROR(INDEX('ASIGNACIONES'!$J$4:$J$451,MATCH($O953&amp;"|"&amp;$S953&amp;"|"&amp;$AH953,'ASIGNACIONES'!$N$4:$N$451,0)),""))=0,"",IFERROR(INDEX('ASIGNACIONES'!$J$4:$J$451,MATCH($O953&amp;"|"&amp;$S953&amp;"|"&amp;$AH953,'ASIGNACIONES'!$N$4:$N$451,0)),"")))</f>
        <v/>
      </c>
      <c r="AJ953" s="42">
        <f>IF($AH953="","",SUMIFS('ORDENES'!$M$4:$M$1203,'ORDENES'!$AH$4:$AH$1203,$AH953,'ORDENES'!$O$4:$O$1203,$O953,'ORDENES'!$S$4:$S$1203,$S953))</f>
        <v/>
      </c>
      <c r="AK953" s="42">
        <f>IF($AJ953="","",p_factor_productividad*IFERROR(INDEX('ASIGNACIONES'!$M$4:$M$451,MATCH($O953&amp;"|"&amp;$S953&amp;"|"&amp;$AH953,'ASIGNACIONES'!$N$4:$N$451,0)),0)-$AJ953)</f>
        <v/>
      </c>
      <c r="AL953" s="32">
        <f>IF($A953="","",IFERROR(INDEX('2_IMPORTAR_EJECUCION'!$F$9:$F$1208,MATCH($AU953,'2_IMPORTAR_EJECUCION'!$J$9:$J$1208,0)),0))</f>
        <v/>
      </c>
      <c r="AM953" s="32">
        <f>IF($A953="","",MAX(0,IFERROR(INDEX('2_IMPORTAR_EJECUCION'!$H$9:$H$1208,MATCH($AU953,'2_IMPORTAR_EJECUCION'!$J$9:$J$1208,0)),0)-$AL953))</f>
        <v/>
      </c>
      <c r="AN953" s="32">
        <f>IF($A953="","",$AL953+$AM953)</f>
        <v/>
      </c>
      <c r="AO953" s="24">
        <f>IF($A953="","",IF(OR((IFERROR(INDEX('CAT_ACTIVIDADES'!$D$4:$D$26,MATCH($H953,'CAT_ACTIVIDADES'!$A$4:$A$26,0)),""))=0,(IFERROR(INDEX('CAT_ACTIVIDADES'!$D$4:$D$26,MATCH($H953,'CAT_ACTIVIDADES'!$A$4:$A$26,0)),""))=""),"SIN CLASIFICAR",IFERROR(INDEX('CAT_ACTIVIDADES'!$D$4:$D$26,MATCH($H953,'CAT_ACTIVIDADES'!$A$4:$A$26,0)),"")))</f>
        <v/>
      </c>
      <c r="AP953" s="4" t="n"/>
      <c r="AQ953" s="4" t="n"/>
      <c r="AR953" s="4" t="n"/>
      <c r="AS953" s="24">
        <f>IF($AR953="","",HYPERLINK(p_ruta_base_checklists&amp;$AR953,"abrir"))</f>
        <v/>
      </c>
      <c r="AT953" s="4" t="n"/>
      <c r="AU953" s="24">
        <f>IF($A953="","",$A953&amp;IF($B953="","0010",$B953))</f>
        <v/>
      </c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41" t="n"/>
      <c r="K954" s="5" t="n"/>
      <c r="L954" s="18" t="n"/>
      <c r="M954" s="24">
        <f>IF($A954="","",IFERROR(INDEX('AJUSTES'!$B$4:$B$303,MATCH($AU954,'AJUSTES'!$A$4:$A$303,0)),IF($K954="","",$K954)))</f>
        <v/>
      </c>
      <c r="N954" s="24">
        <f>IF($A954="","",IFERROR(INDEX('CAT_ESTADOS_ERP'!$B$4:$B$22,MATCH(IFERROR(INDEX('2_IMPORTAR_EJECUCION'!$C$9:$C$1208,MATCH($AU954,'2_IMPORTAR_EJECUCION'!$J$9:$J$1208,0)),""),'CAT_ESTADOS_ERP'!$A$4:$A$22,0)),"Pendiente"))</f>
        <v/>
      </c>
      <c r="O954" s="24">
        <f>IF($J954="","",YEAR($J954+4-WEEKDAY($J954,2))&amp;"-S"&amp;TEXT(_xlfn.ISOWEEKNUM($J954),"00"))</f>
        <v/>
      </c>
      <c r="P954" s="24">
        <f>IF($J954="","",YEAR($J954))</f>
        <v/>
      </c>
      <c r="Q954" s="24">
        <f>IF($J954="","",MONTH($J954))</f>
        <v/>
      </c>
      <c r="R954" s="24">
        <f>IF($J954="","",$P954&amp;"-"&amp;TEXT($Q954,"00"))</f>
        <v/>
      </c>
      <c r="S954" s="24">
        <f>IF($J954="","",INDEX(lista_dias,WEEKDAY($J954,2)))</f>
        <v/>
      </c>
      <c r="T954" s="24">
        <f>IF($J954="","",IFERROR(INDEX('CALENDARIO'!$C$15:$C$214,MATCH(TEXT($J954,"yyyy-mm-dd")&amp;"|"&amp;$Y954&amp;"|"&amp;$Z954,'CALENDARIO'!$G$15:$G$214,0)),IFERROR(INDEX('CALENDARIO'!$C$15:$C$214,MATCH(TEXT($J954,"yyyy-mm-dd")&amp;"|"&amp;$Y954&amp;"|",'CALENDARIO'!$G$15:$G$214,0)),IFERROR(INDEX('CALENDARIO'!$C$15:$C$214,MATCH(TEXT($J954,"yyyy-mm-dd")&amp;"||",'CALENDARIO'!$G$15:$G$214,0)),INDEX(patronHabil,WEEKDAY($J954,2))))))</f>
        <v/>
      </c>
      <c r="U954" s="24">
        <f>IF($I954="","",IFERROR(INDEX('CAT_TIPOS_OT'!$C$4:$C$23,MATCH($I954,'CAT_TIPOS_OT'!$A$4:$A$23,0)),"sin_clasificar"))</f>
        <v/>
      </c>
      <c r="V954" s="24">
        <f>IF($I954="","",IF(IFERROR(INDEX('CAT_TIPOS_OT'!$D$4:$D$23,MATCH($I954,'CAT_TIPOS_OT'!$A$4:$A$23,0)),"SIN CLASIFICAR")="","SIN CLASIFICAR",IFERROR(INDEX('CAT_TIPOS_OT'!$D$4:$D$23,MATCH($I954,'CAT_TIPOS_OT'!$A$4:$A$23,0)),"SIN CLASIFICAR")))</f>
        <v/>
      </c>
      <c r="W954" s="24">
        <f>IF($H954="","",IF(IFERROR(INDEX('CAT_ACTIVIDADES'!$F$4:$F$26,MATCH($H954,'CAT_ACTIVIDADES'!$A$4:$A$26,0)),"")=0,"",IFERROR(INDEX('CAT_ACTIVIDADES'!$F$4:$F$26,MATCH($H954,'CAT_ACTIVIDADES'!$A$4:$A$26,0)),"")))</f>
        <v/>
      </c>
      <c r="X954" s="24">
        <f>IF($F954="","",IFERROR(INDEX('CAT_CENTROS_COSTO'!$F$4:$F$28,MATCH($F954,'CAT_CENTROS_COSTO'!$A$4:$A$28,0)),"(sin catálogo)"))</f>
        <v/>
      </c>
      <c r="Y954" s="24">
        <f>IF($F954="","",IFERROR(INDEX('CAT_CENTROS_COSTO'!$D$4:$D$28,MATCH($F954,'CAT_CENTROS_COSTO'!$A$4:$A$28,0)),"(sin catálogo)"))</f>
        <v/>
      </c>
      <c r="Z954" s="24">
        <f>IF($F954="","",IF((IFERROR(INDEX('CAT_CENTROS_COSTO'!$E$4:$E$28,MATCH($F954,'CAT_CENTROS_COSTO'!$A$4:$A$28,0)),""))&lt;&gt;"",IFERROR(INDEX('CAT_CENTROS_COSTO'!$E$4:$E$28,MATCH($F954,'CAT_CENTROS_COSTO'!$A$4:$A$28,0)),""),$Y954))</f>
        <v/>
      </c>
      <c r="AA954" s="24">
        <f>IF($F954="","",IFERROR(INDEX('CAT_CENTROS_COSTO'!$G$4:$G$28,MATCH($F954,'CAT_CENTROS_COSTO'!$A$4:$A$28,0)),"(sin catálogo)"))</f>
        <v/>
      </c>
      <c r="AB954" s="24">
        <f>IF($G954="","",IFERROR(INDEX('CAT_PUESTOS'!$B$4:$B$23,MATCH($G954,'CAT_PUESTOS'!$A$4:$A$23,0)),"(sin catálogo)"))</f>
        <v/>
      </c>
      <c r="AC954" s="24">
        <f>IF($H954="","",IFERROR(INDEX('CAT_ACTIVIDADES'!$B$4:$B$26,MATCH($H954,'CAT_ACTIVIDADES'!$A$4:$A$26,0)),"(sin catálogo)"))</f>
        <v/>
      </c>
      <c r="AD954" s="26">
        <f>IF($J954="","",TODAY()-$J954)</f>
        <v/>
      </c>
      <c r="AE954" s="26">
        <f>IF($J954="","",IF($J954&lt;=TODAY(),COUNTIFS(cal_fechas,"&gt;="&amp;$J954,cal_fechas,"&lt;"&amp;TODAY(),cal_habil,"sí"),-COUNTIFS(cal_fechas,"&gt;="&amp;TODAY(),cal_fechas,"&lt;"&amp;$J954,cal_habil,"sí")))</f>
        <v/>
      </c>
      <c r="AF954" s="24">
        <f>IF($AE954="","",IF($AE954&lt;0,"FUTURO",IF($AE954&gt;p_dias_backlog_max,"BACKLOG","MES CORRIENTE")))</f>
        <v/>
      </c>
      <c r="AG954" s="24">
        <f>IF($AE954="",FALSE,AND($AE954&gt;p_dias_backlog_min,$AE954&lt;=p_dias_backlog_max))</f>
        <v/>
      </c>
      <c r="AH954" s="4" t="n"/>
      <c r="AI954" s="24">
        <f>IF($AH954="","",IF((IFERROR(INDEX('ASIGNACIONES'!$J$4:$J$451,MATCH($O954&amp;"|"&amp;$S954&amp;"|"&amp;$AH954,'ASIGNACIONES'!$N$4:$N$451,0)),""))=0,"",IFERROR(INDEX('ASIGNACIONES'!$J$4:$J$451,MATCH($O954&amp;"|"&amp;$S954&amp;"|"&amp;$AH954,'ASIGNACIONES'!$N$4:$N$451,0)),"")))</f>
        <v/>
      </c>
      <c r="AJ954" s="42">
        <f>IF($AH954="","",SUMIFS('ORDENES'!$M$4:$M$1203,'ORDENES'!$AH$4:$AH$1203,$AH954,'ORDENES'!$O$4:$O$1203,$O954,'ORDENES'!$S$4:$S$1203,$S954))</f>
        <v/>
      </c>
      <c r="AK954" s="42">
        <f>IF($AJ954="","",p_factor_productividad*IFERROR(INDEX('ASIGNACIONES'!$M$4:$M$451,MATCH($O954&amp;"|"&amp;$S954&amp;"|"&amp;$AH954,'ASIGNACIONES'!$N$4:$N$451,0)),0)-$AJ954)</f>
        <v/>
      </c>
      <c r="AL954" s="32">
        <f>IF($A954="","",IFERROR(INDEX('2_IMPORTAR_EJECUCION'!$F$9:$F$1208,MATCH($AU954,'2_IMPORTAR_EJECUCION'!$J$9:$J$1208,0)),0))</f>
        <v/>
      </c>
      <c r="AM954" s="32">
        <f>IF($A954="","",MAX(0,IFERROR(INDEX('2_IMPORTAR_EJECUCION'!$H$9:$H$1208,MATCH($AU954,'2_IMPORTAR_EJECUCION'!$J$9:$J$1208,0)),0)-$AL954))</f>
        <v/>
      </c>
      <c r="AN954" s="32">
        <f>IF($A954="","",$AL954+$AM954)</f>
        <v/>
      </c>
      <c r="AO954" s="24">
        <f>IF($A954="","",IF(OR((IFERROR(INDEX('CAT_ACTIVIDADES'!$D$4:$D$26,MATCH($H954,'CAT_ACTIVIDADES'!$A$4:$A$26,0)),""))=0,(IFERROR(INDEX('CAT_ACTIVIDADES'!$D$4:$D$26,MATCH($H954,'CAT_ACTIVIDADES'!$A$4:$A$26,0)),""))=""),"SIN CLASIFICAR",IFERROR(INDEX('CAT_ACTIVIDADES'!$D$4:$D$26,MATCH($H954,'CAT_ACTIVIDADES'!$A$4:$A$26,0)),"")))</f>
        <v/>
      </c>
      <c r="AP954" s="4" t="n"/>
      <c r="AQ954" s="4" t="n"/>
      <c r="AR954" s="4" t="n"/>
      <c r="AS954" s="24">
        <f>IF($AR954="","",HYPERLINK(p_ruta_base_checklists&amp;$AR954,"abrir"))</f>
        <v/>
      </c>
      <c r="AT954" s="4" t="n"/>
      <c r="AU954" s="24">
        <f>IF($A954="","",$A954&amp;IF($B954="","0010",$B954))</f>
        <v/>
      </c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41" t="n"/>
      <c r="K955" s="5" t="n"/>
      <c r="L955" s="18" t="n"/>
      <c r="M955" s="24">
        <f>IF($A955="","",IFERROR(INDEX('AJUSTES'!$B$4:$B$303,MATCH($AU955,'AJUSTES'!$A$4:$A$303,0)),IF($K955="","",$K955)))</f>
        <v/>
      </c>
      <c r="N955" s="24">
        <f>IF($A955="","",IFERROR(INDEX('CAT_ESTADOS_ERP'!$B$4:$B$22,MATCH(IFERROR(INDEX('2_IMPORTAR_EJECUCION'!$C$9:$C$1208,MATCH($AU955,'2_IMPORTAR_EJECUCION'!$J$9:$J$1208,0)),""),'CAT_ESTADOS_ERP'!$A$4:$A$22,0)),"Pendiente"))</f>
        <v/>
      </c>
      <c r="O955" s="24">
        <f>IF($J955="","",YEAR($J955+4-WEEKDAY($J955,2))&amp;"-S"&amp;TEXT(_xlfn.ISOWEEKNUM($J955),"00"))</f>
        <v/>
      </c>
      <c r="P955" s="24">
        <f>IF($J955="","",YEAR($J955))</f>
        <v/>
      </c>
      <c r="Q955" s="24">
        <f>IF($J955="","",MONTH($J955))</f>
        <v/>
      </c>
      <c r="R955" s="24">
        <f>IF($J955="","",$P955&amp;"-"&amp;TEXT($Q955,"00"))</f>
        <v/>
      </c>
      <c r="S955" s="24">
        <f>IF($J955="","",INDEX(lista_dias,WEEKDAY($J955,2)))</f>
        <v/>
      </c>
      <c r="T955" s="24">
        <f>IF($J955="","",IFERROR(INDEX('CALENDARIO'!$C$15:$C$214,MATCH(TEXT($J955,"yyyy-mm-dd")&amp;"|"&amp;$Y955&amp;"|"&amp;$Z955,'CALENDARIO'!$G$15:$G$214,0)),IFERROR(INDEX('CALENDARIO'!$C$15:$C$214,MATCH(TEXT($J955,"yyyy-mm-dd")&amp;"|"&amp;$Y955&amp;"|",'CALENDARIO'!$G$15:$G$214,0)),IFERROR(INDEX('CALENDARIO'!$C$15:$C$214,MATCH(TEXT($J955,"yyyy-mm-dd")&amp;"||",'CALENDARIO'!$G$15:$G$214,0)),INDEX(patronHabil,WEEKDAY($J955,2))))))</f>
        <v/>
      </c>
      <c r="U955" s="24">
        <f>IF($I955="","",IFERROR(INDEX('CAT_TIPOS_OT'!$C$4:$C$23,MATCH($I955,'CAT_TIPOS_OT'!$A$4:$A$23,0)),"sin_clasificar"))</f>
        <v/>
      </c>
      <c r="V955" s="24">
        <f>IF($I955="","",IF(IFERROR(INDEX('CAT_TIPOS_OT'!$D$4:$D$23,MATCH($I955,'CAT_TIPOS_OT'!$A$4:$A$23,0)),"SIN CLASIFICAR")="","SIN CLASIFICAR",IFERROR(INDEX('CAT_TIPOS_OT'!$D$4:$D$23,MATCH($I955,'CAT_TIPOS_OT'!$A$4:$A$23,0)),"SIN CLASIFICAR")))</f>
        <v/>
      </c>
      <c r="W955" s="24">
        <f>IF($H955="","",IF(IFERROR(INDEX('CAT_ACTIVIDADES'!$F$4:$F$26,MATCH($H955,'CAT_ACTIVIDADES'!$A$4:$A$26,0)),"")=0,"",IFERROR(INDEX('CAT_ACTIVIDADES'!$F$4:$F$26,MATCH($H955,'CAT_ACTIVIDADES'!$A$4:$A$26,0)),"")))</f>
        <v/>
      </c>
      <c r="X955" s="24">
        <f>IF($F955="","",IFERROR(INDEX('CAT_CENTROS_COSTO'!$F$4:$F$28,MATCH($F955,'CAT_CENTROS_COSTO'!$A$4:$A$28,0)),"(sin catálogo)"))</f>
        <v/>
      </c>
      <c r="Y955" s="24">
        <f>IF($F955="","",IFERROR(INDEX('CAT_CENTROS_COSTO'!$D$4:$D$28,MATCH($F955,'CAT_CENTROS_COSTO'!$A$4:$A$28,0)),"(sin catálogo)"))</f>
        <v/>
      </c>
      <c r="Z955" s="24">
        <f>IF($F955="","",IF((IFERROR(INDEX('CAT_CENTROS_COSTO'!$E$4:$E$28,MATCH($F955,'CAT_CENTROS_COSTO'!$A$4:$A$28,0)),""))&lt;&gt;"",IFERROR(INDEX('CAT_CENTROS_COSTO'!$E$4:$E$28,MATCH($F955,'CAT_CENTROS_COSTO'!$A$4:$A$28,0)),""),$Y955))</f>
        <v/>
      </c>
      <c r="AA955" s="24">
        <f>IF($F955="","",IFERROR(INDEX('CAT_CENTROS_COSTO'!$G$4:$G$28,MATCH($F955,'CAT_CENTROS_COSTO'!$A$4:$A$28,0)),"(sin catálogo)"))</f>
        <v/>
      </c>
      <c r="AB955" s="24">
        <f>IF($G955="","",IFERROR(INDEX('CAT_PUESTOS'!$B$4:$B$23,MATCH($G955,'CAT_PUESTOS'!$A$4:$A$23,0)),"(sin catálogo)"))</f>
        <v/>
      </c>
      <c r="AC955" s="24">
        <f>IF($H955="","",IFERROR(INDEX('CAT_ACTIVIDADES'!$B$4:$B$26,MATCH($H955,'CAT_ACTIVIDADES'!$A$4:$A$26,0)),"(sin catálogo)"))</f>
        <v/>
      </c>
      <c r="AD955" s="26">
        <f>IF($J955="","",TODAY()-$J955)</f>
        <v/>
      </c>
      <c r="AE955" s="26">
        <f>IF($J955="","",IF($J955&lt;=TODAY(),COUNTIFS(cal_fechas,"&gt;="&amp;$J955,cal_fechas,"&lt;"&amp;TODAY(),cal_habil,"sí"),-COUNTIFS(cal_fechas,"&gt;="&amp;TODAY(),cal_fechas,"&lt;"&amp;$J955,cal_habil,"sí")))</f>
        <v/>
      </c>
      <c r="AF955" s="24">
        <f>IF($AE955="","",IF($AE955&lt;0,"FUTURO",IF($AE955&gt;p_dias_backlog_max,"BACKLOG","MES CORRIENTE")))</f>
        <v/>
      </c>
      <c r="AG955" s="24">
        <f>IF($AE955="",FALSE,AND($AE955&gt;p_dias_backlog_min,$AE955&lt;=p_dias_backlog_max))</f>
        <v/>
      </c>
      <c r="AH955" s="4" t="n"/>
      <c r="AI955" s="24">
        <f>IF($AH955="","",IF((IFERROR(INDEX('ASIGNACIONES'!$J$4:$J$451,MATCH($O955&amp;"|"&amp;$S955&amp;"|"&amp;$AH955,'ASIGNACIONES'!$N$4:$N$451,0)),""))=0,"",IFERROR(INDEX('ASIGNACIONES'!$J$4:$J$451,MATCH($O955&amp;"|"&amp;$S955&amp;"|"&amp;$AH955,'ASIGNACIONES'!$N$4:$N$451,0)),"")))</f>
        <v/>
      </c>
      <c r="AJ955" s="42">
        <f>IF($AH955="","",SUMIFS('ORDENES'!$M$4:$M$1203,'ORDENES'!$AH$4:$AH$1203,$AH955,'ORDENES'!$O$4:$O$1203,$O955,'ORDENES'!$S$4:$S$1203,$S955))</f>
        <v/>
      </c>
      <c r="AK955" s="42">
        <f>IF($AJ955="","",p_factor_productividad*IFERROR(INDEX('ASIGNACIONES'!$M$4:$M$451,MATCH($O955&amp;"|"&amp;$S955&amp;"|"&amp;$AH955,'ASIGNACIONES'!$N$4:$N$451,0)),0)-$AJ955)</f>
        <v/>
      </c>
      <c r="AL955" s="32">
        <f>IF($A955="","",IFERROR(INDEX('2_IMPORTAR_EJECUCION'!$F$9:$F$1208,MATCH($AU955,'2_IMPORTAR_EJECUCION'!$J$9:$J$1208,0)),0))</f>
        <v/>
      </c>
      <c r="AM955" s="32">
        <f>IF($A955="","",MAX(0,IFERROR(INDEX('2_IMPORTAR_EJECUCION'!$H$9:$H$1208,MATCH($AU955,'2_IMPORTAR_EJECUCION'!$J$9:$J$1208,0)),0)-$AL955))</f>
        <v/>
      </c>
      <c r="AN955" s="32">
        <f>IF($A955="","",$AL955+$AM955)</f>
        <v/>
      </c>
      <c r="AO955" s="24">
        <f>IF($A955="","",IF(OR((IFERROR(INDEX('CAT_ACTIVIDADES'!$D$4:$D$26,MATCH($H955,'CAT_ACTIVIDADES'!$A$4:$A$26,0)),""))=0,(IFERROR(INDEX('CAT_ACTIVIDADES'!$D$4:$D$26,MATCH($H955,'CAT_ACTIVIDADES'!$A$4:$A$26,0)),""))=""),"SIN CLASIFICAR",IFERROR(INDEX('CAT_ACTIVIDADES'!$D$4:$D$26,MATCH($H955,'CAT_ACTIVIDADES'!$A$4:$A$26,0)),"")))</f>
        <v/>
      </c>
      <c r="AP955" s="4" t="n"/>
      <c r="AQ955" s="4" t="n"/>
      <c r="AR955" s="4" t="n"/>
      <c r="AS955" s="24">
        <f>IF($AR955="","",HYPERLINK(p_ruta_base_checklists&amp;$AR955,"abrir"))</f>
        <v/>
      </c>
      <c r="AT955" s="4" t="n"/>
      <c r="AU955" s="24">
        <f>IF($A955="","",$A955&amp;IF($B955="","0010",$B955))</f>
        <v/>
      </c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41" t="n"/>
      <c r="K956" s="5" t="n"/>
      <c r="L956" s="18" t="n"/>
      <c r="M956" s="24">
        <f>IF($A956="","",IFERROR(INDEX('AJUSTES'!$B$4:$B$303,MATCH($AU956,'AJUSTES'!$A$4:$A$303,0)),IF($K956="","",$K956)))</f>
        <v/>
      </c>
      <c r="N956" s="24">
        <f>IF($A956="","",IFERROR(INDEX('CAT_ESTADOS_ERP'!$B$4:$B$22,MATCH(IFERROR(INDEX('2_IMPORTAR_EJECUCION'!$C$9:$C$1208,MATCH($AU956,'2_IMPORTAR_EJECUCION'!$J$9:$J$1208,0)),""),'CAT_ESTADOS_ERP'!$A$4:$A$22,0)),"Pendiente"))</f>
        <v/>
      </c>
      <c r="O956" s="24">
        <f>IF($J956="","",YEAR($J956+4-WEEKDAY($J956,2))&amp;"-S"&amp;TEXT(_xlfn.ISOWEEKNUM($J956),"00"))</f>
        <v/>
      </c>
      <c r="P956" s="24">
        <f>IF($J956="","",YEAR($J956))</f>
        <v/>
      </c>
      <c r="Q956" s="24">
        <f>IF($J956="","",MONTH($J956))</f>
        <v/>
      </c>
      <c r="R956" s="24">
        <f>IF($J956="","",$P956&amp;"-"&amp;TEXT($Q956,"00"))</f>
        <v/>
      </c>
      <c r="S956" s="24">
        <f>IF($J956="","",INDEX(lista_dias,WEEKDAY($J956,2)))</f>
        <v/>
      </c>
      <c r="T956" s="24">
        <f>IF($J956="","",IFERROR(INDEX('CALENDARIO'!$C$15:$C$214,MATCH(TEXT($J956,"yyyy-mm-dd")&amp;"|"&amp;$Y956&amp;"|"&amp;$Z956,'CALENDARIO'!$G$15:$G$214,0)),IFERROR(INDEX('CALENDARIO'!$C$15:$C$214,MATCH(TEXT($J956,"yyyy-mm-dd")&amp;"|"&amp;$Y956&amp;"|",'CALENDARIO'!$G$15:$G$214,0)),IFERROR(INDEX('CALENDARIO'!$C$15:$C$214,MATCH(TEXT($J956,"yyyy-mm-dd")&amp;"||",'CALENDARIO'!$G$15:$G$214,0)),INDEX(patronHabil,WEEKDAY($J956,2))))))</f>
        <v/>
      </c>
      <c r="U956" s="24">
        <f>IF($I956="","",IFERROR(INDEX('CAT_TIPOS_OT'!$C$4:$C$23,MATCH($I956,'CAT_TIPOS_OT'!$A$4:$A$23,0)),"sin_clasificar"))</f>
        <v/>
      </c>
      <c r="V956" s="24">
        <f>IF($I956="","",IF(IFERROR(INDEX('CAT_TIPOS_OT'!$D$4:$D$23,MATCH($I956,'CAT_TIPOS_OT'!$A$4:$A$23,0)),"SIN CLASIFICAR")="","SIN CLASIFICAR",IFERROR(INDEX('CAT_TIPOS_OT'!$D$4:$D$23,MATCH($I956,'CAT_TIPOS_OT'!$A$4:$A$23,0)),"SIN CLASIFICAR")))</f>
        <v/>
      </c>
      <c r="W956" s="24">
        <f>IF($H956="","",IF(IFERROR(INDEX('CAT_ACTIVIDADES'!$F$4:$F$26,MATCH($H956,'CAT_ACTIVIDADES'!$A$4:$A$26,0)),"")=0,"",IFERROR(INDEX('CAT_ACTIVIDADES'!$F$4:$F$26,MATCH($H956,'CAT_ACTIVIDADES'!$A$4:$A$26,0)),"")))</f>
        <v/>
      </c>
      <c r="X956" s="24">
        <f>IF($F956="","",IFERROR(INDEX('CAT_CENTROS_COSTO'!$F$4:$F$28,MATCH($F956,'CAT_CENTROS_COSTO'!$A$4:$A$28,0)),"(sin catálogo)"))</f>
        <v/>
      </c>
      <c r="Y956" s="24">
        <f>IF($F956="","",IFERROR(INDEX('CAT_CENTROS_COSTO'!$D$4:$D$28,MATCH($F956,'CAT_CENTROS_COSTO'!$A$4:$A$28,0)),"(sin catálogo)"))</f>
        <v/>
      </c>
      <c r="Z956" s="24">
        <f>IF($F956="","",IF((IFERROR(INDEX('CAT_CENTROS_COSTO'!$E$4:$E$28,MATCH($F956,'CAT_CENTROS_COSTO'!$A$4:$A$28,0)),""))&lt;&gt;"",IFERROR(INDEX('CAT_CENTROS_COSTO'!$E$4:$E$28,MATCH($F956,'CAT_CENTROS_COSTO'!$A$4:$A$28,0)),""),$Y956))</f>
        <v/>
      </c>
      <c r="AA956" s="24">
        <f>IF($F956="","",IFERROR(INDEX('CAT_CENTROS_COSTO'!$G$4:$G$28,MATCH($F956,'CAT_CENTROS_COSTO'!$A$4:$A$28,0)),"(sin catálogo)"))</f>
        <v/>
      </c>
      <c r="AB956" s="24">
        <f>IF($G956="","",IFERROR(INDEX('CAT_PUESTOS'!$B$4:$B$23,MATCH($G956,'CAT_PUESTOS'!$A$4:$A$23,0)),"(sin catálogo)"))</f>
        <v/>
      </c>
      <c r="AC956" s="24">
        <f>IF($H956="","",IFERROR(INDEX('CAT_ACTIVIDADES'!$B$4:$B$26,MATCH($H956,'CAT_ACTIVIDADES'!$A$4:$A$26,0)),"(sin catálogo)"))</f>
        <v/>
      </c>
      <c r="AD956" s="26">
        <f>IF($J956="","",TODAY()-$J956)</f>
        <v/>
      </c>
      <c r="AE956" s="26">
        <f>IF($J956="","",IF($J956&lt;=TODAY(),COUNTIFS(cal_fechas,"&gt;="&amp;$J956,cal_fechas,"&lt;"&amp;TODAY(),cal_habil,"sí"),-COUNTIFS(cal_fechas,"&gt;="&amp;TODAY(),cal_fechas,"&lt;"&amp;$J956,cal_habil,"sí")))</f>
        <v/>
      </c>
      <c r="AF956" s="24">
        <f>IF($AE956="","",IF($AE956&lt;0,"FUTURO",IF($AE956&gt;p_dias_backlog_max,"BACKLOG","MES CORRIENTE")))</f>
        <v/>
      </c>
      <c r="AG956" s="24">
        <f>IF($AE956="",FALSE,AND($AE956&gt;p_dias_backlog_min,$AE956&lt;=p_dias_backlog_max))</f>
        <v/>
      </c>
      <c r="AH956" s="4" t="n"/>
      <c r="AI956" s="24">
        <f>IF($AH956="","",IF((IFERROR(INDEX('ASIGNACIONES'!$J$4:$J$451,MATCH($O956&amp;"|"&amp;$S956&amp;"|"&amp;$AH956,'ASIGNACIONES'!$N$4:$N$451,0)),""))=0,"",IFERROR(INDEX('ASIGNACIONES'!$J$4:$J$451,MATCH($O956&amp;"|"&amp;$S956&amp;"|"&amp;$AH956,'ASIGNACIONES'!$N$4:$N$451,0)),"")))</f>
        <v/>
      </c>
      <c r="AJ956" s="42">
        <f>IF($AH956="","",SUMIFS('ORDENES'!$M$4:$M$1203,'ORDENES'!$AH$4:$AH$1203,$AH956,'ORDENES'!$O$4:$O$1203,$O956,'ORDENES'!$S$4:$S$1203,$S956))</f>
        <v/>
      </c>
      <c r="AK956" s="42">
        <f>IF($AJ956="","",p_factor_productividad*IFERROR(INDEX('ASIGNACIONES'!$M$4:$M$451,MATCH($O956&amp;"|"&amp;$S956&amp;"|"&amp;$AH956,'ASIGNACIONES'!$N$4:$N$451,0)),0)-$AJ956)</f>
        <v/>
      </c>
      <c r="AL956" s="32">
        <f>IF($A956="","",IFERROR(INDEX('2_IMPORTAR_EJECUCION'!$F$9:$F$1208,MATCH($AU956,'2_IMPORTAR_EJECUCION'!$J$9:$J$1208,0)),0))</f>
        <v/>
      </c>
      <c r="AM956" s="32">
        <f>IF($A956="","",MAX(0,IFERROR(INDEX('2_IMPORTAR_EJECUCION'!$H$9:$H$1208,MATCH($AU956,'2_IMPORTAR_EJECUCION'!$J$9:$J$1208,0)),0)-$AL956))</f>
        <v/>
      </c>
      <c r="AN956" s="32">
        <f>IF($A956="","",$AL956+$AM956)</f>
        <v/>
      </c>
      <c r="AO956" s="24">
        <f>IF($A956="","",IF(OR((IFERROR(INDEX('CAT_ACTIVIDADES'!$D$4:$D$26,MATCH($H956,'CAT_ACTIVIDADES'!$A$4:$A$26,0)),""))=0,(IFERROR(INDEX('CAT_ACTIVIDADES'!$D$4:$D$26,MATCH($H956,'CAT_ACTIVIDADES'!$A$4:$A$26,0)),""))=""),"SIN CLASIFICAR",IFERROR(INDEX('CAT_ACTIVIDADES'!$D$4:$D$26,MATCH($H956,'CAT_ACTIVIDADES'!$A$4:$A$26,0)),"")))</f>
        <v/>
      </c>
      <c r="AP956" s="4" t="n"/>
      <c r="AQ956" s="4" t="n"/>
      <c r="AR956" s="4" t="n"/>
      <c r="AS956" s="24">
        <f>IF($AR956="","",HYPERLINK(p_ruta_base_checklists&amp;$AR956,"abrir"))</f>
        <v/>
      </c>
      <c r="AT956" s="4" t="n"/>
      <c r="AU956" s="24">
        <f>IF($A956="","",$A956&amp;IF($B956="","0010",$B956))</f>
        <v/>
      </c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41" t="n"/>
      <c r="K957" s="5" t="n"/>
      <c r="L957" s="18" t="n"/>
      <c r="M957" s="24">
        <f>IF($A957="","",IFERROR(INDEX('AJUSTES'!$B$4:$B$303,MATCH($AU957,'AJUSTES'!$A$4:$A$303,0)),IF($K957="","",$K957)))</f>
        <v/>
      </c>
      <c r="N957" s="24">
        <f>IF($A957="","",IFERROR(INDEX('CAT_ESTADOS_ERP'!$B$4:$B$22,MATCH(IFERROR(INDEX('2_IMPORTAR_EJECUCION'!$C$9:$C$1208,MATCH($AU957,'2_IMPORTAR_EJECUCION'!$J$9:$J$1208,0)),""),'CAT_ESTADOS_ERP'!$A$4:$A$22,0)),"Pendiente"))</f>
        <v/>
      </c>
      <c r="O957" s="24">
        <f>IF($J957="","",YEAR($J957+4-WEEKDAY($J957,2))&amp;"-S"&amp;TEXT(_xlfn.ISOWEEKNUM($J957),"00"))</f>
        <v/>
      </c>
      <c r="P957" s="24">
        <f>IF($J957="","",YEAR($J957))</f>
        <v/>
      </c>
      <c r="Q957" s="24">
        <f>IF($J957="","",MONTH($J957))</f>
        <v/>
      </c>
      <c r="R957" s="24">
        <f>IF($J957="","",$P957&amp;"-"&amp;TEXT($Q957,"00"))</f>
        <v/>
      </c>
      <c r="S957" s="24">
        <f>IF($J957="","",INDEX(lista_dias,WEEKDAY($J957,2)))</f>
        <v/>
      </c>
      <c r="T957" s="24">
        <f>IF($J957="","",IFERROR(INDEX('CALENDARIO'!$C$15:$C$214,MATCH(TEXT($J957,"yyyy-mm-dd")&amp;"|"&amp;$Y957&amp;"|"&amp;$Z957,'CALENDARIO'!$G$15:$G$214,0)),IFERROR(INDEX('CALENDARIO'!$C$15:$C$214,MATCH(TEXT($J957,"yyyy-mm-dd")&amp;"|"&amp;$Y957&amp;"|",'CALENDARIO'!$G$15:$G$214,0)),IFERROR(INDEX('CALENDARIO'!$C$15:$C$214,MATCH(TEXT($J957,"yyyy-mm-dd")&amp;"||",'CALENDARIO'!$G$15:$G$214,0)),INDEX(patronHabil,WEEKDAY($J957,2))))))</f>
        <v/>
      </c>
      <c r="U957" s="24">
        <f>IF($I957="","",IFERROR(INDEX('CAT_TIPOS_OT'!$C$4:$C$23,MATCH($I957,'CAT_TIPOS_OT'!$A$4:$A$23,0)),"sin_clasificar"))</f>
        <v/>
      </c>
      <c r="V957" s="24">
        <f>IF($I957="","",IF(IFERROR(INDEX('CAT_TIPOS_OT'!$D$4:$D$23,MATCH($I957,'CAT_TIPOS_OT'!$A$4:$A$23,0)),"SIN CLASIFICAR")="","SIN CLASIFICAR",IFERROR(INDEX('CAT_TIPOS_OT'!$D$4:$D$23,MATCH($I957,'CAT_TIPOS_OT'!$A$4:$A$23,0)),"SIN CLASIFICAR")))</f>
        <v/>
      </c>
      <c r="W957" s="24">
        <f>IF($H957="","",IF(IFERROR(INDEX('CAT_ACTIVIDADES'!$F$4:$F$26,MATCH($H957,'CAT_ACTIVIDADES'!$A$4:$A$26,0)),"")=0,"",IFERROR(INDEX('CAT_ACTIVIDADES'!$F$4:$F$26,MATCH($H957,'CAT_ACTIVIDADES'!$A$4:$A$26,0)),"")))</f>
        <v/>
      </c>
      <c r="X957" s="24">
        <f>IF($F957="","",IFERROR(INDEX('CAT_CENTROS_COSTO'!$F$4:$F$28,MATCH($F957,'CAT_CENTROS_COSTO'!$A$4:$A$28,0)),"(sin catálogo)"))</f>
        <v/>
      </c>
      <c r="Y957" s="24">
        <f>IF($F957="","",IFERROR(INDEX('CAT_CENTROS_COSTO'!$D$4:$D$28,MATCH($F957,'CAT_CENTROS_COSTO'!$A$4:$A$28,0)),"(sin catálogo)"))</f>
        <v/>
      </c>
      <c r="Z957" s="24">
        <f>IF($F957="","",IF((IFERROR(INDEX('CAT_CENTROS_COSTO'!$E$4:$E$28,MATCH($F957,'CAT_CENTROS_COSTO'!$A$4:$A$28,0)),""))&lt;&gt;"",IFERROR(INDEX('CAT_CENTROS_COSTO'!$E$4:$E$28,MATCH($F957,'CAT_CENTROS_COSTO'!$A$4:$A$28,0)),""),$Y957))</f>
        <v/>
      </c>
      <c r="AA957" s="24">
        <f>IF($F957="","",IFERROR(INDEX('CAT_CENTROS_COSTO'!$G$4:$G$28,MATCH($F957,'CAT_CENTROS_COSTO'!$A$4:$A$28,0)),"(sin catálogo)"))</f>
        <v/>
      </c>
      <c r="AB957" s="24">
        <f>IF($G957="","",IFERROR(INDEX('CAT_PUESTOS'!$B$4:$B$23,MATCH($G957,'CAT_PUESTOS'!$A$4:$A$23,0)),"(sin catálogo)"))</f>
        <v/>
      </c>
      <c r="AC957" s="24">
        <f>IF($H957="","",IFERROR(INDEX('CAT_ACTIVIDADES'!$B$4:$B$26,MATCH($H957,'CAT_ACTIVIDADES'!$A$4:$A$26,0)),"(sin catálogo)"))</f>
        <v/>
      </c>
      <c r="AD957" s="26">
        <f>IF($J957="","",TODAY()-$J957)</f>
        <v/>
      </c>
      <c r="AE957" s="26">
        <f>IF($J957="","",IF($J957&lt;=TODAY(),COUNTIFS(cal_fechas,"&gt;="&amp;$J957,cal_fechas,"&lt;"&amp;TODAY(),cal_habil,"sí"),-COUNTIFS(cal_fechas,"&gt;="&amp;TODAY(),cal_fechas,"&lt;"&amp;$J957,cal_habil,"sí")))</f>
        <v/>
      </c>
      <c r="AF957" s="24">
        <f>IF($AE957="","",IF($AE957&lt;0,"FUTURO",IF($AE957&gt;p_dias_backlog_max,"BACKLOG","MES CORRIENTE")))</f>
        <v/>
      </c>
      <c r="AG957" s="24">
        <f>IF($AE957="",FALSE,AND($AE957&gt;p_dias_backlog_min,$AE957&lt;=p_dias_backlog_max))</f>
        <v/>
      </c>
      <c r="AH957" s="4" t="n"/>
      <c r="AI957" s="24">
        <f>IF($AH957="","",IF((IFERROR(INDEX('ASIGNACIONES'!$J$4:$J$451,MATCH($O957&amp;"|"&amp;$S957&amp;"|"&amp;$AH957,'ASIGNACIONES'!$N$4:$N$451,0)),""))=0,"",IFERROR(INDEX('ASIGNACIONES'!$J$4:$J$451,MATCH($O957&amp;"|"&amp;$S957&amp;"|"&amp;$AH957,'ASIGNACIONES'!$N$4:$N$451,0)),"")))</f>
        <v/>
      </c>
      <c r="AJ957" s="42">
        <f>IF($AH957="","",SUMIFS('ORDENES'!$M$4:$M$1203,'ORDENES'!$AH$4:$AH$1203,$AH957,'ORDENES'!$O$4:$O$1203,$O957,'ORDENES'!$S$4:$S$1203,$S957))</f>
        <v/>
      </c>
      <c r="AK957" s="42">
        <f>IF($AJ957="","",p_factor_productividad*IFERROR(INDEX('ASIGNACIONES'!$M$4:$M$451,MATCH($O957&amp;"|"&amp;$S957&amp;"|"&amp;$AH957,'ASIGNACIONES'!$N$4:$N$451,0)),0)-$AJ957)</f>
        <v/>
      </c>
      <c r="AL957" s="32">
        <f>IF($A957="","",IFERROR(INDEX('2_IMPORTAR_EJECUCION'!$F$9:$F$1208,MATCH($AU957,'2_IMPORTAR_EJECUCION'!$J$9:$J$1208,0)),0))</f>
        <v/>
      </c>
      <c r="AM957" s="32">
        <f>IF($A957="","",MAX(0,IFERROR(INDEX('2_IMPORTAR_EJECUCION'!$H$9:$H$1208,MATCH($AU957,'2_IMPORTAR_EJECUCION'!$J$9:$J$1208,0)),0)-$AL957))</f>
        <v/>
      </c>
      <c r="AN957" s="32">
        <f>IF($A957="","",$AL957+$AM957)</f>
        <v/>
      </c>
      <c r="AO957" s="24">
        <f>IF($A957="","",IF(OR((IFERROR(INDEX('CAT_ACTIVIDADES'!$D$4:$D$26,MATCH($H957,'CAT_ACTIVIDADES'!$A$4:$A$26,0)),""))=0,(IFERROR(INDEX('CAT_ACTIVIDADES'!$D$4:$D$26,MATCH($H957,'CAT_ACTIVIDADES'!$A$4:$A$26,0)),""))=""),"SIN CLASIFICAR",IFERROR(INDEX('CAT_ACTIVIDADES'!$D$4:$D$26,MATCH($H957,'CAT_ACTIVIDADES'!$A$4:$A$26,0)),"")))</f>
        <v/>
      </c>
      <c r="AP957" s="4" t="n"/>
      <c r="AQ957" s="4" t="n"/>
      <c r="AR957" s="4" t="n"/>
      <c r="AS957" s="24">
        <f>IF($AR957="","",HYPERLINK(p_ruta_base_checklists&amp;$AR957,"abrir"))</f>
        <v/>
      </c>
      <c r="AT957" s="4" t="n"/>
      <c r="AU957" s="24">
        <f>IF($A957="","",$A957&amp;IF($B957="","0010",$B957))</f>
        <v/>
      </c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41" t="n"/>
      <c r="K958" s="5" t="n"/>
      <c r="L958" s="18" t="n"/>
      <c r="M958" s="24">
        <f>IF($A958="","",IFERROR(INDEX('AJUSTES'!$B$4:$B$303,MATCH($AU958,'AJUSTES'!$A$4:$A$303,0)),IF($K958="","",$K958)))</f>
        <v/>
      </c>
      <c r="N958" s="24">
        <f>IF($A958="","",IFERROR(INDEX('CAT_ESTADOS_ERP'!$B$4:$B$22,MATCH(IFERROR(INDEX('2_IMPORTAR_EJECUCION'!$C$9:$C$1208,MATCH($AU958,'2_IMPORTAR_EJECUCION'!$J$9:$J$1208,0)),""),'CAT_ESTADOS_ERP'!$A$4:$A$22,0)),"Pendiente"))</f>
        <v/>
      </c>
      <c r="O958" s="24">
        <f>IF($J958="","",YEAR($J958+4-WEEKDAY($J958,2))&amp;"-S"&amp;TEXT(_xlfn.ISOWEEKNUM($J958),"00"))</f>
        <v/>
      </c>
      <c r="P958" s="24">
        <f>IF($J958="","",YEAR($J958))</f>
        <v/>
      </c>
      <c r="Q958" s="24">
        <f>IF($J958="","",MONTH($J958))</f>
        <v/>
      </c>
      <c r="R958" s="24">
        <f>IF($J958="","",$P958&amp;"-"&amp;TEXT($Q958,"00"))</f>
        <v/>
      </c>
      <c r="S958" s="24">
        <f>IF($J958="","",INDEX(lista_dias,WEEKDAY($J958,2)))</f>
        <v/>
      </c>
      <c r="T958" s="24">
        <f>IF($J958="","",IFERROR(INDEX('CALENDARIO'!$C$15:$C$214,MATCH(TEXT($J958,"yyyy-mm-dd")&amp;"|"&amp;$Y958&amp;"|"&amp;$Z958,'CALENDARIO'!$G$15:$G$214,0)),IFERROR(INDEX('CALENDARIO'!$C$15:$C$214,MATCH(TEXT($J958,"yyyy-mm-dd")&amp;"|"&amp;$Y958&amp;"|",'CALENDARIO'!$G$15:$G$214,0)),IFERROR(INDEX('CALENDARIO'!$C$15:$C$214,MATCH(TEXT($J958,"yyyy-mm-dd")&amp;"||",'CALENDARIO'!$G$15:$G$214,0)),INDEX(patronHabil,WEEKDAY($J958,2))))))</f>
        <v/>
      </c>
      <c r="U958" s="24">
        <f>IF($I958="","",IFERROR(INDEX('CAT_TIPOS_OT'!$C$4:$C$23,MATCH($I958,'CAT_TIPOS_OT'!$A$4:$A$23,0)),"sin_clasificar"))</f>
        <v/>
      </c>
      <c r="V958" s="24">
        <f>IF($I958="","",IF(IFERROR(INDEX('CAT_TIPOS_OT'!$D$4:$D$23,MATCH($I958,'CAT_TIPOS_OT'!$A$4:$A$23,0)),"SIN CLASIFICAR")="","SIN CLASIFICAR",IFERROR(INDEX('CAT_TIPOS_OT'!$D$4:$D$23,MATCH($I958,'CAT_TIPOS_OT'!$A$4:$A$23,0)),"SIN CLASIFICAR")))</f>
        <v/>
      </c>
      <c r="W958" s="24">
        <f>IF($H958="","",IF(IFERROR(INDEX('CAT_ACTIVIDADES'!$F$4:$F$26,MATCH($H958,'CAT_ACTIVIDADES'!$A$4:$A$26,0)),"")=0,"",IFERROR(INDEX('CAT_ACTIVIDADES'!$F$4:$F$26,MATCH($H958,'CAT_ACTIVIDADES'!$A$4:$A$26,0)),"")))</f>
        <v/>
      </c>
      <c r="X958" s="24">
        <f>IF($F958="","",IFERROR(INDEX('CAT_CENTROS_COSTO'!$F$4:$F$28,MATCH($F958,'CAT_CENTROS_COSTO'!$A$4:$A$28,0)),"(sin catálogo)"))</f>
        <v/>
      </c>
      <c r="Y958" s="24">
        <f>IF($F958="","",IFERROR(INDEX('CAT_CENTROS_COSTO'!$D$4:$D$28,MATCH($F958,'CAT_CENTROS_COSTO'!$A$4:$A$28,0)),"(sin catálogo)"))</f>
        <v/>
      </c>
      <c r="Z958" s="24">
        <f>IF($F958="","",IF((IFERROR(INDEX('CAT_CENTROS_COSTO'!$E$4:$E$28,MATCH($F958,'CAT_CENTROS_COSTO'!$A$4:$A$28,0)),""))&lt;&gt;"",IFERROR(INDEX('CAT_CENTROS_COSTO'!$E$4:$E$28,MATCH($F958,'CAT_CENTROS_COSTO'!$A$4:$A$28,0)),""),$Y958))</f>
        <v/>
      </c>
      <c r="AA958" s="24">
        <f>IF($F958="","",IFERROR(INDEX('CAT_CENTROS_COSTO'!$G$4:$G$28,MATCH($F958,'CAT_CENTROS_COSTO'!$A$4:$A$28,0)),"(sin catálogo)"))</f>
        <v/>
      </c>
      <c r="AB958" s="24">
        <f>IF($G958="","",IFERROR(INDEX('CAT_PUESTOS'!$B$4:$B$23,MATCH($G958,'CAT_PUESTOS'!$A$4:$A$23,0)),"(sin catálogo)"))</f>
        <v/>
      </c>
      <c r="AC958" s="24">
        <f>IF($H958="","",IFERROR(INDEX('CAT_ACTIVIDADES'!$B$4:$B$26,MATCH($H958,'CAT_ACTIVIDADES'!$A$4:$A$26,0)),"(sin catálogo)"))</f>
        <v/>
      </c>
      <c r="AD958" s="26">
        <f>IF($J958="","",TODAY()-$J958)</f>
        <v/>
      </c>
      <c r="AE958" s="26">
        <f>IF($J958="","",IF($J958&lt;=TODAY(),COUNTIFS(cal_fechas,"&gt;="&amp;$J958,cal_fechas,"&lt;"&amp;TODAY(),cal_habil,"sí"),-COUNTIFS(cal_fechas,"&gt;="&amp;TODAY(),cal_fechas,"&lt;"&amp;$J958,cal_habil,"sí")))</f>
        <v/>
      </c>
      <c r="AF958" s="24">
        <f>IF($AE958="","",IF($AE958&lt;0,"FUTURO",IF($AE958&gt;p_dias_backlog_max,"BACKLOG","MES CORRIENTE")))</f>
        <v/>
      </c>
      <c r="AG958" s="24">
        <f>IF($AE958="",FALSE,AND($AE958&gt;p_dias_backlog_min,$AE958&lt;=p_dias_backlog_max))</f>
        <v/>
      </c>
      <c r="AH958" s="4" t="n"/>
      <c r="AI958" s="24">
        <f>IF($AH958="","",IF((IFERROR(INDEX('ASIGNACIONES'!$J$4:$J$451,MATCH($O958&amp;"|"&amp;$S958&amp;"|"&amp;$AH958,'ASIGNACIONES'!$N$4:$N$451,0)),""))=0,"",IFERROR(INDEX('ASIGNACIONES'!$J$4:$J$451,MATCH($O958&amp;"|"&amp;$S958&amp;"|"&amp;$AH958,'ASIGNACIONES'!$N$4:$N$451,0)),"")))</f>
        <v/>
      </c>
      <c r="AJ958" s="42">
        <f>IF($AH958="","",SUMIFS('ORDENES'!$M$4:$M$1203,'ORDENES'!$AH$4:$AH$1203,$AH958,'ORDENES'!$O$4:$O$1203,$O958,'ORDENES'!$S$4:$S$1203,$S958))</f>
        <v/>
      </c>
      <c r="AK958" s="42">
        <f>IF($AJ958="","",p_factor_productividad*IFERROR(INDEX('ASIGNACIONES'!$M$4:$M$451,MATCH($O958&amp;"|"&amp;$S958&amp;"|"&amp;$AH958,'ASIGNACIONES'!$N$4:$N$451,0)),0)-$AJ958)</f>
        <v/>
      </c>
      <c r="AL958" s="32">
        <f>IF($A958="","",IFERROR(INDEX('2_IMPORTAR_EJECUCION'!$F$9:$F$1208,MATCH($AU958,'2_IMPORTAR_EJECUCION'!$J$9:$J$1208,0)),0))</f>
        <v/>
      </c>
      <c r="AM958" s="32">
        <f>IF($A958="","",MAX(0,IFERROR(INDEX('2_IMPORTAR_EJECUCION'!$H$9:$H$1208,MATCH($AU958,'2_IMPORTAR_EJECUCION'!$J$9:$J$1208,0)),0)-$AL958))</f>
        <v/>
      </c>
      <c r="AN958" s="32">
        <f>IF($A958="","",$AL958+$AM958)</f>
        <v/>
      </c>
      <c r="AO958" s="24">
        <f>IF($A958="","",IF(OR((IFERROR(INDEX('CAT_ACTIVIDADES'!$D$4:$D$26,MATCH($H958,'CAT_ACTIVIDADES'!$A$4:$A$26,0)),""))=0,(IFERROR(INDEX('CAT_ACTIVIDADES'!$D$4:$D$26,MATCH($H958,'CAT_ACTIVIDADES'!$A$4:$A$26,0)),""))=""),"SIN CLASIFICAR",IFERROR(INDEX('CAT_ACTIVIDADES'!$D$4:$D$26,MATCH($H958,'CAT_ACTIVIDADES'!$A$4:$A$26,0)),"")))</f>
        <v/>
      </c>
      <c r="AP958" s="4" t="n"/>
      <c r="AQ958" s="4" t="n"/>
      <c r="AR958" s="4" t="n"/>
      <c r="AS958" s="24">
        <f>IF($AR958="","",HYPERLINK(p_ruta_base_checklists&amp;$AR958,"abrir"))</f>
        <v/>
      </c>
      <c r="AT958" s="4" t="n"/>
      <c r="AU958" s="24">
        <f>IF($A958="","",$A958&amp;IF($B958="","0010",$B958))</f>
        <v/>
      </c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41" t="n"/>
      <c r="K959" s="5" t="n"/>
      <c r="L959" s="18" t="n"/>
      <c r="M959" s="24">
        <f>IF($A959="","",IFERROR(INDEX('AJUSTES'!$B$4:$B$303,MATCH($AU959,'AJUSTES'!$A$4:$A$303,0)),IF($K959="","",$K959)))</f>
        <v/>
      </c>
      <c r="N959" s="24">
        <f>IF($A959="","",IFERROR(INDEX('CAT_ESTADOS_ERP'!$B$4:$B$22,MATCH(IFERROR(INDEX('2_IMPORTAR_EJECUCION'!$C$9:$C$1208,MATCH($AU959,'2_IMPORTAR_EJECUCION'!$J$9:$J$1208,0)),""),'CAT_ESTADOS_ERP'!$A$4:$A$22,0)),"Pendiente"))</f>
        <v/>
      </c>
      <c r="O959" s="24">
        <f>IF($J959="","",YEAR($J959+4-WEEKDAY($J959,2))&amp;"-S"&amp;TEXT(_xlfn.ISOWEEKNUM($J959),"00"))</f>
        <v/>
      </c>
      <c r="P959" s="24">
        <f>IF($J959="","",YEAR($J959))</f>
        <v/>
      </c>
      <c r="Q959" s="24">
        <f>IF($J959="","",MONTH($J959))</f>
        <v/>
      </c>
      <c r="R959" s="24">
        <f>IF($J959="","",$P959&amp;"-"&amp;TEXT($Q959,"00"))</f>
        <v/>
      </c>
      <c r="S959" s="24">
        <f>IF($J959="","",INDEX(lista_dias,WEEKDAY($J959,2)))</f>
        <v/>
      </c>
      <c r="T959" s="24">
        <f>IF($J959="","",IFERROR(INDEX('CALENDARIO'!$C$15:$C$214,MATCH(TEXT($J959,"yyyy-mm-dd")&amp;"|"&amp;$Y959&amp;"|"&amp;$Z959,'CALENDARIO'!$G$15:$G$214,0)),IFERROR(INDEX('CALENDARIO'!$C$15:$C$214,MATCH(TEXT($J959,"yyyy-mm-dd")&amp;"|"&amp;$Y959&amp;"|",'CALENDARIO'!$G$15:$G$214,0)),IFERROR(INDEX('CALENDARIO'!$C$15:$C$214,MATCH(TEXT($J959,"yyyy-mm-dd")&amp;"||",'CALENDARIO'!$G$15:$G$214,0)),INDEX(patronHabil,WEEKDAY($J959,2))))))</f>
        <v/>
      </c>
      <c r="U959" s="24">
        <f>IF($I959="","",IFERROR(INDEX('CAT_TIPOS_OT'!$C$4:$C$23,MATCH($I959,'CAT_TIPOS_OT'!$A$4:$A$23,0)),"sin_clasificar"))</f>
        <v/>
      </c>
      <c r="V959" s="24">
        <f>IF($I959="","",IF(IFERROR(INDEX('CAT_TIPOS_OT'!$D$4:$D$23,MATCH($I959,'CAT_TIPOS_OT'!$A$4:$A$23,0)),"SIN CLASIFICAR")="","SIN CLASIFICAR",IFERROR(INDEX('CAT_TIPOS_OT'!$D$4:$D$23,MATCH($I959,'CAT_TIPOS_OT'!$A$4:$A$23,0)),"SIN CLASIFICAR")))</f>
        <v/>
      </c>
      <c r="W959" s="24">
        <f>IF($H959="","",IF(IFERROR(INDEX('CAT_ACTIVIDADES'!$F$4:$F$26,MATCH($H959,'CAT_ACTIVIDADES'!$A$4:$A$26,0)),"")=0,"",IFERROR(INDEX('CAT_ACTIVIDADES'!$F$4:$F$26,MATCH($H959,'CAT_ACTIVIDADES'!$A$4:$A$26,0)),"")))</f>
        <v/>
      </c>
      <c r="X959" s="24">
        <f>IF($F959="","",IFERROR(INDEX('CAT_CENTROS_COSTO'!$F$4:$F$28,MATCH($F959,'CAT_CENTROS_COSTO'!$A$4:$A$28,0)),"(sin catálogo)"))</f>
        <v/>
      </c>
      <c r="Y959" s="24">
        <f>IF($F959="","",IFERROR(INDEX('CAT_CENTROS_COSTO'!$D$4:$D$28,MATCH($F959,'CAT_CENTROS_COSTO'!$A$4:$A$28,0)),"(sin catálogo)"))</f>
        <v/>
      </c>
      <c r="Z959" s="24">
        <f>IF($F959="","",IF((IFERROR(INDEX('CAT_CENTROS_COSTO'!$E$4:$E$28,MATCH($F959,'CAT_CENTROS_COSTO'!$A$4:$A$28,0)),""))&lt;&gt;"",IFERROR(INDEX('CAT_CENTROS_COSTO'!$E$4:$E$28,MATCH($F959,'CAT_CENTROS_COSTO'!$A$4:$A$28,0)),""),$Y959))</f>
        <v/>
      </c>
      <c r="AA959" s="24">
        <f>IF($F959="","",IFERROR(INDEX('CAT_CENTROS_COSTO'!$G$4:$G$28,MATCH($F959,'CAT_CENTROS_COSTO'!$A$4:$A$28,0)),"(sin catálogo)"))</f>
        <v/>
      </c>
      <c r="AB959" s="24">
        <f>IF($G959="","",IFERROR(INDEX('CAT_PUESTOS'!$B$4:$B$23,MATCH($G959,'CAT_PUESTOS'!$A$4:$A$23,0)),"(sin catálogo)"))</f>
        <v/>
      </c>
      <c r="AC959" s="24">
        <f>IF($H959="","",IFERROR(INDEX('CAT_ACTIVIDADES'!$B$4:$B$26,MATCH($H959,'CAT_ACTIVIDADES'!$A$4:$A$26,0)),"(sin catálogo)"))</f>
        <v/>
      </c>
      <c r="AD959" s="26">
        <f>IF($J959="","",TODAY()-$J959)</f>
        <v/>
      </c>
      <c r="AE959" s="26">
        <f>IF($J959="","",IF($J959&lt;=TODAY(),COUNTIFS(cal_fechas,"&gt;="&amp;$J959,cal_fechas,"&lt;"&amp;TODAY(),cal_habil,"sí"),-COUNTIFS(cal_fechas,"&gt;="&amp;TODAY(),cal_fechas,"&lt;"&amp;$J959,cal_habil,"sí")))</f>
        <v/>
      </c>
      <c r="AF959" s="24">
        <f>IF($AE959="","",IF($AE959&lt;0,"FUTURO",IF($AE959&gt;p_dias_backlog_max,"BACKLOG","MES CORRIENTE")))</f>
        <v/>
      </c>
      <c r="AG959" s="24">
        <f>IF($AE959="",FALSE,AND($AE959&gt;p_dias_backlog_min,$AE959&lt;=p_dias_backlog_max))</f>
        <v/>
      </c>
      <c r="AH959" s="4" t="n"/>
      <c r="AI959" s="24">
        <f>IF($AH959="","",IF((IFERROR(INDEX('ASIGNACIONES'!$J$4:$J$451,MATCH($O959&amp;"|"&amp;$S959&amp;"|"&amp;$AH959,'ASIGNACIONES'!$N$4:$N$451,0)),""))=0,"",IFERROR(INDEX('ASIGNACIONES'!$J$4:$J$451,MATCH($O959&amp;"|"&amp;$S959&amp;"|"&amp;$AH959,'ASIGNACIONES'!$N$4:$N$451,0)),"")))</f>
        <v/>
      </c>
      <c r="AJ959" s="42">
        <f>IF($AH959="","",SUMIFS('ORDENES'!$M$4:$M$1203,'ORDENES'!$AH$4:$AH$1203,$AH959,'ORDENES'!$O$4:$O$1203,$O959,'ORDENES'!$S$4:$S$1203,$S959))</f>
        <v/>
      </c>
      <c r="AK959" s="42">
        <f>IF($AJ959="","",p_factor_productividad*IFERROR(INDEX('ASIGNACIONES'!$M$4:$M$451,MATCH($O959&amp;"|"&amp;$S959&amp;"|"&amp;$AH959,'ASIGNACIONES'!$N$4:$N$451,0)),0)-$AJ959)</f>
        <v/>
      </c>
      <c r="AL959" s="32">
        <f>IF($A959="","",IFERROR(INDEX('2_IMPORTAR_EJECUCION'!$F$9:$F$1208,MATCH($AU959,'2_IMPORTAR_EJECUCION'!$J$9:$J$1208,0)),0))</f>
        <v/>
      </c>
      <c r="AM959" s="32">
        <f>IF($A959="","",MAX(0,IFERROR(INDEX('2_IMPORTAR_EJECUCION'!$H$9:$H$1208,MATCH($AU959,'2_IMPORTAR_EJECUCION'!$J$9:$J$1208,0)),0)-$AL959))</f>
        <v/>
      </c>
      <c r="AN959" s="32">
        <f>IF($A959="","",$AL959+$AM959)</f>
        <v/>
      </c>
      <c r="AO959" s="24">
        <f>IF($A959="","",IF(OR((IFERROR(INDEX('CAT_ACTIVIDADES'!$D$4:$D$26,MATCH($H959,'CAT_ACTIVIDADES'!$A$4:$A$26,0)),""))=0,(IFERROR(INDEX('CAT_ACTIVIDADES'!$D$4:$D$26,MATCH($H959,'CAT_ACTIVIDADES'!$A$4:$A$26,0)),""))=""),"SIN CLASIFICAR",IFERROR(INDEX('CAT_ACTIVIDADES'!$D$4:$D$26,MATCH($H959,'CAT_ACTIVIDADES'!$A$4:$A$26,0)),"")))</f>
        <v/>
      </c>
      <c r="AP959" s="4" t="n"/>
      <c r="AQ959" s="4" t="n"/>
      <c r="AR959" s="4" t="n"/>
      <c r="AS959" s="24">
        <f>IF($AR959="","",HYPERLINK(p_ruta_base_checklists&amp;$AR959,"abrir"))</f>
        <v/>
      </c>
      <c r="AT959" s="4" t="n"/>
      <c r="AU959" s="24">
        <f>IF($A959="","",$A959&amp;IF($B959="","0010",$B959))</f>
        <v/>
      </c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41" t="n"/>
      <c r="K960" s="5" t="n"/>
      <c r="L960" s="18" t="n"/>
      <c r="M960" s="24">
        <f>IF($A960="","",IFERROR(INDEX('AJUSTES'!$B$4:$B$303,MATCH($AU960,'AJUSTES'!$A$4:$A$303,0)),IF($K960="","",$K960)))</f>
        <v/>
      </c>
      <c r="N960" s="24">
        <f>IF($A960="","",IFERROR(INDEX('CAT_ESTADOS_ERP'!$B$4:$B$22,MATCH(IFERROR(INDEX('2_IMPORTAR_EJECUCION'!$C$9:$C$1208,MATCH($AU960,'2_IMPORTAR_EJECUCION'!$J$9:$J$1208,0)),""),'CAT_ESTADOS_ERP'!$A$4:$A$22,0)),"Pendiente"))</f>
        <v/>
      </c>
      <c r="O960" s="24">
        <f>IF($J960="","",YEAR($J960+4-WEEKDAY($J960,2))&amp;"-S"&amp;TEXT(_xlfn.ISOWEEKNUM($J960),"00"))</f>
        <v/>
      </c>
      <c r="P960" s="24">
        <f>IF($J960="","",YEAR($J960))</f>
        <v/>
      </c>
      <c r="Q960" s="24">
        <f>IF($J960="","",MONTH($J960))</f>
        <v/>
      </c>
      <c r="R960" s="24">
        <f>IF($J960="","",$P960&amp;"-"&amp;TEXT($Q960,"00"))</f>
        <v/>
      </c>
      <c r="S960" s="24">
        <f>IF($J960="","",INDEX(lista_dias,WEEKDAY($J960,2)))</f>
        <v/>
      </c>
      <c r="T960" s="24">
        <f>IF($J960="","",IFERROR(INDEX('CALENDARIO'!$C$15:$C$214,MATCH(TEXT($J960,"yyyy-mm-dd")&amp;"|"&amp;$Y960&amp;"|"&amp;$Z960,'CALENDARIO'!$G$15:$G$214,0)),IFERROR(INDEX('CALENDARIO'!$C$15:$C$214,MATCH(TEXT($J960,"yyyy-mm-dd")&amp;"|"&amp;$Y960&amp;"|",'CALENDARIO'!$G$15:$G$214,0)),IFERROR(INDEX('CALENDARIO'!$C$15:$C$214,MATCH(TEXT($J960,"yyyy-mm-dd")&amp;"||",'CALENDARIO'!$G$15:$G$214,0)),INDEX(patronHabil,WEEKDAY($J960,2))))))</f>
        <v/>
      </c>
      <c r="U960" s="24">
        <f>IF($I960="","",IFERROR(INDEX('CAT_TIPOS_OT'!$C$4:$C$23,MATCH($I960,'CAT_TIPOS_OT'!$A$4:$A$23,0)),"sin_clasificar"))</f>
        <v/>
      </c>
      <c r="V960" s="24">
        <f>IF($I960="","",IF(IFERROR(INDEX('CAT_TIPOS_OT'!$D$4:$D$23,MATCH($I960,'CAT_TIPOS_OT'!$A$4:$A$23,0)),"SIN CLASIFICAR")="","SIN CLASIFICAR",IFERROR(INDEX('CAT_TIPOS_OT'!$D$4:$D$23,MATCH($I960,'CAT_TIPOS_OT'!$A$4:$A$23,0)),"SIN CLASIFICAR")))</f>
        <v/>
      </c>
      <c r="W960" s="24">
        <f>IF($H960="","",IF(IFERROR(INDEX('CAT_ACTIVIDADES'!$F$4:$F$26,MATCH($H960,'CAT_ACTIVIDADES'!$A$4:$A$26,0)),"")=0,"",IFERROR(INDEX('CAT_ACTIVIDADES'!$F$4:$F$26,MATCH($H960,'CAT_ACTIVIDADES'!$A$4:$A$26,0)),"")))</f>
        <v/>
      </c>
      <c r="X960" s="24">
        <f>IF($F960="","",IFERROR(INDEX('CAT_CENTROS_COSTO'!$F$4:$F$28,MATCH($F960,'CAT_CENTROS_COSTO'!$A$4:$A$28,0)),"(sin catálogo)"))</f>
        <v/>
      </c>
      <c r="Y960" s="24">
        <f>IF($F960="","",IFERROR(INDEX('CAT_CENTROS_COSTO'!$D$4:$D$28,MATCH($F960,'CAT_CENTROS_COSTO'!$A$4:$A$28,0)),"(sin catálogo)"))</f>
        <v/>
      </c>
      <c r="Z960" s="24">
        <f>IF($F960="","",IF((IFERROR(INDEX('CAT_CENTROS_COSTO'!$E$4:$E$28,MATCH($F960,'CAT_CENTROS_COSTO'!$A$4:$A$28,0)),""))&lt;&gt;"",IFERROR(INDEX('CAT_CENTROS_COSTO'!$E$4:$E$28,MATCH($F960,'CAT_CENTROS_COSTO'!$A$4:$A$28,0)),""),$Y960))</f>
        <v/>
      </c>
      <c r="AA960" s="24">
        <f>IF($F960="","",IFERROR(INDEX('CAT_CENTROS_COSTO'!$G$4:$G$28,MATCH($F960,'CAT_CENTROS_COSTO'!$A$4:$A$28,0)),"(sin catálogo)"))</f>
        <v/>
      </c>
      <c r="AB960" s="24">
        <f>IF($G960="","",IFERROR(INDEX('CAT_PUESTOS'!$B$4:$B$23,MATCH($G960,'CAT_PUESTOS'!$A$4:$A$23,0)),"(sin catálogo)"))</f>
        <v/>
      </c>
      <c r="AC960" s="24">
        <f>IF($H960="","",IFERROR(INDEX('CAT_ACTIVIDADES'!$B$4:$B$26,MATCH($H960,'CAT_ACTIVIDADES'!$A$4:$A$26,0)),"(sin catálogo)"))</f>
        <v/>
      </c>
      <c r="AD960" s="26">
        <f>IF($J960="","",TODAY()-$J960)</f>
        <v/>
      </c>
      <c r="AE960" s="26">
        <f>IF($J960="","",IF($J960&lt;=TODAY(),COUNTIFS(cal_fechas,"&gt;="&amp;$J960,cal_fechas,"&lt;"&amp;TODAY(),cal_habil,"sí"),-COUNTIFS(cal_fechas,"&gt;="&amp;TODAY(),cal_fechas,"&lt;"&amp;$J960,cal_habil,"sí")))</f>
        <v/>
      </c>
      <c r="AF960" s="24">
        <f>IF($AE960="","",IF($AE960&lt;0,"FUTURO",IF($AE960&gt;p_dias_backlog_max,"BACKLOG","MES CORRIENTE")))</f>
        <v/>
      </c>
      <c r="AG960" s="24">
        <f>IF($AE960="",FALSE,AND($AE960&gt;p_dias_backlog_min,$AE960&lt;=p_dias_backlog_max))</f>
        <v/>
      </c>
      <c r="AH960" s="4" t="n"/>
      <c r="AI960" s="24">
        <f>IF($AH960="","",IF((IFERROR(INDEX('ASIGNACIONES'!$J$4:$J$451,MATCH($O960&amp;"|"&amp;$S960&amp;"|"&amp;$AH960,'ASIGNACIONES'!$N$4:$N$451,0)),""))=0,"",IFERROR(INDEX('ASIGNACIONES'!$J$4:$J$451,MATCH($O960&amp;"|"&amp;$S960&amp;"|"&amp;$AH960,'ASIGNACIONES'!$N$4:$N$451,0)),"")))</f>
        <v/>
      </c>
      <c r="AJ960" s="42">
        <f>IF($AH960="","",SUMIFS('ORDENES'!$M$4:$M$1203,'ORDENES'!$AH$4:$AH$1203,$AH960,'ORDENES'!$O$4:$O$1203,$O960,'ORDENES'!$S$4:$S$1203,$S960))</f>
        <v/>
      </c>
      <c r="AK960" s="42">
        <f>IF($AJ960="","",p_factor_productividad*IFERROR(INDEX('ASIGNACIONES'!$M$4:$M$451,MATCH($O960&amp;"|"&amp;$S960&amp;"|"&amp;$AH960,'ASIGNACIONES'!$N$4:$N$451,0)),0)-$AJ960)</f>
        <v/>
      </c>
      <c r="AL960" s="32">
        <f>IF($A960="","",IFERROR(INDEX('2_IMPORTAR_EJECUCION'!$F$9:$F$1208,MATCH($AU960,'2_IMPORTAR_EJECUCION'!$J$9:$J$1208,0)),0))</f>
        <v/>
      </c>
      <c r="AM960" s="32">
        <f>IF($A960="","",MAX(0,IFERROR(INDEX('2_IMPORTAR_EJECUCION'!$H$9:$H$1208,MATCH($AU960,'2_IMPORTAR_EJECUCION'!$J$9:$J$1208,0)),0)-$AL960))</f>
        <v/>
      </c>
      <c r="AN960" s="32">
        <f>IF($A960="","",$AL960+$AM960)</f>
        <v/>
      </c>
      <c r="AO960" s="24">
        <f>IF($A960="","",IF(OR((IFERROR(INDEX('CAT_ACTIVIDADES'!$D$4:$D$26,MATCH($H960,'CAT_ACTIVIDADES'!$A$4:$A$26,0)),""))=0,(IFERROR(INDEX('CAT_ACTIVIDADES'!$D$4:$D$26,MATCH($H960,'CAT_ACTIVIDADES'!$A$4:$A$26,0)),""))=""),"SIN CLASIFICAR",IFERROR(INDEX('CAT_ACTIVIDADES'!$D$4:$D$26,MATCH($H960,'CAT_ACTIVIDADES'!$A$4:$A$26,0)),"")))</f>
        <v/>
      </c>
      <c r="AP960" s="4" t="n"/>
      <c r="AQ960" s="4" t="n"/>
      <c r="AR960" s="4" t="n"/>
      <c r="AS960" s="24">
        <f>IF($AR960="","",HYPERLINK(p_ruta_base_checklists&amp;$AR960,"abrir"))</f>
        <v/>
      </c>
      <c r="AT960" s="4" t="n"/>
      <c r="AU960" s="24">
        <f>IF($A960="","",$A960&amp;IF($B960="","0010",$B960))</f>
        <v/>
      </c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41" t="n"/>
      <c r="K961" s="5" t="n"/>
      <c r="L961" s="18" t="n"/>
      <c r="M961" s="24">
        <f>IF($A961="","",IFERROR(INDEX('AJUSTES'!$B$4:$B$303,MATCH($AU961,'AJUSTES'!$A$4:$A$303,0)),IF($K961="","",$K961)))</f>
        <v/>
      </c>
      <c r="N961" s="24">
        <f>IF($A961="","",IFERROR(INDEX('CAT_ESTADOS_ERP'!$B$4:$B$22,MATCH(IFERROR(INDEX('2_IMPORTAR_EJECUCION'!$C$9:$C$1208,MATCH($AU961,'2_IMPORTAR_EJECUCION'!$J$9:$J$1208,0)),""),'CAT_ESTADOS_ERP'!$A$4:$A$22,0)),"Pendiente"))</f>
        <v/>
      </c>
      <c r="O961" s="24">
        <f>IF($J961="","",YEAR($J961+4-WEEKDAY($J961,2))&amp;"-S"&amp;TEXT(_xlfn.ISOWEEKNUM($J961),"00"))</f>
        <v/>
      </c>
      <c r="P961" s="24">
        <f>IF($J961="","",YEAR($J961))</f>
        <v/>
      </c>
      <c r="Q961" s="24">
        <f>IF($J961="","",MONTH($J961))</f>
        <v/>
      </c>
      <c r="R961" s="24">
        <f>IF($J961="","",$P961&amp;"-"&amp;TEXT($Q961,"00"))</f>
        <v/>
      </c>
      <c r="S961" s="24">
        <f>IF($J961="","",INDEX(lista_dias,WEEKDAY($J961,2)))</f>
        <v/>
      </c>
      <c r="T961" s="24">
        <f>IF($J961="","",IFERROR(INDEX('CALENDARIO'!$C$15:$C$214,MATCH(TEXT($J961,"yyyy-mm-dd")&amp;"|"&amp;$Y961&amp;"|"&amp;$Z961,'CALENDARIO'!$G$15:$G$214,0)),IFERROR(INDEX('CALENDARIO'!$C$15:$C$214,MATCH(TEXT($J961,"yyyy-mm-dd")&amp;"|"&amp;$Y961&amp;"|",'CALENDARIO'!$G$15:$G$214,0)),IFERROR(INDEX('CALENDARIO'!$C$15:$C$214,MATCH(TEXT($J961,"yyyy-mm-dd")&amp;"||",'CALENDARIO'!$G$15:$G$214,0)),INDEX(patronHabil,WEEKDAY($J961,2))))))</f>
        <v/>
      </c>
      <c r="U961" s="24">
        <f>IF($I961="","",IFERROR(INDEX('CAT_TIPOS_OT'!$C$4:$C$23,MATCH($I961,'CAT_TIPOS_OT'!$A$4:$A$23,0)),"sin_clasificar"))</f>
        <v/>
      </c>
      <c r="V961" s="24">
        <f>IF($I961="","",IF(IFERROR(INDEX('CAT_TIPOS_OT'!$D$4:$D$23,MATCH($I961,'CAT_TIPOS_OT'!$A$4:$A$23,0)),"SIN CLASIFICAR")="","SIN CLASIFICAR",IFERROR(INDEX('CAT_TIPOS_OT'!$D$4:$D$23,MATCH($I961,'CAT_TIPOS_OT'!$A$4:$A$23,0)),"SIN CLASIFICAR")))</f>
        <v/>
      </c>
      <c r="W961" s="24">
        <f>IF($H961="","",IF(IFERROR(INDEX('CAT_ACTIVIDADES'!$F$4:$F$26,MATCH($H961,'CAT_ACTIVIDADES'!$A$4:$A$26,0)),"")=0,"",IFERROR(INDEX('CAT_ACTIVIDADES'!$F$4:$F$26,MATCH($H961,'CAT_ACTIVIDADES'!$A$4:$A$26,0)),"")))</f>
        <v/>
      </c>
      <c r="X961" s="24">
        <f>IF($F961="","",IFERROR(INDEX('CAT_CENTROS_COSTO'!$F$4:$F$28,MATCH($F961,'CAT_CENTROS_COSTO'!$A$4:$A$28,0)),"(sin catálogo)"))</f>
        <v/>
      </c>
      <c r="Y961" s="24">
        <f>IF($F961="","",IFERROR(INDEX('CAT_CENTROS_COSTO'!$D$4:$D$28,MATCH($F961,'CAT_CENTROS_COSTO'!$A$4:$A$28,0)),"(sin catálogo)"))</f>
        <v/>
      </c>
      <c r="Z961" s="24">
        <f>IF($F961="","",IF((IFERROR(INDEX('CAT_CENTROS_COSTO'!$E$4:$E$28,MATCH($F961,'CAT_CENTROS_COSTO'!$A$4:$A$28,0)),""))&lt;&gt;"",IFERROR(INDEX('CAT_CENTROS_COSTO'!$E$4:$E$28,MATCH($F961,'CAT_CENTROS_COSTO'!$A$4:$A$28,0)),""),$Y961))</f>
        <v/>
      </c>
      <c r="AA961" s="24">
        <f>IF($F961="","",IFERROR(INDEX('CAT_CENTROS_COSTO'!$G$4:$G$28,MATCH($F961,'CAT_CENTROS_COSTO'!$A$4:$A$28,0)),"(sin catálogo)"))</f>
        <v/>
      </c>
      <c r="AB961" s="24">
        <f>IF($G961="","",IFERROR(INDEX('CAT_PUESTOS'!$B$4:$B$23,MATCH($G961,'CAT_PUESTOS'!$A$4:$A$23,0)),"(sin catálogo)"))</f>
        <v/>
      </c>
      <c r="AC961" s="24">
        <f>IF($H961="","",IFERROR(INDEX('CAT_ACTIVIDADES'!$B$4:$B$26,MATCH($H961,'CAT_ACTIVIDADES'!$A$4:$A$26,0)),"(sin catálogo)"))</f>
        <v/>
      </c>
      <c r="AD961" s="26">
        <f>IF($J961="","",TODAY()-$J961)</f>
        <v/>
      </c>
      <c r="AE961" s="26">
        <f>IF($J961="","",IF($J961&lt;=TODAY(),COUNTIFS(cal_fechas,"&gt;="&amp;$J961,cal_fechas,"&lt;"&amp;TODAY(),cal_habil,"sí"),-COUNTIFS(cal_fechas,"&gt;="&amp;TODAY(),cal_fechas,"&lt;"&amp;$J961,cal_habil,"sí")))</f>
        <v/>
      </c>
      <c r="AF961" s="24">
        <f>IF($AE961="","",IF($AE961&lt;0,"FUTURO",IF($AE961&gt;p_dias_backlog_max,"BACKLOG","MES CORRIENTE")))</f>
        <v/>
      </c>
      <c r="AG961" s="24">
        <f>IF($AE961="",FALSE,AND($AE961&gt;p_dias_backlog_min,$AE961&lt;=p_dias_backlog_max))</f>
        <v/>
      </c>
      <c r="AH961" s="4" t="n"/>
      <c r="AI961" s="24">
        <f>IF($AH961="","",IF((IFERROR(INDEX('ASIGNACIONES'!$J$4:$J$451,MATCH($O961&amp;"|"&amp;$S961&amp;"|"&amp;$AH961,'ASIGNACIONES'!$N$4:$N$451,0)),""))=0,"",IFERROR(INDEX('ASIGNACIONES'!$J$4:$J$451,MATCH($O961&amp;"|"&amp;$S961&amp;"|"&amp;$AH961,'ASIGNACIONES'!$N$4:$N$451,0)),"")))</f>
        <v/>
      </c>
      <c r="AJ961" s="42">
        <f>IF($AH961="","",SUMIFS('ORDENES'!$M$4:$M$1203,'ORDENES'!$AH$4:$AH$1203,$AH961,'ORDENES'!$O$4:$O$1203,$O961,'ORDENES'!$S$4:$S$1203,$S961))</f>
        <v/>
      </c>
      <c r="AK961" s="42">
        <f>IF($AJ961="","",p_factor_productividad*IFERROR(INDEX('ASIGNACIONES'!$M$4:$M$451,MATCH($O961&amp;"|"&amp;$S961&amp;"|"&amp;$AH961,'ASIGNACIONES'!$N$4:$N$451,0)),0)-$AJ961)</f>
        <v/>
      </c>
      <c r="AL961" s="32">
        <f>IF($A961="","",IFERROR(INDEX('2_IMPORTAR_EJECUCION'!$F$9:$F$1208,MATCH($AU961,'2_IMPORTAR_EJECUCION'!$J$9:$J$1208,0)),0))</f>
        <v/>
      </c>
      <c r="AM961" s="32">
        <f>IF($A961="","",MAX(0,IFERROR(INDEX('2_IMPORTAR_EJECUCION'!$H$9:$H$1208,MATCH($AU961,'2_IMPORTAR_EJECUCION'!$J$9:$J$1208,0)),0)-$AL961))</f>
        <v/>
      </c>
      <c r="AN961" s="32">
        <f>IF($A961="","",$AL961+$AM961)</f>
        <v/>
      </c>
      <c r="AO961" s="24">
        <f>IF($A961="","",IF(OR((IFERROR(INDEX('CAT_ACTIVIDADES'!$D$4:$D$26,MATCH($H961,'CAT_ACTIVIDADES'!$A$4:$A$26,0)),""))=0,(IFERROR(INDEX('CAT_ACTIVIDADES'!$D$4:$D$26,MATCH($H961,'CAT_ACTIVIDADES'!$A$4:$A$26,0)),""))=""),"SIN CLASIFICAR",IFERROR(INDEX('CAT_ACTIVIDADES'!$D$4:$D$26,MATCH($H961,'CAT_ACTIVIDADES'!$A$4:$A$26,0)),"")))</f>
        <v/>
      </c>
      <c r="AP961" s="4" t="n"/>
      <c r="AQ961" s="4" t="n"/>
      <c r="AR961" s="4" t="n"/>
      <c r="AS961" s="24">
        <f>IF($AR961="","",HYPERLINK(p_ruta_base_checklists&amp;$AR961,"abrir"))</f>
        <v/>
      </c>
      <c r="AT961" s="4" t="n"/>
      <c r="AU961" s="24">
        <f>IF($A961="","",$A961&amp;IF($B961="","0010",$B961))</f>
        <v/>
      </c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41" t="n"/>
      <c r="K962" s="5" t="n"/>
      <c r="L962" s="18" t="n"/>
      <c r="M962" s="24">
        <f>IF($A962="","",IFERROR(INDEX('AJUSTES'!$B$4:$B$303,MATCH($AU962,'AJUSTES'!$A$4:$A$303,0)),IF($K962="","",$K962)))</f>
        <v/>
      </c>
      <c r="N962" s="24">
        <f>IF($A962="","",IFERROR(INDEX('CAT_ESTADOS_ERP'!$B$4:$B$22,MATCH(IFERROR(INDEX('2_IMPORTAR_EJECUCION'!$C$9:$C$1208,MATCH($AU962,'2_IMPORTAR_EJECUCION'!$J$9:$J$1208,0)),""),'CAT_ESTADOS_ERP'!$A$4:$A$22,0)),"Pendiente"))</f>
        <v/>
      </c>
      <c r="O962" s="24">
        <f>IF($J962="","",YEAR($J962+4-WEEKDAY($J962,2))&amp;"-S"&amp;TEXT(_xlfn.ISOWEEKNUM($J962),"00"))</f>
        <v/>
      </c>
      <c r="P962" s="24">
        <f>IF($J962="","",YEAR($J962))</f>
        <v/>
      </c>
      <c r="Q962" s="24">
        <f>IF($J962="","",MONTH($J962))</f>
        <v/>
      </c>
      <c r="R962" s="24">
        <f>IF($J962="","",$P962&amp;"-"&amp;TEXT($Q962,"00"))</f>
        <v/>
      </c>
      <c r="S962" s="24">
        <f>IF($J962="","",INDEX(lista_dias,WEEKDAY($J962,2)))</f>
        <v/>
      </c>
      <c r="T962" s="24">
        <f>IF($J962="","",IFERROR(INDEX('CALENDARIO'!$C$15:$C$214,MATCH(TEXT($J962,"yyyy-mm-dd")&amp;"|"&amp;$Y962&amp;"|"&amp;$Z962,'CALENDARIO'!$G$15:$G$214,0)),IFERROR(INDEX('CALENDARIO'!$C$15:$C$214,MATCH(TEXT($J962,"yyyy-mm-dd")&amp;"|"&amp;$Y962&amp;"|",'CALENDARIO'!$G$15:$G$214,0)),IFERROR(INDEX('CALENDARIO'!$C$15:$C$214,MATCH(TEXT($J962,"yyyy-mm-dd")&amp;"||",'CALENDARIO'!$G$15:$G$214,0)),INDEX(patronHabil,WEEKDAY($J962,2))))))</f>
        <v/>
      </c>
      <c r="U962" s="24">
        <f>IF($I962="","",IFERROR(INDEX('CAT_TIPOS_OT'!$C$4:$C$23,MATCH($I962,'CAT_TIPOS_OT'!$A$4:$A$23,0)),"sin_clasificar"))</f>
        <v/>
      </c>
      <c r="V962" s="24">
        <f>IF($I962="","",IF(IFERROR(INDEX('CAT_TIPOS_OT'!$D$4:$D$23,MATCH($I962,'CAT_TIPOS_OT'!$A$4:$A$23,0)),"SIN CLASIFICAR")="","SIN CLASIFICAR",IFERROR(INDEX('CAT_TIPOS_OT'!$D$4:$D$23,MATCH($I962,'CAT_TIPOS_OT'!$A$4:$A$23,0)),"SIN CLASIFICAR")))</f>
        <v/>
      </c>
      <c r="W962" s="24">
        <f>IF($H962="","",IF(IFERROR(INDEX('CAT_ACTIVIDADES'!$F$4:$F$26,MATCH($H962,'CAT_ACTIVIDADES'!$A$4:$A$26,0)),"")=0,"",IFERROR(INDEX('CAT_ACTIVIDADES'!$F$4:$F$26,MATCH($H962,'CAT_ACTIVIDADES'!$A$4:$A$26,0)),"")))</f>
        <v/>
      </c>
      <c r="X962" s="24">
        <f>IF($F962="","",IFERROR(INDEX('CAT_CENTROS_COSTO'!$F$4:$F$28,MATCH($F962,'CAT_CENTROS_COSTO'!$A$4:$A$28,0)),"(sin catálogo)"))</f>
        <v/>
      </c>
      <c r="Y962" s="24">
        <f>IF($F962="","",IFERROR(INDEX('CAT_CENTROS_COSTO'!$D$4:$D$28,MATCH($F962,'CAT_CENTROS_COSTO'!$A$4:$A$28,0)),"(sin catálogo)"))</f>
        <v/>
      </c>
      <c r="Z962" s="24">
        <f>IF($F962="","",IF((IFERROR(INDEX('CAT_CENTROS_COSTO'!$E$4:$E$28,MATCH($F962,'CAT_CENTROS_COSTO'!$A$4:$A$28,0)),""))&lt;&gt;"",IFERROR(INDEX('CAT_CENTROS_COSTO'!$E$4:$E$28,MATCH($F962,'CAT_CENTROS_COSTO'!$A$4:$A$28,0)),""),$Y962))</f>
        <v/>
      </c>
      <c r="AA962" s="24">
        <f>IF($F962="","",IFERROR(INDEX('CAT_CENTROS_COSTO'!$G$4:$G$28,MATCH($F962,'CAT_CENTROS_COSTO'!$A$4:$A$28,0)),"(sin catálogo)"))</f>
        <v/>
      </c>
      <c r="AB962" s="24">
        <f>IF($G962="","",IFERROR(INDEX('CAT_PUESTOS'!$B$4:$B$23,MATCH($G962,'CAT_PUESTOS'!$A$4:$A$23,0)),"(sin catálogo)"))</f>
        <v/>
      </c>
      <c r="AC962" s="24">
        <f>IF($H962="","",IFERROR(INDEX('CAT_ACTIVIDADES'!$B$4:$B$26,MATCH($H962,'CAT_ACTIVIDADES'!$A$4:$A$26,0)),"(sin catálogo)"))</f>
        <v/>
      </c>
      <c r="AD962" s="26">
        <f>IF($J962="","",TODAY()-$J962)</f>
        <v/>
      </c>
      <c r="AE962" s="26">
        <f>IF($J962="","",IF($J962&lt;=TODAY(),COUNTIFS(cal_fechas,"&gt;="&amp;$J962,cal_fechas,"&lt;"&amp;TODAY(),cal_habil,"sí"),-COUNTIFS(cal_fechas,"&gt;="&amp;TODAY(),cal_fechas,"&lt;"&amp;$J962,cal_habil,"sí")))</f>
        <v/>
      </c>
      <c r="AF962" s="24">
        <f>IF($AE962="","",IF($AE962&lt;0,"FUTURO",IF($AE962&gt;p_dias_backlog_max,"BACKLOG","MES CORRIENTE")))</f>
        <v/>
      </c>
      <c r="AG962" s="24">
        <f>IF($AE962="",FALSE,AND($AE962&gt;p_dias_backlog_min,$AE962&lt;=p_dias_backlog_max))</f>
        <v/>
      </c>
      <c r="AH962" s="4" t="n"/>
      <c r="AI962" s="24">
        <f>IF($AH962="","",IF((IFERROR(INDEX('ASIGNACIONES'!$J$4:$J$451,MATCH($O962&amp;"|"&amp;$S962&amp;"|"&amp;$AH962,'ASIGNACIONES'!$N$4:$N$451,0)),""))=0,"",IFERROR(INDEX('ASIGNACIONES'!$J$4:$J$451,MATCH($O962&amp;"|"&amp;$S962&amp;"|"&amp;$AH962,'ASIGNACIONES'!$N$4:$N$451,0)),"")))</f>
        <v/>
      </c>
      <c r="AJ962" s="42">
        <f>IF($AH962="","",SUMIFS('ORDENES'!$M$4:$M$1203,'ORDENES'!$AH$4:$AH$1203,$AH962,'ORDENES'!$O$4:$O$1203,$O962,'ORDENES'!$S$4:$S$1203,$S962))</f>
        <v/>
      </c>
      <c r="AK962" s="42">
        <f>IF($AJ962="","",p_factor_productividad*IFERROR(INDEX('ASIGNACIONES'!$M$4:$M$451,MATCH($O962&amp;"|"&amp;$S962&amp;"|"&amp;$AH962,'ASIGNACIONES'!$N$4:$N$451,0)),0)-$AJ962)</f>
        <v/>
      </c>
      <c r="AL962" s="32">
        <f>IF($A962="","",IFERROR(INDEX('2_IMPORTAR_EJECUCION'!$F$9:$F$1208,MATCH($AU962,'2_IMPORTAR_EJECUCION'!$J$9:$J$1208,0)),0))</f>
        <v/>
      </c>
      <c r="AM962" s="32">
        <f>IF($A962="","",MAX(0,IFERROR(INDEX('2_IMPORTAR_EJECUCION'!$H$9:$H$1208,MATCH($AU962,'2_IMPORTAR_EJECUCION'!$J$9:$J$1208,0)),0)-$AL962))</f>
        <v/>
      </c>
      <c r="AN962" s="32">
        <f>IF($A962="","",$AL962+$AM962)</f>
        <v/>
      </c>
      <c r="AO962" s="24">
        <f>IF($A962="","",IF(OR((IFERROR(INDEX('CAT_ACTIVIDADES'!$D$4:$D$26,MATCH($H962,'CAT_ACTIVIDADES'!$A$4:$A$26,0)),""))=0,(IFERROR(INDEX('CAT_ACTIVIDADES'!$D$4:$D$26,MATCH($H962,'CAT_ACTIVIDADES'!$A$4:$A$26,0)),""))=""),"SIN CLASIFICAR",IFERROR(INDEX('CAT_ACTIVIDADES'!$D$4:$D$26,MATCH($H962,'CAT_ACTIVIDADES'!$A$4:$A$26,0)),"")))</f>
        <v/>
      </c>
      <c r="AP962" s="4" t="n"/>
      <c r="AQ962" s="4" t="n"/>
      <c r="AR962" s="4" t="n"/>
      <c r="AS962" s="24">
        <f>IF($AR962="","",HYPERLINK(p_ruta_base_checklists&amp;$AR962,"abrir"))</f>
        <v/>
      </c>
      <c r="AT962" s="4" t="n"/>
      <c r="AU962" s="24">
        <f>IF($A962="","",$A962&amp;IF($B962="","0010",$B962))</f>
        <v/>
      </c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41" t="n"/>
      <c r="K963" s="5" t="n"/>
      <c r="L963" s="18" t="n"/>
      <c r="M963" s="24">
        <f>IF($A963="","",IFERROR(INDEX('AJUSTES'!$B$4:$B$303,MATCH($AU963,'AJUSTES'!$A$4:$A$303,0)),IF($K963="","",$K963)))</f>
        <v/>
      </c>
      <c r="N963" s="24">
        <f>IF($A963="","",IFERROR(INDEX('CAT_ESTADOS_ERP'!$B$4:$B$22,MATCH(IFERROR(INDEX('2_IMPORTAR_EJECUCION'!$C$9:$C$1208,MATCH($AU963,'2_IMPORTAR_EJECUCION'!$J$9:$J$1208,0)),""),'CAT_ESTADOS_ERP'!$A$4:$A$22,0)),"Pendiente"))</f>
        <v/>
      </c>
      <c r="O963" s="24">
        <f>IF($J963="","",YEAR($J963+4-WEEKDAY($J963,2))&amp;"-S"&amp;TEXT(_xlfn.ISOWEEKNUM($J963),"00"))</f>
        <v/>
      </c>
      <c r="P963" s="24">
        <f>IF($J963="","",YEAR($J963))</f>
        <v/>
      </c>
      <c r="Q963" s="24">
        <f>IF($J963="","",MONTH($J963))</f>
        <v/>
      </c>
      <c r="R963" s="24">
        <f>IF($J963="","",$P963&amp;"-"&amp;TEXT($Q963,"00"))</f>
        <v/>
      </c>
      <c r="S963" s="24">
        <f>IF($J963="","",INDEX(lista_dias,WEEKDAY($J963,2)))</f>
        <v/>
      </c>
      <c r="T963" s="24">
        <f>IF($J963="","",IFERROR(INDEX('CALENDARIO'!$C$15:$C$214,MATCH(TEXT($J963,"yyyy-mm-dd")&amp;"|"&amp;$Y963&amp;"|"&amp;$Z963,'CALENDARIO'!$G$15:$G$214,0)),IFERROR(INDEX('CALENDARIO'!$C$15:$C$214,MATCH(TEXT($J963,"yyyy-mm-dd")&amp;"|"&amp;$Y963&amp;"|",'CALENDARIO'!$G$15:$G$214,0)),IFERROR(INDEX('CALENDARIO'!$C$15:$C$214,MATCH(TEXT($J963,"yyyy-mm-dd")&amp;"||",'CALENDARIO'!$G$15:$G$214,0)),INDEX(patronHabil,WEEKDAY($J963,2))))))</f>
        <v/>
      </c>
      <c r="U963" s="24">
        <f>IF($I963="","",IFERROR(INDEX('CAT_TIPOS_OT'!$C$4:$C$23,MATCH($I963,'CAT_TIPOS_OT'!$A$4:$A$23,0)),"sin_clasificar"))</f>
        <v/>
      </c>
      <c r="V963" s="24">
        <f>IF($I963="","",IF(IFERROR(INDEX('CAT_TIPOS_OT'!$D$4:$D$23,MATCH($I963,'CAT_TIPOS_OT'!$A$4:$A$23,0)),"SIN CLASIFICAR")="","SIN CLASIFICAR",IFERROR(INDEX('CAT_TIPOS_OT'!$D$4:$D$23,MATCH($I963,'CAT_TIPOS_OT'!$A$4:$A$23,0)),"SIN CLASIFICAR")))</f>
        <v/>
      </c>
      <c r="W963" s="24">
        <f>IF($H963="","",IF(IFERROR(INDEX('CAT_ACTIVIDADES'!$F$4:$F$26,MATCH($H963,'CAT_ACTIVIDADES'!$A$4:$A$26,0)),"")=0,"",IFERROR(INDEX('CAT_ACTIVIDADES'!$F$4:$F$26,MATCH($H963,'CAT_ACTIVIDADES'!$A$4:$A$26,0)),"")))</f>
        <v/>
      </c>
      <c r="X963" s="24">
        <f>IF($F963="","",IFERROR(INDEX('CAT_CENTROS_COSTO'!$F$4:$F$28,MATCH($F963,'CAT_CENTROS_COSTO'!$A$4:$A$28,0)),"(sin catálogo)"))</f>
        <v/>
      </c>
      <c r="Y963" s="24">
        <f>IF($F963="","",IFERROR(INDEX('CAT_CENTROS_COSTO'!$D$4:$D$28,MATCH($F963,'CAT_CENTROS_COSTO'!$A$4:$A$28,0)),"(sin catálogo)"))</f>
        <v/>
      </c>
      <c r="Z963" s="24">
        <f>IF($F963="","",IF((IFERROR(INDEX('CAT_CENTROS_COSTO'!$E$4:$E$28,MATCH($F963,'CAT_CENTROS_COSTO'!$A$4:$A$28,0)),""))&lt;&gt;"",IFERROR(INDEX('CAT_CENTROS_COSTO'!$E$4:$E$28,MATCH($F963,'CAT_CENTROS_COSTO'!$A$4:$A$28,0)),""),$Y963))</f>
        <v/>
      </c>
      <c r="AA963" s="24">
        <f>IF($F963="","",IFERROR(INDEX('CAT_CENTROS_COSTO'!$G$4:$G$28,MATCH($F963,'CAT_CENTROS_COSTO'!$A$4:$A$28,0)),"(sin catálogo)"))</f>
        <v/>
      </c>
      <c r="AB963" s="24">
        <f>IF($G963="","",IFERROR(INDEX('CAT_PUESTOS'!$B$4:$B$23,MATCH($G963,'CAT_PUESTOS'!$A$4:$A$23,0)),"(sin catálogo)"))</f>
        <v/>
      </c>
      <c r="AC963" s="24">
        <f>IF($H963="","",IFERROR(INDEX('CAT_ACTIVIDADES'!$B$4:$B$26,MATCH($H963,'CAT_ACTIVIDADES'!$A$4:$A$26,0)),"(sin catálogo)"))</f>
        <v/>
      </c>
      <c r="AD963" s="26">
        <f>IF($J963="","",TODAY()-$J963)</f>
        <v/>
      </c>
      <c r="AE963" s="26">
        <f>IF($J963="","",IF($J963&lt;=TODAY(),COUNTIFS(cal_fechas,"&gt;="&amp;$J963,cal_fechas,"&lt;"&amp;TODAY(),cal_habil,"sí"),-COUNTIFS(cal_fechas,"&gt;="&amp;TODAY(),cal_fechas,"&lt;"&amp;$J963,cal_habil,"sí")))</f>
        <v/>
      </c>
      <c r="AF963" s="24">
        <f>IF($AE963="","",IF($AE963&lt;0,"FUTURO",IF($AE963&gt;p_dias_backlog_max,"BACKLOG","MES CORRIENTE")))</f>
        <v/>
      </c>
      <c r="AG963" s="24">
        <f>IF($AE963="",FALSE,AND($AE963&gt;p_dias_backlog_min,$AE963&lt;=p_dias_backlog_max))</f>
        <v/>
      </c>
      <c r="AH963" s="4" t="n"/>
      <c r="AI963" s="24">
        <f>IF($AH963="","",IF((IFERROR(INDEX('ASIGNACIONES'!$J$4:$J$451,MATCH($O963&amp;"|"&amp;$S963&amp;"|"&amp;$AH963,'ASIGNACIONES'!$N$4:$N$451,0)),""))=0,"",IFERROR(INDEX('ASIGNACIONES'!$J$4:$J$451,MATCH($O963&amp;"|"&amp;$S963&amp;"|"&amp;$AH963,'ASIGNACIONES'!$N$4:$N$451,0)),"")))</f>
        <v/>
      </c>
      <c r="AJ963" s="42">
        <f>IF($AH963="","",SUMIFS('ORDENES'!$M$4:$M$1203,'ORDENES'!$AH$4:$AH$1203,$AH963,'ORDENES'!$O$4:$O$1203,$O963,'ORDENES'!$S$4:$S$1203,$S963))</f>
        <v/>
      </c>
      <c r="AK963" s="42">
        <f>IF($AJ963="","",p_factor_productividad*IFERROR(INDEX('ASIGNACIONES'!$M$4:$M$451,MATCH($O963&amp;"|"&amp;$S963&amp;"|"&amp;$AH963,'ASIGNACIONES'!$N$4:$N$451,0)),0)-$AJ963)</f>
        <v/>
      </c>
      <c r="AL963" s="32">
        <f>IF($A963="","",IFERROR(INDEX('2_IMPORTAR_EJECUCION'!$F$9:$F$1208,MATCH($AU963,'2_IMPORTAR_EJECUCION'!$J$9:$J$1208,0)),0))</f>
        <v/>
      </c>
      <c r="AM963" s="32">
        <f>IF($A963="","",MAX(0,IFERROR(INDEX('2_IMPORTAR_EJECUCION'!$H$9:$H$1208,MATCH($AU963,'2_IMPORTAR_EJECUCION'!$J$9:$J$1208,0)),0)-$AL963))</f>
        <v/>
      </c>
      <c r="AN963" s="32">
        <f>IF($A963="","",$AL963+$AM963)</f>
        <v/>
      </c>
      <c r="AO963" s="24">
        <f>IF($A963="","",IF(OR((IFERROR(INDEX('CAT_ACTIVIDADES'!$D$4:$D$26,MATCH($H963,'CAT_ACTIVIDADES'!$A$4:$A$26,0)),""))=0,(IFERROR(INDEX('CAT_ACTIVIDADES'!$D$4:$D$26,MATCH($H963,'CAT_ACTIVIDADES'!$A$4:$A$26,0)),""))=""),"SIN CLASIFICAR",IFERROR(INDEX('CAT_ACTIVIDADES'!$D$4:$D$26,MATCH($H963,'CAT_ACTIVIDADES'!$A$4:$A$26,0)),"")))</f>
        <v/>
      </c>
      <c r="AP963" s="4" t="n"/>
      <c r="AQ963" s="4" t="n"/>
      <c r="AR963" s="4" t="n"/>
      <c r="AS963" s="24">
        <f>IF($AR963="","",HYPERLINK(p_ruta_base_checklists&amp;$AR963,"abrir"))</f>
        <v/>
      </c>
      <c r="AT963" s="4" t="n"/>
      <c r="AU963" s="24">
        <f>IF($A963="","",$A963&amp;IF($B963="","0010",$B963))</f>
        <v/>
      </c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41" t="n"/>
      <c r="K964" s="5" t="n"/>
      <c r="L964" s="18" t="n"/>
      <c r="M964" s="24">
        <f>IF($A964="","",IFERROR(INDEX('AJUSTES'!$B$4:$B$303,MATCH($AU964,'AJUSTES'!$A$4:$A$303,0)),IF($K964="","",$K964)))</f>
        <v/>
      </c>
      <c r="N964" s="24">
        <f>IF($A964="","",IFERROR(INDEX('CAT_ESTADOS_ERP'!$B$4:$B$22,MATCH(IFERROR(INDEX('2_IMPORTAR_EJECUCION'!$C$9:$C$1208,MATCH($AU964,'2_IMPORTAR_EJECUCION'!$J$9:$J$1208,0)),""),'CAT_ESTADOS_ERP'!$A$4:$A$22,0)),"Pendiente"))</f>
        <v/>
      </c>
      <c r="O964" s="24">
        <f>IF($J964="","",YEAR($J964+4-WEEKDAY($J964,2))&amp;"-S"&amp;TEXT(_xlfn.ISOWEEKNUM($J964),"00"))</f>
        <v/>
      </c>
      <c r="P964" s="24">
        <f>IF($J964="","",YEAR($J964))</f>
        <v/>
      </c>
      <c r="Q964" s="24">
        <f>IF($J964="","",MONTH($J964))</f>
        <v/>
      </c>
      <c r="R964" s="24">
        <f>IF($J964="","",$P964&amp;"-"&amp;TEXT($Q964,"00"))</f>
        <v/>
      </c>
      <c r="S964" s="24">
        <f>IF($J964="","",INDEX(lista_dias,WEEKDAY($J964,2)))</f>
        <v/>
      </c>
      <c r="T964" s="24">
        <f>IF($J964="","",IFERROR(INDEX('CALENDARIO'!$C$15:$C$214,MATCH(TEXT($J964,"yyyy-mm-dd")&amp;"|"&amp;$Y964&amp;"|"&amp;$Z964,'CALENDARIO'!$G$15:$G$214,0)),IFERROR(INDEX('CALENDARIO'!$C$15:$C$214,MATCH(TEXT($J964,"yyyy-mm-dd")&amp;"|"&amp;$Y964&amp;"|",'CALENDARIO'!$G$15:$G$214,0)),IFERROR(INDEX('CALENDARIO'!$C$15:$C$214,MATCH(TEXT($J964,"yyyy-mm-dd")&amp;"||",'CALENDARIO'!$G$15:$G$214,0)),INDEX(patronHabil,WEEKDAY($J964,2))))))</f>
        <v/>
      </c>
      <c r="U964" s="24">
        <f>IF($I964="","",IFERROR(INDEX('CAT_TIPOS_OT'!$C$4:$C$23,MATCH($I964,'CAT_TIPOS_OT'!$A$4:$A$23,0)),"sin_clasificar"))</f>
        <v/>
      </c>
      <c r="V964" s="24">
        <f>IF($I964="","",IF(IFERROR(INDEX('CAT_TIPOS_OT'!$D$4:$D$23,MATCH($I964,'CAT_TIPOS_OT'!$A$4:$A$23,0)),"SIN CLASIFICAR")="","SIN CLASIFICAR",IFERROR(INDEX('CAT_TIPOS_OT'!$D$4:$D$23,MATCH($I964,'CAT_TIPOS_OT'!$A$4:$A$23,0)),"SIN CLASIFICAR")))</f>
        <v/>
      </c>
      <c r="W964" s="24">
        <f>IF($H964="","",IF(IFERROR(INDEX('CAT_ACTIVIDADES'!$F$4:$F$26,MATCH($H964,'CAT_ACTIVIDADES'!$A$4:$A$26,0)),"")=0,"",IFERROR(INDEX('CAT_ACTIVIDADES'!$F$4:$F$26,MATCH($H964,'CAT_ACTIVIDADES'!$A$4:$A$26,0)),"")))</f>
        <v/>
      </c>
      <c r="X964" s="24">
        <f>IF($F964="","",IFERROR(INDEX('CAT_CENTROS_COSTO'!$F$4:$F$28,MATCH($F964,'CAT_CENTROS_COSTO'!$A$4:$A$28,0)),"(sin catálogo)"))</f>
        <v/>
      </c>
      <c r="Y964" s="24">
        <f>IF($F964="","",IFERROR(INDEX('CAT_CENTROS_COSTO'!$D$4:$D$28,MATCH($F964,'CAT_CENTROS_COSTO'!$A$4:$A$28,0)),"(sin catálogo)"))</f>
        <v/>
      </c>
      <c r="Z964" s="24">
        <f>IF($F964="","",IF((IFERROR(INDEX('CAT_CENTROS_COSTO'!$E$4:$E$28,MATCH($F964,'CAT_CENTROS_COSTO'!$A$4:$A$28,0)),""))&lt;&gt;"",IFERROR(INDEX('CAT_CENTROS_COSTO'!$E$4:$E$28,MATCH($F964,'CAT_CENTROS_COSTO'!$A$4:$A$28,0)),""),$Y964))</f>
        <v/>
      </c>
      <c r="AA964" s="24">
        <f>IF($F964="","",IFERROR(INDEX('CAT_CENTROS_COSTO'!$G$4:$G$28,MATCH($F964,'CAT_CENTROS_COSTO'!$A$4:$A$28,0)),"(sin catálogo)"))</f>
        <v/>
      </c>
      <c r="AB964" s="24">
        <f>IF($G964="","",IFERROR(INDEX('CAT_PUESTOS'!$B$4:$B$23,MATCH($G964,'CAT_PUESTOS'!$A$4:$A$23,0)),"(sin catálogo)"))</f>
        <v/>
      </c>
      <c r="AC964" s="24">
        <f>IF($H964="","",IFERROR(INDEX('CAT_ACTIVIDADES'!$B$4:$B$26,MATCH($H964,'CAT_ACTIVIDADES'!$A$4:$A$26,0)),"(sin catálogo)"))</f>
        <v/>
      </c>
      <c r="AD964" s="26">
        <f>IF($J964="","",TODAY()-$J964)</f>
        <v/>
      </c>
      <c r="AE964" s="26">
        <f>IF($J964="","",IF($J964&lt;=TODAY(),COUNTIFS(cal_fechas,"&gt;="&amp;$J964,cal_fechas,"&lt;"&amp;TODAY(),cal_habil,"sí"),-COUNTIFS(cal_fechas,"&gt;="&amp;TODAY(),cal_fechas,"&lt;"&amp;$J964,cal_habil,"sí")))</f>
        <v/>
      </c>
      <c r="AF964" s="24">
        <f>IF($AE964="","",IF($AE964&lt;0,"FUTURO",IF($AE964&gt;p_dias_backlog_max,"BACKLOG","MES CORRIENTE")))</f>
        <v/>
      </c>
      <c r="AG964" s="24">
        <f>IF($AE964="",FALSE,AND($AE964&gt;p_dias_backlog_min,$AE964&lt;=p_dias_backlog_max))</f>
        <v/>
      </c>
      <c r="AH964" s="4" t="n"/>
      <c r="AI964" s="24">
        <f>IF($AH964="","",IF((IFERROR(INDEX('ASIGNACIONES'!$J$4:$J$451,MATCH($O964&amp;"|"&amp;$S964&amp;"|"&amp;$AH964,'ASIGNACIONES'!$N$4:$N$451,0)),""))=0,"",IFERROR(INDEX('ASIGNACIONES'!$J$4:$J$451,MATCH($O964&amp;"|"&amp;$S964&amp;"|"&amp;$AH964,'ASIGNACIONES'!$N$4:$N$451,0)),"")))</f>
        <v/>
      </c>
      <c r="AJ964" s="42">
        <f>IF($AH964="","",SUMIFS('ORDENES'!$M$4:$M$1203,'ORDENES'!$AH$4:$AH$1203,$AH964,'ORDENES'!$O$4:$O$1203,$O964,'ORDENES'!$S$4:$S$1203,$S964))</f>
        <v/>
      </c>
      <c r="AK964" s="42">
        <f>IF($AJ964="","",p_factor_productividad*IFERROR(INDEX('ASIGNACIONES'!$M$4:$M$451,MATCH($O964&amp;"|"&amp;$S964&amp;"|"&amp;$AH964,'ASIGNACIONES'!$N$4:$N$451,0)),0)-$AJ964)</f>
        <v/>
      </c>
      <c r="AL964" s="32">
        <f>IF($A964="","",IFERROR(INDEX('2_IMPORTAR_EJECUCION'!$F$9:$F$1208,MATCH($AU964,'2_IMPORTAR_EJECUCION'!$J$9:$J$1208,0)),0))</f>
        <v/>
      </c>
      <c r="AM964" s="32">
        <f>IF($A964="","",MAX(0,IFERROR(INDEX('2_IMPORTAR_EJECUCION'!$H$9:$H$1208,MATCH($AU964,'2_IMPORTAR_EJECUCION'!$J$9:$J$1208,0)),0)-$AL964))</f>
        <v/>
      </c>
      <c r="AN964" s="32">
        <f>IF($A964="","",$AL964+$AM964)</f>
        <v/>
      </c>
      <c r="AO964" s="24">
        <f>IF($A964="","",IF(OR((IFERROR(INDEX('CAT_ACTIVIDADES'!$D$4:$D$26,MATCH($H964,'CAT_ACTIVIDADES'!$A$4:$A$26,0)),""))=0,(IFERROR(INDEX('CAT_ACTIVIDADES'!$D$4:$D$26,MATCH($H964,'CAT_ACTIVIDADES'!$A$4:$A$26,0)),""))=""),"SIN CLASIFICAR",IFERROR(INDEX('CAT_ACTIVIDADES'!$D$4:$D$26,MATCH($H964,'CAT_ACTIVIDADES'!$A$4:$A$26,0)),"")))</f>
        <v/>
      </c>
      <c r="AP964" s="4" t="n"/>
      <c r="AQ964" s="4" t="n"/>
      <c r="AR964" s="4" t="n"/>
      <c r="AS964" s="24">
        <f>IF($AR964="","",HYPERLINK(p_ruta_base_checklists&amp;$AR964,"abrir"))</f>
        <v/>
      </c>
      <c r="AT964" s="4" t="n"/>
      <c r="AU964" s="24">
        <f>IF($A964="","",$A964&amp;IF($B964="","0010",$B964))</f>
        <v/>
      </c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41" t="n"/>
      <c r="K965" s="5" t="n"/>
      <c r="L965" s="18" t="n"/>
      <c r="M965" s="24">
        <f>IF($A965="","",IFERROR(INDEX('AJUSTES'!$B$4:$B$303,MATCH($AU965,'AJUSTES'!$A$4:$A$303,0)),IF($K965="","",$K965)))</f>
        <v/>
      </c>
      <c r="N965" s="24">
        <f>IF($A965="","",IFERROR(INDEX('CAT_ESTADOS_ERP'!$B$4:$B$22,MATCH(IFERROR(INDEX('2_IMPORTAR_EJECUCION'!$C$9:$C$1208,MATCH($AU965,'2_IMPORTAR_EJECUCION'!$J$9:$J$1208,0)),""),'CAT_ESTADOS_ERP'!$A$4:$A$22,0)),"Pendiente"))</f>
        <v/>
      </c>
      <c r="O965" s="24">
        <f>IF($J965="","",YEAR($J965+4-WEEKDAY($J965,2))&amp;"-S"&amp;TEXT(_xlfn.ISOWEEKNUM($J965),"00"))</f>
        <v/>
      </c>
      <c r="P965" s="24">
        <f>IF($J965="","",YEAR($J965))</f>
        <v/>
      </c>
      <c r="Q965" s="24">
        <f>IF($J965="","",MONTH($J965))</f>
        <v/>
      </c>
      <c r="R965" s="24">
        <f>IF($J965="","",$P965&amp;"-"&amp;TEXT($Q965,"00"))</f>
        <v/>
      </c>
      <c r="S965" s="24">
        <f>IF($J965="","",INDEX(lista_dias,WEEKDAY($J965,2)))</f>
        <v/>
      </c>
      <c r="T965" s="24">
        <f>IF($J965="","",IFERROR(INDEX('CALENDARIO'!$C$15:$C$214,MATCH(TEXT($J965,"yyyy-mm-dd")&amp;"|"&amp;$Y965&amp;"|"&amp;$Z965,'CALENDARIO'!$G$15:$G$214,0)),IFERROR(INDEX('CALENDARIO'!$C$15:$C$214,MATCH(TEXT($J965,"yyyy-mm-dd")&amp;"|"&amp;$Y965&amp;"|",'CALENDARIO'!$G$15:$G$214,0)),IFERROR(INDEX('CALENDARIO'!$C$15:$C$214,MATCH(TEXT($J965,"yyyy-mm-dd")&amp;"||",'CALENDARIO'!$G$15:$G$214,0)),INDEX(patronHabil,WEEKDAY($J965,2))))))</f>
        <v/>
      </c>
      <c r="U965" s="24">
        <f>IF($I965="","",IFERROR(INDEX('CAT_TIPOS_OT'!$C$4:$C$23,MATCH($I965,'CAT_TIPOS_OT'!$A$4:$A$23,0)),"sin_clasificar"))</f>
        <v/>
      </c>
      <c r="V965" s="24">
        <f>IF($I965="","",IF(IFERROR(INDEX('CAT_TIPOS_OT'!$D$4:$D$23,MATCH($I965,'CAT_TIPOS_OT'!$A$4:$A$23,0)),"SIN CLASIFICAR")="","SIN CLASIFICAR",IFERROR(INDEX('CAT_TIPOS_OT'!$D$4:$D$23,MATCH($I965,'CAT_TIPOS_OT'!$A$4:$A$23,0)),"SIN CLASIFICAR")))</f>
        <v/>
      </c>
      <c r="W965" s="24">
        <f>IF($H965="","",IF(IFERROR(INDEX('CAT_ACTIVIDADES'!$F$4:$F$26,MATCH($H965,'CAT_ACTIVIDADES'!$A$4:$A$26,0)),"")=0,"",IFERROR(INDEX('CAT_ACTIVIDADES'!$F$4:$F$26,MATCH($H965,'CAT_ACTIVIDADES'!$A$4:$A$26,0)),"")))</f>
        <v/>
      </c>
      <c r="X965" s="24">
        <f>IF($F965="","",IFERROR(INDEX('CAT_CENTROS_COSTO'!$F$4:$F$28,MATCH($F965,'CAT_CENTROS_COSTO'!$A$4:$A$28,0)),"(sin catálogo)"))</f>
        <v/>
      </c>
      <c r="Y965" s="24">
        <f>IF($F965="","",IFERROR(INDEX('CAT_CENTROS_COSTO'!$D$4:$D$28,MATCH($F965,'CAT_CENTROS_COSTO'!$A$4:$A$28,0)),"(sin catálogo)"))</f>
        <v/>
      </c>
      <c r="Z965" s="24">
        <f>IF($F965="","",IF((IFERROR(INDEX('CAT_CENTROS_COSTO'!$E$4:$E$28,MATCH($F965,'CAT_CENTROS_COSTO'!$A$4:$A$28,0)),""))&lt;&gt;"",IFERROR(INDEX('CAT_CENTROS_COSTO'!$E$4:$E$28,MATCH($F965,'CAT_CENTROS_COSTO'!$A$4:$A$28,0)),""),$Y965))</f>
        <v/>
      </c>
      <c r="AA965" s="24">
        <f>IF($F965="","",IFERROR(INDEX('CAT_CENTROS_COSTO'!$G$4:$G$28,MATCH($F965,'CAT_CENTROS_COSTO'!$A$4:$A$28,0)),"(sin catálogo)"))</f>
        <v/>
      </c>
      <c r="AB965" s="24">
        <f>IF($G965="","",IFERROR(INDEX('CAT_PUESTOS'!$B$4:$B$23,MATCH($G965,'CAT_PUESTOS'!$A$4:$A$23,0)),"(sin catálogo)"))</f>
        <v/>
      </c>
      <c r="AC965" s="24">
        <f>IF($H965="","",IFERROR(INDEX('CAT_ACTIVIDADES'!$B$4:$B$26,MATCH($H965,'CAT_ACTIVIDADES'!$A$4:$A$26,0)),"(sin catálogo)"))</f>
        <v/>
      </c>
      <c r="AD965" s="26">
        <f>IF($J965="","",TODAY()-$J965)</f>
        <v/>
      </c>
      <c r="AE965" s="26">
        <f>IF($J965="","",IF($J965&lt;=TODAY(),COUNTIFS(cal_fechas,"&gt;="&amp;$J965,cal_fechas,"&lt;"&amp;TODAY(),cal_habil,"sí"),-COUNTIFS(cal_fechas,"&gt;="&amp;TODAY(),cal_fechas,"&lt;"&amp;$J965,cal_habil,"sí")))</f>
        <v/>
      </c>
      <c r="AF965" s="24">
        <f>IF($AE965="","",IF($AE965&lt;0,"FUTURO",IF($AE965&gt;p_dias_backlog_max,"BACKLOG","MES CORRIENTE")))</f>
        <v/>
      </c>
      <c r="AG965" s="24">
        <f>IF($AE965="",FALSE,AND($AE965&gt;p_dias_backlog_min,$AE965&lt;=p_dias_backlog_max))</f>
        <v/>
      </c>
      <c r="AH965" s="4" t="n"/>
      <c r="AI965" s="24">
        <f>IF($AH965="","",IF((IFERROR(INDEX('ASIGNACIONES'!$J$4:$J$451,MATCH($O965&amp;"|"&amp;$S965&amp;"|"&amp;$AH965,'ASIGNACIONES'!$N$4:$N$451,0)),""))=0,"",IFERROR(INDEX('ASIGNACIONES'!$J$4:$J$451,MATCH($O965&amp;"|"&amp;$S965&amp;"|"&amp;$AH965,'ASIGNACIONES'!$N$4:$N$451,0)),"")))</f>
        <v/>
      </c>
      <c r="AJ965" s="42">
        <f>IF($AH965="","",SUMIFS('ORDENES'!$M$4:$M$1203,'ORDENES'!$AH$4:$AH$1203,$AH965,'ORDENES'!$O$4:$O$1203,$O965,'ORDENES'!$S$4:$S$1203,$S965))</f>
        <v/>
      </c>
      <c r="AK965" s="42">
        <f>IF($AJ965="","",p_factor_productividad*IFERROR(INDEX('ASIGNACIONES'!$M$4:$M$451,MATCH($O965&amp;"|"&amp;$S965&amp;"|"&amp;$AH965,'ASIGNACIONES'!$N$4:$N$451,0)),0)-$AJ965)</f>
        <v/>
      </c>
      <c r="AL965" s="32">
        <f>IF($A965="","",IFERROR(INDEX('2_IMPORTAR_EJECUCION'!$F$9:$F$1208,MATCH($AU965,'2_IMPORTAR_EJECUCION'!$J$9:$J$1208,0)),0))</f>
        <v/>
      </c>
      <c r="AM965" s="32">
        <f>IF($A965="","",MAX(0,IFERROR(INDEX('2_IMPORTAR_EJECUCION'!$H$9:$H$1208,MATCH($AU965,'2_IMPORTAR_EJECUCION'!$J$9:$J$1208,0)),0)-$AL965))</f>
        <v/>
      </c>
      <c r="AN965" s="32">
        <f>IF($A965="","",$AL965+$AM965)</f>
        <v/>
      </c>
      <c r="AO965" s="24">
        <f>IF($A965="","",IF(OR((IFERROR(INDEX('CAT_ACTIVIDADES'!$D$4:$D$26,MATCH($H965,'CAT_ACTIVIDADES'!$A$4:$A$26,0)),""))=0,(IFERROR(INDEX('CAT_ACTIVIDADES'!$D$4:$D$26,MATCH($H965,'CAT_ACTIVIDADES'!$A$4:$A$26,0)),""))=""),"SIN CLASIFICAR",IFERROR(INDEX('CAT_ACTIVIDADES'!$D$4:$D$26,MATCH($H965,'CAT_ACTIVIDADES'!$A$4:$A$26,0)),"")))</f>
        <v/>
      </c>
      <c r="AP965" s="4" t="n"/>
      <c r="AQ965" s="4" t="n"/>
      <c r="AR965" s="4" t="n"/>
      <c r="AS965" s="24">
        <f>IF($AR965="","",HYPERLINK(p_ruta_base_checklists&amp;$AR965,"abrir"))</f>
        <v/>
      </c>
      <c r="AT965" s="4" t="n"/>
      <c r="AU965" s="24">
        <f>IF($A965="","",$A965&amp;IF($B965="","0010",$B965))</f>
        <v/>
      </c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41" t="n"/>
      <c r="K966" s="5" t="n"/>
      <c r="L966" s="18" t="n"/>
      <c r="M966" s="24">
        <f>IF($A966="","",IFERROR(INDEX('AJUSTES'!$B$4:$B$303,MATCH($AU966,'AJUSTES'!$A$4:$A$303,0)),IF($K966="","",$K966)))</f>
        <v/>
      </c>
      <c r="N966" s="24">
        <f>IF($A966="","",IFERROR(INDEX('CAT_ESTADOS_ERP'!$B$4:$B$22,MATCH(IFERROR(INDEX('2_IMPORTAR_EJECUCION'!$C$9:$C$1208,MATCH($AU966,'2_IMPORTAR_EJECUCION'!$J$9:$J$1208,0)),""),'CAT_ESTADOS_ERP'!$A$4:$A$22,0)),"Pendiente"))</f>
        <v/>
      </c>
      <c r="O966" s="24">
        <f>IF($J966="","",YEAR($J966+4-WEEKDAY($J966,2))&amp;"-S"&amp;TEXT(_xlfn.ISOWEEKNUM($J966),"00"))</f>
        <v/>
      </c>
      <c r="P966" s="24">
        <f>IF($J966="","",YEAR($J966))</f>
        <v/>
      </c>
      <c r="Q966" s="24">
        <f>IF($J966="","",MONTH($J966))</f>
        <v/>
      </c>
      <c r="R966" s="24">
        <f>IF($J966="","",$P966&amp;"-"&amp;TEXT($Q966,"00"))</f>
        <v/>
      </c>
      <c r="S966" s="24">
        <f>IF($J966="","",INDEX(lista_dias,WEEKDAY($J966,2)))</f>
        <v/>
      </c>
      <c r="T966" s="24">
        <f>IF($J966="","",IFERROR(INDEX('CALENDARIO'!$C$15:$C$214,MATCH(TEXT($J966,"yyyy-mm-dd")&amp;"|"&amp;$Y966&amp;"|"&amp;$Z966,'CALENDARIO'!$G$15:$G$214,0)),IFERROR(INDEX('CALENDARIO'!$C$15:$C$214,MATCH(TEXT($J966,"yyyy-mm-dd")&amp;"|"&amp;$Y966&amp;"|",'CALENDARIO'!$G$15:$G$214,0)),IFERROR(INDEX('CALENDARIO'!$C$15:$C$214,MATCH(TEXT($J966,"yyyy-mm-dd")&amp;"||",'CALENDARIO'!$G$15:$G$214,0)),INDEX(patronHabil,WEEKDAY($J966,2))))))</f>
        <v/>
      </c>
      <c r="U966" s="24">
        <f>IF($I966="","",IFERROR(INDEX('CAT_TIPOS_OT'!$C$4:$C$23,MATCH($I966,'CAT_TIPOS_OT'!$A$4:$A$23,0)),"sin_clasificar"))</f>
        <v/>
      </c>
      <c r="V966" s="24">
        <f>IF($I966="","",IF(IFERROR(INDEX('CAT_TIPOS_OT'!$D$4:$D$23,MATCH($I966,'CAT_TIPOS_OT'!$A$4:$A$23,0)),"SIN CLASIFICAR")="","SIN CLASIFICAR",IFERROR(INDEX('CAT_TIPOS_OT'!$D$4:$D$23,MATCH($I966,'CAT_TIPOS_OT'!$A$4:$A$23,0)),"SIN CLASIFICAR")))</f>
        <v/>
      </c>
      <c r="W966" s="24">
        <f>IF($H966="","",IF(IFERROR(INDEX('CAT_ACTIVIDADES'!$F$4:$F$26,MATCH($H966,'CAT_ACTIVIDADES'!$A$4:$A$26,0)),"")=0,"",IFERROR(INDEX('CAT_ACTIVIDADES'!$F$4:$F$26,MATCH($H966,'CAT_ACTIVIDADES'!$A$4:$A$26,0)),"")))</f>
        <v/>
      </c>
      <c r="X966" s="24">
        <f>IF($F966="","",IFERROR(INDEX('CAT_CENTROS_COSTO'!$F$4:$F$28,MATCH($F966,'CAT_CENTROS_COSTO'!$A$4:$A$28,0)),"(sin catálogo)"))</f>
        <v/>
      </c>
      <c r="Y966" s="24">
        <f>IF($F966="","",IFERROR(INDEX('CAT_CENTROS_COSTO'!$D$4:$D$28,MATCH($F966,'CAT_CENTROS_COSTO'!$A$4:$A$28,0)),"(sin catálogo)"))</f>
        <v/>
      </c>
      <c r="Z966" s="24">
        <f>IF($F966="","",IF((IFERROR(INDEX('CAT_CENTROS_COSTO'!$E$4:$E$28,MATCH($F966,'CAT_CENTROS_COSTO'!$A$4:$A$28,0)),""))&lt;&gt;"",IFERROR(INDEX('CAT_CENTROS_COSTO'!$E$4:$E$28,MATCH($F966,'CAT_CENTROS_COSTO'!$A$4:$A$28,0)),""),$Y966))</f>
        <v/>
      </c>
      <c r="AA966" s="24">
        <f>IF($F966="","",IFERROR(INDEX('CAT_CENTROS_COSTO'!$G$4:$G$28,MATCH($F966,'CAT_CENTROS_COSTO'!$A$4:$A$28,0)),"(sin catálogo)"))</f>
        <v/>
      </c>
      <c r="AB966" s="24">
        <f>IF($G966="","",IFERROR(INDEX('CAT_PUESTOS'!$B$4:$B$23,MATCH($G966,'CAT_PUESTOS'!$A$4:$A$23,0)),"(sin catálogo)"))</f>
        <v/>
      </c>
      <c r="AC966" s="24">
        <f>IF($H966="","",IFERROR(INDEX('CAT_ACTIVIDADES'!$B$4:$B$26,MATCH($H966,'CAT_ACTIVIDADES'!$A$4:$A$26,0)),"(sin catálogo)"))</f>
        <v/>
      </c>
      <c r="AD966" s="26">
        <f>IF($J966="","",TODAY()-$J966)</f>
        <v/>
      </c>
      <c r="AE966" s="26">
        <f>IF($J966="","",IF($J966&lt;=TODAY(),COUNTIFS(cal_fechas,"&gt;="&amp;$J966,cal_fechas,"&lt;"&amp;TODAY(),cal_habil,"sí"),-COUNTIFS(cal_fechas,"&gt;="&amp;TODAY(),cal_fechas,"&lt;"&amp;$J966,cal_habil,"sí")))</f>
        <v/>
      </c>
      <c r="AF966" s="24">
        <f>IF($AE966="","",IF($AE966&lt;0,"FUTURO",IF($AE966&gt;p_dias_backlog_max,"BACKLOG","MES CORRIENTE")))</f>
        <v/>
      </c>
      <c r="AG966" s="24">
        <f>IF($AE966="",FALSE,AND($AE966&gt;p_dias_backlog_min,$AE966&lt;=p_dias_backlog_max))</f>
        <v/>
      </c>
      <c r="AH966" s="4" t="n"/>
      <c r="AI966" s="24">
        <f>IF($AH966="","",IF((IFERROR(INDEX('ASIGNACIONES'!$J$4:$J$451,MATCH($O966&amp;"|"&amp;$S966&amp;"|"&amp;$AH966,'ASIGNACIONES'!$N$4:$N$451,0)),""))=0,"",IFERROR(INDEX('ASIGNACIONES'!$J$4:$J$451,MATCH($O966&amp;"|"&amp;$S966&amp;"|"&amp;$AH966,'ASIGNACIONES'!$N$4:$N$451,0)),"")))</f>
        <v/>
      </c>
      <c r="AJ966" s="42">
        <f>IF($AH966="","",SUMIFS('ORDENES'!$M$4:$M$1203,'ORDENES'!$AH$4:$AH$1203,$AH966,'ORDENES'!$O$4:$O$1203,$O966,'ORDENES'!$S$4:$S$1203,$S966))</f>
        <v/>
      </c>
      <c r="AK966" s="42">
        <f>IF($AJ966="","",p_factor_productividad*IFERROR(INDEX('ASIGNACIONES'!$M$4:$M$451,MATCH($O966&amp;"|"&amp;$S966&amp;"|"&amp;$AH966,'ASIGNACIONES'!$N$4:$N$451,0)),0)-$AJ966)</f>
        <v/>
      </c>
      <c r="AL966" s="32">
        <f>IF($A966="","",IFERROR(INDEX('2_IMPORTAR_EJECUCION'!$F$9:$F$1208,MATCH($AU966,'2_IMPORTAR_EJECUCION'!$J$9:$J$1208,0)),0))</f>
        <v/>
      </c>
      <c r="AM966" s="32">
        <f>IF($A966="","",MAX(0,IFERROR(INDEX('2_IMPORTAR_EJECUCION'!$H$9:$H$1208,MATCH($AU966,'2_IMPORTAR_EJECUCION'!$J$9:$J$1208,0)),0)-$AL966))</f>
        <v/>
      </c>
      <c r="AN966" s="32">
        <f>IF($A966="","",$AL966+$AM966)</f>
        <v/>
      </c>
      <c r="AO966" s="24">
        <f>IF($A966="","",IF(OR((IFERROR(INDEX('CAT_ACTIVIDADES'!$D$4:$D$26,MATCH($H966,'CAT_ACTIVIDADES'!$A$4:$A$26,0)),""))=0,(IFERROR(INDEX('CAT_ACTIVIDADES'!$D$4:$D$26,MATCH($H966,'CAT_ACTIVIDADES'!$A$4:$A$26,0)),""))=""),"SIN CLASIFICAR",IFERROR(INDEX('CAT_ACTIVIDADES'!$D$4:$D$26,MATCH($H966,'CAT_ACTIVIDADES'!$A$4:$A$26,0)),"")))</f>
        <v/>
      </c>
      <c r="AP966" s="4" t="n"/>
      <c r="AQ966" s="4" t="n"/>
      <c r="AR966" s="4" t="n"/>
      <c r="AS966" s="24">
        <f>IF($AR966="","",HYPERLINK(p_ruta_base_checklists&amp;$AR966,"abrir"))</f>
        <v/>
      </c>
      <c r="AT966" s="4" t="n"/>
      <c r="AU966" s="24">
        <f>IF($A966="","",$A966&amp;IF($B966="","0010",$B966))</f>
        <v/>
      </c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41" t="n"/>
      <c r="K967" s="5" t="n"/>
      <c r="L967" s="18" t="n"/>
      <c r="M967" s="24">
        <f>IF($A967="","",IFERROR(INDEX('AJUSTES'!$B$4:$B$303,MATCH($AU967,'AJUSTES'!$A$4:$A$303,0)),IF($K967="","",$K967)))</f>
        <v/>
      </c>
      <c r="N967" s="24">
        <f>IF($A967="","",IFERROR(INDEX('CAT_ESTADOS_ERP'!$B$4:$B$22,MATCH(IFERROR(INDEX('2_IMPORTAR_EJECUCION'!$C$9:$C$1208,MATCH($AU967,'2_IMPORTAR_EJECUCION'!$J$9:$J$1208,0)),""),'CAT_ESTADOS_ERP'!$A$4:$A$22,0)),"Pendiente"))</f>
        <v/>
      </c>
      <c r="O967" s="24">
        <f>IF($J967="","",YEAR($J967+4-WEEKDAY($J967,2))&amp;"-S"&amp;TEXT(_xlfn.ISOWEEKNUM($J967),"00"))</f>
        <v/>
      </c>
      <c r="P967" s="24">
        <f>IF($J967="","",YEAR($J967))</f>
        <v/>
      </c>
      <c r="Q967" s="24">
        <f>IF($J967="","",MONTH($J967))</f>
        <v/>
      </c>
      <c r="R967" s="24">
        <f>IF($J967="","",$P967&amp;"-"&amp;TEXT($Q967,"00"))</f>
        <v/>
      </c>
      <c r="S967" s="24">
        <f>IF($J967="","",INDEX(lista_dias,WEEKDAY($J967,2)))</f>
        <v/>
      </c>
      <c r="T967" s="24">
        <f>IF($J967="","",IFERROR(INDEX('CALENDARIO'!$C$15:$C$214,MATCH(TEXT($J967,"yyyy-mm-dd")&amp;"|"&amp;$Y967&amp;"|"&amp;$Z967,'CALENDARIO'!$G$15:$G$214,0)),IFERROR(INDEX('CALENDARIO'!$C$15:$C$214,MATCH(TEXT($J967,"yyyy-mm-dd")&amp;"|"&amp;$Y967&amp;"|",'CALENDARIO'!$G$15:$G$214,0)),IFERROR(INDEX('CALENDARIO'!$C$15:$C$214,MATCH(TEXT($J967,"yyyy-mm-dd")&amp;"||",'CALENDARIO'!$G$15:$G$214,0)),INDEX(patronHabil,WEEKDAY($J967,2))))))</f>
        <v/>
      </c>
      <c r="U967" s="24">
        <f>IF($I967="","",IFERROR(INDEX('CAT_TIPOS_OT'!$C$4:$C$23,MATCH($I967,'CAT_TIPOS_OT'!$A$4:$A$23,0)),"sin_clasificar"))</f>
        <v/>
      </c>
      <c r="V967" s="24">
        <f>IF($I967="","",IF(IFERROR(INDEX('CAT_TIPOS_OT'!$D$4:$D$23,MATCH($I967,'CAT_TIPOS_OT'!$A$4:$A$23,0)),"SIN CLASIFICAR")="","SIN CLASIFICAR",IFERROR(INDEX('CAT_TIPOS_OT'!$D$4:$D$23,MATCH($I967,'CAT_TIPOS_OT'!$A$4:$A$23,0)),"SIN CLASIFICAR")))</f>
        <v/>
      </c>
      <c r="W967" s="24">
        <f>IF($H967="","",IF(IFERROR(INDEX('CAT_ACTIVIDADES'!$F$4:$F$26,MATCH($H967,'CAT_ACTIVIDADES'!$A$4:$A$26,0)),"")=0,"",IFERROR(INDEX('CAT_ACTIVIDADES'!$F$4:$F$26,MATCH($H967,'CAT_ACTIVIDADES'!$A$4:$A$26,0)),"")))</f>
        <v/>
      </c>
      <c r="X967" s="24">
        <f>IF($F967="","",IFERROR(INDEX('CAT_CENTROS_COSTO'!$F$4:$F$28,MATCH($F967,'CAT_CENTROS_COSTO'!$A$4:$A$28,0)),"(sin catálogo)"))</f>
        <v/>
      </c>
      <c r="Y967" s="24">
        <f>IF($F967="","",IFERROR(INDEX('CAT_CENTROS_COSTO'!$D$4:$D$28,MATCH($F967,'CAT_CENTROS_COSTO'!$A$4:$A$28,0)),"(sin catálogo)"))</f>
        <v/>
      </c>
      <c r="Z967" s="24">
        <f>IF($F967="","",IF((IFERROR(INDEX('CAT_CENTROS_COSTO'!$E$4:$E$28,MATCH($F967,'CAT_CENTROS_COSTO'!$A$4:$A$28,0)),""))&lt;&gt;"",IFERROR(INDEX('CAT_CENTROS_COSTO'!$E$4:$E$28,MATCH($F967,'CAT_CENTROS_COSTO'!$A$4:$A$28,0)),""),$Y967))</f>
        <v/>
      </c>
      <c r="AA967" s="24">
        <f>IF($F967="","",IFERROR(INDEX('CAT_CENTROS_COSTO'!$G$4:$G$28,MATCH($F967,'CAT_CENTROS_COSTO'!$A$4:$A$28,0)),"(sin catálogo)"))</f>
        <v/>
      </c>
      <c r="AB967" s="24">
        <f>IF($G967="","",IFERROR(INDEX('CAT_PUESTOS'!$B$4:$B$23,MATCH($G967,'CAT_PUESTOS'!$A$4:$A$23,0)),"(sin catálogo)"))</f>
        <v/>
      </c>
      <c r="AC967" s="24">
        <f>IF($H967="","",IFERROR(INDEX('CAT_ACTIVIDADES'!$B$4:$B$26,MATCH($H967,'CAT_ACTIVIDADES'!$A$4:$A$26,0)),"(sin catálogo)"))</f>
        <v/>
      </c>
      <c r="AD967" s="26">
        <f>IF($J967="","",TODAY()-$J967)</f>
        <v/>
      </c>
      <c r="AE967" s="26">
        <f>IF($J967="","",IF($J967&lt;=TODAY(),COUNTIFS(cal_fechas,"&gt;="&amp;$J967,cal_fechas,"&lt;"&amp;TODAY(),cal_habil,"sí"),-COUNTIFS(cal_fechas,"&gt;="&amp;TODAY(),cal_fechas,"&lt;"&amp;$J967,cal_habil,"sí")))</f>
        <v/>
      </c>
      <c r="AF967" s="24">
        <f>IF($AE967="","",IF($AE967&lt;0,"FUTURO",IF($AE967&gt;p_dias_backlog_max,"BACKLOG","MES CORRIENTE")))</f>
        <v/>
      </c>
      <c r="AG967" s="24">
        <f>IF($AE967="",FALSE,AND($AE967&gt;p_dias_backlog_min,$AE967&lt;=p_dias_backlog_max))</f>
        <v/>
      </c>
      <c r="AH967" s="4" t="n"/>
      <c r="AI967" s="24">
        <f>IF($AH967="","",IF((IFERROR(INDEX('ASIGNACIONES'!$J$4:$J$451,MATCH($O967&amp;"|"&amp;$S967&amp;"|"&amp;$AH967,'ASIGNACIONES'!$N$4:$N$451,0)),""))=0,"",IFERROR(INDEX('ASIGNACIONES'!$J$4:$J$451,MATCH($O967&amp;"|"&amp;$S967&amp;"|"&amp;$AH967,'ASIGNACIONES'!$N$4:$N$451,0)),"")))</f>
        <v/>
      </c>
      <c r="AJ967" s="42">
        <f>IF($AH967="","",SUMIFS('ORDENES'!$M$4:$M$1203,'ORDENES'!$AH$4:$AH$1203,$AH967,'ORDENES'!$O$4:$O$1203,$O967,'ORDENES'!$S$4:$S$1203,$S967))</f>
        <v/>
      </c>
      <c r="AK967" s="42">
        <f>IF($AJ967="","",p_factor_productividad*IFERROR(INDEX('ASIGNACIONES'!$M$4:$M$451,MATCH($O967&amp;"|"&amp;$S967&amp;"|"&amp;$AH967,'ASIGNACIONES'!$N$4:$N$451,0)),0)-$AJ967)</f>
        <v/>
      </c>
      <c r="AL967" s="32">
        <f>IF($A967="","",IFERROR(INDEX('2_IMPORTAR_EJECUCION'!$F$9:$F$1208,MATCH($AU967,'2_IMPORTAR_EJECUCION'!$J$9:$J$1208,0)),0))</f>
        <v/>
      </c>
      <c r="AM967" s="32">
        <f>IF($A967="","",MAX(0,IFERROR(INDEX('2_IMPORTAR_EJECUCION'!$H$9:$H$1208,MATCH($AU967,'2_IMPORTAR_EJECUCION'!$J$9:$J$1208,0)),0)-$AL967))</f>
        <v/>
      </c>
      <c r="AN967" s="32">
        <f>IF($A967="","",$AL967+$AM967)</f>
        <v/>
      </c>
      <c r="AO967" s="24">
        <f>IF($A967="","",IF(OR((IFERROR(INDEX('CAT_ACTIVIDADES'!$D$4:$D$26,MATCH($H967,'CAT_ACTIVIDADES'!$A$4:$A$26,0)),""))=0,(IFERROR(INDEX('CAT_ACTIVIDADES'!$D$4:$D$26,MATCH($H967,'CAT_ACTIVIDADES'!$A$4:$A$26,0)),""))=""),"SIN CLASIFICAR",IFERROR(INDEX('CAT_ACTIVIDADES'!$D$4:$D$26,MATCH($H967,'CAT_ACTIVIDADES'!$A$4:$A$26,0)),"")))</f>
        <v/>
      </c>
      <c r="AP967" s="4" t="n"/>
      <c r="AQ967" s="4" t="n"/>
      <c r="AR967" s="4" t="n"/>
      <c r="AS967" s="24">
        <f>IF($AR967="","",HYPERLINK(p_ruta_base_checklists&amp;$AR967,"abrir"))</f>
        <v/>
      </c>
      <c r="AT967" s="4" t="n"/>
      <c r="AU967" s="24">
        <f>IF($A967="","",$A967&amp;IF($B967="","0010",$B967))</f>
        <v/>
      </c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41" t="n"/>
      <c r="K968" s="5" t="n"/>
      <c r="L968" s="18" t="n"/>
      <c r="M968" s="24">
        <f>IF($A968="","",IFERROR(INDEX('AJUSTES'!$B$4:$B$303,MATCH($AU968,'AJUSTES'!$A$4:$A$303,0)),IF($K968="","",$K968)))</f>
        <v/>
      </c>
      <c r="N968" s="24">
        <f>IF($A968="","",IFERROR(INDEX('CAT_ESTADOS_ERP'!$B$4:$B$22,MATCH(IFERROR(INDEX('2_IMPORTAR_EJECUCION'!$C$9:$C$1208,MATCH($AU968,'2_IMPORTAR_EJECUCION'!$J$9:$J$1208,0)),""),'CAT_ESTADOS_ERP'!$A$4:$A$22,0)),"Pendiente"))</f>
        <v/>
      </c>
      <c r="O968" s="24">
        <f>IF($J968="","",YEAR($J968+4-WEEKDAY($J968,2))&amp;"-S"&amp;TEXT(_xlfn.ISOWEEKNUM($J968),"00"))</f>
        <v/>
      </c>
      <c r="P968" s="24">
        <f>IF($J968="","",YEAR($J968))</f>
        <v/>
      </c>
      <c r="Q968" s="24">
        <f>IF($J968="","",MONTH($J968))</f>
        <v/>
      </c>
      <c r="R968" s="24">
        <f>IF($J968="","",$P968&amp;"-"&amp;TEXT($Q968,"00"))</f>
        <v/>
      </c>
      <c r="S968" s="24">
        <f>IF($J968="","",INDEX(lista_dias,WEEKDAY($J968,2)))</f>
        <v/>
      </c>
      <c r="T968" s="24">
        <f>IF($J968="","",IFERROR(INDEX('CALENDARIO'!$C$15:$C$214,MATCH(TEXT($J968,"yyyy-mm-dd")&amp;"|"&amp;$Y968&amp;"|"&amp;$Z968,'CALENDARIO'!$G$15:$G$214,0)),IFERROR(INDEX('CALENDARIO'!$C$15:$C$214,MATCH(TEXT($J968,"yyyy-mm-dd")&amp;"|"&amp;$Y968&amp;"|",'CALENDARIO'!$G$15:$G$214,0)),IFERROR(INDEX('CALENDARIO'!$C$15:$C$214,MATCH(TEXT($J968,"yyyy-mm-dd")&amp;"||",'CALENDARIO'!$G$15:$G$214,0)),INDEX(patronHabil,WEEKDAY($J968,2))))))</f>
        <v/>
      </c>
      <c r="U968" s="24">
        <f>IF($I968="","",IFERROR(INDEX('CAT_TIPOS_OT'!$C$4:$C$23,MATCH($I968,'CAT_TIPOS_OT'!$A$4:$A$23,0)),"sin_clasificar"))</f>
        <v/>
      </c>
      <c r="V968" s="24">
        <f>IF($I968="","",IF(IFERROR(INDEX('CAT_TIPOS_OT'!$D$4:$D$23,MATCH($I968,'CAT_TIPOS_OT'!$A$4:$A$23,0)),"SIN CLASIFICAR")="","SIN CLASIFICAR",IFERROR(INDEX('CAT_TIPOS_OT'!$D$4:$D$23,MATCH($I968,'CAT_TIPOS_OT'!$A$4:$A$23,0)),"SIN CLASIFICAR")))</f>
        <v/>
      </c>
      <c r="W968" s="24">
        <f>IF($H968="","",IF(IFERROR(INDEX('CAT_ACTIVIDADES'!$F$4:$F$26,MATCH($H968,'CAT_ACTIVIDADES'!$A$4:$A$26,0)),"")=0,"",IFERROR(INDEX('CAT_ACTIVIDADES'!$F$4:$F$26,MATCH($H968,'CAT_ACTIVIDADES'!$A$4:$A$26,0)),"")))</f>
        <v/>
      </c>
      <c r="X968" s="24">
        <f>IF($F968="","",IFERROR(INDEX('CAT_CENTROS_COSTO'!$F$4:$F$28,MATCH($F968,'CAT_CENTROS_COSTO'!$A$4:$A$28,0)),"(sin catálogo)"))</f>
        <v/>
      </c>
      <c r="Y968" s="24">
        <f>IF($F968="","",IFERROR(INDEX('CAT_CENTROS_COSTO'!$D$4:$D$28,MATCH($F968,'CAT_CENTROS_COSTO'!$A$4:$A$28,0)),"(sin catálogo)"))</f>
        <v/>
      </c>
      <c r="Z968" s="24">
        <f>IF($F968="","",IF((IFERROR(INDEX('CAT_CENTROS_COSTO'!$E$4:$E$28,MATCH($F968,'CAT_CENTROS_COSTO'!$A$4:$A$28,0)),""))&lt;&gt;"",IFERROR(INDEX('CAT_CENTROS_COSTO'!$E$4:$E$28,MATCH($F968,'CAT_CENTROS_COSTO'!$A$4:$A$28,0)),""),$Y968))</f>
        <v/>
      </c>
      <c r="AA968" s="24">
        <f>IF($F968="","",IFERROR(INDEX('CAT_CENTROS_COSTO'!$G$4:$G$28,MATCH($F968,'CAT_CENTROS_COSTO'!$A$4:$A$28,0)),"(sin catálogo)"))</f>
        <v/>
      </c>
      <c r="AB968" s="24">
        <f>IF($G968="","",IFERROR(INDEX('CAT_PUESTOS'!$B$4:$B$23,MATCH($G968,'CAT_PUESTOS'!$A$4:$A$23,0)),"(sin catálogo)"))</f>
        <v/>
      </c>
      <c r="AC968" s="24">
        <f>IF($H968="","",IFERROR(INDEX('CAT_ACTIVIDADES'!$B$4:$B$26,MATCH($H968,'CAT_ACTIVIDADES'!$A$4:$A$26,0)),"(sin catálogo)"))</f>
        <v/>
      </c>
      <c r="AD968" s="26">
        <f>IF($J968="","",TODAY()-$J968)</f>
        <v/>
      </c>
      <c r="AE968" s="26">
        <f>IF($J968="","",IF($J968&lt;=TODAY(),COUNTIFS(cal_fechas,"&gt;="&amp;$J968,cal_fechas,"&lt;"&amp;TODAY(),cal_habil,"sí"),-COUNTIFS(cal_fechas,"&gt;="&amp;TODAY(),cal_fechas,"&lt;"&amp;$J968,cal_habil,"sí")))</f>
        <v/>
      </c>
      <c r="AF968" s="24">
        <f>IF($AE968="","",IF($AE968&lt;0,"FUTURO",IF($AE968&gt;p_dias_backlog_max,"BACKLOG","MES CORRIENTE")))</f>
        <v/>
      </c>
      <c r="AG968" s="24">
        <f>IF($AE968="",FALSE,AND($AE968&gt;p_dias_backlog_min,$AE968&lt;=p_dias_backlog_max))</f>
        <v/>
      </c>
      <c r="AH968" s="4" t="n"/>
      <c r="AI968" s="24">
        <f>IF($AH968="","",IF((IFERROR(INDEX('ASIGNACIONES'!$J$4:$J$451,MATCH($O968&amp;"|"&amp;$S968&amp;"|"&amp;$AH968,'ASIGNACIONES'!$N$4:$N$451,0)),""))=0,"",IFERROR(INDEX('ASIGNACIONES'!$J$4:$J$451,MATCH($O968&amp;"|"&amp;$S968&amp;"|"&amp;$AH968,'ASIGNACIONES'!$N$4:$N$451,0)),"")))</f>
        <v/>
      </c>
      <c r="AJ968" s="42">
        <f>IF($AH968="","",SUMIFS('ORDENES'!$M$4:$M$1203,'ORDENES'!$AH$4:$AH$1203,$AH968,'ORDENES'!$O$4:$O$1203,$O968,'ORDENES'!$S$4:$S$1203,$S968))</f>
        <v/>
      </c>
      <c r="AK968" s="42">
        <f>IF($AJ968="","",p_factor_productividad*IFERROR(INDEX('ASIGNACIONES'!$M$4:$M$451,MATCH($O968&amp;"|"&amp;$S968&amp;"|"&amp;$AH968,'ASIGNACIONES'!$N$4:$N$451,0)),0)-$AJ968)</f>
        <v/>
      </c>
      <c r="AL968" s="32">
        <f>IF($A968="","",IFERROR(INDEX('2_IMPORTAR_EJECUCION'!$F$9:$F$1208,MATCH($AU968,'2_IMPORTAR_EJECUCION'!$J$9:$J$1208,0)),0))</f>
        <v/>
      </c>
      <c r="AM968" s="32">
        <f>IF($A968="","",MAX(0,IFERROR(INDEX('2_IMPORTAR_EJECUCION'!$H$9:$H$1208,MATCH($AU968,'2_IMPORTAR_EJECUCION'!$J$9:$J$1208,0)),0)-$AL968))</f>
        <v/>
      </c>
      <c r="AN968" s="32">
        <f>IF($A968="","",$AL968+$AM968)</f>
        <v/>
      </c>
      <c r="AO968" s="24">
        <f>IF($A968="","",IF(OR((IFERROR(INDEX('CAT_ACTIVIDADES'!$D$4:$D$26,MATCH($H968,'CAT_ACTIVIDADES'!$A$4:$A$26,0)),""))=0,(IFERROR(INDEX('CAT_ACTIVIDADES'!$D$4:$D$26,MATCH($H968,'CAT_ACTIVIDADES'!$A$4:$A$26,0)),""))=""),"SIN CLASIFICAR",IFERROR(INDEX('CAT_ACTIVIDADES'!$D$4:$D$26,MATCH($H968,'CAT_ACTIVIDADES'!$A$4:$A$26,0)),"")))</f>
        <v/>
      </c>
      <c r="AP968" s="4" t="n"/>
      <c r="AQ968" s="4" t="n"/>
      <c r="AR968" s="4" t="n"/>
      <c r="AS968" s="24">
        <f>IF($AR968="","",HYPERLINK(p_ruta_base_checklists&amp;$AR968,"abrir"))</f>
        <v/>
      </c>
      <c r="AT968" s="4" t="n"/>
      <c r="AU968" s="24">
        <f>IF($A968="","",$A968&amp;IF($B968="","0010",$B968))</f>
        <v/>
      </c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41" t="n"/>
      <c r="K969" s="5" t="n"/>
      <c r="L969" s="18" t="n"/>
      <c r="M969" s="24">
        <f>IF($A969="","",IFERROR(INDEX('AJUSTES'!$B$4:$B$303,MATCH($AU969,'AJUSTES'!$A$4:$A$303,0)),IF($K969="","",$K969)))</f>
        <v/>
      </c>
      <c r="N969" s="24">
        <f>IF($A969="","",IFERROR(INDEX('CAT_ESTADOS_ERP'!$B$4:$B$22,MATCH(IFERROR(INDEX('2_IMPORTAR_EJECUCION'!$C$9:$C$1208,MATCH($AU969,'2_IMPORTAR_EJECUCION'!$J$9:$J$1208,0)),""),'CAT_ESTADOS_ERP'!$A$4:$A$22,0)),"Pendiente"))</f>
        <v/>
      </c>
      <c r="O969" s="24">
        <f>IF($J969="","",YEAR($J969+4-WEEKDAY($J969,2))&amp;"-S"&amp;TEXT(_xlfn.ISOWEEKNUM($J969),"00"))</f>
        <v/>
      </c>
      <c r="P969" s="24">
        <f>IF($J969="","",YEAR($J969))</f>
        <v/>
      </c>
      <c r="Q969" s="24">
        <f>IF($J969="","",MONTH($J969))</f>
        <v/>
      </c>
      <c r="R969" s="24">
        <f>IF($J969="","",$P969&amp;"-"&amp;TEXT($Q969,"00"))</f>
        <v/>
      </c>
      <c r="S969" s="24">
        <f>IF($J969="","",INDEX(lista_dias,WEEKDAY($J969,2)))</f>
        <v/>
      </c>
      <c r="T969" s="24">
        <f>IF($J969="","",IFERROR(INDEX('CALENDARIO'!$C$15:$C$214,MATCH(TEXT($J969,"yyyy-mm-dd")&amp;"|"&amp;$Y969&amp;"|"&amp;$Z969,'CALENDARIO'!$G$15:$G$214,0)),IFERROR(INDEX('CALENDARIO'!$C$15:$C$214,MATCH(TEXT($J969,"yyyy-mm-dd")&amp;"|"&amp;$Y969&amp;"|",'CALENDARIO'!$G$15:$G$214,0)),IFERROR(INDEX('CALENDARIO'!$C$15:$C$214,MATCH(TEXT($J969,"yyyy-mm-dd")&amp;"||",'CALENDARIO'!$G$15:$G$214,0)),INDEX(patronHabil,WEEKDAY($J969,2))))))</f>
        <v/>
      </c>
      <c r="U969" s="24">
        <f>IF($I969="","",IFERROR(INDEX('CAT_TIPOS_OT'!$C$4:$C$23,MATCH($I969,'CAT_TIPOS_OT'!$A$4:$A$23,0)),"sin_clasificar"))</f>
        <v/>
      </c>
      <c r="V969" s="24">
        <f>IF($I969="","",IF(IFERROR(INDEX('CAT_TIPOS_OT'!$D$4:$D$23,MATCH($I969,'CAT_TIPOS_OT'!$A$4:$A$23,0)),"SIN CLASIFICAR")="","SIN CLASIFICAR",IFERROR(INDEX('CAT_TIPOS_OT'!$D$4:$D$23,MATCH($I969,'CAT_TIPOS_OT'!$A$4:$A$23,0)),"SIN CLASIFICAR")))</f>
        <v/>
      </c>
      <c r="W969" s="24">
        <f>IF($H969="","",IF(IFERROR(INDEX('CAT_ACTIVIDADES'!$F$4:$F$26,MATCH($H969,'CAT_ACTIVIDADES'!$A$4:$A$26,0)),"")=0,"",IFERROR(INDEX('CAT_ACTIVIDADES'!$F$4:$F$26,MATCH($H969,'CAT_ACTIVIDADES'!$A$4:$A$26,0)),"")))</f>
        <v/>
      </c>
      <c r="X969" s="24">
        <f>IF($F969="","",IFERROR(INDEX('CAT_CENTROS_COSTO'!$F$4:$F$28,MATCH($F969,'CAT_CENTROS_COSTO'!$A$4:$A$28,0)),"(sin catálogo)"))</f>
        <v/>
      </c>
      <c r="Y969" s="24">
        <f>IF($F969="","",IFERROR(INDEX('CAT_CENTROS_COSTO'!$D$4:$D$28,MATCH($F969,'CAT_CENTROS_COSTO'!$A$4:$A$28,0)),"(sin catálogo)"))</f>
        <v/>
      </c>
      <c r="Z969" s="24">
        <f>IF($F969="","",IF((IFERROR(INDEX('CAT_CENTROS_COSTO'!$E$4:$E$28,MATCH($F969,'CAT_CENTROS_COSTO'!$A$4:$A$28,0)),""))&lt;&gt;"",IFERROR(INDEX('CAT_CENTROS_COSTO'!$E$4:$E$28,MATCH($F969,'CAT_CENTROS_COSTO'!$A$4:$A$28,0)),""),$Y969))</f>
        <v/>
      </c>
      <c r="AA969" s="24">
        <f>IF($F969="","",IFERROR(INDEX('CAT_CENTROS_COSTO'!$G$4:$G$28,MATCH($F969,'CAT_CENTROS_COSTO'!$A$4:$A$28,0)),"(sin catálogo)"))</f>
        <v/>
      </c>
      <c r="AB969" s="24">
        <f>IF($G969="","",IFERROR(INDEX('CAT_PUESTOS'!$B$4:$B$23,MATCH($G969,'CAT_PUESTOS'!$A$4:$A$23,0)),"(sin catálogo)"))</f>
        <v/>
      </c>
      <c r="AC969" s="24">
        <f>IF($H969="","",IFERROR(INDEX('CAT_ACTIVIDADES'!$B$4:$B$26,MATCH($H969,'CAT_ACTIVIDADES'!$A$4:$A$26,0)),"(sin catálogo)"))</f>
        <v/>
      </c>
      <c r="AD969" s="26">
        <f>IF($J969="","",TODAY()-$J969)</f>
        <v/>
      </c>
      <c r="AE969" s="26">
        <f>IF($J969="","",IF($J969&lt;=TODAY(),COUNTIFS(cal_fechas,"&gt;="&amp;$J969,cal_fechas,"&lt;"&amp;TODAY(),cal_habil,"sí"),-COUNTIFS(cal_fechas,"&gt;="&amp;TODAY(),cal_fechas,"&lt;"&amp;$J969,cal_habil,"sí")))</f>
        <v/>
      </c>
      <c r="AF969" s="24">
        <f>IF($AE969="","",IF($AE969&lt;0,"FUTURO",IF($AE969&gt;p_dias_backlog_max,"BACKLOG","MES CORRIENTE")))</f>
        <v/>
      </c>
      <c r="AG969" s="24">
        <f>IF($AE969="",FALSE,AND($AE969&gt;p_dias_backlog_min,$AE969&lt;=p_dias_backlog_max))</f>
        <v/>
      </c>
      <c r="AH969" s="4" t="n"/>
      <c r="AI969" s="24">
        <f>IF($AH969="","",IF((IFERROR(INDEX('ASIGNACIONES'!$J$4:$J$451,MATCH($O969&amp;"|"&amp;$S969&amp;"|"&amp;$AH969,'ASIGNACIONES'!$N$4:$N$451,0)),""))=0,"",IFERROR(INDEX('ASIGNACIONES'!$J$4:$J$451,MATCH($O969&amp;"|"&amp;$S969&amp;"|"&amp;$AH969,'ASIGNACIONES'!$N$4:$N$451,0)),"")))</f>
        <v/>
      </c>
      <c r="AJ969" s="42">
        <f>IF($AH969="","",SUMIFS('ORDENES'!$M$4:$M$1203,'ORDENES'!$AH$4:$AH$1203,$AH969,'ORDENES'!$O$4:$O$1203,$O969,'ORDENES'!$S$4:$S$1203,$S969))</f>
        <v/>
      </c>
      <c r="AK969" s="42">
        <f>IF($AJ969="","",p_factor_productividad*IFERROR(INDEX('ASIGNACIONES'!$M$4:$M$451,MATCH($O969&amp;"|"&amp;$S969&amp;"|"&amp;$AH969,'ASIGNACIONES'!$N$4:$N$451,0)),0)-$AJ969)</f>
        <v/>
      </c>
      <c r="AL969" s="32">
        <f>IF($A969="","",IFERROR(INDEX('2_IMPORTAR_EJECUCION'!$F$9:$F$1208,MATCH($AU969,'2_IMPORTAR_EJECUCION'!$J$9:$J$1208,0)),0))</f>
        <v/>
      </c>
      <c r="AM969" s="32">
        <f>IF($A969="","",MAX(0,IFERROR(INDEX('2_IMPORTAR_EJECUCION'!$H$9:$H$1208,MATCH($AU969,'2_IMPORTAR_EJECUCION'!$J$9:$J$1208,0)),0)-$AL969))</f>
        <v/>
      </c>
      <c r="AN969" s="32">
        <f>IF($A969="","",$AL969+$AM969)</f>
        <v/>
      </c>
      <c r="AO969" s="24">
        <f>IF($A969="","",IF(OR((IFERROR(INDEX('CAT_ACTIVIDADES'!$D$4:$D$26,MATCH($H969,'CAT_ACTIVIDADES'!$A$4:$A$26,0)),""))=0,(IFERROR(INDEX('CAT_ACTIVIDADES'!$D$4:$D$26,MATCH($H969,'CAT_ACTIVIDADES'!$A$4:$A$26,0)),""))=""),"SIN CLASIFICAR",IFERROR(INDEX('CAT_ACTIVIDADES'!$D$4:$D$26,MATCH($H969,'CAT_ACTIVIDADES'!$A$4:$A$26,0)),"")))</f>
        <v/>
      </c>
      <c r="AP969" s="4" t="n"/>
      <c r="AQ969" s="4" t="n"/>
      <c r="AR969" s="4" t="n"/>
      <c r="AS969" s="24">
        <f>IF($AR969="","",HYPERLINK(p_ruta_base_checklists&amp;$AR969,"abrir"))</f>
        <v/>
      </c>
      <c r="AT969" s="4" t="n"/>
      <c r="AU969" s="24">
        <f>IF($A969="","",$A969&amp;IF($B969="","0010",$B969))</f>
        <v/>
      </c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41" t="n"/>
      <c r="K970" s="5" t="n"/>
      <c r="L970" s="18" t="n"/>
      <c r="M970" s="24">
        <f>IF($A970="","",IFERROR(INDEX('AJUSTES'!$B$4:$B$303,MATCH($AU970,'AJUSTES'!$A$4:$A$303,0)),IF($K970="","",$K970)))</f>
        <v/>
      </c>
      <c r="N970" s="24">
        <f>IF($A970="","",IFERROR(INDEX('CAT_ESTADOS_ERP'!$B$4:$B$22,MATCH(IFERROR(INDEX('2_IMPORTAR_EJECUCION'!$C$9:$C$1208,MATCH($AU970,'2_IMPORTAR_EJECUCION'!$J$9:$J$1208,0)),""),'CAT_ESTADOS_ERP'!$A$4:$A$22,0)),"Pendiente"))</f>
        <v/>
      </c>
      <c r="O970" s="24">
        <f>IF($J970="","",YEAR($J970+4-WEEKDAY($J970,2))&amp;"-S"&amp;TEXT(_xlfn.ISOWEEKNUM($J970),"00"))</f>
        <v/>
      </c>
      <c r="P970" s="24">
        <f>IF($J970="","",YEAR($J970))</f>
        <v/>
      </c>
      <c r="Q970" s="24">
        <f>IF($J970="","",MONTH($J970))</f>
        <v/>
      </c>
      <c r="R970" s="24">
        <f>IF($J970="","",$P970&amp;"-"&amp;TEXT($Q970,"00"))</f>
        <v/>
      </c>
      <c r="S970" s="24">
        <f>IF($J970="","",INDEX(lista_dias,WEEKDAY($J970,2)))</f>
        <v/>
      </c>
      <c r="T970" s="24">
        <f>IF($J970="","",IFERROR(INDEX('CALENDARIO'!$C$15:$C$214,MATCH(TEXT($J970,"yyyy-mm-dd")&amp;"|"&amp;$Y970&amp;"|"&amp;$Z970,'CALENDARIO'!$G$15:$G$214,0)),IFERROR(INDEX('CALENDARIO'!$C$15:$C$214,MATCH(TEXT($J970,"yyyy-mm-dd")&amp;"|"&amp;$Y970&amp;"|",'CALENDARIO'!$G$15:$G$214,0)),IFERROR(INDEX('CALENDARIO'!$C$15:$C$214,MATCH(TEXT($J970,"yyyy-mm-dd")&amp;"||",'CALENDARIO'!$G$15:$G$214,0)),INDEX(patronHabil,WEEKDAY($J970,2))))))</f>
        <v/>
      </c>
      <c r="U970" s="24">
        <f>IF($I970="","",IFERROR(INDEX('CAT_TIPOS_OT'!$C$4:$C$23,MATCH($I970,'CAT_TIPOS_OT'!$A$4:$A$23,0)),"sin_clasificar"))</f>
        <v/>
      </c>
      <c r="V970" s="24">
        <f>IF($I970="","",IF(IFERROR(INDEX('CAT_TIPOS_OT'!$D$4:$D$23,MATCH($I970,'CAT_TIPOS_OT'!$A$4:$A$23,0)),"SIN CLASIFICAR")="","SIN CLASIFICAR",IFERROR(INDEX('CAT_TIPOS_OT'!$D$4:$D$23,MATCH($I970,'CAT_TIPOS_OT'!$A$4:$A$23,0)),"SIN CLASIFICAR")))</f>
        <v/>
      </c>
      <c r="W970" s="24">
        <f>IF($H970="","",IF(IFERROR(INDEX('CAT_ACTIVIDADES'!$F$4:$F$26,MATCH($H970,'CAT_ACTIVIDADES'!$A$4:$A$26,0)),"")=0,"",IFERROR(INDEX('CAT_ACTIVIDADES'!$F$4:$F$26,MATCH($H970,'CAT_ACTIVIDADES'!$A$4:$A$26,0)),"")))</f>
        <v/>
      </c>
      <c r="X970" s="24">
        <f>IF($F970="","",IFERROR(INDEX('CAT_CENTROS_COSTO'!$F$4:$F$28,MATCH($F970,'CAT_CENTROS_COSTO'!$A$4:$A$28,0)),"(sin catálogo)"))</f>
        <v/>
      </c>
      <c r="Y970" s="24">
        <f>IF($F970="","",IFERROR(INDEX('CAT_CENTROS_COSTO'!$D$4:$D$28,MATCH($F970,'CAT_CENTROS_COSTO'!$A$4:$A$28,0)),"(sin catálogo)"))</f>
        <v/>
      </c>
      <c r="Z970" s="24">
        <f>IF($F970="","",IF((IFERROR(INDEX('CAT_CENTROS_COSTO'!$E$4:$E$28,MATCH($F970,'CAT_CENTROS_COSTO'!$A$4:$A$28,0)),""))&lt;&gt;"",IFERROR(INDEX('CAT_CENTROS_COSTO'!$E$4:$E$28,MATCH($F970,'CAT_CENTROS_COSTO'!$A$4:$A$28,0)),""),$Y970))</f>
        <v/>
      </c>
      <c r="AA970" s="24">
        <f>IF($F970="","",IFERROR(INDEX('CAT_CENTROS_COSTO'!$G$4:$G$28,MATCH($F970,'CAT_CENTROS_COSTO'!$A$4:$A$28,0)),"(sin catálogo)"))</f>
        <v/>
      </c>
      <c r="AB970" s="24">
        <f>IF($G970="","",IFERROR(INDEX('CAT_PUESTOS'!$B$4:$B$23,MATCH($G970,'CAT_PUESTOS'!$A$4:$A$23,0)),"(sin catálogo)"))</f>
        <v/>
      </c>
      <c r="AC970" s="24">
        <f>IF($H970="","",IFERROR(INDEX('CAT_ACTIVIDADES'!$B$4:$B$26,MATCH($H970,'CAT_ACTIVIDADES'!$A$4:$A$26,0)),"(sin catálogo)"))</f>
        <v/>
      </c>
      <c r="AD970" s="26">
        <f>IF($J970="","",TODAY()-$J970)</f>
        <v/>
      </c>
      <c r="AE970" s="26">
        <f>IF($J970="","",IF($J970&lt;=TODAY(),COUNTIFS(cal_fechas,"&gt;="&amp;$J970,cal_fechas,"&lt;"&amp;TODAY(),cal_habil,"sí"),-COUNTIFS(cal_fechas,"&gt;="&amp;TODAY(),cal_fechas,"&lt;"&amp;$J970,cal_habil,"sí")))</f>
        <v/>
      </c>
      <c r="AF970" s="24">
        <f>IF($AE970="","",IF($AE970&lt;0,"FUTURO",IF($AE970&gt;p_dias_backlog_max,"BACKLOG","MES CORRIENTE")))</f>
        <v/>
      </c>
      <c r="AG970" s="24">
        <f>IF($AE970="",FALSE,AND($AE970&gt;p_dias_backlog_min,$AE970&lt;=p_dias_backlog_max))</f>
        <v/>
      </c>
      <c r="AH970" s="4" t="n"/>
      <c r="AI970" s="24">
        <f>IF($AH970="","",IF((IFERROR(INDEX('ASIGNACIONES'!$J$4:$J$451,MATCH($O970&amp;"|"&amp;$S970&amp;"|"&amp;$AH970,'ASIGNACIONES'!$N$4:$N$451,0)),""))=0,"",IFERROR(INDEX('ASIGNACIONES'!$J$4:$J$451,MATCH($O970&amp;"|"&amp;$S970&amp;"|"&amp;$AH970,'ASIGNACIONES'!$N$4:$N$451,0)),"")))</f>
        <v/>
      </c>
      <c r="AJ970" s="42">
        <f>IF($AH970="","",SUMIFS('ORDENES'!$M$4:$M$1203,'ORDENES'!$AH$4:$AH$1203,$AH970,'ORDENES'!$O$4:$O$1203,$O970,'ORDENES'!$S$4:$S$1203,$S970))</f>
        <v/>
      </c>
      <c r="AK970" s="42">
        <f>IF($AJ970="","",p_factor_productividad*IFERROR(INDEX('ASIGNACIONES'!$M$4:$M$451,MATCH($O970&amp;"|"&amp;$S970&amp;"|"&amp;$AH970,'ASIGNACIONES'!$N$4:$N$451,0)),0)-$AJ970)</f>
        <v/>
      </c>
      <c r="AL970" s="32">
        <f>IF($A970="","",IFERROR(INDEX('2_IMPORTAR_EJECUCION'!$F$9:$F$1208,MATCH($AU970,'2_IMPORTAR_EJECUCION'!$J$9:$J$1208,0)),0))</f>
        <v/>
      </c>
      <c r="AM970" s="32">
        <f>IF($A970="","",MAX(0,IFERROR(INDEX('2_IMPORTAR_EJECUCION'!$H$9:$H$1208,MATCH($AU970,'2_IMPORTAR_EJECUCION'!$J$9:$J$1208,0)),0)-$AL970))</f>
        <v/>
      </c>
      <c r="AN970" s="32">
        <f>IF($A970="","",$AL970+$AM970)</f>
        <v/>
      </c>
      <c r="AO970" s="24">
        <f>IF($A970="","",IF(OR((IFERROR(INDEX('CAT_ACTIVIDADES'!$D$4:$D$26,MATCH($H970,'CAT_ACTIVIDADES'!$A$4:$A$26,0)),""))=0,(IFERROR(INDEX('CAT_ACTIVIDADES'!$D$4:$D$26,MATCH($H970,'CAT_ACTIVIDADES'!$A$4:$A$26,0)),""))=""),"SIN CLASIFICAR",IFERROR(INDEX('CAT_ACTIVIDADES'!$D$4:$D$26,MATCH($H970,'CAT_ACTIVIDADES'!$A$4:$A$26,0)),"")))</f>
        <v/>
      </c>
      <c r="AP970" s="4" t="n"/>
      <c r="AQ970" s="4" t="n"/>
      <c r="AR970" s="4" t="n"/>
      <c r="AS970" s="24">
        <f>IF($AR970="","",HYPERLINK(p_ruta_base_checklists&amp;$AR970,"abrir"))</f>
        <v/>
      </c>
      <c r="AT970" s="4" t="n"/>
      <c r="AU970" s="24">
        <f>IF($A970="","",$A970&amp;IF($B970="","0010",$B970))</f>
        <v/>
      </c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41" t="n"/>
      <c r="K971" s="5" t="n"/>
      <c r="L971" s="18" t="n"/>
      <c r="M971" s="24">
        <f>IF($A971="","",IFERROR(INDEX('AJUSTES'!$B$4:$B$303,MATCH($AU971,'AJUSTES'!$A$4:$A$303,0)),IF($K971="","",$K971)))</f>
        <v/>
      </c>
      <c r="N971" s="24">
        <f>IF($A971="","",IFERROR(INDEX('CAT_ESTADOS_ERP'!$B$4:$B$22,MATCH(IFERROR(INDEX('2_IMPORTAR_EJECUCION'!$C$9:$C$1208,MATCH($AU971,'2_IMPORTAR_EJECUCION'!$J$9:$J$1208,0)),""),'CAT_ESTADOS_ERP'!$A$4:$A$22,0)),"Pendiente"))</f>
        <v/>
      </c>
      <c r="O971" s="24">
        <f>IF($J971="","",YEAR($J971+4-WEEKDAY($J971,2))&amp;"-S"&amp;TEXT(_xlfn.ISOWEEKNUM($J971),"00"))</f>
        <v/>
      </c>
      <c r="P971" s="24">
        <f>IF($J971="","",YEAR($J971))</f>
        <v/>
      </c>
      <c r="Q971" s="24">
        <f>IF($J971="","",MONTH($J971))</f>
        <v/>
      </c>
      <c r="R971" s="24">
        <f>IF($J971="","",$P971&amp;"-"&amp;TEXT($Q971,"00"))</f>
        <v/>
      </c>
      <c r="S971" s="24">
        <f>IF($J971="","",INDEX(lista_dias,WEEKDAY($J971,2)))</f>
        <v/>
      </c>
      <c r="T971" s="24">
        <f>IF($J971="","",IFERROR(INDEX('CALENDARIO'!$C$15:$C$214,MATCH(TEXT($J971,"yyyy-mm-dd")&amp;"|"&amp;$Y971&amp;"|"&amp;$Z971,'CALENDARIO'!$G$15:$G$214,0)),IFERROR(INDEX('CALENDARIO'!$C$15:$C$214,MATCH(TEXT($J971,"yyyy-mm-dd")&amp;"|"&amp;$Y971&amp;"|",'CALENDARIO'!$G$15:$G$214,0)),IFERROR(INDEX('CALENDARIO'!$C$15:$C$214,MATCH(TEXT($J971,"yyyy-mm-dd")&amp;"||",'CALENDARIO'!$G$15:$G$214,0)),INDEX(patronHabil,WEEKDAY($J971,2))))))</f>
        <v/>
      </c>
      <c r="U971" s="24">
        <f>IF($I971="","",IFERROR(INDEX('CAT_TIPOS_OT'!$C$4:$C$23,MATCH($I971,'CAT_TIPOS_OT'!$A$4:$A$23,0)),"sin_clasificar"))</f>
        <v/>
      </c>
      <c r="V971" s="24">
        <f>IF($I971="","",IF(IFERROR(INDEX('CAT_TIPOS_OT'!$D$4:$D$23,MATCH($I971,'CAT_TIPOS_OT'!$A$4:$A$23,0)),"SIN CLASIFICAR")="","SIN CLASIFICAR",IFERROR(INDEX('CAT_TIPOS_OT'!$D$4:$D$23,MATCH($I971,'CAT_TIPOS_OT'!$A$4:$A$23,0)),"SIN CLASIFICAR")))</f>
        <v/>
      </c>
      <c r="W971" s="24">
        <f>IF($H971="","",IF(IFERROR(INDEX('CAT_ACTIVIDADES'!$F$4:$F$26,MATCH($H971,'CAT_ACTIVIDADES'!$A$4:$A$26,0)),"")=0,"",IFERROR(INDEX('CAT_ACTIVIDADES'!$F$4:$F$26,MATCH($H971,'CAT_ACTIVIDADES'!$A$4:$A$26,0)),"")))</f>
        <v/>
      </c>
      <c r="X971" s="24">
        <f>IF($F971="","",IFERROR(INDEX('CAT_CENTROS_COSTO'!$F$4:$F$28,MATCH($F971,'CAT_CENTROS_COSTO'!$A$4:$A$28,0)),"(sin catálogo)"))</f>
        <v/>
      </c>
      <c r="Y971" s="24">
        <f>IF($F971="","",IFERROR(INDEX('CAT_CENTROS_COSTO'!$D$4:$D$28,MATCH($F971,'CAT_CENTROS_COSTO'!$A$4:$A$28,0)),"(sin catálogo)"))</f>
        <v/>
      </c>
      <c r="Z971" s="24">
        <f>IF($F971="","",IF((IFERROR(INDEX('CAT_CENTROS_COSTO'!$E$4:$E$28,MATCH($F971,'CAT_CENTROS_COSTO'!$A$4:$A$28,0)),""))&lt;&gt;"",IFERROR(INDEX('CAT_CENTROS_COSTO'!$E$4:$E$28,MATCH($F971,'CAT_CENTROS_COSTO'!$A$4:$A$28,0)),""),$Y971))</f>
        <v/>
      </c>
      <c r="AA971" s="24">
        <f>IF($F971="","",IFERROR(INDEX('CAT_CENTROS_COSTO'!$G$4:$G$28,MATCH($F971,'CAT_CENTROS_COSTO'!$A$4:$A$28,0)),"(sin catálogo)"))</f>
        <v/>
      </c>
      <c r="AB971" s="24">
        <f>IF($G971="","",IFERROR(INDEX('CAT_PUESTOS'!$B$4:$B$23,MATCH($G971,'CAT_PUESTOS'!$A$4:$A$23,0)),"(sin catálogo)"))</f>
        <v/>
      </c>
      <c r="AC971" s="24">
        <f>IF($H971="","",IFERROR(INDEX('CAT_ACTIVIDADES'!$B$4:$B$26,MATCH($H971,'CAT_ACTIVIDADES'!$A$4:$A$26,0)),"(sin catálogo)"))</f>
        <v/>
      </c>
      <c r="AD971" s="26">
        <f>IF($J971="","",TODAY()-$J971)</f>
        <v/>
      </c>
      <c r="AE971" s="26">
        <f>IF($J971="","",IF($J971&lt;=TODAY(),COUNTIFS(cal_fechas,"&gt;="&amp;$J971,cal_fechas,"&lt;"&amp;TODAY(),cal_habil,"sí"),-COUNTIFS(cal_fechas,"&gt;="&amp;TODAY(),cal_fechas,"&lt;"&amp;$J971,cal_habil,"sí")))</f>
        <v/>
      </c>
      <c r="AF971" s="24">
        <f>IF($AE971="","",IF($AE971&lt;0,"FUTURO",IF($AE971&gt;p_dias_backlog_max,"BACKLOG","MES CORRIENTE")))</f>
        <v/>
      </c>
      <c r="AG971" s="24">
        <f>IF($AE971="",FALSE,AND($AE971&gt;p_dias_backlog_min,$AE971&lt;=p_dias_backlog_max))</f>
        <v/>
      </c>
      <c r="AH971" s="4" t="n"/>
      <c r="AI971" s="24">
        <f>IF($AH971="","",IF((IFERROR(INDEX('ASIGNACIONES'!$J$4:$J$451,MATCH($O971&amp;"|"&amp;$S971&amp;"|"&amp;$AH971,'ASIGNACIONES'!$N$4:$N$451,0)),""))=0,"",IFERROR(INDEX('ASIGNACIONES'!$J$4:$J$451,MATCH($O971&amp;"|"&amp;$S971&amp;"|"&amp;$AH971,'ASIGNACIONES'!$N$4:$N$451,0)),"")))</f>
        <v/>
      </c>
      <c r="AJ971" s="42">
        <f>IF($AH971="","",SUMIFS('ORDENES'!$M$4:$M$1203,'ORDENES'!$AH$4:$AH$1203,$AH971,'ORDENES'!$O$4:$O$1203,$O971,'ORDENES'!$S$4:$S$1203,$S971))</f>
        <v/>
      </c>
      <c r="AK971" s="42">
        <f>IF($AJ971="","",p_factor_productividad*IFERROR(INDEX('ASIGNACIONES'!$M$4:$M$451,MATCH($O971&amp;"|"&amp;$S971&amp;"|"&amp;$AH971,'ASIGNACIONES'!$N$4:$N$451,0)),0)-$AJ971)</f>
        <v/>
      </c>
      <c r="AL971" s="32">
        <f>IF($A971="","",IFERROR(INDEX('2_IMPORTAR_EJECUCION'!$F$9:$F$1208,MATCH($AU971,'2_IMPORTAR_EJECUCION'!$J$9:$J$1208,0)),0))</f>
        <v/>
      </c>
      <c r="AM971" s="32">
        <f>IF($A971="","",MAX(0,IFERROR(INDEX('2_IMPORTAR_EJECUCION'!$H$9:$H$1208,MATCH($AU971,'2_IMPORTAR_EJECUCION'!$J$9:$J$1208,0)),0)-$AL971))</f>
        <v/>
      </c>
      <c r="AN971" s="32">
        <f>IF($A971="","",$AL971+$AM971)</f>
        <v/>
      </c>
      <c r="AO971" s="24">
        <f>IF($A971="","",IF(OR((IFERROR(INDEX('CAT_ACTIVIDADES'!$D$4:$D$26,MATCH($H971,'CAT_ACTIVIDADES'!$A$4:$A$26,0)),""))=0,(IFERROR(INDEX('CAT_ACTIVIDADES'!$D$4:$D$26,MATCH($H971,'CAT_ACTIVIDADES'!$A$4:$A$26,0)),""))=""),"SIN CLASIFICAR",IFERROR(INDEX('CAT_ACTIVIDADES'!$D$4:$D$26,MATCH($H971,'CAT_ACTIVIDADES'!$A$4:$A$26,0)),"")))</f>
        <v/>
      </c>
      <c r="AP971" s="4" t="n"/>
      <c r="AQ971" s="4" t="n"/>
      <c r="AR971" s="4" t="n"/>
      <c r="AS971" s="24">
        <f>IF($AR971="","",HYPERLINK(p_ruta_base_checklists&amp;$AR971,"abrir"))</f>
        <v/>
      </c>
      <c r="AT971" s="4" t="n"/>
      <c r="AU971" s="24">
        <f>IF($A971="","",$A971&amp;IF($B971="","0010",$B971))</f>
        <v/>
      </c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41" t="n"/>
      <c r="K972" s="5" t="n"/>
      <c r="L972" s="18" t="n"/>
      <c r="M972" s="24">
        <f>IF($A972="","",IFERROR(INDEX('AJUSTES'!$B$4:$B$303,MATCH($AU972,'AJUSTES'!$A$4:$A$303,0)),IF($K972="","",$K972)))</f>
        <v/>
      </c>
      <c r="N972" s="24">
        <f>IF($A972="","",IFERROR(INDEX('CAT_ESTADOS_ERP'!$B$4:$B$22,MATCH(IFERROR(INDEX('2_IMPORTAR_EJECUCION'!$C$9:$C$1208,MATCH($AU972,'2_IMPORTAR_EJECUCION'!$J$9:$J$1208,0)),""),'CAT_ESTADOS_ERP'!$A$4:$A$22,0)),"Pendiente"))</f>
        <v/>
      </c>
      <c r="O972" s="24">
        <f>IF($J972="","",YEAR($J972+4-WEEKDAY($J972,2))&amp;"-S"&amp;TEXT(_xlfn.ISOWEEKNUM($J972),"00"))</f>
        <v/>
      </c>
      <c r="P972" s="24">
        <f>IF($J972="","",YEAR($J972))</f>
        <v/>
      </c>
      <c r="Q972" s="24">
        <f>IF($J972="","",MONTH($J972))</f>
        <v/>
      </c>
      <c r="R972" s="24">
        <f>IF($J972="","",$P972&amp;"-"&amp;TEXT($Q972,"00"))</f>
        <v/>
      </c>
      <c r="S972" s="24">
        <f>IF($J972="","",INDEX(lista_dias,WEEKDAY($J972,2)))</f>
        <v/>
      </c>
      <c r="T972" s="24">
        <f>IF($J972="","",IFERROR(INDEX('CALENDARIO'!$C$15:$C$214,MATCH(TEXT($J972,"yyyy-mm-dd")&amp;"|"&amp;$Y972&amp;"|"&amp;$Z972,'CALENDARIO'!$G$15:$G$214,0)),IFERROR(INDEX('CALENDARIO'!$C$15:$C$214,MATCH(TEXT($J972,"yyyy-mm-dd")&amp;"|"&amp;$Y972&amp;"|",'CALENDARIO'!$G$15:$G$214,0)),IFERROR(INDEX('CALENDARIO'!$C$15:$C$214,MATCH(TEXT($J972,"yyyy-mm-dd")&amp;"||",'CALENDARIO'!$G$15:$G$214,0)),INDEX(patronHabil,WEEKDAY($J972,2))))))</f>
        <v/>
      </c>
      <c r="U972" s="24">
        <f>IF($I972="","",IFERROR(INDEX('CAT_TIPOS_OT'!$C$4:$C$23,MATCH($I972,'CAT_TIPOS_OT'!$A$4:$A$23,0)),"sin_clasificar"))</f>
        <v/>
      </c>
      <c r="V972" s="24">
        <f>IF($I972="","",IF(IFERROR(INDEX('CAT_TIPOS_OT'!$D$4:$D$23,MATCH($I972,'CAT_TIPOS_OT'!$A$4:$A$23,0)),"SIN CLASIFICAR")="","SIN CLASIFICAR",IFERROR(INDEX('CAT_TIPOS_OT'!$D$4:$D$23,MATCH($I972,'CAT_TIPOS_OT'!$A$4:$A$23,0)),"SIN CLASIFICAR")))</f>
        <v/>
      </c>
      <c r="W972" s="24">
        <f>IF($H972="","",IF(IFERROR(INDEX('CAT_ACTIVIDADES'!$F$4:$F$26,MATCH($H972,'CAT_ACTIVIDADES'!$A$4:$A$26,0)),"")=0,"",IFERROR(INDEX('CAT_ACTIVIDADES'!$F$4:$F$26,MATCH($H972,'CAT_ACTIVIDADES'!$A$4:$A$26,0)),"")))</f>
        <v/>
      </c>
      <c r="X972" s="24">
        <f>IF($F972="","",IFERROR(INDEX('CAT_CENTROS_COSTO'!$F$4:$F$28,MATCH($F972,'CAT_CENTROS_COSTO'!$A$4:$A$28,0)),"(sin catálogo)"))</f>
        <v/>
      </c>
      <c r="Y972" s="24">
        <f>IF($F972="","",IFERROR(INDEX('CAT_CENTROS_COSTO'!$D$4:$D$28,MATCH($F972,'CAT_CENTROS_COSTO'!$A$4:$A$28,0)),"(sin catálogo)"))</f>
        <v/>
      </c>
      <c r="Z972" s="24">
        <f>IF($F972="","",IF((IFERROR(INDEX('CAT_CENTROS_COSTO'!$E$4:$E$28,MATCH($F972,'CAT_CENTROS_COSTO'!$A$4:$A$28,0)),""))&lt;&gt;"",IFERROR(INDEX('CAT_CENTROS_COSTO'!$E$4:$E$28,MATCH($F972,'CAT_CENTROS_COSTO'!$A$4:$A$28,0)),""),$Y972))</f>
        <v/>
      </c>
      <c r="AA972" s="24">
        <f>IF($F972="","",IFERROR(INDEX('CAT_CENTROS_COSTO'!$G$4:$G$28,MATCH($F972,'CAT_CENTROS_COSTO'!$A$4:$A$28,0)),"(sin catálogo)"))</f>
        <v/>
      </c>
      <c r="AB972" s="24">
        <f>IF($G972="","",IFERROR(INDEX('CAT_PUESTOS'!$B$4:$B$23,MATCH($G972,'CAT_PUESTOS'!$A$4:$A$23,0)),"(sin catálogo)"))</f>
        <v/>
      </c>
      <c r="AC972" s="24">
        <f>IF($H972="","",IFERROR(INDEX('CAT_ACTIVIDADES'!$B$4:$B$26,MATCH($H972,'CAT_ACTIVIDADES'!$A$4:$A$26,0)),"(sin catálogo)"))</f>
        <v/>
      </c>
      <c r="AD972" s="26">
        <f>IF($J972="","",TODAY()-$J972)</f>
        <v/>
      </c>
      <c r="AE972" s="26">
        <f>IF($J972="","",IF($J972&lt;=TODAY(),COUNTIFS(cal_fechas,"&gt;="&amp;$J972,cal_fechas,"&lt;"&amp;TODAY(),cal_habil,"sí"),-COUNTIFS(cal_fechas,"&gt;="&amp;TODAY(),cal_fechas,"&lt;"&amp;$J972,cal_habil,"sí")))</f>
        <v/>
      </c>
      <c r="AF972" s="24">
        <f>IF($AE972="","",IF($AE972&lt;0,"FUTURO",IF($AE972&gt;p_dias_backlog_max,"BACKLOG","MES CORRIENTE")))</f>
        <v/>
      </c>
      <c r="AG972" s="24">
        <f>IF($AE972="",FALSE,AND($AE972&gt;p_dias_backlog_min,$AE972&lt;=p_dias_backlog_max))</f>
        <v/>
      </c>
      <c r="AH972" s="4" t="n"/>
      <c r="AI972" s="24">
        <f>IF($AH972="","",IF((IFERROR(INDEX('ASIGNACIONES'!$J$4:$J$451,MATCH($O972&amp;"|"&amp;$S972&amp;"|"&amp;$AH972,'ASIGNACIONES'!$N$4:$N$451,0)),""))=0,"",IFERROR(INDEX('ASIGNACIONES'!$J$4:$J$451,MATCH($O972&amp;"|"&amp;$S972&amp;"|"&amp;$AH972,'ASIGNACIONES'!$N$4:$N$451,0)),"")))</f>
        <v/>
      </c>
      <c r="AJ972" s="42">
        <f>IF($AH972="","",SUMIFS('ORDENES'!$M$4:$M$1203,'ORDENES'!$AH$4:$AH$1203,$AH972,'ORDENES'!$O$4:$O$1203,$O972,'ORDENES'!$S$4:$S$1203,$S972))</f>
        <v/>
      </c>
      <c r="AK972" s="42">
        <f>IF($AJ972="","",p_factor_productividad*IFERROR(INDEX('ASIGNACIONES'!$M$4:$M$451,MATCH($O972&amp;"|"&amp;$S972&amp;"|"&amp;$AH972,'ASIGNACIONES'!$N$4:$N$451,0)),0)-$AJ972)</f>
        <v/>
      </c>
      <c r="AL972" s="32">
        <f>IF($A972="","",IFERROR(INDEX('2_IMPORTAR_EJECUCION'!$F$9:$F$1208,MATCH($AU972,'2_IMPORTAR_EJECUCION'!$J$9:$J$1208,0)),0))</f>
        <v/>
      </c>
      <c r="AM972" s="32">
        <f>IF($A972="","",MAX(0,IFERROR(INDEX('2_IMPORTAR_EJECUCION'!$H$9:$H$1208,MATCH($AU972,'2_IMPORTAR_EJECUCION'!$J$9:$J$1208,0)),0)-$AL972))</f>
        <v/>
      </c>
      <c r="AN972" s="32">
        <f>IF($A972="","",$AL972+$AM972)</f>
        <v/>
      </c>
      <c r="AO972" s="24">
        <f>IF($A972="","",IF(OR((IFERROR(INDEX('CAT_ACTIVIDADES'!$D$4:$D$26,MATCH($H972,'CAT_ACTIVIDADES'!$A$4:$A$26,0)),""))=0,(IFERROR(INDEX('CAT_ACTIVIDADES'!$D$4:$D$26,MATCH($H972,'CAT_ACTIVIDADES'!$A$4:$A$26,0)),""))=""),"SIN CLASIFICAR",IFERROR(INDEX('CAT_ACTIVIDADES'!$D$4:$D$26,MATCH($H972,'CAT_ACTIVIDADES'!$A$4:$A$26,0)),"")))</f>
        <v/>
      </c>
      <c r="AP972" s="4" t="n"/>
      <c r="AQ972" s="4" t="n"/>
      <c r="AR972" s="4" t="n"/>
      <c r="AS972" s="24">
        <f>IF($AR972="","",HYPERLINK(p_ruta_base_checklists&amp;$AR972,"abrir"))</f>
        <v/>
      </c>
      <c r="AT972" s="4" t="n"/>
      <c r="AU972" s="24">
        <f>IF($A972="","",$A972&amp;IF($B972="","0010",$B972))</f>
        <v/>
      </c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41" t="n"/>
      <c r="K973" s="5" t="n"/>
      <c r="L973" s="18" t="n"/>
      <c r="M973" s="24">
        <f>IF($A973="","",IFERROR(INDEX('AJUSTES'!$B$4:$B$303,MATCH($AU973,'AJUSTES'!$A$4:$A$303,0)),IF($K973="","",$K973)))</f>
        <v/>
      </c>
      <c r="N973" s="24">
        <f>IF($A973="","",IFERROR(INDEX('CAT_ESTADOS_ERP'!$B$4:$B$22,MATCH(IFERROR(INDEX('2_IMPORTAR_EJECUCION'!$C$9:$C$1208,MATCH($AU973,'2_IMPORTAR_EJECUCION'!$J$9:$J$1208,0)),""),'CAT_ESTADOS_ERP'!$A$4:$A$22,0)),"Pendiente"))</f>
        <v/>
      </c>
      <c r="O973" s="24">
        <f>IF($J973="","",YEAR($J973+4-WEEKDAY($J973,2))&amp;"-S"&amp;TEXT(_xlfn.ISOWEEKNUM($J973),"00"))</f>
        <v/>
      </c>
      <c r="P973" s="24">
        <f>IF($J973="","",YEAR($J973))</f>
        <v/>
      </c>
      <c r="Q973" s="24">
        <f>IF($J973="","",MONTH($J973))</f>
        <v/>
      </c>
      <c r="R973" s="24">
        <f>IF($J973="","",$P973&amp;"-"&amp;TEXT($Q973,"00"))</f>
        <v/>
      </c>
      <c r="S973" s="24">
        <f>IF($J973="","",INDEX(lista_dias,WEEKDAY($J973,2)))</f>
        <v/>
      </c>
      <c r="T973" s="24">
        <f>IF($J973="","",IFERROR(INDEX('CALENDARIO'!$C$15:$C$214,MATCH(TEXT($J973,"yyyy-mm-dd")&amp;"|"&amp;$Y973&amp;"|"&amp;$Z973,'CALENDARIO'!$G$15:$G$214,0)),IFERROR(INDEX('CALENDARIO'!$C$15:$C$214,MATCH(TEXT($J973,"yyyy-mm-dd")&amp;"|"&amp;$Y973&amp;"|",'CALENDARIO'!$G$15:$G$214,0)),IFERROR(INDEX('CALENDARIO'!$C$15:$C$214,MATCH(TEXT($J973,"yyyy-mm-dd")&amp;"||",'CALENDARIO'!$G$15:$G$214,0)),INDEX(patronHabil,WEEKDAY($J973,2))))))</f>
        <v/>
      </c>
      <c r="U973" s="24">
        <f>IF($I973="","",IFERROR(INDEX('CAT_TIPOS_OT'!$C$4:$C$23,MATCH($I973,'CAT_TIPOS_OT'!$A$4:$A$23,0)),"sin_clasificar"))</f>
        <v/>
      </c>
      <c r="V973" s="24">
        <f>IF($I973="","",IF(IFERROR(INDEX('CAT_TIPOS_OT'!$D$4:$D$23,MATCH($I973,'CAT_TIPOS_OT'!$A$4:$A$23,0)),"SIN CLASIFICAR")="","SIN CLASIFICAR",IFERROR(INDEX('CAT_TIPOS_OT'!$D$4:$D$23,MATCH($I973,'CAT_TIPOS_OT'!$A$4:$A$23,0)),"SIN CLASIFICAR")))</f>
        <v/>
      </c>
      <c r="W973" s="24">
        <f>IF($H973="","",IF(IFERROR(INDEX('CAT_ACTIVIDADES'!$F$4:$F$26,MATCH($H973,'CAT_ACTIVIDADES'!$A$4:$A$26,0)),"")=0,"",IFERROR(INDEX('CAT_ACTIVIDADES'!$F$4:$F$26,MATCH($H973,'CAT_ACTIVIDADES'!$A$4:$A$26,0)),"")))</f>
        <v/>
      </c>
      <c r="X973" s="24">
        <f>IF($F973="","",IFERROR(INDEX('CAT_CENTROS_COSTO'!$F$4:$F$28,MATCH($F973,'CAT_CENTROS_COSTO'!$A$4:$A$28,0)),"(sin catálogo)"))</f>
        <v/>
      </c>
      <c r="Y973" s="24">
        <f>IF($F973="","",IFERROR(INDEX('CAT_CENTROS_COSTO'!$D$4:$D$28,MATCH($F973,'CAT_CENTROS_COSTO'!$A$4:$A$28,0)),"(sin catálogo)"))</f>
        <v/>
      </c>
      <c r="Z973" s="24">
        <f>IF($F973="","",IF((IFERROR(INDEX('CAT_CENTROS_COSTO'!$E$4:$E$28,MATCH($F973,'CAT_CENTROS_COSTO'!$A$4:$A$28,0)),""))&lt;&gt;"",IFERROR(INDEX('CAT_CENTROS_COSTO'!$E$4:$E$28,MATCH($F973,'CAT_CENTROS_COSTO'!$A$4:$A$28,0)),""),$Y973))</f>
        <v/>
      </c>
      <c r="AA973" s="24">
        <f>IF($F973="","",IFERROR(INDEX('CAT_CENTROS_COSTO'!$G$4:$G$28,MATCH($F973,'CAT_CENTROS_COSTO'!$A$4:$A$28,0)),"(sin catálogo)"))</f>
        <v/>
      </c>
      <c r="AB973" s="24">
        <f>IF($G973="","",IFERROR(INDEX('CAT_PUESTOS'!$B$4:$B$23,MATCH($G973,'CAT_PUESTOS'!$A$4:$A$23,0)),"(sin catálogo)"))</f>
        <v/>
      </c>
      <c r="AC973" s="24">
        <f>IF($H973="","",IFERROR(INDEX('CAT_ACTIVIDADES'!$B$4:$B$26,MATCH($H973,'CAT_ACTIVIDADES'!$A$4:$A$26,0)),"(sin catálogo)"))</f>
        <v/>
      </c>
      <c r="AD973" s="26">
        <f>IF($J973="","",TODAY()-$J973)</f>
        <v/>
      </c>
      <c r="AE973" s="26">
        <f>IF($J973="","",IF($J973&lt;=TODAY(),COUNTIFS(cal_fechas,"&gt;="&amp;$J973,cal_fechas,"&lt;"&amp;TODAY(),cal_habil,"sí"),-COUNTIFS(cal_fechas,"&gt;="&amp;TODAY(),cal_fechas,"&lt;"&amp;$J973,cal_habil,"sí")))</f>
        <v/>
      </c>
      <c r="AF973" s="24">
        <f>IF($AE973="","",IF($AE973&lt;0,"FUTURO",IF($AE973&gt;p_dias_backlog_max,"BACKLOG","MES CORRIENTE")))</f>
        <v/>
      </c>
      <c r="AG973" s="24">
        <f>IF($AE973="",FALSE,AND($AE973&gt;p_dias_backlog_min,$AE973&lt;=p_dias_backlog_max))</f>
        <v/>
      </c>
      <c r="AH973" s="4" t="n"/>
      <c r="AI973" s="24">
        <f>IF($AH973="","",IF((IFERROR(INDEX('ASIGNACIONES'!$J$4:$J$451,MATCH($O973&amp;"|"&amp;$S973&amp;"|"&amp;$AH973,'ASIGNACIONES'!$N$4:$N$451,0)),""))=0,"",IFERROR(INDEX('ASIGNACIONES'!$J$4:$J$451,MATCH($O973&amp;"|"&amp;$S973&amp;"|"&amp;$AH973,'ASIGNACIONES'!$N$4:$N$451,0)),"")))</f>
        <v/>
      </c>
      <c r="AJ973" s="42">
        <f>IF($AH973="","",SUMIFS('ORDENES'!$M$4:$M$1203,'ORDENES'!$AH$4:$AH$1203,$AH973,'ORDENES'!$O$4:$O$1203,$O973,'ORDENES'!$S$4:$S$1203,$S973))</f>
        <v/>
      </c>
      <c r="AK973" s="42">
        <f>IF($AJ973="","",p_factor_productividad*IFERROR(INDEX('ASIGNACIONES'!$M$4:$M$451,MATCH($O973&amp;"|"&amp;$S973&amp;"|"&amp;$AH973,'ASIGNACIONES'!$N$4:$N$451,0)),0)-$AJ973)</f>
        <v/>
      </c>
      <c r="AL973" s="32">
        <f>IF($A973="","",IFERROR(INDEX('2_IMPORTAR_EJECUCION'!$F$9:$F$1208,MATCH($AU973,'2_IMPORTAR_EJECUCION'!$J$9:$J$1208,0)),0))</f>
        <v/>
      </c>
      <c r="AM973" s="32">
        <f>IF($A973="","",MAX(0,IFERROR(INDEX('2_IMPORTAR_EJECUCION'!$H$9:$H$1208,MATCH($AU973,'2_IMPORTAR_EJECUCION'!$J$9:$J$1208,0)),0)-$AL973))</f>
        <v/>
      </c>
      <c r="AN973" s="32">
        <f>IF($A973="","",$AL973+$AM973)</f>
        <v/>
      </c>
      <c r="AO973" s="24">
        <f>IF($A973="","",IF(OR((IFERROR(INDEX('CAT_ACTIVIDADES'!$D$4:$D$26,MATCH($H973,'CAT_ACTIVIDADES'!$A$4:$A$26,0)),""))=0,(IFERROR(INDEX('CAT_ACTIVIDADES'!$D$4:$D$26,MATCH($H973,'CAT_ACTIVIDADES'!$A$4:$A$26,0)),""))=""),"SIN CLASIFICAR",IFERROR(INDEX('CAT_ACTIVIDADES'!$D$4:$D$26,MATCH($H973,'CAT_ACTIVIDADES'!$A$4:$A$26,0)),"")))</f>
        <v/>
      </c>
      <c r="AP973" s="4" t="n"/>
      <c r="AQ973" s="4" t="n"/>
      <c r="AR973" s="4" t="n"/>
      <c r="AS973" s="24">
        <f>IF($AR973="","",HYPERLINK(p_ruta_base_checklists&amp;$AR973,"abrir"))</f>
        <v/>
      </c>
      <c r="AT973" s="4" t="n"/>
      <c r="AU973" s="24">
        <f>IF($A973="","",$A973&amp;IF($B973="","0010",$B973))</f>
        <v/>
      </c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41" t="n"/>
      <c r="K974" s="5" t="n"/>
      <c r="L974" s="18" t="n"/>
      <c r="M974" s="24">
        <f>IF($A974="","",IFERROR(INDEX('AJUSTES'!$B$4:$B$303,MATCH($AU974,'AJUSTES'!$A$4:$A$303,0)),IF($K974="","",$K974)))</f>
        <v/>
      </c>
      <c r="N974" s="24">
        <f>IF($A974="","",IFERROR(INDEX('CAT_ESTADOS_ERP'!$B$4:$B$22,MATCH(IFERROR(INDEX('2_IMPORTAR_EJECUCION'!$C$9:$C$1208,MATCH($AU974,'2_IMPORTAR_EJECUCION'!$J$9:$J$1208,0)),""),'CAT_ESTADOS_ERP'!$A$4:$A$22,0)),"Pendiente"))</f>
        <v/>
      </c>
      <c r="O974" s="24">
        <f>IF($J974="","",YEAR($J974+4-WEEKDAY($J974,2))&amp;"-S"&amp;TEXT(_xlfn.ISOWEEKNUM($J974),"00"))</f>
        <v/>
      </c>
      <c r="P974" s="24">
        <f>IF($J974="","",YEAR($J974))</f>
        <v/>
      </c>
      <c r="Q974" s="24">
        <f>IF($J974="","",MONTH($J974))</f>
        <v/>
      </c>
      <c r="R974" s="24">
        <f>IF($J974="","",$P974&amp;"-"&amp;TEXT($Q974,"00"))</f>
        <v/>
      </c>
      <c r="S974" s="24">
        <f>IF($J974="","",INDEX(lista_dias,WEEKDAY($J974,2)))</f>
        <v/>
      </c>
      <c r="T974" s="24">
        <f>IF($J974="","",IFERROR(INDEX('CALENDARIO'!$C$15:$C$214,MATCH(TEXT($J974,"yyyy-mm-dd")&amp;"|"&amp;$Y974&amp;"|"&amp;$Z974,'CALENDARIO'!$G$15:$G$214,0)),IFERROR(INDEX('CALENDARIO'!$C$15:$C$214,MATCH(TEXT($J974,"yyyy-mm-dd")&amp;"|"&amp;$Y974&amp;"|",'CALENDARIO'!$G$15:$G$214,0)),IFERROR(INDEX('CALENDARIO'!$C$15:$C$214,MATCH(TEXT($J974,"yyyy-mm-dd")&amp;"||",'CALENDARIO'!$G$15:$G$214,0)),INDEX(patronHabil,WEEKDAY($J974,2))))))</f>
        <v/>
      </c>
      <c r="U974" s="24">
        <f>IF($I974="","",IFERROR(INDEX('CAT_TIPOS_OT'!$C$4:$C$23,MATCH($I974,'CAT_TIPOS_OT'!$A$4:$A$23,0)),"sin_clasificar"))</f>
        <v/>
      </c>
      <c r="V974" s="24">
        <f>IF($I974="","",IF(IFERROR(INDEX('CAT_TIPOS_OT'!$D$4:$D$23,MATCH($I974,'CAT_TIPOS_OT'!$A$4:$A$23,0)),"SIN CLASIFICAR")="","SIN CLASIFICAR",IFERROR(INDEX('CAT_TIPOS_OT'!$D$4:$D$23,MATCH($I974,'CAT_TIPOS_OT'!$A$4:$A$23,0)),"SIN CLASIFICAR")))</f>
        <v/>
      </c>
      <c r="W974" s="24">
        <f>IF($H974="","",IF(IFERROR(INDEX('CAT_ACTIVIDADES'!$F$4:$F$26,MATCH($H974,'CAT_ACTIVIDADES'!$A$4:$A$26,0)),"")=0,"",IFERROR(INDEX('CAT_ACTIVIDADES'!$F$4:$F$26,MATCH($H974,'CAT_ACTIVIDADES'!$A$4:$A$26,0)),"")))</f>
        <v/>
      </c>
      <c r="X974" s="24">
        <f>IF($F974="","",IFERROR(INDEX('CAT_CENTROS_COSTO'!$F$4:$F$28,MATCH($F974,'CAT_CENTROS_COSTO'!$A$4:$A$28,0)),"(sin catálogo)"))</f>
        <v/>
      </c>
      <c r="Y974" s="24">
        <f>IF($F974="","",IFERROR(INDEX('CAT_CENTROS_COSTO'!$D$4:$D$28,MATCH($F974,'CAT_CENTROS_COSTO'!$A$4:$A$28,0)),"(sin catálogo)"))</f>
        <v/>
      </c>
      <c r="Z974" s="24">
        <f>IF($F974="","",IF((IFERROR(INDEX('CAT_CENTROS_COSTO'!$E$4:$E$28,MATCH($F974,'CAT_CENTROS_COSTO'!$A$4:$A$28,0)),""))&lt;&gt;"",IFERROR(INDEX('CAT_CENTROS_COSTO'!$E$4:$E$28,MATCH($F974,'CAT_CENTROS_COSTO'!$A$4:$A$28,0)),""),$Y974))</f>
        <v/>
      </c>
      <c r="AA974" s="24">
        <f>IF($F974="","",IFERROR(INDEX('CAT_CENTROS_COSTO'!$G$4:$G$28,MATCH($F974,'CAT_CENTROS_COSTO'!$A$4:$A$28,0)),"(sin catálogo)"))</f>
        <v/>
      </c>
      <c r="AB974" s="24">
        <f>IF($G974="","",IFERROR(INDEX('CAT_PUESTOS'!$B$4:$B$23,MATCH($G974,'CAT_PUESTOS'!$A$4:$A$23,0)),"(sin catálogo)"))</f>
        <v/>
      </c>
      <c r="AC974" s="24">
        <f>IF($H974="","",IFERROR(INDEX('CAT_ACTIVIDADES'!$B$4:$B$26,MATCH($H974,'CAT_ACTIVIDADES'!$A$4:$A$26,0)),"(sin catálogo)"))</f>
        <v/>
      </c>
      <c r="AD974" s="26">
        <f>IF($J974="","",TODAY()-$J974)</f>
        <v/>
      </c>
      <c r="AE974" s="26">
        <f>IF($J974="","",IF($J974&lt;=TODAY(),COUNTIFS(cal_fechas,"&gt;="&amp;$J974,cal_fechas,"&lt;"&amp;TODAY(),cal_habil,"sí"),-COUNTIFS(cal_fechas,"&gt;="&amp;TODAY(),cal_fechas,"&lt;"&amp;$J974,cal_habil,"sí")))</f>
        <v/>
      </c>
      <c r="AF974" s="24">
        <f>IF($AE974="","",IF($AE974&lt;0,"FUTURO",IF($AE974&gt;p_dias_backlog_max,"BACKLOG","MES CORRIENTE")))</f>
        <v/>
      </c>
      <c r="AG974" s="24">
        <f>IF($AE974="",FALSE,AND($AE974&gt;p_dias_backlog_min,$AE974&lt;=p_dias_backlog_max))</f>
        <v/>
      </c>
      <c r="AH974" s="4" t="n"/>
      <c r="AI974" s="24">
        <f>IF($AH974="","",IF((IFERROR(INDEX('ASIGNACIONES'!$J$4:$J$451,MATCH($O974&amp;"|"&amp;$S974&amp;"|"&amp;$AH974,'ASIGNACIONES'!$N$4:$N$451,0)),""))=0,"",IFERROR(INDEX('ASIGNACIONES'!$J$4:$J$451,MATCH($O974&amp;"|"&amp;$S974&amp;"|"&amp;$AH974,'ASIGNACIONES'!$N$4:$N$451,0)),"")))</f>
        <v/>
      </c>
      <c r="AJ974" s="42">
        <f>IF($AH974="","",SUMIFS('ORDENES'!$M$4:$M$1203,'ORDENES'!$AH$4:$AH$1203,$AH974,'ORDENES'!$O$4:$O$1203,$O974,'ORDENES'!$S$4:$S$1203,$S974))</f>
        <v/>
      </c>
      <c r="AK974" s="42">
        <f>IF($AJ974="","",p_factor_productividad*IFERROR(INDEX('ASIGNACIONES'!$M$4:$M$451,MATCH($O974&amp;"|"&amp;$S974&amp;"|"&amp;$AH974,'ASIGNACIONES'!$N$4:$N$451,0)),0)-$AJ974)</f>
        <v/>
      </c>
      <c r="AL974" s="32">
        <f>IF($A974="","",IFERROR(INDEX('2_IMPORTAR_EJECUCION'!$F$9:$F$1208,MATCH($AU974,'2_IMPORTAR_EJECUCION'!$J$9:$J$1208,0)),0))</f>
        <v/>
      </c>
      <c r="AM974" s="32">
        <f>IF($A974="","",MAX(0,IFERROR(INDEX('2_IMPORTAR_EJECUCION'!$H$9:$H$1208,MATCH($AU974,'2_IMPORTAR_EJECUCION'!$J$9:$J$1208,0)),0)-$AL974))</f>
        <v/>
      </c>
      <c r="AN974" s="32">
        <f>IF($A974="","",$AL974+$AM974)</f>
        <v/>
      </c>
      <c r="AO974" s="24">
        <f>IF($A974="","",IF(OR((IFERROR(INDEX('CAT_ACTIVIDADES'!$D$4:$D$26,MATCH($H974,'CAT_ACTIVIDADES'!$A$4:$A$26,0)),""))=0,(IFERROR(INDEX('CAT_ACTIVIDADES'!$D$4:$D$26,MATCH($H974,'CAT_ACTIVIDADES'!$A$4:$A$26,0)),""))=""),"SIN CLASIFICAR",IFERROR(INDEX('CAT_ACTIVIDADES'!$D$4:$D$26,MATCH($H974,'CAT_ACTIVIDADES'!$A$4:$A$26,0)),"")))</f>
        <v/>
      </c>
      <c r="AP974" s="4" t="n"/>
      <c r="AQ974" s="4" t="n"/>
      <c r="AR974" s="4" t="n"/>
      <c r="AS974" s="24">
        <f>IF($AR974="","",HYPERLINK(p_ruta_base_checklists&amp;$AR974,"abrir"))</f>
        <v/>
      </c>
      <c r="AT974" s="4" t="n"/>
      <c r="AU974" s="24">
        <f>IF($A974="","",$A974&amp;IF($B974="","0010",$B974))</f>
        <v/>
      </c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41" t="n"/>
      <c r="K975" s="5" t="n"/>
      <c r="L975" s="18" t="n"/>
      <c r="M975" s="24">
        <f>IF($A975="","",IFERROR(INDEX('AJUSTES'!$B$4:$B$303,MATCH($AU975,'AJUSTES'!$A$4:$A$303,0)),IF($K975="","",$K975)))</f>
        <v/>
      </c>
      <c r="N975" s="24">
        <f>IF($A975="","",IFERROR(INDEX('CAT_ESTADOS_ERP'!$B$4:$B$22,MATCH(IFERROR(INDEX('2_IMPORTAR_EJECUCION'!$C$9:$C$1208,MATCH($AU975,'2_IMPORTAR_EJECUCION'!$J$9:$J$1208,0)),""),'CAT_ESTADOS_ERP'!$A$4:$A$22,0)),"Pendiente"))</f>
        <v/>
      </c>
      <c r="O975" s="24">
        <f>IF($J975="","",YEAR($J975+4-WEEKDAY($J975,2))&amp;"-S"&amp;TEXT(_xlfn.ISOWEEKNUM($J975),"00"))</f>
        <v/>
      </c>
      <c r="P975" s="24">
        <f>IF($J975="","",YEAR($J975))</f>
        <v/>
      </c>
      <c r="Q975" s="24">
        <f>IF($J975="","",MONTH($J975))</f>
        <v/>
      </c>
      <c r="R975" s="24">
        <f>IF($J975="","",$P975&amp;"-"&amp;TEXT($Q975,"00"))</f>
        <v/>
      </c>
      <c r="S975" s="24">
        <f>IF($J975="","",INDEX(lista_dias,WEEKDAY($J975,2)))</f>
        <v/>
      </c>
      <c r="T975" s="24">
        <f>IF($J975="","",IFERROR(INDEX('CALENDARIO'!$C$15:$C$214,MATCH(TEXT($J975,"yyyy-mm-dd")&amp;"|"&amp;$Y975&amp;"|"&amp;$Z975,'CALENDARIO'!$G$15:$G$214,0)),IFERROR(INDEX('CALENDARIO'!$C$15:$C$214,MATCH(TEXT($J975,"yyyy-mm-dd")&amp;"|"&amp;$Y975&amp;"|",'CALENDARIO'!$G$15:$G$214,0)),IFERROR(INDEX('CALENDARIO'!$C$15:$C$214,MATCH(TEXT($J975,"yyyy-mm-dd")&amp;"||",'CALENDARIO'!$G$15:$G$214,0)),INDEX(patronHabil,WEEKDAY($J975,2))))))</f>
        <v/>
      </c>
      <c r="U975" s="24">
        <f>IF($I975="","",IFERROR(INDEX('CAT_TIPOS_OT'!$C$4:$C$23,MATCH($I975,'CAT_TIPOS_OT'!$A$4:$A$23,0)),"sin_clasificar"))</f>
        <v/>
      </c>
      <c r="V975" s="24">
        <f>IF($I975="","",IF(IFERROR(INDEX('CAT_TIPOS_OT'!$D$4:$D$23,MATCH($I975,'CAT_TIPOS_OT'!$A$4:$A$23,0)),"SIN CLASIFICAR")="","SIN CLASIFICAR",IFERROR(INDEX('CAT_TIPOS_OT'!$D$4:$D$23,MATCH($I975,'CAT_TIPOS_OT'!$A$4:$A$23,0)),"SIN CLASIFICAR")))</f>
        <v/>
      </c>
      <c r="W975" s="24">
        <f>IF($H975="","",IF(IFERROR(INDEX('CAT_ACTIVIDADES'!$F$4:$F$26,MATCH($H975,'CAT_ACTIVIDADES'!$A$4:$A$26,0)),"")=0,"",IFERROR(INDEX('CAT_ACTIVIDADES'!$F$4:$F$26,MATCH($H975,'CAT_ACTIVIDADES'!$A$4:$A$26,0)),"")))</f>
        <v/>
      </c>
      <c r="X975" s="24">
        <f>IF($F975="","",IFERROR(INDEX('CAT_CENTROS_COSTO'!$F$4:$F$28,MATCH($F975,'CAT_CENTROS_COSTO'!$A$4:$A$28,0)),"(sin catálogo)"))</f>
        <v/>
      </c>
      <c r="Y975" s="24">
        <f>IF($F975="","",IFERROR(INDEX('CAT_CENTROS_COSTO'!$D$4:$D$28,MATCH($F975,'CAT_CENTROS_COSTO'!$A$4:$A$28,0)),"(sin catálogo)"))</f>
        <v/>
      </c>
      <c r="Z975" s="24">
        <f>IF($F975="","",IF((IFERROR(INDEX('CAT_CENTROS_COSTO'!$E$4:$E$28,MATCH($F975,'CAT_CENTROS_COSTO'!$A$4:$A$28,0)),""))&lt;&gt;"",IFERROR(INDEX('CAT_CENTROS_COSTO'!$E$4:$E$28,MATCH($F975,'CAT_CENTROS_COSTO'!$A$4:$A$28,0)),""),$Y975))</f>
        <v/>
      </c>
      <c r="AA975" s="24">
        <f>IF($F975="","",IFERROR(INDEX('CAT_CENTROS_COSTO'!$G$4:$G$28,MATCH($F975,'CAT_CENTROS_COSTO'!$A$4:$A$28,0)),"(sin catálogo)"))</f>
        <v/>
      </c>
      <c r="AB975" s="24">
        <f>IF($G975="","",IFERROR(INDEX('CAT_PUESTOS'!$B$4:$B$23,MATCH($G975,'CAT_PUESTOS'!$A$4:$A$23,0)),"(sin catálogo)"))</f>
        <v/>
      </c>
      <c r="AC975" s="24">
        <f>IF($H975="","",IFERROR(INDEX('CAT_ACTIVIDADES'!$B$4:$B$26,MATCH($H975,'CAT_ACTIVIDADES'!$A$4:$A$26,0)),"(sin catálogo)"))</f>
        <v/>
      </c>
      <c r="AD975" s="26">
        <f>IF($J975="","",TODAY()-$J975)</f>
        <v/>
      </c>
      <c r="AE975" s="26">
        <f>IF($J975="","",IF($J975&lt;=TODAY(),COUNTIFS(cal_fechas,"&gt;="&amp;$J975,cal_fechas,"&lt;"&amp;TODAY(),cal_habil,"sí"),-COUNTIFS(cal_fechas,"&gt;="&amp;TODAY(),cal_fechas,"&lt;"&amp;$J975,cal_habil,"sí")))</f>
        <v/>
      </c>
      <c r="AF975" s="24">
        <f>IF($AE975="","",IF($AE975&lt;0,"FUTURO",IF($AE975&gt;p_dias_backlog_max,"BACKLOG","MES CORRIENTE")))</f>
        <v/>
      </c>
      <c r="AG975" s="24">
        <f>IF($AE975="",FALSE,AND($AE975&gt;p_dias_backlog_min,$AE975&lt;=p_dias_backlog_max))</f>
        <v/>
      </c>
      <c r="AH975" s="4" t="n"/>
      <c r="AI975" s="24">
        <f>IF($AH975="","",IF((IFERROR(INDEX('ASIGNACIONES'!$J$4:$J$451,MATCH($O975&amp;"|"&amp;$S975&amp;"|"&amp;$AH975,'ASIGNACIONES'!$N$4:$N$451,0)),""))=0,"",IFERROR(INDEX('ASIGNACIONES'!$J$4:$J$451,MATCH($O975&amp;"|"&amp;$S975&amp;"|"&amp;$AH975,'ASIGNACIONES'!$N$4:$N$451,0)),"")))</f>
        <v/>
      </c>
      <c r="AJ975" s="42">
        <f>IF($AH975="","",SUMIFS('ORDENES'!$M$4:$M$1203,'ORDENES'!$AH$4:$AH$1203,$AH975,'ORDENES'!$O$4:$O$1203,$O975,'ORDENES'!$S$4:$S$1203,$S975))</f>
        <v/>
      </c>
      <c r="AK975" s="42">
        <f>IF($AJ975="","",p_factor_productividad*IFERROR(INDEX('ASIGNACIONES'!$M$4:$M$451,MATCH($O975&amp;"|"&amp;$S975&amp;"|"&amp;$AH975,'ASIGNACIONES'!$N$4:$N$451,0)),0)-$AJ975)</f>
        <v/>
      </c>
      <c r="AL975" s="32">
        <f>IF($A975="","",IFERROR(INDEX('2_IMPORTAR_EJECUCION'!$F$9:$F$1208,MATCH($AU975,'2_IMPORTAR_EJECUCION'!$J$9:$J$1208,0)),0))</f>
        <v/>
      </c>
      <c r="AM975" s="32">
        <f>IF($A975="","",MAX(0,IFERROR(INDEX('2_IMPORTAR_EJECUCION'!$H$9:$H$1208,MATCH($AU975,'2_IMPORTAR_EJECUCION'!$J$9:$J$1208,0)),0)-$AL975))</f>
        <v/>
      </c>
      <c r="AN975" s="32">
        <f>IF($A975="","",$AL975+$AM975)</f>
        <v/>
      </c>
      <c r="AO975" s="24">
        <f>IF($A975="","",IF(OR((IFERROR(INDEX('CAT_ACTIVIDADES'!$D$4:$D$26,MATCH($H975,'CAT_ACTIVIDADES'!$A$4:$A$26,0)),""))=0,(IFERROR(INDEX('CAT_ACTIVIDADES'!$D$4:$D$26,MATCH($H975,'CAT_ACTIVIDADES'!$A$4:$A$26,0)),""))=""),"SIN CLASIFICAR",IFERROR(INDEX('CAT_ACTIVIDADES'!$D$4:$D$26,MATCH($H975,'CAT_ACTIVIDADES'!$A$4:$A$26,0)),"")))</f>
        <v/>
      </c>
      <c r="AP975" s="4" t="n"/>
      <c r="AQ975" s="4" t="n"/>
      <c r="AR975" s="4" t="n"/>
      <c r="AS975" s="24">
        <f>IF($AR975="","",HYPERLINK(p_ruta_base_checklists&amp;$AR975,"abrir"))</f>
        <v/>
      </c>
      <c r="AT975" s="4" t="n"/>
      <c r="AU975" s="24">
        <f>IF($A975="","",$A975&amp;IF($B975="","0010",$B975))</f>
        <v/>
      </c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41" t="n"/>
      <c r="K976" s="5" t="n"/>
      <c r="L976" s="18" t="n"/>
      <c r="M976" s="24">
        <f>IF($A976="","",IFERROR(INDEX('AJUSTES'!$B$4:$B$303,MATCH($AU976,'AJUSTES'!$A$4:$A$303,0)),IF($K976="","",$K976)))</f>
        <v/>
      </c>
      <c r="N976" s="24">
        <f>IF($A976="","",IFERROR(INDEX('CAT_ESTADOS_ERP'!$B$4:$B$22,MATCH(IFERROR(INDEX('2_IMPORTAR_EJECUCION'!$C$9:$C$1208,MATCH($AU976,'2_IMPORTAR_EJECUCION'!$J$9:$J$1208,0)),""),'CAT_ESTADOS_ERP'!$A$4:$A$22,0)),"Pendiente"))</f>
        <v/>
      </c>
      <c r="O976" s="24">
        <f>IF($J976="","",YEAR($J976+4-WEEKDAY($J976,2))&amp;"-S"&amp;TEXT(_xlfn.ISOWEEKNUM($J976),"00"))</f>
        <v/>
      </c>
      <c r="P976" s="24">
        <f>IF($J976="","",YEAR($J976))</f>
        <v/>
      </c>
      <c r="Q976" s="24">
        <f>IF($J976="","",MONTH($J976))</f>
        <v/>
      </c>
      <c r="R976" s="24">
        <f>IF($J976="","",$P976&amp;"-"&amp;TEXT($Q976,"00"))</f>
        <v/>
      </c>
      <c r="S976" s="24">
        <f>IF($J976="","",INDEX(lista_dias,WEEKDAY($J976,2)))</f>
        <v/>
      </c>
      <c r="T976" s="24">
        <f>IF($J976="","",IFERROR(INDEX('CALENDARIO'!$C$15:$C$214,MATCH(TEXT($J976,"yyyy-mm-dd")&amp;"|"&amp;$Y976&amp;"|"&amp;$Z976,'CALENDARIO'!$G$15:$G$214,0)),IFERROR(INDEX('CALENDARIO'!$C$15:$C$214,MATCH(TEXT($J976,"yyyy-mm-dd")&amp;"|"&amp;$Y976&amp;"|",'CALENDARIO'!$G$15:$G$214,0)),IFERROR(INDEX('CALENDARIO'!$C$15:$C$214,MATCH(TEXT($J976,"yyyy-mm-dd")&amp;"||",'CALENDARIO'!$G$15:$G$214,0)),INDEX(patronHabil,WEEKDAY($J976,2))))))</f>
        <v/>
      </c>
      <c r="U976" s="24">
        <f>IF($I976="","",IFERROR(INDEX('CAT_TIPOS_OT'!$C$4:$C$23,MATCH($I976,'CAT_TIPOS_OT'!$A$4:$A$23,0)),"sin_clasificar"))</f>
        <v/>
      </c>
      <c r="V976" s="24">
        <f>IF($I976="","",IF(IFERROR(INDEX('CAT_TIPOS_OT'!$D$4:$D$23,MATCH($I976,'CAT_TIPOS_OT'!$A$4:$A$23,0)),"SIN CLASIFICAR")="","SIN CLASIFICAR",IFERROR(INDEX('CAT_TIPOS_OT'!$D$4:$D$23,MATCH($I976,'CAT_TIPOS_OT'!$A$4:$A$23,0)),"SIN CLASIFICAR")))</f>
        <v/>
      </c>
      <c r="W976" s="24">
        <f>IF($H976="","",IF(IFERROR(INDEX('CAT_ACTIVIDADES'!$F$4:$F$26,MATCH($H976,'CAT_ACTIVIDADES'!$A$4:$A$26,0)),"")=0,"",IFERROR(INDEX('CAT_ACTIVIDADES'!$F$4:$F$26,MATCH($H976,'CAT_ACTIVIDADES'!$A$4:$A$26,0)),"")))</f>
        <v/>
      </c>
      <c r="X976" s="24">
        <f>IF($F976="","",IFERROR(INDEX('CAT_CENTROS_COSTO'!$F$4:$F$28,MATCH($F976,'CAT_CENTROS_COSTO'!$A$4:$A$28,0)),"(sin catálogo)"))</f>
        <v/>
      </c>
      <c r="Y976" s="24">
        <f>IF($F976="","",IFERROR(INDEX('CAT_CENTROS_COSTO'!$D$4:$D$28,MATCH($F976,'CAT_CENTROS_COSTO'!$A$4:$A$28,0)),"(sin catálogo)"))</f>
        <v/>
      </c>
      <c r="Z976" s="24">
        <f>IF($F976="","",IF((IFERROR(INDEX('CAT_CENTROS_COSTO'!$E$4:$E$28,MATCH($F976,'CAT_CENTROS_COSTO'!$A$4:$A$28,0)),""))&lt;&gt;"",IFERROR(INDEX('CAT_CENTROS_COSTO'!$E$4:$E$28,MATCH($F976,'CAT_CENTROS_COSTO'!$A$4:$A$28,0)),""),$Y976))</f>
        <v/>
      </c>
      <c r="AA976" s="24">
        <f>IF($F976="","",IFERROR(INDEX('CAT_CENTROS_COSTO'!$G$4:$G$28,MATCH($F976,'CAT_CENTROS_COSTO'!$A$4:$A$28,0)),"(sin catálogo)"))</f>
        <v/>
      </c>
      <c r="AB976" s="24">
        <f>IF($G976="","",IFERROR(INDEX('CAT_PUESTOS'!$B$4:$B$23,MATCH($G976,'CAT_PUESTOS'!$A$4:$A$23,0)),"(sin catálogo)"))</f>
        <v/>
      </c>
      <c r="AC976" s="24">
        <f>IF($H976="","",IFERROR(INDEX('CAT_ACTIVIDADES'!$B$4:$B$26,MATCH($H976,'CAT_ACTIVIDADES'!$A$4:$A$26,0)),"(sin catálogo)"))</f>
        <v/>
      </c>
      <c r="AD976" s="26">
        <f>IF($J976="","",TODAY()-$J976)</f>
        <v/>
      </c>
      <c r="AE976" s="26">
        <f>IF($J976="","",IF($J976&lt;=TODAY(),COUNTIFS(cal_fechas,"&gt;="&amp;$J976,cal_fechas,"&lt;"&amp;TODAY(),cal_habil,"sí"),-COUNTIFS(cal_fechas,"&gt;="&amp;TODAY(),cal_fechas,"&lt;"&amp;$J976,cal_habil,"sí")))</f>
        <v/>
      </c>
      <c r="AF976" s="24">
        <f>IF($AE976="","",IF($AE976&lt;0,"FUTURO",IF($AE976&gt;p_dias_backlog_max,"BACKLOG","MES CORRIENTE")))</f>
        <v/>
      </c>
      <c r="AG976" s="24">
        <f>IF($AE976="",FALSE,AND($AE976&gt;p_dias_backlog_min,$AE976&lt;=p_dias_backlog_max))</f>
        <v/>
      </c>
      <c r="AH976" s="4" t="n"/>
      <c r="AI976" s="24">
        <f>IF($AH976="","",IF((IFERROR(INDEX('ASIGNACIONES'!$J$4:$J$451,MATCH($O976&amp;"|"&amp;$S976&amp;"|"&amp;$AH976,'ASIGNACIONES'!$N$4:$N$451,0)),""))=0,"",IFERROR(INDEX('ASIGNACIONES'!$J$4:$J$451,MATCH($O976&amp;"|"&amp;$S976&amp;"|"&amp;$AH976,'ASIGNACIONES'!$N$4:$N$451,0)),"")))</f>
        <v/>
      </c>
      <c r="AJ976" s="42">
        <f>IF($AH976="","",SUMIFS('ORDENES'!$M$4:$M$1203,'ORDENES'!$AH$4:$AH$1203,$AH976,'ORDENES'!$O$4:$O$1203,$O976,'ORDENES'!$S$4:$S$1203,$S976))</f>
        <v/>
      </c>
      <c r="AK976" s="42">
        <f>IF($AJ976="","",p_factor_productividad*IFERROR(INDEX('ASIGNACIONES'!$M$4:$M$451,MATCH($O976&amp;"|"&amp;$S976&amp;"|"&amp;$AH976,'ASIGNACIONES'!$N$4:$N$451,0)),0)-$AJ976)</f>
        <v/>
      </c>
      <c r="AL976" s="32">
        <f>IF($A976="","",IFERROR(INDEX('2_IMPORTAR_EJECUCION'!$F$9:$F$1208,MATCH($AU976,'2_IMPORTAR_EJECUCION'!$J$9:$J$1208,0)),0))</f>
        <v/>
      </c>
      <c r="AM976" s="32">
        <f>IF($A976="","",MAX(0,IFERROR(INDEX('2_IMPORTAR_EJECUCION'!$H$9:$H$1208,MATCH($AU976,'2_IMPORTAR_EJECUCION'!$J$9:$J$1208,0)),0)-$AL976))</f>
        <v/>
      </c>
      <c r="AN976" s="32">
        <f>IF($A976="","",$AL976+$AM976)</f>
        <v/>
      </c>
      <c r="AO976" s="24">
        <f>IF($A976="","",IF(OR((IFERROR(INDEX('CAT_ACTIVIDADES'!$D$4:$D$26,MATCH($H976,'CAT_ACTIVIDADES'!$A$4:$A$26,0)),""))=0,(IFERROR(INDEX('CAT_ACTIVIDADES'!$D$4:$D$26,MATCH($H976,'CAT_ACTIVIDADES'!$A$4:$A$26,0)),""))=""),"SIN CLASIFICAR",IFERROR(INDEX('CAT_ACTIVIDADES'!$D$4:$D$26,MATCH($H976,'CAT_ACTIVIDADES'!$A$4:$A$26,0)),"")))</f>
        <v/>
      </c>
      <c r="AP976" s="4" t="n"/>
      <c r="AQ976" s="4" t="n"/>
      <c r="AR976" s="4" t="n"/>
      <c r="AS976" s="24">
        <f>IF($AR976="","",HYPERLINK(p_ruta_base_checklists&amp;$AR976,"abrir"))</f>
        <v/>
      </c>
      <c r="AT976" s="4" t="n"/>
      <c r="AU976" s="24">
        <f>IF($A976="","",$A976&amp;IF($B976="","0010",$B976))</f>
        <v/>
      </c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41" t="n"/>
      <c r="K977" s="5" t="n"/>
      <c r="L977" s="18" t="n"/>
      <c r="M977" s="24">
        <f>IF($A977="","",IFERROR(INDEX('AJUSTES'!$B$4:$B$303,MATCH($AU977,'AJUSTES'!$A$4:$A$303,0)),IF($K977="","",$K977)))</f>
        <v/>
      </c>
      <c r="N977" s="24">
        <f>IF($A977="","",IFERROR(INDEX('CAT_ESTADOS_ERP'!$B$4:$B$22,MATCH(IFERROR(INDEX('2_IMPORTAR_EJECUCION'!$C$9:$C$1208,MATCH($AU977,'2_IMPORTAR_EJECUCION'!$J$9:$J$1208,0)),""),'CAT_ESTADOS_ERP'!$A$4:$A$22,0)),"Pendiente"))</f>
        <v/>
      </c>
      <c r="O977" s="24">
        <f>IF($J977="","",YEAR($J977+4-WEEKDAY($J977,2))&amp;"-S"&amp;TEXT(_xlfn.ISOWEEKNUM($J977),"00"))</f>
        <v/>
      </c>
      <c r="P977" s="24">
        <f>IF($J977="","",YEAR($J977))</f>
        <v/>
      </c>
      <c r="Q977" s="24">
        <f>IF($J977="","",MONTH($J977))</f>
        <v/>
      </c>
      <c r="R977" s="24">
        <f>IF($J977="","",$P977&amp;"-"&amp;TEXT($Q977,"00"))</f>
        <v/>
      </c>
      <c r="S977" s="24">
        <f>IF($J977="","",INDEX(lista_dias,WEEKDAY($J977,2)))</f>
        <v/>
      </c>
      <c r="T977" s="24">
        <f>IF($J977="","",IFERROR(INDEX('CALENDARIO'!$C$15:$C$214,MATCH(TEXT($J977,"yyyy-mm-dd")&amp;"|"&amp;$Y977&amp;"|"&amp;$Z977,'CALENDARIO'!$G$15:$G$214,0)),IFERROR(INDEX('CALENDARIO'!$C$15:$C$214,MATCH(TEXT($J977,"yyyy-mm-dd")&amp;"|"&amp;$Y977&amp;"|",'CALENDARIO'!$G$15:$G$214,0)),IFERROR(INDEX('CALENDARIO'!$C$15:$C$214,MATCH(TEXT($J977,"yyyy-mm-dd")&amp;"||",'CALENDARIO'!$G$15:$G$214,0)),INDEX(patronHabil,WEEKDAY($J977,2))))))</f>
        <v/>
      </c>
      <c r="U977" s="24">
        <f>IF($I977="","",IFERROR(INDEX('CAT_TIPOS_OT'!$C$4:$C$23,MATCH($I977,'CAT_TIPOS_OT'!$A$4:$A$23,0)),"sin_clasificar"))</f>
        <v/>
      </c>
      <c r="V977" s="24">
        <f>IF($I977="","",IF(IFERROR(INDEX('CAT_TIPOS_OT'!$D$4:$D$23,MATCH($I977,'CAT_TIPOS_OT'!$A$4:$A$23,0)),"SIN CLASIFICAR")="","SIN CLASIFICAR",IFERROR(INDEX('CAT_TIPOS_OT'!$D$4:$D$23,MATCH($I977,'CAT_TIPOS_OT'!$A$4:$A$23,0)),"SIN CLASIFICAR")))</f>
        <v/>
      </c>
      <c r="W977" s="24">
        <f>IF($H977="","",IF(IFERROR(INDEX('CAT_ACTIVIDADES'!$F$4:$F$26,MATCH($H977,'CAT_ACTIVIDADES'!$A$4:$A$26,0)),"")=0,"",IFERROR(INDEX('CAT_ACTIVIDADES'!$F$4:$F$26,MATCH($H977,'CAT_ACTIVIDADES'!$A$4:$A$26,0)),"")))</f>
        <v/>
      </c>
      <c r="X977" s="24">
        <f>IF($F977="","",IFERROR(INDEX('CAT_CENTROS_COSTO'!$F$4:$F$28,MATCH($F977,'CAT_CENTROS_COSTO'!$A$4:$A$28,0)),"(sin catálogo)"))</f>
        <v/>
      </c>
      <c r="Y977" s="24">
        <f>IF($F977="","",IFERROR(INDEX('CAT_CENTROS_COSTO'!$D$4:$D$28,MATCH($F977,'CAT_CENTROS_COSTO'!$A$4:$A$28,0)),"(sin catálogo)"))</f>
        <v/>
      </c>
      <c r="Z977" s="24">
        <f>IF($F977="","",IF((IFERROR(INDEX('CAT_CENTROS_COSTO'!$E$4:$E$28,MATCH($F977,'CAT_CENTROS_COSTO'!$A$4:$A$28,0)),""))&lt;&gt;"",IFERROR(INDEX('CAT_CENTROS_COSTO'!$E$4:$E$28,MATCH($F977,'CAT_CENTROS_COSTO'!$A$4:$A$28,0)),""),$Y977))</f>
        <v/>
      </c>
      <c r="AA977" s="24">
        <f>IF($F977="","",IFERROR(INDEX('CAT_CENTROS_COSTO'!$G$4:$G$28,MATCH($F977,'CAT_CENTROS_COSTO'!$A$4:$A$28,0)),"(sin catálogo)"))</f>
        <v/>
      </c>
      <c r="AB977" s="24">
        <f>IF($G977="","",IFERROR(INDEX('CAT_PUESTOS'!$B$4:$B$23,MATCH($G977,'CAT_PUESTOS'!$A$4:$A$23,0)),"(sin catálogo)"))</f>
        <v/>
      </c>
      <c r="AC977" s="24">
        <f>IF($H977="","",IFERROR(INDEX('CAT_ACTIVIDADES'!$B$4:$B$26,MATCH($H977,'CAT_ACTIVIDADES'!$A$4:$A$26,0)),"(sin catálogo)"))</f>
        <v/>
      </c>
      <c r="AD977" s="26">
        <f>IF($J977="","",TODAY()-$J977)</f>
        <v/>
      </c>
      <c r="AE977" s="26">
        <f>IF($J977="","",IF($J977&lt;=TODAY(),COUNTIFS(cal_fechas,"&gt;="&amp;$J977,cal_fechas,"&lt;"&amp;TODAY(),cal_habil,"sí"),-COUNTIFS(cal_fechas,"&gt;="&amp;TODAY(),cal_fechas,"&lt;"&amp;$J977,cal_habil,"sí")))</f>
        <v/>
      </c>
      <c r="AF977" s="24">
        <f>IF($AE977="","",IF($AE977&lt;0,"FUTURO",IF($AE977&gt;p_dias_backlog_max,"BACKLOG","MES CORRIENTE")))</f>
        <v/>
      </c>
      <c r="AG977" s="24">
        <f>IF($AE977="",FALSE,AND($AE977&gt;p_dias_backlog_min,$AE977&lt;=p_dias_backlog_max))</f>
        <v/>
      </c>
      <c r="AH977" s="4" t="n"/>
      <c r="AI977" s="24">
        <f>IF($AH977="","",IF((IFERROR(INDEX('ASIGNACIONES'!$J$4:$J$451,MATCH($O977&amp;"|"&amp;$S977&amp;"|"&amp;$AH977,'ASIGNACIONES'!$N$4:$N$451,0)),""))=0,"",IFERROR(INDEX('ASIGNACIONES'!$J$4:$J$451,MATCH($O977&amp;"|"&amp;$S977&amp;"|"&amp;$AH977,'ASIGNACIONES'!$N$4:$N$451,0)),"")))</f>
        <v/>
      </c>
      <c r="AJ977" s="42">
        <f>IF($AH977="","",SUMIFS('ORDENES'!$M$4:$M$1203,'ORDENES'!$AH$4:$AH$1203,$AH977,'ORDENES'!$O$4:$O$1203,$O977,'ORDENES'!$S$4:$S$1203,$S977))</f>
        <v/>
      </c>
      <c r="AK977" s="42">
        <f>IF($AJ977="","",p_factor_productividad*IFERROR(INDEX('ASIGNACIONES'!$M$4:$M$451,MATCH($O977&amp;"|"&amp;$S977&amp;"|"&amp;$AH977,'ASIGNACIONES'!$N$4:$N$451,0)),0)-$AJ977)</f>
        <v/>
      </c>
      <c r="AL977" s="32">
        <f>IF($A977="","",IFERROR(INDEX('2_IMPORTAR_EJECUCION'!$F$9:$F$1208,MATCH($AU977,'2_IMPORTAR_EJECUCION'!$J$9:$J$1208,0)),0))</f>
        <v/>
      </c>
      <c r="AM977" s="32">
        <f>IF($A977="","",MAX(0,IFERROR(INDEX('2_IMPORTAR_EJECUCION'!$H$9:$H$1208,MATCH($AU977,'2_IMPORTAR_EJECUCION'!$J$9:$J$1208,0)),0)-$AL977))</f>
        <v/>
      </c>
      <c r="AN977" s="32">
        <f>IF($A977="","",$AL977+$AM977)</f>
        <v/>
      </c>
      <c r="AO977" s="24">
        <f>IF($A977="","",IF(OR((IFERROR(INDEX('CAT_ACTIVIDADES'!$D$4:$D$26,MATCH($H977,'CAT_ACTIVIDADES'!$A$4:$A$26,0)),""))=0,(IFERROR(INDEX('CAT_ACTIVIDADES'!$D$4:$D$26,MATCH($H977,'CAT_ACTIVIDADES'!$A$4:$A$26,0)),""))=""),"SIN CLASIFICAR",IFERROR(INDEX('CAT_ACTIVIDADES'!$D$4:$D$26,MATCH($H977,'CAT_ACTIVIDADES'!$A$4:$A$26,0)),"")))</f>
        <v/>
      </c>
      <c r="AP977" s="4" t="n"/>
      <c r="AQ977" s="4" t="n"/>
      <c r="AR977" s="4" t="n"/>
      <c r="AS977" s="24">
        <f>IF($AR977="","",HYPERLINK(p_ruta_base_checklists&amp;$AR977,"abrir"))</f>
        <v/>
      </c>
      <c r="AT977" s="4" t="n"/>
      <c r="AU977" s="24">
        <f>IF($A977="","",$A977&amp;IF($B977="","0010",$B977))</f>
        <v/>
      </c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41" t="n"/>
      <c r="K978" s="5" t="n"/>
      <c r="L978" s="18" t="n"/>
      <c r="M978" s="24">
        <f>IF($A978="","",IFERROR(INDEX('AJUSTES'!$B$4:$B$303,MATCH($AU978,'AJUSTES'!$A$4:$A$303,0)),IF($K978="","",$K978)))</f>
        <v/>
      </c>
      <c r="N978" s="24">
        <f>IF($A978="","",IFERROR(INDEX('CAT_ESTADOS_ERP'!$B$4:$B$22,MATCH(IFERROR(INDEX('2_IMPORTAR_EJECUCION'!$C$9:$C$1208,MATCH($AU978,'2_IMPORTAR_EJECUCION'!$J$9:$J$1208,0)),""),'CAT_ESTADOS_ERP'!$A$4:$A$22,0)),"Pendiente"))</f>
        <v/>
      </c>
      <c r="O978" s="24">
        <f>IF($J978="","",YEAR($J978+4-WEEKDAY($J978,2))&amp;"-S"&amp;TEXT(_xlfn.ISOWEEKNUM($J978),"00"))</f>
        <v/>
      </c>
      <c r="P978" s="24">
        <f>IF($J978="","",YEAR($J978))</f>
        <v/>
      </c>
      <c r="Q978" s="24">
        <f>IF($J978="","",MONTH($J978))</f>
        <v/>
      </c>
      <c r="R978" s="24">
        <f>IF($J978="","",$P978&amp;"-"&amp;TEXT($Q978,"00"))</f>
        <v/>
      </c>
      <c r="S978" s="24">
        <f>IF($J978="","",INDEX(lista_dias,WEEKDAY($J978,2)))</f>
        <v/>
      </c>
      <c r="T978" s="24">
        <f>IF($J978="","",IFERROR(INDEX('CALENDARIO'!$C$15:$C$214,MATCH(TEXT($J978,"yyyy-mm-dd")&amp;"|"&amp;$Y978&amp;"|"&amp;$Z978,'CALENDARIO'!$G$15:$G$214,0)),IFERROR(INDEX('CALENDARIO'!$C$15:$C$214,MATCH(TEXT($J978,"yyyy-mm-dd")&amp;"|"&amp;$Y978&amp;"|",'CALENDARIO'!$G$15:$G$214,0)),IFERROR(INDEX('CALENDARIO'!$C$15:$C$214,MATCH(TEXT($J978,"yyyy-mm-dd")&amp;"||",'CALENDARIO'!$G$15:$G$214,0)),INDEX(patronHabil,WEEKDAY($J978,2))))))</f>
        <v/>
      </c>
      <c r="U978" s="24">
        <f>IF($I978="","",IFERROR(INDEX('CAT_TIPOS_OT'!$C$4:$C$23,MATCH($I978,'CAT_TIPOS_OT'!$A$4:$A$23,0)),"sin_clasificar"))</f>
        <v/>
      </c>
      <c r="V978" s="24">
        <f>IF($I978="","",IF(IFERROR(INDEX('CAT_TIPOS_OT'!$D$4:$D$23,MATCH($I978,'CAT_TIPOS_OT'!$A$4:$A$23,0)),"SIN CLASIFICAR")="","SIN CLASIFICAR",IFERROR(INDEX('CAT_TIPOS_OT'!$D$4:$D$23,MATCH($I978,'CAT_TIPOS_OT'!$A$4:$A$23,0)),"SIN CLASIFICAR")))</f>
        <v/>
      </c>
      <c r="W978" s="24">
        <f>IF($H978="","",IF(IFERROR(INDEX('CAT_ACTIVIDADES'!$F$4:$F$26,MATCH($H978,'CAT_ACTIVIDADES'!$A$4:$A$26,0)),"")=0,"",IFERROR(INDEX('CAT_ACTIVIDADES'!$F$4:$F$26,MATCH($H978,'CAT_ACTIVIDADES'!$A$4:$A$26,0)),"")))</f>
        <v/>
      </c>
      <c r="X978" s="24">
        <f>IF($F978="","",IFERROR(INDEX('CAT_CENTROS_COSTO'!$F$4:$F$28,MATCH($F978,'CAT_CENTROS_COSTO'!$A$4:$A$28,0)),"(sin catálogo)"))</f>
        <v/>
      </c>
      <c r="Y978" s="24">
        <f>IF($F978="","",IFERROR(INDEX('CAT_CENTROS_COSTO'!$D$4:$D$28,MATCH($F978,'CAT_CENTROS_COSTO'!$A$4:$A$28,0)),"(sin catálogo)"))</f>
        <v/>
      </c>
      <c r="Z978" s="24">
        <f>IF($F978="","",IF((IFERROR(INDEX('CAT_CENTROS_COSTO'!$E$4:$E$28,MATCH($F978,'CAT_CENTROS_COSTO'!$A$4:$A$28,0)),""))&lt;&gt;"",IFERROR(INDEX('CAT_CENTROS_COSTO'!$E$4:$E$28,MATCH($F978,'CAT_CENTROS_COSTO'!$A$4:$A$28,0)),""),$Y978))</f>
        <v/>
      </c>
      <c r="AA978" s="24">
        <f>IF($F978="","",IFERROR(INDEX('CAT_CENTROS_COSTO'!$G$4:$G$28,MATCH($F978,'CAT_CENTROS_COSTO'!$A$4:$A$28,0)),"(sin catálogo)"))</f>
        <v/>
      </c>
      <c r="AB978" s="24">
        <f>IF($G978="","",IFERROR(INDEX('CAT_PUESTOS'!$B$4:$B$23,MATCH($G978,'CAT_PUESTOS'!$A$4:$A$23,0)),"(sin catálogo)"))</f>
        <v/>
      </c>
      <c r="AC978" s="24">
        <f>IF($H978="","",IFERROR(INDEX('CAT_ACTIVIDADES'!$B$4:$B$26,MATCH($H978,'CAT_ACTIVIDADES'!$A$4:$A$26,0)),"(sin catálogo)"))</f>
        <v/>
      </c>
      <c r="AD978" s="26">
        <f>IF($J978="","",TODAY()-$J978)</f>
        <v/>
      </c>
      <c r="AE978" s="26">
        <f>IF($J978="","",IF($J978&lt;=TODAY(),COUNTIFS(cal_fechas,"&gt;="&amp;$J978,cal_fechas,"&lt;"&amp;TODAY(),cal_habil,"sí"),-COUNTIFS(cal_fechas,"&gt;="&amp;TODAY(),cal_fechas,"&lt;"&amp;$J978,cal_habil,"sí")))</f>
        <v/>
      </c>
      <c r="AF978" s="24">
        <f>IF($AE978="","",IF($AE978&lt;0,"FUTURO",IF($AE978&gt;p_dias_backlog_max,"BACKLOG","MES CORRIENTE")))</f>
        <v/>
      </c>
      <c r="AG978" s="24">
        <f>IF($AE978="",FALSE,AND($AE978&gt;p_dias_backlog_min,$AE978&lt;=p_dias_backlog_max))</f>
        <v/>
      </c>
      <c r="AH978" s="4" t="n"/>
      <c r="AI978" s="24">
        <f>IF($AH978="","",IF((IFERROR(INDEX('ASIGNACIONES'!$J$4:$J$451,MATCH($O978&amp;"|"&amp;$S978&amp;"|"&amp;$AH978,'ASIGNACIONES'!$N$4:$N$451,0)),""))=0,"",IFERROR(INDEX('ASIGNACIONES'!$J$4:$J$451,MATCH($O978&amp;"|"&amp;$S978&amp;"|"&amp;$AH978,'ASIGNACIONES'!$N$4:$N$451,0)),"")))</f>
        <v/>
      </c>
      <c r="AJ978" s="42">
        <f>IF($AH978="","",SUMIFS('ORDENES'!$M$4:$M$1203,'ORDENES'!$AH$4:$AH$1203,$AH978,'ORDENES'!$O$4:$O$1203,$O978,'ORDENES'!$S$4:$S$1203,$S978))</f>
        <v/>
      </c>
      <c r="AK978" s="42">
        <f>IF($AJ978="","",p_factor_productividad*IFERROR(INDEX('ASIGNACIONES'!$M$4:$M$451,MATCH($O978&amp;"|"&amp;$S978&amp;"|"&amp;$AH978,'ASIGNACIONES'!$N$4:$N$451,0)),0)-$AJ978)</f>
        <v/>
      </c>
      <c r="AL978" s="32">
        <f>IF($A978="","",IFERROR(INDEX('2_IMPORTAR_EJECUCION'!$F$9:$F$1208,MATCH($AU978,'2_IMPORTAR_EJECUCION'!$J$9:$J$1208,0)),0))</f>
        <v/>
      </c>
      <c r="AM978" s="32">
        <f>IF($A978="","",MAX(0,IFERROR(INDEX('2_IMPORTAR_EJECUCION'!$H$9:$H$1208,MATCH($AU978,'2_IMPORTAR_EJECUCION'!$J$9:$J$1208,0)),0)-$AL978))</f>
        <v/>
      </c>
      <c r="AN978" s="32">
        <f>IF($A978="","",$AL978+$AM978)</f>
        <v/>
      </c>
      <c r="AO978" s="24">
        <f>IF($A978="","",IF(OR((IFERROR(INDEX('CAT_ACTIVIDADES'!$D$4:$D$26,MATCH($H978,'CAT_ACTIVIDADES'!$A$4:$A$26,0)),""))=0,(IFERROR(INDEX('CAT_ACTIVIDADES'!$D$4:$D$26,MATCH($H978,'CAT_ACTIVIDADES'!$A$4:$A$26,0)),""))=""),"SIN CLASIFICAR",IFERROR(INDEX('CAT_ACTIVIDADES'!$D$4:$D$26,MATCH($H978,'CAT_ACTIVIDADES'!$A$4:$A$26,0)),"")))</f>
        <v/>
      </c>
      <c r="AP978" s="4" t="n"/>
      <c r="AQ978" s="4" t="n"/>
      <c r="AR978" s="4" t="n"/>
      <c r="AS978" s="24">
        <f>IF($AR978="","",HYPERLINK(p_ruta_base_checklists&amp;$AR978,"abrir"))</f>
        <v/>
      </c>
      <c r="AT978" s="4" t="n"/>
      <c r="AU978" s="24">
        <f>IF($A978="","",$A978&amp;IF($B978="","0010",$B978))</f>
        <v/>
      </c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41" t="n"/>
      <c r="K979" s="5" t="n"/>
      <c r="L979" s="18" t="n"/>
      <c r="M979" s="24">
        <f>IF($A979="","",IFERROR(INDEX('AJUSTES'!$B$4:$B$303,MATCH($AU979,'AJUSTES'!$A$4:$A$303,0)),IF($K979="","",$K979)))</f>
        <v/>
      </c>
      <c r="N979" s="24">
        <f>IF($A979="","",IFERROR(INDEX('CAT_ESTADOS_ERP'!$B$4:$B$22,MATCH(IFERROR(INDEX('2_IMPORTAR_EJECUCION'!$C$9:$C$1208,MATCH($AU979,'2_IMPORTAR_EJECUCION'!$J$9:$J$1208,0)),""),'CAT_ESTADOS_ERP'!$A$4:$A$22,0)),"Pendiente"))</f>
        <v/>
      </c>
      <c r="O979" s="24">
        <f>IF($J979="","",YEAR($J979+4-WEEKDAY($J979,2))&amp;"-S"&amp;TEXT(_xlfn.ISOWEEKNUM($J979),"00"))</f>
        <v/>
      </c>
      <c r="P979" s="24">
        <f>IF($J979="","",YEAR($J979))</f>
        <v/>
      </c>
      <c r="Q979" s="24">
        <f>IF($J979="","",MONTH($J979))</f>
        <v/>
      </c>
      <c r="R979" s="24">
        <f>IF($J979="","",$P979&amp;"-"&amp;TEXT($Q979,"00"))</f>
        <v/>
      </c>
      <c r="S979" s="24">
        <f>IF($J979="","",INDEX(lista_dias,WEEKDAY($J979,2)))</f>
        <v/>
      </c>
      <c r="T979" s="24">
        <f>IF($J979="","",IFERROR(INDEX('CALENDARIO'!$C$15:$C$214,MATCH(TEXT($J979,"yyyy-mm-dd")&amp;"|"&amp;$Y979&amp;"|"&amp;$Z979,'CALENDARIO'!$G$15:$G$214,0)),IFERROR(INDEX('CALENDARIO'!$C$15:$C$214,MATCH(TEXT($J979,"yyyy-mm-dd")&amp;"|"&amp;$Y979&amp;"|",'CALENDARIO'!$G$15:$G$214,0)),IFERROR(INDEX('CALENDARIO'!$C$15:$C$214,MATCH(TEXT($J979,"yyyy-mm-dd")&amp;"||",'CALENDARIO'!$G$15:$G$214,0)),INDEX(patronHabil,WEEKDAY($J979,2))))))</f>
        <v/>
      </c>
      <c r="U979" s="24">
        <f>IF($I979="","",IFERROR(INDEX('CAT_TIPOS_OT'!$C$4:$C$23,MATCH($I979,'CAT_TIPOS_OT'!$A$4:$A$23,0)),"sin_clasificar"))</f>
        <v/>
      </c>
      <c r="V979" s="24">
        <f>IF($I979="","",IF(IFERROR(INDEX('CAT_TIPOS_OT'!$D$4:$D$23,MATCH($I979,'CAT_TIPOS_OT'!$A$4:$A$23,0)),"SIN CLASIFICAR")="","SIN CLASIFICAR",IFERROR(INDEX('CAT_TIPOS_OT'!$D$4:$D$23,MATCH($I979,'CAT_TIPOS_OT'!$A$4:$A$23,0)),"SIN CLASIFICAR")))</f>
        <v/>
      </c>
      <c r="W979" s="24">
        <f>IF($H979="","",IF(IFERROR(INDEX('CAT_ACTIVIDADES'!$F$4:$F$26,MATCH($H979,'CAT_ACTIVIDADES'!$A$4:$A$26,0)),"")=0,"",IFERROR(INDEX('CAT_ACTIVIDADES'!$F$4:$F$26,MATCH($H979,'CAT_ACTIVIDADES'!$A$4:$A$26,0)),"")))</f>
        <v/>
      </c>
      <c r="X979" s="24">
        <f>IF($F979="","",IFERROR(INDEX('CAT_CENTROS_COSTO'!$F$4:$F$28,MATCH($F979,'CAT_CENTROS_COSTO'!$A$4:$A$28,0)),"(sin catálogo)"))</f>
        <v/>
      </c>
      <c r="Y979" s="24">
        <f>IF($F979="","",IFERROR(INDEX('CAT_CENTROS_COSTO'!$D$4:$D$28,MATCH($F979,'CAT_CENTROS_COSTO'!$A$4:$A$28,0)),"(sin catálogo)"))</f>
        <v/>
      </c>
      <c r="Z979" s="24">
        <f>IF($F979="","",IF((IFERROR(INDEX('CAT_CENTROS_COSTO'!$E$4:$E$28,MATCH($F979,'CAT_CENTROS_COSTO'!$A$4:$A$28,0)),""))&lt;&gt;"",IFERROR(INDEX('CAT_CENTROS_COSTO'!$E$4:$E$28,MATCH($F979,'CAT_CENTROS_COSTO'!$A$4:$A$28,0)),""),$Y979))</f>
        <v/>
      </c>
      <c r="AA979" s="24">
        <f>IF($F979="","",IFERROR(INDEX('CAT_CENTROS_COSTO'!$G$4:$G$28,MATCH($F979,'CAT_CENTROS_COSTO'!$A$4:$A$28,0)),"(sin catálogo)"))</f>
        <v/>
      </c>
      <c r="AB979" s="24">
        <f>IF($G979="","",IFERROR(INDEX('CAT_PUESTOS'!$B$4:$B$23,MATCH($G979,'CAT_PUESTOS'!$A$4:$A$23,0)),"(sin catálogo)"))</f>
        <v/>
      </c>
      <c r="AC979" s="24">
        <f>IF($H979="","",IFERROR(INDEX('CAT_ACTIVIDADES'!$B$4:$B$26,MATCH($H979,'CAT_ACTIVIDADES'!$A$4:$A$26,0)),"(sin catálogo)"))</f>
        <v/>
      </c>
      <c r="AD979" s="26">
        <f>IF($J979="","",TODAY()-$J979)</f>
        <v/>
      </c>
      <c r="AE979" s="26">
        <f>IF($J979="","",IF($J979&lt;=TODAY(),COUNTIFS(cal_fechas,"&gt;="&amp;$J979,cal_fechas,"&lt;"&amp;TODAY(),cal_habil,"sí"),-COUNTIFS(cal_fechas,"&gt;="&amp;TODAY(),cal_fechas,"&lt;"&amp;$J979,cal_habil,"sí")))</f>
        <v/>
      </c>
      <c r="AF979" s="24">
        <f>IF($AE979="","",IF($AE979&lt;0,"FUTURO",IF($AE979&gt;p_dias_backlog_max,"BACKLOG","MES CORRIENTE")))</f>
        <v/>
      </c>
      <c r="AG979" s="24">
        <f>IF($AE979="",FALSE,AND($AE979&gt;p_dias_backlog_min,$AE979&lt;=p_dias_backlog_max))</f>
        <v/>
      </c>
      <c r="AH979" s="4" t="n"/>
      <c r="AI979" s="24">
        <f>IF($AH979="","",IF((IFERROR(INDEX('ASIGNACIONES'!$J$4:$J$451,MATCH($O979&amp;"|"&amp;$S979&amp;"|"&amp;$AH979,'ASIGNACIONES'!$N$4:$N$451,0)),""))=0,"",IFERROR(INDEX('ASIGNACIONES'!$J$4:$J$451,MATCH($O979&amp;"|"&amp;$S979&amp;"|"&amp;$AH979,'ASIGNACIONES'!$N$4:$N$451,0)),"")))</f>
        <v/>
      </c>
      <c r="AJ979" s="42">
        <f>IF($AH979="","",SUMIFS('ORDENES'!$M$4:$M$1203,'ORDENES'!$AH$4:$AH$1203,$AH979,'ORDENES'!$O$4:$O$1203,$O979,'ORDENES'!$S$4:$S$1203,$S979))</f>
        <v/>
      </c>
      <c r="AK979" s="42">
        <f>IF($AJ979="","",p_factor_productividad*IFERROR(INDEX('ASIGNACIONES'!$M$4:$M$451,MATCH($O979&amp;"|"&amp;$S979&amp;"|"&amp;$AH979,'ASIGNACIONES'!$N$4:$N$451,0)),0)-$AJ979)</f>
        <v/>
      </c>
      <c r="AL979" s="32">
        <f>IF($A979="","",IFERROR(INDEX('2_IMPORTAR_EJECUCION'!$F$9:$F$1208,MATCH($AU979,'2_IMPORTAR_EJECUCION'!$J$9:$J$1208,0)),0))</f>
        <v/>
      </c>
      <c r="AM979" s="32">
        <f>IF($A979="","",MAX(0,IFERROR(INDEX('2_IMPORTAR_EJECUCION'!$H$9:$H$1208,MATCH($AU979,'2_IMPORTAR_EJECUCION'!$J$9:$J$1208,0)),0)-$AL979))</f>
        <v/>
      </c>
      <c r="AN979" s="32">
        <f>IF($A979="","",$AL979+$AM979)</f>
        <v/>
      </c>
      <c r="AO979" s="24">
        <f>IF($A979="","",IF(OR((IFERROR(INDEX('CAT_ACTIVIDADES'!$D$4:$D$26,MATCH($H979,'CAT_ACTIVIDADES'!$A$4:$A$26,0)),""))=0,(IFERROR(INDEX('CAT_ACTIVIDADES'!$D$4:$D$26,MATCH($H979,'CAT_ACTIVIDADES'!$A$4:$A$26,0)),""))=""),"SIN CLASIFICAR",IFERROR(INDEX('CAT_ACTIVIDADES'!$D$4:$D$26,MATCH($H979,'CAT_ACTIVIDADES'!$A$4:$A$26,0)),"")))</f>
        <v/>
      </c>
      <c r="AP979" s="4" t="n"/>
      <c r="AQ979" s="4" t="n"/>
      <c r="AR979" s="4" t="n"/>
      <c r="AS979" s="24">
        <f>IF($AR979="","",HYPERLINK(p_ruta_base_checklists&amp;$AR979,"abrir"))</f>
        <v/>
      </c>
      <c r="AT979" s="4" t="n"/>
      <c r="AU979" s="24">
        <f>IF($A979="","",$A979&amp;IF($B979="","0010",$B979))</f>
        <v/>
      </c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41" t="n"/>
      <c r="K980" s="5" t="n"/>
      <c r="L980" s="18" t="n"/>
      <c r="M980" s="24">
        <f>IF($A980="","",IFERROR(INDEX('AJUSTES'!$B$4:$B$303,MATCH($AU980,'AJUSTES'!$A$4:$A$303,0)),IF($K980="","",$K980)))</f>
        <v/>
      </c>
      <c r="N980" s="24">
        <f>IF($A980="","",IFERROR(INDEX('CAT_ESTADOS_ERP'!$B$4:$B$22,MATCH(IFERROR(INDEX('2_IMPORTAR_EJECUCION'!$C$9:$C$1208,MATCH($AU980,'2_IMPORTAR_EJECUCION'!$J$9:$J$1208,0)),""),'CAT_ESTADOS_ERP'!$A$4:$A$22,0)),"Pendiente"))</f>
        <v/>
      </c>
      <c r="O980" s="24">
        <f>IF($J980="","",YEAR($J980+4-WEEKDAY($J980,2))&amp;"-S"&amp;TEXT(_xlfn.ISOWEEKNUM($J980),"00"))</f>
        <v/>
      </c>
      <c r="P980" s="24">
        <f>IF($J980="","",YEAR($J980))</f>
        <v/>
      </c>
      <c r="Q980" s="24">
        <f>IF($J980="","",MONTH($J980))</f>
        <v/>
      </c>
      <c r="R980" s="24">
        <f>IF($J980="","",$P980&amp;"-"&amp;TEXT($Q980,"00"))</f>
        <v/>
      </c>
      <c r="S980" s="24">
        <f>IF($J980="","",INDEX(lista_dias,WEEKDAY($J980,2)))</f>
        <v/>
      </c>
      <c r="T980" s="24">
        <f>IF($J980="","",IFERROR(INDEX('CALENDARIO'!$C$15:$C$214,MATCH(TEXT($J980,"yyyy-mm-dd")&amp;"|"&amp;$Y980&amp;"|"&amp;$Z980,'CALENDARIO'!$G$15:$G$214,0)),IFERROR(INDEX('CALENDARIO'!$C$15:$C$214,MATCH(TEXT($J980,"yyyy-mm-dd")&amp;"|"&amp;$Y980&amp;"|",'CALENDARIO'!$G$15:$G$214,0)),IFERROR(INDEX('CALENDARIO'!$C$15:$C$214,MATCH(TEXT($J980,"yyyy-mm-dd")&amp;"||",'CALENDARIO'!$G$15:$G$214,0)),INDEX(patronHabil,WEEKDAY($J980,2))))))</f>
        <v/>
      </c>
      <c r="U980" s="24">
        <f>IF($I980="","",IFERROR(INDEX('CAT_TIPOS_OT'!$C$4:$C$23,MATCH($I980,'CAT_TIPOS_OT'!$A$4:$A$23,0)),"sin_clasificar"))</f>
        <v/>
      </c>
      <c r="V980" s="24">
        <f>IF($I980="","",IF(IFERROR(INDEX('CAT_TIPOS_OT'!$D$4:$D$23,MATCH($I980,'CAT_TIPOS_OT'!$A$4:$A$23,0)),"SIN CLASIFICAR")="","SIN CLASIFICAR",IFERROR(INDEX('CAT_TIPOS_OT'!$D$4:$D$23,MATCH($I980,'CAT_TIPOS_OT'!$A$4:$A$23,0)),"SIN CLASIFICAR")))</f>
        <v/>
      </c>
      <c r="W980" s="24">
        <f>IF($H980="","",IF(IFERROR(INDEX('CAT_ACTIVIDADES'!$F$4:$F$26,MATCH($H980,'CAT_ACTIVIDADES'!$A$4:$A$26,0)),"")=0,"",IFERROR(INDEX('CAT_ACTIVIDADES'!$F$4:$F$26,MATCH($H980,'CAT_ACTIVIDADES'!$A$4:$A$26,0)),"")))</f>
        <v/>
      </c>
      <c r="X980" s="24">
        <f>IF($F980="","",IFERROR(INDEX('CAT_CENTROS_COSTO'!$F$4:$F$28,MATCH($F980,'CAT_CENTROS_COSTO'!$A$4:$A$28,0)),"(sin catálogo)"))</f>
        <v/>
      </c>
      <c r="Y980" s="24">
        <f>IF($F980="","",IFERROR(INDEX('CAT_CENTROS_COSTO'!$D$4:$D$28,MATCH($F980,'CAT_CENTROS_COSTO'!$A$4:$A$28,0)),"(sin catálogo)"))</f>
        <v/>
      </c>
      <c r="Z980" s="24">
        <f>IF($F980="","",IF((IFERROR(INDEX('CAT_CENTROS_COSTO'!$E$4:$E$28,MATCH($F980,'CAT_CENTROS_COSTO'!$A$4:$A$28,0)),""))&lt;&gt;"",IFERROR(INDEX('CAT_CENTROS_COSTO'!$E$4:$E$28,MATCH($F980,'CAT_CENTROS_COSTO'!$A$4:$A$28,0)),""),$Y980))</f>
        <v/>
      </c>
      <c r="AA980" s="24">
        <f>IF($F980="","",IFERROR(INDEX('CAT_CENTROS_COSTO'!$G$4:$G$28,MATCH($F980,'CAT_CENTROS_COSTO'!$A$4:$A$28,0)),"(sin catálogo)"))</f>
        <v/>
      </c>
      <c r="AB980" s="24">
        <f>IF($G980="","",IFERROR(INDEX('CAT_PUESTOS'!$B$4:$B$23,MATCH($G980,'CAT_PUESTOS'!$A$4:$A$23,0)),"(sin catálogo)"))</f>
        <v/>
      </c>
      <c r="AC980" s="24">
        <f>IF($H980="","",IFERROR(INDEX('CAT_ACTIVIDADES'!$B$4:$B$26,MATCH($H980,'CAT_ACTIVIDADES'!$A$4:$A$26,0)),"(sin catálogo)"))</f>
        <v/>
      </c>
      <c r="AD980" s="26">
        <f>IF($J980="","",TODAY()-$J980)</f>
        <v/>
      </c>
      <c r="AE980" s="26">
        <f>IF($J980="","",IF($J980&lt;=TODAY(),COUNTIFS(cal_fechas,"&gt;="&amp;$J980,cal_fechas,"&lt;"&amp;TODAY(),cal_habil,"sí"),-COUNTIFS(cal_fechas,"&gt;="&amp;TODAY(),cal_fechas,"&lt;"&amp;$J980,cal_habil,"sí")))</f>
        <v/>
      </c>
      <c r="AF980" s="24">
        <f>IF($AE980="","",IF($AE980&lt;0,"FUTURO",IF($AE980&gt;p_dias_backlog_max,"BACKLOG","MES CORRIENTE")))</f>
        <v/>
      </c>
      <c r="AG980" s="24">
        <f>IF($AE980="",FALSE,AND($AE980&gt;p_dias_backlog_min,$AE980&lt;=p_dias_backlog_max))</f>
        <v/>
      </c>
      <c r="AH980" s="4" t="n"/>
      <c r="AI980" s="24">
        <f>IF($AH980="","",IF((IFERROR(INDEX('ASIGNACIONES'!$J$4:$J$451,MATCH($O980&amp;"|"&amp;$S980&amp;"|"&amp;$AH980,'ASIGNACIONES'!$N$4:$N$451,0)),""))=0,"",IFERROR(INDEX('ASIGNACIONES'!$J$4:$J$451,MATCH($O980&amp;"|"&amp;$S980&amp;"|"&amp;$AH980,'ASIGNACIONES'!$N$4:$N$451,0)),"")))</f>
        <v/>
      </c>
      <c r="AJ980" s="42">
        <f>IF($AH980="","",SUMIFS('ORDENES'!$M$4:$M$1203,'ORDENES'!$AH$4:$AH$1203,$AH980,'ORDENES'!$O$4:$O$1203,$O980,'ORDENES'!$S$4:$S$1203,$S980))</f>
        <v/>
      </c>
      <c r="AK980" s="42">
        <f>IF($AJ980="","",p_factor_productividad*IFERROR(INDEX('ASIGNACIONES'!$M$4:$M$451,MATCH($O980&amp;"|"&amp;$S980&amp;"|"&amp;$AH980,'ASIGNACIONES'!$N$4:$N$451,0)),0)-$AJ980)</f>
        <v/>
      </c>
      <c r="AL980" s="32">
        <f>IF($A980="","",IFERROR(INDEX('2_IMPORTAR_EJECUCION'!$F$9:$F$1208,MATCH($AU980,'2_IMPORTAR_EJECUCION'!$J$9:$J$1208,0)),0))</f>
        <v/>
      </c>
      <c r="AM980" s="32">
        <f>IF($A980="","",MAX(0,IFERROR(INDEX('2_IMPORTAR_EJECUCION'!$H$9:$H$1208,MATCH($AU980,'2_IMPORTAR_EJECUCION'!$J$9:$J$1208,0)),0)-$AL980))</f>
        <v/>
      </c>
      <c r="AN980" s="32">
        <f>IF($A980="","",$AL980+$AM980)</f>
        <v/>
      </c>
      <c r="AO980" s="24">
        <f>IF($A980="","",IF(OR((IFERROR(INDEX('CAT_ACTIVIDADES'!$D$4:$D$26,MATCH($H980,'CAT_ACTIVIDADES'!$A$4:$A$26,0)),""))=0,(IFERROR(INDEX('CAT_ACTIVIDADES'!$D$4:$D$26,MATCH($H980,'CAT_ACTIVIDADES'!$A$4:$A$26,0)),""))=""),"SIN CLASIFICAR",IFERROR(INDEX('CAT_ACTIVIDADES'!$D$4:$D$26,MATCH($H980,'CAT_ACTIVIDADES'!$A$4:$A$26,0)),"")))</f>
        <v/>
      </c>
      <c r="AP980" s="4" t="n"/>
      <c r="AQ980" s="4" t="n"/>
      <c r="AR980" s="4" t="n"/>
      <c r="AS980" s="24">
        <f>IF($AR980="","",HYPERLINK(p_ruta_base_checklists&amp;$AR980,"abrir"))</f>
        <v/>
      </c>
      <c r="AT980" s="4" t="n"/>
      <c r="AU980" s="24">
        <f>IF($A980="","",$A980&amp;IF($B980="","0010",$B980))</f>
        <v/>
      </c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41" t="n"/>
      <c r="K981" s="5" t="n"/>
      <c r="L981" s="18" t="n"/>
      <c r="M981" s="24">
        <f>IF($A981="","",IFERROR(INDEX('AJUSTES'!$B$4:$B$303,MATCH($AU981,'AJUSTES'!$A$4:$A$303,0)),IF($K981="","",$K981)))</f>
        <v/>
      </c>
      <c r="N981" s="24">
        <f>IF($A981="","",IFERROR(INDEX('CAT_ESTADOS_ERP'!$B$4:$B$22,MATCH(IFERROR(INDEX('2_IMPORTAR_EJECUCION'!$C$9:$C$1208,MATCH($AU981,'2_IMPORTAR_EJECUCION'!$J$9:$J$1208,0)),""),'CAT_ESTADOS_ERP'!$A$4:$A$22,0)),"Pendiente"))</f>
        <v/>
      </c>
      <c r="O981" s="24">
        <f>IF($J981="","",YEAR($J981+4-WEEKDAY($J981,2))&amp;"-S"&amp;TEXT(_xlfn.ISOWEEKNUM($J981),"00"))</f>
        <v/>
      </c>
      <c r="P981" s="24">
        <f>IF($J981="","",YEAR($J981))</f>
        <v/>
      </c>
      <c r="Q981" s="24">
        <f>IF($J981="","",MONTH($J981))</f>
        <v/>
      </c>
      <c r="R981" s="24">
        <f>IF($J981="","",$P981&amp;"-"&amp;TEXT($Q981,"00"))</f>
        <v/>
      </c>
      <c r="S981" s="24">
        <f>IF($J981="","",INDEX(lista_dias,WEEKDAY($J981,2)))</f>
        <v/>
      </c>
      <c r="T981" s="24">
        <f>IF($J981="","",IFERROR(INDEX('CALENDARIO'!$C$15:$C$214,MATCH(TEXT($J981,"yyyy-mm-dd")&amp;"|"&amp;$Y981&amp;"|"&amp;$Z981,'CALENDARIO'!$G$15:$G$214,0)),IFERROR(INDEX('CALENDARIO'!$C$15:$C$214,MATCH(TEXT($J981,"yyyy-mm-dd")&amp;"|"&amp;$Y981&amp;"|",'CALENDARIO'!$G$15:$G$214,0)),IFERROR(INDEX('CALENDARIO'!$C$15:$C$214,MATCH(TEXT($J981,"yyyy-mm-dd")&amp;"||",'CALENDARIO'!$G$15:$G$214,0)),INDEX(patronHabil,WEEKDAY($J981,2))))))</f>
        <v/>
      </c>
      <c r="U981" s="24">
        <f>IF($I981="","",IFERROR(INDEX('CAT_TIPOS_OT'!$C$4:$C$23,MATCH($I981,'CAT_TIPOS_OT'!$A$4:$A$23,0)),"sin_clasificar"))</f>
        <v/>
      </c>
      <c r="V981" s="24">
        <f>IF($I981="","",IF(IFERROR(INDEX('CAT_TIPOS_OT'!$D$4:$D$23,MATCH($I981,'CAT_TIPOS_OT'!$A$4:$A$23,0)),"SIN CLASIFICAR")="","SIN CLASIFICAR",IFERROR(INDEX('CAT_TIPOS_OT'!$D$4:$D$23,MATCH($I981,'CAT_TIPOS_OT'!$A$4:$A$23,0)),"SIN CLASIFICAR")))</f>
        <v/>
      </c>
      <c r="W981" s="24">
        <f>IF($H981="","",IF(IFERROR(INDEX('CAT_ACTIVIDADES'!$F$4:$F$26,MATCH($H981,'CAT_ACTIVIDADES'!$A$4:$A$26,0)),"")=0,"",IFERROR(INDEX('CAT_ACTIVIDADES'!$F$4:$F$26,MATCH($H981,'CAT_ACTIVIDADES'!$A$4:$A$26,0)),"")))</f>
        <v/>
      </c>
      <c r="X981" s="24">
        <f>IF($F981="","",IFERROR(INDEX('CAT_CENTROS_COSTO'!$F$4:$F$28,MATCH($F981,'CAT_CENTROS_COSTO'!$A$4:$A$28,0)),"(sin catálogo)"))</f>
        <v/>
      </c>
      <c r="Y981" s="24">
        <f>IF($F981="","",IFERROR(INDEX('CAT_CENTROS_COSTO'!$D$4:$D$28,MATCH($F981,'CAT_CENTROS_COSTO'!$A$4:$A$28,0)),"(sin catálogo)"))</f>
        <v/>
      </c>
      <c r="Z981" s="24">
        <f>IF($F981="","",IF((IFERROR(INDEX('CAT_CENTROS_COSTO'!$E$4:$E$28,MATCH($F981,'CAT_CENTROS_COSTO'!$A$4:$A$28,0)),""))&lt;&gt;"",IFERROR(INDEX('CAT_CENTROS_COSTO'!$E$4:$E$28,MATCH($F981,'CAT_CENTROS_COSTO'!$A$4:$A$28,0)),""),$Y981))</f>
        <v/>
      </c>
      <c r="AA981" s="24">
        <f>IF($F981="","",IFERROR(INDEX('CAT_CENTROS_COSTO'!$G$4:$G$28,MATCH($F981,'CAT_CENTROS_COSTO'!$A$4:$A$28,0)),"(sin catálogo)"))</f>
        <v/>
      </c>
      <c r="AB981" s="24">
        <f>IF($G981="","",IFERROR(INDEX('CAT_PUESTOS'!$B$4:$B$23,MATCH($G981,'CAT_PUESTOS'!$A$4:$A$23,0)),"(sin catálogo)"))</f>
        <v/>
      </c>
      <c r="AC981" s="24">
        <f>IF($H981="","",IFERROR(INDEX('CAT_ACTIVIDADES'!$B$4:$B$26,MATCH($H981,'CAT_ACTIVIDADES'!$A$4:$A$26,0)),"(sin catálogo)"))</f>
        <v/>
      </c>
      <c r="AD981" s="26">
        <f>IF($J981="","",TODAY()-$J981)</f>
        <v/>
      </c>
      <c r="AE981" s="26">
        <f>IF($J981="","",IF($J981&lt;=TODAY(),COUNTIFS(cal_fechas,"&gt;="&amp;$J981,cal_fechas,"&lt;"&amp;TODAY(),cal_habil,"sí"),-COUNTIFS(cal_fechas,"&gt;="&amp;TODAY(),cal_fechas,"&lt;"&amp;$J981,cal_habil,"sí")))</f>
        <v/>
      </c>
      <c r="AF981" s="24">
        <f>IF($AE981="","",IF($AE981&lt;0,"FUTURO",IF($AE981&gt;p_dias_backlog_max,"BACKLOG","MES CORRIENTE")))</f>
        <v/>
      </c>
      <c r="AG981" s="24">
        <f>IF($AE981="",FALSE,AND($AE981&gt;p_dias_backlog_min,$AE981&lt;=p_dias_backlog_max))</f>
        <v/>
      </c>
      <c r="AH981" s="4" t="n"/>
      <c r="AI981" s="24">
        <f>IF($AH981="","",IF((IFERROR(INDEX('ASIGNACIONES'!$J$4:$J$451,MATCH($O981&amp;"|"&amp;$S981&amp;"|"&amp;$AH981,'ASIGNACIONES'!$N$4:$N$451,0)),""))=0,"",IFERROR(INDEX('ASIGNACIONES'!$J$4:$J$451,MATCH($O981&amp;"|"&amp;$S981&amp;"|"&amp;$AH981,'ASIGNACIONES'!$N$4:$N$451,0)),"")))</f>
        <v/>
      </c>
      <c r="AJ981" s="42">
        <f>IF($AH981="","",SUMIFS('ORDENES'!$M$4:$M$1203,'ORDENES'!$AH$4:$AH$1203,$AH981,'ORDENES'!$O$4:$O$1203,$O981,'ORDENES'!$S$4:$S$1203,$S981))</f>
        <v/>
      </c>
      <c r="AK981" s="42">
        <f>IF($AJ981="","",p_factor_productividad*IFERROR(INDEX('ASIGNACIONES'!$M$4:$M$451,MATCH($O981&amp;"|"&amp;$S981&amp;"|"&amp;$AH981,'ASIGNACIONES'!$N$4:$N$451,0)),0)-$AJ981)</f>
        <v/>
      </c>
      <c r="AL981" s="32">
        <f>IF($A981="","",IFERROR(INDEX('2_IMPORTAR_EJECUCION'!$F$9:$F$1208,MATCH($AU981,'2_IMPORTAR_EJECUCION'!$J$9:$J$1208,0)),0))</f>
        <v/>
      </c>
      <c r="AM981" s="32">
        <f>IF($A981="","",MAX(0,IFERROR(INDEX('2_IMPORTAR_EJECUCION'!$H$9:$H$1208,MATCH($AU981,'2_IMPORTAR_EJECUCION'!$J$9:$J$1208,0)),0)-$AL981))</f>
        <v/>
      </c>
      <c r="AN981" s="32">
        <f>IF($A981="","",$AL981+$AM981)</f>
        <v/>
      </c>
      <c r="AO981" s="24">
        <f>IF($A981="","",IF(OR((IFERROR(INDEX('CAT_ACTIVIDADES'!$D$4:$D$26,MATCH($H981,'CAT_ACTIVIDADES'!$A$4:$A$26,0)),""))=0,(IFERROR(INDEX('CAT_ACTIVIDADES'!$D$4:$D$26,MATCH($H981,'CAT_ACTIVIDADES'!$A$4:$A$26,0)),""))=""),"SIN CLASIFICAR",IFERROR(INDEX('CAT_ACTIVIDADES'!$D$4:$D$26,MATCH($H981,'CAT_ACTIVIDADES'!$A$4:$A$26,0)),"")))</f>
        <v/>
      </c>
      <c r="AP981" s="4" t="n"/>
      <c r="AQ981" s="4" t="n"/>
      <c r="AR981" s="4" t="n"/>
      <c r="AS981" s="24">
        <f>IF($AR981="","",HYPERLINK(p_ruta_base_checklists&amp;$AR981,"abrir"))</f>
        <v/>
      </c>
      <c r="AT981" s="4" t="n"/>
      <c r="AU981" s="24">
        <f>IF($A981="","",$A981&amp;IF($B981="","0010",$B981))</f>
        <v/>
      </c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41" t="n"/>
      <c r="K982" s="5" t="n"/>
      <c r="L982" s="18" t="n"/>
      <c r="M982" s="24">
        <f>IF($A982="","",IFERROR(INDEX('AJUSTES'!$B$4:$B$303,MATCH($AU982,'AJUSTES'!$A$4:$A$303,0)),IF($K982="","",$K982)))</f>
        <v/>
      </c>
      <c r="N982" s="24">
        <f>IF($A982="","",IFERROR(INDEX('CAT_ESTADOS_ERP'!$B$4:$B$22,MATCH(IFERROR(INDEX('2_IMPORTAR_EJECUCION'!$C$9:$C$1208,MATCH($AU982,'2_IMPORTAR_EJECUCION'!$J$9:$J$1208,0)),""),'CAT_ESTADOS_ERP'!$A$4:$A$22,0)),"Pendiente"))</f>
        <v/>
      </c>
      <c r="O982" s="24">
        <f>IF($J982="","",YEAR($J982+4-WEEKDAY($J982,2))&amp;"-S"&amp;TEXT(_xlfn.ISOWEEKNUM($J982),"00"))</f>
        <v/>
      </c>
      <c r="P982" s="24">
        <f>IF($J982="","",YEAR($J982))</f>
        <v/>
      </c>
      <c r="Q982" s="24">
        <f>IF($J982="","",MONTH($J982))</f>
        <v/>
      </c>
      <c r="R982" s="24">
        <f>IF($J982="","",$P982&amp;"-"&amp;TEXT($Q982,"00"))</f>
        <v/>
      </c>
      <c r="S982" s="24">
        <f>IF($J982="","",INDEX(lista_dias,WEEKDAY($J982,2)))</f>
        <v/>
      </c>
      <c r="T982" s="24">
        <f>IF($J982="","",IFERROR(INDEX('CALENDARIO'!$C$15:$C$214,MATCH(TEXT($J982,"yyyy-mm-dd")&amp;"|"&amp;$Y982&amp;"|"&amp;$Z982,'CALENDARIO'!$G$15:$G$214,0)),IFERROR(INDEX('CALENDARIO'!$C$15:$C$214,MATCH(TEXT($J982,"yyyy-mm-dd")&amp;"|"&amp;$Y982&amp;"|",'CALENDARIO'!$G$15:$G$214,0)),IFERROR(INDEX('CALENDARIO'!$C$15:$C$214,MATCH(TEXT($J982,"yyyy-mm-dd")&amp;"||",'CALENDARIO'!$G$15:$G$214,0)),INDEX(patronHabil,WEEKDAY($J982,2))))))</f>
        <v/>
      </c>
      <c r="U982" s="24">
        <f>IF($I982="","",IFERROR(INDEX('CAT_TIPOS_OT'!$C$4:$C$23,MATCH($I982,'CAT_TIPOS_OT'!$A$4:$A$23,0)),"sin_clasificar"))</f>
        <v/>
      </c>
      <c r="V982" s="24">
        <f>IF($I982="","",IF(IFERROR(INDEX('CAT_TIPOS_OT'!$D$4:$D$23,MATCH($I982,'CAT_TIPOS_OT'!$A$4:$A$23,0)),"SIN CLASIFICAR")="","SIN CLASIFICAR",IFERROR(INDEX('CAT_TIPOS_OT'!$D$4:$D$23,MATCH($I982,'CAT_TIPOS_OT'!$A$4:$A$23,0)),"SIN CLASIFICAR")))</f>
        <v/>
      </c>
      <c r="W982" s="24">
        <f>IF($H982="","",IF(IFERROR(INDEX('CAT_ACTIVIDADES'!$F$4:$F$26,MATCH($H982,'CAT_ACTIVIDADES'!$A$4:$A$26,0)),"")=0,"",IFERROR(INDEX('CAT_ACTIVIDADES'!$F$4:$F$26,MATCH($H982,'CAT_ACTIVIDADES'!$A$4:$A$26,0)),"")))</f>
        <v/>
      </c>
      <c r="X982" s="24">
        <f>IF($F982="","",IFERROR(INDEX('CAT_CENTROS_COSTO'!$F$4:$F$28,MATCH($F982,'CAT_CENTROS_COSTO'!$A$4:$A$28,0)),"(sin catálogo)"))</f>
        <v/>
      </c>
      <c r="Y982" s="24">
        <f>IF($F982="","",IFERROR(INDEX('CAT_CENTROS_COSTO'!$D$4:$D$28,MATCH($F982,'CAT_CENTROS_COSTO'!$A$4:$A$28,0)),"(sin catálogo)"))</f>
        <v/>
      </c>
      <c r="Z982" s="24">
        <f>IF($F982="","",IF((IFERROR(INDEX('CAT_CENTROS_COSTO'!$E$4:$E$28,MATCH($F982,'CAT_CENTROS_COSTO'!$A$4:$A$28,0)),""))&lt;&gt;"",IFERROR(INDEX('CAT_CENTROS_COSTO'!$E$4:$E$28,MATCH($F982,'CAT_CENTROS_COSTO'!$A$4:$A$28,0)),""),$Y982))</f>
        <v/>
      </c>
      <c r="AA982" s="24">
        <f>IF($F982="","",IFERROR(INDEX('CAT_CENTROS_COSTO'!$G$4:$G$28,MATCH($F982,'CAT_CENTROS_COSTO'!$A$4:$A$28,0)),"(sin catálogo)"))</f>
        <v/>
      </c>
      <c r="AB982" s="24">
        <f>IF($G982="","",IFERROR(INDEX('CAT_PUESTOS'!$B$4:$B$23,MATCH($G982,'CAT_PUESTOS'!$A$4:$A$23,0)),"(sin catálogo)"))</f>
        <v/>
      </c>
      <c r="AC982" s="24">
        <f>IF($H982="","",IFERROR(INDEX('CAT_ACTIVIDADES'!$B$4:$B$26,MATCH($H982,'CAT_ACTIVIDADES'!$A$4:$A$26,0)),"(sin catálogo)"))</f>
        <v/>
      </c>
      <c r="AD982" s="26">
        <f>IF($J982="","",TODAY()-$J982)</f>
        <v/>
      </c>
      <c r="AE982" s="26">
        <f>IF($J982="","",IF($J982&lt;=TODAY(),COUNTIFS(cal_fechas,"&gt;="&amp;$J982,cal_fechas,"&lt;"&amp;TODAY(),cal_habil,"sí"),-COUNTIFS(cal_fechas,"&gt;="&amp;TODAY(),cal_fechas,"&lt;"&amp;$J982,cal_habil,"sí")))</f>
        <v/>
      </c>
      <c r="AF982" s="24">
        <f>IF($AE982="","",IF($AE982&lt;0,"FUTURO",IF($AE982&gt;p_dias_backlog_max,"BACKLOG","MES CORRIENTE")))</f>
        <v/>
      </c>
      <c r="AG982" s="24">
        <f>IF($AE982="",FALSE,AND($AE982&gt;p_dias_backlog_min,$AE982&lt;=p_dias_backlog_max))</f>
        <v/>
      </c>
      <c r="AH982" s="4" t="n"/>
      <c r="AI982" s="24">
        <f>IF($AH982="","",IF((IFERROR(INDEX('ASIGNACIONES'!$J$4:$J$451,MATCH($O982&amp;"|"&amp;$S982&amp;"|"&amp;$AH982,'ASIGNACIONES'!$N$4:$N$451,0)),""))=0,"",IFERROR(INDEX('ASIGNACIONES'!$J$4:$J$451,MATCH($O982&amp;"|"&amp;$S982&amp;"|"&amp;$AH982,'ASIGNACIONES'!$N$4:$N$451,0)),"")))</f>
        <v/>
      </c>
      <c r="AJ982" s="42">
        <f>IF($AH982="","",SUMIFS('ORDENES'!$M$4:$M$1203,'ORDENES'!$AH$4:$AH$1203,$AH982,'ORDENES'!$O$4:$O$1203,$O982,'ORDENES'!$S$4:$S$1203,$S982))</f>
        <v/>
      </c>
      <c r="AK982" s="42">
        <f>IF($AJ982="","",p_factor_productividad*IFERROR(INDEX('ASIGNACIONES'!$M$4:$M$451,MATCH($O982&amp;"|"&amp;$S982&amp;"|"&amp;$AH982,'ASIGNACIONES'!$N$4:$N$451,0)),0)-$AJ982)</f>
        <v/>
      </c>
      <c r="AL982" s="32">
        <f>IF($A982="","",IFERROR(INDEX('2_IMPORTAR_EJECUCION'!$F$9:$F$1208,MATCH($AU982,'2_IMPORTAR_EJECUCION'!$J$9:$J$1208,0)),0))</f>
        <v/>
      </c>
      <c r="AM982" s="32">
        <f>IF($A982="","",MAX(0,IFERROR(INDEX('2_IMPORTAR_EJECUCION'!$H$9:$H$1208,MATCH($AU982,'2_IMPORTAR_EJECUCION'!$J$9:$J$1208,0)),0)-$AL982))</f>
        <v/>
      </c>
      <c r="AN982" s="32">
        <f>IF($A982="","",$AL982+$AM982)</f>
        <v/>
      </c>
      <c r="AO982" s="24">
        <f>IF($A982="","",IF(OR((IFERROR(INDEX('CAT_ACTIVIDADES'!$D$4:$D$26,MATCH($H982,'CAT_ACTIVIDADES'!$A$4:$A$26,0)),""))=0,(IFERROR(INDEX('CAT_ACTIVIDADES'!$D$4:$D$26,MATCH($H982,'CAT_ACTIVIDADES'!$A$4:$A$26,0)),""))=""),"SIN CLASIFICAR",IFERROR(INDEX('CAT_ACTIVIDADES'!$D$4:$D$26,MATCH($H982,'CAT_ACTIVIDADES'!$A$4:$A$26,0)),"")))</f>
        <v/>
      </c>
      <c r="AP982" s="4" t="n"/>
      <c r="AQ982" s="4" t="n"/>
      <c r="AR982" s="4" t="n"/>
      <c r="AS982" s="24">
        <f>IF($AR982="","",HYPERLINK(p_ruta_base_checklists&amp;$AR982,"abrir"))</f>
        <v/>
      </c>
      <c r="AT982" s="4" t="n"/>
      <c r="AU982" s="24">
        <f>IF($A982="","",$A982&amp;IF($B982="","0010",$B982))</f>
        <v/>
      </c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41" t="n"/>
      <c r="K983" s="5" t="n"/>
      <c r="L983" s="18" t="n"/>
      <c r="M983" s="24">
        <f>IF($A983="","",IFERROR(INDEX('AJUSTES'!$B$4:$B$303,MATCH($AU983,'AJUSTES'!$A$4:$A$303,0)),IF($K983="","",$K983)))</f>
        <v/>
      </c>
      <c r="N983" s="24">
        <f>IF($A983="","",IFERROR(INDEX('CAT_ESTADOS_ERP'!$B$4:$B$22,MATCH(IFERROR(INDEX('2_IMPORTAR_EJECUCION'!$C$9:$C$1208,MATCH($AU983,'2_IMPORTAR_EJECUCION'!$J$9:$J$1208,0)),""),'CAT_ESTADOS_ERP'!$A$4:$A$22,0)),"Pendiente"))</f>
        <v/>
      </c>
      <c r="O983" s="24">
        <f>IF($J983="","",YEAR($J983+4-WEEKDAY($J983,2))&amp;"-S"&amp;TEXT(_xlfn.ISOWEEKNUM($J983),"00"))</f>
        <v/>
      </c>
      <c r="P983" s="24">
        <f>IF($J983="","",YEAR($J983))</f>
        <v/>
      </c>
      <c r="Q983" s="24">
        <f>IF($J983="","",MONTH($J983))</f>
        <v/>
      </c>
      <c r="R983" s="24">
        <f>IF($J983="","",$P983&amp;"-"&amp;TEXT($Q983,"00"))</f>
        <v/>
      </c>
      <c r="S983" s="24">
        <f>IF($J983="","",INDEX(lista_dias,WEEKDAY($J983,2)))</f>
        <v/>
      </c>
      <c r="T983" s="24">
        <f>IF($J983="","",IFERROR(INDEX('CALENDARIO'!$C$15:$C$214,MATCH(TEXT($J983,"yyyy-mm-dd")&amp;"|"&amp;$Y983&amp;"|"&amp;$Z983,'CALENDARIO'!$G$15:$G$214,0)),IFERROR(INDEX('CALENDARIO'!$C$15:$C$214,MATCH(TEXT($J983,"yyyy-mm-dd")&amp;"|"&amp;$Y983&amp;"|",'CALENDARIO'!$G$15:$G$214,0)),IFERROR(INDEX('CALENDARIO'!$C$15:$C$214,MATCH(TEXT($J983,"yyyy-mm-dd")&amp;"||",'CALENDARIO'!$G$15:$G$214,0)),INDEX(patronHabil,WEEKDAY($J983,2))))))</f>
        <v/>
      </c>
      <c r="U983" s="24">
        <f>IF($I983="","",IFERROR(INDEX('CAT_TIPOS_OT'!$C$4:$C$23,MATCH($I983,'CAT_TIPOS_OT'!$A$4:$A$23,0)),"sin_clasificar"))</f>
        <v/>
      </c>
      <c r="V983" s="24">
        <f>IF($I983="","",IF(IFERROR(INDEX('CAT_TIPOS_OT'!$D$4:$D$23,MATCH($I983,'CAT_TIPOS_OT'!$A$4:$A$23,0)),"SIN CLASIFICAR")="","SIN CLASIFICAR",IFERROR(INDEX('CAT_TIPOS_OT'!$D$4:$D$23,MATCH($I983,'CAT_TIPOS_OT'!$A$4:$A$23,0)),"SIN CLASIFICAR")))</f>
        <v/>
      </c>
      <c r="W983" s="24">
        <f>IF($H983="","",IF(IFERROR(INDEX('CAT_ACTIVIDADES'!$F$4:$F$26,MATCH($H983,'CAT_ACTIVIDADES'!$A$4:$A$26,0)),"")=0,"",IFERROR(INDEX('CAT_ACTIVIDADES'!$F$4:$F$26,MATCH($H983,'CAT_ACTIVIDADES'!$A$4:$A$26,0)),"")))</f>
        <v/>
      </c>
      <c r="X983" s="24">
        <f>IF($F983="","",IFERROR(INDEX('CAT_CENTROS_COSTO'!$F$4:$F$28,MATCH($F983,'CAT_CENTROS_COSTO'!$A$4:$A$28,0)),"(sin catálogo)"))</f>
        <v/>
      </c>
      <c r="Y983" s="24">
        <f>IF($F983="","",IFERROR(INDEX('CAT_CENTROS_COSTO'!$D$4:$D$28,MATCH($F983,'CAT_CENTROS_COSTO'!$A$4:$A$28,0)),"(sin catálogo)"))</f>
        <v/>
      </c>
      <c r="Z983" s="24">
        <f>IF($F983="","",IF((IFERROR(INDEX('CAT_CENTROS_COSTO'!$E$4:$E$28,MATCH($F983,'CAT_CENTROS_COSTO'!$A$4:$A$28,0)),""))&lt;&gt;"",IFERROR(INDEX('CAT_CENTROS_COSTO'!$E$4:$E$28,MATCH($F983,'CAT_CENTROS_COSTO'!$A$4:$A$28,0)),""),$Y983))</f>
        <v/>
      </c>
      <c r="AA983" s="24">
        <f>IF($F983="","",IFERROR(INDEX('CAT_CENTROS_COSTO'!$G$4:$G$28,MATCH($F983,'CAT_CENTROS_COSTO'!$A$4:$A$28,0)),"(sin catálogo)"))</f>
        <v/>
      </c>
      <c r="AB983" s="24">
        <f>IF($G983="","",IFERROR(INDEX('CAT_PUESTOS'!$B$4:$B$23,MATCH($G983,'CAT_PUESTOS'!$A$4:$A$23,0)),"(sin catálogo)"))</f>
        <v/>
      </c>
      <c r="AC983" s="24">
        <f>IF($H983="","",IFERROR(INDEX('CAT_ACTIVIDADES'!$B$4:$B$26,MATCH($H983,'CAT_ACTIVIDADES'!$A$4:$A$26,0)),"(sin catálogo)"))</f>
        <v/>
      </c>
      <c r="AD983" s="26">
        <f>IF($J983="","",TODAY()-$J983)</f>
        <v/>
      </c>
      <c r="AE983" s="26">
        <f>IF($J983="","",IF($J983&lt;=TODAY(),COUNTIFS(cal_fechas,"&gt;="&amp;$J983,cal_fechas,"&lt;"&amp;TODAY(),cal_habil,"sí"),-COUNTIFS(cal_fechas,"&gt;="&amp;TODAY(),cal_fechas,"&lt;"&amp;$J983,cal_habil,"sí")))</f>
        <v/>
      </c>
      <c r="AF983" s="24">
        <f>IF($AE983="","",IF($AE983&lt;0,"FUTURO",IF($AE983&gt;p_dias_backlog_max,"BACKLOG","MES CORRIENTE")))</f>
        <v/>
      </c>
      <c r="AG983" s="24">
        <f>IF($AE983="",FALSE,AND($AE983&gt;p_dias_backlog_min,$AE983&lt;=p_dias_backlog_max))</f>
        <v/>
      </c>
      <c r="AH983" s="4" t="n"/>
      <c r="AI983" s="24">
        <f>IF($AH983="","",IF((IFERROR(INDEX('ASIGNACIONES'!$J$4:$J$451,MATCH($O983&amp;"|"&amp;$S983&amp;"|"&amp;$AH983,'ASIGNACIONES'!$N$4:$N$451,0)),""))=0,"",IFERROR(INDEX('ASIGNACIONES'!$J$4:$J$451,MATCH($O983&amp;"|"&amp;$S983&amp;"|"&amp;$AH983,'ASIGNACIONES'!$N$4:$N$451,0)),"")))</f>
        <v/>
      </c>
      <c r="AJ983" s="42">
        <f>IF($AH983="","",SUMIFS('ORDENES'!$M$4:$M$1203,'ORDENES'!$AH$4:$AH$1203,$AH983,'ORDENES'!$O$4:$O$1203,$O983,'ORDENES'!$S$4:$S$1203,$S983))</f>
        <v/>
      </c>
      <c r="AK983" s="42">
        <f>IF($AJ983="","",p_factor_productividad*IFERROR(INDEX('ASIGNACIONES'!$M$4:$M$451,MATCH($O983&amp;"|"&amp;$S983&amp;"|"&amp;$AH983,'ASIGNACIONES'!$N$4:$N$451,0)),0)-$AJ983)</f>
        <v/>
      </c>
      <c r="AL983" s="32">
        <f>IF($A983="","",IFERROR(INDEX('2_IMPORTAR_EJECUCION'!$F$9:$F$1208,MATCH($AU983,'2_IMPORTAR_EJECUCION'!$J$9:$J$1208,0)),0))</f>
        <v/>
      </c>
      <c r="AM983" s="32">
        <f>IF($A983="","",MAX(0,IFERROR(INDEX('2_IMPORTAR_EJECUCION'!$H$9:$H$1208,MATCH($AU983,'2_IMPORTAR_EJECUCION'!$J$9:$J$1208,0)),0)-$AL983))</f>
        <v/>
      </c>
      <c r="AN983" s="32">
        <f>IF($A983="","",$AL983+$AM983)</f>
        <v/>
      </c>
      <c r="AO983" s="24">
        <f>IF($A983="","",IF(OR((IFERROR(INDEX('CAT_ACTIVIDADES'!$D$4:$D$26,MATCH($H983,'CAT_ACTIVIDADES'!$A$4:$A$26,0)),""))=0,(IFERROR(INDEX('CAT_ACTIVIDADES'!$D$4:$D$26,MATCH($H983,'CAT_ACTIVIDADES'!$A$4:$A$26,0)),""))=""),"SIN CLASIFICAR",IFERROR(INDEX('CAT_ACTIVIDADES'!$D$4:$D$26,MATCH($H983,'CAT_ACTIVIDADES'!$A$4:$A$26,0)),"")))</f>
        <v/>
      </c>
      <c r="AP983" s="4" t="n"/>
      <c r="AQ983" s="4" t="n"/>
      <c r="AR983" s="4" t="n"/>
      <c r="AS983" s="24">
        <f>IF($AR983="","",HYPERLINK(p_ruta_base_checklists&amp;$AR983,"abrir"))</f>
        <v/>
      </c>
      <c r="AT983" s="4" t="n"/>
      <c r="AU983" s="24">
        <f>IF($A983="","",$A983&amp;IF($B983="","0010",$B983))</f>
        <v/>
      </c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41" t="n"/>
      <c r="K984" s="5" t="n"/>
      <c r="L984" s="18" t="n"/>
      <c r="M984" s="24">
        <f>IF($A984="","",IFERROR(INDEX('AJUSTES'!$B$4:$B$303,MATCH($AU984,'AJUSTES'!$A$4:$A$303,0)),IF($K984="","",$K984)))</f>
        <v/>
      </c>
      <c r="N984" s="24">
        <f>IF($A984="","",IFERROR(INDEX('CAT_ESTADOS_ERP'!$B$4:$B$22,MATCH(IFERROR(INDEX('2_IMPORTAR_EJECUCION'!$C$9:$C$1208,MATCH($AU984,'2_IMPORTAR_EJECUCION'!$J$9:$J$1208,0)),""),'CAT_ESTADOS_ERP'!$A$4:$A$22,0)),"Pendiente"))</f>
        <v/>
      </c>
      <c r="O984" s="24">
        <f>IF($J984="","",YEAR($J984+4-WEEKDAY($J984,2))&amp;"-S"&amp;TEXT(_xlfn.ISOWEEKNUM($J984),"00"))</f>
        <v/>
      </c>
      <c r="P984" s="24">
        <f>IF($J984="","",YEAR($J984))</f>
        <v/>
      </c>
      <c r="Q984" s="24">
        <f>IF($J984="","",MONTH($J984))</f>
        <v/>
      </c>
      <c r="R984" s="24">
        <f>IF($J984="","",$P984&amp;"-"&amp;TEXT($Q984,"00"))</f>
        <v/>
      </c>
      <c r="S984" s="24">
        <f>IF($J984="","",INDEX(lista_dias,WEEKDAY($J984,2)))</f>
        <v/>
      </c>
      <c r="T984" s="24">
        <f>IF($J984="","",IFERROR(INDEX('CALENDARIO'!$C$15:$C$214,MATCH(TEXT($J984,"yyyy-mm-dd")&amp;"|"&amp;$Y984&amp;"|"&amp;$Z984,'CALENDARIO'!$G$15:$G$214,0)),IFERROR(INDEX('CALENDARIO'!$C$15:$C$214,MATCH(TEXT($J984,"yyyy-mm-dd")&amp;"|"&amp;$Y984&amp;"|",'CALENDARIO'!$G$15:$G$214,0)),IFERROR(INDEX('CALENDARIO'!$C$15:$C$214,MATCH(TEXT($J984,"yyyy-mm-dd")&amp;"||",'CALENDARIO'!$G$15:$G$214,0)),INDEX(patronHabil,WEEKDAY($J984,2))))))</f>
        <v/>
      </c>
      <c r="U984" s="24">
        <f>IF($I984="","",IFERROR(INDEX('CAT_TIPOS_OT'!$C$4:$C$23,MATCH($I984,'CAT_TIPOS_OT'!$A$4:$A$23,0)),"sin_clasificar"))</f>
        <v/>
      </c>
      <c r="V984" s="24">
        <f>IF($I984="","",IF(IFERROR(INDEX('CAT_TIPOS_OT'!$D$4:$D$23,MATCH($I984,'CAT_TIPOS_OT'!$A$4:$A$23,0)),"SIN CLASIFICAR")="","SIN CLASIFICAR",IFERROR(INDEX('CAT_TIPOS_OT'!$D$4:$D$23,MATCH($I984,'CAT_TIPOS_OT'!$A$4:$A$23,0)),"SIN CLASIFICAR")))</f>
        <v/>
      </c>
      <c r="W984" s="24">
        <f>IF($H984="","",IF(IFERROR(INDEX('CAT_ACTIVIDADES'!$F$4:$F$26,MATCH($H984,'CAT_ACTIVIDADES'!$A$4:$A$26,0)),"")=0,"",IFERROR(INDEX('CAT_ACTIVIDADES'!$F$4:$F$26,MATCH($H984,'CAT_ACTIVIDADES'!$A$4:$A$26,0)),"")))</f>
        <v/>
      </c>
      <c r="X984" s="24">
        <f>IF($F984="","",IFERROR(INDEX('CAT_CENTROS_COSTO'!$F$4:$F$28,MATCH($F984,'CAT_CENTROS_COSTO'!$A$4:$A$28,0)),"(sin catálogo)"))</f>
        <v/>
      </c>
      <c r="Y984" s="24">
        <f>IF($F984="","",IFERROR(INDEX('CAT_CENTROS_COSTO'!$D$4:$D$28,MATCH($F984,'CAT_CENTROS_COSTO'!$A$4:$A$28,0)),"(sin catálogo)"))</f>
        <v/>
      </c>
      <c r="Z984" s="24">
        <f>IF($F984="","",IF((IFERROR(INDEX('CAT_CENTROS_COSTO'!$E$4:$E$28,MATCH($F984,'CAT_CENTROS_COSTO'!$A$4:$A$28,0)),""))&lt;&gt;"",IFERROR(INDEX('CAT_CENTROS_COSTO'!$E$4:$E$28,MATCH($F984,'CAT_CENTROS_COSTO'!$A$4:$A$28,0)),""),$Y984))</f>
        <v/>
      </c>
      <c r="AA984" s="24">
        <f>IF($F984="","",IFERROR(INDEX('CAT_CENTROS_COSTO'!$G$4:$G$28,MATCH($F984,'CAT_CENTROS_COSTO'!$A$4:$A$28,0)),"(sin catálogo)"))</f>
        <v/>
      </c>
      <c r="AB984" s="24">
        <f>IF($G984="","",IFERROR(INDEX('CAT_PUESTOS'!$B$4:$B$23,MATCH($G984,'CAT_PUESTOS'!$A$4:$A$23,0)),"(sin catálogo)"))</f>
        <v/>
      </c>
      <c r="AC984" s="24">
        <f>IF($H984="","",IFERROR(INDEX('CAT_ACTIVIDADES'!$B$4:$B$26,MATCH($H984,'CAT_ACTIVIDADES'!$A$4:$A$26,0)),"(sin catálogo)"))</f>
        <v/>
      </c>
      <c r="AD984" s="26">
        <f>IF($J984="","",TODAY()-$J984)</f>
        <v/>
      </c>
      <c r="AE984" s="26">
        <f>IF($J984="","",IF($J984&lt;=TODAY(),COUNTIFS(cal_fechas,"&gt;="&amp;$J984,cal_fechas,"&lt;"&amp;TODAY(),cal_habil,"sí"),-COUNTIFS(cal_fechas,"&gt;="&amp;TODAY(),cal_fechas,"&lt;"&amp;$J984,cal_habil,"sí")))</f>
        <v/>
      </c>
      <c r="AF984" s="24">
        <f>IF($AE984="","",IF($AE984&lt;0,"FUTURO",IF($AE984&gt;p_dias_backlog_max,"BACKLOG","MES CORRIENTE")))</f>
        <v/>
      </c>
      <c r="AG984" s="24">
        <f>IF($AE984="",FALSE,AND($AE984&gt;p_dias_backlog_min,$AE984&lt;=p_dias_backlog_max))</f>
        <v/>
      </c>
      <c r="AH984" s="4" t="n"/>
      <c r="AI984" s="24">
        <f>IF($AH984="","",IF((IFERROR(INDEX('ASIGNACIONES'!$J$4:$J$451,MATCH($O984&amp;"|"&amp;$S984&amp;"|"&amp;$AH984,'ASIGNACIONES'!$N$4:$N$451,0)),""))=0,"",IFERROR(INDEX('ASIGNACIONES'!$J$4:$J$451,MATCH($O984&amp;"|"&amp;$S984&amp;"|"&amp;$AH984,'ASIGNACIONES'!$N$4:$N$451,0)),"")))</f>
        <v/>
      </c>
      <c r="AJ984" s="42">
        <f>IF($AH984="","",SUMIFS('ORDENES'!$M$4:$M$1203,'ORDENES'!$AH$4:$AH$1203,$AH984,'ORDENES'!$O$4:$O$1203,$O984,'ORDENES'!$S$4:$S$1203,$S984))</f>
        <v/>
      </c>
      <c r="AK984" s="42">
        <f>IF($AJ984="","",p_factor_productividad*IFERROR(INDEX('ASIGNACIONES'!$M$4:$M$451,MATCH($O984&amp;"|"&amp;$S984&amp;"|"&amp;$AH984,'ASIGNACIONES'!$N$4:$N$451,0)),0)-$AJ984)</f>
        <v/>
      </c>
      <c r="AL984" s="32">
        <f>IF($A984="","",IFERROR(INDEX('2_IMPORTAR_EJECUCION'!$F$9:$F$1208,MATCH($AU984,'2_IMPORTAR_EJECUCION'!$J$9:$J$1208,0)),0))</f>
        <v/>
      </c>
      <c r="AM984" s="32">
        <f>IF($A984="","",MAX(0,IFERROR(INDEX('2_IMPORTAR_EJECUCION'!$H$9:$H$1208,MATCH($AU984,'2_IMPORTAR_EJECUCION'!$J$9:$J$1208,0)),0)-$AL984))</f>
        <v/>
      </c>
      <c r="AN984" s="32">
        <f>IF($A984="","",$AL984+$AM984)</f>
        <v/>
      </c>
      <c r="AO984" s="24">
        <f>IF($A984="","",IF(OR((IFERROR(INDEX('CAT_ACTIVIDADES'!$D$4:$D$26,MATCH($H984,'CAT_ACTIVIDADES'!$A$4:$A$26,0)),""))=0,(IFERROR(INDEX('CAT_ACTIVIDADES'!$D$4:$D$26,MATCH($H984,'CAT_ACTIVIDADES'!$A$4:$A$26,0)),""))=""),"SIN CLASIFICAR",IFERROR(INDEX('CAT_ACTIVIDADES'!$D$4:$D$26,MATCH($H984,'CAT_ACTIVIDADES'!$A$4:$A$26,0)),"")))</f>
        <v/>
      </c>
      <c r="AP984" s="4" t="n"/>
      <c r="AQ984" s="4" t="n"/>
      <c r="AR984" s="4" t="n"/>
      <c r="AS984" s="24">
        <f>IF($AR984="","",HYPERLINK(p_ruta_base_checklists&amp;$AR984,"abrir"))</f>
        <v/>
      </c>
      <c r="AT984" s="4" t="n"/>
      <c r="AU984" s="24">
        <f>IF($A984="","",$A984&amp;IF($B984="","0010",$B984))</f>
        <v/>
      </c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41" t="n"/>
      <c r="K985" s="5" t="n"/>
      <c r="L985" s="18" t="n"/>
      <c r="M985" s="24">
        <f>IF($A985="","",IFERROR(INDEX('AJUSTES'!$B$4:$B$303,MATCH($AU985,'AJUSTES'!$A$4:$A$303,0)),IF($K985="","",$K985)))</f>
        <v/>
      </c>
      <c r="N985" s="24">
        <f>IF($A985="","",IFERROR(INDEX('CAT_ESTADOS_ERP'!$B$4:$B$22,MATCH(IFERROR(INDEX('2_IMPORTAR_EJECUCION'!$C$9:$C$1208,MATCH($AU985,'2_IMPORTAR_EJECUCION'!$J$9:$J$1208,0)),""),'CAT_ESTADOS_ERP'!$A$4:$A$22,0)),"Pendiente"))</f>
        <v/>
      </c>
      <c r="O985" s="24">
        <f>IF($J985="","",YEAR($J985+4-WEEKDAY($J985,2))&amp;"-S"&amp;TEXT(_xlfn.ISOWEEKNUM($J985),"00"))</f>
        <v/>
      </c>
      <c r="P985" s="24">
        <f>IF($J985="","",YEAR($J985))</f>
        <v/>
      </c>
      <c r="Q985" s="24">
        <f>IF($J985="","",MONTH($J985))</f>
        <v/>
      </c>
      <c r="R985" s="24">
        <f>IF($J985="","",$P985&amp;"-"&amp;TEXT($Q985,"00"))</f>
        <v/>
      </c>
      <c r="S985" s="24">
        <f>IF($J985="","",INDEX(lista_dias,WEEKDAY($J985,2)))</f>
        <v/>
      </c>
      <c r="T985" s="24">
        <f>IF($J985="","",IFERROR(INDEX('CALENDARIO'!$C$15:$C$214,MATCH(TEXT($J985,"yyyy-mm-dd")&amp;"|"&amp;$Y985&amp;"|"&amp;$Z985,'CALENDARIO'!$G$15:$G$214,0)),IFERROR(INDEX('CALENDARIO'!$C$15:$C$214,MATCH(TEXT($J985,"yyyy-mm-dd")&amp;"|"&amp;$Y985&amp;"|",'CALENDARIO'!$G$15:$G$214,0)),IFERROR(INDEX('CALENDARIO'!$C$15:$C$214,MATCH(TEXT($J985,"yyyy-mm-dd")&amp;"||",'CALENDARIO'!$G$15:$G$214,0)),INDEX(patronHabil,WEEKDAY($J985,2))))))</f>
        <v/>
      </c>
      <c r="U985" s="24">
        <f>IF($I985="","",IFERROR(INDEX('CAT_TIPOS_OT'!$C$4:$C$23,MATCH($I985,'CAT_TIPOS_OT'!$A$4:$A$23,0)),"sin_clasificar"))</f>
        <v/>
      </c>
      <c r="V985" s="24">
        <f>IF($I985="","",IF(IFERROR(INDEX('CAT_TIPOS_OT'!$D$4:$D$23,MATCH($I985,'CAT_TIPOS_OT'!$A$4:$A$23,0)),"SIN CLASIFICAR")="","SIN CLASIFICAR",IFERROR(INDEX('CAT_TIPOS_OT'!$D$4:$D$23,MATCH($I985,'CAT_TIPOS_OT'!$A$4:$A$23,0)),"SIN CLASIFICAR")))</f>
        <v/>
      </c>
      <c r="W985" s="24">
        <f>IF($H985="","",IF(IFERROR(INDEX('CAT_ACTIVIDADES'!$F$4:$F$26,MATCH($H985,'CAT_ACTIVIDADES'!$A$4:$A$26,0)),"")=0,"",IFERROR(INDEX('CAT_ACTIVIDADES'!$F$4:$F$26,MATCH($H985,'CAT_ACTIVIDADES'!$A$4:$A$26,0)),"")))</f>
        <v/>
      </c>
      <c r="X985" s="24">
        <f>IF($F985="","",IFERROR(INDEX('CAT_CENTROS_COSTO'!$F$4:$F$28,MATCH($F985,'CAT_CENTROS_COSTO'!$A$4:$A$28,0)),"(sin catálogo)"))</f>
        <v/>
      </c>
      <c r="Y985" s="24">
        <f>IF($F985="","",IFERROR(INDEX('CAT_CENTROS_COSTO'!$D$4:$D$28,MATCH($F985,'CAT_CENTROS_COSTO'!$A$4:$A$28,0)),"(sin catálogo)"))</f>
        <v/>
      </c>
      <c r="Z985" s="24">
        <f>IF($F985="","",IF((IFERROR(INDEX('CAT_CENTROS_COSTO'!$E$4:$E$28,MATCH($F985,'CAT_CENTROS_COSTO'!$A$4:$A$28,0)),""))&lt;&gt;"",IFERROR(INDEX('CAT_CENTROS_COSTO'!$E$4:$E$28,MATCH($F985,'CAT_CENTROS_COSTO'!$A$4:$A$28,0)),""),$Y985))</f>
        <v/>
      </c>
      <c r="AA985" s="24">
        <f>IF($F985="","",IFERROR(INDEX('CAT_CENTROS_COSTO'!$G$4:$G$28,MATCH($F985,'CAT_CENTROS_COSTO'!$A$4:$A$28,0)),"(sin catálogo)"))</f>
        <v/>
      </c>
      <c r="AB985" s="24">
        <f>IF($G985="","",IFERROR(INDEX('CAT_PUESTOS'!$B$4:$B$23,MATCH($G985,'CAT_PUESTOS'!$A$4:$A$23,0)),"(sin catálogo)"))</f>
        <v/>
      </c>
      <c r="AC985" s="24">
        <f>IF($H985="","",IFERROR(INDEX('CAT_ACTIVIDADES'!$B$4:$B$26,MATCH($H985,'CAT_ACTIVIDADES'!$A$4:$A$26,0)),"(sin catálogo)"))</f>
        <v/>
      </c>
      <c r="AD985" s="26">
        <f>IF($J985="","",TODAY()-$J985)</f>
        <v/>
      </c>
      <c r="AE985" s="26">
        <f>IF($J985="","",IF($J985&lt;=TODAY(),COUNTIFS(cal_fechas,"&gt;="&amp;$J985,cal_fechas,"&lt;"&amp;TODAY(),cal_habil,"sí"),-COUNTIFS(cal_fechas,"&gt;="&amp;TODAY(),cal_fechas,"&lt;"&amp;$J985,cal_habil,"sí")))</f>
        <v/>
      </c>
      <c r="AF985" s="24">
        <f>IF($AE985="","",IF($AE985&lt;0,"FUTURO",IF($AE985&gt;p_dias_backlog_max,"BACKLOG","MES CORRIENTE")))</f>
        <v/>
      </c>
      <c r="AG985" s="24">
        <f>IF($AE985="",FALSE,AND($AE985&gt;p_dias_backlog_min,$AE985&lt;=p_dias_backlog_max))</f>
        <v/>
      </c>
      <c r="AH985" s="4" t="n"/>
      <c r="AI985" s="24">
        <f>IF($AH985="","",IF((IFERROR(INDEX('ASIGNACIONES'!$J$4:$J$451,MATCH($O985&amp;"|"&amp;$S985&amp;"|"&amp;$AH985,'ASIGNACIONES'!$N$4:$N$451,0)),""))=0,"",IFERROR(INDEX('ASIGNACIONES'!$J$4:$J$451,MATCH($O985&amp;"|"&amp;$S985&amp;"|"&amp;$AH985,'ASIGNACIONES'!$N$4:$N$451,0)),"")))</f>
        <v/>
      </c>
      <c r="AJ985" s="42">
        <f>IF($AH985="","",SUMIFS('ORDENES'!$M$4:$M$1203,'ORDENES'!$AH$4:$AH$1203,$AH985,'ORDENES'!$O$4:$O$1203,$O985,'ORDENES'!$S$4:$S$1203,$S985))</f>
        <v/>
      </c>
      <c r="AK985" s="42">
        <f>IF($AJ985="","",p_factor_productividad*IFERROR(INDEX('ASIGNACIONES'!$M$4:$M$451,MATCH($O985&amp;"|"&amp;$S985&amp;"|"&amp;$AH985,'ASIGNACIONES'!$N$4:$N$451,0)),0)-$AJ985)</f>
        <v/>
      </c>
      <c r="AL985" s="32">
        <f>IF($A985="","",IFERROR(INDEX('2_IMPORTAR_EJECUCION'!$F$9:$F$1208,MATCH($AU985,'2_IMPORTAR_EJECUCION'!$J$9:$J$1208,0)),0))</f>
        <v/>
      </c>
      <c r="AM985" s="32">
        <f>IF($A985="","",MAX(0,IFERROR(INDEX('2_IMPORTAR_EJECUCION'!$H$9:$H$1208,MATCH($AU985,'2_IMPORTAR_EJECUCION'!$J$9:$J$1208,0)),0)-$AL985))</f>
        <v/>
      </c>
      <c r="AN985" s="32">
        <f>IF($A985="","",$AL985+$AM985)</f>
        <v/>
      </c>
      <c r="AO985" s="24">
        <f>IF($A985="","",IF(OR((IFERROR(INDEX('CAT_ACTIVIDADES'!$D$4:$D$26,MATCH($H985,'CAT_ACTIVIDADES'!$A$4:$A$26,0)),""))=0,(IFERROR(INDEX('CAT_ACTIVIDADES'!$D$4:$D$26,MATCH($H985,'CAT_ACTIVIDADES'!$A$4:$A$26,0)),""))=""),"SIN CLASIFICAR",IFERROR(INDEX('CAT_ACTIVIDADES'!$D$4:$D$26,MATCH($H985,'CAT_ACTIVIDADES'!$A$4:$A$26,0)),"")))</f>
        <v/>
      </c>
      <c r="AP985" s="4" t="n"/>
      <c r="AQ985" s="4" t="n"/>
      <c r="AR985" s="4" t="n"/>
      <c r="AS985" s="24">
        <f>IF($AR985="","",HYPERLINK(p_ruta_base_checklists&amp;$AR985,"abrir"))</f>
        <v/>
      </c>
      <c r="AT985" s="4" t="n"/>
      <c r="AU985" s="24">
        <f>IF($A985="","",$A985&amp;IF($B985="","0010",$B985))</f>
        <v/>
      </c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41" t="n"/>
      <c r="K986" s="5" t="n"/>
      <c r="L986" s="18" t="n"/>
      <c r="M986" s="24">
        <f>IF($A986="","",IFERROR(INDEX('AJUSTES'!$B$4:$B$303,MATCH($AU986,'AJUSTES'!$A$4:$A$303,0)),IF($K986="","",$K986)))</f>
        <v/>
      </c>
      <c r="N986" s="24">
        <f>IF($A986="","",IFERROR(INDEX('CAT_ESTADOS_ERP'!$B$4:$B$22,MATCH(IFERROR(INDEX('2_IMPORTAR_EJECUCION'!$C$9:$C$1208,MATCH($AU986,'2_IMPORTAR_EJECUCION'!$J$9:$J$1208,0)),""),'CAT_ESTADOS_ERP'!$A$4:$A$22,0)),"Pendiente"))</f>
        <v/>
      </c>
      <c r="O986" s="24">
        <f>IF($J986="","",YEAR($J986+4-WEEKDAY($J986,2))&amp;"-S"&amp;TEXT(_xlfn.ISOWEEKNUM($J986),"00"))</f>
        <v/>
      </c>
      <c r="P986" s="24">
        <f>IF($J986="","",YEAR($J986))</f>
        <v/>
      </c>
      <c r="Q986" s="24">
        <f>IF($J986="","",MONTH($J986))</f>
        <v/>
      </c>
      <c r="R986" s="24">
        <f>IF($J986="","",$P986&amp;"-"&amp;TEXT($Q986,"00"))</f>
        <v/>
      </c>
      <c r="S986" s="24">
        <f>IF($J986="","",INDEX(lista_dias,WEEKDAY($J986,2)))</f>
        <v/>
      </c>
      <c r="T986" s="24">
        <f>IF($J986="","",IFERROR(INDEX('CALENDARIO'!$C$15:$C$214,MATCH(TEXT($J986,"yyyy-mm-dd")&amp;"|"&amp;$Y986&amp;"|"&amp;$Z986,'CALENDARIO'!$G$15:$G$214,0)),IFERROR(INDEX('CALENDARIO'!$C$15:$C$214,MATCH(TEXT($J986,"yyyy-mm-dd")&amp;"|"&amp;$Y986&amp;"|",'CALENDARIO'!$G$15:$G$214,0)),IFERROR(INDEX('CALENDARIO'!$C$15:$C$214,MATCH(TEXT($J986,"yyyy-mm-dd")&amp;"||",'CALENDARIO'!$G$15:$G$214,0)),INDEX(patronHabil,WEEKDAY($J986,2))))))</f>
        <v/>
      </c>
      <c r="U986" s="24">
        <f>IF($I986="","",IFERROR(INDEX('CAT_TIPOS_OT'!$C$4:$C$23,MATCH($I986,'CAT_TIPOS_OT'!$A$4:$A$23,0)),"sin_clasificar"))</f>
        <v/>
      </c>
      <c r="V986" s="24">
        <f>IF($I986="","",IF(IFERROR(INDEX('CAT_TIPOS_OT'!$D$4:$D$23,MATCH($I986,'CAT_TIPOS_OT'!$A$4:$A$23,0)),"SIN CLASIFICAR")="","SIN CLASIFICAR",IFERROR(INDEX('CAT_TIPOS_OT'!$D$4:$D$23,MATCH($I986,'CAT_TIPOS_OT'!$A$4:$A$23,0)),"SIN CLASIFICAR")))</f>
        <v/>
      </c>
      <c r="W986" s="24">
        <f>IF($H986="","",IF(IFERROR(INDEX('CAT_ACTIVIDADES'!$F$4:$F$26,MATCH($H986,'CAT_ACTIVIDADES'!$A$4:$A$26,0)),"")=0,"",IFERROR(INDEX('CAT_ACTIVIDADES'!$F$4:$F$26,MATCH($H986,'CAT_ACTIVIDADES'!$A$4:$A$26,0)),"")))</f>
        <v/>
      </c>
      <c r="X986" s="24">
        <f>IF($F986="","",IFERROR(INDEX('CAT_CENTROS_COSTO'!$F$4:$F$28,MATCH($F986,'CAT_CENTROS_COSTO'!$A$4:$A$28,0)),"(sin catálogo)"))</f>
        <v/>
      </c>
      <c r="Y986" s="24">
        <f>IF($F986="","",IFERROR(INDEX('CAT_CENTROS_COSTO'!$D$4:$D$28,MATCH($F986,'CAT_CENTROS_COSTO'!$A$4:$A$28,0)),"(sin catálogo)"))</f>
        <v/>
      </c>
      <c r="Z986" s="24">
        <f>IF($F986="","",IF((IFERROR(INDEX('CAT_CENTROS_COSTO'!$E$4:$E$28,MATCH($F986,'CAT_CENTROS_COSTO'!$A$4:$A$28,0)),""))&lt;&gt;"",IFERROR(INDEX('CAT_CENTROS_COSTO'!$E$4:$E$28,MATCH($F986,'CAT_CENTROS_COSTO'!$A$4:$A$28,0)),""),$Y986))</f>
        <v/>
      </c>
      <c r="AA986" s="24">
        <f>IF($F986="","",IFERROR(INDEX('CAT_CENTROS_COSTO'!$G$4:$G$28,MATCH($F986,'CAT_CENTROS_COSTO'!$A$4:$A$28,0)),"(sin catálogo)"))</f>
        <v/>
      </c>
      <c r="AB986" s="24">
        <f>IF($G986="","",IFERROR(INDEX('CAT_PUESTOS'!$B$4:$B$23,MATCH($G986,'CAT_PUESTOS'!$A$4:$A$23,0)),"(sin catálogo)"))</f>
        <v/>
      </c>
      <c r="AC986" s="24">
        <f>IF($H986="","",IFERROR(INDEX('CAT_ACTIVIDADES'!$B$4:$B$26,MATCH($H986,'CAT_ACTIVIDADES'!$A$4:$A$26,0)),"(sin catálogo)"))</f>
        <v/>
      </c>
      <c r="AD986" s="26">
        <f>IF($J986="","",TODAY()-$J986)</f>
        <v/>
      </c>
      <c r="AE986" s="26">
        <f>IF($J986="","",IF($J986&lt;=TODAY(),COUNTIFS(cal_fechas,"&gt;="&amp;$J986,cal_fechas,"&lt;"&amp;TODAY(),cal_habil,"sí"),-COUNTIFS(cal_fechas,"&gt;="&amp;TODAY(),cal_fechas,"&lt;"&amp;$J986,cal_habil,"sí")))</f>
        <v/>
      </c>
      <c r="AF986" s="24">
        <f>IF($AE986="","",IF($AE986&lt;0,"FUTURO",IF($AE986&gt;p_dias_backlog_max,"BACKLOG","MES CORRIENTE")))</f>
        <v/>
      </c>
      <c r="AG986" s="24">
        <f>IF($AE986="",FALSE,AND($AE986&gt;p_dias_backlog_min,$AE986&lt;=p_dias_backlog_max))</f>
        <v/>
      </c>
      <c r="AH986" s="4" t="n"/>
      <c r="AI986" s="24">
        <f>IF($AH986="","",IF((IFERROR(INDEX('ASIGNACIONES'!$J$4:$J$451,MATCH($O986&amp;"|"&amp;$S986&amp;"|"&amp;$AH986,'ASIGNACIONES'!$N$4:$N$451,0)),""))=0,"",IFERROR(INDEX('ASIGNACIONES'!$J$4:$J$451,MATCH($O986&amp;"|"&amp;$S986&amp;"|"&amp;$AH986,'ASIGNACIONES'!$N$4:$N$451,0)),"")))</f>
        <v/>
      </c>
      <c r="AJ986" s="42">
        <f>IF($AH986="","",SUMIFS('ORDENES'!$M$4:$M$1203,'ORDENES'!$AH$4:$AH$1203,$AH986,'ORDENES'!$O$4:$O$1203,$O986,'ORDENES'!$S$4:$S$1203,$S986))</f>
        <v/>
      </c>
      <c r="AK986" s="42">
        <f>IF($AJ986="","",p_factor_productividad*IFERROR(INDEX('ASIGNACIONES'!$M$4:$M$451,MATCH($O986&amp;"|"&amp;$S986&amp;"|"&amp;$AH986,'ASIGNACIONES'!$N$4:$N$451,0)),0)-$AJ986)</f>
        <v/>
      </c>
      <c r="AL986" s="32">
        <f>IF($A986="","",IFERROR(INDEX('2_IMPORTAR_EJECUCION'!$F$9:$F$1208,MATCH($AU986,'2_IMPORTAR_EJECUCION'!$J$9:$J$1208,0)),0))</f>
        <v/>
      </c>
      <c r="AM986" s="32">
        <f>IF($A986="","",MAX(0,IFERROR(INDEX('2_IMPORTAR_EJECUCION'!$H$9:$H$1208,MATCH($AU986,'2_IMPORTAR_EJECUCION'!$J$9:$J$1208,0)),0)-$AL986))</f>
        <v/>
      </c>
      <c r="AN986" s="32">
        <f>IF($A986="","",$AL986+$AM986)</f>
        <v/>
      </c>
      <c r="AO986" s="24">
        <f>IF($A986="","",IF(OR((IFERROR(INDEX('CAT_ACTIVIDADES'!$D$4:$D$26,MATCH($H986,'CAT_ACTIVIDADES'!$A$4:$A$26,0)),""))=0,(IFERROR(INDEX('CAT_ACTIVIDADES'!$D$4:$D$26,MATCH($H986,'CAT_ACTIVIDADES'!$A$4:$A$26,0)),""))=""),"SIN CLASIFICAR",IFERROR(INDEX('CAT_ACTIVIDADES'!$D$4:$D$26,MATCH($H986,'CAT_ACTIVIDADES'!$A$4:$A$26,0)),"")))</f>
        <v/>
      </c>
      <c r="AP986" s="4" t="n"/>
      <c r="AQ986" s="4" t="n"/>
      <c r="AR986" s="4" t="n"/>
      <c r="AS986" s="24">
        <f>IF($AR986="","",HYPERLINK(p_ruta_base_checklists&amp;$AR986,"abrir"))</f>
        <v/>
      </c>
      <c r="AT986" s="4" t="n"/>
      <c r="AU986" s="24">
        <f>IF($A986="","",$A986&amp;IF($B986="","0010",$B986))</f>
        <v/>
      </c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41" t="n"/>
      <c r="K987" s="5" t="n"/>
      <c r="L987" s="18" t="n"/>
      <c r="M987" s="24">
        <f>IF($A987="","",IFERROR(INDEX('AJUSTES'!$B$4:$B$303,MATCH($AU987,'AJUSTES'!$A$4:$A$303,0)),IF($K987="","",$K987)))</f>
        <v/>
      </c>
      <c r="N987" s="24">
        <f>IF($A987="","",IFERROR(INDEX('CAT_ESTADOS_ERP'!$B$4:$B$22,MATCH(IFERROR(INDEX('2_IMPORTAR_EJECUCION'!$C$9:$C$1208,MATCH($AU987,'2_IMPORTAR_EJECUCION'!$J$9:$J$1208,0)),""),'CAT_ESTADOS_ERP'!$A$4:$A$22,0)),"Pendiente"))</f>
        <v/>
      </c>
      <c r="O987" s="24">
        <f>IF($J987="","",YEAR($J987+4-WEEKDAY($J987,2))&amp;"-S"&amp;TEXT(_xlfn.ISOWEEKNUM($J987),"00"))</f>
        <v/>
      </c>
      <c r="P987" s="24">
        <f>IF($J987="","",YEAR($J987))</f>
        <v/>
      </c>
      <c r="Q987" s="24">
        <f>IF($J987="","",MONTH($J987))</f>
        <v/>
      </c>
      <c r="R987" s="24">
        <f>IF($J987="","",$P987&amp;"-"&amp;TEXT($Q987,"00"))</f>
        <v/>
      </c>
      <c r="S987" s="24">
        <f>IF($J987="","",INDEX(lista_dias,WEEKDAY($J987,2)))</f>
        <v/>
      </c>
      <c r="T987" s="24">
        <f>IF($J987="","",IFERROR(INDEX('CALENDARIO'!$C$15:$C$214,MATCH(TEXT($J987,"yyyy-mm-dd")&amp;"|"&amp;$Y987&amp;"|"&amp;$Z987,'CALENDARIO'!$G$15:$G$214,0)),IFERROR(INDEX('CALENDARIO'!$C$15:$C$214,MATCH(TEXT($J987,"yyyy-mm-dd")&amp;"|"&amp;$Y987&amp;"|",'CALENDARIO'!$G$15:$G$214,0)),IFERROR(INDEX('CALENDARIO'!$C$15:$C$214,MATCH(TEXT($J987,"yyyy-mm-dd")&amp;"||",'CALENDARIO'!$G$15:$G$214,0)),INDEX(patronHabil,WEEKDAY($J987,2))))))</f>
        <v/>
      </c>
      <c r="U987" s="24">
        <f>IF($I987="","",IFERROR(INDEX('CAT_TIPOS_OT'!$C$4:$C$23,MATCH($I987,'CAT_TIPOS_OT'!$A$4:$A$23,0)),"sin_clasificar"))</f>
        <v/>
      </c>
      <c r="V987" s="24">
        <f>IF($I987="","",IF(IFERROR(INDEX('CAT_TIPOS_OT'!$D$4:$D$23,MATCH($I987,'CAT_TIPOS_OT'!$A$4:$A$23,0)),"SIN CLASIFICAR")="","SIN CLASIFICAR",IFERROR(INDEX('CAT_TIPOS_OT'!$D$4:$D$23,MATCH($I987,'CAT_TIPOS_OT'!$A$4:$A$23,0)),"SIN CLASIFICAR")))</f>
        <v/>
      </c>
      <c r="W987" s="24">
        <f>IF($H987="","",IF(IFERROR(INDEX('CAT_ACTIVIDADES'!$F$4:$F$26,MATCH($H987,'CAT_ACTIVIDADES'!$A$4:$A$26,0)),"")=0,"",IFERROR(INDEX('CAT_ACTIVIDADES'!$F$4:$F$26,MATCH($H987,'CAT_ACTIVIDADES'!$A$4:$A$26,0)),"")))</f>
        <v/>
      </c>
      <c r="X987" s="24">
        <f>IF($F987="","",IFERROR(INDEX('CAT_CENTROS_COSTO'!$F$4:$F$28,MATCH($F987,'CAT_CENTROS_COSTO'!$A$4:$A$28,0)),"(sin catálogo)"))</f>
        <v/>
      </c>
      <c r="Y987" s="24">
        <f>IF($F987="","",IFERROR(INDEX('CAT_CENTROS_COSTO'!$D$4:$D$28,MATCH($F987,'CAT_CENTROS_COSTO'!$A$4:$A$28,0)),"(sin catálogo)"))</f>
        <v/>
      </c>
      <c r="Z987" s="24">
        <f>IF($F987="","",IF((IFERROR(INDEX('CAT_CENTROS_COSTO'!$E$4:$E$28,MATCH($F987,'CAT_CENTROS_COSTO'!$A$4:$A$28,0)),""))&lt;&gt;"",IFERROR(INDEX('CAT_CENTROS_COSTO'!$E$4:$E$28,MATCH($F987,'CAT_CENTROS_COSTO'!$A$4:$A$28,0)),""),$Y987))</f>
        <v/>
      </c>
      <c r="AA987" s="24">
        <f>IF($F987="","",IFERROR(INDEX('CAT_CENTROS_COSTO'!$G$4:$G$28,MATCH($F987,'CAT_CENTROS_COSTO'!$A$4:$A$28,0)),"(sin catálogo)"))</f>
        <v/>
      </c>
      <c r="AB987" s="24">
        <f>IF($G987="","",IFERROR(INDEX('CAT_PUESTOS'!$B$4:$B$23,MATCH($G987,'CAT_PUESTOS'!$A$4:$A$23,0)),"(sin catálogo)"))</f>
        <v/>
      </c>
      <c r="AC987" s="24">
        <f>IF($H987="","",IFERROR(INDEX('CAT_ACTIVIDADES'!$B$4:$B$26,MATCH($H987,'CAT_ACTIVIDADES'!$A$4:$A$26,0)),"(sin catálogo)"))</f>
        <v/>
      </c>
      <c r="AD987" s="26">
        <f>IF($J987="","",TODAY()-$J987)</f>
        <v/>
      </c>
      <c r="AE987" s="26">
        <f>IF($J987="","",IF($J987&lt;=TODAY(),COUNTIFS(cal_fechas,"&gt;="&amp;$J987,cal_fechas,"&lt;"&amp;TODAY(),cal_habil,"sí"),-COUNTIFS(cal_fechas,"&gt;="&amp;TODAY(),cal_fechas,"&lt;"&amp;$J987,cal_habil,"sí")))</f>
        <v/>
      </c>
      <c r="AF987" s="24">
        <f>IF($AE987="","",IF($AE987&lt;0,"FUTURO",IF($AE987&gt;p_dias_backlog_max,"BACKLOG","MES CORRIENTE")))</f>
        <v/>
      </c>
      <c r="AG987" s="24">
        <f>IF($AE987="",FALSE,AND($AE987&gt;p_dias_backlog_min,$AE987&lt;=p_dias_backlog_max))</f>
        <v/>
      </c>
      <c r="AH987" s="4" t="n"/>
      <c r="AI987" s="24">
        <f>IF($AH987="","",IF((IFERROR(INDEX('ASIGNACIONES'!$J$4:$J$451,MATCH($O987&amp;"|"&amp;$S987&amp;"|"&amp;$AH987,'ASIGNACIONES'!$N$4:$N$451,0)),""))=0,"",IFERROR(INDEX('ASIGNACIONES'!$J$4:$J$451,MATCH($O987&amp;"|"&amp;$S987&amp;"|"&amp;$AH987,'ASIGNACIONES'!$N$4:$N$451,0)),"")))</f>
        <v/>
      </c>
      <c r="AJ987" s="42">
        <f>IF($AH987="","",SUMIFS('ORDENES'!$M$4:$M$1203,'ORDENES'!$AH$4:$AH$1203,$AH987,'ORDENES'!$O$4:$O$1203,$O987,'ORDENES'!$S$4:$S$1203,$S987))</f>
        <v/>
      </c>
      <c r="AK987" s="42">
        <f>IF($AJ987="","",p_factor_productividad*IFERROR(INDEX('ASIGNACIONES'!$M$4:$M$451,MATCH($O987&amp;"|"&amp;$S987&amp;"|"&amp;$AH987,'ASIGNACIONES'!$N$4:$N$451,0)),0)-$AJ987)</f>
        <v/>
      </c>
      <c r="AL987" s="32">
        <f>IF($A987="","",IFERROR(INDEX('2_IMPORTAR_EJECUCION'!$F$9:$F$1208,MATCH($AU987,'2_IMPORTAR_EJECUCION'!$J$9:$J$1208,0)),0))</f>
        <v/>
      </c>
      <c r="AM987" s="32">
        <f>IF($A987="","",MAX(0,IFERROR(INDEX('2_IMPORTAR_EJECUCION'!$H$9:$H$1208,MATCH($AU987,'2_IMPORTAR_EJECUCION'!$J$9:$J$1208,0)),0)-$AL987))</f>
        <v/>
      </c>
      <c r="AN987" s="32">
        <f>IF($A987="","",$AL987+$AM987)</f>
        <v/>
      </c>
      <c r="AO987" s="24">
        <f>IF($A987="","",IF(OR((IFERROR(INDEX('CAT_ACTIVIDADES'!$D$4:$D$26,MATCH($H987,'CAT_ACTIVIDADES'!$A$4:$A$26,0)),""))=0,(IFERROR(INDEX('CAT_ACTIVIDADES'!$D$4:$D$26,MATCH($H987,'CAT_ACTIVIDADES'!$A$4:$A$26,0)),""))=""),"SIN CLASIFICAR",IFERROR(INDEX('CAT_ACTIVIDADES'!$D$4:$D$26,MATCH($H987,'CAT_ACTIVIDADES'!$A$4:$A$26,0)),"")))</f>
        <v/>
      </c>
      <c r="AP987" s="4" t="n"/>
      <c r="AQ987" s="4" t="n"/>
      <c r="AR987" s="4" t="n"/>
      <c r="AS987" s="24">
        <f>IF($AR987="","",HYPERLINK(p_ruta_base_checklists&amp;$AR987,"abrir"))</f>
        <v/>
      </c>
      <c r="AT987" s="4" t="n"/>
      <c r="AU987" s="24">
        <f>IF($A987="","",$A987&amp;IF($B987="","0010",$B987))</f>
        <v/>
      </c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41" t="n"/>
      <c r="K988" s="5" t="n"/>
      <c r="L988" s="18" t="n"/>
      <c r="M988" s="24">
        <f>IF($A988="","",IFERROR(INDEX('AJUSTES'!$B$4:$B$303,MATCH($AU988,'AJUSTES'!$A$4:$A$303,0)),IF($K988="","",$K988)))</f>
        <v/>
      </c>
      <c r="N988" s="24">
        <f>IF($A988="","",IFERROR(INDEX('CAT_ESTADOS_ERP'!$B$4:$B$22,MATCH(IFERROR(INDEX('2_IMPORTAR_EJECUCION'!$C$9:$C$1208,MATCH($AU988,'2_IMPORTAR_EJECUCION'!$J$9:$J$1208,0)),""),'CAT_ESTADOS_ERP'!$A$4:$A$22,0)),"Pendiente"))</f>
        <v/>
      </c>
      <c r="O988" s="24">
        <f>IF($J988="","",YEAR($J988+4-WEEKDAY($J988,2))&amp;"-S"&amp;TEXT(_xlfn.ISOWEEKNUM($J988),"00"))</f>
        <v/>
      </c>
      <c r="P988" s="24">
        <f>IF($J988="","",YEAR($J988))</f>
        <v/>
      </c>
      <c r="Q988" s="24">
        <f>IF($J988="","",MONTH($J988))</f>
        <v/>
      </c>
      <c r="R988" s="24">
        <f>IF($J988="","",$P988&amp;"-"&amp;TEXT($Q988,"00"))</f>
        <v/>
      </c>
      <c r="S988" s="24">
        <f>IF($J988="","",INDEX(lista_dias,WEEKDAY($J988,2)))</f>
        <v/>
      </c>
      <c r="T988" s="24">
        <f>IF($J988="","",IFERROR(INDEX('CALENDARIO'!$C$15:$C$214,MATCH(TEXT($J988,"yyyy-mm-dd")&amp;"|"&amp;$Y988&amp;"|"&amp;$Z988,'CALENDARIO'!$G$15:$G$214,0)),IFERROR(INDEX('CALENDARIO'!$C$15:$C$214,MATCH(TEXT($J988,"yyyy-mm-dd")&amp;"|"&amp;$Y988&amp;"|",'CALENDARIO'!$G$15:$G$214,0)),IFERROR(INDEX('CALENDARIO'!$C$15:$C$214,MATCH(TEXT($J988,"yyyy-mm-dd")&amp;"||",'CALENDARIO'!$G$15:$G$214,0)),INDEX(patronHabil,WEEKDAY($J988,2))))))</f>
        <v/>
      </c>
      <c r="U988" s="24">
        <f>IF($I988="","",IFERROR(INDEX('CAT_TIPOS_OT'!$C$4:$C$23,MATCH($I988,'CAT_TIPOS_OT'!$A$4:$A$23,0)),"sin_clasificar"))</f>
        <v/>
      </c>
      <c r="V988" s="24">
        <f>IF($I988="","",IF(IFERROR(INDEX('CAT_TIPOS_OT'!$D$4:$D$23,MATCH($I988,'CAT_TIPOS_OT'!$A$4:$A$23,0)),"SIN CLASIFICAR")="","SIN CLASIFICAR",IFERROR(INDEX('CAT_TIPOS_OT'!$D$4:$D$23,MATCH($I988,'CAT_TIPOS_OT'!$A$4:$A$23,0)),"SIN CLASIFICAR")))</f>
        <v/>
      </c>
      <c r="W988" s="24">
        <f>IF($H988="","",IF(IFERROR(INDEX('CAT_ACTIVIDADES'!$F$4:$F$26,MATCH($H988,'CAT_ACTIVIDADES'!$A$4:$A$26,0)),"")=0,"",IFERROR(INDEX('CAT_ACTIVIDADES'!$F$4:$F$26,MATCH($H988,'CAT_ACTIVIDADES'!$A$4:$A$26,0)),"")))</f>
        <v/>
      </c>
      <c r="X988" s="24">
        <f>IF($F988="","",IFERROR(INDEX('CAT_CENTROS_COSTO'!$F$4:$F$28,MATCH($F988,'CAT_CENTROS_COSTO'!$A$4:$A$28,0)),"(sin catálogo)"))</f>
        <v/>
      </c>
      <c r="Y988" s="24">
        <f>IF($F988="","",IFERROR(INDEX('CAT_CENTROS_COSTO'!$D$4:$D$28,MATCH($F988,'CAT_CENTROS_COSTO'!$A$4:$A$28,0)),"(sin catálogo)"))</f>
        <v/>
      </c>
      <c r="Z988" s="24">
        <f>IF($F988="","",IF((IFERROR(INDEX('CAT_CENTROS_COSTO'!$E$4:$E$28,MATCH($F988,'CAT_CENTROS_COSTO'!$A$4:$A$28,0)),""))&lt;&gt;"",IFERROR(INDEX('CAT_CENTROS_COSTO'!$E$4:$E$28,MATCH($F988,'CAT_CENTROS_COSTO'!$A$4:$A$28,0)),""),$Y988))</f>
        <v/>
      </c>
      <c r="AA988" s="24">
        <f>IF($F988="","",IFERROR(INDEX('CAT_CENTROS_COSTO'!$G$4:$G$28,MATCH($F988,'CAT_CENTROS_COSTO'!$A$4:$A$28,0)),"(sin catálogo)"))</f>
        <v/>
      </c>
      <c r="AB988" s="24">
        <f>IF($G988="","",IFERROR(INDEX('CAT_PUESTOS'!$B$4:$B$23,MATCH($G988,'CAT_PUESTOS'!$A$4:$A$23,0)),"(sin catálogo)"))</f>
        <v/>
      </c>
      <c r="AC988" s="24">
        <f>IF($H988="","",IFERROR(INDEX('CAT_ACTIVIDADES'!$B$4:$B$26,MATCH($H988,'CAT_ACTIVIDADES'!$A$4:$A$26,0)),"(sin catálogo)"))</f>
        <v/>
      </c>
      <c r="AD988" s="26">
        <f>IF($J988="","",TODAY()-$J988)</f>
        <v/>
      </c>
      <c r="AE988" s="26">
        <f>IF($J988="","",IF($J988&lt;=TODAY(),COUNTIFS(cal_fechas,"&gt;="&amp;$J988,cal_fechas,"&lt;"&amp;TODAY(),cal_habil,"sí"),-COUNTIFS(cal_fechas,"&gt;="&amp;TODAY(),cal_fechas,"&lt;"&amp;$J988,cal_habil,"sí")))</f>
        <v/>
      </c>
      <c r="AF988" s="24">
        <f>IF($AE988="","",IF($AE988&lt;0,"FUTURO",IF($AE988&gt;p_dias_backlog_max,"BACKLOG","MES CORRIENTE")))</f>
        <v/>
      </c>
      <c r="AG988" s="24">
        <f>IF($AE988="",FALSE,AND($AE988&gt;p_dias_backlog_min,$AE988&lt;=p_dias_backlog_max))</f>
        <v/>
      </c>
      <c r="AH988" s="4" t="n"/>
      <c r="AI988" s="24">
        <f>IF($AH988="","",IF((IFERROR(INDEX('ASIGNACIONES'!$J$4:$J$451,MATCH($O988&amp;"|"&amp;$S988&amp;"|"&amp;$AH988,'ASIGNACIONES'!$N$4:$N$451,0)),""))=0,"",IFERROR(INDEX('ASIGNACIONES'!$J$4:$J$451,MATCH($O988&amp;"|"&amp;$S988&amp;"|"&amp;$AH988,'ASIGNACIONES'!$N$4:$N$451,0)),"")))</f>
        <v/>
      </c>
      <c r="AJ988" s="42">
        <f>IF($AH988="","",SUMIFS('ORDENES'!$M$4:$M$1203,'ORDENES'!$AH$4:$AH$1203,$AH988,'ORDENES'!$O$4:$O$1203,$O988,'ORDENES'!$S$4:$S$1203,$S988))</f>
        <v/>
      </c>
      <c r="AK988" s="42">
        <f>IF($AJ988="","",p_factor_productividad*IFERROR(INDEX('ASIGNACIONES'!$M$4:$M$451,MATCH($O988&amp;"|"&amp;$S988&amp;"|"&amp;$AH988,'ASIGNACIONES'!$N$4:$N$451,0)),0)-$AJ988)</f>
        <v/>
      </c>
      <c r="AL988" s="32">
        <f>IF($A988="","",IFERROR(INDEX('2_IMPORTAR_EJECUCION'!$F$9:$F$1208,MATCH($AU988,'2_IMPORTAR_EJECUCION'!$J$9:$J$1208,0)),0))</f>
        <v/>
      </c>
      <c r="AM988" s="32">
        <f>IF($A988="","",MAX(0,IFERROR(INDEX('2_IMPORTAR_EJECUCION'!$H$9:$H$1208,MATCH($AU988,'2_IMPORTAR_EJECUCION'!$J$9:$J$1208,0)),0)-$AL988))</f>
        <v/>
      </c>
      <c r="AN988" s="32">
        <f>IF($A988="","",$AL988+$AM988)</f>
        <v/>
      </c>
      <c r="AO988" s="24">
        <f>IF($A988="","",IF(OR((IFERROR(INDEX('CAT_ACTIVIDADES'!$D$4:$D$26,MATCH($H988,'CAT_ACTIVIDADES'!$A$4:$A$26,0)),""))=0,(IFERROR(INDEX('CAT_ACTIVIDADES'!$D$4:$D$26,MATCH($H988,'CAT_ACTIVIDADES'!$A$4:$A$26,0)),""))=""),"SIN CLASIFICAR",IFERROR(INDEX('CAT_ACTIVIDADES'!$D$4:$D$26,MATCH($H988,'CAT_ACTIVIDADES'!$A$4:$A$26,0)),"")))</f>
        <v/>
      </c>
      <c r="AP988" s="4" t="n"/>
      <c r="AQ988" s="4" t="n"/>
      <c r="AR988" s="4" t="n"/>
      <c r="AS988" s="24">
        <f>IF($AR988="","",HYPERLINK(p_ruta_base_checklists&amp;$AR988,"abrir"))</f>
        <v/>
      </c>
      <c r="AT988" s="4" t="n"/>
      <c r="AU988" s="24">
        <f>IF($A988="","",$A988&amp;IF($B988="","0010",$B988))</f>
        <v/>
      </c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41" t="n"/>
      <c r="K989" s="5" t="n"/>
      <c r="L989" s="18" t="n"/>
      <c r="M989" s="24">
        <f>IF($A989="","",IFERROR(INDEX('AJUSTES'!$B$4:$B$303,MATCH($AU989,'AJUSTES'!$A$4:$A$303,0)),IF($K989="","",$K989)))</f>
        <v/>
      </c>
      <c r="N989" s="24">
        <f>IF($A989="","",IFERROR(INDEX('CAT_ESTADOS_ERP'!$B$4:$B$22,MATCH(IFERROR(INDEX('2_IMPORTAR_EJECUCION'!$C$9:$C$1208,MATCH($AU989,'2_IMPORTAR_EJECUCION'!$J$9:$J$1208,0)),""),'CAT_ESTADOS_ERP'!$A$4:$A$22,0)),"Pendiente"))</f>
        <v/>
      </c>
      <c r="O989" s="24">
        <f>IF($J989="","",YEAR($J989+4-WEEKDAY($J989,2))&amp;"-S"&amp;TEXT(_xlfn.ISOWEEKNUM($J989),"00"))</f>
        <v/>
      </c>
      <c r="P989" s="24">
        <f>IF($J989="","",YEAR($J989))</f>
        <v/>
      </c>
      <c r="Q989" s="24">
        <f>IF($J989="","",MONTH($J989))</f>
        <v/>
      </c>
      <c r="R989" s="24">
        <f>IF($J989="","",$P989&amp;"-"&amp;TEXT($Q989,"00"))</f>
        <v/>
      </c>
      <c r="S989" s="24">
        <f>IF($J989="","",INDEX(lista_dias,WEEKDAY($J989,2)))</f>
        <v/>
      </c>
      <c r="T989" s="24">
        <f>IF($J989="","",IFERROR(INDEX('CALENDARIO'!$C$15:$C$214,MATCH(TEXT($J989,"yyyy-mm-dd")&amp;"|"&amp;$Y989&amp;"|"&amp;$Z989,'CALENDARIO'!$G$15:$G$214,0)),IFERROR(INDEX('CALENDARIO'!$C$15:$C$214,MATCH(TEXT($J989,"yyyy-mm-dd")&amp;"|"&amp;$Y989&amp;"|",'CALENDARIO'!$G$15:$G$214,0)),IFERROR(INDEX('CALENDARIO'!$C$15:$C$214,MATCH(TEXT($J989,"yyyy-mm-dd")&amp;"||",'CALENDARIO'!$G$15:$G$214,0)),INDEX(patronHabil,WEEKDAY($J989,2))))))</f>
        <v/>
      </c>
      <c r="U989" s="24">
        <f>IF($I989="","",IFERROR(INDEX('CAT_TIPOS_OT'!$C$4:$C$23,MATCH($I989,'CAT_TIPOS_OT'!$A$4:$A$23,0)),"sin_clasificar"))</f>
        <v/>
      </c>
      <c r="V989" s="24">
        <f>IF($I989="","",IF(IFERROR(INDEX('CAT_TIPOS_OT'!$D$4:$D$23,MATCH($I989,'CAT_TIPOS_OT'!$A$4:$A$23,0)),"SIN CLASIFICAR")="","SIN CLASIFICAR",IFERROR(INDEX('CAT_TIPOS_OT'!$D$4:$D$23,MATCH($I989,'CAT_TIPOS_OT'!$A$4:$A$23,0)),"SIN CLASIFICAR")))</f>
        <v/>
      </c>
      <c r="W989" s="24">
        <f>IF($H989="","",IF(IFERROR(INDEX('CAT_ACTIVIDADES'!$F$4:$F$26,MATCH($H989,'CAT_ACTIVIDADES'!$A$4:$A$26,0)),"")=0,"",IFERROR(INDEX('CAT_ACTIVIDADES'!$F$4:$F$26,MATCH($H989,'CAT_ACTIVIDADES'!$A$4:$A$26,0)),"")))</f>
        <v/>
      </c>
      <c r="X989" s="24">
        <f>IF($F989="","",IFERROR(INDEX('CAT_CENTROS_COSTO'!$F$4:$F$28,MATCH($F989,'CAT_CENTROS_COSTO'!$A$4:$A$28,0)),"(sin catálogo)"))</f>
        <v/>
      </c>
      <c r="Y989" s="24">
        <f>IF($F989="","",IFERROR(INDEX('CAT_CENTROS_COSTO'!$D$4:$D$28,MATCH($F989,'CAT_CENTROS_COSTO'!$A$4:$A$28,0)),"(sin catálogo)"))</f>
        <v/>
      </c>
      <c r="Z989" s="24">
        <f>IF($F989="","",IF((IFERROR(INDEX('CAT_CENTROS_COSTO'!$E$4:$E$28,MATCH($F989,'CAT_CENTROS_COSTO'!$A$4:$A$28,0)),""))&lt;&gt;"",IFERROR(INDEX('CAT_CENTROS_COSTO'!$E$4:$E$28,MATCH($F989,'CAT_CENTROS_COSTO'!$A$4:$A$28,0)),""),$Y989))</f>
        <v/>
      </c>
      <c r="AA989" s="24">
        <f>IF($F989="","",IFERROR(INDEX('CAT_CENTROS_COSTO'!$G$4:$G$28,MATCH($F989,'CAT_CENTROS_COSTO'!$A$4:$A$28,0)),"(sin catálogo)"))</f>
        <v/>
      </c>
      <c r="AB989" s="24">
        <f>IF($G989="","",IFERROR(INDEX('CAT_PUESTOS'!$B$4:$B$23,MATCH($G989,'CAT_PUESTOS'!$A$4:$A$23,0)),"(sin catálogo)"))</f>
        <v/>
      </c>
      <c r="AC989" s="24">
        <f>IF($H989="","",IFERROR(INDEX('CAT_ACTIVIDADES'!$B$4:$B$26,MATCH($H989,'CAT_ACTIVIDADES'!$A$4:$A$26,0)),"(sin catálogo)"))</f>
        <v/>
      </c>
      <c r="AD989" s="26">
        <f>IF($J989="","",TODAY()-$J989)</f>
        <v/>
      </c>
      <c r="AE989" s="26">
        <f>IF($J989="","",IF($J989&lt;=TODAY(),COUNTIFS(cal_fechas,"&gt;="&amp;$J989,cal_fechas,"&lt;"&amp;TODAY(),cal_habil,"sí"),-COUNTIFS(cal_fechas,"&gt;="&amp;TODAY(),cal_fechas,"&lt;"&amp;$J989,cal_habil,"sí")))</f>
        <v/>
      </c>
      <c r="AF989" s="24">
        <f>IF($AE989="","",IF($AE989&lt;0,"FUTURO",IF($AE989&gt;p_dias_backlog_max,"BACKLOG","MES CORRIENTE")))</f>
        <v/>
      </c>
      <c r="AG989" s="24">
        <f>IF($AE989="",FALSE,AND($AE989&gt;p_dias_backlog_min,$AE989&lt;=p_dias_backlog_max))</f>
        <v/>
      </c>
      <c r="AH989" s="4" t="n"/>
      <c r="AI989" s="24">
        <f>IF($AH989="","",IF((IFERROR(INDEX('ASIGNACIONES'!$J$4:$J$451,MATCH($O989&amp;"|"&amp;$S989&amp;"|"&amp;$AH989,'ASIGNACIONES'!$N$4:$N$451,0)),""))=0,"",IFERROR(INDEX('ASIGNACIONES'!$J$4:$J$451,MATCH($O989&amp;"|"&amp;$S989&amp;"|"&amp;$AH989,'ASIGNACIONES'!$N$4:$N$451,0)),"")))</f>
        <v/>
      </c>
      <c r="AJ989" s="42">
        <f>IF($AH989="","",SUMIFS('ORDENES'!$M$4:$M$1203,'ORDENES'!$AH$4:$AH$1203,$AH989,'ORDENES'!$O$4:$O$1203,$O989,'ORDENES'!$S$4:$S$1203,$S989))</f>
        <v/>
      </c>
      <c r="AK989" s="42">
        <f>IF($AJ989="","",p_factor_productividad*IFERROR(INDEX('ASIGNACIONES'!$M$4:$M$451,MATCH($O989&amp;"|"&amp;$S989&amp;"|"&amp;$AH989,'ASIGNACIONES'!$N$4:$N$451,0)),0)-$AJ989)</f>
        <v/>
      </c>
      <c r="AL989" s="32">
        <f>IF($A989="","",IFERROR(INDEX('2_IMPORTAR_EJECUCION'!$F$9:$F$1208,MATCH($AU989,'2_IMPORTAR_EJECUCION'!$J$9:$J$1208,0)),0))</f>
        <v/>
      </c>
      <c r="AM989" s="32">
        <f>IF($A989="","",MAX(0,IFERROR(INDEX('2_IMPORTAR_EJECUCION'!$H$9:$H$1208,MATCH($AU989,'2_IMPORTAR_EJECUCION'!$J$9:$J$1208,0)),0)-$AL989))</f>
        <v/>
      </c>
      <c r="AN989" s="32">
        <f>IF($A989="","",$AL989+$AM989)</f>
        <v/>
      </c>
      <c r="AO989" s="24">
        <f>IF($A989="","",IF(OR((IFERROR(INDEX('CAT_ACTIVIDADES'!$D$4:$D$26,MATCH($H989,'CAT_ACTIVIDADES'!$A$4:$A$26,0)),""))=0,(IFERROR(INDEX('CAT_ACTIVIDADES'!$D$4:$D$26,MATCH($H989,'CAT_ACTIVIDADES'!$A$4:$A$26,0)),""))=""),"SIN CLASIFICAR",IFERROR(INDEX('CAT_ACTIVIDADES'!$D$4:$D$26,MATCH($H989,'CAT_ACTIVIDADES'!$A$4:$A$26,0)),"")))</f>
        <v/>
      </c>
      <c r="AP989" s="4" t="n"/>
      <c r="AQ989" s="4" t="n"/>
      <c r="AR989" s="4" t="n"/>
      <c r="AS989" s="24">
        <f>IF($AR989="","",HYPERLINK(p_ruta_base_checklists&amp;$AR989,"abrir"))</f>
        <v/>
      </c>
      <c r="AT989" s="4" t="n"/>
      <c r="AU989" s="24">
        <f>IF($A989="","",$A989&amp;IF($B989="","0010",$B989))</f>
        <v/>
      </c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41" t="n"/>
      <c r="K990" s="5" t="n"/>
      <c r="L990" s="18" t="n"/>
      <c r="M990" s="24">
        <f>IF($A990="","",IFERROR(INDEX('AJUSTES'!$B$4:$B$303,MATCH($AU990,'AJUSTES'!$A$4:$A$303,0)),IF($K990="","",$K990)))</f>
        <v/>
      </c>
      <c r="N990" s="24">
        <f>IF($A990="","",IFERROR(INDEX('CAT_ESTADOS_ERP'!$B$4:$B$22,MATCH(IFERROR(INDEX('2_IMPORTAR_EJECUCION'!$C$9:$C$1208,MATCH($AU990,'2_IMPORTAR_EJECUCION'!$J$9:$J$1208,0)),""),'CAT_ESTADOS_ERP'!$A$4:$A$22,0)),"Pendiente"))</f>
        <v/>
      </c>
      <c r="O990" s="24">
        <f>IF($J990="","",YEAR($J990+4-WEEKDAY($J990,2))&amp;"-S"&amp;TEXT(_xlfn.ISOWEEKNUM($J990),"00"))</f>
        <v/>
      </c>
      <c r="P990" s="24">
        <f>IF($J990="","",YEAR($J990))</f>
        <v/>
      </c>
      <c r="Q990" s="24">
        <f>IF($J990="","",MONTH($J990))</f>
        <v/>
      </c>
      <c r="R990" s="24">
        <f>IF($J990="","",$P990&amp;"-"&amp;TEXT($Q990,"00"))</f>
        <v/>
      </c>
      <c r="S990" s="24">
        <f>IF($J990="","",INDEX(lista_dias,WEEKDAY($J990,2)))</f>
        <v/>
      </c>
      <c r="T990" s="24">
        <f>IF($J990="","",IFERROR(INDEX('CALENDARIO'!$C$15:$C$214,MATCH(TEXT($J990,"yyyy-mm-dd")&amp;"|"&amp;$Y990&amp;"|"&amp;$Z990,'CALENDARIO'!$G$15:$G$214,0)),IFERROR(INDEX('CALENDARIO'!$C$15:$C$214,MATCH(TEXT($J990,"yyyy-mm-dd")&amp;"|"&amp;$Y990&amp;"|",'CALENDARIO'!$G$15:$G$214,0)),IFERROR(INDEX('CALENDARIO'!$C$15:$C$214,MATCH(TEXT($J990,"yyyy-mm-dd")&amp;"||",'CALENDARIO'!$G$15:$G$214,0)),INDEX(patronHabil,WEEKDAY($J990,2))))))</f>
        <v/>
      </c>
      <c r="U990" s="24">
        <f>IF($I990="","",IFERROR(INDEX('CAT_TIPOS_OT'!$C$4:$C$23,MATCH($I990,'CAT_TIPOS_OT'!$A$4:$A$23,0)),"sin_clasificar"))</f>
        <v/>
      </c>
      <c r="V990" s="24">
        <f>IF($I990="","",IF(IFERROR(INDEX('CAT_TIPOS_OT'!$D$4:$D$23,MATCH($I990,'CAT_TIPOS_OT'!$A$4:$A$23,0)),"SIN CLASIFICAR")="","SIN CLASIFICAR",IFERROR(INDEX('CAT_TIPOS_OT'!$D$4:$D$23,MATCH($I990,'CAT_TIPOS_OT'!$A$4:$A$23,0)),"SIN CLASIFICAR")))</f>
        <v/>
      </c>
      <c r="W990" s="24">
        <f>IF($H990="","",IF(IFERROR(INDEX('CAT_ACTIVIDADES'!$F$4:$F$26,MATCH($H990,'CAT_ACTIVIDADES'!$A$4:$A$26,0)),"")=0,"",IFERROR(INDEX('CAT_ACTIVIDADES'!$F$4:$F$26,MATCH($H990,'CAT_ACTIVIDADES'!$A$4:$A$26,0)),"")))</f>
        <v/>
      </c>
      <c r="X990" s="24">
        <f>IF($F990="","",IFERROR(INDEX('CAT_CENTROS_COSTO'!$F$4:$F$28,MATCH($F990,'CAT_CENTROS_COSTO'!$A$4:$A$28,0)),"(sin catálogo)"))</f>
        <v/>
      </c>
      <c r="Y990" s="24">
        <f>IF($F990="","",IFERROR(INDEX('CAT_CENTROS_COSTO'!$D$4:$D$28,MATCH($F990,'CAT_CENTROS_COSTO'!$A$4:$A$28,0)),"(sin catálogo)"))</f>
        <v/>
      </c>
      <c r="Z990" s="24">
        <f>IF($F990="","",IF((IFERROR(INDEX('CAT_CENTROS_COSTO'!$E$4:$E$28,MATCH($F990,'CAT_CENTROS_COSTO'!$A$4:$A$28,0)),""))&lt;&gt;"",IFERROR(INDEX('CAT_CENTROS_COSTO'!$E$4:$E$28,MATCH($F990,'CAT_CENTROS_COSTO'!$A$4:$A$28,0)),""),$Y990))</f>
        <v/>
      </c>
      <c r="AA990" s="24">
        <f>IF($F990="","",IFERROR(INDEX('CAT_CENTROS_COSTO'!$G$4:$G$28,MATCH($F990,'CAT_CENTROS_COSTO'!$A$4:$A$28,0)),"(sin catálogo)"))</f>
        <v/>
      </c>
      <c r="AB990" s="24">
        <f>IF($G990="","",IFERROR(INDEX('CAT_PUESTOS'!$B$4:$B$23,MATCH($G990,'CAT_PUESTOS'!$A$4:$A$23,0)),"(sin catálogo)"))</f>
        <v/>
      </c>
      <c r="AC990" s="24">
        <f>IF($H990="","",IFERROR(INDEX('CAT_ACTIVIDADES'!$B$4:$B$26,MATCH($H990,'CAT_ACTIVIDADES'!$A$4:$A$26,0)),"(sin catálogo)"))</f>
        <v/>
      </c>
      <c r="AD990" s="26">
        <f>IF($J990="","",TODAY()-$J990)</f>
        <v/>
      </c>
      <c r="AE990" s="26">
        <f>IF($J990="","",IF($J990&lt;=TODAY(),COUNTIFS(cal_fechas,"&gt;="&amp;$J990,cal_fechas,"&lt;"&amp;TODAY(),cal_habil,"sí"),-COUNTIFS(cal_fechas,"&gt;="&amp;TODAY(),cal_fechas,"&lt;"&amp;$J990,cal_habil,"sí")))</f>
        <v/>
      </c>
      <c r="AF990" s="24">
        <f>IF($AE990="","",IF($AE990&lt;0,"FUTURO",IF($AE990&gt;p_dias_backlog_max,"BACKLOG","MES CORRIENTE")))</f>
        <v/>
      </c>
      <c r="AG990" s="24">
        <f>IF($AE990="",FALSE,AND($AE990&gt;p_dias_backlog_min,$AE990&lt;=p_dias_backlog_max))</f>
        <v/>
      </c>
      <c r="AH990" s="4" t="n"/>
      <c r="AI990" s="24">
        <f>IF($AH990="","",IF((IFERROR(INDEX('ASIGNACIONES'!$J$4:$J$451,MATCH($O990&amp;"|"&amp;$S990&amp;"|"&amp;$AH990,'ASIGNACIONES'!$N$4:$N$451,0)),""))=0,"",IFERROR(INDEX('ASIGNACIONES'!$J$4:$J$451,MATCH($O990&amp;"|"&amp;$S990&amp;"|"&amp;$AH990,'ASIGNACIONES'!$N$4:$N$451,0)),"")))</f>
        <v/>
      </c>
      <c r="AJ990" s="42">
        <f>IF($AH990="","",SUMIFS('ORDENES'!$M$4:$M$1203,'ORDENES'!$AH$4:$AH$1203,$AH990,'ORDENES'!$O$4:$O$1203,$O990,'ORDENES'!$S$4:$S$1203,$S990))</f>
        <v/>
      </c>
      <c r="AK990" s="42">
        <f>IF($AJ990="","",p_factor_productividad*IFERROR(INDEX('ASIGNACIONES'!$M$4:$M$451,MATCH($O990&amp;"|"&amp;$S990&amp;"|"&amp;$AH990,'ASIGNACIONES'!$N$4:$N$451,0)),0)-$AJ990)</f>
        <v/>
      </c>
      <c r="AL990" s="32">
        <f>IF($A990="","",IFERROR(INDEX('2_IMPORTAR_EJECUCION'!$F$9:$F$1208,MATCH($AU990,'2_IMPORTAR_EJECUCION'!$J$9:$J$1208,0)),0))</f>
        <v/>
      </c>
      <c r="AM990" s="32">
        <f>IF($A990="","",MAX(0,IFERROR(INDEX('2_IMPORTAR_EJECUCION'!$H$9:$H$1208,MATCH($AU990,'2_IMPORTAR_EJECUCION'!$J$9:$J$1208,0)),0)-$AL990))</f>
        <v/>
      </c>
      <c r="AN990" s="32">
        <f>IF($A990="","",$AL990+$AM990)</f>
        <v/>
      </c>
      <c r="AO990" s="24">
        <f>IF($A990="","",IF(OR((IFERROR(INDEX('CAT_ACTIVIDADES'!$D$4:$D$26,MATCH($H990,'CAT_ACTIVIDADES'!$A$4:$A$26,0)),""))=0,(IFERROR(INDEX('CAT_ACTIVIDADES'!$D$4:$D$26,MATCH($H990,'CAT_ACTIVIDADES'!$A$4:$A$26,0)),""))=""),"SIN CLASIFICAR",IFERROR(INDEX('CAT_ACTIVIDADES'!$D$4:$D$26,MATCH($H990,'CAT_ACTIVIDADES'!$A$4:$A$26,0)),"")))</f>
        <v/>
      </c>
      <c r="AP990" s="4" t="n"/>
      <c r="AQ990" s="4" t="n"/>
      <c r="AR990" s="4" t="n"/>
      <c r="AS990" s="24">
        <f>IF($AR990="","",HYPERLINK(p_ruta_base_checklists&amp;$AR990,"abrir"))</f>
        <v/>
      </c>
      <c r="AT990" s="4" t="n"/>
      <c r="AU990" s="24">
        <f>IF($A990="","",$A990&amp;IF($B990="","0010",$B990))</f>
        <v/>
      </c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41" t="n"/>
      <c r="K991" s="5" t="n"/>
      <c r="L991" s="18" t="n"/>
      <c r="M991" s="24">
        <f>IF($A991="","",IFERROR(INDEX('AJUSTES'!$B$4:$B$303,MATCH($AU991,'AJUSTES'!$A$4:$A$303,0)),IF($K991="","",$K991)))</f>
        <v/>
      </c>
      <c r="N991" s="24">
        <f>IF($A991="","",IFERROR(INDEX('CAT_ESTADOS_ERP'!$B$4:$B$22,MATCH(IFERROR(INDEX('2_IMPORTAR_EJECUCION'!$C$9:$C$1208,MATCH($AU991,'2_IMPORTAR_EJECUCION'!$J$9:$J$1208,0)),""),'CAT_ESTADOS_ERP'!$A$4:$A$22,0)),"Pendiente"))</f>
        <v/>
      </c>
      <c r="O991" s="24">
        <f>IF($J991="","",YEAR($J991+4-WEEKDAY($J991,2))&amp;"-S"&amp;TEXT(_xlfn.ISOWEEKNUM($J991),"00"))</f>
        <v/>
      </c>
      <c r="P991" s="24">
        <f>IF($J991="","",YEAR($J991))</f>
        <v/>
      </c>
      <c r="Q991" s="24">
        <f>IF($J991="","",MONTH($J991))</f>
        <v/>
      </c>
      <c r="R991" s="24">
        <f>IF($J991="","",$P991&amp;"-"&amp;TEXT($Q991,"00"))</f>
        <v/>
      </c>
      <c r="S991" s="24">
        <f>IF($J991="","",INDEX(lista_dias,WEEKDAY($J991,2)))</f>
        <v/>
      </c>
      <c r="T991" s="24">
        <f>IF($J991="","",IFERROR(INDEX('CALENDARIO'!$C$15:$C$214,MATCH(TEXT($J991,"yyyy-mm-dd")&amp;"|"&amp;$Y991&amp;"|"&amp;$Z991,'CALENDARIO'!$G$15:$G$214,0)),IFERROR(INDEX('CALENDARIO'!$C$15:$C$214,MATCH(TEXT($J991,"yyyy-mm-dd")&amp;"|"&amp;$Y991&amp;"|",'CALENDARIO'!$G$15:$G$214,0)),IFERROR(INDEX('CALENDARIO'!$C$15:$C$214,MATCH(TEXT($J991,"yyyy-mm-dd")&amp;"||",'CALENDARIO'!$G$15:$G$214,0)),INDEX(patronHabil,WEEKDAY($J991,2))))))</f>
        <v/>
      </c>
      <c r="U991" s="24">
        <f>IF($I991="","",IFERROR(INDEX('CAT_TIPOS_OT'!$C$4:$C$23,MATCH($I991,'CAT_TIPOS_OT'!$A$4:$A$23,0)),"sin_clasificar"))</f>
        <v/>
      </c>
      <c r="V991" s="24">
        <f>IF($I991="","",IF(IFERROR(INDEX('CAT_TIPOS_OT'!$D$4:$D$23,MATCH($I991,'CAT_TIPOS_OT'!$A$4:$A$23,0)),"SIN CLASIFICAR")="","SIN CLASIFICAR",IFERROR(INDEX('CAT_TIPOS_OT'!$D$4:$D$23,MATCH($I991,'CAT_TIPOS_OT'!$A$4:$A$23,0)),"SIN CLASIFICAR")))</f>
        <v/>
      </c>
      <c r="W991" s="24">
        <f>IF($H991="","",IF(IFERROR(INDEX('CAT_ACTIVIDADES'!$F$4:$F$26,MATCH($H991,'CAT_ACTIVIDADES'!$A$4:$A$26,0)),"")=0,"",IFERROR(INDEX('CAT_ACTIVIDADES'!$F$4:$F$26,MATCH($H991,'CAT_ACTIVIDADES'!$A$4:$A$26,0)),"")))</f>
        <v/>
      </c>
      <c r="X991" s="24">
        <f>IF($F991="","",IFERROR(INDEX('CAT_CENTROS_COSTO'!$F$4:$F$28,MATCH($F991,'CAT_CENTROS_COSTO'!$A$4:$A$28,0)),"(sin catálogo)"))</f>
        <v/>
      </c>
      <c r="Y991" s="24">
        <f>IF($F991="","",IFERROR(INDEX('CAT_CENTROS_COSTO'!$D$4:$D$28,MATCH($F991,'CAT_CENTROS_COSTO'!$A$4:$A$28,0)),"(sin catálogo)"))</f>
        <v/>
      </c>
      <c r="Z991" s="24">
        <f>IF($F991="","",IF((IFERROR(INDEX('CAT_CENTROS_COSTO'!$E$4:$E$28,MATCH($F991,'CAT_CENTROS_COSTO'!$A$4:$A$28,0)),""))&lt;&gt;"",IFERROR(INDEX('CAT_CENTROS_COSTO'!$E$4:$E$28,MATCH($F991,'CAT_CENTROS_COSTO'!$A$4:$A$28,0)),""),$Y991))</f>
        <v/>
      </c>
      <c r="AA991" s="24">
        <f>IF($F991="","",IFERROR(INDEX('CAT_CENTROS_COSTO'!$G$4:$G$28,MATCH($F991,'CAT_CENTROS_COSTO'!$A$4:$A$28,0)),"(sin catálogo)"))</f>
        <v/>
      </c>
      <c r="AB991" s="24">
        <f>IF($G991="","",IFERROR(INDEX('CAT_PUESTOS'!$B$4:$B$23,MATCH($G991,'CAT_PUESTOS'!$A$4:$A$23,0)),"(sin catálogo)"))</f>
        <v/>
      </c>
      <c r="AC991" s="24">
        <f>IF($H991="","",IFERROR(INDEX('CAT_ACTIVIDADES'!$B$4:$B$26,MATCH($H991,'CAT_ACTIVIDADES'!$A$4:$A$26,0)),"(sin catálogo)"))</f>
        <v/>
      </c>
      <c r="AD991" s="26">
        <f>IF($J991="","",TODAY()-$J991)</f>
        <v/>
      </c>
      <c r="AE991" s="26">
        <f>IF($J991="","",IF($J991&lt;=TODAY(),COUNTIFS(cal_fechas,"&gt;="&amp;$J991,cal_fechas,"&lt;"&amp;TODAY(),cal_habil,"sí"),-COUNTIFS(cal_fechas,"&gt;="&amp;TODAY(),cal_fechas,"&lt;"&amp;$J991,cal_habil,"sí")))</f>
        <v/>
      </c>
      <c r="AF991" s="24">
        <f>IF($AE991="","",IF($AE991&lt;0,"FUTURO",IF($AE991&gt;p_dias_backlog_max,"BACKLOG","MES CORRIENTE")))</f>
        <v/>
      </c>
      <c r="AG991" s="24">
        <f>IF($AE991="",FALSE,AND($AE991&gt;p_dias_backlog_min,$AE991&lt;=p_dias_backlog_max))</f>
        <v/>
      </c>
      <c r="AH991" s="4" t="n"/>
      <c r="AI991" s="24">
        <f>IF($AH991="","",IF((IFERROR(INDEX('ASIGNACIONES'!$J$4:$J$451,MATCH($O991&amp;"|"&amp;$S991&amp;"|"&amp;$AH991,'ASIGNACIONES'!$N$4:$N$451,0)),""))=0,"",IFERROR(INDEX('ASIGNACIONES'!$J$4:$J$451,MATCH($O991&amp;"|"&amp;$S991&amp;"|"&amp;$AH991,'ASIGNACIONES'!$N$4:$N$451,0)),"")))</f>
        <v/>
      </c>
      <c r="AJ991" s="42">
        <f>IF($AH991="","",SUMIFS('ORDENES'!$M$4:$M$1203,'ORDENES'!$AH$4:$AH$1203,$AH991,'ORDENES'!$O$4:$O$1203,$O991,'ORDENES'!$S$4:$S$1203,$S991))</f>
        <v/>
      </c>
      <c r="AK991" s="42">
        <f>IF($AJ991="","",p_factor_productividad*IFERROR(INDEX('ASIGNACIONES'!$M$4:$M$451,MATCH($O991&amp;"|"&amp;$S991&amp;"|"&amp;$AH991,'ASIGNACIONES'!$N$4:$N$451,0)),0)-$AJ991)</f>
        <v/>
      </c>
      <c r="AL991" s="32">
        <f>IF($A991="","",IFERROR(INDEX('2_IMPORTAR_EJECUCION'!$F$9:$F$1208,MATCH($AU991,'2_IMPORTAR_EJECUCION'!$J$9:$J$1208,0)),0))</f>
        <v/>
      </c>
      <c r="AM991" s="32">
        <f>IF($A991="","",MAX(0,IFERROR(INDEX('2_IMPORTAR_EJECUCION'!$H$9:$H$1208,MATCH($AU991,'2_IMPORTAR_EJECUCION'!$J$9:$J$1208,0)),0)-$AL991))</f>
        <v/>
      </c>
      <c r="AN991" s="32">
        <f>IF($A991="","",$AL991+$AM991)</f>
        <v/>
      </c>
      <c r="AO991" s="24">
        <f>IF($A991="","",IF(OR((IFERROR(INDEX('CAT_ACTIVIDADES'!$D$4:$D$26,MATCH($H991,'CAT_ACTIVIDADES'!$A$4:$A$26,0)),""))=0,(IFERROR(INDEX('CAT_ACTIVIDADES'!$D$4:$D$26,MATCH($H991,'CAT_ACTIVIDADES'!$A$4:$A$26,0)),""))=""),"SIN CLASIFICAR",IFERROR(INDEX('CAT_ACTIVIDADES'!$D$4:$D$26,MATCH($H991,'CAT_ACTIVIDADES'!$A$4:$A$26,0)),"")))</f>
        <v/>
      </c>
      <c r="AP991" s="4" t="n"/>
      <c r="AQ991" s="4" t="n"/>
      <c r="AR991" s="4" t="n"/>
      <c r="AS991" s="24">
        <f>IF($AR991="","",HYPERLINK(p_ruta_base_checklists&amp;$AR991,"abrir"))</f>
        <v/>
      </c>
      <c r="AT991" s="4" t="n"/>
      <c r="AU991" s="24">
        <f>IF($A991="","",$A991&amp;IF($B991="","0010",$B991))</f>
        <v/>
      </c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41" t="n"/>
      <c r="K992" s="5" t="n"/>
      <c r="L992" s="18" t="n"/>
      <c r="M992" s="24">
        <f>IF($A992="","",IFERROR(INDEX('AJUSTES'!$B$4:$B$303,MATCH($AU992,'AJUSTES'!$A$4:$A$303,0)),IF($K992="","",$K992)))</f>
        <v/>
      </c>
      <c r="N992" s="24">
        <f>IF($A992="","",IFERROR(INDEX('CAT_ESTADOS_ERP'!$B$4:$B$22,MATCH(IFERROR(INDEX('2_IMPORTAR_EJECUCION'!$C$9:$C$1208,MATCH($AU992,'2_IMPORTAR_EJECUCION'!$J$9:$J$1208,0)),""),'CAT_ESTADOS_ERP'!$A$4:$A$22,0)),"Pendiente"))</f>
        <v/>
      </c>
      <c r="O992" s="24">
        <f>IF($J992="","",YEAR($J992+4-WEEKDAY($J992,2))&amp;"-S"&amp;TEXT(_xlfn.ISOWEEKNUM($J992),"00"))</f>
        <v/>
      </c>
      <c r="P992" s="24">
        <f>IF($J992="","",YEAR($J992))</f>
        <v/>
      </c>
      <c r="Q992" s="24">
        <f>IF($J992="","",MONTH($J992))</f>
        <v/>
      </c>
      <c r="R992" s="24">
        <f>IF($J992="","",$P992&amp;"-"&amp;TEXT($Q992,"00"))</f>
        <v/>
      </c>
      <c r="S992" s="24">
        <f>IF($J992="","",INDEX(lista_dias,WEEKDAY($J992,2)))</f>
        <v/>
      </c>
      <c r="T992" s="24">
        <f>IF($J992="","",IFERROR(INDEX('CALENDARIO'!$C$15:$C$214,MATCH(TEXT($J992,"yyyy-mm-dd")&amp;"|"&amp;$Y992&amp;"|"&amp;$Z992,'CALENDARIO'!$G$15:$G$214,0)),IFERROR(INDEX('CALENDARIO'!$C$15:$C$214,MATCH(TEXT($J992,"yyyy-mm-dd")&amp;"|"&amp;$Y992&amp;"|",'CALENDARIO'!$G$15:$G$214,0)),IFERROR(INDEX('CALENDARIO'!$C$15:$C$214,MATCH(TEXT($J992,"yyyy-mm-dd")&amp;"||",'CALENDARIO'!$G$15:$G$214,0)),INDEX(patronHabil,WEEKDAY($J992,2))))))</f>
        <v/>
      </c>
      <c r="U992" s="24">
        <f>IF($I992="","",IFERROR(INDEX('CAT_TIPOS_OT'!$C$4:$C$23,MATCH($I992,'CAT_TIPOS_OT'!$A$4:$A$23,0)),"sin_clasificar"))</f>
        <v/>
      </c>
      <c r="V992" s="24">
        <f>IF($I992="","",IF(IFERROR(INDEX('CAT_TIPOS_OT'!$D$4:$D$23,MATCH($I992,'CAT_TIPOS_OT'!$A$4:$A$23,0)),"SIN CLASIFICAR")="","SIN CLASIFICAR",IFERROR(INDEX('CAT_TIPOS_OT'!$D$4:$D$23,MATCH($I992,'CAT_TIPOS_OT'!$A$4:$A$23,0)),"SIN CLASIFICAR")))</f>
        <v/>
      </c>
      <c r="W992" s="24">
        <f>IF($H992="","",IF(IFERROR(INDEX('CAT_ACTIVIDADES'!$F$4:$F$26,MATCH($H992,'CAT_ACTIVIDADES'!$A$4:$A$26,0)),"")=0,"",IFERROR(INDEX('CAT_ACTIVIDADES'!$F$4:$F$26,MATCH($H992,'CAT_ACTIVIDADES'!$A$4:$A$26,0)),"")))</f>
        <v/>
      </c>
      <c r="X992" s="24">
        <f>IF($F992="","",IFERROR(INDEX('CAT_CENTROS_COSTO'!$F$4:$F$28,MATCH($F992,'CAT_CENTROS_COSTO'!$A$4:$A$28,0)),"(sin catálogo)"))</f>
        <v/>
      </c>
      <c r="Y992" s="24">
        <f>IF($F992="","",IFERROR(INDEX('CAT_CENTROS_COSTO'!$D$4:$D$28,MATCH($F992,'CAT_CENTROS_COSTO'!$A$4:$A$28,0)),"(sin catálogo)"))</f>
        <v/>
      </c>
      <c r="Z992" s="24">
        <f>IF($F992="","",IF((IFERROR(INDEX('CAT_CENTROS_COSTO'!$E$4:$E$28,MATCH($F992,'CAT_CENTROS_COSTO'!$A$4:$A$28,0)),""))&lt;&gt;"",IFERROR(INDEX('CAT_CENTROS_COSTO'!$E$4:$E$28,MATCH($F992,'CAT_CENTROS_COSTO'!$A$4:$A$28,0)),""),$Y992))</f>
        <v/>
      </c>
      <c r="AA992" s="24">
        <f>IF($F992="","",IFERROR(INDEX('CAT_CENTROS_COSTO'!$G$4:$G$28,MATCH($F992,'CAT_CENTROS_COSTO'!$A$4:$A$28,0)),"(sin catálogo)"))</f>
        <v/>
      </c>
      <c r="AB992" s="24">
        <f>IF($G992="","",IFERROR(INDEX('CAT_PUESTOS'!$B$4:$B$23,MATCH($G992,'CAT_PUESTOS'!$A$4:$A$23,0)),"(sin catálogo)"))</f>
        <v/>
      </c>
      <c r="AC992" s="24">
        <f>IF($H992="","",IFERROR(INDEX('CAT_ACTIVIDADES'!$B$4:$B$26,MATCH($H992,'CAT_ACTIVIDADES'!$A$4:$A$26,0)),"(sin catálogo)"))</f>
        <v/>
      </c>
      <c r="AD992" s="26">
        <f>IF($J992="","",TODAY()-$J992)</f>
        <v/>
      </c>
      <c r="AE992" s="26">
        <f>IF($J992="","",IF($J992&lt;=TODAY(),COUNTIFS(cal_fechas,"&gt;="&amp;$J992,cal_fechas,"&lt;"&amp;TODAY(),cal_habil,"sí"),-COUNTIFS(cal_fechas,"&gt;="&amp;TODAY(),cal_fechas,"&lt;"&amp;$J992,cal_habil,"sí")))</f>
        <v/>
      </c>
      <c r="AF992" s="24">
        <f>IF($AE992="","",IF($AE992&lt;0,"FUTURO",IF($AE992&gt;p_dias_backlog_max,"BACKLOG","MES CORRIENTE")))</f>
        <v/>
      </c>
      <c r="AG992" s="24">
        <f>IF($AE992="",FALSE,AND($AE992&gt;p_dias_backlog_min,$AE992&lt;=p_dias_backlog_max))</f>
        <v/>
      </c>
      <c r="AH992" s="4" t="n"/>
      <c r="AI992" s="24">
        <f>IF($AH992="","",IF((IFERROR(INDEX('ASIGNACIONES'!$J$4:$J$451,MATCH($O992&amp;"|"&amp;$S992&amp;"|"&amp;$AH992,'ASIGNACIONES'!$N$4:$N$451,0)),""))=0,"",IFERROR(INDEX('ASIGNACIONES'!$J$4:$J$451,MATCH($O992&amp;"|"&amp;$S992&amp;"|"&amp;$AH992,'ASIGNACIONES'!$N$4:$N$451,0)),"")))</f>
        <v/>
      </c>
      <c r="AJ992" s="42">
        <f>IF($AH992="","",SUMIFS('ORDENES'!$M$4:$M$1203,'ORDENES'!$AH$4:$AH$1203,$AH992,'ORDENES'!$O$4:$O$1203,$O992,'ORDENES'!$S$4:$S$1203,$S992))</f>
        <v/>
      </c>
      <c r="AK992" s="42">
        <f>IF($AJ992="","",p_factor_productividad*IFERROR(INDEX('ASIGNACIONES'!$M$4:$M$451,MATCH($O992&amp;"|"&amp;$S992&amp;"|"&amp;$AH992,'ASIGNACIONES'!$N$4:$N$451,0)),0)-$AJ992)</f>
        <v/>
      </c>
      <c r="AL992" s="32">
        <f>IF($A992="","",IFERROR(INDEX('2_IMPORTAR_EJECUCION'!$F$9:$F$1208,MATCH($AU992,'2_IMPORTAR_EJECUCION'!$J$9:$J$1208,0)),0))</f>
        <v/>
      </c>
      <c r="AM992" s="32">
        <f>IF($A992="","",MAX(0,IFERROR(INDEX('2_IMPORTAR_EJECUCION'!$H$9:$H$1208,MATCH($AU992,'2_IMPORTAR_EJECUCION'!$J$9:$J$1208,0)),0)-$AL992))</f>
        <v/>
      </c>
      <c r="AN992" s="32">
        <f>IF($A992="","",$AL992+$AM992)</f>
        <v/>
      </c>
      <c r="AO992" s="24">
        <f>IF($A992="","",IF(OR((IFERROR(INDEX('CAT_ACTIVIDADES'!$D$4:$D$26,MATCH($H992,'CAT_ACTIVIDADES'!$A$4:$A$26,0)),""))=0,(IFERROR(INDEX('CAT_ACTIVIDADES'!$D$4:$D$26,MATCH($H992,'CAT_ACTIVIDADES'!$A$4:$A$26,0)),""))=""),"SIN CLASIFICAR",IFERROR(INDEX('CAT_ACTIVIDADES'!$D$4:$D$26,MATCH($H992,'CAT_ACTIVIDADES'!$A$4:$A$26,0)),"")))</f>
        <v/>
      </c>
      <c r="AP992" s="4" t="n"/>
      <c r="AQ992" s="4" t="n"/>
      <c r="AR992" s="4" t="n"/>
      <c r="AS992" s="24">
        <f>IF($AR992="","",HYPERLINK(p_ruta_base_checklists&amp;$AR992,"abrir"))</f>
        <v/>
      </c>
      <c r="AT992" s="4" t="n"/>
      <c r="AU992" s="24">
        <f>IF($A992="","",$A992&amp;IF($B992="","0010",$B992))</f>
        <v/>
      </c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41" t="n"/>
      <c r="K993" s="5" t="n"/>
      <c r="L993" s="18" t="n"/>
      <c r="M993" s="24">
        <f>IF($A993="","",IFERROR(INDEX('AJUSTES'!$B$4:$B$303,MATCH($AU993,'AJUSTES'!$A$4:$A$303,0)),IF($K993="","",$K993)))</f>
        <v/>
      </c>
      <c r="N993" s="24">
        <f>IF($A993="","",IFERROR(INDEX('CAT_ESTADOS_ERP'!$B$4:$B$22,MATCH(IFERROR(INDEX('2_IMPORTAR_EJECUCION'!$C$9:$C$1208,MATCH($AU993,'2_IMPORTAR_EJECUCION'!$J$9:$J$1208,0)),""),'CAT_ESTADOS_ERP'!$A$4:$A$22,0)),"Pendiente"))</f>
        <v/>
      </c>
      <c r="O993" s="24">
        <f>IF($J993="","",YEAR($J993+4-WEEKDAY($J993,2))&amp;"-S"&amp;TEXT(_xlfn.ISOWEEKNUM($J993),"00"))</f>
        <v/>
      </c>
      <c r="P993" s="24">
        <f>IF($J993="","",YEAR($J993))</f>
        <v/>
      </c>
      <c r="Q993" s="24">
        <f>IF($J993="","",MONTH($J993))</f>
        <v/>
      </c>
      <c r="R993" s="24">
        <f>IF($J993="","",$P993&amp;"-"&amp;TEXT($Q993,"00"))</f>
        <v/>
      </c>
      <c r="S993" s="24">
        <f>IF($J993="","",INDEX(lista_dias,WEEKDAY($J993,2)))</f>
        <v/>
      </c>
      <c r="T993" s="24">
        <f>IF($J993="","",IFERROR(INDEX('CALENDARIO'!$C$15:$C$214,MATCH(TEXT($J993,"yyyy-mm-dd")&amp;"|"&amp;$Y993&amp;"|"&amp;$Z993,'CALENDARIO'!$G$15:$G$214,0)),IFERROR(INDEX('CALENDARIO'!$C$15:$C$214,MATCH(TEXT($J993,"yyyy-mm-dd")&amp;"|"&amp;$Y993&amp;"|",'CALENDARIO'!$G$15:$G$214,0)),IFERROR(INDEX('CALENDARIO'!$C$15:$C$214,MATCH(TEXT($J993,"yyyy-mm-dd")&amp;"||",'CALENDARIO'!$G$15:$G$214,0)),INDEX(patronHabil,WEEKDAY($J993,2))))))</f>
        <v/>
      </c>
      <c r="U993" s="24">
        <f>IF($I993="","",IFERROR(INDEX('CAT_TIPOS_OT'!$C$4:$C$23,MATCH($I993,'CAT_TIPOS_OT'!$A$4:$A$23,0)),"sin_clasificar"))</f>
        <v/>
      </c>
      <c r="V993" s="24">
        <f>IF($I993="","",IF(IFERROR(INDEX('CAT_TIPOS_OT'!$D$4:$D$23,MATCH($I993,'CAT_TIPOS_OT'!$A$4:$A$23,0)),"SIN CLASIFICAR")="","SIN CLASIFICAR",IFERROR(INDEX('CAT_TIPOS_OT'!$D$4:$D$23,MATCH($I993,'CAT_TIPOS_OT'!$A$4:$A$23,0)),"SIN CLASIFICAR")))</f>
        <v/>
      </c>
      <c r="W993" s="24">
        <f>IF($H993="","",IF(IFERROR(INDEX('CAT_ACTIVIDADES'!$F$4:$F$26,MATCH($H993,'CAT_ACTIVIDADES'!$A$4:$A$26,0)),"")=0,"",IFERROR(INDEX('CAT_ACTIVIDADES'!$F$4:$F$26,MATCH($H993,'CAT_ACTIVIDADES'!$A$4:$A$26,0)),"")))</f>
        <v/>
      </c>
      <c r="X993" s="24">
        <f>IF($F993="","",IFERROR(INDEX('CAT_CENTROS_COSTO'!$F$4:$F$28,MATCH($F993,'CAT_CENTROS_COSTO'!$A$4:$A$28,0)),"(sin catálogo)"))</f>
        <v/>
      </c>
      <c r="Y993" s="24">
        <f>IF($F993="","",IFERROR(INDEX('CAT_CENTROS_COSTO'!$D$4:$D$28,MATCH($F993,'CAT_CENTROS_COSTO'!$A$4:$A$28,0)),"(sin catálogo)"))</f>
        <v/>
      </c>
      <c r="Z993" s="24">
        <f>IF($F993="","",IF((IFERROR(INDEX('CAT_CENTROS_COSTO'!$E$4:$E$28,MATCH($F993,'CAT_CENTROS_COSTO'!$A$4:$A$28,0)),""))&lt;&gt;"",IFERROR(INDEX('CAT_CENTROS_COSTO'!$E$4:$E$28,MATCH($F993,'CAT_CENTROS_COSTO'!$A$4:$A$28,0)),""),$Y993))</f>
        <v/>
      </c>
      <c r="AA993" s="24">
        <f>IF($F993="","",IFERROR(INDEX('CAT_CENTROS_COSTO'!$G$4:$G$28,MATCH($F993,'CAT_CENTROS_COSTO'!$A$4:$A$28,0)),"(sin catálogo)"))</f>
        <v/>
      </c>
      <c r="AB993" s="24">
        <f>IF($G993="","",IFERROR(INDEX('CAT_PUESTOS'!$B$4:$B$23,MATCH($G993,'CAT_PUESTOS'!$A$4:$A$23,0)),"(sin catálogo)"))</f>
        <v/>
      </c>
      <c r="AC993" s="24">
        <f>IF($H993="","",IFERROR(INDEX('CAT_ACTIVIDADES'!$B$4:$B$26,MATCH($H993,'CAT_ACTIVIDADES'!$A$4:$A$26,0)),"(sin catálogo)"))</f>
        <v/>
      </c>
      <c r="AD993" s="26">
        <f>IF($J993="","",TODAY()-$J993)</f>
        <v/>
      </c>
      <c r="AE993" s="26">
        <f>IF($J993="","",IF($J993&lt;=TODAY(),COUNTIFS(cal_fechas,"&gt;="&amp;$J993,cal_fechas,"&lt;"&amp;TODAY(),cal_habil,"sí"),-COUNTIFS(cal_fechas,"&gt;="&amp;TODAY(),cal_fechas,"&lt;"&amp;$J993,cal_habil,"sí")))</f>
        <v/>
      </c>
      <c r="AF993" s="24">
        <f>IF($AE993="","",IF($AE993&lt;0,"FUTURO",IF($AE993&gt;p_dias_backlog_max,"BACKLOG","MES CORRIENTE")))</f>
        <v/>
      </c>
      <c r="AG993" s="24">
        <f>IF($AE993="",FALSE,AND($AE993&gt;p_dias_backlog_min,$AE993&lt;=p_dias_backlog_max))</f>
        <v/>
      </c>
      <c r="AH993" s="4" t="n"/>
      <c r="AI993" s="24">
        <f>IF($AH993="","",IF((IFERROR(INDEX('ASIGNACIONES'!$J$4:$J$451,MATCH($O993&amp;"|"&amp;$S993&amp;"|"&amp;$AH993,'ASIGNACIONES'!$N$4:$N$451,0)),""))=0,"",IFERROR(INDEX('ASIGNACIONES'!$J$4:$J$451,MATCH($O993&amp;"|"&amp;$S993&amp;"|"&amp;$AH993,'ASIGNACIONES'!$N$4:$N$451,0)),"")))</f>
        <v/>
      </c>
      <c r="AJ993" s="42">
        <f>IF($AH993="","",SUMIFS('ORDENES'!$M$4:$M$1203,'ORDENES'!$AH$4:$AH$1203,$AH993,'ORDENES'!$O$4:$O$1203,$O993,'ORDENES'!$S$4:$S$1203,$S993))</f>
        <v/>
      </c>
      <c r="AK993" s="42">
        <f>IF($AJ993="","",p_factor_productividad*IFERROR(INDEX('ASIGNACIONES'!$M$4:$M$451,MATCH($O993&amp;"|"&amp;$S993&amp;"|"&amp;$AH993,'ASIGNACIONES'!$N$4:$N$451,0)),0)-$AJ993)</f>
        <v/>
      </c>
      <c r="AL993" s="32">
        <f>IF($A993="","",IFERROR(INDEX('2_IMPORTAR_EJECUCION'!$F$9:$F$1208,MATCH($AU993,'2_IMPORTAR_EJECUCION'!$J$9:$J$1208,0)),0))</f>
        <v/>
      </c>
      <c r="AM993" s="32">
        <f>IF($A993="","",MAX(0,IFERROR(INDEX('2_IMPORTAR_EJECUCION'!$H$9:$H$1208,MATCH($AU993,'2_IMPORTAR_EJECUCION'!$J$9:$J$1208,0)),0)-$AL993))</f>
        <v/>
      </c>
      <c r="AN993" s="32">
        <f>IF($A993="","",$AL993+$AM993)</f>
        <v/>
      </c>
      <c r="AO993" s="24">
        <f>IF($A993="","",IF(OR((IFERROR(INDEX('CAT_ACTIVIDADES'!$D$4:$D$26,MATCH($H993,'CAT_ACTIVIDADES'!$A$4:$A$26,0)),""))=0,(IFERROR(INDEX('CAT_ACTIVIDADES'!$D$4:$D$26,MATCH($H993,'CAT_ACTIVIDADES'!$A$4:$A$26,0)),""))=""),"SIN CLASIFICAR",IFERROR(INDEX('CAT_ACTIVIDADES'!$D$4:$D$26,MATCH($H993,'CAT_ACTIVIDADES'!$A$4:$A$26,0)),"")))</f>
        <v/>
      </c>
      <c r="AP993" s="4" t="n"/>
      <c r="AQ993" s="4" t="n"/>
      <c r="AR993" s="4" t="n"/>
      <c r="AS993" s="24">
        <f>IF($AR993="","",HYPERLINK(p_ruta_base_checklists&amp;$AR993,"abrir"))</f>
        <v/>
      </c>
      <c r="AT993" s="4" t="n"/>
      <c r="AU993" s="24">
        <f>IF($A993="","",$A993&amp;IF($B993="","0010",$B993))</f>
        <v/>
      </c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41" t="n"/>
      <c r="K994" s="5" t="n"/>
      <c r="L994" s="18" t="n"/>
      <c r="M994" s="24">
        <f>IF($A994="","",IFERROR(INDEX('AJUSTES'!$B$4:$B$303,MATCH($AU994,'AJUSTES'!$A$4:$A$303,0)),IF($K994="","",$K994)))</f>
        <v/>
      </c>
      <c r="N994" s="24">
        <f>IF($A994="","",IFERROR(INDEX('CAT_ESTADOS_ERP'!$B$4:$B$22,MATCH(IFERROR(INDEX('2_IMPORTAR_EJECUCION'!$C$9:$C$1208,MATCH($AU994,'2_IMPORTAR_EJECUCION'!$J$9:$J$1208,0)),""),'CAT_ESTADOS_ERP'!$A$4:$A$22,0)),"Pendiente"))</f>
        <v/>
      </c>
      <c r="O994" s="24">
        <f>IF($J994="","",YEAR($J994+4-WEEKDAY($J994,2))&amp;"-S"&amp;TEXT(_xlfn.ISOWEEKNUM($J994),"00"))</f>
        <v/>
      </c>
      <c r="P994" s="24">
        <f>IF($J994="","",YEAR($J994))</f>
        <v/>
      </c>
      <c r="Q994" s="24">
        <f>IF($J994="","",MONTH($J994))</f>
        <v/>
      </c>
      <c r="R994" s="24">
        <f>IF($J994="","",$P994&amp;"-"&amp;TEXT($Q994,"00"))</f>
        <v/>
      </c>
      <c r="S994" s="24">
        <f>IF($J994="","",INDEX(lista_dias,WEEKDAY($J994,2)))</f>
        <v/>
      </c>
      <c r="T994" s="24">
        <f>IF($J994="","",IFERROR(INDEX('CALENDARIO'!$C$15:$C$214,MATCH(TEXT($J994,"yyyy-mm-dd")&amp;"|"&amp;$Y994&amp;"|"&amp;$Z994,'CALENDARIO'!$G$15:$G$214,0)),IFERROR(INDEX('CALENDARIO'!$C$15:$C$214,MATCH(TEXT($J994,"yyyy-mm-dd")&amp;"|"&amp;$Y994&amp;"|",'CALENDARIO'!$G$15:$G$214,0)),IFERROR(INDEX('CALENDARIO'!$C$15:$C$214,MATCH(TEXT($J994,"yyyy-mm-dd")&amp;"||",'CALENDARIO'!$G$15:$G$214,0)),INDEX(patronHabil,WEEKDAY($J994,2))))))</f>
        <v/>
      </c>
      <c r="U994" s="24">
        <f>IF($I994="","",IFERROR(INDEX('CAT_TIPOS_OT'!$C$4:$C$23,MATCH($I994,'CAT_TIPOS_OT'!$A$4:$A$23,0)),"sin_clasificar"))</f>
        <v/>
      </c>
      <c r="V994" s="24">
        <f>IF($I994="","",IF(IFERROR(INDEX('CAT_TIPOS_OT'!$D$4:$D$23,MATCH($I994,'CAT_TIPOS_OT'!$A$4:$A$23,0)),"SIN CLASIFICAR")="","SIN CLASIFICAR",IFERROR(INDEX('CAT_TIPOS_OT'!$D$4:$D$23,MATCH($I994,'CAT_TIPOS_OT'!$A$4:$A$23,0)),"SIN CLASIFICAR")))</f>
        <v/>
      </c>
      <c r="W994" s="24">
        <f>IF($H994="","",IF(IFERROR(INDEX('CAT_ACTIVIDADES'!$F$4:$F$26,MATCH($H994,'CAT_ACTIVIDADES'!$A$4:$A$26,0)),"")=0,"",IFERROR(INDEX('CAT_ACTIVIDADES'!$F$4:$F$26,MATCH($H994,'CAT_ACTIVIDADES'!$A$4:$A$26,0)),"")))</f>
        <v/>
      </c>
      <c r="X994" s="24">
        <f>IF($F994="","",IFERROR(INDEX('CAT_CENTROS_COSTO'!$F$4:$F$28,MATCH($F994,'CAT_CENTROS_COSTO'!$A$4:$A$28,0)),"(sin catálogo)"))</f>
        <v/>
      </c>
      <c r="Y994" s="24">
        <f>IF($F994="","",IFERROR(INDEX('CAT_CENTROS_COSTO'!$D$4:$D$28,MATCH($F994,'CAT_CENTROS_COSTO'!$A$4:$A$28,0)),"(sin catálogo)"))</f>
        <v/>
      </c>
      <c r="Z994" s="24">
        <f>IF($F994="","",IF((IFERROR(INDEX('CAT_CENTROS_COSTO'!$E$4:$E$28,MATCH($F994,'CAT_CENTROS_COSTO'!$A$4:$A$28,0)),""))&lt;&gt;"",IFERROR(INDEX('CAT_CENTROS_COSTO'!$E$4:$E$28,MATCH($F994,'CAT_CENTROS_COSTO'!$A$4:$A$28,0)),""),$Y994))</f>
        <v/>
      </c>
      <c r="AA994" s="24">
        <f>IF($F994="","",IFERROR(INDEX('CAT_CENTROS_COSTO'!$G$4:$G$28,MATCH($F994,'CAT_CENTROS_COSTO'!$A$4:$A$28,0)),"(sin catálogo)"))</f>
        <v/>
      </c>
      <c r="AB994" s="24">
        <f>IF($G994="","",IFERROR(INDEX('CAT_PUESTOS'!$B$4:$B$23,MATCH($G994,'CAT_PUESTOS'!$A$4:$A$23,0)),"(sin catálogo)"))</f>
        <v/>
      </c>
      <c r="AC994" s="24">
        <f>IF($H994="","",IFERROR(INDEX('CAT_ACTIVIDADES'!$B$4:$B$26,MATCH($H994,'CAT_ACTIVIDADES'!$A$4:$A$26,0)),"(sin catálogo)"))</f>
        <v/>
      </c>
      <c r="AD994" s="26">
        <f>IF($J994="","",TODAY()-$J994)</f>
        <v/>
      </c>
      <c r="AE994" s="26">
        <f>IF($J994="","",IF($J994&lt;=TODAY(),COUNTIFS(cal_fechas,"&gt;="&amp;$J994,cal_fechas,"&lt;"&amp;TODAY(),cal_habil,"sí"),-COUNTIFS(cal_fechas,"&gt;="&amp;TODAY(),cal_fechas,"&lt;"&amp;$J994,cal_habil,"sí")))</f>
        <v/>
      </c>
      <c r="AF994" s="24">
        <f>IF($AE994="","",IF($AE994&lt;0,"FUTURO",IF($AE994&gt;p_dias_backlog_max,"BACKLOG","MES CORRIENTE")))</f>
        <v/>
      </c>
      <c r="AG994" s="24">
        <f>IF($AE994="",FALSE,AND($AE994&gt;p_dias_backlog_min,$AE994&lt;=p_dias_backlog_max))</f>
        <v/>
      </c>
      <c r="AH994" s="4" t="n"/>
      <c r="AI994" s="24">
        <f>IF($AH994="","",IF((IFERROR(INDEX('ASIGNACIONES'!$J$4:$J$451,MATCH($O994&amp;"|"&amp;$S994&amp;"|"&amp;$AH994,'ASIGNACIONES'!$N$4:$N$451,0)),""))=0,"",IFERROR(INDEX('ASIGNACIONES'!$J$4:$J$451,MATCH($O994&amp;"|"&amp;$S994&amp;"|"&amp;$AH994,'ASIGNACIONES'!$N$4:$N$451,0)),"")))</f>
        <v/>
      </c>
      <c r="AJ994" s="42">
        <f>IF($AH994="","",SUMIFS('ORDENES'!$M$4:$M$1203,'ORDENES'!$AH$4:$AH$1203,$AH994,'ORDENES'!$O$4:$O$1203,$O994,'ORDENES'!$S$4:$S$1203,$S994))</f>
        <v/>
      </c>
      <c r="AK994" s="42">
        <f>IF($AJ994="","",p_factor_productividad*IFERROR(INDEX('ASIGNACIONES'!$M$4:$M$451,MATCH($O994&amp;"|"&amp;$S994&amp;"|"&amp;$AH994,'ASIGNACIONES'!$N$4:$N$451,0)),0)-$AJ994)</f>
        <v/>
      </c>
      <c r="AL994" s="32">
        <f>IF($A994="","",IFERROR(INDEX('2_IMPORTAR_EJECUCION'!$F$9:$F$1208,MATCH($AU994,'2_IMPORTAR_EJECUCION'!$J$9:$J$1208,0)),0))</f>
        <v/>
      </c>
      <c r="AM994" s="32">
        <f>IF($A994="","",MAX(0,IFERROR(INDEX('2_IMPORTAR_EJECUCION'!$H$9:$H$1208,MATCH($AU994,'2_IMPORTAR_EJECUCION'!$J$9:$J$1208,0)),0)-$AL994))</f>
        <v/>
      </c>
      <c r="AN994" s="32">
        <f>IF($A994="","",$AL994+$AM994)</f>
        <v/>
      </c>
      <c r="AO994" s="24">
        <f>IF($A994="","",IF(OR((IFERROR(INDEX('CAT_ACTIVIDADES'!$D$4:$D$26,MATCH($H994,'CAT_ACTIVIDADES'!$A$4:$A$26,0)),""))=0,(IFERROR(INDEX('CAT_ACTIVIDADES'!$D$4:$D$26,MATCH($H994,'CAT_ACTIVIDADES'!$A$4:$A$26,0)),""))=""),"SIN CLASIFICAR",IFERROR(INDEX('CAT_ACTIVIDADES'!$D$4:$D$26,MATCH($H994,'CAT_ACTIVIDADES'!$A$4:$A$26,0)),"")))</f>
        <v/>
      </c>
      <c r="AP994" s="4" t="n"/>
      <c r="AQ994" s="4" t="n"/>
      <c r="AR994" s="4" t="n"/>
      <c r="AS994" s="24">
        <f>IF($AR994="","",HYPERLINK(p_ruta_base_checklists&amp;$AR994,"abrir"))</f>
        <v/>
      </c>
      <c r="AT994" s="4" t="n"/>
      <c r="AU994" s="24">
        <f>IF($A994="","",$A994&amp;IF($B994="","0010",$B994))</f>
        <v/>
      </c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41" t="n"/>
      <c r="K995" s="5" t="n"/>
      <c r="L995" s="18" t="n"/>
      <c r="M995" s="24">
        <f>IF($A995="","",IFERROR(INDEX('AJUSTES'!$B$4:$B$303,MATCH($AU995,'AJUSTES'!$A$4:$A$303,0)),IF($K995="","",$K995)))</f>
        <v/>
      </c>
      <c r="N995" s="24">
        <f>IF($A995="","",IFERROR(INDEX('CAT_ESTADOS_ERP'!$B$4:$B$22,MATCH(IFERROR(INDEX('2_IMPORTAR_EJECUCION'!$C$9:$C$1208,MATCH($AU995,'2_IMPORTAR_EJECUCION'!$J$9:$J$1208,0)),""),'CAT_ESTADOS_ERP'!$A$4:$A$22,0)),"Pendiente"))</f>
        <v/>
      </c>
      <c r="O995" s="24">
        <f>IF($J995="","",YEAR($J995+4-WEEKDAY($J995,2))&amp;"-S"&amp;TEXT(_xlfn.ISOWEEKNUM($J995),"00"))</f>
        <v/>
      </c>
      <c r="P995" s="24">
        <f>IF($J995="","",YEAR($J995))</f>
        <v/>
      </c>
      <c r="Q995" s="24">
        <f>IF($J995="","",MONTH($J995))</f>
        <v/>
      </c>
      <c r="R995" s="24">
        <f>IF($J995="","",$P995&amp;"-"&amp;TEXT($Q995,"00"))</f>
        <v/>
      </c>
      <c r="S995" s="24">
        <f>IF($J995="","",INDEX(lista_dias,WEEKDAY($J995,2)))</f>
        <v/>
      </c>
      <c r="T995" s="24">
        <f>IF($J995="","",IFERROR(INDEX('CALENDARIO'!$C$15:$C$214,MATCH(TEXT($J995,"yyyy-mm-dd")&amp;"|"&amp;$Y995&amp;"|"&amp;$Z995,'CALENDARIO'!$G$15:$G$214,0)),IFERROR(INDEX('CALENDARIO'!$C$15:$C$214,MATCH(TEXT($J995,"yyyy-mm-dd")&amp;"|"&amp;$Y995&amp;"|",'CALENDARIO'!$G$15:$G$214,0)),IFERROR(INDEX('CALENDARIO'!$C$15:$C$214,MATCH(TEXT($J995,"yyyy-mm-dd")&amp;"||",'CALENDARIO'!$G$15:$G$214,0)),INDEX(patronHabil,WEEKDAY($J995,2))))))</f>
        <v/>
      </c>
      <c r="U995" s="24">
        <f>IF($I995="","",IFERROR(INDEX('CAT_TIPOS_OT'!$C$4:$C$23,MATCH($I995,'CAT_TIPOS_OT'!$A$4:$A$23,0)),"sin_clasificar"))</f>
        <v/>
      </c>
      <c r="V995" s="24">
        <f>IF($I995="","",IF(IFERROR(INDEX('CAT_TIPOS_OT'!$D$4:$D$23,MATCH($I995,'CAT_TIPOS_OT'!$A$4:$A$23,0)),"SIN CLASIFICAR")="","SIN CLASIFICAR",IFERROR(INDEX('CAT_TIPOS_OT'!$D$4:$D$23,MATCH($I995,'CAT_TIPOS_OT'!$A$4:$A$23,0)),"SIN CLASIFICAR")))</f>
        <v/>
      </c>
      <c r="W995" s="24">
        <f>IF($H995="","",IF(IFERROR(INDEX('CAT_ACTIVIDADES'!$F$4:$F$26,MATCH($H995,'CAT_ACTIVIDADES'!$A$4:$A$26,0)),"")=0,"",IFERROR(INDEX('CAT_ACTIVIDADES'!$F$4:$F$26,MATCH($H995,'CAT_ACTIVIDADES'!$A$4:$A$26,0)),"")))</f>
        <v/>
      </c>
      <c r="X995" s="24">
        <f>IF($F995="","",IFERROR(INDEX('CAT_CENTROS_COSTO'!$F$4:$F$28,MATCH($F995,'CAT_CENTROS_COSTO'!$A$4:$A$28,0)),"(sin catálogo)"))</f>
        <v/>
      </c>
      <c r="Y995" s="24">
        <f>IF($F995="","",IFERROR(INDEX('CAT_CENTROS_COSTO'!$D$4:$D$28,MATCH($F995,'CAT_CENTROS_COSTO'!$A$4:$A$28,0)),"(sin catálogo)"))</f>
        <v/>
      </c>
      <c r="Z995" s="24">
        <f>IF($F995="","",IF((IFERROR(INDEX('CAT_CENTROS_COSTO'!$E$4:$E$28,MATCH($F995,'CAT_CENTROS_COSTO'!$A$4:$A$28,0)),""))&lt;&gt;"",IFERROR(INDEX('CAT_CENTROS_COSTO'!$E$4:$E$28,MATCH($F995,'CAT_CENTROS_COSTO'!$A$4:$A$28,0)),""),$Y995))</f>
        <v/>
      </c>
      <c r="AA995" s="24">
        <f>IF($F995="","",IFERROR(INDEX('CAT_CENTROS_COSTO'!$G$4:$G$28,MATCH($F995,'CAT_CENTROS_COSTO'!$A$4:$A$28,0)),"(sin catálogo)"))</f>
        <v/>
      </c>
      <c r="AB995" s="24">
        <f>IF($G995="","",IFERROR(INDEX('CAT_PUESTOS'!$B$4:$B$23,MATCH($G995,'CAT_PUESTOS'!$A$4:$A$23,0)),"(sin catálogo)"))</f>
        <v/>
      </c>
      <c r="AC995" s="24">
        <f>IF($H995="","",IFERROR(INDEX('CAT_ACTIVIDADES'!$B$4:$B$26,MATCH($H995,'CAT_ACTIVIDADES'!$A$4:$A$26,0)),"(sin catálogo)"))</f>
        <v/>
      </c>
      <c r="AD995" s="26">
        <f>IF($J995="","",TODAY()-$J995)</f>
        <v/>
      </c>
      <c r="AE995" s="26">
        <f>IF($J995="","",IF($J995&lt;=TODAY(),COUNTIFS(cal_fechas,"&gt;="&amp;$J995,cal_fechas,"&lt;"&amp;TODAY(),cal_habil,"sí"),-COUNTIFS(cal_fechas,"&gt;="&amp;TODAY(),cal_fechas,"&lt;"&amp;$J995,cal_habil,"sí")))</f>
        <v/>
      </c>
      <c r="AF995" s="24">
        <f>IF($AE995="","",IF($AE995&lt;0,"FUTURO",IF($AE995&gt;p_dias_backlog_max,"BACKLOG","MES CORRIENTE")))</f>
        <v/>
      </c>
      <c r="AG995" s="24">
        <f>IF($AE995="",FALSE,AND($AE995&gt;p_dias_backlog_min,$AE995&lt;=p_dias_backlog_max))</f>
        <v/>
      </c>
      <c r="AH995" s="4" t="n"/>
      <c r="AI995" s="24">
        <f>IF($AH995="","",IF((IFERROR(INDEX('ASIGNACIONES'!$J$4:$J$451,MATCH($O995&amp;"|"&amp;$S995&amp;"|"&amp;$AH995,'ASIGNACIONES'!$N$4:$N$451,0)),""))=0,"",IFERROR(INDEX('ASIGNACIONES'!$J$4:$J$451,MATCH($O995&amp;"|"&amp;$S995&amp;"|"&amp;$AH995,'ASIGNACIONES'!$N$4:$N$451,0)),"")))</f>
        <v/>
      </c>
      <c r="AJ995" s="42">
        <f>IF($AH995="","",SUMIFS('ORDENES'!$M$4:$M$1203,'ORDENES'!$AH$4:$AH$1203,$AH995,'ORDENES'!$O$4:$O$1203,$O995,'ORDENES'!$S$4:$S$1203,$S995))</f>
        <v/>
      </c>
      <c r="AK995" s="42">
        <f>IF($AJ995="","",p_factor_productividad*IFERROR(INDEX('ASIGNACIONES'!$M$4:$M$451,MATCH($O995&amp;"|"&amp;$S995&amp;"|"&amp;$AH995,'ASIGNACIONES'!$N$4:$N$451,0)),0)-$AJ995)</f>
        <v/>
      </c>
      <c r="AL995" s="32">
        <f>IF($A995="","",IFERROR(INDEX('2_IMPORTAR_EJECUCION'!$F$9:$F$1208,MATCH($AU995,'2_IMPORTAR_EJECUCION'!$J$9:$J$1208,0)),0))</f>
        <v/>
      </c>
      <c r="AM995" s="32">
        <f>IF($A995="","",MAX(0,IFERROR(INDEX('2_IMPORTAR_EJECUCION'!$H$9:$H$1208,MATCH($AU995,'2_IMPORTAR_EJECUCION'!$J$9:$J$1208,0)),0)-$AL995))</f>
        <v/>
      </c>
      <c r="AN995" s="32">
        <f>IF($A995="","",$AL995+$AM995)</f>
        <v/>
      </c>
      <c r="AO995" s="24">
        <f>IF($A995="","",IF(OR((IFERROR(INDEX('CAT_ACTIVIDADES'!$D$4:$D$26,MATCH($H995,'CAT_ACTIVIDADES'!$A$4:$A$26,0)),""))=0,(IFERROR(INDEX('CAT_ACTIVIDADES'!$D$4:$D$26,MATCH($H995,'CAT_ACTIVIDADES'!$A$4:$A$26,0)),""))=""),"SIN CLASIFICAR",IFERROR(INDEX('CAT_ACTIVIDADES'!$D$4:$D$26,MATCH($H995,'CAT_ACTIVIDADES'!$A$4:$A$26,0)),"")))</f>
        <v/>
      </c>
      <c r="AP995" s="4" t="n"/>
      <c r="AQ995" s="4" t="n"/>
      <c r="AR995" s="4" t="n"/>
      <c r="AS995" s="24">
        <f>IF($AR995="","",HYPERLINK(p_ruta_base_checklists&amp;$AR995,"abrir"))</f>
        <v/>
      </c>
      <c r="AT995" s="4" t="n"/>
      <c r="AU995" s="24">
        <f>IF($A995="","",$A995&amp;IF($B995="","0010",$B995))</f>
        <v/>
      </c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41" t="n"/>
      <c r="K996" s="5" t="n"/>
      <c r="L996" s="18" t="n"/>
      <c r="M996" s="24">
        <f>IF($A996="","",IFERROR(INDEX('AJUSTES'!$B$4:$B$303,MATCH($AU996,'AJUSTES'!$A$4:$A$303,0)),IF($K996="","",$K996)))</f>
        <v/>
      </c>
      <c r="N996" s="24">
        <f>IF($A996="","",IFERROR(INDEX('CAT_ESTADOS_ERP'!$B$4:$B$22,MATCH(IFERROR(INDEX('2_IMPORTAR_EJECUCION'!$C$9:$C$1208,MATCH($AU996,'2_IMPORTAR_EJECUCION'!$J$9:$J$1208,0)),""),'CAT_ESTADOS_ERP'!$A$4:$A$22,0)),"Pendiente"))</f>
        <v/>
      </c>
      <c r="O996" s="24">
        <f>IF($J996="","",YEAR($J996+4-WEEKDAY($J996,2))&amp;"-S"&amp;TEXT(_xlfn.ISOWEEKNUM($J996),"00"))</f>
        <v/>
      </c>
      <c r="P996" s="24">
        <f>IF($J996="","",YEAR($J996))</f>
        <v/>
      </c>
      <c r="Q996" s="24">
        <f>IF($J996="","",MONTH($J996))</f>
        <v/>
      </c>
      <c r="R996" s="24">
        <f>IF($J996="","",$P996&amp;"-"&amp;TEXT($Q996,"00"))</f>
        <v/>
      </c>
      <c r="S996" s="24">
        <f>IF($J996="","",INDEX(lista_dias,WEEKDAY($J996,2)))</f>
        <v/>
      </c>
      <c r="T996" s="24">
        <f>IF($J996="","",IFERROR(INDEX('CALENDARIO'!$C$15:$C$214,MATCH(TEXT($J996,"yyyy-mm-dd")&amp;"|"&amp;$Y996&amp;"|"&amp;$Z996,'CALENDARIO'!$G$15:$G$214,0)),IFERROR(INDEX('CALENDARIO'!$C$15:$C$214,MATCH(TEXT($J996,"yyyy-mm-dd")&amp;"|"&amp;$Y996&amp;"|",'CALENDARIO'!$G$15:$G$214,0)),IFERROR(INDEX('CALENDARIO'!$C$15:$C$214,MATCH(TEXT($J996,"yyyy-mm-dd")&amp;"||",'CALENDARIO'!$G$15:$G$214,0)),INDEX(patronHabil,WEEKDAY($J996,2))))))</f>
        <v/>
      </c>
      <c r="U996" s="24">
        <f>IF($I996="","",IFERROR(INDEX('CAT_TIPOS_OT'!$C$4:$C$23,MATCH($I996,'CAT_TIPOS_OT'!$A$4:$A$23,0)),"sin_clasificar"))</f>
        <v/>
      </c>
      <c r="V996" s="24">
        <f>IF($I996="","",IF(IFERROR(INDEX('CAT_TIPOS_OT'!$D$4:$D$23,MATCH($I996,'CAT_TIPOS_OT'!$A$4:$A$23,0)),"SIN CLASIFICAR")="","SIN CLASIFICAR",IFERROR(INDEX('CAT_TIPOS_OT'!$D$4:$D$23,MATCH($I996,'CAT_TIPOS_OT'!$A$4:$A$23,0)),"SIN CLASIFICAR")))</f>
        <v/>
      </c>
      <c r="W996" s="24">
        <f>IF($H996="","",IF(IFERROR(INDEX('CAT_ACTIVIDADES'!$F$4:$F$26,MATCH($H996,'CAT_ACTIVIDADES'!$A$4:$A$26,0)),"")=0,"",IFERROR(INDEX('CAT_ACTIVIDADES'!$F$4:$F$26,MATCH($H996,'CAT_ACTIVIDADES'!$A$4:$A$26,0)),"")))</f>
        <v/>
      </c>
      <c r="X996" s="24">
        <f>IF($F996="","",IFERROR(INDEX('CAT_CENTROS_COSTO'!$F$4:$F$28,MATCH($F996,'CAT_CENTROS_COSTO'!$A$4:$A$28,0)),"(sin catálogo)"))</f>
        <v/>
      </c>
      <c r="Y996" s="24">
        <f>IF($F996="","",IFERROR(INDEX('CAT_CENTROS_COSTO'!$D$4:$D$28,MATCH($F996,'CAT_CENTROS_COSTO'!$A$4:$A$28,0)),"(sin catálogo)"))</f>
        <v/>
      </c>
      <c r="Z996" s="24">
        <f>IF($F996="","",IF((IFERROR(INDEX('CAT_CENTROS_COSTO'!$E$4:$E$28,MATCH($F996,'CAT_CENTROS_COSTO'!$A$4:$A$28,0)),""))&lt;&gt;"",IFERROR(INDEX('CAT_CENTROS_COSTO'!$E$4:$E$28,MATCH($F996,'CAT_CENTROS_COSTO'!$A$4:$A$28,0)),""),$Y996))</f>
        <v/>
      </c>
      <c r="AA996" s="24">
        <f>IF($F996="","",IFERROR(INDEX('CAT_CENTROS_COSTO'!$G$4:$G$28,MATCH($F996,'CAT_CENTROS_COSTO'!$A$4:$A$28,0)),"(sin catálogo)"))</f>
        <v/>
      </c>
      <c r="AB996" s="24">
        <f>IF($G996="","",IFERROR(INDEX('CAT_PUESTOS'!$B$4:$B$23,MATCH($G996,'CAT_PUESTOS'!$A$4:$A$23,0)),"(sin catálogo)"))</f>
        <v/>
      </c>
      <c r="AC996" s="24">
        <f>IF($H996="","",IFERROR(INDEX('CAT_ACTIVIDADES'!$B$4:$B$26,MATCH($H996,'CAT_ACTIVIDADES'!$A$4:$A$26,0)),"(sin catálogo)"))</f>
        <v/>
      </c>
      <c r="AD996" s="26">
        <f>IF($J996="","",TODAY()-$J996)</f>
        <v/>
      </c>
      <c r="AE996" s="26">
        <f>IF($J996="","",IF($J996&lt;=TODAY(),COUNTIFS(cal_fechas,"&gt;="&amp;$J996,cal_fechas,"&lt;"&amp;TODAY(),cal_habil,"sí"),-COUNTIFS(cal_fechas,"&gt;="&amp;TODAY(),cal_fechas,"&lt;"&amp;$J996,cal_habil,"sí")))</f>
        <v/>
      </c>
      <c r="AF996" s="24">
        <f>IF($AE996="","",IF($AE996&lt;0,"FUTURO",IF($AE996&gt;p_dias_backlog_max,"BACKLOG","MES CORRIENTE")))</f>
        <v/>
      </c>
      <c r="AG996" s="24">
        <f>IF($AE996="",FALSE,AND($AE996&gt;p_dias_backlog_min,$AE996&lt;=p_dias_backlog_max))</f>
        <v/>
      </c>
      <c r="AH996" s="4" t="n"/>
      <c r="AI996" s="24">
        <f>IF($AH996="","",IF((IFERROR(INDEX('ASIGNACIONES'!$J$4:$J$451,MATCH($O996&amp;"|"&amp;$S996&amp;"|"&amp;$AH996,'ASIGNACIONES'!$N$4:$N$451,0)),""))=0,"",IFERROR(INDEX('ASIGNACIONES'!$J$4:$J$451,MATCH($O996&amp;"|"&amp;$S996&amp;"|"&amp;$AH996,'ASIGNACIONES'!$N$4:$N$451,0)),"")))</f>
        <v/>
      </c>
      <c r="AJ996" s="42">
        <f>IF($AH996="","",SUMIFS('ORDENES'!$M$4:$M$1203,'ORDENES'!$AH$4:$AH$1203,$AH996,'ORDENES'!$O$4:$O$1203,$O996,'ORDENES'!$S$4:$S$1203,$S996))</f>
        <v/>
      </c>
      <c r="AK996" s="42">
        <f>IF($AJ996="","",p_factor_productividad*IFERROR(INDEX('ASIGNACIONES'!$M$4:$M$451,MATCH($O996&amp;"|"&amp;$S996&amp;"|"&amp;$AH996,'ASIGNACIONES'!$N$4:$N$451,0)),0)-$AJ996)</f>
        <v/>
      </c>
      <c r="AL996" s="32">
        <f>IF($A996="","",IFERROR(INDEX('2_IMPORTAR_EJECUCION'!$F$9:$F$1208,MATCH($AU996,'2_IMPORTAR_EJECUCION'!$J$9:$J$1208,0)),0))</f>
        <v/>
      </c>
      <c r="AM996" s="32">
        <f>IF($A996="","",MAX(0,IFERROR(INDEX('2_IMPORTAR_EJECUCION'!$H$9:$H$1208,MATCH($AU996,'2_IMPORTAR_EJECUCION'!$J$9:$J$1208,0)),0)-$AL996))</f>
        <v/>
      </c>
      <c r="AN996" s="32">
        <f>IF($A996="","",$AL996+$AM996)</f>
        <v/>
      </c>
      <c r="AO996" s="24">
        <f>IF($A996="","",IF(OR((IFERROR(INDEX('CAT_ACTIVIDADES'!$D$4:$D$26,MATCH($H996,'CAT_ACTIVIDADES'!$A$4:$A$26,0)),""))=0,(IFERROR(INDEX('CAT_ACTIVIDADES'!$D$4:$D$26,MATCH($H996,'CAT_ACTIVIDADES'!$A$4:$A$26,0)),""))=""),"SIN CLASIFICAR",IFERROR(INDEX('CAT_ACTIVIDADES'!$D$4:$D$26,MATCH($H996,'CAT_ACTIVIDADES'!$A$4:$A$26,0)),"")))</f>
        <v/>
      </c>
      <c r="AP996" s="4" t="n"/>
      <c r="AQ996" s="4" t="n"/>
      <c r="AR996" s="4" t="n"/>
      <c r="AS996" s="24">
        <f>IF($AR996="","",HYPERLINK(p_ruta_base_checklists&amp;$AR996,"abrir"))</f>
        <v/>
      </c>
      <c r="AT996" s="4" t="n"/>
      <c r="AU996" s="24">
        <f>IF($A996="","",$A996&amp;IF($B996="","0010",$B996))</f>
        <v/>
      </c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41" t="n"/>
      <c r="K997" s="5" t="n"/>
      <c r="L997" s="18" t="n"/>
      <c r="M997" s="24">
        <f>IF($A997="","",IFERROR(INDEX('AJUSTES'!$B$4:$B$303,MATCH($AU997,'AJUSTES'!$A$4:$A$303,0)),IF($K997="","",$K997)))</f>
        <v/>
      </c>
      <c r="N997" s="24">
        <f>IF($A997="","",IFERROR(INDEX('CAT_ESTADOS_ERP'!$B$4:$B$22,MATCH(IFERROR(INDEX('2_IMPORTAR_EJECUCION'!$C$9:$C$1208,MATCH($AU997,'2_IMPORTAR_EJECUCION'!$J$9:$J$1208,0)),""),'CAT_ESTADOS_ERP'!$A$4:$A$22,0)),"Pendiente"))</f>
        <v/>
      </c>
      <c r="O997" s="24">
        <f>IF($J997="","",YEAR($J997+4-WEEKDAY($J997,2))&amp;"-S"&amp;TEXT(_xlfn.ISOWEEKNUM($J997),"00"))</f>
        <v/>
      </c>
      <c r="P997" s="24">
        <f>IF($J997="","",YEAR($J997))</f>
        <v/>
      </c>
      <c r="Q997" s="24">
        <f>IF($J997="","",MONTH($J997))</f>
        <v/>
      </c>
      <c r="R997" s="24">
        <f>IF($J997="","",$P997&amp;"-"&amp;TEXT($Q997,"00"))</f>
        <v/>
      </c>
      <c r="S997" s="24">
        <f>IF($J997="","",INDEX(lista_dias,WEEKDAY($J997,2)))</f>
        <v/>
      </c>
      <c r="T997" s="24">
        <f>IF($J997="","",IFERROR(INDEX('CALENDARIO'!$C$15:$C$214,MATCH(TEXT($J997,"yyyy-mm-dd")&amp;"|"&amp;$Y997&amp;"|"&amp;$Z997,'CALENDARIO'!$G$15:$G$214,0)),IFERROR(INDEX('CALENDARIO'!$C$15:$C$214,MATCH(TEXT($J997,"yyyy-mm-dd")&amp;"|"&amp;$Y997&amp;"|",'CALENDARIO'!$G$15:$G$214,0)),IFERROR(INDEX('CALENDARIO'!$C$15:$C$214,MATCH(TEXT($J997,"yyyy-mm-dd")&amp;"||",'CALENDARIO'!$G$15:$G$214,0)),INDEX(patronHabil,WEEKDAY($J997,2))))))</f>
        <v/>
      </c>
      <c r="U997" s="24">
        <f>IF($I997="","",IFERROR(INDEX('CAT_TIPOS_OT'!$C$4:$C$23,MATCH($I997,'CAT_TIPOS_OT'!$A$4:$A$23,0)),"sin_clasificar"))</f>
        <v/>
      </c>
      <c r="V997" s="24">
        <f>IF($I997="","",IF(IFERROR(INDEX('CAT_TIPOS_OT'!$D$4:$D$23,MATCH($I997,'CAT_TIPOS_OT'!$A$4:$A$23,0)),"SIN CLASIFICAR")="","SIN CLASIFICAR",IFERROR(INDEX('CAT_TIPOS_OT'!$D$4:$D$23,MATCH($I997,'CAT_TIPOS_OT'!$A$4:$A$23,0)),"SIN CLASIFICAR")))</f>
        <v/>
      </c>
      <c r="W997" s="24">
        <f>IF($H997="","",IF(IFERROR(INDEX('CAT_ACTIVIDADES'!$F$4:$F$26,MATCH($H997,'CAT_ACTIVIDADES'!$A$4:$A$26,0)),"")=0,"",IFERROR(INDEX('CAT_ACTIVIDADES'!$F$4:$F$26,MATCH($H997,'CAT_ACTIVIDADES'!$A$4:$A$26,0)),"")))</f>
        <v/>
      </c>
      <c r="X997" s="24">
        <f>IF($F997="","",IFERROR(INDEX('CAT_CENTROS_COSTO'!$F$4:$F$28,MATCH($F997,'CAT_CENTROS_COSTO'!$A$4:$A$28,0)),"(sin catálogo)"))</f>
        <v/>
      </c>
      <c r="Y997" s="24">
        <f>IF($F997="","",IFERROR(INDEX('CAT_CENTROS_COSTO'!$D$4:$D$28,MATCH($F997,'CAT_CENTROS_COSTO'!$A$4:$A$28,0)),"(sin catálogo)"))</f>
        <v/>
      </c>
      <c r="Z997" s="24">
        <f>IF($F997="","",IF((IFERROR(INDEX('CAT_CENTROS_COSTO'!$E$4:$E$28,MATCH($F997,'CAT_CENTROS_COSTO'!$A$4:$A$28,0)),""))&lt;&gt;"",IFERROR(INDEX('CAT_CENTROS_COSTO'!$E$4:$E$28,MATCH($F997,'CAT_CENTROS_COSTO'!$A$4:$A$28,0)),""),$Y997))</f>
        <v/>
      </c>
      <c r="AA997" s="24">
        <f>IF($F997="","",IFERROR(INDEX('CAT_CENTROS_COSTO'!$G$4:$G$28,MATCH($F997,'CAT_CENTROS_COSTO'!$A$4:$A$28,0)),"(sin catálogo)"))</f>
        <v/>
      </c>
      <c r="AB997" s="24">
        <f>IF($G997="","",IFERROR(INDEX('CAT_PUESTOS'!$B$4:$B$23,MATCH($G997,'CAT_PUESTOS'!$A$4:$A$23,0)),"(sin catálogo)"))</f>
        <v/>
      </c>
      <c r="AC997" s="24">
        <f>IF($H997="","",IFERROR(INDEX('CAT_ACTIVIDADES'!$B$4:$B$26,MATCH($H997,'CAT_ACTIVIDADES'!$A$4:$A$26,0)),"(sin catálogo)"))</f>
        <v/>
      </c>
      <c r="AD997" s="26">
        <f>IF($J997="","",TODAY()-$J997)</f>
        <v/>
      </c>
      <c r="AE997" s="26">
        <f>IF($J997="","",IF($J997&lt;=TODAY(),COUNTIFS(cal_fechas,"&gt;="&amp;$J997,cal_fechas,"&lt;"&amp;TODAY(),cal_habil,"sí"),-COUNTIFS(cal_fechas,"&gt;="&amp;TODAY(),cal_fechas,"&lt;"&amp;$J997,cal_habil,"sí")))</f>
        <v/>
      </c>
      <c r="AF997" s="24">
        <f>IF($AE997="","",IF($AE997&lt;0,"FUTURO",IF($AE997&gt;p_dias_backlog_max,"BACKLOG","MES CORRIENTE")))</f>
        <v/>
      </c>
      <c r="AG997" s="24">
        <f>IF($AE997="",FALSE,AND($AE997&gt;p_dias_backlog_min,$AE997&lt;=p_dias_backlog_max))</f>
        <v/>
      </c>
      <c r="AH997" s="4" t="n"/>
      <c r="AI997" s="24">
        <f>IF($AH997="","",IF((IFERROR(INDEX('ASIGNACIONES'!$J$4:$J$451,MATCH($O997&amp;"|"&amp;$S997&amp;"|"&amp;$AH997,'ASIGNACIONES'!$N$4:$N$451,0)),""))=0,"",IFERROR(INDEX('ASIGNACIONES'!$J$4:$J$451,MATCH($O997&amp;"|"&amp;$S997&amp;"|"&amp;$AH997,'ASIGNACIONES'!$N$4:$N$451,0)),"")))</f>
        <v/>
      </c>
      <c r="AJ997" s="42">
        <f>IF($AH997="","",SUMIFS('ORDENES'!$M$4:$M$1203,'ORDENES'!$AH$4:$AH$1203,$AH997,'ORDENES'!$O$4:$O$1203,$O997,'ORDENES'!$S$4:$S$1203,$S997))</f>
        <v/>
      </c>
      <c r="AK997" s="42">
        <f>IF($AJ997="","",p_factor_productividad*IFERROR(INDEX('ASIGNACIONES'!$M$4:$M$451,MATCH($O997&amp;"|"&amp;$S997&amp;"|"&amp;$AH997,'ASIGNACIONES'!$N$4:$N$451,0)),0)-$AJ997)</f>
        <v/>
      </c>
      <c r="AL997" s="32">
        <f>IF($A997="","",IFERROR(INDEX('2_IMPORTAR_EJECUCION'!$F$9:$F$1208,MATCH($AU997,'2_IMPORTAR_EJECUCION'!$J$9:$J$1208,0)),0))</f>
        <v/>
      </c>
      <c r="AM997" s="32">
        <f>IF($A997="","",MAX(0,IFERROR(INDEX('2_IMPORTAR_EJECUCION'!$H$9:$H$1208,MATCH($AU997,'2_IMPORTAR_EJECUCION'!$J$9:$J$1208,0)),0)-$AL997))</f>
        <v/>
      </c>
      <c r="AN997" s="32">
        <f>IF($A997="","",$AL997+$AM997)</f>
        <v/>
      </c>
      <c r="AO997" s="24">
        <f>IF($A997="","",IF(OR((IFERROR(INDEX('CAT_ACTIVIDADES'!$D$4:$D$26,MATCH($H997,'CAT_ACTIVIDADES'!$A$4:$A$26,0)),""))=0,(IFERROR(INDEX('CAT_ACTIVIDADES'!$D$4:$D$26,MATCH($H997,'CAT_ACTIVIDADES'!$A$4:$A$26,0)),""))=""),"SIN CLASIFICAR",IFERROR(INDEX('CAT_ACTIVIDADES'!$D$4:$D$26,MATCH($H997,'CAT_ACTIVIDADES'!$A$4:$A$26,0)),"")))</f>
        <v/>
      </c>
      <c r="AP997" s="4" t="n"/>
      <c r="AQ997" s="4" t="n"/>
      <c r="AR997" s="4" t="n"/>
      <c r="AS997" s="24">
        <f>IF($AR997="","",HYPERLINK(p_ruta_base_checklists&amp;$AR997,"abrir"))</f>
        <v/>
      </c>
      <c r="AT997" s="4" t="n"/>
      <c r="AU997" s="24">
        <f>IF($A997="","",$A997&amp;IF($B997="","0010",$B997))</f>
        <v/>
      </c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41" t="n"/>
      <c r="K998" s="5" t="n"/>
      <c r="L998" s="18" t="n"/>
      <c r="M998" s="24">
        <f>IF($A998="","",IFERROR(INDEX('AJUSTES'!$B$4:$B$303,MATCH($AU998,'AJUSTES'!$A$4:$A$303,0)),IF($K998="","",$K998)))</f>
        <v/>
      </c>
      <c r="N998" s="24">
        <f>IF($A998="","",IFERROR(INDEX('CAT_ESTADOS_ERP'!$B$4:$B$22,MATCH(IFERROR(INDEX('2_IMPORTAR_EJECUCION'!$C$9:$C$1208,MATCH($AU998,'2_IMPORTAR_EJECUCION'!$J$9:$J$1208,0)),""),'CAT_ESTADOS_ERP'!$A$4:$A$22,0)),"Pendiente"))</f>
        <v/>
      </c>
      <c r="O998" s="24">
        <f>IF($J998="","",YEAR($J998+4-WEEKDAY($J998,2))&amp;"-S"&amp;TEXT(_xlfn.ISOWEEKNUM($J998),"00"))</f>
        <v/>
      </c>
      <c r="P998" s="24">
        <f>IF($J998="","",YEAR($J998))</f>
        <v/>
      </c>
      <c r="Q998" s="24">
        <f>IF($J998="","",MONTH($J998))</f>
        <v/>
      </c>
      <c r="R998" s="24">
        <f>IF($J998="","",$P998&amp;"-"&amp;TEXT($Q998,"00"))</f>
        <v/>
      </c>
      <c r="S998" s="24">
        <f>IF($J998="","",INDEX(lista_dias,WEEKDAY($J998,2)))</f>
        <v/>
      </c>
      <c r="T998" s="24">
        <f>IF($J998="","",IFERROR(INDEX('CALENDARIO'!$C$15:$C$214,MATCH(TEXT($J998,"yyyy-mm-dd")&amp;"|"&amp;$Y998&amp;"|"&amp;$Z998,'CALENDARIO'!$G$15:$G$214,0)),IFERROR(INDEX('CALENDARIO'!$C$15:$C$214,MATCH(TEXT($J998,"yyyy-mm-dd")&amp;"|"&amp;$Y998&amp;"|",'CALENDARIO'!$G$15:$G$214,0)),IFERROR(INDEX('CALENDARIO'!$C$15:$C$214,MATCH(TEXT($J998,"yyyy-mm-dd")&amp;"||",'CALENDARIO'!$G$15:$G$214,0)),INDEX(patronHabil,WEEKDAY($J998,2))))))</f>
        <v/>
      </c>
      <c r="U998" s="24">
        <f>IF($I998="","",IFERROR(INDEX('CAT_TIPOS_OT'!$C$4:$C$23,MATCH($I998,'CAT_TIPOS_OT'!$A$4:$A$23,0)),"sin_clasificar"))</f>
        <v/>
      </c>
      <c r="V998" s="24">
        <f>IF($I998="","",IF(IFERROR(INDEX('CAT_TIPOS_OT'!$D$4:$D$23,MATCH($I998,'CAT_TIPOS_OT'!$A$4:$A$23,0)),"SIN CLASIFICAR")="","SIN CLASIFICAR",IFERROR(INDEX('CAT_TIPOS_OT'!$D$4:$D$23,MATCH($I998,'CAT_TIPOS_OT'!$A$4:$A$23,0)),"SIN CLASIFICAR")))</f>
        <v/>
      </c>
      <c r="W998" s="24">
        <f>IF($H998="","",IF(IFERROR(INDEX('CAT_ACTIVIDADES'!$F$4:$F$26,MATCH($H998,'CAT_ACTIVIDADES'!$A$4:$A$26,0)),"")=0,"",IFERROR(INDEX('CAT_ACTIVIDADES'!$F$4:$F$26,MATCH($H998,'CAT_ACTIVIDADES'!$A$4:$A$26,0)),"")))</f>
        <v/>
      </c>
      <c r="X998" s="24">
        <f>IF($F998="","",IFERROR(INDEX('CAT_CENTROS_COSTO'!$F$4:$F$28,MATCH($F998,'CAT_CENTROS_COSTO'!$A$4:$A$28,0)),"(sin catálogo)"))</f>
        <v/>
      </c>
      <c r="Y998" s="24">
        <f>IF($F998="","",IFERROR(INDEX('CAT_CENTROS_COSTO'!$D$4:$D$28,MATCH($F998,'CAT_CENTROS_COSTO'!$A$4:$A$28,0)),"(sin catálogo)"))</f>
        <v/>
      </c>
      <c r="Z998" s="24">
        <f>IF($F998="","",IF((IFERROR(INDEX('CAT_CENTROS_COSTO'!$E$4:$E$28,MATCH($F998,'CAT_CENTROS_COSTO'!$A$4:$A$28,0)),""))&lt;&gt;"",IFERROR(INDEX('CAT_CENTROS_COSTO'!$E$4:$E$28,MATCH($F998,'CAT_CENTROS_COSTO'!$A$4:$A$28,0)),""),$Y998))</f>
        <v/>
      </c>
      <c r="AA998" s="24">
        <f>IF($F998="","",IFERROR(INDEX('CAT_CENTROS_COSTO'!$G$4:$G$28,MATCH($F998,'CAT_CENTROS_COSTO'!$A$4:$A$28,0)),"(sin catálogo)"))</f>
        <v/>
      </c>
      <c r="AB998" s="24">
        <f>IF($G998="","",IFERROR(INDEX('CAT_PUESTOS'!$B$4:$B$23,MATCH($G998,'CAT_PUESTOS'!$A$4:$A$23,0)),"(sin catálogo)"))</f>
        <v/>
      </c>
      <c r="AC998" s="24">
        <f>IF($H998="","",IFERROR(INDEX('CAT_ACTIVIDADES'!$B$4:$B$26,MATCH($H998,'CAT_ACTIVIDADES'!$A$4:$A$26,0)),"(sin catálogo)"))</f>
        <v/>
      </c>
      <c r="AD998" s="26">
        <f>IF($J998="","",TODAY()-$J998)</f>
        <v/>
      </c>
      <c r="AE998" s="26">
        <f>IF($J998="","",IF($J998&lt;=TODAY(),COUNTIFS(cal_fechas,"&gt;="&amp;$J998,cal_fechas,"&lt;"&amp;TODAY(),cal_habil,"sí"),-COUNTIFS(cal_fechas,"&gt;="&amp;TODAY(),cal_fechas,"&lt;"&amp;$J998,cal_habil,"sí")))</f>
        <v/>
      </c>
      <c r="AF998" s="24">
        <f>IF($AE998="","",IF($AE998&lt;0,"FUTURO",IF($AE998&gt;p_dias_backlog_max,"BACKLOG","MES CORRIENTE")))</f>
        <v/>
      </c>
      <c r="AG998" s="24">
        <f>IF($AE998="",FALSE,AND($AE998&gt;p_dias_backlog_min,$AE998&lt;=p_dias_backlog_max))</f>
        <v/>
      </c>
      <c r="AH998" s="4" t="n"/>
      <c r="AI998" s="24">
        <f>IF($AH998="","",IF((IFERROR(INDEX('ASIGNACIONES'!$J$4:$J$451,MATCH($O998&amp;"|"&amp;$S998&amp;"|"&amp;$AH998,'ASIGNACIONES'!$N$4:$N$451,0)),""))=0,"",IFERROR(INDEX('ASIGNACIONES'!$J$4:$J$451,MATCH($O998&amp;"|"&amp;$S998&amp;"|"&amp;$AH998,'ASIGNACIONES'!$N$4:$N$451,0)),"")))</f>
        <v/>
      </c>
      <c r="AJ998" s="42">
        <f>IF($AH998="","",SUMIFS('ORDENES'!$M$4:$M$1203,'ORDENES'!$AH$4:$AH$1203,$AH998,'ORDENES'!$O$4:$O$1203,$O998,'ORDENES'!$S$4:$S$1203,$S998))</f>
        <v/>
      </c>
      <c r="AK998" s="42">
        <f>IF($AJ998="","",p_factor_productividad*IFERROR(INDEX('ASIGNACIONES'!$M$4:$M$451,MATCH($O998&amp;"|"&amp;$S998&amp;"|"&amp;$AH998,'ASIGNACIONES'!$N$4:$N$451,0)),0)-$AJ998)</f>
        <v/>
      </c>
      <c r="AL998" s="32">
        <f>IF($A998="","",IFERROR(INDEX('2_IMPORTAR_EJECUCION'!$F$9:$F$1208,MATCH($AU998,'2_IMPORTAR_EJECUCION'!$J$9:$J$1208,0)),0))</f>
        <v/>
      </c>
      <c r="AM998" s="32">
        <f>IF($A998="","",MAX(0,IFERROR(INDEX('2_IMPORTAR_EJECUCION'!$H$9:$H$1208,MATCH($AU998,'2_IMPORTAR_EJECUCION'!$J$9:$J$1208,0)),0)-$AL998))</f>
        <v/>
      </c>
      <c r="AN998" s="32">
        <f>IF($A998="","",$AL998+$AM998)</f>
        <v/>
      </c>
      <c r="AO998" s="24">
        <f>IF($A998="","",IF(OR((IFERROR(INDEX('CAT_ACTIVIDADES'!$D$4:$D$26,MATCH($H998,'CAT_ACTIVIDADES'!$A$4:$A$26,0)),""))=0,(IFERROR(INDEX('CAT_ACTIVIDADES'!$D$4:$D$26,MATCH($H998,'CAT_ACTIVIDADES'!$A$4:$A$26,0)),""))=""),"SIN CLASIFICAR",IFERROR(INDEX('CAT_ACTIVIDADES'!$D$4:$D$26,MATCH($H998,'CAT_ACTIVIDADES'!$A$4:$A$26,0)),"")))</f>
        <v/>
      </c>
      <c r="AP998" s="4" t="n"/>
      <c r="AQ998" s="4" t="n"/>
      <c r="AR998" s="4" t="n"/>
      <c r="AS998" s="24">
        <f>IF($AR998="","",HYPERLINK(p_ruta_base_checklists&amp;$AR998,"abrir"))</f>
        <v/>
      </c>
      <c r="AT998" s="4" t="n"/>
      <c r="AU998" s="24">
        <f>IF($A998="","",$A998&amp;IF($B998="","0010",$B998))</f>
        <v/>
      </c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41" t="n"/>
      <c r="K999" s="5" t="n"/>
      <c r="L999" s="18" t="n"/>
      <c r="M999" s="24">
        <f>IF($A999="","",IFERROR(INDEX('AJUSTES'!$B$4:$B$303,MATCH($AU999,'AJUSTES'!$A$4:$A$303,0)),IF($K999="","",$K999)))</f>
        <v/>
      </c>
      <c r="N999" s="24">
        <f>IF($A999="","",IFERROR(INDEX('CAT_ESTADOS_ERP'!$B$4:$B$22,MATCH(IFERROR(INDEX('2_IMPORTAR_EJECUCION'!$C$9:$C$1208,MATCH($AU999,'2_IMPORTAR_EJECUCION'!$J$9:$J$1208,0)),""),'CAT_ESTADOS_ERP'!$A$4:$A$22,0)),"Pendiente"))</f>
        <v/>
      </c>
      <c r="O999" s="24">
        <f>IF($J999="","",YEAR($J999+4-WEEKDAY($J999,2))&amp;"-S"&amp;TEXT(_xlfn.ISOWEEKNUM($J999),"00"))</f>
        <v/>
      </c>
      <c r="P999" s="24">
        <f>IF($J999="","",YEAR($J999))</f>
        <v/>
      </c>
      <c r="Q999" s="24">
        <f>IF($J999="","",MONTH($J999))</f>
        <v/>
      </c>
      <c r="R999" s="24">
        <f>IF($J999="","",$P999&amp;"-"&amp;TEXT($Q999,"00"))</f>
        <v/>
      </c>
      <c r="S999" s="24">
        <f>IF($J999="","",INDEX(lista_dias,WEEKDAY($J999,2)))</f>
        <v/>
      </c>
      <c r="T999" s="24">
        <f>IF($J999="","",IFERROR(INDEX('CALENDARIO'!$C$15:$C$214,MATCH(TEXT($J999,"yyyy-mm-dd")&amp;"|"&amp;$Y999&amp;"|"&amp;$Z999,'CALENDARIO'!$G$15:$G$214,0)),IFERROR(INDEX('CALENDARIO'!$C$15:$C$214,MATCH(TEXT($J999,"yyyy-mm-dd")&amp;"|"&amp;$Y999&amp;"|",'CALENDARIO'!$G$15:$G$214,0)),IFERROR(INDEX('CALENDARIO'!$C$15:$C$214,MATCH(TEXT($J999,"yyyy-mm-dd")&amp;"||",'CALENDARIO'!$G$15:$G$214,0)),INDEX(patronHabil,WEEKDAY($J999,2))))))</f>
        <v/>
      </c>
      <c r="U999" s="24">
        <f>IF($I999="","",IFERROR(INDEX('CAT_TIPOS_OT'!$C$4:$C$23,MATCH($I999,'CAT_TIPOS_OT'!$A$4:$A$23,0)),"sin_clasificar"))</f>
        <v/>
      </c>
      <c r="V999" s="24">
        <f>IF($I999="","",IF(IFERROR(INDEX('CAT_TIPOS_OT'!$D$4:$D$23,MATCH($I999,'CAT_TIPOS_OT'!$A$4:$A$23,0)),"SIN CLASIFICAR")="","SIN CLASIFICAR",IFERROR(INDEX('CAT_TIPOS_OT'!$D$4:$D$23,MATCH($I999,'CAT_TIPOS_OT'!$A$4:$A$23,0)),"SIN CLASIFICAR")))</f>
        <v/>
      </c>
      <c r="W999" s="24">
        <f>IF($H999="","",IF(IFERROR(INDEX('CAT_ACTIVIDADES'!$F$4:$F$26,MATCH($H999,'CAT_ACTIVIDADES'!$A$4:$A$26,0)),"")=0,"",IFERROR(INDEX('CAT_ACTIVIDADES'!$F$4:$F$26,MATCH($H999,'CAT_ACTIVIDADES'!$A$4:$A$26,0)),"")))</f>
        <v/>
      </c>
      <c r="X999" s="24">
        <f>IF($F999="","",IFERROR(INDEX('CAT_CENTROS_COSTO'!$F$4:$F$28,MATCH($F999,'CAT_CENTROS_COSTO'!$A$4:$A$28,0)),"(sin catálogo)"))</f>
        <v/>
      </c>
      <c r="Y999" s="24">
        <f>IF($F999="","",IFERROR(INDEX('CAT_CENTROS_COSTO'!$D$4:$D$28,MATCH($F999,'CAT_CENTROS_COSTO'!$A$4:$A$28,0)),"(sin catálogo)"))</f>
        <v/>
      </c>
      <c r="Z999" s="24">
        <f>IF($F999="","",IF((IFERROR(INDEX('CAT_CENTROS_COSTO'!$E$4:$E$28,MATCH($F999,'CAT_CENTROS_COSTO'!$A$4:$A$28,0)),""))&lt;&gt;"",IFERROR(INDEX('CAT_CENTROS_COSTO'!$E$4:$E$28,MATCH($F999,'CAT_CENTROS_COSTO'!$A$4:$A$28,0)),""),$Y999))</f>
        <v/>
      </c>
      <c r="AA999" s="24">
        <f>IF($F999="","",IFERROR(INDEX('CAT_CENTROS_COSTO'!$G$4:$G$28,MATCH($F999,'CAT_CENTROS_COSTO'!$A$4:$A$28,0)),"(sin catálogo)"))</f>
        <v/>
      </c>
      <c r="AB999" s="24">
        <f>IF($G999="","",IFERROR(INDEX('CAT_PUESTOS'!$B$4:$B$23,MATCH($G999,'CAT_PUESTOS'!$A$4:$A$23,0)),"(sin catálogo)"))</f>
        <v/>
      </c>
      <c r="AC999" s="24">
        <f>IF($H999="","",IFERROR(INDEX('CAT_ACTIVIDADES'!$B$4:$B$26,MATCH($H999,'CAT_ACTIVIDADES'!$A$4:$A$26,0)),"(sin catálogo)"))</f>
        <v/>
      </c>
      <c r="AD999" s="26">
        <f>IF($J999="","",TODAY()-$J999)</f>
        <v/>
      </c>
      <c r="AE999" s="26">
        <f>IF($J999="","",IF($J999&lt;=TODAY(),COUNTIFS(cal_fechas,"&gt;="&amp;$J999,cal_fechas,"&lt;"&amp;TODAY(),cal_habil,"sí"),-COUNTIFS(cal_fechas,"&gt;="&amp;TODAY(),cal_fechas,"&lt;"&amp;$J999,cal_habil,"sí")))</f>
        <v/>
      </c>
      <c r="AF999" s="24">
        <f>IF($AE999="","",IF($AE999&lt;0,"FUTURO",IF($AE999&gt;p_dias_backlog_max,"BACKLOG","MES CORRIENTE")))</f>
        <v/>
      </c>
      <c r="AG999" s="24">
        <f>IF($AE999="",FALSE,AND($AE999&gt;p_dias_backlog_min,$AE999&lt;=p_dias_backlog_max))</f>
        <v/>
      </c>
      <c r="AH999" s="4" t="n"/>
      <c r="AI999" s="24">
        <f>IF($AH999="","",IF((IFERROR(INDEX('ASIGNACIONES'!$J$4:$J$451,MATCH($O999&amp;"|"&amp;$S999&amp;"|"&amp;$AH999,'ASIGNACIONES'!$N$4:$N$451,0)),""))=0,"",IFERROR(INDEX('ASIGNACIONES'!$J$4:$J$451,MATCH($O999&amp;"|"&amp;$S999&amp;"|"&amp;$AH999,'ASIGNACIONES'!$N$4:$N$451,0)),"")))</f>
        <v/>
      </c>
      <c r="AJ999" s="42">
        <f>IF($AH999="","",SUMIFS('ORDENES'!$M$4:$M$1203,'ORDENES'!$AH$4:$AH$1203,$AH999,'ORDENES'!$O$4:$O$1203,$O999,'ORDENES'!$S$4:$S$1203,$S999))</f>
        <v/>
      </c>
      <c r="AK999" s="42">
        <f>IF($AJ999="","",p_factor_productividad*IFERROR(INDEX('ASIGNACIONES'!$M$4:$M$451,MATCH($O999&amp;"|"&amp;$S999&amp;"|"&amp;$AH999,'ASIGNACIONES'!$N$4:$N$451,0)),0)-$AJ999)</f>
        <v/>
      </c>
      <c r="AL999" s="32">
        <f>IF($A999="","",IFERROR(INDEX('2_IMPORTAR_EJECUCION'!$F$9:$F$1208,MATCH($AU999,'2_IMPORTAR_EJECUCION'!$J$9:$J$1208,0)),0))</f>
        <v/>
      </c>
      <c r="AM999" s="32">
        <f>IF($A999="","",MAX(0,IFERROR(INDEX('2_IMPORTAR_EJECUCION'!$H$9:$H$1208,MATCH($AU999,'2_IMPORTAR_EJECUCION'!$J$9:$J$1208,0)),0)-$AL999))</f>
        <v/>
      </c>
      <c r="AN999" s="32">
        <f>IF($A999="","",$AL999+$AM999)</f>
        <v/>
      </c>
      <c r="AO999" s="24">
        <f>IF($A999="","",IF(OR((IFERROR(INDEX('CAT_ACTIVIDADES'!$D$4:$D$26,MATCH($H999,'CAT_ACTIVIDADES'!$A$4:$A$26,0)),""))=0,(IFERROR(INDEX('CAT_ACTIVIDADES'!$D$4:$D$26,MATCH($H999,'CAT_ACTIVIDADES'!$A$4:$A$26,0)),""))=""),"SIN CLASIFICAR",IFERROR(INDEX('CAT_ACTIVIDADES'!$D$4:$D$26,MATCH($H999,'CAT_ACTIVIDADES'!$A$4:$A$26,0)),"")))</f>
        <v/>
      </c>
      <c r="AP999" s="4" t="n"/>
      <c r="AQ999" s="4" t="n"/>
      <c r="AR999" s="4" t="n"/>
      <c r="AS999" s="24">
        <f>IF($AR999="","",HYPERLINK(p_ruta_base_checklists&amp;$AR999,"abrir"))</f>
        <v/>
      </c>
      <c r="AT999" s="4" t="n"/>
      <c r="AU999" s="24">
        <f>IF($A999="","",$A999&amp;IF($B999="","0010",$B999))</f>
        <v/>
      </c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41" t="n"/>
      <c r="K1000" s="5" t="n"/>
      <c r="L1000" s="18" t="n"/>
      <c r="M1000" s="24">
        <f>IF($A1000="","",IFERROR(INDEX('AJUSTES'!$B$4:$B$303,MATCH($AU1000,'AJUSTES'!$A$4:$A$303,0)),IF($K1000="","",$K1000)))</f>
        <v/>
      </c>
      <c r="N1000" s="24">
        <f>IF($A1000="","",IFERROR(INDEX('CAT_ESTADOS_ERP'!$B$4:$B$22,MATCH(IFERROR(INDEX('2_IMPORTAR_EJECUCION'!$C$9:$C$1208,MATCH($AU1000,'2_IMPORTAR_EJECUCION'!$J$9:$J$1208,0)),""),'CAT_ESTADOS_ERP'!$A$4:$A$22,0)),"Pendiente"))</f>
        <v/>
      </c>
      <c r="O1000" s="24">
        <f>IF($J1000="","",YEAR($J1000+4-WEEKDAY($J1000,2))&amp;"-S"&amp;TEXT(_xlfn.ISOWEEKNUM($J1000),"00"))</f>
        <v/>
      </c>
      <c r="P1000" s="24">
        <f>IF($J1000="","",YEAR($J1000))</f>
        <v/>
      </c>
      <c r="Q1000" s="24">
        <f>IF($J1000="","",MONTH($J1000))</f>
        <v/>
      </c>
      <c r="R1000" s="24">
        <f>IF($J1000="","",$P1000&amp;"-"&amp;TEXT($Q1000,"00"))</f>
        <v/>
      </c>
      <c r="S1000" s="24">
        <f>IF($J1000="","",INDEX(lista_dias,WEEKDAY($J1000,2)))</f>
        <v/>
      </c>
      <c r="T1000" s="24">
        <f>IF($J1000="","",IFERROR(INDEX('CALENDARIO'!$C$15:$C$214,MATCH(TEXT($J1000,"yyyy-mm-dd")&amp;"|"&amp;$Y1000&amp;"|"&amp;$Z1000,'CALENDARIO'!$G$15:$G$214,0)),IFERROR(INDEX('CALENDARIO'!$C$15:$C$214,MATCH(TEXT($J1000,"yyyy-mm-dd")&amp;"|"&amp;$Y1000&amp;"|",'CALENDARIO'!$G$15:$G$214,0)),IFERROR(INDEX('CALENDARIO'!$C$15:$C$214,MATCH(TEXT($J1000,"yyyy-mm-dd")&amp;"||",'CALENDARIO'!$G$15:$G$214,0)),INDEX(patronHabil,WEEKDAY($J1000,2))))))</f>
        <v/>
      </c>
      <c r="U1000" s="24">
        <f>IF($I1000="","",IFERROR(INDEX('CAT_TIPOS_OT'!$C$4:$C$23,MATCH($I1000,'CAT_TIPOS_OT'!$A$4:$A$23,0)),"sin_clasificar"))</f>
        <v/>
      </c>
      <c r="V1000" s="24">
        <f>IF($I1000="","",IF(IFERROR(INDEX('CAT_TIPOS_OT'!$D$4:$D$23,MATCH($I1000,'CAT_TIPOS_OT'!$A$4:$A$23,0)),"SIN CLASIFICAR")="","SIN CLASIFICAR",IFERROR(INDEX('CAT_TIPOS_OT'!$D$4:$D$23,MATCH($I1000,'CAT_TIPOS_OT'!$A$4:$A$23,0)),"SIN CLASIFICAR")))</f>
        <v/>
      </c>
      <c r="W1000" s="24">
        <f>IF($H1000="","",IF(IFERROR(INDEX('CAT_ACTIVIDADES'!$F$4:$F$26,MATCH($H1000,'CAT_ACTIVIDADES'!$A$4:$A$26,0)),"")=0,"",IFERROR(INDEX('CAT_ACTIVIDADES'!$F$4:$F$26,MATCH($H1000,'CAT_ACTIVIDADES'!$A$4:$A$26,0)),"")))</f>
        <v/>
      </c>
      <c r="X1000" s="24">
        <f>IF($F1000="","",IFERROR(INDEX('CAT_CENTROS_COSTO'!$F$4:$F$28,MATCH($F1000,'CAT_CENTROS_COSTO'!$A$4:$A$28,0)),"(sin catálogo)"))</f>
        <v/>
      </c>
      <c r="Y1000" s="24">
        <f>IF($F1000="","",IFERROR(INDEX('CAT_CENTROS_COSTO'!$D$4:$D$28,MATCH($F1000,'CAT_CENTROS_COSTO'!$A$4:$A$28,0)),"(sin catálogo)"))</f>
        <v/>
      </c>
      <c r="Z1000" s="24">
        <f>IF($F1000="","",IF((IFERROR(INDEX('CAT_CENTROS_COSTO'!$E$4:$E$28,MATCH($F1000,'CAT_CENTROS_COSTO'!$A$4:$A$28,0)),""))&lt;&gt;"",IFERROR(INDEX('CAT_CENTROS_COSTO'!$E$4:$E$28,MATCH($F1000,'CAT_CENTROS_COSTO'!$A$4:$A$28,0)),""),$Y1000))</f>
        <v/>
      </c>
      <c r="AA1000" s="24">
        <f>IF($F1000="","",IFERROR(INDEX('CAT_CENTROS_COSTO'!$G$4:$G$28,MATCH($F1000,'CAT_CENTROS_COSTO'!$A$4:$A$28,0)),"(sin catálogo)"))</f>
        <v/>
      </c>
      <c r="AB1000" s="24">
        <f>IF($G1000="","",IFERROR(INDEX('CAT_PUESTOS'!$B$4:$B$23,MATCH($G1000,'CAT_PUESTOS'!$A$4:$A$23,0)),"(sin catálogo)"))</f>
        <v/>
      </c>
      <c r="AC1000" s="24">
        <f>IF($H1000="","",IFERROR(INDEX('CAT_ACTIVIDADES'!$B$4:$B$26,MATCH($H1000,'CAT_ACTIVIDADES'!$A$4:$A$26,0)),"(sin catálogo)"))</f>
        <v/>
      </c>
      <c r="AD1000" s="26">
        <f>IF($J1000="","",TODAY()-$J1000)</f>
        <v/>
      </c>
      <c r="AE1000" s="26">
        <f>IF($J1000="","",IF($J1000&lt;=TODAY(),COUNTIFS(cal_fechas,"&gt;="&amp;$J1000,cal_fechas,"&lt;"&amp;TODAY(),cal_habil,"sí"),-COUNTIFS(cal_fechas,"&gt;="&amp;TODAY(),cal_fechas,"&lt;"&amp;$J1000,cal_habil,"sí")))</f>
        <v/>
      </c>
      <c r="AF1000" s="24">
        <f>IF($AE1000="","",IF($AE1000&lt;0,"FUTURO",IF($AE1000&gt;p_dias_backlog_max,"BACKLOG","MES CORRIENTE")))</f>
        <v/>
      </c>
      <c r="AG1000" s="24">
        <f>IF($AE1000="",FALSE,AND($AE1000&gt;p_dias_backlog_min,$AE1000&lt;=p_dias_backlog_max))</f>
        <v/>
      </c>
      <c r="AH1000" s="4" t="n"/>
      <c r="AI1000" s="24">
        <f>IF($AH1000="","",IF((IFERROR(INDEX('ASIGNACIONES'!$J$4:$J$451,MATCH($O1000&amp;"|"&amp;$S1000&amp;"|"&amp;$AH1000,'ASIGNACIONES'!$N$4:$N$451,0)),""))=0,"",IFERROR(INDEX('ASIGNACIONES'!$J$4:$J$451,MATCH($O1000&amp;"|"&amp;$S1000&amp;"|"&amp;$AH1000,'ASIGNACIONES'!$N$4:$N$451,0)),"")))</f>
        <v/>
      </c>
      <c r="AJ1000" s="42">
        <f>IF($AH1000="","",SUMIFS('ORDENES'!$M$4:$M$1203,'ORDENES'!$AH$4:$AH$1203,$AH1000,'ORDENES'!$O$4:$O$1203,$O1000,'ORDENES'!$S$4:$S$1203,$S1000))</f>
        <v/>
      </c>
      <c r="AK1000" s="42">
        <f>IF($AJ1000="","",p_factor_productividad*IFERROR(INDEX('ASIGNACIONES'!$M$4:$M$451,MATCH($O1000&amp;"|"&amp;$S1000&amp;"|"&amp;$AH1000,'ASIGNACIONES'!$N$4:$N$451,0)),0)-$AJ1000)</f>
        <v/>
      </c>
      <c r="AL1000" s="32">
        <f>IF($A1000="","",IFERROR(INDEX('2_IMPORTAR_EJECUCION'!$F$9:$F$1208,MATCH($AU1000,'2_IMPORTAR_EJECUCION'!$J$9:$J$1208,0)),0))</f>
        <v/>
      </c>
      <c r="AM1000" s="32">
        <f>IF($A1000="","",MAX(0,IFERROR(INDEX('2_IMPORTAR_EJECUCION'!$H$9:$H$1208,MATCH($AU1000,'2_IMPORTAR_EJECUCION'!$J$9:$J$1208,0)),0)-$AL1000))</f>
        <v/>
      </c>
      <c r="AN1000" s="32">
        <f>IF($A1000="","",$AL1000+$AM1000)</f>
        <v/>
      </c>
      <c r="AO1000" s="24">
        <f>IF($A1000="","",IF(OR((IFERROR(INDEX('CAT_ACTIVIDADES'!$D$4:$D$26,MATCH($H1000,'CAT_ACTIVIDADES'!$A$4:$A$26,0)),""))=0,(IFERROR(INDEX('CAT_ACTIVIDADES'!$D$4:$D$26,MATCH($H1000,'CAT_ACTIVIDADES'!$A$4:$A$26,0)),""))=""),"SIN CLASIFICAR",IFERROR(INDEX('CAT_ACTIVIDADES'!$D$4:$D$26,MATCH($H1000,'CAT_ACTIVIDADES'!$A$4:$A$26,0)),"")))</f>
        <v/>
      </c>
      <c r="AP1000" s="4" t="n"/>
      <c r="AQ1000" s="4" t="n"/>
      <c r="AR1000" s="4" t="n"/>
      <c r="AS1000" s="24">
        <f>IF($AR1000="","",HYPERLINK(p_ruta_base_checklists&amp;$AR1000,"abrir"))</f>
        <v/>
      </c>
      <c r="AT1000" s="4" t="n"/>
      <c r="AU1000" s="24">
        <f>IF($A1000="","",$A1000&amp;IF($B1000="","0010",$B1000))</f>
        <v/>
      </c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41" t="n"/>
      <c r="K1001" s="5" t="n"/>
      <c r="L1001" s="18" t="n"/>
      <c r="M1001" s="24">
        <f>IF($A1001="","",IFERROR(INDEX('AJUSTES'!$B$4:$B$303,MATCH($AU1001,'AJUSTES'!$A$4:$A$303,0)),IF($K1001="","",$K1001)))</f>
        <v/>
      </c>
      <c r="N1001" s="24">
        <f>IF($A1001="","",IFERROR(INDEX('CAT_ESTADOS_ERP'!$B$4:$B$22,MATCH(IFERROR(INDEX('2_IMPORTAR_EJECUCION'!$C$9:$C$1208,MATCH($AU1001,'2_IMPORTAR_EJECUCION'!$J$9:$J$1208,0)),""),'CAT_ESTADOS_ERP'!$A$4:$A$22,0)),"Pendiente"))</f>
        <v/>
      </c>
      <c r="O1001" s="24">
        <f>IF($J1001="","",YEAR($J1001+4-WEEKDAY($J1001,2))&amp;"-S"&amp;TEXT(_xlfn.ISOWEEKNUM($J1001),"00"))</f>
        <v/>
      </c>
      <c r="P1001" s="24">
        <f>IF($J1001="","",YEAR($J1001))</f>
        <v/>
      </c>
      <c r="Q1001" s="24">
        <f>IF($J1001="","",MONTH($J1001))</f>
        <v/>
      </c>
      <c r="R1001" s="24">
        <f>IF($J1001="","",$P1001&amp;"-"&amp;TEXT($Q1001,"00"))</f>
        <v/>
      </c>
      <c r="S1001" s="24">
        <f>IF($J1001="","",INDEX(lista_dias,WEEKDAY($J1001,2)))</f>
        <v/>
      </c>
      <c r="T1001" s="24">
        <f>IF($J1001="","",IFERROR(INDEX('CALENDARIO'!$C$15:$C$214,MATCH(TEXT($J1001,"yyyy-mm-dd")&amp;"|"&amp;$Y1001&amp;"|"&amp;$Z1001,'CALENDARIO'!$G$15:$G$214,0)),IFERROR(INDEX('CALENDARIO'!$C$15:$C$214,MATCH(TEXT($J1001,"yyyy-mm-dd")&amp;"|"&amp;$Y1001&amp;"|",'CALENDARIO'!$G$15:$G$214,0)),IFERROR(INDEX('CALENDARIO'!$C$15:$C$214,MATCH(TEXT($J1001,"yyyy-mm-dd")&amp;"||",'CALENDARIO'!$G$15:$G$214,0)),INDEX(patronHabil,WEEKDAY($J1001,2))))))</f>
        <v/>
      </c>
      <c r="U1001" s="24">
        <f>IF($I1001="","",IFERROR(INDEX('CAT_TIPOS_OT'!$C$4:$C$23,MATCH($I1001,'CAT_TIPOS_OT'!$A$4:$A$23,0)),"sin_clasificar"))</f>
        <v/>
      </c>
      <c r="V1001" s="24">
        <f>IF($I1001="","",IF(IFERROR(INDEX('CAT_TIPOS_OT'!$D$4:$D$23,MATCH($I1001,'CAT_TIPOS_OT'!$A$4:$A$23,0)),"SIN CLASIFICAR")="","SIN CLASIFICAR",IFERROR(INDEX('CAT_TIPOS_OT'!$D$4:$D$23,MATCH($I1001,'CAT_TIPOS_OT'!$A$4:$A$23,0)),"SIN CLASIFICAR")))</f>
        <v/>
      </c>
      <c r="W1001" s="24">
        <f>IF($H1001="","",IF(IFERROR(INDEX('CAT_ACTIVIDADES'!$F$4:$F$26,MATCH($H1001,'CAT_ACTIVIDADES'!$A$4:$A$26,0)),"")=0,"",IFERROR(INDEX('CAT_ACTIVIDADES'!$F$4:$F$26,MATCH($H1001,'CAT_ACTIVIDADES'!$A$4:$A$26,0)),"")))</f>
        <v/>
      </c>
      <c r="X1001" s="24">
        <f>IF($F1001="","",IFERROR(INDEX('CAT_CENTROS_COSTO'!$F$4:$F$28,MATCH($F1001,'CAT_CENTROS_COSTO'!$A$4:$A$28,0)),"(sin catálogo)"))</f>
        <v/>
      </c>
      <c r="Y1001" s="24">
        <f>IF($F1001="","",IFERROR(INDEX('CAT_CENTROS_COSTO'!$D$4:$D$28,MATCH($F1001,'CAT_CENTROS_COSTO'!$A$4:$A$28,0)),"(sin catálogo)"))</f>
        <v/>
      </c>
      <c r="Z1001" s="24">
        <f>IF($F1001="","",IF((IFERROR(INDEX('CAT_CENTROS_COSTO'!$E$4:$E$28,MATCH($F1001,'CAT_CENTROS_COSTO'!$A$4:$A$28,0)),""))&lt;&gt;"",IFERROR(INDEX('CAT_CENTROS_COSTO'!$E$4:$E$28,MATCH($F1001,'CAT_CENTROS_COSTO'!$A$4:$A$28,0)),""),$Y1001))</f>
        <v/>
      </c>
      <c r="AA1001" s="24">
        <f>IF($F1001="","",IFERROR(INDEX('CAT_CENTROS_COSTO'!$G$4:$G$28,MATCH($F1001,'CAT_CENTROS_COSTO'!$A$4:$A$28,0)),"(sin catálogo)"))</f>
        <v/>
      </c>
      <c r="AB1001" s="24">
        <f>IF($G1001="","",IFERROR(INDEX('CAT_PUESTOS'!$B$4:$B$23,MATCH($G1001,'CAT_PUESTOS'!$A$4:$A$23,0)),"(sin catálogo)"))</f>
        <v/>
      </c>
      <c r="AC1001" s="24">
        <f>IF($H1001="","",IFERROR(INDEX('CAT_ACTIVIDADES'!$B$4:$B$26,MATCH($H1001,'CAT_ACTIVIDADES'!$A$4:$A$26,0)),"(sin catálogo)"))</f>
        <v/>
      </c>
      <c r="AD1001" s="26">
        <f>IF($J1001="","",TODAY()-$J1001)</f>
        <v/>
      </c>
      <c r="AE1001" s="26">
        <f>IF($J1001="","",IF($J1001&lt;=TODAY(),COUNTIFS(cal_fechas,"&gt;="&amp;$J1001,cal_fechas,"&lt;"&amp;TODAY(),cal_habil,"sí"),-COUNTIFS(cal_fechas,"&gt;="&amp;TODAY(),cal_fechas,"&lt;"&amp;$J1001,cal_habil,"sí")))</f>
        <v/>
      </c>
      <c r="AF1001" s="24">
        <f>IF($AE1001="","",IF($AE1001&lt;0,"FUTURO",IF($AE1001&gt;p_dias_backlog_max,"BACKLOG","MES CORRIENTE")))</f>
        <v/>
      </c>
      <c r="AG1001" s="24">
        <f>IF($AE1001="",FALSE,AND($AE1001&gt;p_dias_backlog_min,$AE1001&lt;=p_dias_backlog_max))</f>
        <v/>
      </c>
      <c r="AH1001" s="4" t="n"/>
      <c r="AI1001" s="24">
        <f>IF($AH1001="","",IF((IFERROR(INDEX('ASIGNACIONES'!$J$4:$J$451,MATCH($O1001&amp;"|"&amp;$S1001&amp;"|"&amp;$AH1001,'ASIGNACIONES'!$N$4:$N$451,0)),""))=0,"",IFERROR(INDEX('ASIGNACIONES'!$J$4:$J$451,MATCH($O1001&amp;"|"&amp;$S1001&amp;"|"&amp;$AH1001,'ASIGNACIONES'!$N$4:$N$451,0)),"")))</f>
        <v/>
      </c>
      <c r="AJ1001" s="42">
        <f>IF($AH1001="","",SUMIFS('ORDENES'!$M$4:$M$1203,'ORDENES'!$AH$4:$AH$1203,$AH1001,'ORDENES'!$O$4:$O$1203,$O1001,'ORDENES'!$S$4:$S$1203,$S1001))</f>
        <v/>
      </c>
      <c r="AK1001" s="42">
        <f>IF($AJ1001="","",p_factor_productividad*IFERROR(INDEX('ASIGNACIONES'!$M$4:$M$451,MATCH($O1001&amp;"|"&amp;$S1001&amp;"|"&amp;$AH1001,'ASIGNACIONES'!$N$4:$N$451,0)),0)-$AJ1001)</f>
        <v/>
      </c>
      <c r="AL1001" s="32">
        <f>IF($A1001="","",IFERROR(INDEX('2_IMPORTAR_EJECUCION'!$F$9:$F$1208,MATCH($AU1001,'2_IMPORTAR_EJECUCION'!$J$9:$J$1208,0)),0))</f>
        <v/>
      </c>
      <c r="AM1001" s="32">
        <f>IF($A1001="","",MAX(0,IFERROR(INDEX('2_IMPORTAR_EJECUCION'!$H$9:$H$1208,MATCH($AU1001,'2_IMPORTAR_EJECUCION'!$J$9:$J$1208,0)),0)-$AL1001))</f>
        <v/>
      </c>
      <c r="AN1001" s="32">
        <f>IF($A1001="","",$AL1001+$AM1001)</f>
        <v/>
      </c>
      <c r="AO1001" s="24">
        <f>IF($A1001="","",IF(OR((IFERROR(INDEX('CAT_ACTIVIDADES'!$D$4:$D$26,MATCH($H1001,'CAT_ACTIVIDADES'!$A$4:$A$26,0)),""))=0,(IFERROR(INDEX('CAT_ACTIVIDADES'!$D$4:$D$26,MATCH($H1001,'CAT_ACTIVIDADES'!$A$4:$A$26,0)),""))=""),"SIN CLASIFICAR",IFERROR(INDEX('CAT_ACTIVIDADES'!$D$4:$D$26,MATCH($H1001,'CAT_ACTIVIDADES'!$A$4:$A$26,0)),"")))</f>
        <v/>
      </c>
      <c r="AP1001" s="4" t="n"/>
      <c r="AQ1001" s="4" t="n"/>
      <c r="AR1001" s="4" t="n"/>
      <c r="AS1001" s="24">
        <f>IF($AR1001="","",HYPERLINK(p_ruta_base_checklists&amp;$AR1001,"abrir"))</f>
        <v/>
      </c>
      <c r="AT1001" s="4" t="n"/>
      <c r="AU1001" s="24">
        <f>IF($A1001="","",$A1001&amp;IF($B1001="","0010",$B1001))</f>
        <v/>
      </c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41" t="n"/>
      <c r="K1002" s="5" t="n"/>
      <c r="L1002" s="18" t="n"/>
      <c r="M1002" s="24">
        <f>IF($A1002="","",IFERROR(INDEX('AJUSTES'!$B$4:$B$303,MATCH($AU1002,'AJUSTES'!$A$4:$A$303,0)),IF($K1002="","",$K1002)))</f>
        <v/>
      </c>
      <c r="N1002" s="24">
        <f>IF($A1002="","",IFERROR(INDEX('CAT_ESTADOS_ERP'!$B$4:$B$22,MATCH(IFERROR(INDEX('2_IMPORTAR_EJECUCION'!$C$9:$C$1208,MATCH($AU1002,'2_IMPORTAR_EJECUCION'!$J$9:$J$1208,0)),""),'CAT_ESTADOS_ERP'!$A$4:$A$22,0)),"Pendiente"))</f>
        <v/>
      </c>
      <c r="O1002" s="24">
        <f>IF($J1002="","",YEAR($J1002+4-WEEKDAY($J1002,2))&amp;"-S"&amp;TEXT(_xlfn.ISOWEEKNUM($J1002),"00"))</f>
        <v/>
      </c>
      <c r="P1002" s="24">
        <f>IF($J1002="","",YEAR($J1002))</f>
        <v/>
      </c>
      <c r="Q1002" s="24">
        <f>IF($J1002="","",MONTH($J1002))</f>
        <v/>
      </c>
      <c r="R1002" s="24">
        <f>IF($J1002="","",$P1002&amp;"-"&amp;TEXT($Q1002,"00"))</f>
        <v/>
      </c>
      <c r="S1002" s="24">
        <f>IF($J1002="","",INDEX(lista_dias,WEEKDAY($J1002,2)))</f>
        <v/>
      </c>
      <c r="T1002" s="24">
        <f>IF($J1002="","",IFERROR(INDEX('CALENDARIO'!$C$15:$C$214,MATCH(TEXT($J1002,"yyyy-mm-dd")&amp;"|"&amp;$Y1002&amp;"|"&amp;$Z1002,'CALENDARIO'!$G$15:$G$214,0)),IFERROR(INDEX('CALENDARIO'!$C$15:$C$214,MATCH(TEXT($J1002,"yyyy-mm-dd")&amp;"|"&amp;$Y1002&amp;"|",'CALENDARIO'!$G$15:$G$214,0)),IFERROR(INDEX('CALENDARIO'!$C$15:$C$214,MATCH(TEXT($J1002,"yyyy-mm-dd")&amp;"||",'CALENDARIO'!$G$15:$G$214,0)),INDEX(patronHabil,WEEKDAY($J1002,2))))))</f>
        <v/>
      </c>
      <c r="U1002" s="24">
        <f>IF($I1002="","",IFERROR(INDEX('CAT_TIPOS_OT'!$C$4:$C$23,MATCH($I1002,'CAT_TIPOS_OT'!$A$4:$A$23,0)),"sin_clasificar"))</f>
        <v/>
      </c>
      <c r="V1002" s="24">
        <f>IF($I1002="","",IF(IFERROR(INDEX('CAT_TIPOS_OT'!$D$4:$D$23,MATCH($I1002,'CAT_TIPOS_OT'!$A$4:$A$23,0)),"SIN CLASIFICAR")="","SIN CLASIFICAR",IFERROR(INDEX('CAT_TIPOS_OT'!$D$4:$D$23,MATCH($I1002,'CAT_TIPOS_OT'!$A$4:$A$23,0)),"SIN CLASIFICAR")))</f>
        <v/>
      </c>
      <c r="W1002" s="24">
        <f>IF($H1002="","",IF(IFERROR(INDEX('CAT_ACTIVIDADES'!$F$4:$F$26,MATCH($H1002,'CAT_ACTIVIDADES'!$A$4:$A$26,0)),"")=0,"",IFERROR(INDEX('CAT_ACTIVIDADES'!$F$4:$F$26,MATCH($H1002,'CAT_ACTIVIDADES'!$A$4:$A$26,0)),"")))</f>
        <v/>
      </c>
      <c r="X1002" s="24">
        <f>IF($F1002="","",IFERROR(INDEX('CAT_CENTROS_COSTO'!$F$4:$F$28,MATCH($F1002,'CAT_CENTROS_COSTO'!$A$4:$A$28,0)),"(sin catálogo)"))</f>
        <v/>
      </c>
      <c r="Y1002" s="24">
        <f>IF($F1002="","",IFERROR(INDEX('CAT_CENTROS_COSTO'!$D$4:$D$28,MATCH($F1002,'CAT_CENTROS_COSTO'!$A$4:$A$28,0)),"(sin catálogo)"))</f>
        <v/>
      </c>
      <c r="Z1002" s="24">
        <f>IF($F1002="","",IF((IFERROR(INDEX('CAT_CENTROS_COSTO'!$E$4:$E$28,MATCH($F1002,'CAT_CENTROS_COSTO'!$A$4:$A$28,0)),""))&lt;&gt;"",IFERROR(INDEX('CAT_CENTROS_COSTO'!$E$4:$E$28,MATCH($F1002,'CAT_CENTROS_COSTO'!$A$4:$A$28,0)),""),$Y1002))</f>
        <v/>
      </c>
      <c r="AA1002" s="24">
        <f>IF($F1002="","",IFERROR(INDEX('CAT_CENTROS_COSTO'!$G$4:$G$28,MATCH($F1002,'CAT_CENTROS_COSTO'!$A$4:$A$28,0)),"(sin catálogo)"))</f>
        <v/>
      </c>
      <c r="AB1002" s="24">
        <f>IF($G1002="","",IFERROR(INDEX('CAT_PUESTOS'!$B$4:$B$23,MATCH($G1002,'CAT_PUESTOS'!$A$4:$A$23,0)),"(sin catálogo)"))</f>
        <v/>
      </c>
      <c r="AC1002" s="24">
        <f>IF($H1002="","",IFERROR(INDEX('CAT_ACTIVIDADES'!$B$4:$B$26,MATCH($H1002,'CAT_ACTIVIDADES'!$A$4:$A$26,0)),"(sin catálogo)"))</f>
        <v/>
      </c>
      <c r="AD1002" s="26">
        <f>IF($J1002="","",TODAY()-$J1002)</f>
        <v/>
      </c>
      <c r="AE1002" s="26">
        <f>IF($J1002="","",IF($J1002&lt;=TODAY(),COUNTIFS(cal_fechas,"&gt;="&amp;$J1002,cal_fechas,"&lt;"&amp;TODAY(),cal_habil,"sí"),-COUNTIFS(cal_fechas,"&gt;="&amp;TODAY(),cal_fechas,"&lt;"&amp;$J1002,cal_habil,"sí")))</f>
        <v/>
      </c>
      <c r="AF1002" s="24">
        <f>IF($AE1002="","",IF($AE1002&lt;0,"FUTURO",IF($AE1002&gt;p_dias_backlog_max,"BACKLOG","MES CORRIENTE")))</f>
        <v/>
      </c>
      <c r="AG1002" s="24">
        <f>IF($AE1002="",FALSE,AND($AE1002&gt;p_dias_backlog_min,$AE1002&lt;=p_dias_backlog_max))</f>
        <v/>
      </c>
      <c r="AH1002" s="4" t="n"/>
      <c r="AI1002" s="24">
        <f>IF($AH1002="","",IF((IFERROR(INDEX('ASIGNACIONES'!$J$4:$J$451,MATCH($O1002&amp;"|"&amp;$S1002&amp;"|"&amp;$AH1002,'ASIGNACIONES'!$N$4:$N$451,0)),""))=0,"",IFERROR(INDEX('ASIGNACIONES'!$J$4:$J$451,MATCH($O1002&amp;"|"&amp;$S1002&amp;"|"&amp;$AH1002,'ASIGNACIONES'!$N$4:$N$451,0)),"")))</f>
        <v/>
      </c>
      <c r="AJ1002" s="42">
        <f>IF($AH1002="","",SUMIFS('ORDENES'!$M$4:$M$1203,'ORDENES'!$AH$4:$AH$1203,$AH1002,'ORDENES'!$O$4:$O$1203,$O1002,'ORDENES'!$S$4:$S$1203,$S1002))</f>
        <v/>
      </c>
      <c r="AK1002" s="42">
        <f>IF($AJ1002="","",p_factor_productividad*IFERROR(INDEX('ASIGNACIONES'!$M$4:$M$451,MATCH($O1002&amp;"|"&amp;$S1002&amp;"|"&amp;$AH1002,'ASIGNACIONES'!$N$4:$N$451,0)),0)-$AJ1002)</f>
        <v/>
      </c>
      <c r="AL1002" s="32">
        <f>IF($A1002="","",IFERROR(INDEX('2_IMPORTAR_EJECUCION'!$F$9:$F$1208,MATCH($AU1002,'2_IMPORTAR_EJECUCION'!$J$9:$J$1208,0)),0))</f>
        <v/>
      </c>
      <c r="AM1002" s="32">
        <f>IF($A1002="","",MAX(0,IFERROR(INDEX('2_IMPORTAR_EJECUCION'!$H$9:$H$1208,MATCH($AU1002,'2_IMPORTAR_EJECUCION'!$J$9:$J$1208,0)),0)-$AL1002))</f>
        <v/>
      </c>
      <c r="AN1002" s="32">
        <f>IF($A1002="","",$AL1002+$AM1002)</f>
        <v/>
      </c>
      <c r="AO1002" s="24">
        <f>IF($A1002="","",IF(OR((IFERROR(INDEX('CAT_ACTIVIDADES'!$D$4:$D$26,MATCH($H1002,'CAT_ACTIVIDADES'!$A$4:$A$26,0)),""))=0,(IFERROR(INDEX('CAT_ACTIVIDADES'!$D$4:$D$26,MATCH($H1002,'CAT_ACTIVIDADES'!$A$4:$A$26,0)),""))=""),"SIN CLASIFICAR",IFERROR(INDEX('CAT_ACTIVIDADES'!$D$4:$D$26,MATCH($H1002,'CAT_ACTIVIDADES'!$A$4:$A$26,0)),"")))</f>
        <v/>
      </c>
      <c r="AP1002" s="4" t="n"/>
      <c r="AQ1002" s="4" t="n"/>
      <c r="AR1002" s="4" t="n"/>
      <c r="AS1002" s="24">
        <f>IF($AR1002="","",HYPERLINK(p_ruta_base_checklists&amp;$AR1002,"abrir"))</f>
        <v/>
      </c>
      <c r="AT1002" s="4" t="n"/>
      <c r="AU1002" s="24">
        <f>IF($A1002="","",$A1002&amp;IF($B1002="","0010",$B1002))</f>
        <v/>
      </c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41" t="n"/>
      <c r="K1003" s="5" t="n"/>
      <c r="L1003" s="18" t="n"/>
      <c r="M1003" s="24">
        <f>IF($A1003="","",IFERROR(INDEX('AJUSTES'!$B$4:$B$303,MATCH($AU1003,'AJUSTES'!$A$4:$A$303,0)),IF($K1003="","",$K1003)))</f>
        <v/>
      </c>
      <c r="N1003" s="24">
        <f>IF($A1003="","",IFERROR(INDEX('CAT_ESTADOS_ERP'!$B$4:$B$22,MATCH(IFERROR(INDEX('2_IMPORTAR_EJECUCION'!$C$9:$C$1208,MATCH($AU1003,'2_IMPORTAR_EJECUCION'!$J$9:$J$1208,0)),""),'CAT_ESTADOS_ERP'!$A$4:$A$22,0)),"Pendiente"))</f>
        <v/>
      </c>
      <c r="O1003" s="24">
        <f>IF($J1003="","",YEAR($J1003+4-WEEKDAY($J1003,2))&amp;"-S"&amp;TEXT(_xlfn.ISOWEEKNUM($J1003),"00"))</f>
        <v/>
      </c>
      <c r="P1003" s="24">
        <f>IF($J1003="","",YEAR($J1003))</f>
        <v/>
      </c>
      <c r="Q1003" s="24">
        <f>IF($J1003="","",MONTH($J1003))</f>
        <v/>
      </c>
      <c r="R1003" s="24">
        <f>IF($J1003="","",$P1003&amp;"-"&amp;TEXT($Q1003,"00"))</f>
        <v/>
      </c>
      <c r="S1003" s="24">
        <f>IF($J1003="","",INDEX(lista_dias,WEEKDAY($J1003,2)))</f>
        <v/>
      </c>
      <c r="T1003" s="24">
        <f>IF($J1003="","",IFERROR(INDEX('CALENDARIO'!$C$15:$C$214,MATCH(TEXT($J1003,"yyyy-mm-dd")&amp;"|"&amp;$Y1003&amp;"|"&amp;$Z1003,'CALENDARIO'!$G$15:$G$214,0)),IFERROR(INDEX('CALENDARIO'!$C$15:$C$214,MATCH(TEXT($J1003,"yyyy-mm-dd")&amp;"|"&amp;$Y1003&amp;"|",'CALENDARIO'!$G$15:$G$214,0)),IFERROR(INDEX('CALENDARIO'!$C$15:$C$214,MATCH(TEXT($J1003,"yyyy-mm-dd")&amp;"||",'CALENDARIO'!$G$15:$G$214,0)),INDEX(patronHabil,WEEKDAY($J1003,2))))))</f>
        <v/>
      </c>
      <c r="U1003" s="24">
        <f>IF($I1003="","",IFERROR(INDEX('CAT_TIPOS_OT'!$C$4:$C$23,MATCH($I1003,'CAT_TIPOS_OT'!$A$4:$A$23,0)),"sin_clasificar"))</f>
        <v/>
      </c>
      <c r="V1003" s="24">
        <f>IF($I1003="","",IF(IFERROR(INDEX('CAT_TIPOS_OT'!$D$4:$D$23,MATCH($I1003,'CAT_TIPOS_OT'!$A$4:$A$23,0)),"SIN CLASIFICAR")="","SIN CLASIFICAR",IFERROR(INDEX('CAT_TIPOS_OT'!$D$4:$D$23,MATCH($I1003,'CAT_TIPOS_OT'!$A$4:$A$23,0)),"SIN CLASIFICAR")))</f>
        <v/>
      </c>
      <c r="W1003" s="24">
        <f>IF($H1003="","",IF(IFERROR(INDEX('CAT_ACTIVIDADES'!$F$4:$F$26,MATCH($H1003,'CAT_ACTIVIDADES'!$A$4:$A$26,0)),"")=0,"",IFERROR(INDEX('CAT_ACTIVIDADES'!$F$4:$F$26,MATCH($H1003,'CAT_ACTIVIDADES'!$A$4:$A$26,0)),"")))</f>
        <v/>
      </c>
      <c r="X1003" s="24">
        <f>IF($F1003="","",IFERROR(INDEX('CAT_CENTROS_COSTO'!$F$4:$F$28,MATCH($F1003,'CAT_CENTROS_COSTO'!$A$4:$A$28,0)),"(sin catálogo)"))</f>
        <v/>
      </c>
      <c r="Y1003" s="24">
        <f>IF($F1003="","",IFERROR(INDEX('CAT_CENTROS_COSTO'!$D$4:$D$28,MATCH($F1003,'CAT_CENTROS_COSTO'!$A$4:$A$28,0)),"(sin catálogo)"))</f>
        <v/>
      </c>
      <c r="Z1003" s="24">
        <f>IF($F1003="","",IF((IFERROR(INDEX('CAT_CENTROS_COSTO'!$E$4:$E$28,MATCH($F1003,'CAT_CENTROS_COSTO'!$A$4:$A$28,0)),""))&lt;&gt;"",IFERROR(INDEX('CAT_CENTROS_COSTO'!$E$4:$E$28,MATCH($F1003,'CAT_CENTROS_COSTO'!$A$4:$A$28,0)),""),$Y1003))</f>
        <v/>
      </c>
      <c r="AA1003" s="24">
        <f>IF($F1003="","",IFERROR(INDEX('CAT_CENTROS_COSTO'!$G$4:$G$28,MATCH($F1003,'CAT_CENTROS_COSTO'!$A$4:$A$28,0)),"(sin catálogo)"))</f>
        <v/>
      </c>
      <c r="AB1003" s="24">
        <f>IF($G1003="","",IFERROR(INDEX('CAT_PUESTOS'!$B$4:$B$23,MATCH($G1003,'CAT_PUESTOS'!$A$4:$A$23,0)),"(sin catálogo)"))</f>
        <v/>
      </c>
      <c r="AC1003" s="24">
        <f>IF($H1003="","",IFERROR(INDEX('CAT_ACTIVIDADES'!$B$4:$B$26,MATCH($H1003,'CAT_ACTIVIDADES'!$A$4:$A$26,0)),"(sin catálogo)"))</f>
        <v/>
      </c>
      <c r="AD1003" s="26">
        <f>IF($J1003="","",TODAY()-$J1003)</f>
        <v/>
      </c>
      <c r="AE1003" s="26">
        <f>IF($J1003="","",IF($J1003&lt;=TODAY(),COUNTIFS(cal_fechas,"&gt;="&amp;$J1003,cal_fechas,"&lt;"&amp;TODAY(),cal_habil,"sí"),-COUNTIFS(cal_fechas,"&gt;="&amp;TODAY(),cal_fechas,"&lt;"&amp;$J1003,cal_habil,"sí")))</f>
        <v/>
      </c>
      <c r="AF1003" s="24">
        <f>IF($AE1003="","",IF($AE1003&lt;0,"FUTURO",IF($AE1003&gt;p_dias_backlog_max,"BACKLOG","MES CORRIENTE")))</f>
        <v/>
      </c>
      <c r="AG1003" s="24">
        <f>IF($AE1003="",FALSE,AND($AE1003&gt;p_dias_backlog_min,$AE1003&lt;=p_dias_backlog_max))</f>
        <v/>
      </c>
      <c r="AH1003" s="4" t="n"/>
      <c r="AI1003" s="24">
        <f>IF($AH1003="","",IF((IFERROR(INDEX('ASIGNACIONES'!$J$4:$J$451,MATCH($O1003&amp;"|"&amp;$S1003&amp;"|"&amp;$AH1003,'ASIGNACIONES'!$N$4:$N$451,0)),""))=0,"",IFERROR(INDEX('ASIGNACIONES'!$J$4:$J$451,MATCH($O1003&amp;"|"&amp;$S1003&amp;"|"&amp;$AH1003,'ASIGNACIONES'!$N$4:$N$451,0)),"")))</f>
        <v/>
      </c>
      <c r="AJ1003" s="42">
        <f>IF($AH1003="","",SUMIFS('ORDENES'!$M$4:$M$1203,'ORDENES'!$AH$4:$AH$1203,$AH1003,'ORDENES'!$O$4:$O$1203,$O1003,'ORDENES'!$S$4:$S$1203,$S1003))</f>
        <v/>
      </c>
      <c r="AK1003" s="42">
        <f>IF($AJ1003="","",p_factor_productividad*IFERROR(INDEX('ASIGNACIONES'!$M$4:$M$451,MATCH($O1003&amp;"|"&amp;$S1003&amp;"|"&amp;$AH1003,'ASIGNACIONES'!$N$4:$N$451,0)),0)-$AJ1003)</f>
        <v/>
      </c>
      <c r="AL1003" s="32">
        <f>IF($A1003="","",IFERROR(INDEX('2_IMPORTAR_EJECUCION'!$F$9:$F$1208,MATCH($AU1003,'2_IMPORTAR_EJECUCION'!$J$9:$J$1208,0)),0))</f>
        <v/>
      </c>
      <c r="AM1003" s="32">
        <f>IF($A1003="","",MAX(0,IFERROR(INDEX('2_IMPORTAR_EJECUCION'!$H$9:$H$1208,MATCH($AU1003,'2_IMPORTAR_EJECUCION'!$J$9:$J$1208,0)),0)-$AL1003))</f>
        <v/>
      </c>
      <c r="AN1003" s="32">
        <f>IF($A1003="","",$AL1003+$AM1003)</f>
        <v/>
      </c>
      <c r="AO1003" s="24">
        <f>IF($A1003="","",IF(OR((IFERROR(INDEX('CAT_ACTIVIDADES'!$D$4:$D$26,MATCH($H1003,'CAT_ACTIVIDADES'!$A$4:$A$26,0)),""))=0,(IFERROR(INDEX('CAT_ACTIVIDADES'!$D$4:$D$26,MATCH($H1003,'CAT_ACTIVIDADES'!$A$4:$A$26,0)),""))=""),"SIN CLASIFICAR",IFERROR(INDEX('CAT_ACTIVIDADES'!$D$4:$D$26,MATCH($H1003,'CAT_ACTIVIDADES'!$A$4:$A$26,0)),"")))</f>
        <v/>
      </c>
      <c r="AP1003" s="4" t="n"/>
      <c r="AQ1003" s="4" t="n"/>
      <c r="AR1003" s="4" t="n"/>
      <c r="AS1003" s="24">
        <f>IF($AR1003="","",HYPERLINK(p_ruta_base_checklists&amp;$AR1003,"abrir"))</f>
        <v/>
      </c>
      <c r="AT1003" s="4" t="n"/>
      <c r="AU1003" s="24">
        <f>IF($A1003="","",$A1003&amp;IF($B1003="","0010",$B1003))</f>
        <v/>
      </c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41" t="n"/>
      <c r="K1004" s="5" t="n"/>
      <c r="L1004" s="18" t="n"/>
      <c r="M1004" s="24">
        <f>IF($A1004="","",IFERROR(INDEX('AJUSTES'!$B$4:$B$303,MATCH($AU1004,'AJUSTES'!$A$4:$A$303,0)),IF($K1004="","",$K1004)))</f>
        <v/>
      </c>
      <c r="N1004" s="24">
        <f>IF($A1004="","",IFERROR(INDEX('CAT_ESTADOS_ERP'!$B$4:$B$22,MATCH(IFERROR(INDEX('2_IMPORTAR_EJECUCION'!$C$9:$C$1208,MATCH($AU1004,'2_IMPORTAR_EJECUCION'!$J$9:$J$1208,0)),""),'CAT_ESTADOS_ERP'!$A$4:$A$22,0)),"Pendiente"))</f>
        <v/>
      </c>
      <c r="O1004" s="24">
        <f>IF($J1004="","",YEAR($J1004+4-WEEKDAY($J1004,2))&amp;"-S"&amp;TEXT(_xlfn.ISOWEEKNUM($J1004),"00"))</f>
        <v/>
      </c>
      <c r="P1004" s="24">
        <f>IF($J1004="","",YEAR($J1004))</f>
        <v/>
      </c>
      <c r="Q1004" s="24">
        <f>IF($J1004="","",MONTH($J1004))</f>
        <v/>
      </c>
      <c r="R1004" s="24">
        <f>IF($J1004="","",$P1004&amp;"-"&amp;TEXT($Q1004,"00"))</f>
        <v/>
      </c>
      <c r="S1004" s="24">
        <f>IF($J1004="","",INDEX(lista_dias,WEEKDAY($J1004,2)))</f>
        <v/>
      </c>
      <c r="T1004" s="24">
        <f>IF($J1004="","",IFERROR(INDEX('CALENDARIO'!$C$15:$C$214,MATCH(TEXT($J1004,"yyyy-mm-dd")&amp;"|"&amp;$Y1004&amp;"|"&amp;$Z1004,'CALENDARIO'!$G$15:$G$214,0)),IFERROR(INDEX('CALENDARIO'!$C$15:$C$214,MATCH(TEXT($J1004,"yyyy-mm-dd")&amp;"|"&amp;$Y1004&amp;"|",'CALENDARIO'!$G$15:$G$214,0)),IFERROR(INDEX('CALENDARIO'!$C$15:$C$214,MATCH(TEXT($J1004,"yyyy-mm-dd")&amp;"||",'CALENDARIO'!$G$15:$G$214,0)),INDEX(patronHabil,WEEKDAY($J1004,2))))))</f>
        <v/>
      </c>
      <c r="U1004" s="24">
        <f>IF($I1004="","",IFERROR(INDEX('CAT_TIPOS_OT'!$C$4:$C$23,MATCH($I1004,'CAT_TIPOS_OT'!$A$4:$A$23,0)),"sin_clasificar"))</f>
        <v/>
      </c>
      <c r="V1004" s="24">
        <f>IF($I1004="","",IF(IFERROR(INDEX('CAT_TIPOS_OT'!$D$4:$D$23,MATCH($I1004,'CAT_TIPOS_OT'!$A$4:$A$23,0)),"SIN CLASIFICAR")="","SIN CLASIFICAR",IFERROR(INDEX('CAT_TIPOS_OT'!$D$4:$D$23,MATCH($I1004,'CAT_TIPOS_OT'!$A$4:$A$23,0)),"SIN CLASIFICAR")))</f>
        <v/>
      </c>
      <c r="W1004" s="24">
        <f>IF($H1004="","",IF(IFERROR(INDEX('CAT_ACTIVIDADES'!$F$4:$F$26,MATCH($H1004,'CAT_ACTIVIDADES'!$A$4:$A$26,0)),"")=0,"",IFERROR(INDEX('CAT_ACTIVIDADES'!$F$4:$F$26,MATCH($H1004,'CAT_ACTIVIDADES'!$A$4:$A$26,0)),"")))</f>
        <v/>
      </c>
      <c r="X1004" s="24">
        <f>IF($F1004="","",IFERROR(INDEX('CAT_CENTROS_COSTO'!$F$4:$F$28,MATCH($F1004,'CAT_CENTROS_COSTO'!$A$4:$A$28,0)),"(sin catálogo)"))</f>
        <v/>
      </c>
      <c r="Y1004" s="24">
        <f>IF($F1004="","",IFERROR(INDEX('CAT_CENTROS_COSTO'!$D$4:$D$28,MATCH($F1004,'CAT_CENTROS_COSTO'!$A$4:$A$28,0)),"(sin catálogo)"))</f>
        <v/>
      </c>
      <c r="Z1004" s="24">
        <f>IF($F1004="","",IF((IFERROR(INDEX('CAT_CENTROS_COSTO'!$E$4:$E$28,MATCH($F1004,'CAT_CENTROS_COSTO'!$A$4:$A$28,0)),""))&lt;&gt;"",IFERROR(INDEX('CAT_CENTROS_COSTO'!$E$4:$E$28,MATCH($F1004,'CAT_CENTROS_COSTO'!$A$4:$A$28,0)),""),$Y1004))</f>
        <v/>
      </c>
      <c r="AA1004" s="24">
        <f>IF($F1004="","",IFERROR(INDEX('CAT_CENTROS_COSTO'!$G$4:$G$28,MATCH($F1004,'CAT_CENTROS_COSTO'!$A$4:$A$28,0)),"(sin catálogo)"))</f>
        <v/>
      </c>
      <c r="AB1004" s="24">
        <f>IF($G1004="","",IFERROR(INDEX('CAT_PUESTOS'!$B$4:$B$23,MATCH($G1004,'CAT_PUESTOS'!$A$4:$A$23,0)),"(sin catálogo)"))</f>
        <v/>
      </c>
      <c r="AC1004" s="24">
        <f>IF($H1004="","",IFERROR(INDEX('CAT_ACTIVIDADES'!$B$4:$B$26,MATCH($H1004,'CAT_ACTIVIDADES'!$A$4:$A$26,0)),"(sin catálogo)"))</f>
        <v/>
      </c>
      <c r="AD1004" s="26">
        <f>IF($J1004="","",TODAY()-$J1004)</f>
        <v/>
      </c>
      <c r="AE1004" s="26">
        <f>IF($J1004="","",IF($J1004&lt;=TODAY(),COUNTIFS(cal_fechas,"&gt;="&amp;$J1004,cal_fechas,"&lt;"&amp;TODAY(),cal_habil,"sí"),-COUNTIFS(cal_fechas,"&gt;="&amp;TODAY(),cal_fechas,"&lt;"&amp;$J1004,cal_habil,"sí")))</f>
        <v/>
      </c>
      <c r="AF1004" s="24">
        <f>IF($AE1004="","",IF($AE1004&lt;0,"FUTURO",IF($AE1004&gt;p_dias_backlog_max,"BACKLOG","MES CORRIENTE")))</f>
        <v/>
      </c>
      <c r="AG1004" s="24">
        <f>IF($AE1004="",FALSE,AND($AE1004&gt;p_dias_backlog_min,$AE1004&lt;=p_dias_backlog_max))</f>
        <v/>
      </c>
      <c r="AH1004" s="4" t="n"/>
      <c r="AI1004" s="24">
        <f>IF($AH1004="","",IF((IFERROR(INDEX('ASIGNACIONES'!$J$4:$J$451,MATCH($O1004&amp;"|"&amp;$S1004&amp;"|"&amp;$AH1004,'ASIGNACIONES'!$N$4:$N$451,0)),""))=0,"",IFERROR(INDEX('ASIGNACIONES'!$J$4:$J$451,MATCH($O1004&amp;"|"&amp;$S1004&amp;"|"&amp;$AH1004,'ASIGNACIONES'!$N$4:$N$451,0)),"")))</f>
        <v/>
      </c>
      <c r="AJ1004" s="42">
        <f>IF($AH1004="","",SUMIFS('ORDENES'!$M$4:$M$1203,'ORDENES'!$AH$4:$AH$1203,$AH1004,'ORDENES'!$O$4:$O$1203,$O1004,'ORDENES'!$S$4:$S$1203,$S1004))</f>
        <v/>
      </c>
      <c r="AK1004" s="42">
        <f>IF($AJ1004="","",p_factor_productividad*IFERROR(INDEX('ASIGNACIONES'!$M$4:$M$451,MATCH($O1004&amp;"|"&amp;$S1004&amp;"|"&amp;$AH1004,'ASIGNACIONES'!$N$4:$N$451,0)),0)-$AJ1004)</f>
        <v/>
      </c>
      <c r="AL1004" s="32">
        <f>IF($A1004="","",IFERROR(INDEX('2_IMPORTAR_EJECUCION'!$F$9:$F$1208,MATCH($AU1004,'2_IMPORTAR_EJECUCION'!$J$9:$J$1208,0)),0))</f>
        <v/>
      </c>
      <c r="AM1004" s="32">
        <f>IF($A1004="","",MAX(0,IFERROR(INDEX('2_IMPORTAR_EJECUCION'!$H$9:$H$1208,MATCH($AU1004,'2_IMPORTAR_EJECUCION'!$J$9:$J$1208,0)),0)-$AL1004))</f>
        <v/>
      </c>
      <c r="AN1004" s="32">
        <f>IF($A1004="","",$AL1004+$AM1004)</f>
        <v/>
      </c>
      <c r="AO1004" s="24">
        <f>IF($A1004="","",IF(OR((IFERROR(INDEX('CAT_ACTIVIDADES'!$D$4:$D$26,MATCH($H1004,'CAT_ACTIVIDADES'!$A$4:$A$26,0)),""))=0,(IFERROR(INDEX('CAT_ACTIVIDADES'!$D$4:$D$26,MATCH($H1004,'CAT_ACTIVIDADES'!$A$4:$A$26,0)),""))=""),"SIN CLASIFICAR",IFERROR(INDEX('CAT_ACTIVIDADES'!$D$4:$D$26,MATCH($H1004,'CAT_ACTIVIDADES'!$A$4:$A$26,0)),"")))</f>
        <v/>
      </c>
      <c r="AP1004" s="4" t="n"/>
      <c r="AQ1004" s="4" t="n"/>
      <c r="AR1004" s="4" t="n"/>
      <c r="AS1004" s="24">
        <f>IF($AR1004="","",HYPERLINK(p_ruta_base_checklists&amp;$AR1004,"abrir"))</f>
        <v/>
      </c>
      <c r="AT1004" s="4" t="n"/>
      <c r="AU1004" s="24">
        <f>IF($A1004="","",$A1004&amp;IF($B1004="","0010",$B1004))</f>
        <v/>
      </c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41" t="n"/>
      <c r="K1005" s="5" t="n"/>
      <c r="L1005" s="18" t="n"/>
      <c r="M1005" s="24">
        <f>IF($A1005="","",IFERROR(INDEX('AJUSTES'!$B$4:$B$303,MATCH($AU1005,'AJUSTES'!$A$4:$A$303,0)),IF($K1005="","",$K1005)))</f>
        <v/>
      </c>
      <c r="N1005" s="24">
        <f>IF($A1005="","",IFERROR(INDEX('CAT_ESTADOS_ERP'!$B$4:$B$22,MATCH(IFERROR(INDEX('2_IMPORTAR_EJECUCION'!$C$9:$C$1208,MATCH($AU1005,'2_IMPORTAR_EJECUCION'!$J$9:$J$1208,0)),""),'CAT_ESTADOS_ERP'!$A$4:$A$22,0)),"Pendiente"))</f>
        <v/>
      </c>
      <c r="O1005" s="24">
        <f>IF($J1005="","",YEAR($J1005+4-WEEKDAY($J1005,2))&amp;"-S"&amp;TEXT(_xlfn.ISOWEEKNUM($J1005),"00"))</f>
        <v/>
      </c>
      <c r="P1005" s="24">
        <f>IF($J1005="","",YEAR($J1005))</f>
        <v/>
      </c>
      <c r="Q1005" s="24">
        <f>IF($J1005="","",MONTH($J1005))</f>
        <v/>
      </c>
      <c r="R1005" s="24">
        <f>IF($J1005="","",$P1005&amp;"-"&amp;TEXT($Q1005,"00"))</f>
        <v/>
      </c>
      <c r="S1005" s="24">
        <f>IF($J1005="","",INDEX(lista_dias,WEEKDAY($J1005,2)))</f>
        <v/>
      </c>
      <c r="T1005" s="24">
        <f>IF($J1005="","",IFERROR(INDEX('CALENDARIO'!$C$15:$C$214,MATCH(TEXT($J1005,"yyyy-mm-dd")&amp;"|"&amp;$Y1005&amp;"|"&amp;$Z1005,'CALENDARIO'!$G$15:$G$214,0)),IFERROR(INDEX('CALENDARIO'!$C$15:$C$214,MATCH(TEXT($J1005,"yyyy-mm-dd")&amp;"|"&amp;$Y1005&amp;"|",'CALENDARIO'!$G$15:$G$214,0)),IFERROR(INDEX('CALENDARIO'!$C$15:$C$214,MATCH(TEXT($J1005,"yyyy-mm-dd")&amp;"||",'CALENDARIO'!$G$15:$G$214,0)),INDEX(patronHabil,WEEKDAY($J1005,2))))))</f>
        <v/>
      </c>
      <c r="U1005" s="24">
        <f>IF($I1005="","",IFERROR(INDEX('CAT_TIPOS_OT'!$C$4:$C$23,MATCH($I1005,'CAT_TIPOS_OT'!$A$4:$A$23,0)),"sin_clasificar"))</f>
        <v/>
      </c>
      <c r="V1005" s="24">
        <f>IF($I1005="","",IF(IFERROR(INDEX('CAT_TIPOS_OT'!$D$4:$D$23,MATCH($I1005,'CAT_TIPOS_OT'!$A$4:$A$23,0)),"SIN CLASIFICAR")="","SIN CLASIFICAR",IFERROR(INDEX('CAT_TIPOS_OT'!$D$4:$D$23,MATCH($I1005,'CAT_TIPOS_OT'!$A$4:$A$23,0)),"SIN CLASIFICAR")))</f>
        <v/>
      </c>
      <c r="W1005" s="24">
        <f>IF($H1005="","",IF(IFERROR(INDEX('CAT_ACTIVIDADES'!$F$4:$F$26,MATCH($H1005,'CAT_ACTIVIDADES'!$A$4:$A$26,0)),"")=0,"",IFERROR(INDEX('CAT_ACTIVIDADES'!$F$4:$F$26,MATCH($H1005,'CAT_ACTIVIDADES'!$A$4:$A$26,0)),"")))</f>
        <v/>
      </c>
      <c r="X1005" s="24">
        <f>IF($F1005="","",IFERROR(INDEX('CAT_CENTROS_COSTO'!$F$4:$F$28,MATCH($F1005,'CAT_CENTROS_COSTO'!$A$4:$A$28,0)),"(sin catálogo)"))</f>
        <v/>
      </c>
      <c r="Y1005" s="24">
        <f>IF($F1005="","",IFERROR(INDEX('CAT_CENTROS_COSTO'!$D$4:$D$28,MATCH($F1005,'CAT_CENTROS_COSTO'!$A$4:$A$28,0)),"(sin catálogo)"))</f>
        <v/>
      </c>
      <c r="Z1005" s="24">
        <f>IF($F1005="","",IF((IFERROR(INDEX('CAT_CENTROS_COSTO'!$E$4:$E$28,MATCH($F1005,'CAT_CENTROS_COSTO'!$A$4:$A$28,0)),""))&lt;&gt;"",IFERROR(INDEX('CAT_CENTROS_COSTO'!$E$4:$E$28,MATCH($F1005,'CAT_CENTROS_COSTO'!$A$4:$A$28,0)),""),$Y1005))</f>
        <v/>
      </c>
      <c r="AA1005" s="24">
        <f>IF($F1005="","",IFERROR(INDEX('CAT_CENTROS_COSTO'!$G$4:$G$28,MATCH($F1005,'CAT_CENTROS_COSTO'!$A$4:$A$28,0)),"(sin catálogo)"))</f>
        <v/>
      </c>
      <c r="AB1005" s="24">
        <f>IF($G1005="","",IFERROR(INDEX('CAT_PUESTOS'!$B$4:$B$23,MATCH($G1005,'CAT_PUESTOS'!$A$4:$A$23,0)),"(sin catálogo)"))</f>
        <v/>
      </c>
      <c r="AC1005" s="24">
        <f>IF($H1005="","",IFERROR(INDEX('CAT_ACTIVIDADES'!$B$4:$B$26,MATCH($H1005,'CAT_ACTIVIDADES'!$A$4:$A$26,0)),"(sin catálogo)"))</f>
        <v/>
      </c>
      <c r="AD1005" s="26">
        <f>IF($J1005="","",TODAY()-$J1005)</f>
        <v/>
      </c>
      <c r="AE1005" s="26">
        <f>IF($J1005="","",IF($J1005&lt;=TODAY(),COUNTIFS(cal_fechas,"&gt;="&amp;$J1005,cal_fechas,"&lt;"&amp;TODAY(),cal_habil,"sí"),-COUNTIFS(cal_fechas,"&gt;="&amp;TODAY(),cal_fechas,"&lt;"&amp;$J1005,cal_habil,"sí")))</f>
        <v/>
      </c>
      <c r="AF1005" s="24">
        <f>IF($AE1005="","",IF($AE1005&lt;0,"FUTURO",IF($AE1005&gt;p_dias_backlog_max,"BACKLOG","MES CORRIENTE")))</f>
        <v/>
      </c>
      <c r="AG1005" s="24">
        <f>IF($AE1005="",FALSE,AND($AE1005&gt;p_dias_backlog_min,$AE1005&lt;=p_dias_backlog_max))</f>
        <v/>
      </c>
      <c r="AH1005" s="4" t="n"/>
      <c r="AI1005" s="24">
        <f>IF($AH1005="","",IF((IFERROR(INDEX('ASIGNACIONES'!$J$4:$J$451,MATCH($O1005&amp;"|"&amp;$S1005&amp;"|"&amp;$AH1005,'ASIGNACIONES'!$N$4:$N$451,0)),""))=0,"",IFERROR(INDEX('ASIGNACIONES'!$J$4:$J$451,MATCH($O1005&amp;"|"&amp;$S1005&amp;"|"&amp;$AH1005,'ASIGNACIONES'!$N$4:$N$451,0)),"")))</f>
        <v/>
      </c>
      <c r="AJ1005" s="42">
        <f>IF($AH1005="","",SUMIFS('ORDENES'!$M$4:$M$1203,'ORDENES'!$AH$4:$AH$1203,$AH1005,'ORDENES'!$O$4:$O$1203,$O1005,'ORDENES'!$S$4:$S$1203,$S1005))</f>
        <v/>
      </c>
      <c r="AK1005" s="42">
        <f>IF($AJ1005="","",p_factor_productividad*IFERROR(INDEX('ASIGNACIONES'!$M$4:$M$451,MATCH($O1005&amp;"|"&amp;$S1005&amp;"|"&amp;$AH1005,'ASIGNACIONES'!$N$4:$N$451,0)),0)-$AJ1005)</f>
        <v/>
      </c>
      <c r="AL1005" s="32">
        <f>IF($A1005="","",IFERROR(INDEX('2_IMPORTAR_EJECUCION'!$F$9:$F$1208,MATCH($AU1005,'2_IMPORTAR_EJECUCION'!$J$9:$J$1208,0)),0))</f>
        <v/>
      </c>
      <c r="AM1005" s="32">
        <f>IF($A1005="","",MAX(0,IFERROR(INDEX('2_IMPORTAR_EJECUCION'!$H$9:$H$1208,MATCH($AU1005,'2_IMPORTAR_EJECUCION'!$J$9:$J$1208,0)),0)-$AL1005))</f>
        <v/>
      </c>
      <c r="AN1005" s="32">
        <f>IF($A1005="","",$AL1005+$AM1005)</f>
        <v/>
      </c>
      <c r="AO1005" s="24">
        <f>IF($A1005="","",IF(OR((IFERROR(INDEX('CAT_ACTIVIDADES'!$D$4:$D$26,MATCH($H1005,'CAT_ACTIVIDADES'!$A$4:$A$26,0)),""))=0,(IFERROR(INDEX('CAT_ACTIVIDADES'!$D$4:$D$26,MATCH($H1005,'CAT_ACTIVIDADES'!$A$4:$A$26,0)),""))=""),"SIN CLASIFICAR",IFERROR(INDEX('CAT_ACTIVIDADES'!$D$4:$D$26,MATCH($H1005,'CAT_ACTIVIDADES'!$A$4:$A$26,0)),"")))</f>
        <v/>
      </c>
      <c r="AP1005" s="4" t="n"/>
      <c r="AQ1005" s="4" t="n"/>
      <c r="AR1005" s="4" t="n"/>
      <c r="AS1005" s="24">
        <f>IF($AR1005="","",HYPERLINK(p_ruta_base_checklists&amp;$AR1005,"abrir"))</f>
        <v/>
      </c>
      <c r="AT1005" s="4" t="n"/>
      <c r="AU1005" s="24">
        <f>IF($A1005="","",$A1005&amp;IF($B1005="","0010",$B1005))</f>
        <v/>
      </c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41" t="n"/>
      <c r="K1006" s="5" t="n"/>
      <c r="L1006" s="18" t="n"/>
      <c r="M1006" s="24">
        <f>IF($A1006="","",IFERROR(INDEX('AJUSTES'!$B$4:$B$303,MATCH($AU1006,'AJUSTES'!$A$4:$A$303,0)),IF($K1006="","",$K1006)))</f>
        <v/>
      </c>
      <c r="N1006" s="24">
        <f>IF($A1006="","",IFERROR(INDEX('CAT_ESTADOS_ERP'!$B$4:$B$22,MATCH(IFERROR(INDEX('2_IMPORTAR_EJECUCION'!$C$9:$C$1208,MATCH($AU1006,'2_IMPORTAR_EJECUCION'!$J$9:$J$1208,0)),""),'CAT_ESTADOS_ERP'!$A$4:$A$22,0)),"Pendiente"))</f>
        <v/>
      </c>
      <c r="O1006" s="24">
        <f>IF($J1006="","",YEAR($J1006+4-WEEKDAY($J1006,2))&amp;"-S"&amp;TEXT(_xlfn.ISOWEEKNUM($J1006),"00"))</f>
        <v/>
      </c>
      <c r="P1006" s="24">
        <f>IF($J1006="","",YEAR($J1006))</f>
        <v/>
      </c>
      <c r="Q1006" s="24">
        <f>IF($J1006="","",MONTH($J1006))</f>
        <v/>
      </c>
      <c r="R1006" s="24">
        <f>IF($J1006="","",$P1006&amp;"-"&amp;TEXT($Q1006,"00"))</f>
        <v/>
      </c>
      <c r="S1006" s="24">
        <f>IF($J1006="","",INDEX(lista_dias,WEEKDAY($J1006,2)))</f>
        <v/>
      </c>
      <c r="T1006" s="24">
        <f>IF($J1006="","",IFERROR(INDEX('CALENDARIO'!$C$15:$C$214,MATCH(TEXT($J1006,"yyyy-mm-dd")&amp;"|"&amp;$Y1006&amp;"|"&amp;$Z1006,'CALENDARIO'!$G$15:$G$214,0)),IFERROR(INDEX('CALENDARIO'!$C$15:$C$214,MATCH(TEXT($J1006,"yyyy-mm-dd")&amp;"|"&amp;$Y1006&amp;"|",'CALENDARIO'!$G$15:$G$214,0)),IFERROR(INDEX('CALENDARIO'!$C$15:$C$214,MATCH(TEXT($J1006,"yyyy-mm-dd")&amp;"||",'CALENDARIO'!$G$15:$G$214,0)),INDEX(patronHabil,WEEKDAY($J1006,2))))))</f>
        <v/>
      </c>
      <c r="U1006" s="24">
        <f>IF($I1006="","",IFERROR(INDEX('CAT_TIPOS_OT'!$C$4:$C$23,MATCH($I1006,'CAT_TIPOS_OT'!$A$4:$A$23,0)),"sin_clasificar"))</f>
        <v/>
      </c>
      <c r="V1006" s="24">
        <f>IF($I1006="","",IF(IFERROR(INDEX('CAT_TIPOS_OT'!$D$4:$D$23,MATCH($I1006,'CAT_TIPOS_OT'!$A$4:$A$23,0)),"SIN CLASIFICAR")="","SIN CLASIFICAR",IFERROR(INDEX('CAT_TIPOS_OT'!$D$4:$D$23,MATCH($I1006,'CAT_TIPOS_OT'!$A$4:$A$23,0)),"SIN CLASIFICAR")))</f>
        <v/>
      </c>
      <c r="W1006" s="24">
        <f>IF($H1006="","",IF(IFERROR(INDEX('CAT_ACTIVIDADES'!$F$4:$F$26,MATCH($H1006,'CAT_ACTIVIDADES'!$A$4:$A$26,0)),"")=0,"",IFERROR(INDEX('CAT_ACTIVIDADES'!$F$4:$F$26,MATCH($H1006,'CAT_ACTIVIDADES'!$A$4:$A$26,0)),"")))</f>
        <v/>
      </c>
      <c r="X1006" s="24">
        <f>IF($F1006="","",IFERROR(INDEX('CAT_CENTROS_COSTO'!$F$4:$F$28,MATCH($F1006,'CAT_CENTROS_COSTO'!$A$4:$A$28,0)),"(sin catálogo)"))</f>
        <v/>
      </c>
      <c r="Y1006" s="24">
        <f>IF($F1006="","",IFERROR(INDEX('CAT_CENTROS_COSTO'!$D$4:$D$28,MATCH($F1006,'CAT_CENTROS_COSTO'!$A$4:$A$28,0)),"(sin catálogo)"))</f>
        <v/>
      </c>
      <c r="Z1006" s="24">
        <f>IF($F1006="","",IF((IFERROR(INDEX('CAT_CENTROS_COSTO'!$E$4:$E$28,MATCH($F1006,'CAT_CENTROS_COSTO'!$A$4:$A$28,0)),""))&lt;&gt;"",IFERROR(INDEX('CAT_CENTROS_COSTO'!$E$4:$E$28,MATCH($F1006,'CAT_CENTROS_COSTO'!$A$4:$A$28,0)),""),$Y1006))</f>
        <v/>
      </c>
      <c r="AA1006" s="24">
        <f>IF($F1006="","",IFERROR(INDEX('CAT_CENTROS_COSTO'!$G$4:$G$28,MATCH($F1006,'CAT_CENTROS_COSTO'!$A$4:$A$28,0)),"(sin catálogo)"))</f>
        <v/>
      </c>
      <c r="AB1006" s="24">
        <f>IF($G1006="","",IFERROR(INDEX('CAT_PUESTOS'!$B$4:$B$23,MATCH($G1006,'CAT_PUESTOS'!$A$4:$A$23,0)),"(sin catálogo)"))</f>
        <v/>
      </c>
      <c r="AC1006" s="24">
        <f>IF($H1006="","",IFERROR(INDEX('CAT_ACTIVIDADES'!$B$4:$B$26,MATCH($H1006,'CAT_ACTIVIDADES'!$A$4:$A$26,0)),"(sin catálogo)"))</f>
        <v/>
      </c>
      <c r="AD1006" s="26">
        <f>IF($J1006="","",TODAY()-$J1006)</f>
        <v/>
      </c>
      <c r="AE1006" s="26">
        <f>IF($J1006="","",IF($J1006&lt;=TODAY(),COUNTIFS(cal_fechas,"&gt;="&amp;$J1006,cal_fechas,"&lt;"&amp;TODAY(),cal_habil,"sí"),-COUNTIFS(cal_fechas,"&gt;="&amp;TODAY(),cal_fechas,"&lt;"&amp;$J1006,cal_habil,"sí")))</f>
        <v/>
      </c>
      <c r="AF1006" s="24">
        <f>IF($AE1006="","",IF($AE1006&lt;0,"FUTURO",IF($AE1006&gt;p_dias_backlog_max,"BACKLOG","MES CORRIENTE")))</f>
        <v/>
      </c>
      <c r="AG1006" s="24">
        <f>IF($AE1006="",FALSE,AND($AE1006&gt;p_dias_backlog_min,$AE1006&lt;=p_dias_backlog_max))</f>
        <v/>
      </c>
      <c r="AH1006" s="4" t="n"/>
      <c r="AI1006" s="24">
        <f>IF($AH1006="","",IF((IFERROR(INDEX('ASIGNACIONES'!$J$4:$J$451,MATCH($O1006&amp;"|"&amp;$S1006&amp;"|"&amp;$AH1006,'ASIGNACIONES'!$N$4:$N$451,0)),""))=0,"",IFERROR(INDEX('ASIGNACIONES'!$J$4:$J$451,MATCH($O1006&amp;"|"&amp;$S1006&amp;"|"&amp;$AH1006,'ASIGNACIONES'!$N$4:$N$451,0)),"")))</f>
        <v/>
      </c>
      <c r="AJ1006" s="42">
        <f>IF($AH1006="","",SUMIFS('ORDENES'!$M$4:$M$1203,'ORDENES'!$AH$4:$AH$1203,$AH1006,'ORDENES'!$O$4:$O$1203,$O1006,'ORDENES'!$S$4:$S$1203,$S1006))</f>
        <v/>
      </c>
      <c r="AK1006" s="42">
        <f>IF($AJ1006="","",p_factor_productividad*IFERROR(INDEX('ASIGNACIONES'!$M$4:$M$451,MATCH($O1006&amp;"|"&amp;$S1006&amp;"|"&amp;$AH1006,'ASIGNACIONES'!$N$4:$N$451,0)),0)-$AJ1006)</f>
        <v/>
      </c>
      <c r="AL1006" s="32">
        <f>IF($A1006="","",IFERROR(INDEX('2_IMPORTAR_EJECUCION'!$F$9:$F$1208,MATCH($AU1006,'2_IMPORTAR_EJECUCION'!$J$9:$J$1208,0)),0))</f>
        <v/>
      </c>
      <c r="AM1006" s="32">
        <f>IF($A1006="","",MAX(0,IFERROR(INDEX('2_IMPORTAR_EJECUCION'!$H$9:$H$1208,MATCH($AU1006,'2_IMPORTAR_EJECUCION'!$J$9:$J$1208,0)),0)-$AL1006))</f>
        <v/>
      </c>
      <c r="AN1006" s="32">
        <f>IF($A1006="","",$AL1006+$AM1006)</f>
        <v/>
      </c>
      <c r="AO1006" s="24">
        <f>IF($A1006="","",IF(OR((IFERROR(INDEX('CAT_ACTIVIDADES'!$D$4:$D$26,MATCH($H1006,'CAT_ACTIVIDADES'!$A$4:$A$26,0)),""))=0,(IFERROR(INDEX('CAT_ACTIVIDADES'!$D$4:$D$26,MATCH($H1006,'CAT_ACTIVIDADES'!$A$4:$A$26,0)),""))=""),"SIN CLASIFICAR",IFERROR(INDEX('CAT_ACTIVIDADES'!$D$4:$D$26,MATCH($H1006,'CAT_ACTIVIDADES'!$A$4:$A$26,0)),"")))</f>
        <v/>
      </c>
      <c r="AP1006" s="4" t="n"/>
      <c r="AQ1006" s="4" t="n"/>
      <c r="AR1006" s="4" t="n"/>
      <c r="AS1006" s="24">
        <f>IF($AR1006="","",HYPERLINK(p_ruta_base_checklists&amp;$AR1006,"abrir"))</f>
        <v/>
      </c>
      <c r="AT1006" s="4" t="n"/>
      <c r="AU1006" s="24">
        <f>IF($A1006="","",$A1006&amp;IF($B1006="","0010",$B1006))</f>
        <v/>
      </c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41" t="n"/>
      <c r="K1007" s="5" t="n"/>
      <c r="L1007" s="18" t="n"/>
      <c r="M1007" s="24">
        <f>IF($A1007="","",IFERROR(INDEX('AJUSTES'!$B$4:$B$303,MATCH($AU1007,'AJUSTES'!$A$4:$A$303,0)),IF($K1007="","",$K1007)))</f>
        <v/>
      </c>
      <c r="N1007" s="24">
        <f>IF($A1007="","",IFERROR(INDEX('CAT_ESTADOS_ERP'!$B$4:$B$22,MATCH(IFERROR(INDEX('2_IMPORTAR_EJECUCION'!$C$9:$C$1208,MATCH($AU1007,'2_IMPORTAR_EJECUCION'!$J$9:$J$1208,0)),""),'CAT_ESTADOS_ERP'!$A$4:$A$22,0)),"Pendiente"))</f>
        <v/>
      </c>
      <c r="O1007" s="24">
        <f>IF($J1007="","",YEAR($J1007+4-WEEKDAY($J1007,2))&amp;"-S"&amp;TEXT(_xlfn.ISOWEEKNUM($J1007),"00"))</f>
        <v/>
      </c>
      <c r="P1007" s="24">
        <f>IF($J1007="","",YEAR($J1007))</f>
        <v/>
      </c>
      <c r="Q1007" s="24">
        <f>IF($J1007="","",MONTH($J1007))</f>
        <v/>
      </c>
      <c r="R1007" s="24">
        <f>IF($J1007="","",$P1007&amp;"-"&amp;TEXT($Q1007,"00"))</f>
        <v/>
      </c>
      <c r="S1007" s="24">
        <f>IF($J1007="","",INDEX(lista_dias,WEEKDAY($J1007,2)))</f>
        <v/>
      </c>
      <c r="T1007" s="24">
        <f>IF($J1007="","",IFERROR(INDEX('CALENDARIO'!$C$15:$C$214,MATCH(TEXT($J1007,"yyyy-mm-dd")&amp;"|"&amp;$Y1007&amp;"|"&amp;$Z1007,'CALENDARIO'!$G$15:$G$214,0)),IFERROR(INDEX('CALENDARIO'!$C$15:$C$214,MATCH(TEXT($J1007,"yyyy-mm-dd")&amp;"|"&amp;$Y1007&amp;"|",'CALENDARIO'!$G$15:$G$214,0)),IFERROR(INDEX('CALENDARIO'!$C$15:$C$214,MATCH(TEXT($J1007,"yyyy-mm-dd")&amp;"||",'CALENDARIO'!$G$15:$G$214,0)),INDEX(patronHabil,WEEKDAY($J1007,2))))))</f>
        <v/>
      </c>
      <c r="U1007" s="24">
        <f>IF($I1007="","",IFERROR(INDEX('CAT_TIPOS_OT'!$C$4:$C$23,MATCH($I1007,'CAT_TIPOS_OT'!$A$4:$A$23,0)),"sin_clasificar"))</f>
        <v/>
      </c>
      <c r="V1007" s="24">
        <f>IF($I1007="","",IF(IFERROR(INDEX('CAT_TIPOS_OT'!$D$4:$D$23,MATCH($I1007,'CAT_TIPOS_OT'!$A$4:$A$23,0)),"SIN CLASIFICAR")="","SIN CLASIFICAR",IFERROR(INDEX('CAT_TIPOS_OT'!$D$4:$D$23,MATCH($I1007,'CAT_TIPOS_OT'!$A$4:$A$23,0)),"SIN CLASIFICAR")))</f>
        <v/>
      </c>
      <c r="W1007" s="24">
        <f>IF($H1007="","",IF(IFERROR(INDEX('CAT_ACTIVIDADES'!$F$4:$F$26,MATCH($H1007,'CAT_ACTIVIDADES'!$A$4:$A$26,0)),"")=0,"",IFERROR(INDEX('CAT_ACTIVIDADES'!$F$4:$F$26,MATCH($H1007,'CAT_ACTIVIDADES'!$A$4:$A$26,0)),"")))</f>
        <v/>
      </c>
      <c r="X1007" s="24">
        <f>IF($F1007="","",IFERROR(INDEX('CAT_CENTROS_COSTO'!$F$4:$F$28,MATCH($F1007,'CAT_CENTROS_COSTO'!$A$4:$A$28,0)),"(sin catálogo)"))</f>
        <v/>
      </c>
      <c r="Y1007" s="24">
        <f>IF($F1007="","",IFERROR(INDEX('CAT_CENTROS_COSTO'!$D$4:$D$28,MATCH($F1007,'CAT_CENTROS_COSTO'!$A$4:$A$28,0)),"(sin catálogo)"))</f>
        <v/>
      </c>
      <c r="Z1007" s="24">
        <f>IF($F1007="","",IF((IFERROR(INDEX('CAT_CENTROS_COSTO'!$E$4:$E$28,MATCH($F1007,'CAT_CENTROS_COSTO'!$A$4:$A$28,0)),""))&lt;&gt;"",IFERROR(INDEX('CAT_CENTROS_COSTO'!$E$4:$E$28,MATCH($F1007,'CAT_CENTROS_COSTO'!$A$4:$A$28,0)),""),$Y1007))</f>
        <v/>
      </c>
      <c r="AA1007" s="24">
        <f>IF($F1007="","",IFERROR(INDEX('CAT_CENTROS_COSTO'!$G$4:$G$28,MATCH($F1007,'CAT_CENTROS_COSTO'!$A$4:$A$28,0)),"(sin catálogo)"))</f>
        <v/>
      </c>
      <c r="AB1007" s="24">
        <f>IF($G1007="","",IFERROR(INDEX('CAT_PUESTOS'!$B$4:$B$23,MATCH($G1007,'CAT_PUESTOS'!$A$4:$A$23,0)),"(sin catálogo)"))</f>
        <v/>
      </c>
      <c r="AC1007" s="24">
        <f>IF($H1007="","",IFERROR(INDEX('CAT_ACTIVIDADES'!$B$4:$B$26,MATCH($H1007,'CAT_ACTIVIDADES'!$A$4:$A$26,0)),"(sin catálogo)"))</f>
        <v/>
      </c>
      <c r="AD1007" s="26">
        <f>IF($J1007="","",TODAY()-$J1007)</f>
        <v/>
      </c>
      <c r="AE1007" s="26">
        <f>IF($J1007="","",IF($J1007&lt;=TODAY(),COUNTIFS(cal_fechas,"&gt;="&amp;$J1007,cal_fechas,"&lt;"&amp;TODAY(),cal_habil,"sí"),-COUNTIFS(cal_fechas,"&gt;="&amp;TODAY(),cal_fechas,"&lt;"&amp;$J1007,cal_habil,"sí")))</f>
        <v/>
      </c>
      <c r="AF1007" s="24">
        <f>IF($AE1007="","",IF($AE1007&lt;0,"FUTURO",IF($AE1007&gt;p_dias_backlog_max,"BACKLOG","MES CORRIENTE")))</f>
        <v/>
      </c>
      <c r="AG1007" s="24">
        <f>IF($AE1007="",FALSE,AND($AE1007&gt;p_dias_backlog_min,$AE1007&lt;=p_dias_backlog_max))</f>
        <v/>
      </c>
      <c r="AH1007" s="4" t="n"/>
      <c r="AI1007" s="24">
        <f>IF($AH1007="","",IF((IFERROR(INDEX('ASIGNACIONES'!$J$4:$J$451,MATCH($O1007&amp;"|"&amp;$S1007&amp;"|"&amp;$AH1007,'ASIGNACIONES'!$N$4:$N$451,0)),""))=0,"",IFERROR(INDEX('ASIGNACIONES'!$J$4:$J$451,MATCH($O1007&amp;"|"&amp;$S1007&amp;"|"&amp;$AH1007,'ASIGNACIONES'!$N$4:$N$451,0)),"")))</f>
        <v/>
      </c>
      <c r="AJ1007" s="42">
        <f>IF($AH1007="","",SUMIFS('ORDENES'!$M$4:$M$1203,'ORDENES'!$AH$4:$AH$1203,$AH1007,'ORDENES'!$O$4:$O$1203,$O1007,'ORDENES'!$S$4:$S$1203,$S1007))</f>
        <v/>
      </c>
      <c r="AK1007" s="42">
        <f>IF($AJ1007="","",p_factor_productividad*IFERROR(INDEX('ASIGNACIONES'!$M$4:$M$451,MATCH($O1007&amp;"|"&amp;$S1007&amp;"|"&amp;$AH1007,'ASIGNACIONES'!$N$4:$N$451,0)),0)-$AJ1007)</f>
        <v/>
      </c>
      <c r="AL1007" s="32">
        <f>IF($A1007="","",IFERROR(INDEX('2_IMPORTAR_EJECUCION'!$F$9:$F$1208,MATCH($AU1007,'2_IMPORTAR_EJECUCION'!$J$9:$J$1208,0)),0))</f>
        <v/>
      </c>
      <c r="AM1007" s="32">
        <f>IF($A1007="","",MAX(0,IFERROR(INDEX('2_IMPORTAR_EJECUCION'!$H$9:$H$1208,MATCH($AU1007,'2_IMPORTAR_EJECUCION'!$J$9:$J$1208,0)),0)-$AL1007))</f>
        <v/>
      </c>
      <c r="AN1007" s="32">
        <f>IF($A1007="","",$AL1007+$AM1007)</f>
        <v/>
      </c>
      <c r="AO1007" s="24">
        <f>IF($A1007="","",IF(OR((IFERROR(INDEX('CAT_ACTIVIDADES'!$D$4:$D$26,MATCH($H1007,'CAT_ACTIVIDADES'!$A$4:$A$26,0)),""))=0,(IFERROR(INDEX('CAT_ACTIVIDADES'!$D$4:$D$26,MATCH($H1007,'CAT_ACTIVIDADES'!$A$4:$A$26,0)),""))=""),"SIN CLASIFICAR",IFERROR(INDEX('CAT_ACTIVIDADES'!$D$4:$D$26,MATCH($H1007,'CAT_ACTIVIDADES'!$A$4:$A$26,0)),"")))</f>
        <v/>
      </c>
      <c r="AP1007" s="4" t="n"/>
      <c r="AQ1007" s="4" t="n"/>
      <c r="AR1007" s="4" t="n"/>
      <c r="AS1007" s="24">
        <f>IF($AR1007="","",HYPERLINK(p_ruta_base_checklists&amp;$AR1007,"abrir"))</f>
        <v/>
      </c>
      <c r="AT1007" s="4" t="n"/>
      <c r="AU1007" s="24">
        <f>IF($A1007="","",$A1007&amp;IF($B1007="","0010",$B1007))</f>
        <v/>
      </c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41" t="n"/>
      <c r="K1008" s="5" t="n"/>
      <c r="L1008" s="18" t="n"/>
      <c r="M1008" s="24">
        <f>IF($A1008="","",IFERROR(INDEX('AJUSTES'!$B$4:$B$303,MATCH($AU1008,'AJUSTES'!$A$4:$A$303,0)),IF($K1008="","",$K1008)))</f>
        <v/>
      </c>
      <c r="N1008" s="24">
        <f>IF($A1008="","",IFERROR(INDEX('CAT_ESTADOS_ERP'!$B$4:$B$22,MATCH(IFERROR(INDEX('2_IMPORTAR_EJECUCION'!$C$9:$C$1208,MATCH($AU1008,'2_IMPORTAR_EJECUCION'!$J$9:$J$1208,0)),""),'CAT_ESTADOS_ERP'!$A$4:$A$22,0)),"Pendiente"))</f>
        <v/>
      </c>
      <c r="O1008" s="24">
        <f>IF($J1008="","",YEAR($J1008+4-WEEKDAY($J1008,2))&amp;"-S"&amp;TEXT(_xlfn.ISOWEEKNUM($J1008),"00"))</f>
        <v/>
      </c>
      <c r="P1008" s="24">
        <f>IF($J1008="","",YEAR($J1008))</f>
        <v/>
      </c>
      <c r="Q1008" s="24">
        <f>IF($J1008="","",MONTH($J1008))</f>
        <v/>
      </c>
      <c r="R1008" s="24">
        <f>IF($J1008="","",$P1008&amp;"-"&amp;TEXT($Q1008,"00"))</f>
        <v/>
      </c>
      <c r="S1008" s="24">
        <f>IF($J1008="","",INDEX(lista_dias,WEEKDAY($J1008,2)))</f>
        <v/>
      </c>
      <c r="T1008" s="24">
        <f>IF($J1008="","",IFERROR(INDEX('CALENDARIO'!$C$15:$C$214,MATCH(TEXT($J1008,"yyyy-mm-dd")&amp;"|"&amp;$Y1008&amp;"|"&amp;$Z1008,'CALENDARIO'!$G$15:$G$214,0)),IFERROR(INDEX('CALENDARIO'!$C$15:$C$214,MATCH(TEXT($J1008,"yyyy-mm-dd")&amp;"|"&amp;$Y1008&amp;"|",'CALENDARIO'!$G$15:$G$214,0)),IFERROR(INDEX('CALENDARIO'!$C$15:$C$214,MATCH(TEXT($J1008,"yyyy-mm-dd")&amp;"||",'CALENDARIO'!$G$15:$G$214,0)),INDEX(patronHabil,WEEKDAY($J1008,2))))))</f>
        <v/>
      </c>
      <c r="U1008" s="24">
        <f>IF($I1008="","",IFERROR(INDEX('CAT_TIPOS_OT'!$C$4:$C$23,MATCH($I1008,'CAT_TIPOS_OT'!$A$4:$A$23,0)),"sin_clasificar"))</f>
        <v/>
      </c>
      <c r="V1008" s="24">
        <f>IF($I1008="","",IF(IFERROR(INDEX('CAT_TIPOS_OT'!$D$4:$D$23,MATCH($I1008,'CAT_TIPOS_OT'!$A$4:$A$23,0)),"SIN CLASIFICAR")="","SIN CLASIFICAR",IFERROR(INDEX('CAT_TIPOS_OT'!$D$4:$D$23,MATCH($I1008,'CAT_TIPOS_OT'!$A$4:$A$23,0)),"SIN CLASIFICAR")))</f>
        <v/>
      </c>
      <c r="W1008" s="24">
        <f>IF($H1008="","",IF(IFERROR(INDEX('CAT_ACTIVIDADES'!$F$4:$F$26,MATCH($H1008,'CAT_ACTIVIDADES'!$A$4:$A$26,0)),"")=0,"",IFERROR(INDEX('CAT_ACTIVIDADES'!$F$4:$F$26,MATCH($H1008,'CAT_ACTIVIDADES'!$A$4:$A$26,0)),"")))</f>
        <v/>
      </c>
      <c r="X1008" s="24">
        <f>IF($F1008="","",IFERROR(INDEX('CAT_CENTROS_COSTO'!$F$4:$F$28,MATCH($F1008,'CAT_CENTROS_COSTO'!$A$4:$A$28,0)),"(sin catálogo)"))</f>
        <v/>
      </c>
      <c r="Y1008" s="24">
        <f>IF($F1008="","",IFERROR(INDEX('CAT_CENTROS_COSTO'!$D$4:$D$28,MATCH($F1008,'CAT_CENTROS_COSTO'!$A$4:$A$28,0)),"(sin catálogo)"))</f>
        <v/>
      </c>
      <c r="Z1008" s="24">
        <f>IF($F1008="","",IF((IFERROR(INDEX('CAT_CENTROS_COSTO'!$E$4:$E$28,MATCH($F1008,'CAT_CENTROS_COSTO'!$A$4:$A$28,0)),""))&lt;&gt;"",IFERROR(INDEX('CAT_CENTROS_COSTO'!$E$4:$E$28,MATCH($F1008,'CAT_CENTROS_COSTO'!$A$4:$A$28,0)),""),$Y1008))</f>
        <v/>
      </c>
      <c r="AA1008" s="24">
        <f>IF($F1008="","",IFERROR(INDEX('CAT_CENTROS_COSTO'!$G$4:$G$28,MATCH($F1008,'CAT_CENTROS_COSTO'!$A$4:$A$28,0)),"(sin catálogo)"))</f>
        <v/>
      </c>
      <c r="AB1008" s="24">
        <f>IF($G1008="","",IFERROR(INDEX('CAT_PUESTOS'!$B$4:$B$23,MATCH($G1008,'CAT_PUESTOS'!$A$4:$A$23,0)),"(sin catálogo)"))</f>
        <v/>
      </c>
      <c r="AC1008" s="24">
        <f>IF($H1008="","",IFERROR(INDEX('CAT_ACTIVIDADES'!$B$4:$B$26,MATCH($H1008,'CAT_ACTIVIDADES'!$A$4:$A$26,0)),"(sin catálogo)"))</f>
        <v/>
      </c>
      <c r="AD1008" s="26">
        <f>IF($J1008="","",TODAY()-$J1008)</f>
        <v/>
      </c>
      <c r="AE1008" s="26">
        <f>IF($J1008="","",IF($J1008&lt;=TODAY(),COUNTIFS(cal_fechas,"&gt;="&amp;$J1008,cal_fechas,"&lt;"&amp;TODAY(),cal_habil,"sí"),-COUNTIFS(cal_fechas,"&gt;="&amp;TODAY(),cal_fechas,"&lt;"&amp;$J1008,cal_habil,"sí")))</f>
        <v/>
      </c>
      <c r="AF1008" s="24">
        <f>IF($AE1008="","",IF($AE1008&lt;0,"FUTURO",IF($AE1008&gt;p_dias_backlog_max,"BACKLOG","MES CORRIENTE")))</f>
        <v/>
      </c>
      <c r="AG1008" s="24">
        <f>IF($AE1008="",FALSE,AND($AE1008&gt;p_dias_backlog_min,$AE1008&lt;=p_dias_backlog_max))</f>
        <v/>
      </c>
      <c r="AH1008" s="4" t="n"/>
      <c r="AI1008" s="24">
        <f>IF($AH1008="","",IF((IFERROR(INDEX('ASIGNACIONES'!$J$4:$J$451,MATCH($O1008&amp;"|"&amp;$S1008&amp;"|"&amp;$AH1008,'ASIGNACIONES'!$N$4:$N$451,0)),""))=0,"",IFERROR(INDEX('ASIGNACIONES'!$J$4:$J$451,MATCH($O1008&amp;"|"&amp;$S1008&amp;"|"&amp;$AH1008,'ASIGNACIONES'!$N$4:$N$451,0)),"")))</f>
        <v/>
      </c>
      <c r="AJ1008" s="42">
        <f>IF($AH1008="","",SUMIFS('ORDENES'!$M$4:$M$1203,'ORDENES'!$AH$4:$AH$1203,$AH1008,'ORDENES'!$O$4:$O$1203,$O1008,'ORDENES'!$S$4:$S$1203,$S1008))</f>
        <v/>
      </c>
      <c r="AK1008" s="42">
        <f>IF($AJ1008="","",p_factor_productividad*IFERROR(INDEX('ASIGNACIONES'!$M$4:$M$451,MATCH($O1008&amp;"|"&amp;$S1008&amp;"|"&amp;$AH1008,'ASIGNACIONES'!$N$4:$N$451,0)),0)-$AJ1008)</f>
        <v/>
      </c>
      <c r="AL1008" s="32">
        <f>IF($A1008="","",IFERROR(INDEX('2_IMPORTAR_EJECUCION'!$F$9:$F$1208,MATCH($AU1008,'2_IMPORTAR_EJECUCION'!$J$9:$J$1208,0)),0))</f>
        <v/>
      </c>
      <c r="AM1008" s="32">
        <f>IF($A1008="","",MAX(0,IFERROR(INDEX('2_IMPORTAR_EJECUCION'!$H$9:$H$1208,MATCH($AU1008,'2_IMPORTAR_EJECUCION'!$J$9:$J$1208,0)),0)-$AL1008))</f>
        <v/>
      </c>
      <c r="AN1008" s="32">
        <f>IF($A1008="","",$AL1008+$AM1008)</f>
        <v/>
      </c>
      <c r="AO1008" s="24">
        <f>IF($A1008="","",IF(OR((IFERROR(INDEX('CAT_ACTIVIDADES'!$D$4:$D$26,MATCH($H1008,'CAT_ACTIVIDADES'!$A$4:$A$26,0)),""))=0,(IFERROR(INDEX('CAT_ACTIVIDADES'!$D$4:$D$26,MATCH($H1008,'CAT_ACTIVIDADES'!$A$4:$A$26,0)),""))=""),"SIN CLASIFICAR",IFERROR(INDEX('CAT_ACTIVIDADES'!$D$4:$D$26,MATCH($H1008,'CAT_ACTIVIDADES'!$A$4:$A$26,0)),"")))</f>
        <v/>
      </c>
      <c r="AP1008" s="4" t="n"/>
      <c r="AQ1008" s="4" t="n"/>
      <c r="AR1008" s="4" t="n"/>
      <c r="AS1008" s="24">
        <f>IF($AR1008="","",HYPERLINK(p_ruta_base_checklists&amp;$AR1008,"abrir"))</f>
        <v/>
      </c>
      <c r="AT1008" s="4" t="n"/>
      <c r="AU1008" s="24">
        <f>IF($A1008="","",$A1008&amp;IF($B1008="","0010",$B1008))</f>
        <v/>
      </c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41" t="n"/>
      <c r="K1009" s="5" t="n"/>
      <c r="L1009" s="18" t="n"/>
      <c r="M1009" s="24">
        <f>IF($A1009="","",IFERROR(INDEX('AJUSTES'!$B$4:$B$303,MATCH($AU1009,'AJUSTES'!$A$4:$A$303,0)),IF($K1009="","",$K1009)))</f>
        <v/>
      </c>
      <c r="N1009" s="24">
        <f>IF($A1009="","",IFERROR(INDEX('CAT_ESTADOS_ERP'!$B$4:$B$22,MATCH(IFERROR(INDEX('2_IMPORTAR_EJECUCION'!$C$9:$C$1208,MATCH($AU1009,'2_IMPORTAR_EJECUCION'!$J$9:$J$1208,0)),""),'CAT_ESTADOS_ERP'!$A$4:$A$22,0)),"Pendiente"))</f>
        <v/>
      </c>
      <c r="O1009" s="24">
        <f>IF($J1009="","",YEAR($J1009+4-WEEKDAY($J1009,2))&amp;"-S"&amp;TEXT(_xlfn.ISOWEEKNUM($J1009),"00"))</f>
        <v/>
      </c>
      <c r="P1009" s="24">
        <f>IF($J1009="","",YEAR($J1009))</f>
        <v/>
      </c>
      <c r="Q1009" s="24">
        <f>IF($J1009="","",MONTH($J1009))</f>
        <v/>
      </c>
      <c r="R1009" s="24">
        <f>IF($J1009="","",$P1009&amp;"-"&amp;TEXT($Q1009,"00"))</f>
        <v/>
      </c>
      <c r="S1009" s="24">
        <f>IF($J1009="","",INDEX(lista_dias,WEEKDAY($J1009,2)))</f>
        <v/>
      </c>
      <c r="T1009" s="24">
        <f>IF($J1009="","",IFERROR(INDEX('CALENDARIO'!$C$15:$C$214,MATCH(TEXT($J1009,"yyyy-mm-dd")&amp;"|"&amp;$Y1009&amp;"|"&amp;$Z1009,'CALENDARIO'!$G$15:$G$214,0)),IFERROR(INDEX('CALENDARIO'!$C$15:$C$214,MATCH(TEXT($J1009,"yyyy-mm-dd")&amp;"|"&amp;$Y1009&amp;"|",'CALENDARIO'!$G$15:$G$214,0)),IFERROR(INDEX('CALENDARIO'!$C$15:$C$214,MATCH(TEXT($J1009,"yyyy-mm-dd")&amp;"||",'CALENDARIO'!$G$15:$G$214,0)),INDEX(patronHabil,WEEKDAY($J1009,2))))))</f>
        <v/>
      </c>
      <c r="U1009" s="24">
        <f>IF($I1009="","",IFERROR(INDEX('CAT_TIPOS_OT'!$C$4:$C$23,MATCH($I1009,'CAT_TIPOS_OT'!$A$4:$A$23,0)),"sin_clasificar"))</f>
        <v/>
      </c>
      <c r="V1009" s="24">
        <f>IF($I1009="","",IF(IFERROR(INDEX('CAT_TIPOS_OT'!$D$4:$D$23,MATCH($I1009,'CAT_TIPOS_OT'!$A$4:$A$23,0)),"SIN CLASIFICAR")="","SIN CLASIFICAR",IFERROR(INDEX('CAT_TIPOS_OT'!$D$4:$D$23,MATCH($I1009,'CAT_TIPOS_OT'!$A$4:$A$23,0)),"SIN CLASIFICAR")))</f>
        <v/>
      </c>
      <c r="W1009" s="24">
        <f>IF($H1009="","",IF(IFERROR(INDEX('CAT_ACTIVIDADES'!$F$4:$F$26,MATCH($H1009,'CAT_ACTIVIDADES'!$A$4:$A$26,0)),"")=0,"",IFERROR(INDEX('CAT_ACTIVIDADES'!$F$4:$F$26,MATCH($H1009,'CAT_ACTIVIDADES'!$A$4:$A$26,0)),"")))</f>
        <v/>
      </c>
      <c r="X1009" s="24">
        <f>IF($F1009="","",IFERROR(INDEX('CAT_CENTROS_COSTO'!$F$4:$F$28,MATCH($F1009,'CAT_CENTROS_COSTO'!$A$4:$A$28,0)),"(sin catálogo)"))</f>
        <v/>
      </c>
      <c r="Y1009" s="24">
        <f>IF($F1009="","",IFERROR(INDEX('CAT_CENTROS_COSTO'!$D$4:$D$28,MATCH($F1009,'CAT_CENTROS_COSTO'!$A$4:$A$28,0)),"(sin catálogo)"))</f>
        <v/>
      </c>
      <c r="Z1009" s="24">
        <f>IF($F1009="","",IF((IFERROR(INDEX('CAT_CENTROS_COSTO'!$E$4:$E$28,MATCH($F1009,'CAT_CENTROS_COSTO'!$A$4:$A$28,0)),""))&lt;&gt;"",IFERROR(INDEX('CAT_CENTROS_COSTO'!$E$4:$E$28,MATCH($F1009,'CAT_CENTROS_COSTO'!$A$4:$A$28,0)),""),$Y1009))</f>
        <v/>
      </c>
      <c r="AA1009" s="24">
        <f>IF($F1009="","",IFERROR(INDEX('CAT_CENTROS_COSTO'!$G$4:$G$28,MATCH($F1009,'CAT_CENTROS_COSTO'!$A$4:$A$28,0)),"(sin catálogo)"))</f>
        <v/>
      </c>
      <c r="AB1009" s="24">
        <f>IF($G1009="","",IFERROR(INDEX('CAT_PUESTOS'!$B$4:$B$23,MATCH($G1009,'CAT_PUESTOS'!$A$4:$A$23,0)),"(sin catálogo)"))</f>
        <v/>
      </c>
      <c r="AC1009" s="24">
        <f>IF($H1009="","",IFERROR(INDEX('CAT_ACTIVIDADES'!$B$4:$B$26,MATCH($H1009,'CAT_ACTIVIDADES'!$A$4:$A$26,0)),"(sin catálogo)"))</f>
        <v/>
      </c>
      <c r="AD1009" s="26">
        <f>IF($J1009="","",TODAY()-$J1009)</f>
        <v/>
      </c>
      <c r="AE1009" s="26">
        <f>IF($J1009="","",IF($J1009&lt;=TODAY(),COUNTIFS(cal_fechas,"&gt;="&amp;$J1009,cal_fechas,"&lt;"&amp;TODAY(),cal_habil,"sí"),-COUNTIFS(cal_fechas,"&gt;="&amp;TODAY(),cal_fechas,"&lt;"&amp;$J1009,cal_habil,"sí")))</f>
        <v/>
      </c>
      <c r="AF1009" s="24">
        <f>IF($AE1009="","",IF($AE1009&lt;0,"FUTURO",IF($AE1009&gt;p_dias_backlog_max,"BACKLOG","MES CORRIENTE")))</f>
        <v/>
      </c>
      <c r="AG1009" s="24">
        <f>IF($AE1009="",FALSE,AND($AE1009&gt;p_dias_backlog_min,$AE1009&lt;=p_dias_backlog_max))</f>
        <v/>
      </c>
      <c r="AH1009" s="4" t="n"/>
      <c r="AI1009" s="24">
        <f>IF($AH1009="","",IF((IFERROR(INDEX('ASIGNACIONES'!$J$4:$J$451,MATCH($O1009&amp;"|"&amp;$S1009&amp;"|"&amp;$AH1009,'ASIGNACIONES'!$N$4:$N$451,0)),""))=0,"",IFERROR(INDEX('ASIGNACIONES'!$J$4:$J$451,MATCH($O1009&amp;"|"&amp;$S1009&amp;"|"&amp;$AH1009,'ASIGNACIONES'!$N$4:$N$451,0)),"")))</f>
        <v/>
      </c>
      <c r="AJ1009" s="42">
        <f>IF($AH1009="","",SUMIFS('ORDENES'!$M$4:$M$1203,'ORDENES'!$AH$4:$AH$1203,$AH1009,'ORDENES'!$O$4:$O$1203,$O1009,'ORDENES'!$S$4:$S$1203,$S1009))</f>
        <v/>
      </c>
      <c r="AK1009" s="42">
        <f>IF($AJ1009="","",p_factor_productividad*IFERROR(INDEX('ASIGNACIONES'!$M$4:$M$451,MATCH($O1009&amp;"|"&amp;$S1009&amp;"|"&amp;$AH1009,'ASIGNACIONES'!$N$4:$N$451,0)),0)-$AJ1009)</f>
        <v/>
      </c>
      <c r="AL1009" s="32">
        <f>IF($A1009="","",IFERROR(INDEX('2_IMPORTAR_EJECUCION'!$F$9:$F$1208,MATCH($AU1009,'2_IMPORTAR_EJECUCION'!$J$9:$J$1208,0)),0))</f>
        <v/>
      </c>
      <c r="AM1009" s="32">
        <f>IF($A1009="","",MAX(0,IFERROR(INDEX('2_IMPORTAR_EJECUCION'!$H$9:$H$1208,MATCH($AU1009,'2_IMPORTAR_EJECUCION'!$J$9:$J$1208,0)),0)-$AL1009))</f>
        <v/>
      </c>
      <c r="AN1009" s="32">
        <f>IF($A1009="","",$AL1009+$AM1009)</f>
        <v/>
      </c>
      <c r="AO1009" s="24">
        <f>IF($A1009="","",IF(OR((IFERROR(INDEX('CAT_ACTIVIDADES'!$D$4:$D$26,MATCH($H1009,'CAT_ACTIVIDADES'!$A$4:$A$26,0)),""))=0,(IFERROR(INDEX('CAT_ACTIVIDADES'!$D$4:$D$26,MATCH($H1009,'CAT_ACTIVIDADES'!$A$4:$A$26,0)),""))=""),"SIN CLASIFICAR",IFERROR(INDEX('CAT_ACTIVIDADES'!$D$4:$D$26,MATCH($H1009,'CAT_ACTIVIDADES'!$A$4:$A$26,0)),"")))</f>
        <v/>
      </c>
      <c r="AP1009" s="4" t="n"/>
      <c r="AQ1009" s="4" t="n"/>
      <c r="AR1009" s="4" t="n"/>
      <c r="AS1009" s="24">
        <f>IF($AR1009="","",HYPERLINK(p_ruta_base_checklists&amp;$AR1009,"abrir"))</f>
        <v/>
      </c>
      <c r="AT1009" s="4" t="n"/>
      <c r="AU1009" s="24">
        <f>IF($A1009="","",$A1009&amp;IF($B1009="","0010",$B1009))</f>
        <v/>
      </c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41" t="n"/>
      <c r="K1010" s="5" t="n"/>
      <c r="L1010" s="18" t="n"/>
      <c r="M1010" s="24">
        <f>IF($A1010="","",IFERROR(INDEX('AJUSTES'!$B$4:$B$303,MATCH($AU1010,'AJUSTES'!$A$4:$A$303,0)),IF($K1010="","",$K1010)))</f>
        <v/>
      </c>
      <c r="N1010" s="24">
        <f>IF($A1010="","",IFERROR(INDEX('CAT_ESTADOS_ERP'!$B$4:$B$22,MATCH(IFERROR(INDEX('2_IMPORTAR_EJECUCION'!$C$9:$C$1208,MATCH($AU1010,'2_IMPORTAR_EJECUCION'!$J$9:$J$1208,0)),""),'CAT_ESTADOS_ERP'!$A$4:$A$22,0)),"Pendiente"))</f>
        <v/>
      </c>
      <c r="O1010" s="24">
        <f>IF($J1010="","",YEAR($J1010+4-WEEKDAY($J1010,2))&amp;"-S"&amp;TEXT(_xlfn.ISOWEEKNUM($J1010),"00"))</f>
        <v/>
      </c>
      <c r="P1010" s="24">
        <f>IF($J1010="","",YEAR($J1010))</f>
        <v/>
      </c>
      <c r="Q1010" s="24">
        <f>IF($J1010="","",MONTH($J1010))</f>
        <v/>
      </c>
      <c r="R1010" s="24">
        <f>IF($J1010="","",$P1010&amp;"-"&amp;TEXT($Q1010,"00"))</f>
        <v/>
      </c>
      <c r="S1010" s="24">
        <f>IF($J1010="","",INDEX(lista_dias,WEEKDAY($J1010,2)))</f>
        <v/>
      </c>
      <c r="T1010" s="24">
        <f>IF($J1010="","",IFERROR(INDEX('CALENDARIO'!$C$15:$C$214,MATCH(TEXT($J1010,"yyyy-mm-dd")&amp;"|"&amp;$Y1010&amp;"|"&amp;$Z1010,'CALENDARIO'!$G$15:$G$214,0)),IFERROR(INDEX('CALENDARIO'!$C$15:$C$214,MATCH(TEXT($J1010,"yyyy-mm-dd")&amp;"|"&amp;$Y1010&amp;"|",'CALENDARIO'!$G$15:$G$214,0)),IFERROR(INDEX('CALENDARIO'!$C$15:$C$214,MATCH(TEXT($J1010,"yyyy-mm-dd")&amp;"||",'CALENDARIO'!$G$15:$G$214,0)),INDEX(patronHabil,WEEKDAY($J1010,2))))))</f>
        <v/>
      </c>
      <c r="U1010" s="24">
        <f>IF($I1010="","",IFERROR(INDEX('CAT_TIPOS_OT'!$C$4:$C$23,MATCH($I1010,'CAT_TIPOS_OT'!$A$4:$A$23,0)),"sin_clasificar"))</f>
        <v/>
      </c>
      <c r="V1010" s="24">
        <f>IF($I1010="","",IF(IFERROR(INDEX('CAT_TIPOS_OT'!$D$4:$D$23,MATCH($I1010,'CAT_TIPOS_OT'!$A$4:$A$23,0)),"SIN CLASIFICAR")="","SIN CLASIFICAR",IFERROR(INDEX('CAT_TIPOS_OT'!$D$4:$D$23,MATCH($I1010,'CAT_TIPOS_OT'!$A$4:$A$23,0)),"SIN CLASIFICAR")))</f>
        <v/>
      </c>
      <c r="W1010" s="24">
        <f>IF($H1010="","",IF(IFERROR(INDEX('CAT_ACTIVIDADES'!$F$4:$F$26,MATCH($H1010,'CAT_ACTIVIDADES'!$A$4:$A$26,0)),"")=0,"",IFERROR(INDEX('CAT_ACTIVIDADES'!$F$4:$F$26,MATCH($H1010,'CAT_ACTIVIDADES'!$A$4:$A$26,0)),"")))</f>
        <v/>
      </c>
      <c r="X1010" s="24">
        <f>IF($F1010="","",IFERROR(INDEX('CAT_CENTROS_COSTO'!$F$4:$F$28,MATCH($F1010,'CAT_CENTROS_COSTO'!$A$4:$A$28,0)),"(sin catálogo)"))</f>
        <v/>
      </c>
      <c r="Y1010" s="24">
        <f>IF($F1010="","",IFERROR(INDEX('CAT_CENTROS_COSTO'!$D$4:$D$28,MATCH($F1010,'CAT_CENTROS_COSTO'!$A$4:$A$28,0)),"(sin catálogo)"))</f>
        <v/>
      </c>
      <c r="Z1010" s="24">
        <f>IF($F1010="","",IF((IFERROR(INDEX('CAT_CENTROS_COSTO'!$E$4:$E$28,MATCH($F1010,'CAT_CENTROS_COSTO'!$A$4:$A$28,0)),""))&lt;&gt;"",IFERROR(INDEX('CAT_CENTROS_COSTO'!$E$4:$E$28,MATCH($F1010,'CAT_CENTROS_COSTO'!$A$4:$A$28,0)),""),$Y1010))</f>
        <v/>
      </c>
      <c r="AA1010" s="24">
        <f>IF($F1010="","",IFERROR(INDEX('CAT_CENTROS_COSTO'!$G$4:$G$28,MATCH($F1010,'CAT_CENTROS_COSTO'!$A$4:$A$28,0)),"(sin catálogo)"))</f>
        <v/>
      </c>
      <c r="AB1010" s="24">
        <f>IF($G1010="","",IFERROR(INDEX('CAT_PUESTOS'!$B$4:$B$23,MATCH($G1010,'CAT_PUESTOS'!$A$4:$A$23,0)),"(sin catálogo)"))</f>
        <v/>
      </c>
      <c r="AC1010" s="24">
        <f>IF($H1010="","",IFERROR(INDEX('CAT_ACTIVIDADES'!$B$4:$B$26,MATCH($H1010,'CAT_ACTIVIDADES'!$A$4:$A$26,0)),"(sin catálogo)"))</f>
        <v/>
      </c>
      <c r="AD1010" s="26">
        <f>IF($J1010="","",TODAY()-$J1010)</f>
        <v/>
      </c>
      <c r="AE1010" s="26">
        <f>IF($J1010="","",IF($J1010&lt;=TODAY(),COUNTIFS(cal_fechas,"&gt;="&amp;$J1010,cal_fechas,"&lt;"&amp;TODAY(),cal_habil,"sí"),-COUNTIFS(cal_fechas,"&gt;="&amp;TODAY(),cal_fechas,"&lt;"&amp;$J1010,cal_habil,"sí")))</f>
        <v/>
      </c>
      <c r="AF1010" s="24">
        <f>IF($AE1010="","",IF($AE1010&lt;0,"FUTURO",IF($AE1010&gt;p_dias_backlog_max,"BACKLOG","MES CORRIENTE")))</f>
        <v/>
      </c>
      <c r="AG1010" s="24">
        <f>IF($AE1010="",FALSE,AND($AE1010&gt;p_dias_backlog_min,$AE1010&lt;=p_dias_backlog_max))</f>
        <v/>
      </c>
      <c r="AH1010" s="4" t="n"/>
      <c r="AI1010" s="24">
        <f>IF($AH1010="","",IF((IFERROR(INDEX('ASIGNACIONES'!$J$4:$J$451,MATCH($O1010&amp;"|"&amp;$S1010&amp;"|"&amp;$AH1010,'ASIGNACIONES'!$N$4:$N$451,0)),""))=0,"",IFERROR(INDEX('ASIGNACIONES'!$J$4:$J$451,MATCH($O1010&amp;"|"&amp;$S1010&amp;"|"&amp;$AH1010,'ASIGNACIONES'!$N$4:$N$451,0)),"")))</f>
        <v/>
      </c>
      <c r="AJ1010" s="42">
        <f>IF($AH1010="","",SUMIFS('ORDENES'!$M$4:$M$1203,'ORDENES'!$AH$4:$AH$1203,$AH1010,'ORDENES'!$O$4:$O$1203,$O1010,'ORDENES'!$S$4:$S$1203,$S1010))</f>
        <v/>
      </c>
      <c r="AK1010" s="42">
        <f>IF($AJ1010="","",p_factor_productividad*IFERROR(INDEX('ASIGNACIONES'!$M$4:$M$451,MATCH($O1010&amp;"|"&amp;$S1010&amp;"|"&amp;$AH1010,'ASIGNACIONES'!$N$4:$N$451,0)),0)-$AJ1010)</f>
        <v/>
      </c>
      <c r="AL1010" s="32">
        <f>IF($A1010="","",IFERROR(INDEX('2_IMPORTAR_EJECUCION'!$F$9:$F$1208,MATCH($AU1010,'2_IMPORTAR_EJECUCION'!$J$9:$J$1208,0)),0))</f>
        <v/>
      </c>
      <c r="AM1010" s="32">
        <f>IF($A1010="","",MAX(0,IFERROR(INDEX('2_IMPORTAR_EJECUCION'!$H$9:$H$1208,MATCH($AU1010,'2_IMPORTAR_EJECUCION'!$J$9:$J$1208,0)),0)-$AL1010))</f>
        <v/>
      </c>
      <c r="AN1010" s="32">
        <f>IF($A1010="","",$AL1010+$AM1010)</f>
        <v/>
      </c>
      <c r="AO1010" s="24">
        <f>IF($A1010="","",IF(OR((IFERROR(INDEX('CAT_ACTIVIDADES'!$D$4:$D$26,MATCH($H1010,'CAT_ACTIVIDADES'!$A$4:$A$26,0)),""))=0,(IFERROR(INDEX('CAT_ACTIVIDADES'!$D$4:$D$26,MATCH($H1010,'CAT_ACTIVIDADES'!$A$4:$A$26,0)),""))=""),"SIN CLASIFICAR",IFERROR(INDEX('CAT_ACTIVIDADES'!$D$4:$D$26,MATCH($H1010,'CAT_ACTIVIDADES'!$A$4:$A$26,0)),"")))</f>
        <v/>
      </c>
      <c r="AP1010" s="4" t="n"/>
      <c r="AQ1010" s="4" t="n"/>
      <c r="AR1010" s="4" t="n"/>
      <c r="AS1010" s="24">
        <f>IF($AR1010="","",HYPERLINK(p_ruta_base_checklists&amp;$AR1010,"abrir"))</f>
        <v/>
      </c>
      <c r="AT1010" s="4" t="n"/>
      <c r="AU1010" s="24">
        <f>IF($A1010="","",$A1010&amp;IF($B1010="","0010",$B1010))</f>
        <v/>
      </c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41" t="n"/>
      <c r="K1011" s="5" t="n"/>
      <c r="L1011" s="18" t="n"/>
      <c r="M1011" s="24">
        <f>IF($A1011="","",IFERROR(INDEX('AJUSTES'!$B$4:$B$303,MATCH($AU1011,'AJUSTES'!$A$4:$A$303,0)),IF($K1011="","",$K1011)))</f>
        <v/>
      </c>
      <c r="N1011" s="24">
        <f>IF($A1011="","",IFERROR(INDEX('CAT_ESTADOS_ERP'!$B$4:$B$22,MATCH(IFERROR(INDEX('2_IMPORTAR_EJECUCION'!$C$9:$C$1208,MATCH($AU1011,'2_IMPORTAR_EJECUCION'!$J$9:$J$1208,0)),""),'CAT_ESTADOS_ERP'!$A$4:$A$22,0)),"Pendiente"))</f>
        <v/>
      </c>
      <c r="O1011" s="24">
        <f>IF($J1011="","",YEAR($J1011+4-WEEKDAY($J1011,2))&amp;"-S"&amp;TEXT(_xlfn.ISOWEEKNUM($J1011),"00"))</f>
        <v/>
      </c>
      <c r="P1011" s="24">
        <f>IF($J1011="","",YEAR($J1011))</f>
        <v/>
      </c>
      <c r="Q1011" s="24">
        <f>IF($J1011="","",MONTH($J1011))</f>
        <v/>
      </c>
      <c r="R1011" s="24">
        <f>IF($J1011="","",$P1011&amp;"-"&amp;TEXT($Q1011,"00"))</f>
        <v/>
      </c>
      <c r="S1011" s="24">
        <f>IF($J1011="","",INDEX(lista_dias,WEEKDAY($J1011,2)))</f>
        <v/>
      </c>
      <c r="T1011" s="24">
        <f>IF($J1011="","",IFERROR(INDEX('CALENDARIO'!$C$15:$C$214,MATCH(TEXT($J1011,"yyyy-mm-dd")&amp;"|"&amp;$Y1011&amp;"|"&amp;$Z1011,'CALENDARIO'!$G$15:$G$214,0)),IFERROR(INDEX('CALENDARIO'!$C$15:$C$214,MATCH(TEXT($J1011,"yyyy-mm-dd")&amp;"|"&amp;$Y1011&amp;"|",'CALENDARIO'!$G$15:$G$214,0)),IFERROR(INDEX('CALENDARIO'!$C$15:$C$214,MATCH(TEXT($J1011,"yyyy-mm-dd")&amp;"||",'CALENDARIO'!$G$15:$G$214,0)),INDEX(patronHabil,WEEKDAY($J1011,2))))))</f>
        <v/>
      </c>
      <c r="U1011" s="24">
        <f>IF($I1011="","",IFERROR(INDEX('CAT_TIPOS_OT'!$C$4:$C$23,MATCH($I1011,'CAT_TIPOS_OT'!$A$4:$A$23,0)),"sin_clasificar"))</f>
        <v/>
      </c>
      <c r="V1011" s="24">
        <f>IF($I1011="","",IF(IFERROR(INDEX('CAT_TIPOS_OT'!$D$4:$D$23,MATCH($I1011,'CAT_TIPOS_OT'!$A$4:$A$23,0)),"SIN CLASIFICAR")="","SIN CLASIFICAR",IFERROR(INDEX('CAT_TIPOS_OT'!$D$4:$D$23,MATCH($I1011,'CAT_TIPOS_OT'!$A$4:$A$23,0)),"SIN CLASIFICAR")))</f>
        <v/>
      </c>
      <c r="W1011" s="24">
        <f>IF($H1011="","",IF(IFERROR(INDEX('CAT_ACTIVIDADES'!$F$4:$F$26,MATCH($H1011,'CAT_ACTIVIDADES'!$A$4:$A$26,0)),"")=0,"",IFERROR(INDEX('CAT_ACTIVIDADES'!$F$4:$F$26,MATCH($H1011,'CAT_ACTIVIDADES'!$A$4:$A$26,0)),"")))</f>
        <v/>
      </c>
      <c r="X1011" s="24">
        <f>IF($F1011="","",IFERROR(INDEX('CAT_CENTROS_COSTO'!$F$4:$F$28,MATCH($F1011,'CAT_CENTROS_COSTO'!$A$4:$A$28,0)),"(sin catálogo)"))</f>
        <v/>
      </c>
      <c r="Y1011" s="24">
        <f>IF($F1011="","",IFERROR(INDEX('CAT_CENTROS_COSTO'!$D$4:$D$28,MATCH($F1011,'CAT_CENTROS_COSTO'!$A$4:$A$28,0)),"(sin catálogo)"))</f>
        <v/>
      </c>
      <c r="Z1011" s="24">
        <f>IF($F1011="","",IF((IFERROR(INDEX('CAT_CENTROS_COSTO'!$E$4:$E$28,MATCH($F1011,'CAT_CENTROS_COSTO'!$A$4:$A$28,0)),""))&lt;&gt;"",IFERROR(INDEX('CAT_CENTROS_COSTO'!$E$4:$E$28,MATCH($F1011,'CAT_CENTROS_COSTO'!$A$4:$A$28,0)),""),$Y1011))</f>
        <v/>
      </c>
      <c r="AA1011" s="24">
        <f>IF($F1011="","",IFERROR(INDEX('CAT_CENTROS_COSTO'!$G$4:$G$28,MATCH($F1011,'CAT_CENTROS_COSTO'!$A$4:$A$28,0)),"(sin catálogo)"))</f>
        <v/>
      </c>
      <c r="AB1011" s="24">
        <f>IF($G1011="","",IFERROR(INDEX('CAT_PUESTOS'!$B$4:$B$23,MATCH($G1011,'CAT_PUESTOS'!$A$4:$A$23,0)),"(sin catálogo)"))</f>
        <v/>
      </c>
      <c r="AC1011" s="24">
        <f>IF($H1011="","",IFERROR(INDEX('CAT_ACTIVIDADES'!$B$4:$B$26,MATCH($H1011,'CAT_ACTIVIDADES'!$A$4:$A$26,0)),"(sin catálogo)"))</f>
        <v/>
      </c>
      <c r="AD1011" s="26">
        <f>IF($J1011="","",TODAY()-$J1011)</f>
        <v/>
      </c>
      <c r="AE1011" s="26">
        <f>IF($J1011="","",IF($J1011&lt;=TODAY(),COUNTIFS(cal_fechas,"&gt;="&amp;$J1011,cal_fechas,"&lt;"&amp;TODAY(),cal_habil,"sí"),-COUNTIFS(cal_fechas,"&gt;="&amp;TODAY(),cal_fechas,"&lt;"&amp;$J1011,cal_habil,"sí")))</f>
        <v/>
      </c>
      <c r="AF1011" s="24">
        <f>IF($AE1011="","",IF($AE1011&lt;0,"FUTURO",IF($AE1011&gt;p_dias_backlog_max,"BACKLOG","MES CORRIENTE")))</f>
        <v/>
      </c>
      <c r="AG1011" s="24">
        <f>IF($AE1011="",FALSE,AND($AE1011&gt;p_dias_backlog_min,$AE1011&lt;=p_dias_backlog_max))</f>
        <v/>
      </c>
      <c r="AH1011" s="4" t="n"/>
      <c r="AI1011" s="24">
        <f>IF($AH1011="","",IF((IFERROR(INDEX('ASIGNACIONES'!$J$4:$J$451,MATCH($O1011&amp;"|"&amp;$S1011&amp;"|"&amp;$AH1011,'ASIGNACIONES'!$N$4:$N$451,0)),""))=0,"",IFERROR(INDEX('ASIGNACIONES'!$J$4:$J$451,MATCH($O1011&amp;"|"&amp;$S1011&amp;"|"&amp;$AH1011,'ASIGNACIONES'!$N$4:$N$451,0)),"")))</f>
        <v/>
      </c>
      <c r="AJ1011" s="42">
        <f>IF($AH1011="","",SUMIFS('ORDENES'!$M$4:$M$1203,'ORDENES'!$AH$4:$AH$1203,$AH1011,'ORDENES'!$O$4:$O$1203,$O1011,'ORDENES'!$S$4:$S$1203,$S1011))</f>
        <v/>
      </c>
      <c r="AK1011" s="42">
        <f>IF($AJ1011="","",p_factor_productividad*IFERROR(INDEX('ASIGNACIONES'!$M$4:$M$451,MATCH($O1011&amp;"|"&amp;$S1011&amp;"|"&amp;$AH1011,'ASIGNACIONES'!$N$4:$N$451,0)),0)-$AJ1011)</f>
        <v/>
      </c>
      <c r="AL1011" s="32">
        <f>IF($A1011="","",IFERROR(INDEX('2_IMPORTAR_EJECUCION'!$F$9:$F$1208,MATCH($AU1011,'2_IMPORTAR_EJECUCION'!$J$9:$J$1208,0)),0))</f>
        <v/>
      </c>
      <c r="AM1011" s="32">
        <f>IF($A1011="","",MAX(0,IFERROR(INDEX('2_IMPORTAR_EJECUCION'!$H$9:$H$1208,MATCH($AU1011,'2_IMPORTAR_EJECUCION'!$J$9:$J$1208,0)),0)-$AL1011))</f>
        <v/>
      </c>
      <c r="AN1011" s="32">
        <f>IF($A1011="","",$AL1011+$AM1011)</f>
        <v/>
      </c>
      <c r="AO1011" s="24">
        <f>IF($A1011="","",IF(OR((IFERROR(INDEX('CAT_ACTIVIDADES'!$D$4:$D$26,MATCH($H1011,'CAT_ACTIVIDADES'!$A$4:$A$26,0)),""))=0,(IFERROR(INDEX('CAT_ACTIVIDADES'!$D$4:$D$26,MATCH($H1011,'CAT_ACTIVIDADES'!$A$4:$A$26,0)),""))=""),"SIN CLASIFICAR",IFERROR(INDEX('CAT_ACTIVIDADES'!$D$4:$D$26,MATCH($H1011,'CAT_ACTIVIDADES'!$A$4:$A$26,0)),"")))</f>
        <v/>
      </c>
      <c r="AP1011" s="4" t="n"/>
      <c r="AQ1011" s="4" t="n"/>
      <c r="AR1011" s="4" t="n"/>
      <c r="AS1011" s="24">
        <f>IF($AR1011="","",HYPERLINK(p_ruta_base_checklists&amp;$AR1011,"abrir"))</f>
        <v/>
      </c>
      <c r="AT1011" s="4" t="n"/>
      <c r="AU1011" s="24">
        <f>IF($A1011="","",$A1011&amp;IF($B1011="","0010",$B1011))</f>
        <v/>
      </c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41" t="n"/>
      <c r="K1012" s="5" t="n"/>
      <c r="L1012" s="18" t="n"/>
      <c r="M1012" s="24">
        <f>IF($A1012="","",IFERROR(INDEX('AJUSTES'!$B$4:$B$303,MATCH($AU1012,'AJUSTES'!$A$4:$A$303,0)),IF($K1012="","",$K1012)))</f>
        <v/>
      </c>
      <c r="N1012" s="24">
        <f>IF($A1012="","",IFERROR(INDEX('CAT_ESTADOS_ERP'!$B$4:$B$22,MATCH(IFERROR(INDEX('2_IMPORTAR_EJECUCION'!$C$9:$C$1208,MATCH($AU1012,'2_IMPORTAR_EJECUCION'!$J$9:$J$1208,0)),""),'CAT_ESTADOS_ERP'!$A$4:$A$22,0)),"Pendiente"))</f>
        <v/>
      </c>
      <c r="O1012" s="24">
        <f>IF($J1012="","",YEAR($J1012+4-WEEKDAY($J1012,2))&amp;"-S"&amp;TEXT(_xlfn.ISOWEEKNUM($J1012),"00"))</f>
        <v/>
      </c>
      <c r="P1012" s="24">
        <f>IF($J1012="","",YEAR($J1012))</f>
        <v/>
      </c>
      <c r="Q1012" s="24">
        <f>IF($J1012="","",MONTH($J1012))</f>
        <v/>
      </c>
      <c r="R1012" s="24">
        <f>IF($J1012="","",$P1012&amp;"-"&amp;TEXT($Q1012,"00"))</f>
        <v/>
      </c>
      <c r="S1012" s="24">
        <f>IF($J1012="","",INDEX(lista_dias,WEEKDAY($J1012,2)))</f>
        <v/>
      </c>
      <c r="T1012" s="24">
        <f>IF($J1012="","",IFERROR(INDEX('CALENDARIO'!$C$15:$C$214,MATCH(TEXT($J1012,"yyyy-mm-dd")&amp;"|"&amp;$Y1012&amp;"|"&amp;$Z1012,'CALENDARIO'!$G$15:$G$214,0)),IFERROR(INDEX('CALENDARIO'!$C$15:$C$214,MATCH(TEXT($J1012,"yyyy-mm-dd")&amp;"|"&amp;$Y1012&amp;"|",'CALENDARIO'!$G$15:$G$214,0)),IFERROR(INDEX('CALENDARIO'!$C$15:$C$214,MATCH(TEXT($J1012,"yyyy-mm-dd")&amp;"||",'CALENDARIO'!$G$15:$G$214,0)),INDEX(patronHabil,WEEKDAY($J1012,2))))))</f>
        <v/>
      </c>
      <c r="U1012" s="24">
        <f>IF($I1012="","",IFERROR(INDEX('CAT_TIPOS_OT'!$C$4:$C$23,MATCH($I1012,'CAT_TIPOS_OT'!$A$4:$A$23,0)),"sin_clasificar"))</f>
        <v/>
      </c>
      <c r="V1012" s="24">
        <f>IF($I1012="","",IF(IFERROR(INDEX('CAT_TIPOS_OT'!$D$4:$D$23,MATCH($I1012,'CAT_TIPOS_OT'!$A$4:$A$23,0)),"SIN CLASIFICAR")="","SIN CLASIFICAR",IFERROR(INDEX('CAT_TIPOS_OT'!$D$4:$D$23,MATCH($I1012,'CAT_TIPOS_OT'!$A$4:$A$23,0)),"SIN CLASIFICAR")))</f>
        <v/>
      </c>
      <c r="W1012" s="24">
        <f>IF($H1012="","",IF(IFERROR(INDEX('CAT_ACTIVIDADES'!$F$4:$F$26,MATCH($H1012,'CAT_ACTIVIDADES'!$A$4:$A$26,0)),"")=0,"",IFERROR(INDEX('CAT_ACTIVIDADES'!$F$4:$F$26,MATCH($H1012,'CAT_ACTIVIDADES'!$A$4:$A$26,0)),"")))</f>
        <v/>
      </c>
      <c r="X1012" s="24">
        <f>IF($F1012="","",IFERROR(INDEX('CAT_CENTROS_COSTO'!$F$4:$F$28,MATCH($F1012,'CAT_CENTROS_COSTO'!$A$4:$A$28,0)),"(sin catálogo)"))</f>
        <v/>
      </c>
      <c r="Y1012" s="24">
        <f>IF($F1012="","",IFERROR(INDEX('CAT_CENTROS_COSTO'!$D$4:$D$28,MATCH($F1012,'CAT_CENTROS_COSTO'!$A$4:$A$28,0)),"(sin catálogo)"))</f>
        <v/>
      </c>
      <c r="Z1012" s="24">
        <f>IF($F1012="","",IF((IFERROR(INDEX('CAT_CENTROS_COSTO'!$E$4:$E$28,MATCH($F1012,'CAT_CENTROS_COSTO'!$A$4:$A$28,0)),""))&lt;&gt;"",IFERROR(INDEX('CAT_CENTROS_COSTO'!$E$4:$E$28,MATCH($F1012,'CAT_CENTROS_COSTO'!$A$4:$A$28,0)),""),$Y1012))</f>
        <v/>
      </c>
      <c r="AA1012" s="24">
        <f>IF($F1012="","",IFERROR(INDEX('CAT_CENTROS_COSTO'!$G$4:$G$28,MATCH($F1012,'CAT_CENTROS_COSTO'!$A$4:$A$28,0)),"(sin catálogo)"))</f>
        <v/>
      </c>
      <c r="AB1012" s="24">
        <f>IF($G1012="","",IFERROR(INDEX('CAT_PUESTOS'!$B$4:$B$23,MATCH($G1012,'CAT_PUESTOS'!$A$4:$A$23,0)),"(sin catálogo)"))</f>
        <v/>
      </c>
      <c r="AC1012" s="24">
        <f>IF($H1012="","",IFERROR(INDEX('CAT_ACTIVIDADES'!$B$4:$B$26,MATCH($H1012,'CAT_ACTIVIDADES'!$A$4:$A$26,0)),"(sin catálogo)"))</f>
        <v/>
      </c>
      <c r="AD1012" s="26">
        <f>IF($J1012="","",TODAY()-$J1012)</f>
        <v/>
      </c>
      <c r="AE1012" s="26">
        <f>IF($J1012="","",IF($J1012&lt;=TODAY(),COUNTIFS(cal_fechas,"&gt;="&amp;$J1012,cal_fechas,"&lt;"&amp;TODAY(),cal_habil,"sí"),-COUNTIFS(cal_fechas,"&gt;="&amp;TODAY(),cal_fechas,"&lt;"&amp;$J1012,cal_habil,"sí")))</f>
        <v/>
      </c>
      <c r="AF1012" s="24">
        <f>IF($AE1012="","",IF($AE1012&lt;0,"FUTURO",IF($AE1012&gt;p_dias_backlog_max,"BACKLOG","MES CORRIENTE")))</f>
        <v/>
      </c>
      <c r="AG1012" s="24">
        <f>IF($AE1012="",FALSE,AND($AE1012&gt;p_dias_backlog_min,$AE1012&lt;=p_dias_backlog_max))</f>
        <v/>
      </c>
      <c r="AH1012" s="4" t="n"/>
      <c r="AI1012" s="24">
        <f>IF($AH1012="","",IF((IFERROR(INDEX('ASIGNACIONES'!$J$4:$J$451,MATCH($O1012&amp;"|"&amp;$S1012&amp;"|"&amp;$AH1012,'ASIGNACIONES'!$N$4:$N$451,0)),""))=0,"",IFERROR(INDEX('ASIGNACIONES'!$J$4:$J$451,MATCH($O1012&amp;"|"&amp;$S1012&amp;"|"&amp;$AH1012,'ASIGNACIONES'!$N$4:$N$451,0)),"")))</f>
        <v/>
      </c>
      <c r="AJ1012" s="42">
        <f>IF($AH1012="","",SUMIFS('ORDENES'!$M$4:$M$1203,'ORDENES'!$AH$4:$AH$1203,$AH1012,'ORDENES'!$O$4:$O$1203,$O1012,'ORDENES'!$S$4:$S$1203,$S1012))</f>
        <v/>
      </c>
      <c r="AK1012" s="42">
        <f>IF($AJ1012="","",p_factor_productividad*IFERROR(INDEX('ASIGNACIONES'!$M$4:$M$451,MATCH($O1012&amp;"|"&amp;$S1012&amp;"|"&amp;$AH1012,'ASIGNACIONES'!$N$4:$N$451,0)),0)-$AJ1012)</f>
        <v/>
      </c>
      <c r="AL1012" s="32">
        <f>IF($A1012="","",IFERROR(INDEX('2_IMPORTAR_EJECUCION'!$F$9:$F$1208,MATCH($AU1012,'2_IMPORTAR_EJECUCION'!$J$9:$J$1208,0)),0))</f>
        <v/>
      </c>
      <c r="AM1012" s="32">
        <f>IF($A1012="","",MAX(0,IFERROR(INDEX('2_IMPORTAR_EJECUCION'!$H$9:$H$1208,MATCH($AU1012,'2_IMPORTAR_EJECUCION'!$J$9:$J$1208,0)),0)-$AL1012))</f>
        <v/>
      </c>
      <c r="AN1012" s="32">
        <f>IF($A1012="","",$AL1012+$AM1012)</f>
        <v/>
      </c>
      <c r="AO1012" s="24">
        <f>IF($A1012="","",IF(OR((IFERROR(INDEX('CAT_ACTIVIDADES'!$D$4:$D$26,MATCH($H1012,'CAT_ACTIVIDADES'!$A$4:$A$26,0)),""))=0,(IFERROR(INDEX('CAT_ACTIVIDADES'!$D$4:$D$26,MATCH($H1012,'CAT_ACTIVIDADES'!$A$4:$A$26,0)),""))=""),"SIN CLASIFICAR",IFERROR(INDEX('CAT_ACTIVIDADES'!$D$4:$D$26,MATCH($H1012,'CAT_ACTIVIDADES'!$A$4:$A$26,0)),"")))</f>
        <v/>
      </c>
      <c r="AP1012" s="4" t="n"/>
      <c r="AQ1012" s="4" t="n"/>
      <c r="AR1012" s="4" t="n"/>
      <c r="AS1012" s="24">
        <f>IF($AR1012="","",HYPERLINK(p_ruta_base_checklists&amp;$AR1012,"abrir"))</f>
        <v/>
      </c>
      <c r="AT1012" s="4" t="n"/>
      <c r="AU1012" s="24">
        <f>IF($A1012="","",$A1012&amp;IF($B1012="","0010",$B1012))</f>
        <v/>
      </c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41" t="n"/>
      <c r="K1013" s="5" t="n"/>
      <c r="L1013" s="18" t="n"/>
      <c r="M1013" s="24">
        <f>IF($A1013="","",IFERROR(INDEX('AJUSTES'!$B$4:$B$303,MATCH($AU1013,'AJUSTES'!$A$4:$A$303,0)),IF($K1013="","",$K1013)))</f>
        <v/>
      </c>
      <c r="N1013" s="24">
        <f>IF($A1013="","",IFERROR(INDEX('CAT_ESTADOS_ERP'!$B$4:$B$22,MATCH(IFERROR(INDEX('2_IMPORTAR_EJECUCION'!$C$9:$C$1208,MATCH($AU1013,'2_IMPORTAR_EJECUCION'!$J$9:$J$1208,0)),""),'CAT_ESTADOS_ERP'!$A$4:$A$22,0)),"Pendiente"))</f>
        <v/>
      </c>
      <c r="O1013" s="24">
        <f>IF($J1013="","",YEAR($J1013+4-WEEKDAY($J1013,2))&amp;"-S"&amp;TEXT(_xlfn.ISOWEEKNUM($J1013),"00"))</f>
        <v/>
      </c>
      <c r="P1013" s="24">
        <f>IF($J1013="","",YEAR($J1013))</f>
        <v/>
      </c>
      <c r="Q1013" s="24">
        <f>IF($J1013="","",MONTH($J1013))</f>
        <v/>
      </c>
      <c r="R1013" s="24">
        <f>IF($J1013="","",$P1013&amp;"-"&amp;TEXT($Q1013,"00"))</f>
        <v/>
      </c>
      <c r="S1013" s="24">
        <f>IF($J1013="","",INDEX(lista_dias,WEEKDAY($J1013,2)))</f>
        <v/>
      </c>
      <c r="T1013" s="24">
        <f>IF($J1013="","",IFERROR(INDEX('CALENDARIO'!$C$15:$C$214,MATCH(TEXT($J1013,"yyyy-mm-dd")&amp;"|"&amp;$Y1013&amp;"|"&amp;$Z1013,'CALENDARIO'!$G$15:$G$214,0)),IFERROR(INDEX('CALENDARIO'!$C$15:$C$214,MATCH(TEXT($J1013,"yyyy-mm-dd")&amp;"|"&amp;$Y1013&amp;"|",'CALENDARIO'!$G$15:$G$214,0)),IFERROR(INDEX('CALENDARIO'!$C$15:$C$214,MATCH(TEXT($J1013,"yyyy-mm-dd")&amp;"||",'CALENDARIO'!$G$15:$G$214,0)),INDEX(patronHabil,WEEKDAY($J1013,2))))))</f>
        <v/>
      </c>
      <c r="U1013" s="24">
        <f>IF($I1013="","",IFERROR(INDEX('CAT_TIPOS_OT'!$C$4:$C$23,MATCH($I1013,'CAT_TIPOS_OT'!$A$4:$A$23,0)),"sin_clasificar"))</f>
        <v/>
      </c>
      <c r="V1013" s="24">
        <f>IF($I1013="","",IF(IFERROR(INDEX('CAT_TIPOS_OT'!$D$4:$D$23,MATCH($I1013,'CAT_TIPOS_OT'!$A$4:$A$23,0)),"SIN CLASIFICAR")="","SIN CLASIFICAR",IFERROR(INDEX('CAT_TIPOS_OT'!$D$4:$D$23,MATCH($I1013,'CAT_TIPOS_OT'!$A$4:$A$23,0)),"SIN CLASIFICAR")))</f>
        <v/>
      </c>
      <c r="W1013" s="24">
        <f>IF($H1013="","",IF(IFERROR(INDEX('CAT_ACTIVIDADES'!$F$4:$F$26,MATCH($H1013,'CAT_ACTIVIDADES'!$A$4:$A$26,0)),"")=0,"",IFERROR(INDEX('CAT_ACTIVIDADES'!$F$4:$F$26,MATCH($H1013,'CAT_ACTIVIDADES'!$A$4:$A$26,0)),"")))</f>
        <v/>
      </c>
      <c r="X1013" s="24">
        <f>IF($F1013="","",IFERROR(INDEX('CAT_CENTROS_COSTO'!$F$4:$F$28,MATCH($F1013,'CAT_CENTROS_COSTO'!$A$4:$A$28,0)),"(sin catálogo)"))</f>
        <v/>
      </c>
      <c r="Y1013" s="24">
        <f>IF($F1013="","",IFERROR(INDEX('CAT_CENTROS_COSTO'!$D$4:$D$28,MATCH($F1013,'CAT_CENTROS_COSTO'!$A$4:$A$28,0)),"(sin catálogo)"))</f>
        <v/>
      </c>
      <c r="Z1013" s="24">
        <f>IF($F1013="","",IF((IFERROR(INDEX('CAT_CENTROS_COSTO'!$E$4:$E$28,MATCH($F1013,'CAT_CENTROS_COSTO'!$A$4:$A$28,0)),""))&lt;&gt;"",IFERROR(INDEX('CAT_CENTROS_COSTO'!$E$4:$E$28,MATCH($F1013,'CAT_CENTROS_COSTO'!$A$4:$A$28,0)),""),$Y1013))</f>
        <v/>
      </c>
      <c r="AA1013" s="24">
        <f>IF($F1013="","",IFERROR(INDEX('CAT_CENTROS_COSTO'!$G$4:$G$28,MATCH($F1013,'CAT_CENTROS_COSTO'!$A$4:$A$28,0)),"(sin catálogo)"))</f>
        <v/>
      </c>
      <c r="AB1013" s="24">
        <f>IF($G1013="","",IFERROR(INDEX('CAT_PUESTOS'!$B$4:$B$23,MATCH($G1013,'CAT_PUESTOS'!$A$4:$A$23,0)),"(sin catálogo)"))</f>
        <v/>
      </c>
      <c r="AC1013" s="24">
        <f>IF($H1013="","",IFERROR(INDEX('CAT_ACTIVIDADES'!$B$4:$B$26,MATCH($H1013,'CAT_ACTIVIDADES'!$A$4:$A$26,0)),"(sin catálogo)"))</f>
        <v/>
      </c>
      <c r="AD1013" s="26">
        <f>IF($J1013="","",TODAY()-$J1013)</f>
        <v/>
      </c>
      <c r="AE1013" s="26">
        <f>IF($J1013="","",IF($J1013&lt;=TODAY(),COUNTIFS(cal_fechas,"&gt;="&amp;$J1013,cal_fechas,"&lt;"&amp;TODAY(),cal_habil,"sí"),-COUNTIFS(cal_fechas,"&gt;="&amp;TODAY(),cal_fechas,"&lt;"&amp;$J1013,cal_habil,"sí")))</f>
        <v/>
      </c>
      <c r="AF1013" s="24">
        <f>IF($AE1013="","",IF($AE1013&lt;0,"FUTURO",IF($AE1013&gt;p_dias_backlog_max,"BACKLOG","MES CORRIENTE")))</f>
        <v/>
      </c>
      <c r="AG1013" s="24">
        <f>IF($AE1013="",FALSE,AND($AE1013&gt;p_dias_backlog_min,$AE1013&lt;=p_dias_backlog_max))</f>
        <v/>
      </c>
      <c r="AH1013" s="4" t="n"/>
      <c r="AI1013" s="24">
        <f>IF($AH1013="","",IF((IFERROR(INDEX('ASIGNACIONES'!$J$4:$J$451,MATCH($O1013&amp;"|"&amp;$S1013&amp;"|"&amp;$AH1013,'ASIGNACIONES'!$N$4:$N$451,0)),""))=0,"",IFERROR(INDEX('ASIGNACIONES'!$J$4:$J$451,MATCH($O1013&amp;"|"&amp;$S1013&amp;"|"&amp;$AH1013,'ASIGNACIONES'!$N$4:$N$451,0)),"")))</f>
        <v/>
      </c>
      <c r="AJ1013" s="42">
        <f>IF($AH1013="","",SUMIFS('ORDENES'!$M$4:$M$1203,'ORDENES'!$AH$4:$AH$1203,$AH1013,'ORDENES'!$O$4:$O$1203,$O1013,'ORDENES'!$S$4:$S$1203,$S1013))</f>
        <v/>
      </c>
      <c r="AK1013" s="42">
        <f>IF($AJ1013="","",p_factor_productividad*IFERROR(INDEX('ASIGNACIONES'!$M$4:$M$451,MATCH($O1013&amp;"|"&amp;$S1013&amp;"|"&amp;$AH1013,'ASIGNACIONES'!$N$4:$N$451,0)),0)-$AJ1013)</f>
        <v/>
      </c>
      <c r="AL1013" s="32">
        <f>IF($A1013="","",IFERROR(INDEX('2_IMPORTAR_EJECUCION'!$F$9:$F$1208,MATCH($AU1013,'2_IMPORTAR_EJECUCION'!$J$9:$J$1208,0)),0))</f>
        <v/>
      </c>
      <c r="AM1013" s="32">
        <f>IF($A1013="","",MAX(0,IFERROR(INDEX('2_IMPORTAR_EJECUCION'!$H$9:$H$1208,MATCH($AU1013,'2_IMPORTAR_EJECUCION'!$J$9:$J$1208,0)),0)-$AL1013))</f>
        <v/>
      </c>
      <c r="AN1013" s="32">
        <f>IF($A1013="","",$AL1013+$AM1013)</f>
        <v/>
      </c>
      <c r="AO1013" s="24">
        <f>IF($A1013="","",IF(OR((IFERROR(INDEX('CAT_ACTIVIDADES'!$D$4:$D$26,MATCH($H1013,'CAT_ACTIVIDADES'!$A$4:$A$26,0)),""))=0,(IFERROR(INDEX('CAT_ACTIVIDADES'!$D$4:$D$26,MATCH($H1013,'CAT_ACTIVIDADES'!$A$4:$A$26,0)),""))=""),"SIN CLASIFICAR",IFERROR(INDEX('CAT_ACTIVIDADES'!$D$4:$D$26,MATCH($H1013,'CAT_ACTIVIDADES'!$A$4:$A$26,0)),"")))</f>
        <v/>
      </c>
      <c r="AP1013" s="4" t="n"/>
      <c r="AQ1013" s="4" t="n"/>
      <c r="AR1013" s="4" t="n"/>
      <c r="AS1013" s="24">
        <f>IF($AR1013="","",HYPERLINK(p_ruta_base_checklists&amp;$AR1013,"abrir"))</f>
        <v/>
      </c>
      <c r="AT1013" s="4" t="n"/>
      <c r="AU1013" s="24">
        <f>IF($A1013="","",$A1013&amp;IF($B1013="","0010",$B1013))</f>
        <v/>
      </c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41" t="n"/>
      <c r="K1014" s="5" t="n"/>
      <c r="L1014" s="18" t="n"/>
      <c r="M1014" s="24">
        <f>IF($A1014="","",IFERROR(INDEX('AJUSTES'!$B$4:$B$303,MATCH($AU1014,'AJUSTES'!$A$4:$A$303,0)),IF($K1014="","",$K1014)))</f>
        <v/>
      </c>
      <c r="N1014" s="24">
        <f>IF($A1014="","",IFERROR(INDEX('CAT_ESTADOS_ERP'!$B$4:$B$22,MATCH(IFERROR(INDEX('2_IMPORTAR_EJECUCION'!$C$9:$C$1208,MATCH($AU1014,'2_IMPORTAR_EJECUCION'!$J$9:$J$1208,0)),""),'CAT_ESTADOS_ERP'!$A$4:$A$22,0)),"Pendiente"))</f>
        <v/>
      </c>
      <c r="O1014" s="24">
        <f>IF($J1014="","",YEAR($J1014+4-WEEKDAY($J1014,2))&amp;"-S"&amp;TEXT(_xlfn.ISOWEEKNUM($J1014),"00"))</f>
        <v/>
      </c>
      <c r="P1014" s="24">
        <f>IF($J1014="","",YEAR($J1014))</f>
        <v/>
      </c>
      <c r="Q1014" s="24">
        <f>IF($J1014="","",MONTH($J1014))</f>
        <v/>
      </c>
      <c r="R1014" s="24">
        <f>IF($J1014="","",$P1014&amp;"-"&amp;TEXT($Q1014,"00"))</f>
        <v/>
      </c>
      <c r="S1014" s="24">
        <f>IF($J1014="","",INDEX(lista_dias,WEEKDAY($J1014,2)))</f>
        <v/>
      </c>
      <c r="T1014" s="24">
        <f>IF($J1014="","",IFERROR(INDEX('CALENDARIO'!$C$15:$C$214,MATCH(TEXT($J1014,"yyyy-mm-dd")&amp;"|"&amp;$Y1014&amp;"|"&amp;$Z1014,'CALENDARIO'!$G$15:$G$214,0)),IFERROR(INDEX('CALENDARIO'!$C$15:$C$214,MATCH(TEXT($J1014,"yyyy-mm-dd")&amp;"|"&amp;$Y1014&amp;"|",'CALENDARIO'!$G$15:$G$214,0)),IFERROR(INDEX('CALENDARIO'!$C$15:$C$214,MATCH(TEXT($J1014,"yyyy-mm-dd")&amp;"||",'CALENDARIO'!$G$15:$G$214,0)),INDEX(patronHabil,WEEKDAY($J1014,2))))))</f>
        <v/>
      </c>
      <c r="U1014" s="24">
        <f>IF($I1014="","",IFERROR(INDEX('CAT_TIPOS_OT'!$C$4:$C$23,MATCH($I1014,'CAT_TIPOS_OT'!$A$4:$A$23,0)),"sin_clasificar"))</f>
        <v/>
      </c>
      <c r="V1014" s="24">
        <f>IF($I1014="","",IF(IFERROR(INDEX('CAT_TIPOS_OT'!$D$4:$D$23,MATCH($I1014,'CAT_TIPOS_OT'!$A$4:$A$23,0)),"SIN CLASIFICAR")="","SIN CLASIFICAR",IFERROR(INDEX('CAT_TIPOS_OT'!$D$4:$D$23,MATCH($I1014,'CAT_TIPOS_OT'!$A$4:$A$23,0)),"SIN CLASIFICAR")))</f>
        <v/>
      </c>
      <c r="W1014" s="24">
        <f>IF($H1014="","",IF(IFERROR(INDEX('CAT_ACTIVIDADES'!$F$4:$F$26,MATCH($H1014,'CAT_ACTIVIDADES'!$A$4:$A$26,0)),"")=0,"",IFERROR(INDEX('CAT_ACTIVIDADES'!$F$4:$F$26,MATCH($H1014,'CAT_ACTIVIDADES'!$A$4:$A$26,0)),"")))</f>
        <v/>
      </c>
      <c r="X1014" s="24">
        <f>IF($F1014="","",IFERROR(INDEX('CAT_CENTROS_COSTO'!$F$4:$F$28,MATCH($F1014,'CAT_CENTROS_COSTO'!$A$4:$A$28,0)),"(sin catálogo)"))</f>
        <v/>
      </c>
      <c r="Y1014" s="24">
        <f>IF($F1014="","",IFERROR(INDEX('CAT_CENTROS_COSTO'!$D$4:$D$28,MATCH($F1014,'CAT_CENTROS_COSTO'!$A$4:$A$28,0)),"(sin catálogo)"))</f>
        <v/>
      </c>
      <c r="Z1014" s="24">
        <f>IF($F1014="","",IF((IFERROR(INDEX('CAT_CENTROS_COSTO'!$E$4:$E$28,MATCH($F1014,'CAT_CENTROS_COSTO'!$A$4:$A$28,0)),""))&lt;&gt;"",IFERROR(INDEX('CAT_CENTROS_COSTO'!$E$4:$E$28,MATCH($F1014,'CAT_CENTROS_COSTO'!$A$4:$A$28,0)),""),$Y1014))</f>
        <v/>
      </c>
      <c r="AA1014" s="24">
        <f>IF($F1014="","",IFERROR(INDEX('CAT_CENTROS_COSTO'!$G$4:$G$28,MATCH($F1014,'CAT_CENTROS_COSTO'!$A$4:$A$28,0)),"(sin catálogo)"))</f>
        <v/>
      </c>
      <c r="AB1014" s="24">
        <f>IF($G1014="","",IFERROR(INDEX('CAT_PUESTOS'!$B$4:$B$23,MATCH($G1014,'CAT_PUESTOS'!$A$4:$A$23,0)),"(sin catálogo)"))</f>
        <v/>
      </c>
      <c r="AC1014" s="24">
        <f>IF($H1014="","",IFERROR(INDEX('CAT_ACTIVIDADES'!$B$4:$B$26,MATCH($H1014,'CAT_ACTIVIDADES'!$A$4:$A$26,0)),"(sin catálogo)"))</f>
        <v/>
      </c>
      <c r="AD1014" s="26">
        <f>IF($J1014="","",TODAY()-$J1014)</f>
        <v/>
      </c>
      <c r="AE1014" s="26">
        <f>IF($J1014="","",IF($J1014&lt;=TODAY(),COUNTIFS(cal_fechas,"&gt;="&amp;$J1014,cal_fechas,"&lt;"&amp;TODAY(),cal_habil,"sí"),-COUNTIFS(cal_fechas,"&gt;="&amp;TODAY(),cal_fechas,"&lt;"&amp;$J1014,cal_habil,"sí")))</f>
        <v/>
      </c>
      <c r="AF1014" s="24">
        <f>IF($AE1014="","",IF($AE1014&lt;0,"FUTURO",IF($AE1014&gt;p_dias_backlog_max,"BACKLOG","MES CORRIENTE")))</f>
        <v/>
      </c>
      <c r="AG1014" s="24">
        <f>IF($AE1014="",FALSE,AND($AE1014&gt;p_dias_backlog_min,$AE1014&lt;=p_dias_backlog_max))</f>
        <v/>
      </c>
      <c r="AH1014" s="4" t="n"/>
      <c r="AI1014" s="24">
        <f>IF($AH1014="","",IF((IFERROR(INDEX('ASIGNACIONES'!$J$4:$J$451,MATCH($O1014&amp;"|"&amp;$S1014&amp;"|"&amp;$AH1014,'ASIGNACIONES'!$N$4:$N$451,0)),""))=0,"",IFERROR(INDEX('ASIGNACIONES'!$J$4:$J$451,MATCH($O1014&amp;"|"&amp;$S1014&amp;"|"&amp;$AH1014,'ASIGNACIONES'!$N$4:$N$451,0)),"")))</f>
        <v/>
      </c>
      <c r="AJ1014" s="42">
        <f>IF($AH1014="","",SUMIFS('ORDENES'!$M$4:$M$1203,'ORDENES'!$AH$4:$AH$1203,$AH1014,'ORDENES'!$O$4:$O$1203,$O1014,'ORDENES'!$S$4:$S$1203,$S1014))</f>
        <v/>
      </c>
      <c r="AK1014" s="42">
        <f>IF($AJ1014="","",p_factor_productividad*IFERROR(INDEX('ASIGNACIONES'!$M$4:$M$451,MATCH($O1014&amp;"|"&amp;$S1014&amp;"|"&amp;$AH1014,'ASIGNACIONES'!$N$4:$N$451,0)),0)-$AJ1014)</f>
        <v/>
      </c>
      <c r="AL1014" s="32">
        <f>IF($A1014="","",IFERROR(INDEX('2_IMPORTAR_EJECUCION'!$F$9:$F$1208,MATCH($AU1014,'2_IMPORTAR_EJECUCION'!$J$9:$J$1208,0)),0))</f>
        <v/>
      </c>
      <c r="AM1014" s="32">
        <f>IF($A1014="","",MAX(0,IFERROR(INDEX('2_IMPORTAR_EJECUCION'!$H$9:$H$1208,MATCH($AU1014,'2_IMPORTAR_EJECUCION'!$J$9:$J$1208,0)),0)-$AL1014))</f>
        <v/>
      </c>
      <c r="AN1014" s="32">
        <f>IF($A1014="","",$AL1014+$AM1014)</f>
        <v/>
      </c>
      <c r="AO1014" s="24">
        <f>IF($A1014="","",IF(OR((IFERROR(INDEX('CAT_ACTIVIDADES'!$D$4:$D$26,MATCH($H1014,'CAT_ACTIVIDADES'!$A$4:$A$26,0)),""))=0,(IFERROR(INDEX('CAT_ACTIVIDADES'!$D$4:$D$26,MATCH($H1014,'CAT_ACTIVIDADES'!$A$4:$A$26,0)),""))=""),"SIN CLASIFICAR",IFERROR(INDEX('CAT_ACTIVIDADES'!$D$4:$D$26,MATCH($H1014,'CAT_ACTIVIDADES'!$A$4:$A$26,0)),"")))</f>
        <v/>
      </c>
      <c r="AP1014" s="4" t="n"/>
      <c r="AQ1014" s="4" t="n"/>
      <c r="AR1014" s="4" t="n"/>
      <c r="AS1014" s="24">
        <f>IF($AR1014="","",HYPERLINK(p_ruta_base_checklists&amp;$AR1014,"abrir"))</f>
        <v/>
      </c>
      <c r="AT1014" s="4" t="n"/>
      <c r="AU1014" s="24">
        <f>IF($A1014="","",$A1014&amp;IF($B1014="","0010",$B1014))</f>
        <v/>
      </c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41" t="n"/>
      <c r="K1015" s="5" t="n"/>
      <c r="L1015" s="18" t="n"/>
      <c r="M1015" s="24">
        <f>IF($A1015="","",IFERROR(INDEX('AJUSTES'!$B$4:$B$303,MATCH($AU1015,'AJUSTES'!$A$4:$A$303,0)),IF($K1015="","",$K1015)))</f>
        <v/>
      </c>
      <c r="N1015" s="24">
        <f>IF($A1015="","",IFERROR(INDEX('CAT_ESTADOS_ERP'!$B$4:$B$22,MATCH(IFERROR(INDEX('2_IMPORTAR_EJECUCION'!$C$9:$C$1208,MATCH($AU1015,'2_IMPORTAR_EJECUCION'!$J$9:$J$1208,0)),""),'CAT_ESTADOS_ERP'!$A$4:$A$22,0)),"Pendiente"))</f>
        <v/>
      </c>
      <c r="O1015" s="24">
        <f>IF($J1015="","",YEAR($J1015+4-WEEKDAY($J1015,2))&amp;"-S"&amp;TEXT(_xlfn.ISOWEEKNUM($J1015),"00"))</f>
        <v/>
      </c>
      <c r="P1015" s="24">
        <f>IF($J1015="","",YEAR($J1015))</f>
        <v/>
      </c>
      <c r="Q1015" s="24">
        <f>IF($J1015="","",MONTH($J1015))</f>
        <v/>
      </c>
      <c r="R1015" s="24">
        <f>IF($J1015="","",$P1015&amp;"-"&amp;TEXT($Q1015,"00"))</f>
        <v/>
      </c>
      <c r="S1015" s="24">
        <f>IF($J1015="","",INDEX(lista_dias,WEEKDAY($J1015,2)))</f>
        <v/>
      </c>
      <c r="T1015" s="24">
        <f>IF($J1015="","",IFERROR(INDEX('CALENDARIO'!$C$15:$C$214,MATCH(TEXT($J1015,"yyyy-mm-dd")&amp;"|"&amp;$Y1015&amp;"|"&amp;$Z1015,'CALENDARIO'!$G$15:$G$214,0)),IFERROR(INDEX('CALENDARIO'!$C$15:$C$214,MATCH(TEXT($J1015,"yyyy-mm-dd")&amp;"|"&amp;$Y1015&amp;"|",'CALENDARIO'!$G$15:$G$214,0)),IFERROR(INDEX('CALENDARIO'!$C$15:$C$214,MATCH(TEXT($J1015,"yyyy-mm-dd")&amp;"||",'CALENDARIO'!$G$15:$G$214,0)),INDEX(patronHabil,WEEKDAY($J1015,2))))))</f>
        <v/>
      </c>
      <c r="U1015" s="24">
        <f>IF($I1015="","",IFERROR(INDEX('CAT_TIPOS_OT'!$C$4:$C$23,MATCH($I1015,'CAT_TIPOS_OT'!$A$4:$A$23,0)),"sin_clasificar"))</f>
        <v/>
      </c>
      <c r="V1015" s="24">
        <f>IF($I1015="","",IF(IFERROR(INDEX('CAT_TIPOS_OT'!$D$4:$D$23,MATCH($I1015,'CAT_TIPOS_OT'!$A$4:$A$23,0)),"SIN CLASIFICAR")="","SIN CLASIFICAR",IFERROR(INDEX('CAT_TIPOS_OT'!$D$4:$D$23,MATCH($I1015,'CAT_TIPOS_OT'!$A$4:$A$23,0)),"SIN CLASIFICAR")))</f>
        <v/>
      </c>
      <c r="W1015" s="24">
        <f>IF($H1015="","",IF(IFERROR(INDEX('CAT_ACTIVIDADES'!$F$4:$F$26,MATCH($H1015,'CAT_ACTIVIDADES'!$A$4:$A$26,0)),"")=0,"",IFERROR(INDEX('CAT_ACTIVIDADES'!$F$4:$F$26,MATCH($H1015,'CAT_ACTIVIDADES'!$A$4:$A$26,0)),"")))</f>
        <v/>
      </c>
      <c r="X1015" s="24">
        <f>IF($F1015="","",IFERROR(INDEX('CAT_CENTROS_COSTO'!$F$4:$F$28,MATCH($F1015,'CAT_CENTROS_COSTO'!$A$4:$A$28,0)),"(sin catálogo)"))</f>
        <v/>
      </c>
      <c r="Y1015" s="24">
        <f>IF($F1015="","",IFERROR(INDEX('CAT_CENTROS_COSTO'!$D$4:$D$28,MATCH($F1015,'CAT_CENTROS_COSTO'!$A$4:$A$28,0)),"(sin catálogo)"))</f>
        <v/>
      </c>
      <c r="Z1015" s="24">
        <f>IF($F1015="","",IF((IFERROR(INDEX('CAT_CENTROS_COSTO'!$E$4:$E$28,MATCH($F1015,'CAT_CENTROS_COSTO'!$A$4:$A$28,0)),""))&lt;&gt;"",IFERROR(INDEX('CAT_CENTROS_COSTO'!$E$4:$E$28,MATCH($F1015,'CAT_CENTROS_COSTO'!$A$4:$A$28,0)),""),$Y1015))</f>
        <v/>
      </c>
      <c r="AA1015" s="24">
        <f>IF($F1015="","",IFERROR(INDEX('CAT_CENTROS_COSTO'!$G$4:$G$28,MATCH($F1015,'CAT_CENTROS_COSTO'!$A$4:$A$28,0)),"(sin catálogo)"))</f>
        <v/>
      </c>
      <c r="AB1015" s="24">
        <f>IF($G1015="","",IFERROR(INDEX('CAT_PUESTOS'!$B$4:$B$23,MATCH($G1015,'CAT_PUESTOS'!$A$4:$A$23,0)),"(sin catálogo)"))</f>
        <v/>
      </c>
      <c r="AC1015" s="24">
        <f>IF($H1015="","",IFERROR(INDEX('CAT_ACTIVIDADES'!$B$4:$B$26,MATCH($H1015,'CAT_ACTIVIDADES'!$A$4:$A$26,0)),"(sin catálogo)"))</f>
        <v/>
      </c>
      <c r="AD1015" s="26">
        <f>IF($J1015="","",TODAY()-$J1015)</f>
        <v/>
      </c>
      <c r="AE1015" s="26">
        <f>IF($J1015="","",IF($J1015&lt;=TODAY(),COUNTIFS(cal_fechas,"&gt;="&amp;$J1015,cal_fechas,"&lt;"&amp;TODAY(),cal_habil,"sí"),-COUNTIFS(cal_fechas,"&gt;="&amp;TODAY(),cal_fechas,"&lt;"&amp;$J1015,cal_habil,"sí")))</f>
        <v/>
      </c>
      <c r="AF1015" s="24">
        <f>IF($AE1015="","",IF($AE1015&lt;0,"FUTURO",IF($AE1015&gt;p_dias_backlog_max,"BACKLOG","MES CORRIENTE")))</f>
        <v/>
      </c>
      <c r="AG1015" s="24">
        <f>IF($AE1015="",FALSE,AND($AE1015&gt;p_dias_backlog_min,$AE1015&lt;=p_dias_backlog_max))</f>
        <v/>
      </c>
      <c r="AH1015" s="4" t="n"/>
      <c r="AI1015" s="24">
        <f>IF($AH1015="","",IF((IFERROR(INDEX('ASIGNACIONES'!$J$4:$J$451,MATCH($O1015&amp;"|"&amp;$S1015&amp;"|"&amp;$AH1015,'ASIGNACIONES'!$N$4:$N$451,0)),""))=0,"",IFERROR(INDEX('ASIGNACIONES'!$J$4:$J$451,MATCH($O1015&amp;"|"&amp;$S1015&amp;"|"&amp;$AH1015,'ASIGNACIONES'!$N$4:$N$451,0)),"")))</f>
        <v/>
      </c>
      <c r="AJ1015" s="42">
        <f>IF($AH1015="","",SUMIFS('ORDENES'!$M$4:$M$1203,'ORDENES'!$AH$4:$AH$1203,$AH1015,'ORDENES'!$O$4:$O$1203,$O1015,'ORDENES'!$S$4:$S$1203,$S1015))</f>
        <v/>
      </c>
      <c r="AK1015" s="42">
        <f>IF($AJ1015="","",p_factor_productividad*IFERROR(INDEX('ASIGNACIONES'!$M$4:$M$451,MATCH($O1015&amp;"|"&amp;$S1015&amp;"|"&amp;$AH1015,'ASIGNACIONES'!$N$4:$N$451,0)),0)-$AJ1015)</f>
        <v/>
      </c>
      <c r="AL1015" s="32">
        <f>IF($A1015="","",IFERROR(INDEX('2_IMPORTAR_EJECUCION'!$F$9:$F$1208,MATCH($AU1015,'2_IMPORTAR_EJECUCION'!$J$9:$J$1208,0)),0))</f>
        <v/>
      </c>
      <c r="AM1015" s="32">
        <f>IF($A1015="","",MAX(0,IFERROR(INDEX('2_IMPORTAR_EJECUCION'!$H$9:$H$1208,MATCH($AU1015,'2_IMPORTAR_EJECUCION'!$J$9:$J$1208,0)),0)-$AL1015))</f>
        <v/>
      </c>
      <c r="AN1015" s="32">
        <f>IF($A1015="","",$AL1015+$AM1015)</f>
        <v/>
      </c>
      <c r="AO1015" s="24">
        <f>IF($A1015="","",IF(OR((IFERROR(INDEX('CAT_ACTIVIDADES'!$D$4:$D$26,MATCH($H1015,'CAT_ACTIVIDADES'!$A$4:$A$26,0)),""))=0,(IFERROR(INDEX('CAT_ACTIVIDADES'!$D$4:$D$26,MATCH($H1015,'CAT_ACTIVIDADES'!$A$4:$A$26,0)),""))=""),"SIN CLASIFICAR",IFERROR(INDEX('CAT_ACTIVIDADES'!$D$4:$D$26,MATCH($H1015,'CAT_ACTIVIDADES'!$A$4:$A$26,0)),"")))</f>
        <v/>
      </c>
      <c r="AP1015" s="4" t="n"/>
      <c r="AQ1015" s="4" t="n"/>
      <c r="AR1015" s="4" t="n"/>
      <c r="AS1015" s="24">
        <f>IF($AR1015="","",HYPERLINK(p_ruta_base_checklists&amp;$AR1015,"abrir"))</f>
        <v/>
      </c>
      <c r="AT1015" s="4" t="n"/>
      <c r="AU1015" s="24">
        <f>IF($A1015="","",$A1015&amp;IF($B1015="","0010",$B1015))</f>
        <v/>
      </c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41" t="n"/>
      <c r="K1016" s="5" t="n"/>
      <c r="L1016" s="18" t="n"/>
      <c r="M1016" s="24">
        <f>IF($A1016="","",IFERROR(INDEX('AJUSTES'!$B$4:$B$303,MATCH($AU1016,'AJUSTES'!$A$4:$A$303,0)),IF($K1016="","",$K1016)))</f>
        <v/>
      </c>
      <c r="N1016" s="24">
        <f>IF($A1016="","",IFERROR(INDEX('CAT_ESTADOS_ERP'!$B$4:$B$22,MATCH(IFERROR(INDEX('2_IMPORTAR_EJECUCION'!$C$9:$C$1208,MATCH($AU1016,'2_IMPORTAR_EJECUCION'!$J$9:$J$1208,0)),""),'CAT_ESTADOS_ERP'!$A$4:$A$22,0)),"Pendiente"))</f>
        <v/>
      </c>
      <c r="O1016" s="24">
        <f>IF($J1016="","",YEAR($J1016+4-WEEKDAY($J1016,2))&amp;"-S"&amp;TEXT(_xlfn.ISOWEEKNUM($J1016),"00"))</f>
        <v/>
      </c>
      <c r="P1016" s="24">
        <f>IF($J1016="","",YEAR($J1016))</f>
        <v/>
      </c>
      <c r="Q1016" s="24">
        <f>IF($J1016="","",MONTH($J1016))</f>
        <v/>
      </c>
      <c r="R1016" s="24">
        <f>IF($J1016="","",$P1016&amp;"-"&amp;TEXT($Q1016,"00"))</f>
        <v/>
      </c>
      <c r="S1016" s="24">
        <f>IF($J1016="","",INDEX(lista_dias,WEEKDAY($J1016,2)))</f>
        <v/>
      </c>
      <c r="T1016" s="24">
        <f>IF($J1016="","",IFERROR(INDEX('CALENDARIO'!$C$15:$C$214,MATCH(TEXT($J1016,"yyyy-mm-dd")&amp;"|"&amp;$Y1016&amp;"|"&amp;$Z1016,'CALENDARIO'!$G$15:$G$214,0)),IFERROR(INDEX('CALENDARIO'!$C$15:$C$214,MATCH(TEXT($J1016,"yyyy-mm-dd")&amp;"|"&amp;$Y1016&amp;"|",'CALENDARIO'!$G$15:$G$214,0)),IFERROR(INDEX('CALENDARIO'!$C$15:$C$214,MATCH(TEXT($J1016,"yyyy-mm-dd")&amp;"||",'CALENDARIO'!$G$15:$G$214,0)),INDEX(patronHabil,WEEKDAY($J1016,2))))))</f>
        <v/>
      </c>
      <c r="U1016" s="24">
        <f>IF($I1016="","",IFERROR(INDEX('CAT_TIPOS_OT'!$C$4:$C$23,MATCH($I1016,'CAT_TIPOS_OT'!$A$4:$A$23,0)),"sin_clasificar"))</f>
        <v/>
      </c>
      <c r="V1016" s="24">
        <f>IF($I1016="","",IF(IFERROR(INDEX('CAT_TIPOS_OT'!$D$4:$D$23,MATCH($I1016,'CAT_TIPOS_OT'!$A$4:$A$23,0)),"SIN CLASIFICAR")="","SIN CLASIFICAR",IFERROR(INDEX('CAT_TIPOS_OT'!$D$4:$D$23,MATCH($I1016,'CAT_TIPOS_OT'!$A$4:$A$23,0)),"SIN CLASIFICAR")))</f>
        <v/>
      </c>
      <c r="W1016" s="24">
        <f>IF($H1016="","",IF(IFERROR(INDEX('CAT_ACTIVIDADES'!$F$4:$F$26,MATCH($H1016,'CAT_ACTIVIDADES'!$A$4:$A$26,0)),"")=0,"",IFERROR(INDEX('CAT_ACTIVIDADES'!$F$4:$F$26,MATCH($H1016,'CAT_ACTIVIDADES'!$A$4:$A$26,0)),"")))</f>
        <v/>
      </c>
      <c r="X1016" s="24">
        <f>IF($F1016="","",IFERROR(INDEX('CAT_CENTROS_COSTO'!$F$4:$F$28,MATCH($F1016,'CAT_CENTROS_COSTO'!$A$4:$A$28,0)),"(sin catálogo)"))</f>
        <v/>
      </c>
      <c r="Y1016" s="24">
        <f>IF($F1016="","",IFERROR(INDEX('CAT_CENTROS_COSTO'!$D$4:$D$28,MATCH($F1016,'CAT_CENTROS_COSTO'!$A$4:$A$28,0)),"(sin catálogo)"))</f>
        <v/>
      </c>
      <c r="Z1016" s="24">
        <f>IF($F1016="","",IF((IFERROR(INDEX('CAT_CENTROS_COSTO'!$E$4:$E$28,MATCH($F1016,'CAT_CENTROS_COSTO'!$A$4:$A$28,0)),""))&lt;&gt;"",IFERROR(INDEX('CAT_CENTROS_COSTO'!$E$4:$E$28,MATCH($F1016,'CAT_CENTROS_COSTO'!$A$4:$A$28,0)),""),$Y1016))</f>
        <v/>
      </c>
      <c r="AA1016" s="24">
        <f>IF($F1016="","",IFERROR(INDEX('CAT_CENTROS_COSTO'!$G$4:$G$28,MATCH($F1016,'CAT_CENTROS_COSTO'!$A$4:$A$28,0)),"(sin catálogo)"))</f>
        <v/>
      </c>
      <c r="AB1016" s="24">
        <f>IF($G1016="","",IFERROR(INDEX('CAT_PUESTOS'!$B$4:$B$23,MATCH($G1016,'CAT_PUESTOS'!$A$4:$A$23,0)),"(sin catálogo)"))</f>
        <v/>
      </c>
      <c r="AC1016" s="24">
        <f>IF($H1016="","",IFERROR(INDEX('CAT_ACTIVIDADES'!$B$4:$B$26,MATCH($H1016,'CAT_ACTIVIDADES'!$A$4:$A$26,0)),"(sin catálogo)"))</f>
        <v/>
      </c>
      <c r="AD1016" s="26">
        <f>IF($J1016="","",TODAY()-$J1016)</f>
        <v/>
      </c>
      <c r="AE1016" s="26">
        <f>IF($J1016="","",IF($J1016&lt;=TODAY(),COUNTIFS(cal_fechas,"&gt;="&amp;$J1016,cal_fechas,"&lt;"&amp;TODAY(),cal_habil,"sí"),-COUNTIFS(cal_fechas,"&gt;="&amp;TODAY(),cal_fechas,"&lt;"&amp;$J1016,cal_habil,"sí")))</f>
        <v/>
      </c>
      <c r="AF1016" s="24">
        <f>IF($AE1016="","",IF($AE1016&lt;0,"FUTURO",IF($AE1016&gt;p_dias_backlog_max,"BACKLOG","MES CORRIENTE")))</f>
        <v/>
      </c>
      <c r="AG1016" s="24">
        <f>IF($AE1016="",FALSE,AND($AE1016&gt;p_dias_backlog_min,$AE1016&lt;=p_dias_backlog_max))</f>
        <v/>
      </c>
      <c r="AH1016" s="4" t="n"/>
      <c r="AI1016" s="24">
        <f>IF($AH1016="","",IF((IFERROR(INDEX('ASIGNACIONES'!$J$4:$J$451,MATCH($O1016&amp;"|"&amp;$S1016&amp;"|"&amp;$AH1016,'ASIGNACIONES'!$N$4:$N$451,0)),""))=0,"",IFERROR(INDEX('ASIGNACIONES'!$J$4:$J$451,MATCH($O1016&amp;"|"&amp;$S1016&amp;"|"&amp;$AH1016,'ASIGNACIONES'!$N$4:$N$451,0)),"")))</f>
        <v/>
      </c>
      <c r="AJ1016" s="42">
        <f>IF($AH1016="","",SUMIFS('ORDENES'!$M$4:$M$1203,'ORDENES'!$AH$4:$AH$1203,$AH1016,'ORDENES'!$O$4:$O$1203,$O1016,'ORDENES'!$S$4:$S$1203,$S1016))</f>
        <v/>
      </c>
      <c r="AK1016" s="42">
        <f>IF($AJ1016="","",p_factor_productividad*IFERROR(INDEX('ASIGNACIONES'!$M$4:$M$451,MATCH($O1016&amp;"|"&amp;$S1016&amp;"|"&amp;$AH1016,'ASIGNACIONES'!$N$4:$N$451,0)),0)-$AJ1016)</f>
        <v/>
      </c>
      <c r="AL1016" s="32">
        <f>IF($A1016="","",IFERROR(INDEX('2_IMPORTAR_EJECUCION'!$F$9:$F$1208,MATCH($AU1016,'2_IMPORTAR_EJECUCION'!$J$9:$J$1208,0)),0))</f>
        <v/>
      </c>
      <c r="AM1016" s="32">
        <f>IF($A1016="","",MAX(0,IFERROR(INDEX('2_IMPORTAR_EJECUCION'!$H$9:$H$1208,MATCH($AU1016,'2_IMPORTAR_EJECUCION'!$J$9:$J$1208,0)),0)-$AL1016))</f>
        <v/>
      </c>
      <c r="AN1016" s="32">
        <f>IF($A1016="","",$AL1016+$AM1016)</f>
        <v/>
      </c>
      <c r="AO1016" s="24">
        <f>IF($A1016="","",IF(OR((IFERROR(INDEX('CAT_ACTIVIDADES'!$D$4:$D$26,MATCH($H1016,'CAT_ACTIVIDADES'!$A$4:$A$26,0)),""))=0,(IFERROR(INDEX('CAT_ACTIVIDADES'!$D$4:$D$26,MATCH($H1016,'CAT_ACTIVIDADES'!$A$4:$A$26,0)),""))=""),"SIN CLASIFICAR",IFERROR(INDEX('CAT_ACTIVIDADES'!$D$4:$D$26,MATCH($H1016,'CAT_ACTIVIDADES'!$A$4:$A$26,0)),"")))</f>
        <v/>
      </c>
      <c r="AP1016" s="4" t="n"/>
      <c r="AQ1016" s="4" t="n"/>
      <c r="AR1016" s="4" t="n"/>
      <c r="AS1016" s="24">
        <f>IF($AR1016="","",HYPERLINK(p_ruta_base_checklists&amp;$AR1016,"abrir"))</f>
        <v/>
      </c>
      <c r="AT1016" s="4" t="n"/>
      <c r="AU1016" s="24">
        <f>IF($A1016="","",$A1016&amp;IF($B1016="","0010",$B1016))</f>
        <v/>
      </c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41" t="n"/>
      <c r="K1017" s="5" t="n"/>
      <c r="L1017" s="18" t="n"/>
      <c r="M1017" s="24">
        <f>IF($A1017="","",IFERROR(INDEX('AJUSTES'!$B$4:$B$303,MATCH($AU1017,'AJUSTES'!$A$4:$A$303,0)),IF($K1017="","",$K1017)))</f>
        <v/>
      </c>
      <c r="N1017" s="24">
        <f>IF($A1017="","",IFERROR(INDEX('CAT_ESTADOS_ERP'!$B$4:$B$22,MATCH(IFERROR(INDEX('2_IMPORTAR_EJECUCION'!$C$9:$C$1208,MATCH($AU1017,'2_IMPORTAR_EJECUCION'!$J$9:$J$1208,0)),""),'CAT_ESTADOS_ERP'!$A$4:$A$22,0)),"Pendiente"))</f>
        <v/>
      </c>
      <c r="O1017" s="24">
        <f>IF($J1017="","",YEAR($J1017+4-WEEKDAY($J1017,2))&amp;"-S"&amp;TEXT(_xlfn.ISOWEEKNUM($J1017),"00"))</f>
        <v/>
      </c>
      <c r="P1017" s="24">
        <f>IF($J1017="","",YEAR($J1017))</f>
        <v/>
      </c>
      <c r="Q1017" s="24">
        <f>IF($J1017="","",MONTH($J1017))</f>
        <v/>
      </c>
      <c r="R1017" s="24">
        <f>IF($J1017="","",$P1017&amp;"-"&amp;TEXT($Q1017,"00"))</f>
        <v/>
      </c>
      <c r="S1017" s="24">
        <f>IF($J1017="","",INDEX(lista_dias,WEEKDAY($J1017,2)))</f>
        <v/>
      </c>
      <c r="T1017" s="24">
        <f>IF($J1017="","",IFERROR(INDEX('CALENDARIO'!$C$15:$C$214,MATCH(TEXT($J1017,"yyyy-mm-dd")&amp;"|"&amp;$Y1017&amp;"|"&amp;$Z1017,'CALENDARIO'!$G$15:$G$214,0)),IFERROR(INDEX('CALENDARIO'!$C$15:$C$214,MATCH(TEXT($J1017,"yyyy-mm-dd")&amp;"|"&amp;$Y1017&amp;"|",'CALENDARIO'!$G$15:$G$214,0)),IFERROR(INDEX('CALENDARIO'!$C$15:$C$214,MATCH(TEXT($J1017,"yyyy-mm-dd")&amp;"||",'CALENDARIO'!$G$15:$G$214,0)),INDEX(patronHabil,WEEKDAY($J1017,2))))))</f>
        <v/>
      </c>
      <c r="U1017" s="24">
        <f>IF($I1017="","",IFERROR(INDEX('CAT_TIPOS_OT'!$C$4:$C$23,MATCH($I1017,'CAT_TIPOS_OT'!$A$4:$A$23,0)),"sin_clasificar"))</f>
        <v/>
      </c>
      <c r="V1017" s="24">
        <f>IF($I1017="","",IF(IFERROR(INDEX('CAT_TIPOS_OT'!$D$4:$D$23,MATCH($I1017,'CAT_TIPOS_OT'!$A$4:$A$23,0)),"SIN CLASIFICAR")="","SIN CLASIFICAR",IFERROR(INDEX('CAT_TIPOS_OT'!$D$4:$D$23,MATCH($I1017,'CAT_TIPOS_OT'!$A$4:$A$23,0)),"SIN CLASIFICAR")))</f>
        <v/>
      </c>
      <c r="W1017" s="24">
        <f>IF($H1017="","",IF(IFERROR(INDEX('CAT_ACTIVIDADES'!$F$4:$F$26,MATCH($H1017,'CAT_ACTIVIDADES'!$A$4:$A$26,0)),"")=0,"",IFERROR(INDEX('CAT_ACTIVIDADES'!$F$4:$F$26,MATCH($H1017,'CAT_ACTIVIDADES'!$A$4:$A$26,0)),"")))</f>
        <v/>
      </c>
      <c r="X1017" s="24">
        <f>IF($F1017="","",IFERROR(INDEX('CAT_CENTROS_COSTO'!$F$4:$F$28,MATCH($F1017,'CAT_CENTROS_COSTO'!$A$4:$A$28,0)),"(sin catálogo)"))</f>
        <v/>
      </c>
      <c r="Y1017" s="24">
        <f>IF($F1017="","",IFERROR(INDEX('CAT_CENTROS_COSTO'!$D$4:$D$28,MATCH($F1017,'CAT_CENTROS_COSTO'!$A$4:$A$28,0)),"(sin catálogo)"))</f>
        <v/>
      </c>
      <c r="Z1017" s="24">
        <f>IF($F1017="","",IF((IFERROR(INDEX('CAT_CENTROS_COSTO'!$E$4:$E$28,MATCH($F1017,'CAT_CENTROS_COSTO'!$A$4:$A$28,0)),""))&lt;&gt;"",IFERROR(INDEX('CAT_CENTROS_COSTO'!$E$4:$E$28,MATCH($F1017,'CAT_CENTROS_COSTO'!$A$4:$A$28,0)),""),$Y1017))</f>
        <v/>
      </c>
      <c r="AA1017" s="24">
        <f>IF($F1017="","",IFERROR(INDEX('CAT_CENTROS_COSTO'!$G$4:$G$28,MATCH($F1017,'CAT_CENTROS_COSTO'!$A$4:$A$28,0)),"(sin catálogo)"))</f>
        <v/>
      </c>
      <c r="AB1017" s="24">
        <f>IF($G1017="","",IFERROR(INDEX('CAT_PUESTOS'!$B$4:$B$23,MATCH($G1017,'CAT_PUESTOS'!$A$4:$A$23,0)),"(sin catálogo)"))</f>
        <v/>
      </c>
      <c r="AC1017" s="24">
        <f>IF($H1017="","",IFERROR(INDEX('CAT_ACTIVIDADES'!$B$4:$B$26,MATCH($H1017,'CAT_ACTIVIDADES'!$A$4:$A$26,0)),"(sin catálogo)"))</f>
        <v/>
      </c>
      <c r="AD1017" s="26">
        <f>IF($J1017="","",TODAY()-$J1017)</f>
        <v/>
      </c>
      <c r="AE1017" s="26">
        <f>IF($J1017="","",IF($J1017&lt;=TODAY(),COUNTIFS(cal_fechas,"&gt;="&amp;$J1017,cal_fechas,"&lt;"&amp;TODAY(),cal_habil,"sí"),-COUNTIFS(cal_fechas,"&gt;="&amp;TODAY(),cal_fechas,"&lt;"&amp;$J1017,cal_habil,"sí")))</f>
        <v/>
      </c>
      <c r="AF1017" s="24">
        <f>IF($AE1017="","",IF($AE1017&lt;0,"FUTURO",IF($AE1017&gt;p_dias_backlog_max,"BACKLOG","MES CORRIENTE")))</f>
        <v/>
      </c>
      <c r="AG1017" s="24">
        <f>IF($AE1017="",FALSE,AND($AE1017&gt;p_dias_backlog_min,$AE1017&lt;=p_dias_backlog_max))</f>
        <v/>
      </c>
      <c r="AH1017" s="4" t="n"/>
      <c r="AI1017" s="24">
        <f>IF($AH1017="","",IF((IFERROR(INDEX('ASIGNACIONES'!$J$4:$J$451,MATCH($O1017&amp;"|"&amp;$S1017&amp;"|"&amp;$AH1017,'ASIGNACIONES'!$N$4:$N$451,0)),""))=0,"",IFERROR(INDEX('ASIGNACIONES'!$J$4:$J$451,MATCH($O1017&amp;"|"&amp;$S1017&amp;"|"&amp;$AH1017,'ASIGNACIONES'!$N$4:$N$451,0)),"")))</f>
        <v/>
      </c>
      <c r="AJ1017" s="42">
        <f>IF($AH1017="","",SUMIFS('ORDENES'!$M$4:$M$1203,'ORDENES'!$AH$4:$AH$1203,$AH1017,'ORDENES'!$O$4:$O$1203,$O1017,'ORDENES'!$S$4:$S$1203,$S1017))</f>
        <v/>
      </c>
      <c r="AK1017" s="42">
        <f>IF($AJ1017="","",p_factor_productividad*IFERROR(INDEX('ASIGNACIONES'!$M$4:$M$451,MATCH($O1017&amp;"|"&amp;$S1017&amp;"|"&amp;$AH1017,'ASIGNACIONES'!$N$4:$N$451,0)),0)-$AJ1017)</f>
        <v/>
      </c>
      <c r="AL1017" s="32">
        <f>IF($A1017="","",IFERROR(INDEX('2_IMPORTAR_EJECUCION'!$F$9:$F$1208,MATCH($AU1017,'2_IMPORTAR_EJECUCION'!$J$9:$J$1208,0)),0))</f>
        <v/>
      </c>
      <c r="AM1017" s="32">
        <f>IF($A1017="","",MAX(0,IFERROR(INDEX('2_IMPORTAR_EJECUCION'!$H$9:$H$1208,MATCH($AU1017,'2_IMPORTAR_EJECUCION'!$J$9:$J$1208,0)),0)-$AL1017))</f>
        <v/>
      </c>
      <c r="AN1017" s="32">
        <f>IF($A1017="","",$AL1017+$AM1017)</f>
        <v/>
      </c>
      <c r="AO1017" s="24">
        <f>IF($A1017="","",IF(OR((IFERROR(INDEX('CAT_ACTIVIDADES'!$D$4:$D$26,MATCH($H1017,'CAT_ACTIVIDADES'!$A$4:$A$26,0)),""))=0,(IFERROR(INDEX('CAT_ACTIVIDADES'!$D$4:$D$26,MATCH($H1017,'CAT_ACTIVIDADES'!$A$4:$A$26,0)),""))=""),"SIN CLASIFICAR",IFERROR(INDEX('CAT_ACTIVIDADES'!$D$4:$D$26,MATCH($H1017,'CAT_ACTIVIDADES'!$A$4:$A$26,0)),"")))</f>
        <v/>
      </c>
      <c r="AP1017" s="4" t="n"/>
      <c r="AQ1017" s="4" t="n"/>
      <c r="AR1017" s="4" t="n"/>
      <c r="AS1017" s="24">
        <f>IF($AR1017="","",HYPERLINK(p_ruta_base_checklists&amp;$AR1017,"abrir"))</f>
        <v/>
      </c>
      <c r="AT1017" s="4" t="n"/>
      <c r="AU1017" s="24">
        <f>IF($A1017="","",$A1017&amp;IF($B1017="","0010",$B1017))</f>
        <v/>
      </c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41" t="n"/>
      <c r="K1018" s="5" t="n"/>
      <c r="L1018" s="18" t="n"/>
      <c r="M1018" s="24">
        <f>IF($A1018="","",IFERROR(INDEX('AJUSTES'!$B$4:$B$303,MATCH($AU1018,'AJUSTES'!$A$4:$A$303,0)),IF($K1018="","",$K1018)))</f>
        <v/>
      </c>
      <c r="N1018" s="24">
        <f>IF($A1018="","",IFERROR(INDEX('CAT_ESTADOS_ERP'!$B$4:$B$22,MATCH(IFERROR(INDEX('2_IMPORTAR_EJECUCION'!$C$9:$C$1208,MATCH($AU1018,'2_IMPORTAR_EJECUCION'!$J$9:$J$1208,0)),""),'CAT_ESTADOS_ERP'!$A$4:$A$22,0)),"Pendiente"))</f>
        <v/>
      </c>
      <c r="O1018" s="24">
        <f>IF($J1018="","",YEAR($J1018+4-WEEKDAY($J1018,2))&amp;"-S"&amp;TEXT(_xlfn.ISOWEEKNUM($J1018),"00"))</f>
        <v/>
      </c>
      <c r="P1018" s="24">
        <f>IF($J1018="","",YEAR($J1018))</f>
        <v/>
      </c>
      <c r="Q1018" s="24">
        <f>IF($J1018="","",MONTH($J1018))</f>
        <v/>
      </c>
      <c r="R1018" s="24">
        <f>IF($J1018="","",$P1018&amp;"-"&amp;TEXT($Q1018,"00"))</f>
        <v/>
      </c>
      <c r="S1018" s="24">
        <f>IF($J1018="","",INDEX(lista_dias,WEEKDAY($J1018,2)))</f>
        <v/>
      </c>
      <c r="T1018" s="24">
        <f>IF($J1018="","",IFERROR(INDEX('CALENDARIO'!$C$15:$C$214,MATCH(TEXT($J1018,"yyyy-mm-dd")&amp;"|"&amp;$Y1018&amp;"|"&amp;$Z1018,'CALENDARIO'!$G$15:$G$214,0)),IFERROR(INDEX('CALENDARIO'!$C$15:$C$214,MATCH(TEXT($J1018,"yyyy-mm-dd")&amp;"|"&amp;$Y1018&amp;"|",'CALENDARIO'!$G$15:$G$214,0)),IFERROR(INDEX('CALENDARIO'!$C$15:$C$214,MATCH(TEXT($J1018,"yyyy-mm-dd")&amp;"||",'CALENDARIO'!$G$15:$G$214,0)),INDEX(patronHabil,WEEKDAY($J1018,2))))))</f>
        <v/>
      </c>
      <c r="U1018" s="24">
        <f>IF($I1018="","",IFERROR(INDEX('CAT_TIPOS_OT'!$C$4:$C$23,MATCH($I1018,'CAT_TIPOS_OT'!$A$4:$A$23,0)),"sin_clasificar"))</f>
        <v/>
      </c>
      <c r="V1018" s="24">
        <f>IF($I1018="","",IF(IFERROR(INDEX('CAT_TIPOS_OT'!$D$4:$D$23,MATCH($I1018,'CAT_TIPOS_OT'!$A$4:$A$23,0)),"SIN CLASIFICAR")="","SIN CLASIFICAR",IFERROR(INDEX('CAT_TIPOS_OT'!$D$4:$D$23,MATCH($I1018,'CAT_TIPOS_OT'!$A$4:$A$23,0)),"SIN CLASIFICAR")))</f>
        <v/>
      </c>
      <c r="W1018" s="24">
        <f>IF($H1018="","",IF(IFERROR(INDEX('CAT_ACTIVIDADES'!$F$4:$F$26,MATCH($H1018,'CAT_ACTIVIDADES'!$A$4:$A$26,0)),"")=0,"",IFERROR(INDEX('CAT_ACTIVIDADES'!$F$4:$F$26,MATCH($H1018,'CAT_ACTIVIDADES'!$A$4:$A$26,0)),"")))</f>
        <v/>
      </c>
      <c r="X1018" s="24">
        <f>IF($F1018="","",IFERROR(INDEX('CAT_CENTROS_COSTO'!$F$4:$F$28,MATCH($F1018,'CAT_CENTROS_COSTO'!$A$4:$A$28,0)),"(sin catálogo)"))</f>
        <v/>
      </c>
      <c r="Y1018" s="24">
        <f>IF($F1018="","",IFERROR(INDEX('CAT_CENTROS_COSTO'!$D$4:$D$28,MATCH($F1018,'CAT_CENTROS_COSTO'!$A$4:$A$28,0)),"(sin catálogo)"))</f>
        <v/>
      </c>
      <c r="Z1018" s="24">
        <f>IF($F1018="","",IF((IFERROR(INDEX('CAT_CENTROS_COSTO'!$E$4:$E$28,MATCH($F1018,'CAT_CENTROS_COSTO'!$A$4:$A$28,0)),""))&lt;&gt;"",IFERROR(INDEX('CAT_CENTROS_COSTO'!$E$4:$E$28,MATCH($F1018,'CAT_CENTROS_COSTO'!$A$4:$A$28,0)),""),$Y1018))</f>
        <v/>
      </c>
      <c r="AA1018" s="24">
        <f>IF($F1018="","",IFERROR(INDEX('CAT_CENTROS_COSTO'!$G$4:$G$28,MATCH($F1018,'CAT_CENTROS_COSTO'!$A$4:$A$28,0)),"(sin catálogo)"))</f>
        <v/>
      </c>
      <c r="AB1018" s="24">
        <f>IF($G1018="","",IFERROR(INDEX('CAT_PUESTOS'!$B$4:$B$23,MATCH($G1018,'CAT_PUESTOS'!$A$4:$A$23,0)),"(sin catálogo)"))</f>
        <v/>
      </c>
      <c r="AC1018" s="24">
        <f>IF($H1018="","",IFERROR(INDEX('CAT_ACTIVIDADES'!$B$4:$B$26,MATCH($H1018,'CAT_ACTIVIDADES'!$A$4:$A$26,0)),"(sin catálogo)"))</f>
        <v/>
      </c>
      <c r="AD1018" s="26">
        <f>IF($J1018="","",TODAY()-$J1018)</f>
        <v/>
      </c>
      <c r="AE1018" s="26">
        <f>IF($J1018="","",IF($J1018&lt;=TODAY(),COUNTIFS(cal_fechas,"&gt;="&amp;$J1018,cal_fechas,"&lt;"&amp;TODAY(),cal_habil,"sí"),-COUNTIFS(cal_fechas,"&gt;="&amp;TODAY(),cal_fechas,"&lt;"&amp;$J1018,cal_habil,"sí")))</f>
        <v/>
      </c>
      <c r="AF1018" s="24">
        <f>IF($AE1018="","",IF($AE1018&lt;0,"FUTURO",IF($AE1018&gt;p_dias_backlog_max,"BACKLOG","MES CORRIENTE")))</f>
        <v/>
      </c>
      <c r="AG1018" s="24">
        <f>IF($AE1018="",FALSE,AND($AE1018&gt;p_dias_backlog_min,$AE1018&lt;=p_dias_backlog_max))</f>
        <v/>
      </c>
      <c r="AH1018" s="4" t="n"/>
      <c r="AI1018" s="24">
        <f>IF($AH1018="","",IF((IFERROR(INDEX('ASIGNACIONES'!$J$4:$J$451,MATCH($O1018&amp;"|"&amp;$S1018&amp;"|"&amp;$AH1018,'ASIGNACIONES'!$N$4:$N$451,0)),""))=0,"",IFERROR(INDEX('ASIGNACIONES'!$J$4:$J$451,MATCH($O1018&amp;"|"&amp;$S1018&amp;"|"&amp;$AH1018,'ASIGNACIONES'!$N$4:$N$451,0)),"")))</f>
        <v/>
      </c>
      <c r="AJ1018" s="42">
        <f>IF($AH1018="","",SUMIFS('ORDENES'!$M$4:$M$1203,'ORDENES'!$AH$4:$AH$1203,$AH1018,'ORDENES'!$O$4:$O$1203,$O1018,'ORDENES'!$S$4:$S$1203,$S1018))</f>
        <v/>
      </c>
      <c r="AK1018" s="42">
        <f>IF($AJ1018="","",p_factor_productividad*IFERROR(INDEX('ASIGNACIONES'!$M$4:$M$451,MATCH($O1018&amp;"|"&amp;$S1018&amp;"|"&amp;$AH1018,'ASIGNACIONES'!$N$4:$N$451,0)),0)-$AJ1018)</f>
        <v/>
      </c>
      <c r="AL1018" s="32">
        <f>IF($A1018="","",IFERROR(INDEX('2_IMPORTAR_EJECUCION'!$F$9:$F$1208,MATCH($AU1018,'2_IMPORTAR_EJECUCION'!$J$9:$J$1208,0)),0))</f>
        <v/>
      </c>
      <c r="AM1018" s="32">
        <f>IF($A1018="","",MAX(0,IFERROR(INDEX('2_IMPORTAR_EJECUCION'!$H$9:$H$1208,MATCH($AU1018,'2_IMPORTAR_EJECUCION'!$J$9:$J$1208,0)),0)-$AL1018))</f>
        <v/>
      </c>
      <c r="AN1018" s="32">
        <f>IF($A1018="","",$AL1018+$AM1018)</f>
        <v/>
      </c>
      <c r="AO1018" s="24">
        <f>IF($A1018="","",IF(OR((IFERROR(INDEX('CAT_ACTIVIDADES'!$D$4:$D$26,MATCH($H1018,'CAT_ACTIVIDADES'!$A$4:$A$26,0)),""))=0,(IFERROR(INDEX('CAT_ACTIVIDADES'!$D$4:$D$26,MATCH($H1018,'CAT_ACTIVIDADES'!$A$4:$A$26,0)),""))=""),"SIN CLASIFICAR",IFERROR(INDEX('CAT_ACTIVIDADES'!$D$4:$D$26,MATCH($H1018,'CAT_ACTIVIDADES'!$A$4:$A$26,0)),"")))</f>
        <v/>
      </c>
      <c r="AP1018" s="4" t="n"/>
      <c r="AQ1018" s="4" t="n"/>
      <c r="AR1018" s="4" t="n"/>
      <c r="AS1018" s="24">
        <f>IF($AR1018="","",HYPERLINK(p_ruta_base_checklists&amp;$AR1018,"abrir"))</f>
        <v/>
      </c>
      <c r="AT1018" s="4" t="n"/>
      <c r="AU1018" s="24">
        <f>IF($A1018="","",$A1018&amp;IF($B1018="","0010",$B1018))</f>
        <v/>
      </c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41" t="n"/>
      <c r="K1019" s="5" t="n"/>
      <c r="L1019" s="18" t="n"/>
      <c r="M1019" s="24">
        <f>IF($A1019="","",IFERROR(INDEX('AJUSTES'!$B$4:$B$303,MATCH($AU1019,'AJUSTES'!$A$4:$A$303,0)),IF($K1019="","",$K1019)))</f>
        <v/>
      </c>
      <c r="N1019" s="24">
        <f>IF($A1019="","",IFERROR(INDEX('CAT_ESTADOS_ERP'!$B$4:$B$22,MATCH(IFERROR(INDEX('2_IMPORTAR_EJECUCION'!$C$9:$C$1208,MATCH($AU1019,'2_IMPORTAR_EJECUCION'!$J$9:$J$1208,0)),""),'CAT_ESTADOS_ERP'!$A$4:$A$22,0)),"Pendiente"))</f>
        <v/>
      </c>
      <c r="O1019" s="24">
        <f>IF($J1019="","",YEAR($J1019+4-WEEKDAY($J1019,2))&amp;"-S"&amp;TEXT(_xlfn.ISOWEEKNUM($J1019),"00"))</f>
        <v/>
      </c>
      <c r="P1019" s="24">
        <f>IF($J1019="","",YEAR($J1019))</f>
        <v/>
      </c>
      <c r="Q1019" s="24">
        <f>IF($J1019="","",MONTH($J1019))</f>
        <v/>
      </c>
      <c r="R1019" s="24">
        <f>IF($J1019="","",$P1019&amp;"-"&amp;TEXT($Q1019,"00"))</f>
        <v/>
      </c>
      <c r="S1019" s="24">
        <f>IF($J1019="","",INDEX(lista_dias,WEEKDAY($J1019,2)))</f>
        <v/>
      </c>
      <c r="T1019" s="24">
        <f>IF($J1019="","",IFERROR(INDEX('CALENDARIO'!$C$15:$C$214,MATCH(TEXT($J1019,"yyyy-mm-dd")&amp;"|"&amp;$Y1019&amp;"|"&amp;$Z1019,'CALENDARIO'!$G$15:$G$214,0)),IFERROR(INDEX('CALENDARIO'!$C$15:$C$214,MATCH(TEXT($J1019,"yyyy-mm-dd")&amp;"|"&amp;$Y1019&amp;"|",'CALENDARIO'!$G$15:$G$214,0)),IFERROR(INDEX('CALENDARIO'!$C$15:$C$214,MATCH(TEXT($J1019,"yyyy-mm-dd")&amp;"||",'CALENDARIO'!$G$15:$G$214,0)),INDEX(patronHabil,WEEKDAY($J1019,2))))))</f>
        <v/>
      </c>
      <c r="U1019" s="24">
        <f>IF($I1019="","",IFERROR(INDEX('CAT_TIPOS_OT'!$C$4:$C$23,MATCH($I1019,'CAT_TIPOS_OT'!$A$4:$A$23,0)),"sin_clasificar"))</f>
        <v/>
      </c>
      <c r="V1019" s="24">
        <f>IF($I1019="","",IF(IFERROR(INDEX('CAT_TIPOS_OT'!$D$4:$D$23,MATCH($I1019,'CAT_TIPOS_OT'!$A$4:$A$23,0)),"SIN CLASIFICAR")="","SIN CLASIFICAR",IFERROR(INDEX('CAT_TIPOS_OT'!$D$4:$D$23,MATCH($I1019,'CAT_TIPOS_OT'!$A$4:$A$23,0)),"SIN CLASIFICAR")))</f>
        <v/>
      </c>
      <c r="W1019" s="24">
        <f>IF($H1019="","",IF(IFERROR(INDEX('CAT_ACTIVIDADES'!$F$4:$F$26,MATCH($H1019,'CAT_ACTIVIDADES'!$A$4:$A$26,0)),"")=0,"",IFERROR(INDEX('CAT_ACTIVIDADES'!$F$4:$F$26,MATCH($H1019,'CAT_ACTIVIDADES'!$A$4:$A$26,0)),"")))</f>
        <v/>
      </c>
      <c r="X1019" s="24">
        <f>IF($F1019="","",IFERROR(INDEX('CAT_CENTROS_COSTO'!$F$4:$F$28,MATCH($F1019,'CAT_CENTROS_COSTO'!$A$4:$A$28,0)),"(sin catálogo)"))</f>
        <v/>
      </c>
      <c r="Y1019" s="24">
        <f>IF($F1019="","",IFERROR(INDEX('CAT_CENTROS_COSTO'!$D$4:$D$28,MATCH($F1019,'CAT_CENTROS_COSTO'!$A$4:$A$28,0)),"(sin catálogo)"))</f>
        <v/>
      </c>
      <c r="Z1019" s="24">
        <f>IF($F1019="","",IF((IFERROR(INDEX('CAT_CENTROS_COSTO'!$E$4:$E$28,MATCH($F1019,'CAT_CENTROS_COSTO'!$A$4:$A$28,0)),""))&lt;&gt;"",IFERROR(INDEX('CAT_CENTROS_COSTO'!$E$4:$E$28,MATCH($F1019,'CAT_CENTROS_COSTO'!$A$4:$A$28,0)),""),$Y1019))</f>
        <v/>
      </c>
      <c r="AA1019" s="24">
        <f>IF($F1019="","",IFERROR(INDEX('CAT_CENTROS_COSTO'!$G$4:$G$28,MATCH($F1019,'CAT_CENTROS_COSTO'!$A$4:$A$28,0)),"(sin catálogo)"))</f>
        <v/>
      </c>
      <c r="AB1019" s="24">
        <f>IF($G1019="","",IFERROR(INDEX('CAT_PUESTOS'!$B$4:$B$23,MATCH($G1019,'CAT_PUESTOS'!$A$4:$A$23,0)),"(sin catálogo)"))</f>
        <v/>
      </c>
      <c r="AC1019" s="24">
        <f>IF($H1019="","",IFERROR(INDEX('CAT_ACTIVIDADES'!$B$4:$B$26,MATCH($H1019,'CAT_ACTIVIDADES'!$A$4:$A$26,0)),"(sin catálogo)"))</f>
        <v/>
      </c>
      <c r="AD1019" s="26">
        <f>IF($J1019="","",TODAY()-$J1019)</f>
        <v/>
      </c>
      <c r="AE1019" s="26">
        <f>IF($J1019="","",IF($J1019&lt;=TODAY(),COUNTIFS(cal_fechas,"&gt;="&amp;$J1019,cal_fechas,"&lt;"&amp;TODAY(),cal_habil,"sí"),-COUNTIFS(cal_fechas,"&gt;="&amp;TODAY(),cal_fechas,"&lt;"&amp;$J1019,cal_habil,"sí")))</f>
        <v/>
      </c>
      <c r="AF1019" s="24">
        <f>IF($AE1019="","",IF($AE1019&lt;0,"FUTURO",IF($AE1019&gt;p_dias_backlog_max,"BACKLOG","MES CORRIENTE")))</f>
        <v/>
      </c>
      <c r="AG1019" s="24">
        <f>IF($AE1019="",FALSE,AND($AE1019&gt;p_dias_backlog_min,$AE1019&lt;=p_dias_backlog_max))</f>
        <v/>
      </c>
      <c r="AH1019" s="4" t="n"/>
      <c r="AI1019" s="24">
        <f>IF($AH1019="","",IF((IFERROR(INDEX('ASIGNACIONES'!$J$4:$J$451,MATCH($O1019&amp;"|"&amp;$S1019&amp;"|"&amp;$AH1019,'ASIGNACIONES'!$N$4:$N$451,0)),""))=0,"",IFERROR(INDEX('ASIGNACIONES'!$J$4:$J$451,MATCH($O1019&amp;"|"&amp;$S1019&amp;"|"&amp;$AH1019,'ASIGNACIONES'!$N$4:$N$451,0)),"")))</f>
        <v/>
      </c>
      <c r="AJ1019" s="42">
        <f>IF($AH1019="","",SUMIFS('ORDENES'!$M$4:$M$1203,'ORDENES'!$AH$4:$AH$1203,$AH1019,'ORDENES'!$O$4:$O$1203,$O1019,'ORDENES'!$S$4:$S$1203,$S1019))</f>
        <v/>
      </c>
      <c r="AK1019" s="42">
        <f>IF($AJ1019="","",p_factor_productividad*IFERROR(INDEX('ASIGNACIONES'!$M$4:$M$451,MATCH($O1019&amp;"|"&amp;$S1019&amp;"|"&amp;$AH1019,'ASIGNACIONES'!$N$4:$N$451,0)),0)-$AJ1019)</f>
        <v/>
      </c>
      <c r="AL1019" s="32">
        <f>IF($A1019="","",IFERROR(INDEX('2_IMPORTAR_EJECUCION'!$F$9:$F$1208,MATCH($AU1019,'2_IMPORTAR_EJECUCION'!$J$9:$J$1208,0)),0))</f>
        <v/>
      </c>
      <c r="AM1019" s="32">
        <f>IF($A1019="","",MAX(0,IFERROR(INDEX('2_IMPORTAR_EJECUCION'!$H$9:$H$1208,MATCH($AU1019,'2_IMPORTAR_EJECUCION'!$J$9:$J$1208,0)),0)-$AL1019))</f>
        <v/>
      </c>
      <c r="AN1019" s="32">
        <f>IF($A1019="","",$AL1019+$AM1019)</f>
        <v/>
      </c>
      <c r="AO1019" s="24">
        <f>IF($A1019="","",IF(OR((IFERROR(INDEX('CAT_ACTIVIDADES'!$D$4:$D$26,MATCH($H1019,'CAT_ACTIVIDADES'!$A$4:$A$26,0)),""))=0,(IFERROR(INDEX('CAT_ACTIVIDADES'!$D$4:$D$26,MATCH($H1019,'CAT_ACTIVIDADES'!$A$4:$A$26,0)),""))=""),"SIN CLASIFICAR",IFERROR(INDEX('CAT_ACTIVIDADES'!$D$4:$D$26,MATCH($H1019,'CAT_ACTIVIDADES'!$A$4:$A$26,0)),"")))</f>
        <v/>
      </c>
      <c r="AP1019" s="4" t="n"/>
      <c r="AQ1019" s="4" t="n"/>
      <c r="AR1019" s="4" t="n"/>
      <c r="AS1019" s="24">
        <f>IF($AR1019="","",HYPERLINK(p_ruta_base_checklists&amp;$AR1019,"abrir"))</f>
        <v/>
      </c>
      <c r="AT1019" s="4" t="n"/>
      <c r="AU1019" s="24">
        <f>IF($A1019="","",$A1019&amp;IF($B1019="","0010",$B1019))</f>
        <v/>
      </c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41" t="n"/>
      <c r="K1020" s="5" t="n"/>
      <c r="L1020" s="18" t="n"/>
      <c r="M1020" s="24">
        <f>IF($A1020="","",IFERROR(INDEX('AJUSTES'!$B$4:$B$303,MATCH($AU1020,'AJUSTES'!$A$4:$A$303,0)),IF($K1020="","",$K1020)))</f>
        <v/>
      </c>
      <c r="N1020" s="24">
        <f>IF($A1020="","",IFERROR(INDEX('CAT_ESTADOS_ERP'!$B$4:$B$22,MATCH(IFERROR(INDEX('2_IMPORTAR_EJECUCION'!$C$9:$C$1208,MATCH($AU1020,'2_IMPORTAR_EJECUCION'!$J$9:$J$1208,0)),""),'CAT_ESTADOS_ERP'!$A$4:$A$22,0)),"Pendiente"))</f>
        <v/>
      </c>
      <c r="O1020" s="24">
        <f>IF($J1020="","",YEAR($J1020+4-WEEKDAY($J1020,2))&amp;"-S"&amp;TEXT(_xlfn.ISOWEEKNUM($J1020),"00"))</f>
        <v/>
      </c>
      <c r="P1020" s="24">
        <f>IF($J1020="","",YEAR($J1020))</f>
        <v/>
      </c>
      <c r="Q1020" s="24">
        <f>IF($J1020="","",MONTH($J1020))</f>
        <v/>
      </c>
      <c r="R1020" s="24">
        <f>IF($J1020="","",$P1020&amp;"-"&amp;TEXT($Q1020,"00"))</f>
        <v/>
      </c>
      <c r="S1020" s="24">
        <f>IF($J1020="","",INDEX(lista_dias,WEEKDAY($J1020,2)))</f>
        <v/>
      </c>
      <c r="T1020" s="24">
        <f>IF($J1020="","",IFERROR(INDEX('CALENDARIO'!$C$15:$C$214,MATCH(TEXT($J1020,"yyyy-mm-dd")&amp;"|"&amp;$Y1020&amp;"|"&amp;$Z1020,'CALENDARIO'!$G$15:$G$214,0)),IFERROR(INDEX('CALENDARIO'!$C$15:$C$214,MATCH(TEXT($J1020,"yyyy-mm-dd")&amp;"|"&amp;$Y1020&amp;"|",'CALENDARIO'!$G$15:$G$214,0)),IFERROR(INDEX('CALENDARIO'!$C$15:$C$214,MATCH(TEXT($J1020,"yyyy-mm-dd")&amp;"||",'CALENDARIO'!$G$15:$G$214,0)),INDEX(patronHabil,WEEKDAY($J1020,2))))))</f>
        <v/>
      </c>
      <c r="U1020" s="24">
        <f>IF($I1020="","",IFERROR(INDEX('CAT_TIPOS_OT'!$C$4:$C$23,MATCH($I1020,'CAT_TIPOS_OT'!$A$4:$A$23,0)),"sin_clasificar"))</f>
        <v/>
      </c>
      <c r="V1020" s="24">
        <f>IF($I1020="","",IF(IFERROR(INDEX('CAT_TIPOS_OT'!$D$4:$D$23,MATCH($I1020,'CAT_TIPOS_OT'!$A$4:$A$23,0)),"SIN CLASIFICAR")="","SIN CLASIFICAR",IFERROR(INDEX('CAT_TIPOS_OT'!$D$4:$D$23,MATCH($I1020,'CAT_TIPOS_OT'!$A$4:$A$23,0)),"SIN CLASIFICAR")))</f>
        <v/>
      </c>
      <c r="W1020" s="24">
        <f>IF($H1020="","",IF(IFERROR(INDEX('CAT_ACTIVIDADES'!$F$4:$F$26,MATCH($H1020,'CAT_ACTIVIDADES'!$A$4:$A$26,0)),"")=0,"",IFERROR(INDEX('CAT_ACTIVIDADES'!$F$4:$F$26,MATCH($H1020,'CAT_ACTIVIDADES'!$A$4:$A$26,0)),"")))</f>
        <v/>
      </c>
      <c r="X1020" s="24">
        <f>IF($F1020="","",IFERROR(INDEX('CAT_CENTROS_COSTO'!$F$4:$F$28,MATCH($F1020,'CAT_CENTROS_COSTO'!$A$4:$A$28,0)),"(sin catálogo)"))</f>
        <v/>
      </c>
      <c r="Y1020" s="24">
        <f>IF($F1020="","",IFERROR(INDEX('CAT_CENTROS_COSTO'!$D$4:$D$28,MATCH($F1020,'CAT_CENTROS_COSTO'!$A$4:$A$28,0)),"(sin catálogo)"))</f>
        <v/>
      </c>
      <c r="Z1020" s="24">
        <f>IF($F1020="","",IF((IFERROR(INDEX('CAT_CENTROS_COSTO'!$E$4:$E$28,MATCH($F1020,'CAT_CENTROS_COSTO'!$A$4:$A$28,0)),""))&lt;&gt;"",IFERROR(INDEX('CAT_CENTROS_COSTO'!$E$4:$E$28,MATCH($F1020,'CAT_CENTROS_COSTO'!$A$4:$A$28,0)),""),$Y1020))</f>
        <v/>
      </c>
      <c r="AA1020" s="24">
        <f>IF($F1020="","",IFERROR(INDEX('CAT_CENTROS_COSTO'!$G$4:$G$28,MATCH($F1020,'CAT_CENTROS_COSTO'!$A$4:$A$28,0)),"(sin catálogo)"))</f>
        <v/>
      </c>
      <c r="AB1020" s="24">
        <f>IF($G1020="","",IFERROR(INDEX('CAT_PUESTOS'!$B$4:$B$23,MATCH($G1020,'CAT_PUESTOS'!$A$4:$A$23,0)),"(sin catálogo)"))</f>
        <v/>
      </c>
      <c r="AC1020" s="24">
        <f>IF($H1020="","",IFERROR(INDEX('CAT_ACTIVIDADES'!$B$4:$B$26,MATCH($H1020,'CAT_ACTIVIDADES'!$A$4:$A$26,0)),"(sin catálogo)"))</f>
        <v/>
      </c>
      <c r="AD1020" s="26">
        <f>IF($J1020="","",TODAY()-$J1020)</f>
        <v/>
      </c>
      <c r="AE1020" s="26">
        <f>IF($J1020="","",IF($J1020&lt;=TODAY(),COUNTIFS(cal_fechas,"&gt;="&amp;$J1020,cal_fechas,"&lt;"&amp;TODAY(),cal_habil,"sí"),-COUNTIFS(cal_fechas,"&gt;="&amp;TODAY(),cal_fechas,"&lt;"&amp;$J1020,cal_habil,"sí")))</f>
        <v/>
      </c>
      <c r="AF1020" s="24">
        <f>IF($AE1020="","",IF($AE1020&lt;0,"FUTURO",IF($AE1020&gt;p_dias_backlog_max,"BACKLOG","MES CORRIENTE")))</f>
        <v/>
      </c>
      <c r="AG1020" s="24">
        <f>IF($AE1020="",FALSE,AND($AE1020&gt;p_dias_backlog_min,$AE1020&lt;=p_dias_backlog_max))</f>
        <v/>
      </c>
      <c r="AH1020" s="4" t="n"/>
      <c r="AI1020" s="24">
        <f>IF($AH1020="","",IF((IFERROR(INDEX('ASIGNACIONES'!$J$4:$J$451,MATCH($O1020&amp;"|"&amp;$S1020&amp;"|"&amp;$AH1020,'ASIGNACIONES'!$N$4:$N$451,0)),""))=0,"",IFERROR(INDEX('ASIGNACIONES'!$J$4:$J$451,MATCH($O1020&amp;"|"&amp;$S1020&amp;"|"&amp;$AH1020,'ASIGNACIONES'!$N$4:$N$451,0)),"")))</f>
        <v/>
      </c>
      <c r="AJ1020" s="42">
        <f>IF($AH1020="","",SUMIFS('ORDENES'!$M$4:$M$1203,'ORDENES'!$AH$4:$AH$1203,$AH1020,'ORDENES'!$O$4:$O$1203,$O1020,'ORDENES'!$S$4:$S$1203,$S1020))</f>
        <v/>
      </c>
      <c r="AK1020" s="42">
        <f>IF($AJ1020="","",p_factor_productividad*IFERROR(INDEX('ASIGNACIONES'!$M$4:$M$451,MATCH($O1020&amp;"|"&amp;$S1020&amp;"|"&amp;$AH1020,'ASIGNACIONES'!$N$4:$N$451,0)),0)-$AJ1020)</f>
        <v/>
      </c>
      <c r="AL1020" s="32">
        <f>IF($A1020="","",IFERROR(INDEX('2_IMPORTAR_EJECUCION'!$F$9:$F$1208,MATCH($AU1020,'2_IMPORTAR_EJECUCION'!$J$9:$J$1208,0)),0))</f>
        <v/>
      </c>
      <c r="AM1020" s="32">
        <f>IF($A1020="","",MAX(0,IFERROR(INDEX('2_IMPORTAR_EJECUCION'!$H$9:$H$1208,MATCH($AU1020,'2_IMPORTAR_EJECUCION'!$J$9:$J$1208,0)),0)-$AL1020))</f>
        <v/>
      </c>
      <c r="AN1020" s="32">
        <f>IF($A1020="","",$AL1020+$AM1020)</f>
        <v/>
      </c>
      <c r="AO1020" s="24">
        <f>IF($A1020="","",IF(OR((IFERROR(INDEX('CAT_ACTIVIDADES'!$D$4:$D$26,MATCH($H1020,'CAT_ACTIVIDADES'!$A$4:$A$26,0)),""))=0,(IFERROR(INDEX('CAT_ACTIVIDADES'!$D$4:$D$26,MATCH($H1020,'CAT_ACTIVIDADES'!$A$4:$A$26,0)),""))=""),"SIN CLASIFICAR",IFERROR(INDEX('CAT_ACTIVIDADES'!$D$4:$D$26,MATCH($H1020,'CAT_ACTIVIDADES'!$A$4:$A$26,0)),"")))</f>
        <v/>
      </c>
      <c r="AP1020" s="4" t="n"/>
      <c r="AQ1020" s="4" t="n"/>
      <c r="AR1020" s="4" t="n"/>
      <c r="AS1020" s="24">
        <f>IF($AR1020="","",HYPERLINK(p_ruta_base_checklists&amp;$AR1020,"abrir"))</f>
        <v/>
      </c>
      <c r="AT1020" s="4" t="n"/>
      <c r="AU1020" s="24">
        <f>IF($A1020="","",$A1020&amp;IF($B1020="","0010",$B1020))</f>
        <v/>
      </c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41" t="n"/>
      <c r="K1021" s="5" t="n"/>
      <c r="L1021" s="18" t="n"/>
      <c r="M1021" s="24">
        <f>IF($A1021="","",IFERROR(INDEX('AJUSTES'!$B$4:$B$303,MATCH($AU1021,'AJUSTES'!$A$4:$A$303,0)),IF($K1021="","",$K1021)))</f>
        <v/>
      </c>
      <c r="N1021" s="24">
        <f>IF($A1021="","",IFERROR(INDEX('CAT_ESTADOS_ERP'!$B$4:$B$22,MATCH(IFERROR(INDEX('2_IMPORTAR_EJECUCION'!$C$9:$C$1208,MATCH($AU1021,'2_IMPORTAR_EJECUCION'!$J$9:$J$1208,0)),""),'CAT_ESTADOS_ERP'!$A$4:$A$22,0)),"Pendiente"))</f>
        <v/>
      </c>
      <c r="O1021" s="24">
        <f>IF($J1021="","",YEAR($J1021+4-WEEKDAY($J1021,2))&amp;"-S"&amp;TEXT(_xlfn.ISOWEEKNUM($J1021),"00"))</f>
        <v/>
      </c>
      <c r="P1021" s="24">
        <f>IF($J1021="","",YEAR($J1021))</f>
        <v/>
      </c>
      <c r="Q1021" s="24">
        <f>IF($J1021="","",MONTH($J1021))</f>
        <v/>
      </c>
      <c r="R1021" s="24">
        <f>IF($J1021="","",$P1021&amp;"-"&amp;TEXT($Q1021,"00"))</f>
        <v/>
      </c>
      <c r="S1021" s="24">
        <f>IF($J1021="","",INDEX(lista_dias,WEEKDAY($J1021,2)))</f>
        <v/>
      </c>
      <c r="T1021" s="24">
        <f>IF($J1021="","",IFERROR(INDEX('CALENDARIO'!$C$15:$C$214,MATCH(TEXT($J1021,"yyyy-mm-dd")&amp;"|"&amp;$Y1021&amp;"|"&amp;$Z1021,'CALENDARIO'!$G$15:$G$214,0)),IFERROR(INDEX('CALENDARIO'!$C$15:$C$214,MATCH(TEXT($J1021,"yyyy-mm-dd")&amp;"|"&amp;$Y1021&amp;"|",'CALENDARIO'!$G$15:$G$214,0)),IFERROR(INDEX('CALENDARIO'!$C$15:$C$214,MATCH(TEXT($J1021,"yyyy-mm-dd")&amp;"||",'CALENDARIO'!$G$15:$G$214,0)),INDEX(patronHabil,WEEKDAY($J1021,2))))))</f>
        <v/>
      </c>
      <c r="U1021" s="24">
        <f>IF($I1021="","",IFERROR(INDEX('CAT_TIPOS_OT'!$C$4:$C$23,MATCH($I1021,'CAT_TIPOS_OT'!$A$4:$A$23,0)),"sin_clasificar"))</f>
        <v/>
      </c>
      <c r="V1021" s="24">
        <f>IF($I1021="","",IF(IFERROR(INDEX('CAT_TIPOS_OT'!$D$4:$D$23,MATCH($I1021,'CAT_TIPOS_OT'!$A$4:$A$23,0)),"SIN CLASIFICAR")="","SIN CLASIFICAR",IFERROR(INDEX('CAT_TIPOS_OT'!$D$4:$D$23,MATCH($I1021,'CAT_TIPOS_OT'!$A$4:$A$23,0)),"SIN CLASIFICAR")))</f>
        <v/>
      </c>
      <c r="W1021" s="24">
        <f>IF($H1021="","",IF(IFERROR(INDEX('CAT_ACTIVIDADES'!$F$4:$F$26,MATCH($H1021,'CAT_ACTIVIDADES'!$A$4:$A$26,0)),"")=0,"",IFERROR(INDEX('CAT_ACTIVIDADES'!$F$4:$F$26,MATCH($H1021,'CAT_ACTIVIDADES'!$A$4:$A$26,0)),"")))</f>
        <v/>
      </c>
      <c r="X1021" s="24">
        <f>IF($F1021="","",IFERROR(INDEX('CAT_CENTROS_COSTO'!$F$4:$F$28,MATCH($F1021,'CAT_CENTROS_COSTO'!$A$4:$A$28,0)),"(sin catálogo)"))</f>
        <v/>
      </c>
      <c r="Y1021" s="24">
        <f>IF($F1021="","",IFERROR(INDEX('CAT_CENTROS_COSTO'!$D$4:$D$28,MATCH($F1021,'CAT_CENTROS_COSTO'!$A$4:$A$28,0)),"(sin catálogo)"))</f>
        <v/>
      </c>
      <c r="Z1021" s="24">
        <f>IF($F1021="","",IF((IFERROR(INDEX('CAT_CENTROS_COSTO'!$E$4:$E$28,MATCH($F1021,'CAT_CENTROS_COSTO'!$A$4:$A$28,0)),""))&lt;&gt;"",IFERROR(INDEX('CAT_CENTROS_COSTO'!$E$4:$E$28,MATCH($F1021,'CAT_CENTROS_COSTO'!$A$4:$A$28,0)),""),$Y1021))</f>
        <v/>
      </c>
      <c r="AA1021" s="24">
        <f>IF($F1021="","",IFERROR(INDEX('CAT_CENTROS_COSTO'!$G$4:$G$28,MATCH($F1021,'CAT_CENTROS_COSTO'!$A$4:$A$28,0)),"(sin catálogo)"))</f>
        <v/>
      </c>
      <c r="AB1021" s="24">
        <f>IF($G1021="","",IFERROR(INDEX('CAT_PUESTOS'!$B$4:$B$23,MATCH($G1021,'CAT_PUESTOS'!$A$4:$A$23,0)),"(sin catálogo)"))</f>
        <v/>
      </c>
      <c r="AC1021" s="24">
        <f>IF($H1021="","",IFERROR(INDEX('CAT_ACTIVIDADES'!$B$4:$B$26,MATCH($H1021,'CAT_ACTIVIDADES'!$A$4:$A$26,0)),"(sin catálogo)"))</f>
        <v/>
      </c>
      <c r="AD1021" s="26">
        <f>IF($J1021="","",TODAY()-$J1021)</f>
        <v/>
      </c>
      <c r="AE1021" s="26">
        <f>IF($J1021="","",IF($J1021&lt;=TODAY(),COUNTIFS(cal_fechas,"&gt;="&amp;$J1021,cal_fechas,"&lt;"&amp;TODAY(),cal_habil,"sí"),-COUNTIFS(cal_fechas,"&gt;="&amp;TODAY(),cal_fechas,"&lt;"&amp;$J1021,cal_habil,"sí")))</f>
        <v/>
      </c>
      <c r="AF1021" s="24">
        <f>IF($AE1021="","",IF($AE1021&lt;0,"FUTURO",IF($AE1021&gt;p_dias_backlog_max,"BACKLOG","MES CORRIENTE")))</f>
        <v/>
      </c>
      <c r="AG1021" s="24">
        <f>IF($AE1021="",FALSE,AND($AE1021&gt;p_dias_backlog_min,$AE1021&lt;=p_dias_backlog_max))</f>
        <v/>
      </c>
      <c r="AH1021" s="4" t="n"/>
      <c r="AI1021" s="24">
        <f>IF($AH1021="","",IF((IFERROR(INDEX('ASIGNACIONES'!$J$4:$J$451,MATCH($O1021&amp;"|"&amp;$S1021&amp;"|"&amp;$AH1021,'ASIGNACIONES'!$N$4:$N$451,0)),""))=0,"",IFERROR(INDEX('ASIGNACIONES'!$J$4:$J$451,MATCH($O1021&amp;"|"&amp;$S1021&amp;"|"&amp;$AH1021,'ASIGNACIONES'!$N$4:$N$451,0)),"")))</f>
        <v/>
      </c>
      <c r="AJ1021" s="42">
        <f>IF($AH1021="","",SUMIFS('ORDENES'!$M$4:$M$1203,'ORDENES'!$AH$4:$AH$1203,$AH1021,'ORDENES'!$O$4:$O$1203,$O1021,'ORDENES'!$S$4:$S$1203,$S1021))</f>
        <v/>
      </c>
      <c r="AK1021" s="42">
        <f>IF($AJ1021="","",p_factor_productividad*IFERROR(INDEX('ASIGNACIONES'!$M$4:$M$451,MATCH($O1021&amp;"|"&amp;$S1021&amp;"|"&amp;$AH1021,'ASIGNACIONES'!$N$4:$N$451,0)),0)-$AJ1021)</f>
        <v/>
      </c>
      <c r="AL1021" s="32">
        <f>IF($A1021="","",IFERROR(INDEX('2_IMPORTAR_EJECUCION'!$F$9:$F$1208,MATCH($AU1021,'2_IMPORTAR_EJECUCION'!$J$9:$J$1208,0)),0))</f>
        <v/>
      </c>
      <c r="AM1021" s="32">
        <f>IF($A1021="","",MAX(0,IFERROR(INDEX('2_IMPORTAR_EJECUCION'!$H$9:$H$1208,MATCH($AU1021,'2_IMPORTAR_EJECUCION'!$J$9:$J$1208,0)),0)-$AL1021))</f>
        <v/>
      </c>
      <c r="AN1021" s="32">
        <f>IF($A1021="","",$AL1021+$AM1021)</f>
        <v/>
      </c>
      <c r="AO1021" s="24">
        <f>IF($A1021="","",IF(OR((IFERROR(INDEX('CAT_ACTIVIDADES'!$D$4:$D$26,MATCH($H1021,'CAT_ACTIVIDADES'!$A$4:$A$26,0)),""))=0,(IFERROR(INDEX('CAT_ACTIVIDADES'!$D$4:$D$26,MATCH($H1021,'CAT_ACTIVIDADES'!$A$4:$A$26,0)),""))=""),"SIN CLASIFICAR",IFERROR(INDEX('CAT_ACTIVIDADES'!$D$4:$D$26,MATCH($H1021,'CAT_ACTIVIDADES'!$A$4:$A$26,0)),"")))</f>
        <v/>
      </c>
      <c r="AP1021" s="4" t="n"/>
      <c r="AQ1021" s="4" t="n"/>
      <c r="AR1021" s="4" t="n"/>
      <c r="AS1021" s="24">
        <f>IF($AR1021="","",HYPERLINK(p_ruta_base_checklists&amp;$AR1021,"abrir"))</f>
        <v/>
      </c>
      <c r="AT1021" s="4" t="n"/>
      <c r="AU1021" s="24">
        <f>IF($A1021="","",$A1021&amp;IF($B1021="","0010",$B1021))</f>
        <v/>
      </c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41" t="n"/>
      <c r="K1022" s="5" t="n"/>
      <c r="L1022" s="18" t="n"/>
      <c r="M1022" s="24">
        <f>IF($A1022="","",IFERROR(INDEX('AJUSTES'!$B$4:$B$303,MATCH($AU1022,'AJUSTES'!$A$4:$A$303,0)),IF($K1022="","",$K1022)))</f>
        <v/>
      </c>
      <c r="N1022" s="24">
        <f>IF($A1022="","",IFERROR(INDEX('CAT_ESTADOS_ERP'!$B$4:$B$22,MATCH(IFERROR(INDEX('2_IMPORTAR_EJECUCION'!$C$9:$C$1208,MATCH($AU1022,'2_IMPORTAR_EJECUCION'!$J$9:$J$1208,0)),""),'CAT_ESTADOS_ERP'!$A$4:$A$22,0)),"Pendiente"))</f>
        <v/>
      </c>
      <c r="O1022" s="24">
        <f>IF($J1022="","",YEAR($J1022+4-WEEKDAY($J1022,2))&amp;"-S"&amp;TEXT(_xlfn.ISOWEEKNUM($J1022),"00"))</f>
        <v/>
      </c>
      <c r="P1022" s="24">
        <f>IF($J1022="","",YEAR($J1022))</f>
        <v/>
      </c>
      <c r="Q1022" s="24">
        <f>IF($J1022="","",MONTH($J1022))</f>
        <v/>
      </c>
      <c r="R1022" s="24">
        <f>IF($J1022="","",$P1022&amp;"-"&amp;TEXT($Q1022,"00"))</f>
        <v/>
      </c>
      <c r="S1022" s="24">
        <f>IF($J1022="","",INDEX(lista_dias,WEEKDAY($J1022,2)))</f>
        <v/>
      </c>
      <c r="T1022" s="24">
        <f>IF($J1022="","",IFERROR(INDEX('CALENDARIO'!$C$15:$C$214,MATCH(TEXT($J1022,"yyyy-mm-dd")&amp;"|"&amp;$Y1022&amp;"|"&amp;$Z1022,'CALENDARIO'!$G$15:$G$214,0)),IFERROR(INDEX('CALENDARIO'!$C$15:$C$214,MATCH(TEXT($J1022,"yyyy-mm-dd")&amp;"|"&amp;$Y1022&amp;"|",'CALENDARIO'!$G$15:$G$214,0)),IFERROR(INDEX('CALENDARIO'!$C$15:$C$214,MATCH(TEXT($J1022,"yyyy-mm-dd")&amp;"||",'CALENDARIO'!$G$15:$G$214,0)),INDEX(patronHabil,WEEKDAY($J1022,2))))))</f>
        <v/>
      </c>
      <c r="U1022" s="24">
        <f>IF($I1022="","",IFERROR(INDEX('CAT_TIPOS_OT'!$C$4:$C$23,MATCH($I1022,'CAT_TIPOS_OT'!$A$4:$A$23,0)),"sin_clasificar"))</f>
        <v/>
      </c>
      <c r="V1022" s="24">
        <f>IF($I1022="","",IF(IFERROR(INDEX('CAT_TIPOS_OT'!$D$4:$D$23,MATCH($I1022,'CAT_TIPOS_OT'!$A$4:$A$23,0)),"SIN CLASIFICAR")="","SIN CLASIFICAR",IFERROR(INDEX('CAT_TIPOS_OT'!$D$4:$D$23,MATCH($I1022,'CAT_TIPOS_OT'!$A$4:$A$23,0)),"SIN CLASIFICAR")))</f>
        <v/>
      </c>
      <c r="W1022" s="24">
        <f>IF($H1022="","",IF(IFERROR(INDEX('CAT_ACTIVIDADES'!$F$4:$F$26,MATCH($H1022,'CAT_ACTIVIDADES'!$A$4:$A$26,0)),"")=0,"",IFERROR(INDEX('CAT_ACTIVIDADES'!$F$4:$F$26,MATCH($H1022,'CAT_ACTIVIDADES'!$A$4:$A$26,0)),"")))</f>
        <v/>
      </c>
      <c r="X1022" s="24">
        <f>IF($F1022="","",IFERROR(INDEX('CAT_CENTROS_COSTO'!$F$4:$F$28,MATCH($F1022,'CAT_CENTROS_COSTO'!$A$4:$A$28,0)),"(sin catálogo)"))</f>
        <v/>
      </c>
      <c r="Y1022" s="24">
        <f>IF($F1022="","",IFERROR(INDEX('CAT_CENTROS_COSTO'!$D$4:$D$28,MATCH($F1022,'CAT_CENTROS_COSTO'!$A$4:$A$28,0)),"(sin catálogo)"))</f>
        <v/>
      </c>
      <c r="Z1022" s="24">
        <f>IF($F1022="","",IF((IFERROR(INDEX('CAT_CENTROS_COSTO'!$E$4:$E$28,MATCH($F1022,'CAT_CENTROS_COSTO'!$A$4:$A$28,0)),""))&lt;&gt;"",IFERROR(INDEX('CAT_CENTROS_COSTO'!$E$4:$E$28,MATCH($F1022,'CAT_CENTROS_COSTO'!$A$4:$A$28,0)),""),$Y1022))</f>
        <v/>
      </c>
      <c r="AA1022" s="24">
        <f>IF($F1022="","",IFERROR(INDEX('CAT_CENTROS_COSTO'!$G$4:$G$28,MATCH($F1022,'CAT_CENTROS_COSTO'!$A$4:$A$28,0)),"(sin catálogo)"))</f>
        <v/>
      </c>
      <c r="AB1022" s="24">
        <f>IF($G1022="","",IFERROR(INDEX('CAT_PUESTOS'!$B$4:$B$23,MATCH($G1022,'CAT_PUESTOS'!$A$4:$A$23,0)),"(sin catálogo)"))</f>
        <v/>
      </c>
      <c r="AC1022" s="24">
        <f>IF($H1022="","",IFERROR(INDEX('CAT_ACTIVIDADES'!$B$4:$B$26,MATCH($H1022,'CAT_ACTIVIDADES'!$A$4:$A$26,0)),"(sin catálogo)"))</f>
        <v/>
      </c>
      <c r="AD1022" s="26">
        <f>IF($J1022="","",TODAY()-$J1022)</f>
        <v/>
      </c>
      <c r="AE1022" s="26">
        <f>IF($J1022="","",IF($J1022&lt;=TODAY(),COUNTIFS(cal_fechas,"&gt;="&amp;$J1022,cal_fechas,"&lt;"&amp;TODAY(),cal_habil,"sí"),-COUNTIFS(cal_fechas,"&gt;="&amp;TODAY(),cal_fechas,"&lt;"&amp;$J1022,cal_habil,"sí")))</f>
        <v/>
      </c>
      <c r="AF1022" s="24">
        <f>IF($AE1022="","",IF($AE1022&lt;0,"FUTURO",IF($AE1022&gt;p_dias_backlog_max,"BACKLOG","MES CORRIENTE")))</f>
        <v/>
      </c>
      <c r="AG1022" s="24">
        <f>IF($AE1022="",FALSE,AND($AE1022&gt;p_dias_backlog_min,$AE1022&lt;=p_dias_backlog_max))</f>
        <v/>
      </c>
      <c r="AH1022" s="4" t="n"/>
      <c r="AI1022" s="24">
        <f>IF($AH1022="","",IF((IFERROR(INDEX('ASIGNACIONES'!$J$4:$J$451,MATCH($O1022&amp;"|"&amp;$S1022&amp;"|"&amp;$AH1022,'ASIGNACIONES'!$N$4:$N$451,0)),""))=0,"",IFERROR(INDEX('ASIGNACIONES'!$J$4:$J$451,MATCH($O1022&amp;"|"&amp;$S1022&amp;"|"&amp;$AH1022,'ASIGNACIONES'!$N$4:$N$451,0)),"")))</f>
        <v/>
      </c>
      <c r="AJ1022" s="42">
        <f>IF($AH1022="","",SUMIFS('ORDENES'!$M$4:$M$1203,'ORDENES'!$AH$4:$AH$1203,$AH1022,'ORDENES'!$O$4:$O$1203,$O1022,'ORDENES'!$S$4:$S$1203,$S1022))</f>
        <v/>
      </c>
      <c r="AK1022" s="42">
        <f>IF($AJ1022="","",p_factor_productividad*IFERROR(INDEX('ASIGNACIONES'!$M$4:$M$451,MATCH($O1022&amp;"|"&amp;$S1022&amp;"|"&amp;$AH1022,'ASIGNACIONES'!$N$4:$N$451,0)),0)-$AJ1022)</f>
        <v/>
      </c>
      <c r="AL1022" s="32">
        <f>IF($A1022="","",IFERROR(INDEX('2_IMPORTAR_EJECUCION'!$F$9:$F$1208,MATCH($AU1022,'2_IMPORTAR_EJECUCION'!$J$9:$J$1208,0)),0))</f>
        <v/>
      </c>
      <c r="AM1022" s="32">
        <f>IF($A1022="","",MAX(0,IFERROR(INDEX('2_IMPORTAR_EJECUCION'!$H$9:$H$1208,MATCH($AU1022,'2_IMPORTAR_EJECUCION'!$J$9:$J$1208,0)),0)-$AL1022))</f>
        <v/>
      </c>
      <c r="AN1022" s="32">
        <f>IF($A1022="","",$AL1022+$AM1022)</f>
        <v/>
      </c>
      <c r="AO1022" s="24">
        <f>IF($A1022="","",IF(OR((IFERROR(INDEX('CAT_ACTIVIDADES'!$D$4:$D$26,MATCH($H1022,'CAT_ACTIVIDADES'!$A$4:$A$26,0)),""))=0,(IFERROR(INDEX('CAT_ACTIVIDADES'!$D$4:$D$26,MATCH($H1022,'CAT_ACTIVIDADES'!$A$4:$A$26,0)),""))=""),"SIN CLASIFICAR",IFERROR(INDEX('CAT_ACTIVIDADES'!$D$4:$D$26,MATCH($H1022,'CAT_ACTIVIDADES'!$A$4:$A$26,0)),"")))</f>
        <v/>
      </c>
      <c r="AP1022" s="4" t="n"/>
      <c r="AQ1022" s="4" t="n"/>
      <c r="AR1022" s="4" t="n"/>
      <c r="AS1022" s="24">
        <f>IF($AR1022="","",HYPERLINK(p_ruta_base_checklists&amp;$AR1022,"abrir"))</f>
        <v/>
      </c>
      <c r="AT1022" s="4" t="n"/>
      <c r="AU1022" s="24">
        <f>IF($A1022="","",$A1022&amp;IF($B1022="","0010",$B1022))</f>
        <v/>
      </c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41" t="n"/>
      <c r="K1023" s="5" t="n"/>
      <c r="L1023" s="18" t="n"/>
      <c r="M1023" s="24">
        <f>IF($A1023="","",IFERROR(INDEX('AJUSTES'!$B$4:$B$303,MATCH($AU1023,'AJUSTES'!$A$4:$A$303,0)),IF($K1023="","",$K1023)))</f>
        <v/>
      </c>
      <c r="N1023" s="24">
        <f>IF($A1023="","",IFERROR(INDEX('CAT_ESTADOS_ERP'!$B$4:$B$22,MATCH(IFERROR(INDEX('2_IMPORTAR_EJECUCION'!$C$9:$C$1208,MATCH($AU1023,'2_IMPORTAR_EJECUCION'!$J$9:$J$1208,0)),""),'CAT_ESTADOS_ERP'!$A$4:$A$22,0)),"Pendiente"))</f>
        <v/>
      </c>
      <c r="O1023" s="24">
        <f>IF($J1023="","",YEAR($J1023+4-WEEKDAY($J1023,2))&amp;"-S"&amp;TEXT(_xlfn.ISOWEEKNUM($J1023),"00"))</f>
        <v/>
      </c>
      <c r="P1023" s="24">
        <f>IF($J1023="","",YEAR($J1023))</f>
        <v/>
      </c>
      <c r="Q1023" s="24">
        <f>IF($J1023="","",MONTH($J1023))</f>
        <v/>
      </c>
      <c r="R1023" s="24">
        <f>IF($J1023="","",$P1023&amp;"-"&amp;TEXT($Q1023,"00"))</f>
        <v/>
      </c>
      <c r="S1023" s="24">
        <f>IF($J1023="","",INDEX(lista_dias,WEEKDAY($J1023,2)))</f>
        <v/>
      </c>
      <c r="T1023" s="24">
        <f>IF($J1023="","",IFERROR(INDEX('CALENDARIO'!$C$15:$C$214,MATCH(TEXT($J1023,"yyyy-mm-dd")&amp;"|"&amp;$Y1023&amp;"|"&amp;$Z1023,'CALENDARIO'!$G$15:$G$214,0)),IFERROR(INDEX('CALENDARIO'!$C$15:$C$214,MATCH(TEXT($J1023,"yyyy-mm-dd")&amp;"|"&amp;$Y1023&amp;"|",'CALENDARIO'!$G$15:$G$214,0)),IFERROR(INDEX('CALENDARIO'!$C$15:$C$214,MATCH(TEXT($J1023,"yyyy-mm-dd")&amp;"||",'CALENDARIO'!$G$15:$G$214,0)),INDEX(patronHabil,WEEKDAY($J1023,2))))))</f>
        <v/>
      </c>
      <c r="U1023" s="24">
        <f>IF($I1023="","",IFERROR(INDEX('CAT_TIPOS_OT'!$C$4:$C$23,MATCH($I1023,'CAT_TIPOS_OT'!$A$4:$A$23,0)),"sin_clasificar"))</f>
        <v/>
      </c>
      <c r="V1023" s="24">
        <f>IF($I1023="","",IF(IFERROR(INDEX('CAT_TIPOS_OT'!$D$4:$D$23,MATCH($I1023,'CAT_TIPOS_OT'!$A$4:$A$23,0)),"SIN CLASIFICAR")="","SIN CLASIFICAR",IFERROR(INDEX('CAT_TIPOS_OT'!$D$4:$D$23,MATCH($I1023,'CAT_TIPOS_OT'!$A$4:$A$23,0)),"SIN CLASIFICAR")))</f>
        <v/>
      </c>
      <c r="W1023" s="24">
        <f>IF($H1023="","",IF(IFERROR(INDEX('CAT_ACTIVIDADES'!$F$4:$F$26,MATCH($H1023,'CAT_ACTIVIDADES'!$A$4:$A$26,0)),"")=0,"",IFERROR(INDEX('CAT_ACTIVIDADES'!$F$4:$F$26,MATCH($H1023,'CAT_ACTIVIDADES'!$A$4:$A$26,0)),"")))</f>
        <v/>
      </c>
      <c r="X1023" s="24">
        <f>IF($F1023="","",IFERROR(INDEX('CAT_CENTROS_COSTO'!$F$4:$F$28,MATCH($F1023,'CAT_CENTROS_COSTO'!$A$4:$A$28,0)),"(sin catálogo)"))</f>
        <v/>
      </c>
      <c r="Y1023" s="24">
        <f>IF($F1023="","",IFERROR(INDEX('CAT_CENTROS_COSTO'!$D$4:$D$28,MATCH($F1023,'CAT_CENTROS_COSTO'!$A$4:$A$28,0)),"(sin catálogo)"))</f>
        <v/>
      </c>
      <c r="Z1023" s="24">
        <f>IF($F1023="","",IF((IFERROR(INDEX('CAT_CENTROS_COSTO'!$E$4:$E$28,MATCH($F1023,'CAT_CENTROS_COSTO'!$A$4:$A$28,0)),""))&lt;&gt;"",IFERROR(INDEX('CAT_CENTROS_COSTO'!$E$4:$E$28,MATCH($F1023,'CAT_CENTROS_COSTO'!$A$4:$A$28,0)),""),$Y1023))</f>
        <v/>
      </c>
      <c r="AA1023" s="24">
        <f>IF($F1023="","",IFERROR(INDEX('CAT_CENTROS_COSTO'!$G$4:$G$28,MATCH($F1023,'CAT_CENTROS_COSTO'!$A$4:$A$28,0)),"(sin catálogo)"))</f>
        <v/>
      </c>
      <c r="AB1023" s="24">
        <f>IF($G1023="","",IFERROR(INDEX('CAT_PUESTOS'!$B$4:$B$23,MATCH($G1023,'CAT_PUESTOS'!$A$4:$A$23,0)),"(sin catálogo)"))</f>
        <v/>
      </c>
      <c r="AC1023" s="24">
        <f>IF($H1023="","",IFERROR(INDEX('CAT_ACTIVIDADES'!$B$4:$B$26,MATCH($H1023,'CAT_ACTIVIDADES'!$A$4:$A$26,0)),"(sin catálogo)"))</f>
        <v/>
      </c>
      <c r="AD1023" s="26">
        <f>IF($J1023="","",TODAY()-$J1023)</f>
        <v/>
      </c>
      <c r="AE1023" s="26">
        <f>IF($J1023="","",IF($J1023&lt;=TODAY(),COUNTIFS(cal_fechas,"&gt;="&amp;$J1023,cal_fechas,"&lt;"&amp;TODAY(),cal_habil,"sí"),-COUNTIFS(cal_fechas,"&gt;="&amp;TODAY(),cal_fechas,"&lt;"&amp;$J1023,cal_habil,"sí")))</f>
        <v/>
      </c>
      <c r="AF1023" s="24">
        <f>IF($AE1023="","",IF($AE1023&lt;0,"FUTURO",IF($AE1023&gt;p_dias_backlog_max,"BACKLOG","MES CORRIENTE")))</f>
        <v/>
      </c>
      <c r="AG1023" s="24">
        <f>IF($AE1023="",FALSE,AND($AE1023&gt;p_dias_backlog_min,$AE1023&lt;=p_dias_backlog_max))</f>
        <v/>
      </c>
      <c r="AH1023" s="4" t="n"/>
      <c r="AI1023" s="24">
        <f>IF($AH1023="","",IF((IFERROR(INDEX('ASIGNACIONES'!$J$4:$J$451,MATCH($O1023&amp;"|"&amp;$S1023&amp;"|"&amp;$AH1023,'ASIGNACIONES'!$N$4:$N$451,0)),""))=0,"",IFERROR(INDEX('ASIGNACIONES'!$J$4:$J$451,MATCH($O1023&amp;"|"&amp;$S1023&amp;"|"&amp;$AH1023,'ASIGNACIONES'!$N$4:$N$451,0)),"")))</f>
        <v/>
      </c>
      <c r="AJ1023" s="42">
        <f>IF($AH1023="","",SUMIFS('ORDENES'!$M$4:$M$1203,'ORDENES'!$AH$4:$AH$1203,$AH1023,'ORDENES'!$O$4:$O$1203,$O1023,'ORDENES'!$S$4:$S$1203,$S1023))</f>
        <v/>
      </c>
      <c r="AK1023" s="42">
        <f>IF($AJ1023="","",p_factor_productividad*IFERROR(INDEX('ASIGNACIONES'!$M$4:$M$451,MATCH($O1023&amp;"|"&amp;$S1023&amp;"|"&amp;$AH1023,'ASIGNACIONES'!$N$4:$N$451,0)),0)-$AJ1023)</f>
        <v/>
      </c>
      <c r="AL1023" s="32">
        <f>IF($A1023="","",IFERROR(INDEX('2_IMPORTAR_EJECUCION'!$F$9:$F$1208,MATCH($AU1023,'2_IMPORTAR_EJECUCION'!$J$9:$J$1208,0)),0))</f>
        <v/>
      </c>
      <c r="AM1023" s="32">
        <f>IF($A1023="","",MAX(0,IFERROR(INDEX('2_IMPORTAR_EJECUCION'!$H$9:$H$1208,MATCH($AU1023,'2_IMPORTAR_EJECUCION'!$J$9:$J$1208,0)),0)-$AL1023))</f>
        <v/>
      </c>
      <c r="AN1023" s="32">
        <f>IF($A1023="","",$AL1023+$AM1023)</f>
        <v/>
      </c>
      <c r="AO1023" s="24">
        <f>IF($A1023="","",IF(OR((IFERROR(INDEX('CAT_ACTIVIDADES'!$D$4:$D$26,MATCH($H1023,'CAT_ACTIVIDADES'!$A$4:$A$26,0)),""))=0,(IFERROR(INDEX('CAT_ACTIVIDADES'!$D$4:$D$26,MATCH($H1023,'CAT_ACTIVIDADES'!$A$4:$A$26,0)),""))=""),"SIN CLASIFICAR",IFERROR(INDEX('CAT_ACTIVIDADES'!$D$4:$D$26,MATCH($H1023,'CAT_ACTIVIDADES'!$A$4:$A$26,0)),"")))</f>
        <v/>
      </c>
      <c r="AP1023" s="4" t="n"/>
      <c r="AQ1023" s="4" t="n"/>
      <c r="AR1023" s="4" t="n"/>
      <c r="AS1023" s="24">
        <f>IF($AR1023="","",HYPERLINK(p_ruta_base_checklists&amp;$AR1023,"abrir"))</f>
        <v/>
      </c>
      <c r="AT1023" s="4" t="n"/>
      <c r="AU1023" s="24">
        <f>IF($A1023="","",$A1023&amp;IF($B1023="","0010",$B1023))</f>
        <v/>
      </c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41" t="n"/>
      <c r="K1024" s="5" t="n"/>
      <c r="L1024" s="18" t="n"/>
      <c r="M1024" s="24">
        <f>IF($A1024="","",IFERROR(INDEX('AJUSTES'!$B$4:$B$303,MATCH($AU1024,'AJUSTES'!$A$4:$A$303,0)),IF($K1024="","",$K1024)))</f>
        <v/>
      </c>
      <c r="N1024" s="24">
        <f>IF($A1024="","",IFERROR(INDEX('CAT_ESTADOS_ERP'!$B$4:$B$22,MATCH(IFERROR(INDEX('2_IMPORTAR_EJECUCION'!$C$9:$C$1208,MATCH($AU1024,'2_IMPORTAR_EJECUCION'!$J$9:$J$1208,0)),""),'CAT_ESTADOS_ERP'!$A$4:$A$22,0)),"Pendiente"))</f>
        <v/>
      </c>
      <c r="O1024" s="24">
        <f>IF($J1024="","",YEAR($J1024+4-WEEKDAY($J1024,2))&amp;"-S"&amp;TEXT(_xlfn.ISOWEEKNUM($J1024),"00"))</f>
        <v/>
      </c>
      <c r="P1024" s="24">
        <f>IF($J1024="","",YEAR($J1024))</f>
        <v/>
      </c>
      <c r="Q1024" s="24">
        <f>IF($J1024="","",MONTH($J1024))</f>
        <v/>
      </c>
      <c r="R1024" s="24">
        <f>IF($J1024="","",$P1024&amp;"-"&amp;TEXT($Q1024,"00"))</f>
        <v/>
      </c>
      <c r="S1024" s="24">
        <f>IF($J1024="","",INDEX(lista_dias,WEEKDAY($J1024,2)))</f>
        <v/>
      </c>
      <c r="T1024" s="24">
        <f>IF($J1024="","",IFERROR(INDEX('CALENDARIO'!$C$15:$C$214,MATCH(TEXT($J1024,"yyyy-mm-dd")&amp;"|"&amp;$Y1024&amp;"|"&amp;$Z1024,'CALENDARIO'!$G$15:$G$214,0)),IFERROR(INDEX('CALENDARIO'!$C$15:$C$214,MATCH(TEXT($J1024,"yyyy-mm-dd")&amp;"|"&amp;$Y1024&amp;"|",'CALENDARIO'!$G$15:$G$214,0)),IFERROR(INDEX('CALENDARIO'!$C$15:$C$214,MATCH(TEXT($J1024,"yyyy-mm-dd")&amp;"||",'CALENDARIO'!$G$15:$G$214,0)),INDEX(patronHabil,WEEKDAY($J1024,2))))))</f>
        <v/>
      </c>
      <c r="U1024" s="24">
        <f>IF($I1024="","",IFERROR(INDEX('CAT_TIPOS_OT'!$C$4:$C$23,MATCH($I1024,'CAT_TIPOS_OT'!$A$4:$A$23,0)),"sin_clasificar"))</f>
        <v/>
      </c>
      <c r="V1024" s="24">
        <f>IF($I1024="","",IF(IFERROR(INDEX('CAT_TIPOS_OT'!$D$4:$D$23,MATCH($I1024,'CAT_TIPOS_OT'!$A$4:$A$23,0)),"SIN CLASIFICAR")="","SIN CLASIFICAR",IFERROR(INDEX('CAT_TIPOS_OT'!$D$4:$D$23,MATCH($I1024,'CAT_TIPOS_OT'!$A$4:$A$23,0)),"SIN CLASIFICAR")))</f>
        <v/>
      </c>
      <c r="W1024" s="24">
        <f>IF($H1024="","",IF(IFERROR(INDEX('CAT_ACTIVIDADES'!$F$4:$F$26,MATCH($H1024,'CAT_ACTIVIDADES'!$A$4:$A$26,0)),"")=0,"",IFERROR(INDEX('CAT_ACTIVIDADES'!$F$4:$F$26,MATCH($H1024,'CAT_ACTIVIDADES'!$A$4:$A$26,0)),"")))</f>
        <v/>
      </c>
      <c r="X1024" s="24">
        <f>IF($F1024="","",IFERROR(INDEX('CAT_CENTROS_COSTO'!$F$4:$F$28,MATCH($F1024,'CAT_CENTROS_COSTO'!$A$4:$A$28,0)),"(sin catálogo)"))</f>
        <v/>
      </c>
      <c r="Y1024" s="24">
        <f>IF($F1024="","",IFERROR(INDEX('CAT_CENTROS_COSTO'!$D$4:$D$28,MATCH($F1024,'CAT_CENTROS_COSTO'!$A$4:$A$28,0)),"(sin catálogo)"))</f>
        <v/>
      </c>
      <c r="Z1024" s="24">
        <f>IF($F1024="","",IF((IFERROR(INDEX('CAT_CENTROS_COSTO'!$E$4:$E$28,MATCH($F1024,'CAT_CENTROS_COSTO'!$A$4:$A$28,0)),""))&lt;&gt;"",IFERROR(INDEX('CAT_CENTROS_COSTO'!$E$4:$E$28,MATCH($F1024,'CAT_CENTROS_COSTO'!$A$4:$A$28,0)),""),$Y1024))</f>
        <v/>
      </c>
      <c r="AA1024" s="24">
        <f>IF($F1024="","",IFERROR(INDEX('CAT_CENTROS_COSTO'!$G$4:$G$28,MATCH($F1024,'CAT_CENTROS_COSTO'!$A$4:$A$28,0)),"(sin catálogo)"))</f>
        <v/>
      </c>
      <c r="AB1024" s="24">
        <f>IF($G1024="","",IFERROR(INDEX('CAT_PUESTOS'!$B$4:$B$23,MATCH($G1024,'CAT_PUESTOS'!$A$4:$A$23,0)),"(sin catálogo)"))</f>
        <v/>
      </c>
      <c r="AC1024" s="24">
        <f>IF($H1024="","",IFERROR(INDEX('CAT_ACTIVIDADES'!$B$4:$B$26,MATCH($H1024,'CAT_ACTIVIDADES'!$A$4:$A$26,0)),"(sin catálogo)"))</f>
        <v/>
      </c>
      <c r="AD1024" s="26">
        <f>IF($J1024="","",TODAY()-$J1024)</f>
        <v/>
      </c>
      <c r="AE1024" s="26">
        <f>IF($J1024="","",IF($J1024&lt;=TODAY(),COUNTIFS(cal_fechas,"&gt;="&amp;$J1024,cal_fechas,"&lt;"&amp;TODAY(),cal_habil,"sí"),-COUNTIFS(cal_fechas,"&gt;="&amp;TODAY(),cal_fechas,"&lt;"&amp;$J1024,cal_habil,"sí")))</f>
        <v/>
      </c>
      <c r="AF1024" s="24">
        <f>IF($AE1024="","",IF($AE1024&lt;0,"FUTURO",IF($AE1024&gt;p_dias_backlog_max,"BACKLOG","MES CORRIENTE")))</f>
        <v/>
      </c>
      <c r="AG1024" s="24">
        <f>IF($AE1024="",FALSE,AND($AE1024&gt;p_dias_backlog_min,$AE1024&lt;=p_dias_backlog_max))</f>
        <v/>
      </c>
      <c r="AH1024" s="4" t="n"/>
      <c r="AI1024" s="24">
        <f>IF($AH1024="","",IF((IFERROR(INDEX('ASIGNACIONES'!$J$4:$J$451,MATCH($O1024&amp;"|"&amp;$S1024&amp;"|"&amp;$AH1024,'ASIGNACIONES'!$N$4:$N$451,0)),""))=0,"",IFERROR(INDEX('ASIGNACIONES'!$J$4:$J$451,MATCH($O1024&amp;"|"&amp;$S1024&amp;"|"&amp;$AH1024,'ASIGNACIONES'!$N$4:$N$451,0)),"")))</f>
        <v/>
      </c>
      <c r="AJ1024" s="42">
        <f>IF($AH1024="","",SUMIFS('ORDENES'!$M$4:$M$1203,'ORDENES'!$AH$4:$AH$1203,$AH1024,'ORDENES'!$O$4:$O$1203,$O1024,'ORDENES'!$S$4:$S$1203,$S1024))</f>
        <v/>
      </c>
      <c r="AK1024" s="42">
        <f>IF($AJ1024="","",p_factor_productividad*IFERROR(INDEX('ASIGNACIONES'!$M$4:$M$451,MATCH($O1024&amp;"|"&amp;$S1024&amp;"|"&amp;$AH1024,'ASIGNACIONES'!$N$4:$N$451,0)),0)-$AJ1024)</f>
        <v/>
      </c>
      <c r="AL1024" s="32">
        <f>IF($A1024="","",IFERROR(INDEX('2_IMPORTAR_EJECUCION'!$F$9:$F$1208,MATCH($AU1024,'2_IMPORTAR_EJECUCION'!$J$9:$J$1208,0)),0))</f>
        <v/>
      </c>
      <c r="AM1024" s="32">
        <f>IF($A1024="","",MAX(0,IFERROR(INDEX('2_IMPORTAR_EJECUCION'!$H$9:$H$1208,MATCH($AU1024,'2_IMPORTAR_EJECUCION'!$J$9:$J$1208,0)),0)-$AL1024))</f>
        <v/>
      </c>
      <c r="AN1024" s="32">
        <f>IF($A1024="","",$AL1024+$AM1024)</f>
        <v/>
      </c>
      <c r="AO1024" s="24">
        <f>IF($A1024="","",IF(OR((IFERROR(INDEX('CAT_ACTIVIDADES'!$D$4:$D$26,MATCH($H1024,'CAT_ACTIVIDADES'!$A$4:$A$26,0)),""))=0,(IFERROR(INDEX('CAT_ACTIVIDADES'!$D$4:$D$26,MATCH($H1024,'CAT_ACTIVIDADES'!$A$4:$A$26,0)),""))=""),"SIN CLASIFICAR",IFERROR(INDEX('CAT_ACTIVIDADES'!$D$4:$D$26,MATCH($H1024,'CAT_ACTIVIDADES'!$A$4:$A$26,0)),"")))</f>
        <v/>
      </c>
      <c r="AP1024" s="4" t="n"/>
      <c r="AQ1024" s="4" t="n"/>
      <c r="AR1024" s="4" t="n"/>
      <c r="AS1024" s="24">
        <f>IF($AR1024="","",HYPERLINK(p_ruta_base_checklists&amp;$AR1024,"abrir"))</f>
        <v/>
      </c>
      <c r="AT1024" s="4" t="n"/>
      <c r="AU1024" s="24">
        <f>IF($A1024="","",$A1024&amp;IF($B1024="","0010",$B1024))</f>
        <v/>
      </c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41" t="n"/>
      <c r="K1025" s="5" t="n"/>
      <c r="L1025" s="18" t="n"/>
      <c r="M1025" s="24">
        <f>IF($A1025="","",IFERROR(INDEX('AJUSTES'!$B$4:$B$303,MATCH($AU1025,'AJUSTES'!$A$4:$A$303,0)),IF($K1025="","",$K1025)))</f>
        <v/>
      </c>
      <c r="N1025" s="24">
        <f>IF($A1025="","",IFERROR(INDEX('CAT_ESTADOS_ERP'!$B$4:$B$22,MATCH(IFERROR(INDEX('2_IMPORTAR_EJECUCION'!$C$9:$C$1208,MATCH($AU1025,'2_IMPORTAR_EJECUCION'!$J$9:$J$1208,0)),""),'CAT_ESTADOS_ERP'!$A$4:$A$22,0)),"Pendiente"))</f>
        <v/>
      </c>
      <c r="O1025" s="24">
        <f>IF($J1025="","",YEAR($J1025+4-WEEKDAY($J1025,2))&amp;"-S"&amp;TEXT(_xlfn.ISOWEEKNUM($J1025),"00"))</f>
        <v/>
      </c>
      <c r="P1025" s="24">
        <f>IF($J1025="","",YEAR($J1025))</f>
        <v/>
      </c>
      <c r="Q1025" s="24">
        <f>IF($J1025="","",MONTH($J1025))</f>
        <v/>
      </c>
      <c r="R1025" s="24">
        <f>IF($J1025="","",$P1025&amp;"-"&amp;TEXT($Q1025,"00"))</f>
        <v/>
      </c>
      <c r="S1025" s="24">
        <f>IF($J1025="","",INDEX(lista_dias,WEEKDAY($J1025,2)))</f>
        <v/>
      </c>
      <c r="T1025" s="24">
        <f>IF($J1025="","",IFERROR(INDEX('CALENDARIO'!$C$15:$C$214,MATCH(TEXT($J1025,"yyyy-mm-dd")&amp;"|"&amp;$Y1025&amp;"|"&amp;$Z1025,'CALENDARIO'!$G$15:$G$214,0)),IFERROR(INDEX('CALENDARIO'!$C$15:$C$214,MATCH(TEXT($J1025,"yyyy-mm-dd")&amp;"|"&amp;$Y1025&amp;"|",'CALENDARIO'!$G$15:$G$214,0)),IFERROR(INDEX('CALENDARIO'!$C$15:$C$214,MATCH(TEXT($J1025,"yyyy-mm-dd")&amp;"||",'CALENDARIO'!$G$15:$G$214,0)),INDEX(patronHabil,WEEKDAY($J1025,2))))))</f>
        <v/>
      </c>
      <c r="U1025" s="24">
        <f>IF($I1025="","",IFERROR(INDEX('CAT_TIPOS_OT'!$C$4:$C$23,MATCH($I1025,'CAT_TIPOS_OT'!$A$4:$A$23,0)),"sin_clasificar"))</f>
        <v/>
      </c>
      <c r="V1025" s="24">
        <f>IF($I1025="","",IF(IFERROR(INDEX('CAT_TIPOS_OT'!$D$4:$D$23,MATCH($I1025,'CAT_TIPOS_OT'!$A$4:$A$23,0)),"SIN CLASIFICAR")="","SIN CLASIFICAR",IFERROR(INDEX('CAT_TIPOS_OT'!$D$4:$D$23,MATCH($I1025,'CAT_TIPOS_OT'!$A$4:$A$23,0)),"SIN CLASIFICAR")))</f>
        <v/>
      </c>
      <c r="W1025" s="24">
        <f>IF($H1025="","",IF(IFERROR(INDEX('CAT_ACTIVIDADES'!$F$4:$F$26,MATCH($H1025,'CAT_ACTIVIDADES'!$A$4:$A$26,0)),"")=0,"",IFERROR(INDEX('CAT_ACTIVIDADES'!$F$4:$F$26,MATCH($H1025,'CAT_ACTIVIDADES'!$A$4:$A$26,0)),"")))</f>
        <v/>
      </c>
      <c r="X1025" s="24">
        <f>IF($F1025="","",IFERROR(INDEX('CAT_CENTROS_COSTO'!$F$4:$F$28,MATCH($F1025,'CAT_CENTROS_COSTO'!$A$4:$A$28,0)),"(sin catálogo)"))</f>
        <v/>
      </c>
      <c r="Y1025" s="24">
        <f>IF($F1025="","",IFERROR(INDEX('CAT_CENTROS_COSTO'!$D$4:$D$28,MATCH($F1025,'CAT_CENTROS_COSTO'!$A$4:$A$28,0)),"(sin catálogo)"))</f>
        <v/>
      </c>
      <c r="Z1025" s="24">
        <f>IF($F1025="","",IF((IFERROR(INDEX('CAT_CENTROS_COSTO'!$E$4:$E$28,MATCH($F1025,'CAT_CENTROS_COSTO'!$A$4:$A$28,0)),""))&lt;&gt;"",IFERROR(INDEX('CAT_CENTROS_COSTO'!$E$4:$E$28,MATCH($F1025,'CAT_CENTROS_COSTO'!$A$4:$A$28,0)),""),$Y1025))</f>
        <v/>
      </c>
      <c r="AA1025" s="24">
        <f>IF($F1025="","",IFERROR(INDEX('CAT_CENTROS_COSTO'!$G$4:$G$28,MATCH($F1025,'CAT_CENTROS_COSTO'!$A$4:$A$28,0)),"(sin catálogo)"))</f>
        <v/>
      </c>
      <c r="AB1025" s="24">
        <f>IF($G1025="","",IFERROR(INDEX('CAT_PUESTOS'!$B$4:$B$23,MATCH($G1025,'CAT_PUESTOS'!$A$4:$A$23,0)),"(sin catálogo)"))</f>
        <v/>
      </c>
      <c r="AC1025" s="24">
        <f>IF($H1025="","",IFERROR(INDEX('CAT_ACTIVIDADES'!$B$4:$B$26,MATCH($H1025,'CAT_ACTIVIDADES'!$A$4:$A$26,0)),"(sin catálogo)"))</f>
        <v/>
      </c>
      <c r="AD1025" s="26">
        <f>IF($J1025="","",TODAY()-$J1025)</f>
        <v/>
      </c>
      <c r="AE1025" s="26">
        <f>IF($J1025="","",IF($J1025&lt;=TODAY(),COUNTIFS(cal_fechas,"&gt;="&amp;$J1025,cal_fechas,"&lt;"&amp;TODAY(),cal_habil,"sí"),-COUNTIFS(cal_fechas,"&gt;="&amp;TODAY(),cal_fechas,"&lt;"&amp;$J1025,cal_habil,"sí")))</f>
        <v/>
      </c>
      <c r="AF1025" s="24">
        <f>IF($AE1025="","",IF($AE1025&lt;0,"FUTURO",IF($AE1025&gt;p_dias_backlog_max,"BACKLOG","MES CORRIENTE")))</f>
        <v/>
      </c>
      <c r="AG1025" s="24">
        <f>IF($AE1025="",FALSE,AND($AE1025&gt;p_dias_backlog_min,$AE1025&lt;=p_dias_backlog_max))</f>
        <v/>
      </c>
      <c r="AH1025" s="4" t="n"/>
      <c r="AI1025" s="24">
        <f>IF($AH1025="","",IF((IFERROR(INDEX('ASIGNACIONES'!$J$4:$J$451,MATCH($O1025&amp;"|"&amp;$S1025&amp;"|"&amp;$AH1025,'ASIGNACIONES'!$N$4:$N$451,0)),""))=0,"",IFERROR(INDEX('ASIGNACIONES'!$J$4:$J$451,MATCH($O1025&amp;"|"&amp;$S1025&amp;"|"&amp;$AH1025,'ASIGNACIONES'!$N$4:$N$451,0)),"")))</f>
        <v/>
      </c>
      <c r="AJ1025" s="42">
        <f>IF($AH1025="","",SUMIFS('ORDENES'!$M$4:$M$1203,'ORDENES'!$AH$4:$AH$1203,$AH1025,'ORDENES'!$O$4:$O$1203,$O1025,'ORDENES'!$S$4:$S$1203,$S1025))</f>
        <v/>
      </c>
      <c r="AK1025" s="42">
        <f>IF($AJ1025="","",p_factor_productividad*IFERROR(INDEX('ASIGNACIONES'!$M$4:$M$451,MATCH($O1025&amp;"|"&amp;$S1025&amp;"|"&amp;$AH1025,'ASIGNACIONES'!$N$4:$N$451,0)),0)-$AJ1025)</f>
        <v/>
      </c>
      <c r="AL1025" s="32">
        <f>IF($A1025="","",IFERROR(INDEX('2_IMPORTAR_EJECUCION'!$F$9:$F$1208,MATCH($AU1025,'2_IMPORTAR_EJECUCION'!$J$9:$J$1208,0)),0))</f>
        <v/>
      </c>
      <c r="AM1025" s="32">
        <f>IF($A1025="","",MAX(0,IFERROR(INDEX('2_IMPORTAR_EJECUCION'!$H$9:$H$1208,MATCH($AU1025,'2_IMPORTAR_EJECUCION'!$J$9:$J$1208,0)),0)-$AL1025))</f>
        <v/>
      </c>
      <c r="AN1025" s="32">
        <f>IF($A1025="","",$AL1025+$AM1025)</f>
        <v/>
      </c>
      <c r="AO1025" s="24">
        <f>IF($A1025="","",IF(OR((IFERROR(INDEX('CAT_ACTIVIDADES'!$D$4:$D$26,MATCH($H1025,'CAT_ACTIVIDADES'!$A$4:$A$26,0)),""))=0,(IFERROR(INDEX('CAT_ACTIVIDADES'!$D$4:$D$26,MATCH($H1025,'CAT_ACTIVIDADES'!$A$4:$A$26,0)),""))=""),"SIN CLASIFICAR",IFERROR(INDEX('CAT_ACTIVIDADES'!$D$4:$D$26,MATCH($H1025,'CAT_ACTIVIDADES'!$A$4:$A$26,0)),"")))</f>
        <v/>
      </c>
      <c r="AP1025" s="4" t="n"/>
      <c r="AQ1025" s="4" t="n"/>
      <c r="AR1025" s="4" t="n"/>
      <c r="AS1025" s="24">
        <f>IF($AR1025="","",HYPERLINK(p_ruta_base_checklists&amp;$AR1025,"abrir"))</f>
        <v/>
      </c>
      <c r="AT1025" s="4" t="n"/>
      <c r="AU1025" s="24">
        <f>IF($A1025="","",$A1025&amp;IF($B1025="","0010",$B1025))</f>
        <v/>
      </c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41" t="n"/>
      <c r="K1026" s="5" t="n"/>
      <c r="L1026" s="18" t="n"/>
      <c r="M1026" s="24">
        <f>IF($A1026="","",IFERROR(INDEX('AJUSTES'!$B$4:$B$303,MATCH($AU1026,'AJUSTES'!$A$4:$A$303,0)),IF($K1026="","",$K1026)))</f>
        <v/>
      </c>
      <c r="N1026" s="24">
        <f>IF($A1026="","",IFERROR(INDEX('CAT_ESTADOS_ERP'!$B$4:$B$22,MATCH(IFERROR(INDEX('2_IMPORTAR_EJECUCION'!$C$9:$C$1208,MATCH($AU1026,'2_IMPORTAR_EJECUCION'!$J$9:$J$1208,0)),""),'CAT_ESTADOS_ERP'!$A$4:$A$22,0)),"Pendiente"))</f>
        <v/>
      </c>
      <c r="O1026" s="24">
        <f>IF($J1026="","",YEAR($J1026+4-WEEKDAY($J1026,2))&amp;"-S"&amp;TEXT(_xlfn.ISOWEEKNUM($J1026),"00"))</f>
        <v/>
      </c>
      <c r="P1026" s="24">
        <f>IF($J1026="","",YEAR($J1026))</f>
        <v/>
      </c>
      <c r="Q1026" s="24">
        <f>IF($J1026="","",MONTH($J1026))</f>
        <v/>
      </c>
      <c r="R1026" s="24">
        <f>IF($J1026="","",$P1026&amp;"-"&amp;TEXT($Q1026,"00"))</f>
        <v/>
      </c>
      <c r="S1026" s="24">
        <f>IF($J1026="","",INDEX(lista_dias,WEEKDAY($J1026,2)))</f>
        <v/>
      </c>
      <c r="T1026" s="24">
        <f>IF($J1026="","",IFERROR(INDEX('CALENDARIO'!$C$15:$C$214,MATCH(TEXT($J1026,"yyyy-mm-dd")&amp;"|"&amp;$Y1026&amp;"|"&amp;$Z1026,'CALENDARIO'!$G$15:$G$214,0)),IFERROR(INDEX('CALENDARIO'!$C$15:$C$214,MATCH(TEXT($J1026,"yyyy-mm-dd")&amp;"|"&amp;$Y1026&amp;"|",'CALENDARIO'!$G$15:$G$214,0)),IFERROR(INDEX('CALENDARIO'!$C$15:$C$214,MATCH(TEXT($J1026,"yyyy-mm-dd")&amp;"||",'CALENDARIO'!$G$15:$G$214,0)),INDEX(patronHabil,WEEKDAY($J1026,2))))))</f>
        <v/>
      </c>
      <c r="U1026" s="24">
        <f>IF($I1026="","",IFERROR(INDEX('CAT_TIPOS_OT'!$C$4:$C$23,MATCH($I1026,'CAT_TIPOS_OT'!$A$4:$A$23,0)),"sin_clasificar"))</f>
        <v/>
      </c>
      <c r="V1026" s="24">
        <f>IF($I1026="","",IF(IFERROR(INDEX('CAT_TIPOS_OT'!$D$4:$D$23,MATCH($I1026,'CAT_TIPOS_OT'!$A$4:$A$23,0)),"SIN CLASIFICAR")="","SIN CLASIFICAR",IFERROR(INDEX('CAT_TIPOS_OT'!$D$4:$D$23,MATCH($I1026,'CAT_TIPOS_OT'!$A$4:$A$23,0)),"SIN CLASIFICAR")))</f>
        <v/>
      </c>
      <c r="W1026" s="24">
        <f>IF($H1026="","",IF(IFERROR(INDEX('CAT_ACTIVIDADES'!$F$4:$F$26,MATCH($H1026,'CAT_ACTIVIDADES'!$A$4:$A$26,0)),"")=0,"",IFERROR(INDEX('CAT_ACTIVIDADES'!$F$4:$F$26,MATCH($H1026,'CAT_ACTIVIDADES'!$A$4:$A$26,0)),"")))</f>
        <v/>
      </c>
      <c r="X1026" s="24">
        <f>IF($F1026="","",IFERROR(INDEX('CAT_CENTROS_COSTO'!$F$4:$F$28,MATCH($F1026,'CAT_CENTROS_COSTO'!$A$4:$A$28,0)),"(sin catálogo)"))</f>
        <v/>
      </c>
      <c r="Y1026" s="24">
        <f>IF($F1026="","",IFERROR(INDEX('CAT_CENTROS_COSTO'!$D$4:$D$28,MATCH($F1026,'CAT_CENTROS_COSTO'!$A$4:$A$28,0)),"(sin catálogo)"))</f>
        <v/>
      </c>
      <c r="Z1026" s="24">
        <f>IF($F1026="","",IF((IFERROR(INDEX('CAT_CENTROS_COSTO'!$E$4:$E$28,MATCH($F1026,'CAT_CENTROS_COSTO'!$A$4:$A$28,0)),""))&lt;&gt;"",IFERROR(INDEX('CAT_CENTROS_COSTO'!$E$4:$E$28,MATCH($F1026,'CAT_CENTROS_COSTO'!$A$4:$A$28,0)),""),$Y1026))</f>
        <v/>
      </c>
      <c r="AA1026" s="24">
        <f>IF($F1026="","",IFERROR(INDEX('CAT_CENTROS_COSTO'!$G$4:$G$28,MATCH($F1026,'CAT_CENTROS_COSTO'!$A$4:$A$28,0)),"(sin catálogo)"))</f>
        <v/>
      </c>
      <c r="AB1026" s="24">
        <f>IF($G1026="","",IFERROR(INDEX('CAT_PUESTOS'!$B$4:$B$23,MATCH($G1026,'CAT_PUESTOS'!$A$4:$A$23,0)),"(sin catálogo)"))</f>
        <v/>
      </c>
      <c r="AC1026" s="24">
        <f>IF($H1026="","",IFERROR(INDEX('CAT_ACTIVIDADES'!$B$4:$B$26,MATCH($H1026,'CAT_ACTIVIDADES'!$A$4:$A$26,0)),"(sin catálogo)"))</f>
        <v/>
      </c>
      <c r="AD1026" s="26">
        <f>IF($J1026="","",TODAY()-$J1026)</f>
        <v/>
      </c>
      <c r="AE1026" s="26">
        <f>IF($J1026="","",IF($J1026&lt;=TODAY(),COUNTIFS(cal_fechas,"&gt;="&amp;$J1026,cal_fechas,"&lt;"&amp;TODAY(),cal_habil,"sí"),-COUNTIFS(cal_fechas,"&gt;="&amp;TODAY(),cal_fechas,"&lt;"&amp;$J1026,cal_habil,"sí")))</f>
        <v/>
      </c>
      <c r="AF1026" s="24">
        <f>IF($AE1026="","",IF($AE1026&lt;0,"FUTURO",IF($AE1026&gt;p_dias_backlog_max,"BACKLOG","MES CORRIENTE")))</f>
        <v/>
      </c>
      <c r="AG1026" s="24">
        <f>IF($AE1026="",FALSE,AND($AE1026&gt;p_dias_backlog_min,$AE1026&lt;=p_dias_backlog_max))</f>
        <v/>
      </c>
      <c r="AH1026" s="4" t="n"/>
      <c r="AI1026" s="24">
        <f>IF($AH1026="","",IF((IFERROR(INDEX('ASIGNACIONES'!$J$4:$J$451,MATCH($O1026&amp;"|"&amp;$S1026&amp;"|"&amp;$AH1026,'ASIGNACIONES'!$N$4:$N$451,0)),""))=0,"",IFERROR(INDEX('ASIGNACIONES'!$J$4:$J$451,MATCH($O1026&amp;"|"&amp;$S1026&amp;"|"&amp;$AH1026,'ASIGNACIONES'!$N$4:$N$451,0)),"")))</f>
        <v/>
      </c>
      <c r="AJ1026" s="42">
        <f>IF($AH1026="","",SUMIFS('ORDENES'!$M$4:$M$1203,'ORDENES'!$AH$4:$AH$1203,$AH1026,'ORDENES'!$O$4:$O$1203,$O1026,'ORDENES'!$S$4:$S$1203,$S1026))</f>
        <v/>
      </c>
      <c r="AK1026" s="42">
        <f>IF($AJ1026="","",p_factor_productividad*IFERROR(INDEX('ASIGNACIONES'!$M$4:$M$451,MATCH($O1026&amp;"|"&amp;$S1026&amp;"|"&amp;$AH1026,'ASIGNACIONES'!$N$4:$N$451,0)),0)-$AJ1026)</f>
        <v/>
      </c>
      <c r="AL1026" s="32">
        <f>IF($A1026="","",IFERROR(INDEX('2_IMPORTAR_EJECUCION'!$F$9:$F$1208,MATCH($AU1026,'2_IMPORTAR_EJECUCION'!$J$9:$J$1208,0)),0))</f>
        <v/>
      </c>
      <c r="AM1026" s="32">
        <f>IF($A1026="","",MAX(0,IFERROR(INDEX('2_IMPORTAR_EJECUCION'!$H$9:$H$1208,MATCH($AU1026,'2_IMPORTAR_EJECUCION'!$J$9:$J$1208,0)),0)-$AL1026))</f>
        <v/>
      </c>
      <c r="AN1026" s="32">
        <f>IF($A1026="","",$AL1026+$AM1026)</f>
        <v/>
      </c>
      <c r="AO1026" s="24">
        <f>IF($A1026="","",IF(OR((IFERROR(INDEX('CAT_ACTIVIDADES'!$D$4:$D$26,MATCH($H1026,'CAT_ACTIVIDADES'!$A$4:$A$26,0)),""))=0,(IFERROR(INDEX('CAT_ACTIVIDADES'!$D$4:$D$26,MATCH($H1026,'CAT_ACTIVIDADES'!$A$4:$A$26,0)),""))=""),"SIN CLASIFICAR",IFERROR(INDEX('CAT_ACTIVIDADES'!$D$4:$D$26,MATCH($H1026,'CAT_ACTIVIDADES'!$A$4:$A$26,0)),"")))</f>
        <v/>
      </c>
      <c r="AP1026" s="4" t="n"/>
      <c r="AQ1026" s="4" t="n"/>
      <c r="AR1026" s="4" t="n"/>
      <c r="AS1026" s="24">
        <f>IF($AR1026="","",HYPERLINK(p_ruta_base_checklists&amp;$AR1026,"abrir"))</f>
        <v/>
      </c>
      <c r="AT1026" s="4" t="n"/>
      <c r="AU1026" s="24">
        <f>IF($A1026="","",$A1026&amp;IF($B1026="","0010",$B1026))</f>
        <v/>
      </c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41" t="n"/>
      <c r="K1027" s="5" t="n"/>
      <c r="L1027" s="18" t="n"/>
      <c r="M1027" s="24">
        <f>IF($A1027="","",IFERROR(INDEX('AJUSTES'!$B$4:$B$303,MATCH($AU1027,'AJUSTES'!$A$4:$A$303,0)),IF($K1027="","",$K1027)))</f>
        <v/>
      </c>
      <c r="N1027" s="24">
        <f>IF($A1027="","",IFERROR(INDEX('CAT_ESTADOS_ERP'!$B$4:$B$22,MATCH(IFERROR(INDEX('2_IMPORTAR_EJECUCION'!$C$9:$C$1208,MATCH($AU1027,'2_IMPORTAR_EJECUCION'!$J$9:$J$1208,0)),""),'CAT_ESTADOS_ERP'!$A$4:$A$22,0)),"Pendiente"))</f>
        <v/>
      </c>
      <c r="O1027" s="24">
        <f>IF($J1027="","",YEAR($J1027+4-WEEKDAY($J1027,2))&amp;"-S"&amp;TEXT(_xlfn.ISOWEEKNUM($J1027),"00"))</f>
        <v/>
      </c>
      <c r="P1027" s="24">
        <f>IF($J1027="","",YEAR($J1027))</f>
        <v/>
      </c>
      <c r="Q1027" s="24">
        <f>IF($J1027="","",MONTH($J1027))</f>
        <v/>
      </c>
      <c r="R1027" s="24">
        <f>IF($J1027="","",$P1027&amp;"-"&amp;TEXT($Q1027,"00"))</f>
        <v/>
      </c>
      <c r="S1027" s="24">
        <f>IF($J1027="","",INDEX(lista_dias,WEEKDAY($J1027,2)))</f>
        <v/>
      </c>
      <c r="T1027" s="24">
        <f>IF($J1027="","",IFERROR(INDEX('CALENDARIO'!$C$15:$C$214,MATCH(TEXT($J1027,"yyyy-mm-dd")&amp;"|"&amp;$Y1027&amp;"|"&amp;$Z1027,'CALENDARIO'!$G$15:$G$214,0)),IFERROR(INDEX('CALENDARIO'!$C$15:$C$214,MATCH(TEXT($J1027,"yyyy-mm-dd")&amp;"|"&amp;$Y1027&amp;"|",'CALENDARIO'!$G$15:$G$214,0)),IFERROR(INDEX('CALENDARIO'!$C$15:$C$214,MATCH(TEXT($J1027,"yyyy-mm-dd")&amp;"||",'CALENDARIO'!$G$15:$G$214,0)),INDEX(patronHabil,WEEKDAY($J1027,2))))))</f>
        <v/>
      </c>
      <c r="U1027" s="24">
        <f>IF($I1027="","",IFERROR(INDEX('CAT_TIPOS_OT'!$C$4:$C$23,MATCH($I1027,'CAT_TIPOS_OT'!$A$4:$A$23,0)),"sin_clasificar"))</f>
        <v/>
      </c>
      <c r="V1027" s="24">
        <f>IF($I1027="","",IF(IFERROR(INDEX('CAT_TIPOS_OT'!$D$4:$D$23,MATCH($I1027,'CAT_TIPOS_OT'!$A$4:$A$23,0)),"SIN CLASIFICAR")="","SIN CLASIFICAR",IFERROR(INDEX('CAT_TIPOS_OT'!$D$4:$D$23,MATCH($I1027,'CAT_TIPOS_OT'!$A$4:$A$23,0)),"SIN CLASIFICAR")))</f>
        <v/>
      </c>
      <c r="W1027" s="24">
        <f>IF($H1027="","",IF(IFERROR(INDEX('CAT_ACTIVIDADES'!$F$4:$F$26,MATCH($H1027,'CAT_ACTIVIDADES'!$A$4:$A$26,0)),"")=0,"",IFERROR(INDEX('CAT_ACTIVIDADES'!$F$4:$F$26,MATCH($H1027,'CAT_ACTIVIDADES'!$A$4:$A$26,0)),"")))</f>
        <v/>
      </c>
      <c r="X1027" s="24">
        <f>IF($F1027="","",IFERROR(INDEX('CAT_CENTROS_COSTO'!$F$4:$F$28,MATCH($F1027,'CAT_CENTROS_COSTO'!$A$4:$A$28,0)),"(sin catálogo)"))</f>
        <v/>
      </c>
      <c r="Y1027" s="24">
        <f>IF($F1027="","",IFERROR(INDEX('CAT_CENTROS_COSTO'!$D$4:$D$28,MATCH($F1027,'CAT_CENTROS_COSTO'!$A$4:$A$28,0)),"(sin catálogo)"))</f>
        <v/>
      </c>
      <c r="Z1027" s="24">
        <f>IF($F1027="","",IF((IFERROR(INDEX('CAT_CENTROS_COSTO'!$E$4:$E$28,MATCH($F1027,'CAT_CENTROS_COSTO'!$A$4:$A$28,0)),""))&lt;&gt;"",IFERROR(INDEX('CAT_CENTROS_COSTO'!$E$4:$E$28,MATCH($F1027,'CAT_CENTROS_COSTO'!$A$4:$A$28,0)),""),$Y1027))</f>
        <v/>
      </c>
      <c r="AA1027" s="24">
        <f>IF($F1027="","",IFERROR(INDEX('CAT_CENTROS_COSTO'!$G$4:$G$28,MATCH($F1027,'CAT_CENTROS_COSTO'!$A$4:$A$28,0)),"(sin catálogo)"))</f>
        <v/>
      </c>
      <c r="AB1027" s="24">
        <f>IF($G1027="","",IFERROR(INDEX('CAT_PUESTOS'!$B$4:$B$23,MATCH($G1027,'CAT_PUESTOS'!$A$4:$A$23,0)),"(sin catálogo)"))</f>
        <v/>
      </c>
      <c r="AC1027" s="24">
        <f>IF($H1027="","",IFERROR(INDEX('CAT_ACTIVIDADES'!$B$4:$B$26,MATCH($H1027,'CAT_ACTIVIDADES'!$A$4:$A$26,0)),"(sin catálogo)"))</f>
        <v/>
      </c>
      <c r="AD1027" s="26">
        <f>IF($J1027="","",TODAY()-$J1027)</f>
        <v/>
      </c>
      <c r="AE1027" s="26">
        <f>IF($J1027="","",IF($J1027&lt;=TODAY(),COUNTIFS(cal_fechas,"&gt;="&amp;$J1027,cal_fechas,"&lt;"&amp;TODAY(),cal_habil,"sí"),-COUNTIFS(cal_fechas,"&gt;="&amp;TODAY(),cal_fechas,"&lt;"&amp;$J1027,cal_habil,"sí")))</f>
        <v/>
      </c>
      <c r="AF1027" s="24">
        <f>IF($AE1027="","",IF($AE1027&lt;0,"FUTURO",IF($AE1027&gt;p_dias_backlog_max,"BACKLOG","MES CORRIENTE")))</f>
        <v/>
      </c>
      <c r="AG1027" s="24">
        <f>IF($AE1027="",FALSE,AND($AE1027&gt;p_dias_backlog_min,$AE1027&lt;=p_dias_backlog_max))</f>
        <v/>
      </c>
      <c r="AH1027" s="4" t="n"/>
      <c r="AI1027" s="24">
        <f>IF($AH1027="","",IF((IFERROR(INDEX('ASIGNACIONES'!$J$4:$J$451,MATCH($O1027&amp;"|"&amp;$S1027&amp;"|"&amp;$AH1027,'ASIGNACIONES'!$N$4:$N$451,0)),""))=0,"",IFERROR(INDEX('ASIGNACIONES'!$J$4:$J$451,MATCH($O1027&amp;"|"&amp;$S1027&amp;"|"&amp;$AH1027,'ASIGNACIONES'!$N$4:$N$451,0)),"")))</f>
        <v/>
      </c>
      <c r="AJ1027" s="42">
        <f>IF($AH1027="","",SUMIFS('ORDENES'!$M$4:$M$1203,'ORDENES'!$AH$4:$AH$1203,$AH1027,'ORDENES'!$O$4:$O$1203,$O1027,'ORDENES'!$S$4:$S$1203,$S1027))</f>
        <v/>
      </c>
      <c r="AK1027" s="42">
        <f>IF($AJ1027="","",p_factor_productividad*IFERROR(INDEX('ASIGNACIONES'!$M$4:$M$451,MATCH($O1027&amp;"|"&amp;$S1027&amp;"|"&amp;$AH1027,'ASIGNACIONES'!$N$4:$N$451,0)),0)-$AJ1027)</f>
        <v/>
      </c>
      <c r="AL1027" s="32">
        <f>IF($A1027="","",IFERROR(INDEX('2_IMPORTAR_EJECUCION'!$F$9:$F$1208,MATCH($AU1027,'2_IMPORTAR_EJECUCION'!$J$9:$J$1208,0)),0))</f>
        <v/>
      </c>
      <c r="AM1027" s="32">
        <f>IF($A1027="","",MAX(0,IFERROR(INDEX('2_IMPORTAR_EJECUCION'!$H$9:$H$1208,MATCH($AU1027,'2_IMPORTAR_EJECUCION'!$J$9:$J$1208,0)),0)-$AL1027))</f>
        <v/>
      </c>
      <c r="AN1027" s="32">
        <f>IF($A1027="","",$AL1027+$AM1027)</f>
        <v/>
      </c>
      <c r="AO1027" s="24">
        <f>IF($A1027="","",IF(OR((IFERROR(INDEX('CAT_ACTIVIDADES'!$D$4:$D$26,MATCH($H1027,'CAT_ACTIVIDADES'!$A$4:$A$26,0)),""))=0,(IFERROR(INDEX('CAT_ACTIVIDADES'!$D$4:$D$26,MATCH($H1027,'CAT_ACTIVIDADES'!$A$4:$A$26,0)),""))=""),"SIN CLASIFICAR",IFERROR(INDEX('CAT_ACTIVIDADES'!$D$4:$D$26,MATCH($H1027,'CAT_ACTIVIDADES'!$A$4:$A$26,0)),"")))</f>
        <v/>
      </c>
      <c r="AP1027" s="4" t="n"/>
      <c r="AQ1027" s="4" t="n"/>
      <c r="AR1027" s="4" t="n"/>
      <c r="AS1027" s="24">
        <f>IF($AR1027="","",HYPERLINK(p_ruta_base_checklists&amp;$AR1027,"abrir"))</f>
        <v/>
      </c>
      <c r="AT1027" s="4" t="n"/>
      <c r="AU1027" s="24">
        <f>IF($A1027="","",$A1027&amp;IF($B1027="","0010",$B1027))</f>
        <v/>
      </c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41" t="n"/>
      <c r="K1028" s="5" t="n"/>
      <c r="L1028" s="18" t="n"/>
      <c r="M1028" s="24">
        <f>IF($A1028="","",IFERROR(INDEX('AJUSTES'!$B$4:$B$303,MATCH($AU1028,'AJUSTES'!$A$4:$A$303,0)),IF($K1028="","",$K1028)))</f>
        <v/>
      </c>
      <c r="N1028" s="24">
        <f>IF($A1028="","",IFERROR(INDEX('CAT_ESTADOS_ERP'!$B$4:$B$22,MATCH(IFERROR(INDEX('2_IMPORTAR_EJECUCION'!$C$9:$C$1208,MATCH($AU1028,'2_IMPORTAR_EJECUCION'!$J$9:$J$1208,0)),""),'CAT_ESTADOS_ERP'!$A$4:$A$22,0)),"Pendiente"))</f>
        <v/>
      </c>
      <c r="O1028" s="24">
        <f>IF($J1028="","",YEAR($J1028+4-WEEKDAY($J1028,2))&amp;"-S"&amp;TEXT(_xlfn.ISOWEEKNUM($J1028),"00"))</f>
        <v/>
      </c>
      <c r="P1028" s="24">
        <f>IF($J1028="","",YEAR($J1028))</f>
        <v/>
      </c>
      <c r="Q1028" s="24">
        <f>IF($J1028="","",MONTH($J1028))</f>
        <v/>
      </c>
      <c r="R1028" s="24">
        <f>IF($J1028="","",$P1028&amp;"-"&amp;TEXT($Q1028,"00"))</f>
        <v/>
      </c>
      <c r="S1028" s="24">
        <f>IF($J1028="","",INDEX(lista_dias,WEEKDAY($J1028,2)))</f>
        <v/>
      </c>
      <c r="T1028" s="24">
        <f>IF($J1028="","",IFERROR(INDEX('CALENDARIO'!$C$15:$C$214,MATCH(TEXT($J1028,"yyyy-mm-dd")&amp;"|"&amp;$Y1028&amp;"|"&amp;$Z1028,'CALENDARIO'!$G$15:$G$214,0)),IFERROR(INDEX('CALENDARIO'!$C$15:$C$214,MATCH(TEXT($J1028,"yyyy-mm-dd")&amp;"|"&amp;$Y1028&amp;"|",'CALENDARIO'!$G$15:$G$214,0)),IFERROR(INDEX('CALENDARIO'!$C$15:$C$214,MATCH(TEXT($J1028,"yyyy-mm-dd")&amp;"||",'CALENDARIO'!$G$15:$G$214,0)),INDEX(patronHabil,WEEKDAY($J1028,2))))))</f>
        <v/>
      </c>
      <c r="U1028" s="24">
        <f>IF($I1028="","",IFERROR(INDEX('CAT_TIPOS_OT'!$C$4:$C$23,MATCH($I1028,'CAT_TIPOS_OT'!$A$4:$A$23,0)),"sin_clasificar"))</f>
        <v/>
      </c>
      <c r="V1028" s="24">
        <f>IF($I1028="","",IF(IFERROR(INDEX('CAT_TIPOS_OT'!$D$4:$D$23,MATCH($I1028,'CAT_TIPOS_OT'!$A$4:$A$23,0)),"SIN CLASIFICAR")="","SIN CLASIFICAR",IFERROR(INDEX('CAT_TIPOS_OT'!$D$4:$D$23,MATCH($I1028,'CAT_TIPOS_OT'!$A$4:$A$23,0)),"SIN CLASIFICAR")))</f>
        <v/>
      </c>
      <c r="W1028" s="24">
        <f>IF($H1028="","",IF(IFERROR(INDEX('CAT_ACTIVIDADES'!$F$4:$F$26,MATCH($H1028,'CAT_ACTIVIDADES'!$A$4:$A$26,0)),"")=0,"",IFERROR(INDEX('CAT_ACTIVIDADES'!$F$4:$F$26,MATCH($H1028,'CAT_ACTIVIDADES'!$A$4:$A$26,0)),"")))</f>
        <v/>
      </c>
      <c r="X1028" s="24">
        <f>IF($F1028="","",IFERROR(INDEX('CAT_CENTROS_COSTO'!$F$4:$F$28,MATCH($F1028,'CAT_CENTROS_COSTO'!$A$4:$A$28,0)),"(sin catálogo)"))</f>
        <v/>
      </c>
      <c r="Y1028" s="24">
        <f>IF($F1028="","",IFERROR(INDEX('CAT_CENTROS_COSTO'!$D$4:$D$28,MATCH($F1028,'CAT_CENTROS_COSTO'!$A$4:$A$28,0)),"(sin catálogo)"))</f>
        <v/>
      </c>
      <c r="Z1028" s="24">
        <f>IF($F1028="","",IF((IFERROR(INDEX('CAT_CENTROS_COSTO'!$E$4:$E$28,MATCH($F1028,'CAT_CENTROS_COSTO'!$A$4:$A$28,0)),""))&lt;&gt;"",IFERROR(INDEX('CAT_CENTROS_COSTO'!$E$4:$E$28,MATCH($F1028,'CAT_CENTROS_COSTO'!$A$4:$A$28,0)),""),$Y1028))</f>
        <v/>
      </c>
      <c r="AA1028" s="24">
        <f>IF($F1028="","",IFERROR(INDEX('CAT_CENTROS_COSTO'!$G$4:$G$28,MATCH($F1028,'CAT_CENTROS_COSTO'!$A$4:$A$28,0)),"(sin catálogo)"))</f>
        <v/>
      </c>
      <c r="AB1028" s="24">
        <f>IF($G1028="","",IFERROR(INDEX('CAT_PUESTOS'!$B$4:$B$23,MATCH($G1028,'CAT_PUESTOS'!$A$4:$A$23,0)),"(sin catálogo)"))</f>
        <v/>
      </c>
      <c r="AC1028" s="24">
        <f>IF($H1028="","",IFERROR(INDEX('CAT_ACTIVIDADES'!$B$4:$B$26,MATCH($H1028,'CAT_ACTIVIDADES'!$A$4:$A$26,0)),"(sin catálogo)"))</f>
        <v/>
      </c>
      <c r="AD1028" s="26">
        <f>IF($J1028="","",TODAY()-$J1028)</f>
        <v/>
      </c>
      <c r="AE1028" s="26">
        <f>IF($J1028="","",IF($J1028&lt;=TODAY(),COUNTIFS(cal_fechas,"&gt;="&amp;$J1028,cal_fechas,"&lt;"&amp;TODAY(),cal_habil,"sí"),-COUNTIFS(cal_fechas,"&gt;="&amp;TODAY(),cal_fechas,"&lt;"&amp;$J1028,cal_habil,"sí")))</f>
        <v/>
      </c>
      <c r="AF1028" s="24">
        <f>IF($AE1028="","",IF($AE1028&lt;0,"FUTURO",IF($AE1028&gt;p_dias_backlog_max,"BACKLOG","MES CORRIENTE")))</f>
        <v/>
      </c>
      <c r="AG1028" s="24">
        <f>IF($AE1028="",FALSE,AND($AE1028&gt;p_dias_backlog_min,$AE1028&lt;=p_dias_backlog_max))</f>
        <v/>
      </c>
      <c r="AH1028" s="4" t="n"/>
      <c r="AI1028" s="24">
        <f>IF($AH1028="","",IF((IFERROR(INDEX('ASIGNACIONES'!$J$4:$J$451,MATCH($O1028&amp;"|"&amp;$S1028&amp;"|"&amp;$AH1028,'ASIGNACIONES'!$N$4:$N$451,0)),""))=0,"",IFERROR(INDEX('ASIGNACIONES'!$J$4:$J$451,MATCH($O1028&amp;"|"&amp;$S1028&amp;"|"&amp;$AH1028,'ASIGNACIONES'!$N$4:$N$451,0)),"")))</f>
        <v/>
      </c>
      <c r="AJ1028" s="42">
        <f>IF($AH1028="","",SUMIFS('ORDENES'!$M$4:$M$1203,'ORDENES'!$AH$4:$AH$1203,$AH1028,'ORDENES'!$O$4:$O$1203,$O1028,'ORDENES'!$S$4:$S$1203,$S1028))</f>
        <v/>
      </c>
      <c r="AK1028" s="42">
        <f>IF($AJ1028="","",p_factor_productividad*IFERROR(INDEX('ASIGNACIONES'!$M$4:$M$451,MATCH($O1028&amp;"|"&amp;$S1028&amp;"|"&amp;$AH1028,'ASIGNACIONES'!$N$4:$N$451,0)),0)-$AJ1028)</f>
        <v/>
      </c>
      <c r="AL1028" s="32">
        <f>IF($A1028="","",IFERROR(INDEX('2_IMPORTAR_EJECUCION'!$F$9:$F$1208,MATCH($AU1028,'2_IMPORTAR_EJECUCION'!$J$9:$J$1208,0)),0))</f>
        <v/>
      </c>
      <c r="AM1028" s="32">
        <f>IF($A1028="","",MAX(0,IFERROR(INDEX('2_IMPORTAR_EJECUCION'!$H$9:$H$1208,MATCH($AU1028,'2_IMPORTAR_EJECUCION'!$J$9:$J$1208,0)),0)-$AL1028))</f>
        <v/>
      </c>
      <c r="AN1028" s="32">
        <f>IF($A1028="","",$AL1028+$AM1028)</f>
        <v/>
      </c>
      <c r="AO1028" s="24">
        <f>IF($A1028="","",IF(OR((IFERROR(INDEX('CAT_ACTIVIDADES'!$D$4:$D$26,MATCH($H1028,'CAT_ACTIVIDADES'!$A$4:$A$26,0)),""))=0,(IFERROR(INDEX('CAT_ACTIVIDADES'!$D$4:$D$26,MATCH($H1028,'CAT_ACTIVIDADES'!$A$4:$A$26,0)),""))=""),"SIN CLASIFICAR",IFERROR(INDEX('CAT_ACTIVIDADES'!$D$4:$D$26,MATCH($H1028,'CAT_ACTIVIDADES'!$A$4:$A$26,0)),"")))</f>
        <v/>
      </c>
      <c r="AP1028" s="4" t="n"/>
      <c r="AQ1028" s="4" t="n"/>
      <c r="AR1028" s="4" t="n"/>
      <c r="AS1028" s="24">
        <f>IF($AR1028="","",HYPERLINK(p_ruta_base_checklists&amp;$AR1028,"abrir"))</f>
        <v/>
      </c>
      <c r="AT1028" s="4" t="n"/>
      <c r="AU1028" s="24">
        <f>IF($A1028="","",$A1028&amp;IF($B1028="","0010",$B1028))</f>
        <v/>
      </c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41" t="n"/>
      <c r="K1029" s="5" t="n"/>
      <c r="L1029" s="18" t="n"/>
      <c r="M1029" s="24">
        <f>IF($A1029="","",IFERROR(INDEX('AJUSTES'!$B$4:$B$303,MATCH($AU1029,'AJUSTES'!$A$4:$A$303,0)),IF($K1029="","",$K1029)))</f>
        <v/>
      </c>
      <c r="N1029" s="24">
        <f>IF($A1029="","",IFERROR(INDEX('CAT_ESTADOS_ERP'!$B$4:$B$22,MATCH(IFERROR(INDEX('2_IMPORTAR_EJECUCION'!$C$9:$C$1208,MATCH($AU1029,'2_IMPORTAR_EJECUCION'!$J$9:$J$1208,0)),""),'CAT_ESTADOS_ERP'!$A$4:$A$22,0)),"Pendiente"))</f>
        <v/>
      </c>
      <c r="O1029" s="24">
        <f>IF($J1029="","",YEAR($J1029+4-WEEKDAY($J1029,2))&amp;"-S"&amp;TEXT(_xlfn.ISOWEEKNUM($J1029),"00"))</f>
        <v/>
      </c>
      <c r="P1029" s="24">
        <f>IF($J1029="","",YEAR($J1029))</f>
        <v/>
      </c>
      <c r="Q1029" s="24">
        <f>IF($J1029="","",MONTH($J1029))</f>
        <v/>
      </c>
      <c r="R1029" s="24">
        <f>IF($J1029="","",$P1029&amp;"-"&amp;TEXT($Q1029,"00"))</f>
        <v/>
      </c>
      <c r="S1029" s="24">
        <f>IF($J1029="","",INDEX(lista_dias,WEEKDAY($J1029,2)))</f>
        <v/>
      </c>
      <c r="T1029" s="24">
        <f>IF($J1029="","",IFERROR(INDEX('CALENDARIO'!$C$15:$C$214,MATCH(TEXT($J1029,"yyyy-mm-dd")&amp;"|"&amp;$Y1029&amp;"|"&amp;$Z1029,'CALENDARIO'!$G$15:$G$214,0)),IFERROR(INDEX('CALENDARIO'!$C$15:$C$214,MATCH(TEXT($J1029,"yyyy-mm-dd")&amp;"|"&amp;$Y1029&amp;"|",'CALENDARIO'!$G$15:$G$214,0)),IFERROR(INDEX('CALENDARIO'!$C$15:$C$214,MATCH(TEXT($J1029,"yyyy-mm-dd")&amp;"||",'CALENDARIO'!$G$15:$G$214,0)),INDEX(patronHabil,WEEKDAY($J1029,2))))))</f>
        <v/>
      </c>
      <c r="U1029" s="24">
        <f>IF($I1029="","",IFERROR(INDEX('CAT_TIPOS_OT'!$C$4:$C$23,MATCH($I1029,'CAT_TIPOS_OT'!$A$4:$A$23,0)),"sin_clasificar"))</f>
        <v/>
      </c>
      <c r="V1029" s="24">
        <f>IF($I1029="","",IF(IFERROR(INDEX('CAT_TIPOS_OT'!$D$4:$D$23,MATCH($I1029,'CAT_TIPOS_OT'!$A$4:$A$23,0)),"SIN CLASIFICAR")="","SIN CLASIFICAR",IFERROR(INDEX('CAT_TIPOS_OT'!$D$4:$D$23,MATCH($I1029,'CAT_TIPOS_OT'!$A$4:$A$23,0)),"SIN CLASIFICAR")))</f>
        <v/>
      </c>
      <c r="W1029" s="24">
        <f>IF($H1029="","",IF(IFERROR(INDEX('CAT_ACTIVIDADES'!$F$4:$F$26,MATCH($H1029,'CAT_ACTIVIDADES'!$A$4:$A$26,0)),"")=0,"",IFERROR(INDEX('CAT_ACTIVIDADES'!$F$4:$F$26,MATCH($H1029,'CAT_ACTIVIDADES'!$A$4:$A$26,0)),"")))</f>
        <v/>
      </c>
      <c r="X1029" s="24">
        <f>IF($F1029="","",IFERROR(INDEX('CAT_CENTROS_COSTO'!$F$4:$F$28,MATCH($F1029,'CAT_CENTROS_COSTO'!$A$4:$A$28,0)),"(sin catálogo)"))</f>
        <v/>
      </c>
      <c r="Y1029" s="24">
        <f>IF($F1029="","",IFERROR(INDEX('CAT_CENTROS_COSTO'!$D$4:$D$28,MATCH($F1029,'CAT_CENTROS_COSTO'!$A$4:$A$28,0)),"(sin catálogo)"))</f>
        <v/>
      </c>
      <c r="Z1029" s="24">
        <f>IF($F1029="","",IF((IFERROR(INDEX('CAT_CENTROS_COSTO'!$E$4:$E$28,MATCH($F1029,'CAT_CENTROS_COSTO'!$A$4:$A$28,0)),""))&lt;&gt;"",IFERROR(INDEX('CAT_CENTROS_COSTO'!$E$4:$E$28,MATCH($F1029,'CAT_CENTROS_COSTO'!$A$4:$A$28,0)),""),$Y1029))</f>
        <v/>
      </c>
      <c r="AA1029" s="24">
        <f>IF($F1029="","",IFERROR(INDEX('CAT_CENTROS_COSTO'!$G$4:$G$28,MATCH($F1029,'CAT_CENTROS_COSTO'!$A$4:$A$28,0)),"(sin catálogo)"))</f>
        <v/>
      </c>
      <c r="AB1029" s="24">
        <f>IF($G1029="","",IFERROR(INDEX('CAT_PUESTOS'!$B$4:$B$23,MATCH($G1029,'CAT_PUESTOS'!$A$4:$A$23,0)),"(sin catálogo)"))</f>
        <v/>
      </c>
      <c r="AC1029" s="24">
        <f>IF($H1029="","",IFERROR(INDEX('CAT_ACTIVIDADES'!$B$4:$B$26,MATCH($H1029,'CAT_ACTIVIDADES'!$A$4:$A$26,0)),"(sin catálogo)"))</f>
        <v/>
      </c>
      <c r="AD1029" s="26">
        <f>IF($J1029="","",TODAY()-$J1029)</f>
        <v/>
      </c>
      <c r="AE1029" s="26">
        <f>IF($J1029="","",IF($J1029&lt;=TODAY(),COUNTIFS(cal_fechas,"&gt;="&amp;$J1029,cal_fechas,"&lt;"&amp;TODAY(),cal_habil,"sí"),-COUNTIFS(cal_fechas,"&gt;="&amp;TODAY(),cal_fechas,"&lt;"&amp;$J1029,cal_habil,"sí")))</f>
        <v/>
      </c>
      <c r="AF1029" s="24">
        <f>IF($AE1029="","",IF($AE1029&lt;0,"FUTURO",IF($AE1029&gt;p_dias_backlog_max,"BACKLOG","MES CORRIENTE")))</f>
        <v/>
      </c>
      <c r="AG1029" s="24">
        <f>IF($AE1029="",FALSE,AND($AE1029&gt;p_dias_backlog_min,$AE1029&lt;=p_dias_backlog_max))</f>
        <v/>
      </c>
      <c r="AH1029" s="4" t="n"/>
      <c r="AI1029" s="24">
        <f>IF($AH1029="","",IF((IFERROR(INDEX('ASIGNACIONES'!$J$4:$J$451,MATCH($O1029&amp;"|"&amp;$S1029&amp;"|"&amp;$AH1029,'ASIGNACIONES'!$N$4:$N$451,0)),""))=0,"",IFERROR(INDEX('ASIGNACIONES'!$J$4:$J$451,MATCH($O1029&amp;"|"&amp;$S1029&amp;"|"&amp;$AH1029,'ASIGNACIONES'!$N$4:$N$451,0)),"")))</f>
        <v/>
      </c>
      <c r="AJ1029" s="42">
        <f>IF($AH1029="","",SUMIFS('ORDENES'!$M$4:$M$1203,'ORDENES'!$AH$4:$AH$1203,$AH1029,'ORDENES'!$O$4:$O$1203,$O1029,'ORDENES'!$S$4:$S$1203,$S1029))</f>
        <v/>
      </c>
      <c r="AK1029" s="42">
        <f>IF($AJ1029="","",p_factor_productividad*IFERROR(INDEX('ASIGNACIONES'!$M$4:$M$451,MATCH($O1029&amp;"|"&amp;$S1029&amp;"|"&amp;$AH1029,'ASIGNACIONES'!$N$4:$N$451,0)),0)-$AJ1029)</f>
        <v/>
      </c>
      <c r="AL1029" s="32">
        <f>IF($A1029="","",IFERROR(INDEX('2_IMPORTAR_EJECUCION'!$F$9:$F$1208,MATCH($AU1029,'2_IMPORTAR_EJECUCION'!$J$9:$J$1208,0)),0))</f>
        <v/>
      </c>
      <c r="AM1029" s="32">
        <f>IF($A1029="","",MAX(0,IFERROR(INDEX('2_IMPORTAR_EJECUCION'!$H$9:$H$1208,MATCH($AU1029,'2_IMPORTAR_EJECUCION'!$J$9:$J$1208,0)),0)-$AL1029))</f>
        <v/>
      </c>
      <c r="AN1029" s="32">
        <f>IF($A1029="","",$AL1029+$AM1029)</f>
        <v/>
      </c>
      <c r="AO1029" s="24">
        <f>IF($A1029="","",IF(OR((IFERROR(INDEX('CAT_ACTIVIDADES'!$D$4:$D$26,MATCH($H1029,'CAT_ACTIVIDADES'!$A$4:$A$26,0)),""))=0,(IFERROR(INDEX('CAT_ACTIVIDADES'!$D$4:$D$26,MATCH($H1029,'CAT_ACTIVIDADES'!$A$4:$A$26,0)),""))=""),"SIN CLASIFICAR",IFERROR(INDEX('CAT_ACTIVIDADES'!$D$4:$D$26,MATCH($H1029,'CAT_ACTIVIDADES'!$A$4:$A$26,0)),"")))</f>
        <v/>
      </c>
      <c r="AP1029" s="4" t="n"/>
      <c r="AQ1029" s="4" t="n"/>
      <c r="AR1029" s="4" t="n"/>
      <c r="AS1029" s="24">
        <f>IF($AR1029="","",HYPERLINK(p_ruta_base_checklists&amp;$AR1029,"abrir"))</f>
        <v/>
      </c>
      <c r="AT1029" s="4" t="n"/>
      <c r="AU1029" s="24">
        <f>IF($A1029="","",$A1029&amp;IF($B1029="","0010",$B1029))</f>
        <v/>
      </c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41" t="n"/>
      <c r="K1030" s="5" t="n"/>
      <c r="L1030" s="18" t="n"/>
      <c r="M1030" s="24">
        <f>IF($A1030="","",IFERROR(INDEX('AJUSTES'!$B$4:$B$303,MATCH($AU1030,'AJUSTES'!$A$4:$A$303,0)),IF($K1030="","",$K1030)))</f>
        <v/>
      </c>
      <c r="N1030" s="24">
        <f>IF($A1030="","",IFERROR(INDEX('CAT_ESTADOS_ERP'!$B$4:$B$22,MATCH(IFERROR(INDEX('2_IMPORTAR_EJECUCION'!$C$9:$C$1208,MATCH($AU1030,'2_IMPORTAR_EJECUCION'!$J$9:$J$1208,0)),""),'CAT_ESTADOS_ERP'!$A$4:$A$22,0)),"Pendiente"))</f>
        <v/>
      </c>
      <c r="O1030" s="24">
        <f>IF($J1030="","",YEAR($J1030+4-WEEKDAY($J1030,2))&amp;"-S"&amp;TEXT(_xlfn.ISOWEEKNUM($J1030),"00"))</f>
        <v/>
      </c>
      <c r="P1030" s="24">
        <f>IF($J1030="","",YEAR($J1030))</f>
        <v/>
      </c>
      <c r="Q1030" s="24">
        <f>IF($J1030="","",MONTH($J1030))</f>
        <v/>
      </c>
      <c r="R1030" s="24">
        <f>IF($J1030="","",$P1030&amp;"-"&amp;TEXT($Q1030,"00"))</f>
        <v/>
      </c>
      <c r="S1030" s="24">
        <f>IF($J1030="","",INDEX(lista_dias,WEEKDAY($J1030,2)))</f>
        <v/>
      </c>
      <c r="T1030" s="24">
        <f>IF($J1030="","",IFERROR(INDEX('CALENDARIO'!$C$15:$C$214,MATCH(TEXT($J1030,"yyyy-mm-dd")&amp;"|"&amp;$Y1030&amp;"|"&amp;$Z1030,'CALENDARIO'!$G$15:$G$214,0)),IFERROR(INDEX('CALENDARIO'!$C$15:$C$214,MATCH(TEXT($J1030,"yyyy-mm-dd")&amp;"|"&amp;$Y1030&amp;"|",'CALENDARIO'!$G$15:$G$214,0)),IFERROR(INDEX('CALENDARIO'!$C$15:$C$214,MATCH(TEXT($J1030,"yyyy-mm-dd")&amp;"||",'CALENDARIO'!$G$15:$G$214,0)),INDEX(patronHabil,WEEKDAY($J1030,2))))))</f>
        <v/>
      </c>
      <c r="U1030" s="24">
        <f>IF($I1030="","",IFERROR(INDEX('CAT_TIPOS_OT'!$C$4:$C$23,MATCH($I1030,'CAT_TIPOS_OT'!$A$4:$A$23,0)),"sin_clasificar"))</f>
        <v/>
      </c>
      <c r="V1030" s="24">
        <f>IF($I1030="","",IF(IFERROR(INDEX('CAT_TIPOS_OT'!$D$4:$D$23,MATCH($I1030,'CAT_TIPOS_OT'!$A$4:$A$23,0)),"SIN CLASIFICAR")="","SIN CLASIFICAR",IFERROR(INDEX('CAT_TIPOS_OT'!$D$4:$D$23,MATCH($I1030,'CAT_TIPOS_OT'!$A$4:$A$23,0)),"SIN CLASIFICAR")))</f>
        <v/>
      </c>
      <c r="W1030" s="24">
        <f>IF($H1030="","",IF(IFERROR(INDEX('CAT_ACTIVIDADES'!$F$4:$F$26,MATCH($H1030,'CAT_ACTIVIDADES'!$A$4:$A$26,0)),"")=0,"",IFERROR(INDEX('CAT_ACTIVIDADES'!$F$4:$F$26,MATCH($H1030,'CAT_ACTIVIDADES'!$A$4:$A$26,0)),"")))</f>
        <v/>
      </c>
      <c r="X1030" s="24">
        <f>IF($F1030="","",IFERROR(INDEX('CAT_CENTROS_COSTO'!$F$4:$F$28,MATCH($F1030,'CAT_CENTROS_COSTO'!$A$4:$A$28,0)),"(sin catálogo)"))</f>
        <v/>
      </c>
      <c r="Y1030" s="24">
        <f>IF($F1030="","",IFERROR(INDEX('CAT_CENTROS_COSTO'!$D$4:$D$28,MATCH($F1030,'CAT_CENTROS_COSTO'!$A$4:$A$28,0)),"(sin catálogo)"))</f>
        <v/>
      </c>
      <c r="Z1030" s="24">
        <f>IF($F1030="","",IF((IFERROR(INDEX('CAT_CENTROS_COSTO'!$E$4:$E$28,MATCH($F1030,'CAT_CENTROS_COSTO'!$A$4:$A$28,0)),""))&lt;&gt;"",IFERROR(INDEX('CAT_CENTROS_COSTO'!$E$4:$E$28,MATCH($F1030,'CAT_CENTROS_COSTO'!$A$4:$A$28,0)),""),$Y1030))</f>
        <v/>
      </c>
      <c r="AA1030" s="24">
        <f>IF($F1030="","",IFERROR(INDEX('CAT_CENTROS_COSTO'!$G$4:$G$28,MATCH($F1030,'CAT_CENTROS_COSTO'!$A$4:$A$28,0)),"(sin catálogo)"))</f>
        <v/>
      </c>
      <c r="AB1030" s="24">
        <f>IF($G1030="","",IFERROR(INDEX('CAT_PUESTOS'!$B$4:$B$23,MATCH($G1030,'CAT_PUESTOS'!$A$4:$A$23,0)),"(sin catálogo)"))</f>
        <v/>
      </c>
      <c r="AC1030" s="24">
        <f>IF($H1030="","",IFERROR(INDEX('CAT_ACTIVIDADES'!$B$4:$B$26,MATCH($H1030,'CAT_ACTIVIDADES'!$A$4:$A$26,0)),"(sin catálogo)"))</f>
        <v/>
      </c>
      <c r="AD1030" s="26">
        <f>IF($J1030="","",TODAY()-$J1030)</f>
        <v/>
      </c>
      <c r="AE1030" s="26">
        <f>IF($J1030="","",IF($J1030&lt;=TODAY(),COUNTIFS(cal_fechas,"&gt;="&amp;$J1030,cal_fechas,"&lt;"&amp;TODAY(),cal_habil,"sí"),-COUNTIFS(cal_fechas,"&gt;="&amp;TODAY(),cal_fechas,"&lt;"&amp;$J1030,cal_habil,"sí")))</f>
        <v/>
      </c>
      <c r="AF1030" s="24">
        <f>IF($AE1030="","",IF($AE1030&lt;0,"FUTURO",IF($AE1030&gt;p_dias_backlog_max,"BACKLOG","MES CORRIENTE")))</f>
        <v/>
      </c>
      <c r="AG1030" s="24">
        <f>IF($AE1030="",FALSE,AND($AE1030&gt;p_dias_backlog_min,$AE1030&lt;=p_dias_backlog_max))</f>
        <v/>
      </c>
      <c r="AH1030" s="4" t="n"/>
      <c r="AI1030" s="24">
        <f>IF($AH1030="","",IF((IFERROR(INDEX('ASIGNACIONES'!$J$4:$J$451,MATCH($O1030&amp;"|"&amp;$S1030&amp;"|"&amp;$AH1030,'ASIGNACIONES'!$N$4:$N$451,0)),""))=0,"",IFERROR(INDEX('ASIGNACIONES'!$J$4:$J$451,MATCH($O1030&amp;"|"&amp;$S1030&amp;"|"&amp;$AH1030,'ASIGNACIONES'!$N$4:$N$451,0)),"")))</f>
        <v/>
      </c>
      <c r="AJ1030" s="42">
        <f>IF($AH1030="","",SUMIFS('ORDENES'!$M$4:$M$1203,'ORDENES'!$AH$4:$AH$1203,$AH1030,'ORDENES'!$O$4:$O$1203,$O1030,'ORDENES'!$S$4:$S$1203,$S1030))</f>
        <v/>
      </c>
      <c r="AK1030" s="42">
        <f>IF($AJ1030="","",p_factor_productividad*IFERROR(INDEX('ASIGNACIONES'!$M$4:$M$451,MATCH($O1030&amp;"|"&amp;$S1030&amp;"|"&amp;$AH1030,'ASIGNACIONES'!$N$4:$N$451,0)),0)-$AJ1030)</f>
        <v/>
      </c>
      <c r="AL1030" s="32">
        <f>IF($A1030="","",IFERROR(INDEX('2_IMPORTAR_EJECUCION'!$F$9:$F$1208,MATCH($AU1030,'2_IMPORTAR_EJECUCION'!$J$9:$J$1208,0)),0))</f>
        <v/>
      </c>
      <c r="AM1030" s="32">
        <f>IF($A1030="","",MAX(0,IFERROR(INDEX('2_IMPORTAR_EJECUCION'!$H$9:$H$1208,MATCH($AU1030,'2_IMPORTAR_EJECUCION'!$J$9:$J$1208,0)),0)-$AL1030))</f>
        <v/>
      </c>
      <c r="AN1030" s="32">
        <f>IF($A1030="","",$AL1030+$AM1030)</f>
        <v/>
      </c>
      <c r="AO1030" s="24">
        <f>IF($A1030="","",IF(OR((IFERROR(INDEX('CAT_ACTIVIDADES'!$D$4:$D$26,MATCH($H1030,'CAT_ACTIVIDADES'!$A$4:$A$26,0)),""))=0,(IFERROR(INDEX('CAT_ACTIVIDADES'!$D$4:$D$26,MATCH($H1030,'CAT_ACTIVIDADES'!$A$4:$A$26,0)),""))=""),"SIN CLASIFICAR",IFERROR(INDEX('CAT_ACTIVIDADES'!$D$4:$D$26,MATCH($H1030,'CAT_ACTIVIDADES'!$A$4:$A$26,0)),"")))</f>
        <v/>
      </c>
      <c r="AP1030" s="4" t="n"/>
      <c r="AQ1030" s="4" t="n"/>
      <c r="AR1030" s="4" t="n"/>
      <c r="AS1030" s="24">
        <f>IF($AR1030="","",HYPERLINK(p_ruta_base_checklists&amp;$AR1030,"abrir"))</f>
        <v/>
      </c>
      <c r="AT1030" s="4" t="n"/>
      <c r="AU1030" s="24">
        <f>IF($A1030="","",$A1030&amp;IF($B1030="","0010",$B1030))</f>
        <v/>
      </c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41" t="n"/>
      <c r="K1031" s="5" t="n"/>
      <c r="L1031" s="18" t="n"/>
      <c r="M1031" s="24">
        <f>IF($A1031="","",IFERROR(INDEX('AJUSTES'!$B$4:$B$303,MATCH($AU1031,'AJUSTES'!$A$4:$A$303,0)),IF($K1031="","",$K1031)))</f>
        <v/>
      </c>
      <c r="N1031" s="24">
        <f>IF($A1031="","",IFERROR(INDEX('CAT_ESTADOS_ERP'!$B$4:$B$22,MATCH(IFERROR(INDEX('2_IMPORTAR_EJECUCION'!$C$9:$C$1208,MATCH($AU1031,'2_IMPORTAR_EJECUCION'!$J$9:$J$1208,0)),""),'CAT_ESTADOS_ERP'!$A$4:$A$22,0)),"Pendiente"))</f>
        <v/>
      </c>
      <c r="O1031" s="24">
        <f>IF($J1031="","",YEAR($J1031+4-WEEKDAY($J1031,2))&amp;"-S"&amp;TEXT(_xlfn.ISOWEEKNUM($J1031),"00"))</f>
        <v/>
      </c>
      <c r="P1031" s="24">
        <f>IF($J1031="","",YEAR($J1031))</f>
        <v/>
      </c>
      <c r="Q1031" s="24">
        <f>IF($J1031="","",MONTH($J1031))</f>
        <v/>
      </c>
      <c r="R1031" s="24">
        <f>IF($J1031="","",$P1031&amp;"-"&amp;TEXT($Q1031,"00"))</f>
        <v/>
      </c>
      <c r="S1031" s="24">
        <f>IF($J1031="","",INDEX(lista_dias,WEEKDAY($J1031,2)))</f>
        <v/>
      </c>
      <c r="T1031" s="24">
        <f>IF($J1031="","",IFERROR(INDEX('CALENDARIO'!$C$15:$C$214,MATCH(TEXT($J1031,"yyyy-mm-dd")&amp;"|"&amp;$Y1031&amp;"|"&amp;$Z1031,'CALENDARIO'!$G$15:$G$214,0)),IFERROR(INDEX('CALENDARIO'!$C$15:$C$214,MATCH(TEXT($J1031,"yyyy-mm-dd")&amp;"|"&amp;$Y1031&amp;"|",'CALENDARIO'!$G$15:$G$214,0)),IFERROR(INDEX('CALENDARIO'!$C$15:$C$214,MATCH(TEXT($J1031,"yyyy-mm-dd")&amp;"||",'CALENDARIO'!$G$15:$G$214,0)),INDEX(patronHabil,WEEKDAY($J1031,2))))))</f>
        <v/>
      </c>
      <c r="U1031" s="24">
        <f>IF($I1031="","",IFERROR(INDEX('CAT_TIPOS_OT'!$C$4:$C$23,MATCH($I1031,'CAT_TIPOS_OT'!$A$4:$A$23,0)),"sin_clasificar"))</f>
        <v/>
      </c>
      <c r="V1031" s="24">
        <f>IF($I1031="","",IF(IFERROR(INDEX('CAT_TIPOS_OT'!$D$4:$D$23,MATCH($I1031,'CAT_TIPOS_OT'!$A$4:$A$23,0)),"SIN CLASIFICAR")="","SIN CLASIFICAR",IFERROR(INDEX('CAT_TIPOS_OT'!$D$4:$D$23,MATCH($I1031,'CAT_TIPOS_OT'!$A$4:$A$23,0)),"SIN CLASIFICAR")))</f>
        <v/>
      </c>
      <c r="W1031" s="24">
        <f>IF($H1031="","",IF(IFERROR(INDEX('CAT_ACTIVIDADES'!$F$4:$F$26,MATCH($H1031,'CAT_ACTIVIDADES'!$A$4:$A$26,0)),"")=0,"",IFERROR(INDEX('CAT_ACTIVIDADES'!$F$4:$F$26,MATCH($H1031,'CAT_ACTIVIDADES'!$A$4:$A$26,0)),"")))</f>
        <v/>
      </c>
      <c r="X1031" s="24">
        <f>IF($F1031="","",IFERROR(INDEX('CAT_CENTROS_COSTO'!$F$4:$F$28,MATCH($F1031,'CAT_CENTROS_COSTO'!$A$4:$A$28,0)),"(sin catálogo)"))</f>
        <v/>
      </c>
      <c r="Y1031" s="24">
        <f>IF($F1031="","",IFERROR(INDEX('CAT_CENTROS_COSTO'!$D$4:$D$28,MATCH($F1031,'CAT_CENTROS_COSTO'!$A$4:$A$28,0)),"(sin catálogo)"))</f>
        <v/>
      </c>
      <c r="Z1031" s="24">
        <f>IF($F1031="","",IF((IFERROR(INDEX('CAT_CENTROS_COSTO'!$E$4:$E$28,MATCH($F1031,'CAT_CENTROS_COSTO'!$A$4:$A$28,0)),""))&lt;&gt;"",IFERROR(INDEX('CAT_CENTROS_COSTO'!$E$4:$E$28,MATCH($F1031,'CAT_CENTROS_COSTO'!$A$4:$A$28,0)),""),$Y1031))</f>
        <v/>
      </c>
      <c r="AA1031" s="24">
        <f>IF($F1031="","",IFERROR(INDEX('CAT_CENTROS_COSTO'!$G$4:$G$28,MATCH($F1031,'CAT_CENTROS_COSTO'!$A$4:$A$28,0)),"(sin catálogo)"))</f>
        <v/>
      </c>
      <c r="AB1031" s="24">
        <f>IF($G1031="","",IFERROR(INDEX('CAT_PUESTOS'!$B$4:$B$23,MATCH($G1031,'CAT_PUESTOS'!$A$4:$A$23,0)),"(sin catálogo)"))</f>
        <v/>
      </c>
      <c r="AC1031" s="24">
        <f>IF($H1031="","",IFERROR(INDEX('CAT_ACTIVIDADES'!$B$4:$B$26,MATCH($H1031,'CAT_ACTIVIDADES'!$A$4:$A$26,0)),"(sin catálogo)"))</f>
        <v/>
      </c>
      <c r="AD1031" s="26">
        <f>IF($J1031="","",TODAY()-$J1031)</f>
        <v/>
      </c>
      <c r="AE1031" s="26">
        <f>IF($J1031="","",IF($J1031&lt;=TODAY(),COUNTIFS(cal_fechas,"&gt;="&amp;$J1031,cal_fechas,"&lt;"&amp;TODAY(),cal_habil,"sí"),-COUNTIFS(cal_fechas,"&gt;="&amp;TODAY(),cal_fechas,"&lt;"&amp;$J1031,cal_habil,"sí")))</f>
        <v/>
      </c>
      <c r="AF1031" s="24">
        <f>IF($AE1031="","",IF($AE1031&lt;0,"FUTURO",IF($AE1031&gt;p_dias_backlog_max,"BACKLOG","MES CORRIENTE")))</f>
        <v/>
      </c>
      <c r="AG1031" s="24">
        <f>IF($AE1031="",FALSE,AND($AE1031&gt;p_dias_backlog_min,$AE1031&lt;=p_dias_backlog_max))</f>
        <v/>
      </c>
      <c r="AH1031" s="4" t="n"/>
      <c r="AI1031" s="24">
        <f>IF($AH1031="","",IF((IFERROR(INDEX('ASIGNACIONES'!$J$4:$J$451,MATCH($O1031&amp;"|"&amp;$S1031&amp;"|"&amp;$AH1031,'ASIGNACIONES'!$N$4:$N$451,0)),""))=0,"",IFERROR(INDEX('ASIGNACIONES'!$J$4:$J$451,MATCH($O1031&amp;"|"&amp;$S1031&amp;"|"&amp;$AH1031,'ASIGNACIONES'!$N$4:$N$451,0)),"")))</f>
        <v/>
      </c>
      <c r="AJ1031" s="42">
        <f>IF($AH1031="","",SUMIFS('ORDENES'!$M$4:$M$1203,'ORDENES'!$AH$4:$AH$1203,$AH1031,'ORDENES'!$O$4:$O$1203,$O1031,'ORDENES'!$S$4:$S$1203,$S1031))</f>
        <v/>
      </c>
      <c r="AK1031" s="42">
        <f>IF($AJ1031="","",p_factor_productividad*IFERROR(INDEX('ASIGNACIONES'!$M$4:$M$451,MATCH($O1031&amp;"|"&amp;$S1031&amp;"|"&amp;$AH1031,'ASIGNACIONES'!$N$4:$N$451,0)),0)-$AJ1031)</f>
        <v/>
      </c>
      <c r="AL1031" s="32">
        <f>IF($A1031="","",IFERROR(INDEX('2_IMPORTAR_EJECUCION'!$F$9:$F$1208,MATCH($AU1031,'2_IMPORTAR_EJECUCION'!$J$9:$J$1208,0)),0))</f>
        <v/>
      </c>
      <c r="AM1031" s="32">
        <f>IF($A1031="","",MAX(0,IFERROR(INDEX('2_IMPORTAR_EJECUCION'!$H$9:$H$1208,MATCH($AU1031,'2_IMPORTAR_EJECUCION'!$J$9:$J$1208,0)),0)-$AL1031))</f>
        <v/>
      </c>
      <c r="AN1031" s="32">
        <f>IF($A1031="","",$AL1031+$AM1031)</f>
        <v/>
      </c>
      <c r="AO1031" s="24">
        <f>IF($A1031="","",IF(OR((IFERROR(INDEX('CAT_ACTIVIDADES'!$D$4:$D$26,MATCH($H1031,'CAT_ACTIVIDADES'!$A$4:$A$26,0)),""))=0,(IFERROR(INDEX('CAT_ACTIVIDADES'!$D$4:$D$26,MATCH($H1031,'CAT_ACTIVIDADES'!$A$4:$A$26,0)),""))=""),"SIN CLASIFICAR",IFERROR(INDEX('CAT_ACTIVIDADES'!$D$4:$D$26,MATCH($H1031,'CAT_ACTIVIDADES'!$A$4:$A$26,0)),"")))</f>
        <v/>
      </c>
      <c r="AP1031" s="4" t="n"/>
      <c r="AQ1031" s="4" t="n"/>
      <c r="AR1031" s="4" t="n"/>
      <c r="AS1031" s="24">
        <f>IF($AR1031="","",HYPERLINK(p_ruta_base_checklists&amp;$AR1031,"abrir"))</f>
        <v/>
      </c>
      <c r="AT1031" s="4" t="n"/>
      <c r="AU1031" s="24">
        <f>IF($A1031="","",$A1031&amp;IF($B1031="","0010",$B1031))</f>
        <v/>
      </c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41" t="n"/>
      <c r="K1032" s="5" t="n"/>
      <c r="L1032" s="18" t="n"/>
      <c r="M1032" s="24">
        <f>IF($A1032="","",IFERROR(INDEX('AJUSTES'!$B$4:$B$303,MATCH($AU1032,'AJUSTES'!$A$4:$A$303,0)),IF($K1032="","",$K1032)))</f>
        <v/>
      </c>
      <c r="N1032" s="24">
        <f>IF($A1032="","",IFERROR(INDEX('CAT_ESTADOS_ERP'!$B$4:$B$22,MATCH(IFERROR(INDEX('2_IMPORTAR_EJECUCION'!$C$9:$C$1208,MATCH($AU1032,'2_IMPORTAR_EJECUCION'!$J$9:$J$1208,0)),""),'CAT_ESTADOS_ERP'!$A$4:$A$22,0)),"Pendiente"))</f>
        <v/>
      </c>
      <c r="O1032" s="24">
        <f>IF($J1032="","",YEAR($J1032+4-WEEKDAY($J1032,2))&amp;"-S"&amp;TEXT(_xlfn.ISOWEEKNUM($J1032),"00"))</f>
        <v/>
      </c>
      <c r="P1032" s="24">
        <f>IF($J1032="","",YEAR($J1032))</f>
        <v/>
      </c>
      <c r="Q1032" s="24">
        <f>IF($J1032="","",MONTH($J1032))</f>
        <v/>
      </c>
      <c r="R1032" s="24">
        <f>IF($J1032="","",$P1032&amp;"-"&amp;TEXT($Q1032,"00"))</f>
        <v/>
      </c>
      <c r="S1032" s="24">
        <f>IF($J1032="","",INDEX(lista_dias,WEEKDAY($J1032,2)))</f>
        <v/>
      </c>
      <c r="T1032" s="24">
        <f>IF($J1032="","",IFERROR(INDEX('CALENDARIO'!$C$15:$C$214,MATCH(TEXT($J1032,"yyyy-mm-dd")&amp;"|"&amp;$Y1032&amp;"|"&amp;$Z1032,'CALENDARIO'!$G$15:$G$214,0)),IFERROR(INDEX('CALENDARIO'!$C$15:$C$214,MATCH(TEXT($J1032,"yyyy-mm-dd")&amp;"|"&amp;$Y1032&amp;"|",'CALENDARIO'!$G$15:$G$214,0)),IFERROR(INDEX('CALENDARIO'!$C$15:$C$214,MATCH(TEXT($J1032,"yyyy-mm-dd")&amp;"||",'CALENDARIO'!$G$15:$G$214,0)),INDEX(patronHabil,WEEKDAY($J1032,2))))))</f>
        <v/>
      </c>
      <c r="U1032" s="24">
        <f>IF($I1032="","",IFERROR(INDEX('CAT_TIPOS_OT'!$C$4:$C$23,MATCH($I1032,'CAT_TIPOS_OT'!$A$4:$A$23,0)),"sin_clasificar"))</f>
        <v/>
      </c>
      <c r="V1032" s="24">
        <f>IF($I1032="","",IF(IFERROR(INDEX('CAT_TIPOS_OT'!$D$4:$D$23,MATCH($I1032,'CAT_TIPOS_OT'!$A$4:$A$23,0)),"SIN CLASIFICAR")="","SIN CLASIFICAR",IFERROR(INDEX('CAT_TIPOS_OT'!$D$4:$D$23,MATCH($I1032,'CAT_TIPOS_OT'!$A$4:$A$23,0)),"SIN CLASIFICAR")))</f>
        <v/>
      </c>
      <c r="W1032" s="24">
        <f>IF($H1032="","",IF(IFERROR(INDEX('CAT_ACTIVIDADES'!$F$4:$F$26,MATCH($H1032,'CAT_ACTIVIDADES'!$A$4:$A$26,0)),"")=0,"",IFERROR(INDEX('CAT_ACTIVIDADES'!$F$4:$F$26,MATCH($H1032,'CAT_ACTIVIDADES'!$A$4:$A$26,0)),"")))</f>
        <v/>
      </c>
      <c r="X1032" s="24">
        <f>IF($F1032="","",IFERROR(INDEX('CAT_CENTROS_COSTO'!$F$4:$F$28,MATCH($F1032,'CAT_CENTROS_COSTO'!$A$4:$A$28,0)),"(sin catálogo)"))</f>
        <v/>
      </c>
      <c r="Y1032" s="24">
        <f>IF($F1032="","",IFERROR(INDEX('CAT_CENTROS_COSTO'!$D$4:$D$28,MATCH($F1032,'CAT_CENTROS_COSTO'!$A$4:$A$28,0)),"(sin catálogo)"))</f>
        <v/>
      </c>
      <c r="Z1032" s="24">
        <f>IF($F1032="","",IF((IFERROR(INDEX('CAT_CENTROS_COSTO'!$E$4:$E$28,MATCH($F1032,'CAT_CENTROS_COSTO'!$A$4:$A$28,0)),""))&lt;&gt;"",IFERROR(INDEX('CAT_CENTROS_COSTO'!$E$4:$E$28,MATCH($F1032,'CAT_CENTROS_COSTO'!$A$4:$A$28,0)),""),$Y1032))</f>
        <v/>
      </c>
      <c r="AA1032" s="24">
        <f>IF($F1032="","",IFERROR(INDEX('CAT_CENTROS_COSTO'!$G$4:$G$28,MATCH($F1032,'CAT_CENTROS_COSTO'!$A$4:$A$28,0)),"(sin catálogo)"))</f>
        <v/>
      </c>
      <c r="AB1032" s="24">
        <f>IF($G1032="","",IFERROR(INDEX('CAT_PUESTOS'!$B$4:$B$23,MATCH($G1032,'CAT_PUESTOS'!$A$4:$A$23,0)),"(sin catálogo)"))</f>
        <v/>
      </c>
      <c r="AC1032" s="24">
        <f>IF($H1032="","",IFERROR(INDEX('CAT_ACTIVIDADES'!$B$4:$B$26,MATCH($H1032,'CAT_ACTIVIDADES'!$A$4:$A$26,0)),"(sin catálogo)"))</f>
        <v/>
      </c>
      <c r="AD1032" s="26">
        <f>IF($J1032="","",TODAY()-$J1032)</f>
        <v/>
      </c>
      <c r="AE1032" s="26">
        <f>IF($J1032="","",IF($J1032&lt;=TODAY(),COUNTIFS(cal_fechas,"&gt;="&amp;$J1032,cal_fechas,"&lt;"&amp;TODAY(),cal_habil,"sí"),-COUNTIFS(cal_fechas,"&gt;="&amp;TODAY(),cal_fechas,"&lt;"&amp;$J1032,cal_habil,"sí")))</f>
        <v/>
      </c>
      <c r="AF1032" s="24">
        <f>IF($AE1032="","",IF($AE1032&lt;0,"FUTURO",IF($AE1032&gt;p_dias_backlog_max,"BACKLOG","MES CORRIENTE")))</f>
        <v/>
      </c>
      <c r="AG1032" s="24">
        <f>IF($AE1032="",FALSE,AND($AE1032&gt;p_dias_backlog_min,$AE1032&lt;=p_dias_backlog_max))</f>
        <v/>
      </c>
      <c r="AH1032" s="4" t="n"/>
      <c r="AI1032" s="24">
        <f>IF($AH1032="","",IF((IFERROR(INDEX('ASIGNACIONES'!$J$4:$J$451,MATCH($O1032&amp;"|"&amp;$S1032&amp;"|"&amp;$AH1032,'ASIGNACIONES'!$N$4:$N$451,0)),""))=0,"",IFERROR(INDEX('ASIGNACIONES'!$J$4:$J$451,MATCH($O1032&amp;"|"&amp;$S1032&amp;"|"&amp;$AH1032,'ASIGNACIONES'!$N$4:$N$451,0)),"")))</f>
        <v/>
      </c>
      <c r="AJ1032" s="42">
        <f>IF($AH1032="","",SUMIFS('ORDENES'!$M$4:$M$1203,'ORDENES'!$AH$4:$AH$1203,$AH1032,'ORDENES'!$O$4:$O$1203,$O1032,'ORDENES'!$S$4:$S$1203,$S1032))</f>
        <v/>
      </c>
      <c r="AK1032" s="42">
        <f>IF($AJ1032="","",p_factor_productividad*IFERROR(INDEX('ASIGNACIONES'!$M$4:$M$451,MATCH($O1032&amp;"|"&amp;$S1032&amp;"|"&amp;$AH1032,'ASIGNACIONES'!$N$4:$N$451,0)),0)-$AJ1032)</f>
        <v/>
      </c>
      <c r="AL1032" s="32">
        <f>IF($A1032="","",IFERROR(INDEX('2_IMPORTAR_EJECUCION'!$F$9:$F$1208,MATCH($AU1032,'2_IMPORTAR_EJECUCION'!$J$9:$J$1208,0)),0))</f>
        <v/>
      </c>
      <c r="AM1032" s="32">
        <f>IF($A1032="","",MAX(0,IFERROR(INDEX('2_IMPORTAR_EJECUCION'!$H$9:$H$1208,MATCH($AU1032,'2_IMPORTAR_EJECUCION'!$J$9:$J$1208,0)),0)-$AL1032))</f>
        <v/>
      </c>
      <c r="AN1032" s="32">
        <f>IF($A1032="","",$AL1032+$AM1032)</f>
        <v/>
      </c>
      <c r="AO1032" s="24">
        <f>IF($A1032="","",IF(OR((IFERROR(INDEX('CAT_ACTIVIDADES'!$D$4:$D$26,MATCH($H1032,'CAT_ACTIVIDADES'!$A$4:$A$26,0)),""))=0,(IFERROR(INDEX('CAT_ACTIVIDADES'!$D$4:$D$26,MATCH($H1032,'CAT_ACTIVIDADES'!$A$4:$A$26,0)),""))=""),"SIN CLASIFICAR",IFERROR(INDEX('CAT_ACTIVIDADES'!$D$4:$D$26,MATCH($H1032,'CAT_ACTIVIDADES'!$A$4:$A$26,0)),"")))</f>
        <v/>
      </c>
      <c r="AP1032" s="4" t="n"/>
      <c r="AQ1032" s="4" t="n"/>
      <c r="AR1032" s="4" t="n"/>
      <c r="AS1032" s="24">
        <f>IF($AR1032="","",HYPERLINK(p_ruta_base_checklists&amp;$AR1032,"abrir"))</f>
        <v/>
      </c>
      <c r="AT1032" s="4" t="n"/>
      <c r="AU1032" s="24">
        <f>IF($A1032="","",$A1032&amp;IF($B1032="","0010",$B1032))</f>
        <v/>
      </c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41" t="n"/>
      <c r="K1033" s="5" t="n"/>
      <c r="L1033" s="18" t="n"/>
      <c r="M1033" s="24">
        <f>IF($A1033="","",IFERROR(INDEX('AJUSTES'!$B$4:$B$303,MATCH($AU1033,'AJUSTES'!$A$4:$A$303,0)),IF($K1033="","",$K1033)))</f>
        <v/>
      </c>
      <c r="N1033" s="24">
        <f>IF($A1033="","",IFERROR(INDEX('CAT_ESTADOS_ERP'!$B$4:$B$22,MATCH(IFERROR(INDEX('2_IMPORTAR_EJECUCION'!$C$9:$C$1208,MATCH($AU1033,'2_IMPORTAR_EJECUCION'!$J$9:$J$1208,0)),""),'CAT_ESTADOS_ERP'!$A$4:$A$22,0)),"Pendiente"))</f>
        <v/>
      </c>
      <c r="O1033" s="24">
        <f>IF($J1033="","",YEAR($J1033+4-WEEKDAY($J1033,2))&amp;"-S"&amp;TEXT(_xlfn.ISOWEEKNUM($J1033),"00"))</f>
        <v/>
      </c>
      <c r="P1033" s="24">
        <f>IF($J1033="","",YEAR($J1033))</f>
        <v/>
      </c>
      <c r="Q1033" s="24">
        <f>IF($J1033="","",MONTH($J1033))</f>
        <v/>
      </c>
      <c r="R1033" s="24">
        <f>IF($J1033="","",$P1033&amp;"-"&amp;TEXT($Q1033,"00"))</f>
        <v/>
      </c>
      <c r="S1033" s="24">
        <f>IF($J1033="","",INDEX(lista_dias,WEEKDAY($J1033,2)))</f>
        <v/>
      </c>
      <c r="T1033" s="24">
        <f>IF($J1033="","",IFERROR(INDEX('CALENDARIO'!$C$15:$C$214,MATCH(TEXT($J1033,"yyyy-mm-dd")&amp;"|"&amp;$Y1033&amp;"|"&amp;$Z1033,'CALENDARIO'!$G$15:$G$214,0)),IFERROR(INDEX('CALENDARIO'!$C$15:$C$214,MATCH(TEXT($J1033,"yyyy-mm-dd")&amp;"|"&amp;$Y1033&amp;"|",'CALENDARIO'!$G$15:$G$214,0)),IFERROR(INDEX('CALENDARIO'!$C$15:$C$214,MATCH(TEXT($J1033,"yyyy-mm-dd")&amp;"||",'CALENDARIO'!$G$15:$G$214,0)),INDEX(patronHabil,WEEKDAY($J1033,2))))))</f>
        <v/>
      </c>
      <c r="U1033" s="24">
        <f>IF($I1033="","",IFERROR(INDEX('CAT_TIPOS_OT'!$C$4:$C$23,MATCH($I1033,'CAT_TIPOS_OT'!$A$4:$A$23,0)),"sin_clasificar"))</f>
        <v/>
      </c>
      <c r="V1033" s="24">
        <f>IF($I1033="","",IF(IFERROR(INDEX('CAT_TIPOS_OT'!$D$4:$D$23,MATCH($I1033,'CAT_TIPOS_OT'!$A$4:$A$23,0)),"SIN CLASIFICAR")="","SIN CLASIFICAR",IFERROR(INDEX('CAT_TIPOS_OT'!$D$4:$D$23,MATCH($I1033,'CAT_TIPOS_OT'!$A$4:$A$23,0)),"SIN CLASIFICAR")))</f>
        <v/>
      </c>
      <c r="W1033" s="24">
        <f>IF($H1033="","",IF(IFERROR(INDEX('CAT_ACTIVIDADES'!$F$4:$F$26,MATCH($H1033,'CAT_ACTIVIDADES'!$A$4:$A$26,0)),"")=0,"",IFERROR(INDEX('CAT_ACTIVIDADES'!$F$4:$F$26,MATCH($H1033,'CAT_ACTIVIDADES'!$A$4:$A$26,0)),"")))</f>
        <v/>
      </c>
      <c r="X1033" s="24">
        <f>IF($F1033="","",IFERROR(INDEX('CAT_CENTROS_COSTO'!$F$4:$F$28,MATCH($F1033,'CAT_CENTROS_COSTO'!$A$4:$A$28,0)),"(sin catálogo)"))</f>
        <v/>
      </c>
      <c r="Y1033" s="24">
        <f>IF($F1033="","",IFERROR(INDEX('CAT_CENTROS_COSTO'!$D$4:$D$28,MATCH($F1033,'CAT_CENTROS_COSTO'!$A$4:$A$28,0)),"(sin catálogo)"))</f>
        <v/>
      </c>
      <c r="Z1033" s="24">
        <f>IF($F1033="","",IF((IFERROR(INDEX('CAT_CENTROS_COSTO'!$E$4:$E$28,MATCH($F1033,'CAT_CENTROS_COSTO'!$A$4:$A$28,0)),""))&lt;&gt;"",IFERROR(INDEX('CAT_CENTROS_COSTO'!$E$4:$E$28,MATCH($F1033,'CAT_CENTROS_COSTO'!$A$4:$A$28,0)),""),$Y1033))</f>
        <v/>
      </c>
      <c r="AA1033" s="24">
        <f>IF($F1033="","",IFERROR(INDEX('CAT_CENTROS_COSTO'!$G$4:$G$28,MATCH($F1033,'CAT_CENTROS_COSTO'!$A$4:$A$28,0)),"(sin catálogo)"))</f>
        <v/>
      </c>
      <c r="AB1033" s="24">
        <f>IF($G1033="","",IFERROR(INDEX('CAT_PUESTOS'!$B$4:$B$23,MATCH($G1033,'CAT_PUESTOS'!$A$4:$A$23,0)),"(sin catálogo)"))</f>
        <v/>
      </c>
      <c r="AC1033" s="24">
        <f>IF($H1033="","",IFERROR(INDEX('CAT_ACTIVIDADES'!$B$4:$B$26,MATCH($H1033,'CAT_ACTIVIDADES'!$A$4:$A$26,0)),"(sin catálogo)"))</f>
        <v/>
      </c>
      <c r="AD1033" s="26">
        <f>IF($J1033="","",TODAY()-$J1033)</f>
        <v/>
      </c>
      <c r="AE1033" s="26">
        <f>IF($J1033="","",IF($J1033&lt;=TODAY(),COUNTIFS(cal_fechas,"&gt;="&amp;$J1033,cal_fechas,"&lt;"&amp;TODAY(),cal_habil,"sí"),-COUNTIFS(cal_fechas,"&gt;="&amp;TODAY(),cal_fechas,"&lt;"&amp;$J1033,cal_habil,"sí")))</f>
        <v/>
      </c>
      <c r="AF1033" s="24">
        <f>IF($AE1033="","",IF($AE1033&lt;0,"FUTURO",IF($AE1033&gt;p_dias_backlog_max,"BACKLOG","MES CORRIENTE")))</f>
        <v/>
      </c>
      <c r="AG1033" s="24">
        <f>IF($AE1033="",FALSE,AND($AE1033&gt;p_dias_backlog_min,$AE1033&lt;=p_dias_backlog_max))</f>
        <v/>
      </c>
      <c r="AH1033" s="4" t="n"/>
      <c r="AI1033" s="24">
        <f>IF($AH1033="","",IF((IFERROR(INDEX('ASIGNACIONES'!$J$4:$J$451,MATCH($O1033&amp;"|"&amp;$S1033&amp;"|"&amp;$AH1033,'ASIGNACIONES'!$N$4:$N$451,0)),""))=0,"",IFERROR(INDEX('ASIGNACIONES'!$J$4:$J$451,MATCH($O1033&amp;"|"&amp;$S1033&amp;"|"&amp;$AH1033,'ASIGNACIONES'!$N$4:$N$451,0)),"")))</f>
        <v/>
      </c>
      <c r="AJ1033" s="42">
        <f>IF($AH1033="","",SUMIFS('ORDENES'!$M$4:$M$1203,'ORDENES'!$AH$4:$AH$1203,$AH1033,'ORDENES'!$O$4:$O$1203,$O1033,'ORDENES'!$S$4:$S$1203,$S1033))</f>
        <v/>
      </c>
      <c r="AK1033" s="42">
        <f>IF($AJ1033="","",p_factor_productividad*IFERROR(INDEX('ASIGNACIONES'!$M$4:$M$451,MATCH($O1033&amp;"|"&amp;$S1033&amp;"|"&amp;$AH1033,'ASIGNACIONES'!$N$4:$N$451,0)),0)-$AJ1033)</f>
        <v/>
      </c>
      <c r="AL1033" s="32">
        <f>IF($A1033="","",IFERROR(INDEX('2_IMPORTAR_EJECUCION'!$F$9:$F$1208,MATCH($AU1033,'2_IMPORTAR_EJECUCION'!$J$9:$J$1208,0)),0))</f>
        <v/>
      </c>
      <c r="AM1033" s="32">
        <f>IF($A1033="","",MAX(0,IFERROR(INDEX('2_IMPORTAR_EJECUCION'!$H$9:$H$1208,MATCH($AU1033,'2_IMPORTAR_EJECUCION'!$J$9:$J$1208,0)),0)-$AL1033))</f>
        <v/>
      </c>
      <c r="AN1033" s="32">
        <f>IF($A1033="","",$AL1033+$AM1033)</f>
        <v/>
      </c>
      <c r="AO1033" s="24">
        <f>IF($A1033="","",IF(OR((IFERROR(INDEX('CAT_ACTIVIDADES'!$D$4:$D$26,MATCH($H1033,'CAT_ACTIVIDADES'!$A$4:$A$26,0)),""))=0,(IFERROR(INDEX('CAT_ACTIVIDADES'!$D$4:$D$26,MATCH($H1033,'CAT_ACTIVIDADES'!$A$4:$A$26,0)),""))=""),"SIN CLASIFICAR",IFERROR(INDEX('CAT_ACTIVIDADES'!$D$4:$D$26,MATCH($H1033,'CAT_ACTIVIDADES'!$A$4:$A$26,0)),"")))</f>
        <v/>
      </c>
      <c r="AP1033" s="4" t="n"/>
      <c r="AQ1033" s="4" t="n"/>
      <c r="AR1033" s="4" t="n"/>
      <c r="AS1033" s="24">
        <f>IF($AR1033="","",HYPERLINK(p_ruta_base_checklists&amp;$AR1033,"abrir"))</f>
        <v/>
      </c>
      <c r="AT1033" s="4" t="n"/>
      <c r="AU1033" s="24">
        <f>IF($A1033="","",$A1033&amp;IF($B1033="","0010",$B1033))</f>
        <v/>
      </c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41" t="n"/>
      <c r="K1034" s="5" t="n"/>
      <c r="L1034" s="18" t="n"/>
      <c r="M1034" s="24">
        <f>IF($A1034="","",IFERROR(INDEX('AJUSTES'!$B$4:$B$303,MATCH($AU1034,'AJUSTES'!$A$4:$A$303,0)),IF($K1034="","",$K1034)))</f>
        <v/>
      </c>
      <c r="N1034" s="24">
        <f>IF($A1034="","",IFERROR(INDEX('CAT_ESTADOS_ERP'!$B$4:$B$22,MATCH(IFERROR(INDEX('2_IMPORTAR_EJECUCION'!$C$9:$C$1208,MATCH($AU1034,'2_IMPORTAR_EJECUCION'!$J$9:$J$1208,0)),""),'CAT_ESTADOS_ERP'!$A$4:$A$22,0)),"Pendiente"))</f>
        <v/>
      </c>
      <c r="O1034" s="24">
        <f>IF($J1034="","",YEAR($J1034+4-WEEKDAY($J1034,2))&amp;"-S"&amp;TEXT(_xlfn.ISOWEEKNUM($J1034),"00"))</f>
        <v/>
      </c>
      <c r="P1034" s="24">
        <f>IF($J1034="","",YEAR($J1034))</f>
        <v/>
      </c>
      <c r="Q1034" s="24">
        <f>IF($J1034="","",MONTH($J1034))</f>
        <v/>
      </c>
      <c r="R1034" s="24">
        <f>IF($J1034="","",$P1034&amp;"-"&amp;TEXT($Q1034,"00"))</f>
        <v/>
      </c>
      <c r="S1034" s="24">
        <f>IF($J1034="","",INDEX(lista_dias,WEEKDAY($J1034,2)))</f>
        <v/>
      </c>
      <c r="T1034" s="24">
        <f>IF($J1034="","",IFERROR(INDEX('CALENDARIO'!$C$15:$C$214,MATCH(TEXT($J1034,"yyyy-mm-dd")&amp;"|"&amp;$Y1034&amp;"|"&amp;$Z1034,'CALENDARIO'!$G$15:$G$214,0)),IFERROR(INDEX('CALENDARIO'!$C$15:$C$214,MATCH(TEXT($J1034,"yyyy-mm-dd")&amp;"|"&amp;$Y1034&amp;"|",'CALENDARIO'!$G$15:$G$214,0)),IFERROR(INDEX('CALENDARIO'!$C$15:$C$214,MATCH(TEXT($J1034,"yyyy-mm-dd")&amp;"||",'CALENDARIO'!$G$15:$G$214,0)),INDEX(patronHabil,WEEKDAY($J1034,2))))))</f>
        <v/>
      </c>
      <c r="U1034" s="24">
        <f>IF($I1034="","",IFERROR(INDEX('CAT_TIPOS_OT'!$C$4:$C$23,MATCH($I1034,'CAT_TIPOS_OT'!$A$4:$A$23,0)),"sin_clasificar"))</f>
        <v/>
      </c>
      <c r="V1034" s="24">
        <f>IF($I1034="","",IF(IFERROR(INDEX('CAT_TIPOS_OT'!$D$4:$D$23,MATCH($I1034,'CAT_TIPOS_OT'!$A$4:$A$23,0)),"SIN CLASIFICAR")="","SIN CLASIFICAR",IFERROR(INDEX('CAT_TIPOS_OT'!$D$4:$D$23,MATCH($I1034,'CAT_TIPOS_OT'!$A$4:$A$23,0)),"SIN CLASIFICAR")))</f>
        <v/>
      </c>
      <c r="W1034" s="24">
        <f>IF($H1034="","",IF(IFERROR(INDEX('CAT_ACTIVIDADES'!$F$4:$F$26,MATCH($H1034,'CAT_ACTIVIDADES'!$A$4:$A$26,0)),"")=0,"",IFERROR(INDEX('CAT_ACTIVIDADES'!$F$4:$F$26,MATCH($H1034,'CAT_ACTIVIDADES'!$A$4:$A$26,0)),"")))</f>
        <v/>
      </c>
      <c r="X1034" s="24">
        <f>IF($F1034="","",IFERROR(INDEX('CAT_CENTROS_COSTO'!$F$4:$F$28,MATCH($F1034,'CAT_CENTROS_COSTO'!$A$4:$A$28,0)),"(sin catálogo)"))</f>
        <v/>
      </c>
      <c r="Y1034" s="24">
        <f>IF($F1034="","",IFERROR(INDEX('CAT_CENTROS_COSTO'!$D$4:$D$28,MATCH($F1034,'CAT_CENTROS_COSTO'!$A$4:$A$28,0)),"(sin catálogo)"))</f>
        <v/>
      </c>
      <c r="Z1034" s="24">
        <f>IF($F1034="","",IF((IFERROR(INDEX('CAT_CENTROS_COSTO'!$E$4:$E$28,MATCH($F1034,'CAT_CENTROS_COSTO'!$A$4:$A$28,0)),""))&lt;&gt;"",IFERROR(INDEX('CAT_CENTROS_COSTO'!$E$4:$E$28,MATCH($F1034,'CAT_CENTROS_COSTO'!$A$4:$A$28,0)),""),$Y1034))</f>
        <v/>
      </c>
      <c r="AA1034" s="24">
        <f>IF($F1034="","",IFERROR(INDEX('CAT_CENTROS_COSTO'!$G$4:$G$28,MATCH($F1034,'CAT_CENTROS_COSTO'!$A$4:$A$28,0)),"(sin catálogo)"))</f>
        <v/>
      </c>
      <c r="AB1034" s="24">
        <f>IF($G1034="","",IFERROR(INDEX('CAT_PUESTOS'!$B$4:$B$23,MATCH($G1034,'CAT_PUESTOS'!$A$4:$A$23,0)),"(sin catálogo)"))</f>
        <v/>
      </c>
      <c r="AC1034" s="24">
        <f>IF($H1034="","",IFERROR(INDEX('CAT_ACTIVIDADES'!$B$4:$B$26,MATCH($H1034,'CAT_ACTIVIDADES'!$A$4:$A$26,0)),"(sin catálogo)"))</f>
        <v/>
      </c>
      <c r="AD1034" s="26">
        <f>IF($J1034="","",TODAY()-$J1034)</f>
        <v/>
      </c>
      <c r="AE1034" s="26">
        <f>IF($J1034="","",IF($J1034&lt;=TODAY(),COUNTIFS(cal_fechas,"&gt;="&amp;$J1034,cal_fechas,"&lt;"&amp;TODAY(),cal_habil,"sí"),-COUNTIFS(cal_fechas,"&gt;="&amp;TODAY(),cal_fechas,"&lt;"&amp;$J1034,cal_habil,"sí")))</f>
        <v/>
      </c>
      <c r="AF1034" s="24">
        <f>IF($AE1034="","",IF($AE1034&lt;0,"FUTURO",IF($AE1034&gt;p_dias_backlog_max,"BACKLOG","MES CORRIENTE")))</f>
        <v/>
      </c>
      <c r="AG1034" s="24">
        <f>IF($AE1034="",FALSE,AND($AE1034&gt;p_dias_backlog_min,$AE1034&lt;=p_dias_backlog_max))</f>
        <v/>
      </c>
      <c r="AH1034" s="4" t="n"/>
      <c r="AI1034" s="24">
        <f>IF($AH1034="","",IF((IFERROR(INDEX('ASIGNACIONES'!$J$4:$J$451,MATCH($O1034&amp;"|"&amp;$S1034&amp;"|"&amp;$AH1034,'ASIGNACIONES'!$N$4:$N$451,0)),""))=0,"",IFERROR(INDEX('ASIGNACIONES'!$J$4:$J$451,MATCH($O1034&amp;"|"&amp;$S1034&amp;"|"&amp;$AH1034,'ASIGNACIONES'!$N$4:$N$451,0)),"")))</f>
        <v/>
      </c>
      <c r="AJ1034" s="42">
        <f>IF($AH1034="","",SUMIFS('ORDENES'!$M$4:$M$1203,'ORDENES'!$AH$4:$AH$1203,$AH1034,'ORDENES'!$O$4:$O$1203,$O1034,'ORDENES'!$S$4:$S$1203,$S1034))</f>
        <v/>
      </c>
      <c r="AK1034" s="42">
        <f>IF($AJ1034="","",p_factor_productividad*IFERROR(INDEX('ASIGNACIONES'!$M$4:$M$451,MATCH($O1034&amp;"|"&amp;$S1034&amp;"|"&amp;$AH1034,'ASIGNACIONES'!$N$4:$N$451,0)),0)-$AJ1034)</f>
        <v/>
      </c>
      <c r="AL1034" s="32">
        <f>IF($A1034="","",IFERROR(INDEX('2_IMPORTAR_EJECUCION'!$F$9:$F$1208,MATCH($AU1034,'2_IMPORTAR_EJECUCION'!$J$9:$J$1208,0)),0))</f>
        <v/>
      </c>
      <c r="AM1034" s="32">
        <f>IF($A1034="","",MAX(0,IFERROR(INDEX('2_IMPORTAR_EJECUCION'!$H$9:$H$1208,MATCH($AU1034,'2_IMPORTAR_EJECUCION'!$J$9:$J$1208,0)),0)-$AL1034))</f>
        <v/>
      </c>
      <c r="AN1034" s="32">
        <f>IF($A1034="","",$AL1034+$AM1034)</f>
        <v/>
      </c>
      <c r="AO1034" s="24">
        <f>IF($A1034="","",IF(OR((IFERROR(INDEX('CAT_ACTIVIDADES'!$D$4:$D$26,MATCH($H1034,'CAT_ACTIVIDADES'!$A$4:$A$26,0)),""))=0,(IFERROR(INDEX('CAT_ACTIVIDADES'!$D$4:$D$26,MATCH($H1034,'CAT_ACTIVIDADES'!$A$4:$A$26,0)),""))=""),"SIN CLASIFICAR",IFERROR(INDEX('CAT_ACTIVIDADES'!$D$4:$D$26,MATCH($H1034,'CAT_ACTIVIDADES'!$A$4:$A$26,0)),"")))</f>
        <v/>
      </c>
      <c r="AP1034" s="4" t="n"/>
      <c r="AQ1034" s="4" t="n"/>
      <c r="AR1034" s="4" t="n"/>
      <c r="AS1034" s="24">
        <f>IF($AR1034="","",HYPERLINK(p_ruta_base_checklists&amp;$AR1034,"abrir"))</f>
        <v/>
      </c>
      <c r="AT1034" s="4" t="n"/>
      <c r="AU1034" s="24">
        <f>IF($A1034="","",$A1034&amp;IF($B1034="","0010",$B1034))</f>
        <v/>
      </c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41" t="n"/>
      <c r="K1035" s="5" t="n"/>
      <c r="L1035" s="18" t="n"/>
      <c r="M1035" s="24">
        <f>IF($A1035="","",IFERROR(INDEX('AJUSTES'!$B$4:$B$303,MATCH($AU1035,'AJUSTES'!$A$4:$A$303,0)),IF($K1035="","",$K1035)))</f>
        <v/>
      </c>
      <c r="N1035" s="24">
        <f>IF($A1035="","",IFERROR(INDEX('CAT_ESTADOS_ERP'!$B$4:$B$22,MATCH(IFERROR(INDEX('2_IMPORTAR_EJECUCION'!$C$9:$C$1208,MATCH($AU1035,'2_IMPORTAR_EJECUCION'!$J$9:$J$1208,0)),""),'CAT_ESTADOS_ERP'!$A$4:$A$22,0)),"Pendiente"))</f>
        <v/>
      </c>
      <c r="O1035" s="24">
        <f>IF($J1035="","",YEAR($J1035+4-WEEKDAY($J1035,2))&amp;"-S"&amp;TEXT(_xlfn.ISOWEEKNUM($J1035),"00"))</f>
        <v/>
      </c>
      <c r="P1035" s="24">
        <f>IF($J1035="","",YEAR($J1035))</f>
        <v/>
      </c>
      <c r="Q1035" s="24">
        <f>IF($J1035="","",MONTH($J1035))</f>
        <v/>
      </c>
      <c r="R1035" s="24">
        <f>IF($J1035="","",$P1035&amp;"-"&amp;TEXT($Q1035,"00"))</f>
        <v/>
      </c>
      <c r="S1035" s="24">
        <f>IF($J1035="","",INDEX(lista_dias,WEEKDAY($J1035,2)))</f>
        <v/>
      </c>
      <c r="T1035" s="24">
        <f>IF($J1035="","",IFERROR(INDEX('CALENDARIO'!$C$15:$C$214,MATCH(TEXT($J1035,"yyyy-mm-dd")&amp;"|"&amp;$Y1035&amp;"|"&amp;$Z1035,'CALENDARIO'!$G$15:$G$214,0)),IFERROR(INDEX('CALENDARIO'!$C$15:$C$214,MATCH(TEXT($J1035,"yyyy-mm-dd")&amp;"|"&amp;$Y1035&amp;"|",'CALENDARIO'!$G$15:$G$214,0)),IFERROR(INDEX('CALENDARIO'!$C$15:$C$214,MATCH(TEXT($J1035,"yyyy-mm-dd")&amp;"||",'CALENDARIO'!$G$15:$G$214,0)),INDEX(patronHabil,WEEKDAY($J1035,2))))))</f>
        <v/>
      </c>
      <c r="U1035" s="24">
        <f>IF($I1035="","",IFERROR(INDEX('CAT_TIPOS_OT'!$C$4:$C$23,MATCH($I1035,'CAT_TIPOS_OT'!$A$4:$A$23,0)),"sin_clasificar"))</f>
        <v/>
      </c>
      <c r="V1035" s="24">
        <f>IF($I1035="","",IF(IFERROR(INDEX('CAT_TIPOS_OT'!$D$4:$D$23,MATCH($I1035,'CAT_TIPOS_OT'!$A$4:$A$23,0)),"SIN CLASIFICAR")="","SIN CLASIFICAR",IFERROR(INDEX('CAT_TIPOS_OT'!$D$4:$D$23,MATCH($I1035,'CAT_TIPOS_OT'!$A$4:$A$23,0)),"SIN CLASIFICAR")))</f>
        <v/>
      </c>
      <c r="W1035" s="24">
        <f>IF($H1035="","",IF(IFERROR(INDEX('CAT_ACTIVIDADES'!$F$4:$F$26,MATCH($H1035,'CAT_ACTIVIDADES'!$A$4:$A$26,0)),"")=0,"",IFERROR(INDEX('CAT_ACTIVIDADES'!$F$4:$F$26,MATCH($H1035,'CAT_ACTIVIDADES'!$A$4:$A$26,0)),"")))</f>
        <v/>
      </c>
      <c r="X1035" s="24">
        <f>IF($F1035="","",IFERROR(INDEX('CAT_CENTROS_COSTO'!$F$4:$F$28,MATCH($F1035,'CAT_CENTROS_COSTO'!$A$4:$A$28,0)),"(sin catálogo)"))</f>
        <v/>
      </c>
      <c r="Y1035" s="24">
        <f>IF($F1035="","",IFERROR(INDEX('CAT_CENTROS_COSTO'!$D$4:$D$28,MATCH($F1035,'CAT_CENTROS_COSTO'!$A$4:$A$28,0)),"(sin catálogo)"))</f>
        <v/>
      </c>
      <c r="Z1035" s="24">
        <f>IF($F1035="","",IF((IFERROR(INDEX('CAT_CENTROS_COSTO'!$E$4:$E$28,MATCH($F1035,'CAT_CENTROS_COSTO'!$A$4:$A$28,0)),""))&lt;&gt;"",IFERROR(INDEX('CAT_CENTROS_COSTO'!$E$4:$E$28,MATCH($F1035,'CAT_CENTROS_COSTO'!$A$4:$A$28,0)),""),$Y1035))</f>
        <v/>
      </c>
      <c r="AA1035" s="24">
        <f>IF($F1035="","",IFERROR(INDEX('CAT_CENTROS_COSTO'!$G$4:$G$28,MATCH($F1035,'CAT_CENTROS_COSTO'!$A$4:$A$28,0)),"(sin catálogo)"))</f>
        <v/>
      </c>
      <c r="AB1035" s="24">
        <f>IF($G1035="","",IFERROR(INDEX('CAT_PUESTOS'!$B$4:$B$23,MATCH($G1035,'CAT_PUESTOS'!$A$4:$A$23,0)),"(sin catálogo)"))</f>
        <v/>
      </c>
      <c r="AC1035" s="24">
        <f>IF($H1035="","",IFERROR(INDEX('CAT_ACTIVIDADES'!$B$4:$B$26,MATCH($H1035,'CAT_ACTIVIDADES'!$A$4:$A$26,0)),"(sin catálogo)"))</f>
        <v/>
      </c>
      <c r="AD1035" s="26">
        <f>IF($J1035="","",TODAY()-$J1035)</f>
        <v/>
      </c>
      <c r="AE1035" s="26">
        <f>IF($J1035="","",IF($J1035&lt;=TODAY(),COUNTIFS(cal_fechas,"&gt;="&amp;$J1035,cal_fechas,"&lt;"&amp;TODAY(),cal_habil,"sí"),-COUNTIFS(cal_fechas,"&gt;="&amp;TODAY(),cal_fechas,"&lt;"&amp;$J1035,cal_habil,"sí")))</f>
        <v/>
      </c>
      <c r="AF1035" s="24">
        <f>IF($AE1035="","",IF($AE1035&lt;0,"FUTURO",IF($AE1035&gt;p_dias_backlog_max,"BACKLOG","MES CORRIENTE")))</f>
        <v/>
      </c>
      <c r="AG1035" s="24">
        <f>IF($AE1035="",FALSE,AND($AE1035&gt;p_dias_backlog_min,$AE1035&lt;=p_dias_backlog_max))</f>
        <v/>
      </c>
      <c r="AH1035" s="4" t="n"/>
      <c r="AI1035" s="24">
        <f>IF($AH1035="","",IF((IFERROR(INDEX('ASIGNACIONES'!$J$4:$J$451,MATCH($O1035&amp;"|"&amp;$S1035&amp;"|"&amp;$AH1035,'ASIGNACIONES'!$N$4:$N$451,0)),""))=0,"",IFERROR(INDEX('ASIGNACIONES'!$J$4:$J$451,MATCH($O1035&amp;"|"&amp;$S1035&amp;"|"&amp;$AH1035,'ASIGNACIONES'!$N$4:$N$451,0)),"")))</f>
        <v/>
      </c>
      <c r="AJ1035" s="42">
        <f>IF($AH1035="","",SUMIFS('ORDENES'!$M$4:$M$1203,'ORDENES'!$AH$4:$AH$1203,$AH1035,'ORDENES'!$O$4:$O$1203,$O1035,'ORDENES'!$S$4:$S$1203,$S1035))</f>
        <v/>
      </c>
      <c r="AK1035" s="42">
        <f>IF($AJ1035="","",p_factor_productividad*IFERROR(INDEX('ASIGNACIONES'!$M$4:$M$451,MATCH($O1035&amp;"|"&amp;$S1035&amp;"|"&amp;$AH1035,'ASIGNACIONES'!$N$4:$N$451,0)),0)-$AJ1035)</f>
        <v/>
      </c>
      <c r="AL1035" s="32">
        <f>IF($A1035="","",IFERROR(INDEX('2_IMPORTAR_EJECUCION'!$F$9:$F$1208,MATCH($AU1035,'2_IMPORTAR_EJECUCION'!$J$9:$J$1208,0)),0))</f>
        <v/>
      </c>
      <c r="AM1035" s="32">
        <f>IF($A1035="","",MAX(0,IFERROR(INDEX('2_IMPORTAR_EJECUCION'!$H$9:$H$1208,MATCH($AU1035,'2_IMPORTAR_EJECUCION'!$J$9:$J$1208,0)),0)-$AL1035))</f>
        <v/>
      </c>
      <c r="AN1035" s="32">
        <f>IF($A1035="","",$AL1035+$AM1035)</f>
        <v/>
      </c>
      <c r="AO1035" s="24">
        <f>IF($A1035="","",IF(OR((IFERROR(INDEX('CAT_ACTIVIDADES'!$D$4:$D$26,MATCH($H1035,'CAT_ACTIVIDADES'!$A$4:$A$26,0)),""))=0,(IFERROR(INDEX('CAT_ACTIVIDADES'!$D$4:$D$26,MATCH($H1035,'CAT_ACTIVIDADES'!$A$4:$A$26,0)),""))=""),"SIN CLASIFICAR",IFERROR(INDEX('CAT_ACTIVIDADES'!$D$4:$D$26,MATCH($H1035,'CAT_ACTIVIDADES'!$A$4:$A$26,0)),"")))</f>
        <v/>
      </c>
      <c r="AP1035" s="4" t="n"/>
      <c r="AQ1035" s="4" t="n"/>
      <c r="AR1035" s="4" t="n"/>
      <c r="AS1035" s="24">
        <f>IF($AR1035="","",HYPERLINK(p_ruta_base_checklists&amp;$AR1035,"abrir"))</f>
        <v/>
      </c>
      <c r="AT1035" s="4" t="n"/>
      <c r="AU1035" s="24">
        <f>IF($A1035="","",$A1035&amp;IF($B1035="","0010",$B1035))</f>
        <v/>
      </c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41" t="n"/>
      <c r="K1036" s="5" t="n"/>
      <c r="L1036" s="18" t="n"/>
      <c r="M1036" s="24">
        <f>IF($A1036="","",IFERROR(INDEX('AJUSTES'!$B$4:$B$303,MATCH($AU1036,'AJUSTES'!$A$4:$A$303,0)),IF($K1036="","",$K1036)))</f>
        <v/>
      </c>
      <c r="N1036" s="24">
        <f>IF($A1036="","",IFERROR(INDEX('CAT_ESTADOS_ERP'!$B$4:$B$22,MATCH(IFERROR(INDEX('2_IMPORTAR_EJECUCION'!$C$9:$C$1208,MATCH($AU1036,'2_IMPORTAR_EJECUCION'!$J$9:$J$1208,0)),""),'CAT_ESTADOS_ERP'!$A$4:$A$22,0)),"Pendiente"))</f>
        <v/>
      </c>
      <c r="O1036" s="24">
        <f>IF($J1036="","",YEAR($J1036+4-WEEKDAY($J1036,2))&amp;"-S"&amp;TEXT(_xlfn.ISOWEEKNUM($J1036),"00"))</f>
        <v/>
      </c>
      <c r="P1036" s="24">
        <f>IF($J1036="","",YEAR($J1036))</f>
        <v/>
      </c>
      <c r="Q1036" s="24">
        <f>IF($J1036="","",MONTH($J1036))</f>
        <v/>
      </c>
      <c r="R1036" s="24">
        <f>IF($J1036="","",$P1036&amp;"-"&amp;TEXT($Q1036,"00"))</f>
        <v/>
      </c>
      <c r="S1036" s="24">
        <f>IF($J1036="","",INDEX(lista_dias,WEEKDAY($J1036,2)))</f>
        <v/>
      </c>
      <c r="T1036" s="24">
        <f>IF($J1036="","",IFERROR(INDEX('CALENDARIO'!$C$15:$C$214,MATCH(TEXT($J1036,"yyyy-mm-dd")&amp;"|"&amp;$Y1036&amp;"|"&amp;$Z1036,'CALENDARIO'!$G$15:$G$214,0)),IFERROR(INDEX('CALENDARIO'!$C$15:$C$214,MATCH(TEXT($J1036,"yyyy-mm-dd")&amp;"|"&amp;$Y1036&amp;"|",'CALENDARIO'!$G$15:$G$214,0)),IFERROR(INDEX('CALENDARIO'!$C$15:$C$214,MATCH(TEXT($J1036,"yyyy-mm-dd")&amp;"||",'CALENDARIO'!$G$15:$G$214,0)),INDEX(patronHabil,WEEKDAY($J1036,2))))))</f>
        <v/>
      </c>
      <c r="U1036" s="24">
        <f>IF($I1036="","",IFERROR(INDEX('CAT_TIPOS_OT'!$C$4:$C$23,MATCH($I1036,'CAT_TIPOS_OT'!$A$4:$A$23,0)),"sin_clasificar"))</f>
        <v/>
      </c>
      <c r="V1036" s="24">
        <f>IF($I1036="","",IF(IFERROR(INDEX('CAT_TIPOS_OT'!$D$4:$D$23,MATCH($I1036,'CAT_TIPOS_OT'!$A$4:$A$23,0)),"SIN CLASIFICAR")="","SIN CLASIFICAR",IFERROR(INDEX('CAT_TIPOS_OT'!$D$4:$D$23,MATCH($I1036,'CAT_TIPOS_OT'!$A$4:$A$23,0)),"SIN CLASIFICAR")))</f>
        <v/>
      </c>
      <c r="W1036" s="24">
        <f>IF($H1036="","",IF(IFERROR(INDEX('CAT_ACTIVIDADES'!$F$4:$F$26,MATCH($H1036,'CAT_ACTIVIDADES'!$A$4:$A$26,0)),"")=0,"",IFERROR(INDEX('CAT_ACTIVIDADES'!$F$4:$F$26,MATCH($H1036,'CAT_ACTIVIDADES'!$A$4:$A$26,0)),"")))</f>
        <v/>
      </c>
      <c r="X1036" s="24">
        <f>IF($F1036="","",IFERROR(INDEX('CAT_CENTROS_COSTO'!$F$4:$F$28,MATCH($F1036,'CAT_CENTROS_COSTO'!$A$4:$A$28,0)),"(sin catálogo)"))</f>
        <v/>
      </c>
      <c r="Y1036" s="24">
        <f>IF($F1036="","",IFERROR(INDEX('CAT_CENTROS_COSTO'!$D$4:$D$28,MATCH($F1036,'CAT_CENTROS_COSTO'!$A$4:$A$28,0)),"(sin catálogo)"))</f>
        <v/>
      </c>
      <c r="Z1036" s="24">
        <f>IF($F1036="","",IF((IFERROR(INDEX('CAT_CENTROS_COSTO'!$E$4:$E$28,MATCH($F1036,'CAT_CENTROS_COSTO'!$A$4:$A$28,0)),""))&lt;&gt;"",IFERROR(INDEX('CAT_CENTROS_COSTO'!$E$4:$E$28,MATCH($F1036,'CAT_CENTROS_COSTO'!$A$4:$A$28,0)),""),$Y1036))</f>
        <v/>
      </c>
      <c r="AA1036" s="24">
        <f>IF($F1036="","",IFERROR(INDEX('CAT_CENTROS_COSTO'!$G$4:$G$28,MATCH($F1036,'CAT_CENTROS_COSTO'!$A$4:$A$28,0)),"(sin catálogo)"))</f>
        <v/>
      </c>
      <c r="AB1036" s="24">
        <f>IF($G1036="","",IFERROR(INDEX('CAT_PUESTOS'!$B$4:$B$23,MATCH($G1036,'CAT_PUESTOS'!$A$4:$A$23,0)),"(sin catálogo)"))</f>
        <v/>
      </c>
      <c r="AC1036" s="24">
        <f>IF($H1036="","",IFERROR(INDEX('CAT_ACTIVIDADES'!$B$4:$B$26,MATCH($H1036,'CAT_ACTIVIDADES'!$A$4:$A$26,0)),"(sin catálogo)"))</f>
        <v/>
      </c>
      <c r="AD1036" s="26">
        <f>IF($J1036="","",TODAY()-$J1036)</f>
        <v/>
      </c>
      <c r="AE1036" s="26">
        <f>IF($J1036="","",IF($J1036&lt;=TODAY(),COUNTIFS(cal_fechas,"&gt;="&amp;$J1036,cal_fechas,"&lt;"&amp;TODAY(),cal_habil,"sí"),-COUNTIFS(cal_fechas,"&gt;="&amp;TODAY(),cal_fechas,"&lt;"&amp;$J1036,cal_habil,"sí")))</f>
        <v/>
      </c>
      <c r="AF1036" s="24">
        <f>IF($AE1036="","",IF($AE1036&lt;0,"FUTURO",IF($AE1036&gt;p_dias_backlog_max,"BACKLOG","MES CORRIENTE")))</f>
        <v/>
      </c>
      <c r="AG1036" s="24">
        <f>IF($AE1036="",FALSE,AND($AE1036&gt;p_dias_backlog_min,$AE1036&lt;=p_dias_backlog_max))</f>
        <v/>
      </c>
      <c r="AH1036" s="4" t="n"/>
      <c r="AI1036" s="24">
        <f>IF($AH1036="","",IF((IFERROR(INDEX('ASIGNACIONES'!$J$4:$J$451,MATCH($O1036&amp;"|"&amp;$S1036&amp;"|"&amp;$AH1036,'ASIGNACIONES'!$N$4:$N$451,0)),""))=0,"",IFERROR(INDEX('ASIGNACIONES'!$J$4:$J$451,MATCH($O1036&amp;"|"&amp;$S1036&amp;"|"&amp;$AH1036,'ASIGNACIONES'!$N$4:$N$451,0)),"")))</f>
        <v/>
      </c>
      <c r="AJ1036" s="42">
        <f>IF($AH1036="","",SUMIFS('ORDENES'!$M$4:$M$1203,'ORDENES'!$AH$4:$AH$1203,$AH1036,'ORDENES'!$O$4:$O$1203,$O1036,'ORDENES'!$S$4:$S$1203,$S1036))</f>
        <v/>
      </c>
      <c r="AK1036" s="42">
        <f>IF($AJ1036="","",p_factor_productividad*IFERROR(INDEX('ASIGNACIONES'!$M$4:$M$451,MATCH($O1036&amp;"|"&amp;$S1036&amp;"|"&amp;$AH1036,'ASIGNACIONES'!$N$4:$N$451,0)),0)-$AJ1036)</f>
        <v/>
      </c>
      <c r="AL1036" s="32">
        <f>IF($A1036="","",IFERROR(INDEX('2_IMPORTAR_EJECUCION'!$F$9:$F$1208,MATCH($AU1036,'2_IMPORTAR_EJECUCION'!$J$9:$J$1208,0)),0))</f>
        <v/>
      </c>
      <c r="AM1036" s="32">
        <f>IF($A1036="","",MAX(0,IFERROR(INDEX('2_IMPORTAR_EJECUCION'!$H$9:$H$1208,MATCH($AU1036,'2_IMPORTAR_EJECUCION'!$J$9:$J$1208,0)),0)-$AL1036))</f>
        <v/>
      </c>
      <c r="AN1036" s="32">
        <f>IF($A1036="","",$AL1036+$AM1036)</f>
        <v/>
      </c>
      <c r="AO1036" s="24">
        <f>IF($A1036="","",IF(OR((IFERROR(INDEX('CAT_ACTIVIDADES'!$D$4:$D$26,MATCH($H1036,'CAT_ACTIVIDADES'!$A$4:$A$26,0)),""))=0,(IFERROR(INDEX('CAT_ACTIVIDADES'!$D$4:$D$26,MATCH($H1036,'CAT_ACTIVIDADES'!$A$4:$A$26,0)),""))=""),"SIN CLASIFICAR",IFERROR(INDEX('CAT_ACTIVIDADES'!$D$4:$D$26,MATCH($H1036,'CAT_ACTIVIDADES'!$A$4:$A$26,0)),"")))</f>
        <v/>
      </c>
      <c r="AP1036" s="4" t="n"/>
      <c r="AQ1036" s="4" t="n"/>
      <c r="AR1036" s="4" t="n"/>
      <c r="AS1036" s="24">
        <f>IF($AR1036="","",HYPERLINK(p_ruta_base_checklists&amp;$AR1036,"abrir"))</f>
        <v/>
      </c>
      <c r="AT1036" s="4" t="n"/>
      <c r="AU1036" s="24">
        <f>IF($A1036="","",$A1036&amp;IF($B1036="","0010",$B1036))</f>
        <v/>
      </c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41" t="n"/>
      <c r="K1037" s="5" t="n"/>
      <c r="L1037" s="18" t="n"/>
      <c r="M1037" s="24">
        <f>IF($A1037="","",IFERROR(INDEX('AJUSTES'!$B$4:$B$303,MATCH($AU1037,'AJUSTES'!$A$4:$A$303,0)),IF($K1037="","",$K1037)))</f>
        <v/>
      </c>
      <c r="N1037" s="24">
        <f>IF($A1037="","",IFERROR(INDEX('CAT_ESTADOS_ERP'!$B$4:$B$22,MATCH(IFERROR(INDEX('2_IMPORTAR_EJECUCION'!$C$9:$C$1208,MATCH($AU1037,'2_IMPORTAR_EJECUCION'!$J$9:$J$1208,0)),""),'CAT_ESTADOS_ERP'!$A$4:$A$22,0)),"Pendiente"))</f>
        <v/>
      </c>
      <c r="O1037" s="24">
        <f>IF($J1037="","",YEAR($J1037+4-WEEKDAY($J1037,2))&amp;"-S"&amp;TEXT(_xlfn.ISOWEEKNUM($J1037),"00"))</f>
        <v/>
      </c>
      <c r="P1037" s="24">
        <f>IF($J1037="","",YEAR($J1037))</f>
        <v/>
      </c>
      <c r="Q1037" s="24">
        <f>IF($J1037="","",MONTH($J1037))</f>
        <v/>
      </c>
      <c r="R1037" s="24">
        <f>IF($J1037="","",$P1037&amp;"-"&amp;TEXT($Q1037,"00"))</f>
        <v/>
      </c>
      <c r="S1037" s="24">
        <f>IF($J1037="","",INDEX(lista_dias,WEEKDAY($J1037,2)))</f>
        <v/>
      </c>
      <c r="T1037" s="24">
        <f>IF($J1037="","",IFERROR(INDEX('CALENDARIO'!$C$15:$C$214,MATCH(TEXT($J1037,"yyyy-mm-dd")&amp;"|"&amp;$Y1037&amp;"|"&amp;$Z1037,'CALENDARIO'!$G$15:$G$214,0)),IFERROR(INDEX('CALENDARIO'!$C$15:$C$214,MATCH(TEXT($J1037,"yyyy-mm-dd")&amp;"|"&amp;$Y1037&amp;"|",'CALENDARIO'!$G$15:$G$214,0)),IFERROR(INDEX('CALENDARIO'!$C$15:$C$214,MATCH(TEXT($J1037,"yyyy-mm-dd")&amp;"||",'CALENDARIO'!$G$15:$G$214,0)),INDEX(patronHabil,WEEKDAY($J1037,2))))))</f>
        <v/>
      </c>
      <c r="U1037" s="24">
        <f>IF($I1037="","",IFERROR(INDEX('CAT_TIPOS_OT'!$C$4:$C$23,MATCH($I1037,'CAT_TIPOS_OT'!$A$4:$A$23,0)),"sin_clasificar"))</f>
        <v/>
      </c>
      <c r="V1037" s="24">
        <f>IF($I1037="","",IF(IFERROR(INDEX('CAT_TIPOS_OT'!$D$4:$D$23,MATCH($I1037,'CAT_TIPOS_OT'!$A$4:$A$23,0)),"SIN CLASIFICAR")="","SIN CLASIFICAR",IFERROR(INDEX('CAT_TIPOS_OT'!$D$4:$D$23,MATCH($I1037,'CAT_TIPOS_OT'!$A$4:$A$23,0)),"SIN CLASIFICAR")))</f>
        <v/>
      </c>
      <c r="W1037" s="24">
        <f>IF($H1037="","",IF(IFERROR(INDEX('CAT_ACTIVIDADES'!$F$4:$F$26,MATCH($H1037,'CAT_ACTIVIDADES'!$A$4:$A$26,0)),"")=0,"",IFERROR(INDEX('CAT_ACTIVIDADES'!$F$4:$F$26,MATCH($H1037,'CAT_ACTIVIDADES'!$A$4:$A$26,0)),"")))</f>
        <v/>
      </c>
      <c r="X1037" s="24">
        <f>IF($F1037="","",IFERROR(INDEX('CAT_CENTROS_COSTO'!$F$4:$F$28,MATCH($F1037,'CAT_CENTROS_COSTO'!$A$4:$A$28,0)),"(sin catálogo)"))</f>
        <v/>
      </c>
      <c r="Y1037" s="24">
        <f>IF($F1037="","",IFERROR(INDEX('CAT_CENTROS_COSTO'!$D$4:$D$28,MATCH($F1037,'CAT_CENTROS_COSTO'!$A$4:$A$28,0)),"(sin catálogo)"))</f>
        <v/>
      </c>
      <c r="Z1037" s="24">
        <f>IF($F1037="","",IF((IFERROR(INDEX('CAT_CENTROS_COSTO'!$E$4:$E$28,MATCH($F1037,'CAT_CENTROS_COSTO'!$A$4:$A$28,0)),""))&lt;&gt;"",IFERROR(INDEX('CAT_CENTROS_COSTO'!$E$4:$E$28,MATCH($F1037,'CAT_CENTROS_COSTO'!$A$4:$A$28,0)),""),$Y1037))</f>
        <v/>
      </c>
      <c r="AA1037" s="24">
        <f>IF($F1037="","",IFERROR(INDEX('CAT_CENTROS_COSTO'!$G$4:$G$28,MATCH($F1037,'CAT_CENTROS_COSTO'!$A$4:$A$28,0)),"(sin catálogo)"))</f>
        <v/>
      </c>
      <c r="AB1037" s="24">
        <f>IF($G1037="","",IFERROR(INDEX('CAT_PUESTOS'!$B$4:$B$23,MATCH($G1037,'CAT_PUESTOS'!$A$4:$A$23,0)),"(sin catálogo)"))</f>
        <v/>
      </c>
      <c r="AC1037" s="24">
        <f>IF($H1037="","",IFERROR(INDEX('CAT_ACTIVIDADES'!$B$4:$B$26,MATCH($H1037,'CAT_ACTIVIDADES'!$A$4:$A$26,0)),"(sin catálogo)"))</f>
        <v/>
      </c>
      <c r="AD1037" s="26">
        <f>IF($J1037="","",TODAY()-$J1037)</f>
        <v/>
      </c>
      <c r="AE1037" s="26">
        <f>IF($J1037="","",IF($J1037&lt;=TODAY(),COUNTIFS(cal_fechas,"&gt;="&amp;$J1037,cal_fechas,"&lt;"&amp;TODAY(),cal_habil,"sí"),-COUNTIFS(cal_fechas,"&gt;="&amp;TODAY(),cal_fechas,"&lt;"&amp;$J1037,cal_habil,"sí")))</f>
        <v/>
      </c>
      <c r="AF1037" s="24">
        <f>IF($AE1037="","",IF($AE1037&lt;0,"FUTURO",IF($AE1037&gt;p_dias_backlog_max,"BACKLOG","MES CORRIENTE")))</f>
        <v/>
      </c>
      <c r="AG1037" s="24">
        <f>IF($AE1037="",FALSE,AND($AE1037&gt;p_dias_backlog_min,$AE1037&lt;=p_dias_backlog_max))</f>
        <v/>
      </c>
      <c r="AH1037" s="4" t="n"/>
      <c r="AI1037" s="24">
        <f>IF($AH1037="","",IF((IFERROR(INDEX('ASIGNACIONES'!$J$4:$J$451,MATCH($O1037&amp;"|"&amp;$S1037&amp;"|"&amp;$AH1037,'ASIGNACIONES'!$N$4:$N$451,0)),""))=0,"",IFERROR(INDEX('ASIGNACIONES'!$J$4:$J$451,MATCH($O1037&amp;"|"&amp;$S1037&amp;"|"&amp;$AH1037,'ASIGNACIONES'!$N$4:$N$451,0)),"")))</f>
        <v/>
      </c>
      <c r="AJ1037" s="42">
        <f>IF($AH1037="","",SUMIFS('ORDENES'!$M$4:$M$1203,'ORDENES'!$AH$4:$AH$1203,$AH1037,'ORDENES'!$O$4:$O$1203,$O1037,'ORDENES'!$S$4:$S$1203,$S1037))</f>
        <v/>
      </c>
      <c r="AK1037" s="42">
        <f>IF($AJ1037="","",p_factor_productividad*IFERROR(INDEX('ASIGNACIONES'!$M$4:$M$451,MATCH($O1037&amp;"|"&amp;$S1037&amp;"|"&amp;$AH1037,'ASIGNACIONES'!$N$4:$N$451,0)),0)-$AJ1037)</f>
        <v/>
      </c>
      <c r="AL1037" s="32">
        <f>IF($A1037="","",IFERROR(INDEX('2_IMPORTAR_EJECUCION'!$F$9:$F$1208,MATCH($AU1037,'2_IMPORTAR_EJECUCION'!$J$9:$J$1208,0)),0))</f>
        <v/>
      </c>
      <c r="AM1037" s="32">
        <f>IF($A1037="","",MAX(0,IFERROR(INDEX('2_IMPORTAR_EJECUCION'!$H$9:$H$1208,MATCH($AU1037,'2_IMPORTAR_EJECUCION'!$J$9:$J$1208,0)),0)-$AL1037))</f>
        <v/>
      </c>
      <c r="AN1037" s="32">
        <f>IF($A1037="","",$AL1037+$AM1037)</f>
        <v/>
      </c>
      <c r="AO1037" s="24">
        <f>IF($A1037="","",IF(OR((IFERROR(INDEX('CAT_ACTIVIDADES'!$D$4:$D$26,MATCH($H1037,'CAT_ACTIVIDADES'!$A$4:$A$26,0)),""))=0,(IFERROR(INDEX('CAT_ACTIVIDADES'!$D$4:$D$26,MATCH($H1037,'CAT_ACTIVIDADES'!$A$4:$A$26,0)),""))=""),"SIN CLASIFICAR",IFERROR(INDEX('CAT_ACTIVIDADES'!$D$4:$D$26,MATCH($H1037,'CAT_ACTIVIDADES'!$A$4:$A$26,0)),"")))</f>
        <v/>
      </c>
      <c r="AP1037" s="4" t="n"/>
      <c r="AQ1037" s="4" t="n"/>
      <c r="AR1037" s="4" t="n"/>
      <c r="AS1037" s="24">
        <f>IF($AR1037="","",HYPERLINK(p_ruta_base_checklists&amp;$AR1037,"abrir"))</f>
        <v/>
      </c>
      <c r="AT1037" s="4" t="n"/>
      <c r="AU1037" s="24">
        <f>IF($A1037="","",$A1037&amp;IF($B1037="","0010",$B1037))</f>
        <v/>
      </c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41" t="n"/>
      <c r="K1038" s="5" t="n"/>
      <c r="L1038" s="18" t="n"/>
      <c r="M1038" s="24">
        <f>IF($A1038="","",IFERROR(INDEX('AJUSTES'!$B$4:$B$303,MATCH($AU1038,'AJUSTES'!$A$4:$A$303,0)),IF($K1038="","",$K1038)))</f>
        <v/>
      </c>
      <c r="N1038" s="24">
        <f>IF($A1038="","",IFERROR(INDEX('CAT_ESTADOS_ERP'!$B$4:$B$22,MATCH(IFERROR(INDEX('2_IMPORTAR_EJECUCION'!$C$9:$C$1208,MATCH($AU1038,'2_IMPORTAR_EJECUCION'!$J$9:$J$1208,0)),""),'CAT_ESTADOS_ERP'!$A$4:$A$22,0)),"Pendiente"))</f>
        <v/>
      </c>
      <c r="O1038" s="24">
        <f>IF($J1038="","",YEAR($J1038+4-WEEKDAY($J1038,2))&amp;"-S"&amp;TEXT(_xlfn.ISOWEEKNUM($J1038),"00"))</f>
        <v/>
      </c>
      <c r="P1038" s="24">
        <f>IF($J1038="","",YEAR($J1038))</f>
        <v/>
      </c>
      <c r="Q1038" s="24">
        <f>IF($J1038="","",MONTH($J1038))</f>
        <v/>
      </c>
      <c r="R1038" s="24">
        <f>IF($J1038="","",$P1038&amp;"-"&amp;TEXT($Q1038,"00"))</f>
        <v/>
      </c>
      <c r="S1038" s="24">
        <f>IF($J1038="","",INDEX(lista_dias,WEEKDAY($J1038,2)))</f>
        <v/>
      </c>
      <c r="T1038" s="24">
        <f>IF($J1038="","",IFERROR(INDEX('CALENDARIO'!$C$15:$C$214,MATCH(TEXT($J1038,"yyyy-mm-dd")&amp;"|"&amp;$Y1038&amp;"|"&amp;$Z1038,'CALENDARIO'!$G$15:$G$214,0)),IFERROR(INDEX('CALENDARIO'!$C$15:$C$214,MATCH(TEXT($J1038,"yyyy-mm-dd")&amp;"|"&amp;$Y1038&amp;"|",'CALENDARIO'!$G$15:$G$214,0)),IFERROR(INDEX('CALENDARIO'!$C$15:$C$214,MATCH(TEXT($J1038,"yyyy-mm-dd")&amp;"||",'CALENDARIO'!$G$15:$G$214,0)),INDEX(patronHabil,WEEKDAY($J1038,2))))))</f>
        <v/>
      </c>
      <c r="U1038" s="24">
        <f>IF($I1038="","",IFERROR(INDEX('CAT_TIPOS_OT'!$C$4:$C$23,MATCH($I1038,'CAT_TIPOS_OT'!$A$4:$A$23,0)),"sin_clasificar"))</f>
        <v/>
      </c>
      <c r="V1038" s="24">
        <f>IF($I1038="","",IF(IFERROR(INDEX('CAT_TIPOS_OT'!$D$4:$D$23,MATCH($I1038,'CAT_TIPOS_OT'!$A$4:$A$23,0)),"SIN CLASIFICAR")="","SIN CLASIFICAR",IFERROR(INDEX('CAT_TIPOS_OT'!$D$4:$D$23,MATCH($I1038,'CAT_TIPOS_OT'!$A$4:$A$23,0)),"SIN CLASIFICAR")))</f>
        <v/>
      </c>
      <c r="W1038" s="24">
        <f>IF($H1038="","",IF(IFERROR(INDEX('CAT_ACTIVIDADES'!$F$4:$F$26,MATCH($H1038,'CAT_ACTIVIDADES'!$A$4:$A$26,0)),"")=0,"",IFERROR(INDEX('CAT_ACTIVIDADES'!$F$4:$F$26,MATCH($H1038,'CAT_ACTIVIDADES'!$A$4:$A$26,0)),"")))</f>
        <v/>
      </c>
      <c r="X1038" s="24">
        <f>IF($F1038="","",IFERROR(INDEX('CAT_CENTROS_COSTO'!$F$4:$F$28,MATCH($F1038,'CAT_CENTROS_COSTO'!$A$4:$A$28,0)),"(sin catálogo)"))</f>
        <v/>
      </c>
      <c r="Y1038" s="24">
        <f>IF($F1038="","",IFERROR(INDEX('CAT_CENTROS_COSTO'!$D$4:$D$28,MATCH($F1038,'CAT_CENTROS_COSTO'!$A$4:$A$28,0)),"(sin catálogo)"))</f>
        <v/>
      </c>
      <c r="Z1038" s="24">
        <f>IF($F1038="","",IF((IFERROR(INDEX('CAT_CENTROS_COSTO'!$E$4:$E$28,MATCH($F1038,'CAT_CENTROS_COSTO'!$A$4:$A$28,0)),""))&lt;&gt;"",IFERROR(INDEX('CAT_CENTROS_COSTO'!$E$4:$E$28,MATCH($F1038,'CAT_CENTROS_COSTO'!$A$4:$A$28,0)),""),$Y1038))</f>
        <v/>
      </c>
      <c r="AA1038" s="24">
        <f>IF($F1038="","",IFERROR(INDEX('CAT_CENTROS_COSTO'!$G$4:$G$28,MATCH($F1038,'CAT_CENTROS_COSTO'!$A$4:$A$28,0)),"(sin catálogo)"))</f>
        <v/>
      </c>
      <c r="AB1038" s="24">
        <f>IF($G1038="","",IFERROR(INDEX('CAT_PUESTOS'!$B$4:$B$23,MATCH($G1038,'CAT_PUESTOS'!$A$4:$A$23,0)),"(sin catálogo)"))</f>
        <v/>
      </c>
      <c r="AC1038" s="24">
        <f>IF($H1038="","",IFERROR(INDEX('CAT_ACTIVIDADES'!$B$4:$B$26,MATCH($H1038,'CAT_ACTIVIDADES'!$A$4:$A$26,0)),"(sin catálogo)"))</f>
        <v/>
      </c>
      <c r="AD1038" s="26">
        <f>IF($J1038="","",TODAY()-$J1038)</f>
        <v/>
      </c>
      <c r="AE1038" s="26">
        <f>IF($J1038="","",IF($J1038&lt;=TODAY(),COUNTIFS(cal_fechas,"&gt;="&amp;$J1038,cal_fechas,"&lt;"&amp;TODAY(),cal_habil,"sí"),-COUNTIFS(cal_fechas,"&gt;="&amp;TODAY(),cal_fechas,"&lt;"&amp;$J1038,cal_habil,"sí")))</f>
        <v/>
      </c>
      <c r="AF1038" s="24">
        <f>IF($AE1038="","",IF($AE1038&lt;0,"FUTURO",IF($AE1038&gt;p_dias_backlog_max,"BACKLOG","MES CORRIENTE")))</f>
        <v/>
      </c>
      <c r="AG1038" s="24">
        <f>IF($AE1038="",FALSE,AND($AE1038&gt;p_dias_backlog_min,$AE1038&lt;=p_dias_backlog_max))</f>
        <v/>
      </c>
      <c r="AH1038" s="4" t="n"/>
      <c r="AI1038" s="24">
        <f>IF($AH1038="","",IF((IFERROR(INDEX('ASIGNACIONES'!$J$4:$J$451,MATCH($O1038&amp;"|"&amp;$S1038&amp;"|"&amp;$AH1038,'ASIGNACIONES'!$N$4:$N$451,0)),""))=0,"",IFERROR(INDEX('ASIGNACIONES'!$J$4:$J$451,MATCH($O1038&amp;"|"&amp;$S1038&amp;"|"&amp;$AH1038,'ASIGNACIONES'!$N$4:$N$451,0)),"")))</f>
        <v/>
      </c>
      <c r="AJ1038" s="42">
        <f>IF($AH1038="","",SUMIFS('ORDENES'!$M$4:$M$1203,'ORDENES'!$AH$4:$AH$1203,$AH1038,'ORDENES'!$O$4:$O$1203,$O1038,'ORDENES'!$S$4:$S$1203,$S1038))</f>
        <v/>
      </c>
      <c r="AK1038" s="42">
        <f>IF($AJ1038="","",p_factor_productividad*IFERROR(INDEX('ASIGNACIONES'!$M$4:$M$451,MATCH($O1038&amp;"|"&amp;$S1038&amp;"|"&amp;$AH1038,'ASIGNACIONES'!$N$4:$N$451,0)),0)-$AJ1038)</f>
        <v/>
      </c>
      <c r="AL1038" s="32">
        <f>IF($A1038="","",IFERROR(INDEX('2_IMPORTAR_EJECUCION'!$F$9:$F$1208,MATCH($AU1038,'2_IMPORTAR_EJECUCION'!$J$9:$J$1208,0)),0))</f>
        <v/>
      </c>
      <c r="AM1038" s="32">
        <f>IF($A1038="","",MAX(0,IFERROR(INDEX('2_IMPORTAR_EJECUCION'!$H$9:$H$1208,MATCH($AU1038,'2_IMPORTAR_EJECUCION'!$J$9:$J$1208,0)),0)-$AL1038))</f>
        <v/>
      </c>
      <c r="AN1038" s="32">
        <f>IF($A1038="","",$AL1038+$AM1038)</f>
        <v/>
      </c>
      <c r="AO1038" s="24">
        <f>IF($A1038="","",IF(OR((IFERROR(INDEX('CAT_ACTIVIDADES'!$D$4:$D$26,MATCH($H1038,'CAT_ACTIVIDADES'!$A$4:$A$26,0)),""))=0,(IFERROR(INDEX('CAT_ACTIVIDADES'!$D$4:$D$26,MATCH($H1038,'CAT_ACTIVIDADES'!$A$4:$A$26,0)),""))=""),"SIN CLASIFICAR",IFERROR(INDEX('CAT_ACTIVIDADES'!$D$4:$D$26,MATCH($H1038,'CAT_ACTIVIDADES'!$A$4:$A$26,0)),"")))</f>
        <v/>
      </c>
      <c r="AP1038" s="4" t="n"/>
      <c r="AQ1038" s="4" t="n"/>
      <c r="AR1038" s="4" t="n"/>
      <c r="AS1038" s="24">
        <f>IF($AR1038="","",HYPERLINK(p_ruta_base_checklists&amp;$AR1038,"abrir"))</f>
        <v/>
      </c>
      <c r="AT1038" s="4" t="n"/>
      <c r="AU1038" s="24">
        <f>IF($A1038="","",$A1038&amp;IF($B1038="","0010",$B1038))</f>
        <v/>
      </c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41" t="n"/>
      <c r="K1039" s="5" t="n"/>
      <c r="L1039" s="18" t="n"/>
      <c r="M1039" s="24">
        <f>IF($A1039="","",IFERROR(INDEX('AJUSTES'!$B$4:$B$303,MATCH($AU1039,'AJUSTES'!$A$4:$A$303,0)),IF($K1039="","",$K1039)))</f>
        <v/>
      </c>
      <c r="N1039" s="24">
        <f>IF($A1039="","",IFERROR(INDEX('CAT_ESTADOS_ERP'!$B$4:$B$22,MATCH(IFERROR(INDEX('2_IMPORTAR_EJECUCION'!$C$9:$C$1208,MATCH($AU1039,'2_IMPORTAR_EJECUCION'!$J$9:$J$1208,0)),""),'CAT_ESTADOS_ERP'!$A$4:$A$22,0)),"Pendiente"))</f>
        <v/>
      </c>
      <c r="O1039" s="24">
        <f>IF($J1039="","",YEAR($J1039+4-WEEKDAY($J1039,2))&amp;"-S"&amp;TEXT(_xlfn.ISOWEEKNUM($J1039),"00"))</f>
        <v/>
      </c>
      <c r="P1039" s="24">
        <f>IF($J1039="","",YEAR($J1039))</f>
        <v/>
      </c>
      <c r="Q1039" s="24">
        <f>IF($J1039="","",MONTH($J1039))</f>
        <v/>
      </c>
      <c r="R1039" s="24">
        <f>IF($J1039="","",$P1039&amp;"-"&amp;TEXT($Q1039,"00"))</f>
        <v/>
      </c>
      <c r="S1039" s="24">
        <f>IF($J1039="","",INDEX(lista_dias,WEEKDAY($J1039,2)))</f>
        <v/>
      </c>
      <c r="T1039" s="24">
        <f>IF($J1039="","",IFERROR(INDEX('CALENDARIO'!$C$15:$C$214,MATCH(TEXT($J1039,"yyyy-mm-dd")&amp;"|"&amp;$Y1039&amp;"|"&amp;$Z1039,'CALENDARIO'!$G$15:$G$214,0)),IFERROR(INDEX('CALENDARIO'!$C$15:$C$214,MATCH(TEXT($J1039,"yyyy-mm-dd")&amp;"|"&amp;$Y1039&amp;"|",'CALENDARIO'!$G$15:$G$214,0)),IFERROR(INDEX('CALENDARIO'!$C$15:$C$214,MATCH(TEXT($J1039,"yyyy-mm-dd")&amp;"||",'CALENDARIO'!$G$15:$G$214,0)),INDEX(patronHabil,WEEKDAY($J1039,2))))))</f>
        <v/>
      </c>
      <c r="U1039" s="24">
        <f>IF($I1039="","",IFERROR(INDEX('CAT_TIPOS_OT'!$C$4:$C$23,MATCH($I1039,'CAT_TIPOS_OT'!$A$4:$A$23,0)),"sin_clasificar"))</f>
        <v/>
      </c>
      <c r="V1039" s="24">
        <f>IF($I1039="","",IF(IFERROR(INDEX('CAT_TIPOS_OT'!$D$4:$D$23,MATCH($I1039,'CAT_TIPOS_OT'!$A$4:$A$23,0)),"SIN CLASIFICAR")="","SIN CLASIFICAR",IFERROR(INDEX('CAT_TIPOS_OT'!$D$4:$D$23,MATCH($I1039,'CAT_TIPOS_OT'!$A$4:$A$23,0)),"SIN CLASIFICAR")))</f>
        <v/>
      </c>
      <c r="W1039" s="24">
        <f>IF($H1039="","",IF(IFERROR(INDEX('CAT_ACTIVIDADES'!$F$4:$F$26,MATCH($H1039,'CAT_ACTIVIDADES'!$A$4:$A$26,0)),"")=0,"",IFERROR(INDEX('CAT_ACTIVIDADES'!$F$4:$F$26,MATCH($H1039,'CAT_ACTIVIDADES'!$A$4:$A$26,0)),"")))</f>
        <v/>
      </c>
      <c r="X1039" s="24">
        <f>IF($F1039="","",IFERROR(INDEX('CAT_CENTROS_COSTO'!$F$4:$F$28,MATCH($F1039,'CAT_CENTROS_COSTO'!$A$4:$A$28,0)),"(sin catálogo)"))</f>
        <v/>
      </c>
      <c r="Y1039" s="24">
        <f>IF($F1039="","",IFERROR(INDEX('CAT_CENTROS_COSTO'!$D$4:$D$28,MATCH($F1039,'CAT_CENTROS_COSTO'!$A$4:$A$28,0)),"(sin catálogo)"))</f>
        <v/>
      </c>
      <c r="Z1039" s="24">
        <f>IF($F1039="","",IF((IFERROR(INDEX('CAT_CENTROS_COSTO'!$E$4:$E$28,MATCH($F1039,'CAT_CENTROS_COSTO'!$A$4:$A$28,0)),""))&lt;&gt;"",IFERROR(INDEX('CAT_CENTROS_COSTO'!$E$4:$E$28,MATCH($F1039,'CAT_CENTROS_COSTO'!$A$4:$A$28,0)),""),$Y1039))</f>
        <v/>
      </c>
      <c r="AA1039" s="24">
        <f>IF($F1039="","",IFERROR(INDEX('CAT_CENTROS_COSTO'!$G$4:$G$28,MATCH($F1039,'CAT_CENTROS_COSTO'!$A$4:$A$28,0)),"(sin catálogo)"))</f>
        <v/>
      </c>
      <c r="AB1039" s="24">
        <f>IF($G1039="","",IFERROR(INDEX('CAT_PUESTOS'!$B$4:$B$23,MATCH($G1039,'CAT_PUESTOS'!$A$4:$A$23,0)),"(sin catálogo)"))</f>
        <v/>
      </c>
      <c r="AC1039" s="24">
        <f>IF($H1039="","",IFERROR(INDEX('CAT_ACTIVIDADES'!$B$4:$B$26,MATCH($H1039,'CAT_ACTIVIDADES'!$A$4:$A$26,0)),"(sin catálogo)"))</f>
        <v/>
      </c>
      <c r="AD1039" s="26">
        <f>IF($J1039="","",TODAY()-$J1039)</f>
        <v/>
      </c>
      <c r="AE1039" s="26">
        <f>IF($J1039="","",IF($J1039&lt;=TODAY(),COUNTIFS(cal_fechas,"&gt;="&amp;$J1039,cal_fechas,"&lt;"&amp;TODAY(),cal_habil,"sí"),-COUNTIFS(cal_fechas,"&gt;="&amp;TODAY(),cal_fechas,"&lt;"&amp;$J1039,cal_habil,"sí")))</f>
        <v/>
      </c>
      <c r="AF1039" s="24">
        <f>IF($AE1039="","",IF($AE1039&lt;0,"FUTURO",IF($AE1039&gt;p_dias_backlog_max,"BACKLOG","MES CORRIENTE")))</f>
        <v/>
      </c>
      <c r="AG1039" s="24">
        <f>IF($AE1039="",FALSE,AND($AE1039&gt;p_dias_backlog_min,$AE1039&lt;=p_dias_backlog_max))</f>
        <v/>
      </c>
      <c r="AH1039" s="4" t="n"/>
      <c r="AI1039" s="24">
        <f>IF($AH1039="","",IF((IFERROR(INDEX('ASIGNACIONES'!$J$4:$J$451,MATCH($O1039&amp;"|"&amp;$S1039&amp;"|"&amp;$AH1039,'ASIGNACIONES'!$N$4:$N$451,0)),""))=0,"",IFERROR(INDEX('ASIGNACIONES'!$J$4:$J$451,MATCH($O1039&amp;"|"&amp;$S1039&amp;"|"&amp;$AH1039,'ASIGNACIONES'!$N$4:$N$451,0)),"")))</f>
        <v/>
      </c>
      <c r="AJ1039" s="42">
        <f>IF($AH1039="","",SUMIFS('ORDENES'!$M$4:$M$1203,'ORDENES'!$AH$4:$AH$1203,$AH1039,'ORDENES'!$O$4:$O$1203,$O1039,'ORDENES'!$S$4:$S$1203,$S1039))</f>
        <v/>
      </c>
      <c r="AK1039" s="42">
        <f>IF($AJ1039="","",p_factor_productividad*IFERROR(INDEX('ASIGNACIONES'!$M$4:$M$451,MATCH($O1039&amp;"|"&amp;$S1039&amp;"|"&amp;$AH1039,'ASIGNACIONES'!$N$4:$N$451,0)),0)-$AJ1039)</f>
        <v/>
      </c>
      <c r="AL1039" s="32">
        <f>IF($A1039="","",IFERROR(INDEX('2_IMPORTAR_EJECUCION'!$F$9:$F$1208,MATCH($AU1039,'2_IMPORTAR_EJECUCION'!$J$9:$J$1208,0)),0))</f>
        <v/>
      </c>
      <c r="AM1039" s="32">
        <f>IF($A1039="","",MAX(0,IFERROR(INDEX('2_IMPORTAR_EJECUCION'!$H$9:$H$1208,MATCH($AU1039,'2_IMPORTAR_EJECUCION'!$J$9:$J$1208,0)),0)-$AL1039))</f>
        <v/>
      </c>
      <c r="AN1039" s="32">
        <f>IF($A1039="","",$AL1039+$AM1039)</f>
        <v/>
      </c>
      <c r="AO1039" s="24">
        <f>IF($A1039="","",IF(OR((IFERROR(INDEX('CAT_ACTIVIDADES'!$D$4:$D$26,MATCH($H1039,'CAT_ACTIVIDADES'!$A$4:$A$26,0)),""))=0,(IFERROR(INDEX('CAT_ACTIVIDADES'!$D$4:$D$26,MATCH($H1039,'CAT_ACTIVIDADES'!$A$4:$A$26,0)),""))=""),"SIN CLASIFICAR",IFERROR(INDEX('CAT_ACTIVIDADES'!$D$4:$D$26,MATCH($H1039,'CAT_ACTIVIDADES'!$A$4:$A$26,0)),"")))</f>
        <v/>
      </c>
      <c r="AP1039" s="4" t="n"/>
      <c r="AQ1039" s="4" t="n"/>
      <c r="AR1039" s="4" t="n"/>
      <c r="AS1039" s="24">
        <f>IF($AR1039="","",HYPERLINK(p_ruta_base_checklists&amp;$AR1039,"abrir"))</f>
        <v/>
      </c>
      <c r="AT1039" s="4" t="n"/>
      <c r="AU1039" s="24">
        <f>IF($A1039="","",$A1039&amp;IF($B1039="","0010",$B1039))</f>
        <v/>
      </c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41" t="n"/>
      <c r="K1040" s="5" t="n"/>
      <c r="L1040" s="18" t="n"/>
      <c r="M1040" s="24">
        <f>IF($A1040="","",IFERROR(INDEX('AJUSTES'!$B$4:$B$303,MATCH($AU1040,'AJUSTES'!$A$4:$A$303,0)),IF($K1040="","",$K1040)))</f>
        <v/>
      </c>
      <c r="N1040" s="24">
        <f>IF($A1040="","",IFERROR(INDEX('CAT_ESTADOS_ERP'!$B$4:$B$22,MATCH(IFERROR(INDEX('2_IMPORTAR_EJECUCION'!$C$9:$C$1208,MATCH($AU1040,'2_IMPORTAR_EJECUCION'!$J$9:$J$1208,0)),""),'CAT_ESTADOS_ERP'!$A$4:$A$22,0)),"Pendiente"))</f>
        <v/>
      </c>
      <c r="O1040" s="24">
        <f>IF($J1040="","",YEAR($J1040+4-WEEKDAY($J1040,2))&amp;"-S"&amp;TEXT(_xlfn.ISOWEEKNUM($J1040),"00"))</f>
        <v/>
      </c>
      <c r="P1040" s="24">
        <f>IF($J1040="","",YEAR($J1040))</f>
        <v/>
      </c>
      <c r="Q1040" s="24">
        <f>IF($J1040="","",MONTH($J1040))</f>
        <v/>
      </c>
      <c r="R1040" s="24">
        <f>IF($J1040="","",$P1040&amp;"-"&amp;TEXT($Q1040,"00"))</f>
        <v/>
      </c>
      <c r="S1040" s="24">
        <f>IF($J1040="","",INDEX(lista_dias,WEEKDAY($J1040,2)))</f>
        <v/>
      </c>
      <c r="T1040" s="24">
        <f>IF($J1040="","",IFERROR(INDEX('CALENDARIO'!$C$15:$C$214,MATCH(TEXT($J1040,"yyyy-mm-dd")&amp;"|"&amp;$Y1040&amp;"|"&amp;$Z1040,'CALENDARIO'!$G$15:$G$214,0)),IFERROR(INDEX('CALENDARIO'!$C$15:$C$214,MATCH(TEXT($J1040,"yyyy-mm-dd")&amp;"|"&amp;$Y1040&amp;"|",'CALENDARIO'!$G$15:$G$214,0)),IFERROR(INDEX('CALENDARIO'!$C$15:$C$214,MATCH(TEXT($J1040,"yyyy-mm-dd")&amp;"||",'CALENDARIO'!$G$15:$G$214,0)),INDEX(patronHabil,WEEKDAY($J1040,2))))))</f>
        <v/>
      </c>
      <c r="U1040" s="24">
        <f>IF($I1040="","",IFERROR(INDEX('CAT_TIPOS_OT'!$C$4:$C$23,MATCH($I1040,'CAT_TIPOS_OT'!$A$4:$A$23,0)),"sin_clasificar"))</f>
        <v/>
      </c>
      <c r="V1040" s="24">
        <f>IF($I1040="","",IF(IFERROR(INDEX('CAT_TIPOS_OT'!$D$4:$D$23,MATCH($I1040,'CAT_TIPOS_OT'!$A$4:$A$23,0)),"SIN CLASIFICAR")="","SIN CLASIFICAR",IFERROR(INDEX('CAT_TIPOS_OT'!$D$4:$D$23,MATCH($I1040,'CAT_TIPOS_OT'!$A$4:$A$23,0)),"SIN CLASIFICAR")))</f>
        <v/>
      </c>
      <c r="W1040" s="24">
        <f>IF($H1040="","",IF(IFERROR(INDEX('CAT_ACTIVIDADES'!$F$4:$F$26,MATCH($H1040,'CAT_ACTIVIDADES'!$A$4:$A$26,0)),"")=0,"",IFERROR(INDEX('CAT_ACTIVIDADES'!$F$4:$F$26,MATCH($H1040,'CAT_ACTIVIDADES'!$A$4:$A$26,0)),"")))</f>
        <v/>
      </c>
      <c r="X1040" s="24">
        <f>IF($F1040="","",IFERROR(INDEX('CAT_CENTROS_COSTO'!$F$4:$F$28,MATCH($F1040,'CAT_CENTROS_COSTO'!$A$4:$A$28,0)),"(sin catálogo)"))</f>
        <v/>
      </c>
      <c r="Y1040" s="24">
        <f>IF($F1040="","",IFERROR(INDEX('CAT_CENTROS_COSTO'!$D$4:$D$28,MATCH($F1040,'CAT_CENTROS_COSTO'!$A$4:$A$28,0)),"(sin catálogo)"))</f>
        <v/>
      </c>
      <c r="Z1040" s="24">
        <f>IF($F1040="","",IF((IFERROR(INDEX('CAT_CENTROS_COSTO'!$E$4:$E$28,MATCH($F1040,'CAT_CENTROS_COSTO'!$A$4:$A$28,0)),""))&lt;&gt;"",IFERROR(INDEX('CAT_CENTROS_COSTO'!$E$4:$E$28,MATCH($F1040,'CAT_CENTROS_COSTO'!$A$4:$A$28,0)),""),$Y1040))</f>
        <v/>
      </c>
      <c r="AA1040" s="24">
        <f>IF($F1040="","",IFERROR(INDEX('CAT_CENTROS_COSTO'!$G$4:$G$28,MATCH($F1040,'CAT_CENTROS_COSTO'!$A$4:$A$28,0)),"(sin catálogo)"))</f>
        <v/>
      </c>
      <c r="AB1040" s="24">
        <f>IF($G1040="","",IFERROR(INDEX('CAT_PUESTOS'!$B$4:$B$23,MATCH($G1040,'CAT_PUESTOS'!$A$4:$A$23,0)),"(sin catálogo)"))</f>
        <v/>
      </c>
      <c r="AC1040" s="24">
        <f>IF($H1040="","",IFERROR(INDEX('CAT_ACTIVIDADES'!$B$4:$B$26,MATCH($H1040,'CAT_ACTIVIDADES'!$A$4:$A$26,0)),"(sin catálogo)"))</f>
        <v/>
      </c>
      <c r="AD1040" s="26">
        <f>IF($J1040="","",TODAY()-$J1040)</f>
        <v/>
      </c>
      <c r="AE1040" s="26">
        <f>IF($J1040="","",IF($J1040&lt;=TODAY(),COUNTIFS(cal_fechas,"&gt;="&amp;$J1040,cal_fechas,"&lt;"&amp;TODAY(),cal_habil,"sí"),-COUNTIFS(cal_fechas,"&gt;="&amp;TODAY(),cal_fechas,"&lt;"&amp;$J1040,cal_habil,"sí")))</f>
        <v/>
      </c>
      <c r="AF1040" s="24">
        <f>IF($AE1040="","",IF($AE1040&lt;0,"FUTURO",IF($AE1040&gt;p_dias_backlog_max,"BACKLOG","MES CORRIENTE")))</f>
        <v/>
      </c>
      <c r="AG1040" s="24">
        <f>IF($AE1040="",FALSE,AND($AE1040&gt;p_dias_backlog_min,$AE1040&lt;=p_dias_backlog_max))</f>
        <v/>
      </c>
      <c r="AH1040" s="4" t="n"/>
      <c r="AI1040" s="24">
        <f>IF($AH1040="","",IF((IFERROR(INDEX('ASIGNACIONES'!$J$4:$J$451,MATCH($O1040&amp;"|"&amp;$S1040&amp;"|"&amp;$AH1040,'ASIGNACIONES'!$N$4:$N$451,0)),""))=0,"",IFERROR(INDEX('ASIGNACIONES'!$J$4:$J$451,MATCH($O1040&amp;"|"&amp;$S1040&amp;"|"&amp;$AH1040,'ASIGNACIONES'!$N$4:$N$451,0)),"")))</f>
        <v/>
      </c>
      <c r="AJ1040" s="42">
        <f>IF($AH1040="","",SUMIFS('ORDENES'!$M$4:$M$1203,'ORDENES'!$AH$4:$AH$1203,$AH1040,'ORDENES'!$O$4:$O$1203,$O1040,'ORDENES'!$S$4:$S$1203,$S1040))</f>
        <v/>
      </c>
      <c r="AK1040" s="42">
        <f>IF($AJ1040="","",p_factor_productividad*IFERROR(INDEX('ASIGNACIONES'!$M$4:$M$451,MATCH($O1040&amp;"|"&amp;$S1040&amp;"|"&amp;$AH1040,'ASIGNACIONES'!$N$4:$N$451,0)),0)-$AJ1040)</f>
        <v/>
      </c>
      <c r="AL1040" s="32">
        <f>IF($A1040="","",IFERROR(INDEX('2_IMPORTAR_EJECUCION'!$F$9:$F$1208,MATCH($AU1040,'2_IMPORTAR_EJECUCION'!$J$9:$J$1208,0)),0))</f>
        <v/>
      </c>
      <c r="AM1040" s="32">
        <f>IF($A1040="","",MAX(0,IFERROR(INDEX('2_IMPORTAR_EJECUCION'!$H$9:$H$1208,MATCH($AU1040,'2_IMPORTAR_EJECUCION'!$J$9:$J$1208,0)),0)-$AL1040))</f>
        <v/>
      </c>
      <c r="AN1040" s="32">
        <f>IF($A1040="","",$AL1040+$AM1040)</f>
        <v/>
      </c>
      <c r="AO1040" s="24">
        <f>IF($A1040="","",IF(OR((IFERROR(INDEX('CAT_ACTIVIDADES'!$D$4:$D$26,MATCH($H1040,'CAT_ACTIVIDADES'!$A$4:$A$26,0)),""))=0,(IFERROR(INDEX('CAT_ACTIVIDADES'!$D$4:$D$26,MATCH($H1040,'CAT_ACTIVIDADES'!$A$4:$A$26,0)),""))=""),"SIN CLASIFICAR",IFERROR(INDEX('CAT_ACTIVIDADES'!$D$4:$D$26,MATCH($H1040,'CAT_ACTIVIDADES'!$A$4:$A$26,0)),"")))</f>
        <v/>
      </c>
      <c r="AP1040" s="4" t="n"/>
      <c r="AQ1040" s="4" t="n"/>
      <c r="AR1040" s="4" t="n"/>
      <c r="AS1040" s="24">
        <f>IF($AR1040="","",HYPERLINK(p_ruta_base_checklists&amp;$AR1040,"abrir"))</f>
        <v/>
      </c>
      <c r="AT1040" s="4" t="n"/>
      <c r="AU1040" s="24">
        <f>IF($A1040="","",$A1040&amp;IF($B1040="","0010",$B1040))</f>
        <v/>
      </c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41" t="n"/>
      <c r="K1041" s="5" t="n"/>
      <c r="L1041" s="18" t="n"/>
      <c r="M1041" s="24">
        <f>IF($A1041="","",IFERROR(INDEX('AJUSTES'!$B$4:$B$303,MATCH($AU1041,'AJUSTES'!$A$4:$A$303,0)),IF($K1041="","",$K1041)))</f>
        <v/>
      </c>
      <c r="N1041" s="24">
        <f>IF($A1041="","",IFERROR(INDEX('CAT_ESTADOS_ERP'!$B$4:$B$22,MATCH(IFERROR(INDEX('2_IMPORTAR_EJECUCION'!$C$9:$C$1208,MATCH($AU1041,'2_IMPORTAR_EJECUCION'!$J$9:$J$1208,0)),""),'CAT_ESTADOS_ERP'!$A$4:$A$22,0)),"Pendiente"))</f>
        <v/>
      </c>
      <c r="O1041" s="24">
        <f>IF($J1041="","",YEAR($J1041+4-WEEKDAY($J1041,2))&amp;"-S"&amp;TEXT(_xlfn.ISOWEEKNUM($J1041),"00"))</f>
        <v/>
      </c>
      <c r="P1041" s="24">
        <f>IF($J1041="","",YEAR($J1041))</f>
        <v/>
      </c>
      <c r="Q1041" s="24">
        <f>IF($J1041="","",MONTH($J1041))</f>
        <v/>
      </c>
      <c r="R1041" s="24">
        <f>IF($J1041="","",$P1041&amp;"-"&amp;TEXT($Q1041,"00"))</f>
        <v/>
      </c>
      <c r="S1041" s="24">
        <f>IF($J1041="","",INDEX(lista_dias,WEEKDAY($J1041,2)))</f>
        <v/>
      </c>
      <c r="T1041" s="24">
        <f>IF($J1041="","",IFERROR(INDEX('CALENDARIO'!$C$15:$C$214,MATCH(TEXT($J1041,"yyyy-mm-dd")&amp;"|"&amp;$Y1041&amp;"|"&amp;$Z1041,'CALENDARIO'!$G$15:$G$214,0)),IFERROR(INDEX('CALENDARIO'!$C$15:$C$214,MATCH(TEXT($J1041,"yyyy-mm-dd")&amp;"|"&amp;$Y1041&amp;"|",'CALENDARIO'!$G$15:$G$214,0)),IFERROR(INDEX('CALENDARIO'!$C$15:$C$214,MATCH(TEXT($J1041,"yyyy-mm-dd")&amp;"||",'CALENDARIO'!$G$15:$G$214,0)),INDEX(patronHabil,WEEKDAY($J1041,2))))))</f>
        <v/>
      </c>
      <c r="U1041" s="24">
        <f>IF($I1041="","",IFERROR(INDEX('CAT_TIPOS_OT'!$C$4:$C$23,MATCH($I1041,'CAT_TIPOS_OT'!$A$4:$A$23,0)),"sin_clasificar"))</f>
        <v/>
      </c>
      <c r="V1041" s="24">
        <f>IF($I1041="","",IF(IFERROR(INDEX('CAT_TIPOS_OT'!$D$4:$D$23,MATCH($I1041,'CAT_TIPOS_OT'!$A$4:$A$23,0)),"SIN CLASIFICAR")="","SIN CLASIFICAR",IFERROR(INDEX('CAT_TIPOS_OT'!$D$4:$D$23,MATCH($I1041,'CAT_TIPOS_OT'!$A$4:$A$23,0)),"SIN CLASIFICAR")))</f>
        <v/>
      </c>
      <c r="W1041" s="24">
        <f>IF($H1041="","",IF(IFERROR(INDEX('CAT_ACTIVIDADES'!$F$4:$F$26,MATCH($H1041,'CAT_ACTIVIDADES'!$A$4:$A$26,0)),"")=0,"",IFERROR(INDEX('CAT_ACTIVIDADES'!$F$4:$F$26,MATCH($H1041,'CAT_ACTIVIDADES'!$A$4:$A$26,0)),"")))</f>
        <v/>
      </c>
      <c r="X1041" s="24">
        <f>IF($F1041="","",IFERROR(INDEX('CAT_CENTROS_COSTO'!$F$4:$F$28,MATCH($F1041,'CAT_CENTROS_COSTO'!$A$4:$A$28,0)),"(sin catálogo)"))</f>
        <v/>
      </c>
      <c r="Y1041" s="24">
        <f>IF($F1041="","",IFERROR(INDEX('CAT_CENTROS_COSTO'!$D$4:$D$28,MATCH($F1041,'CAT_CENTROS_COSTO'!$A$4:$A$28,0)),"(sin catálogo)"))</f>
        <v/>
      </c>
      <c r="Z1041" s="24">
        <f>IF($F1041="","",IF((IFERROR(INDEX('CAT_CENTROS_COSTO'!$E$4:$E$28,MATCH($F1041,'CAT_CENTROS_COSTO'!$A$4:$A$28,0)),""))&lt;&gt;"",IFERROR(INDEX('CAT_CENTROS_COSTO'!$E$4:$E$28,MATCH($F1041,'CAT_CENTROS_COSTO'!$A$4:$A$28,0)),""),$Y1041))</f>
        <v/>
      </c>
      <c r="AA1041" s="24">
        <f>IF($F1041="","",IFERROR(INDEX('CAT_CENTROS_COSTO'!$G$4:$G$28,MATCH($F1041,'CAT_CENTROS_COSTO'!$A$4:$A$28,0)),"(sin catálogo)"))</f>
        <v/>
      </c>
      <c r="AB1041" s="24">
        <f>IF($G1041="","",IFERROR(INDEX('CAT_PUESTOS'!$B$4:$B$23,MATCH($G1041,'CAT_PUESTOS'!$A$4:$A$23,0)),"(sin catálogo)"))</f>
        <v/>
      </c>
      <c r="AC1041" s="24">
        <f>IF($H1041="","",IFERROR(INDEX('CAT_ACTIVIDADES'!$B$4:$B$26,MATCH($H1041,'CAT_ACTIVIDADES'!$A$4:$A$26,0)),"(sin catálogo)"))</f>
        <v/>
      </c>
      <c r="AD1041" s="26">
        <f>IF($J1041="","",TODAY()-$J1041)</f>
        <v/>
      </c>
      <c r="AE1041" s="26">
        <f>IF($J1041="","",IF($J1041&lt;=TODAY(),COUNTIFS(cal_fechas,"&gt;="&amp;$J1041,cal_fechas,"&lt;"&amp;TODAY(),cal_habil,"sí"),-COUNTIFS(cal_fechas,"&gt;="&amp;TODAY(),cal_fechas,"&lt;"&amp;$J1041,cal_habil,"sí")))</f>
        <v/>
      </c>
      <c r="AF1041" s="24">
        <f>IF($AE1041="","",IF($AE1041&lt;0,"FUTURO",IF($AE1041&gt;p_dias_backlog_max,"BACKLOG","MES CORRIENTE")))</f>
        <v/>
      </c>
      <c r="AG1041" s="24">
        <f>IF($AE1041="",FALSE,AND($AE1041&gt;p_dias_backlog_min,$AE1041&lt;=p_dias_backlog_max))</f>
        <v/>
      </c>
      <c r="AH1041" s="4" t="n"/>
      <c r="AI1041" s="24">
        <f>IF($AH1041="","",IF((IFERROR(INDEX('ASIGNACIONES'!$J$4:$J$451,MATCH($O1041&amp;"|"&amp;$S1041&amp;"|"&amp;$AH1041,'ASIGNACIONES'!$N$4:$N$451,0)),""))=0,"",IFERROR(INDEX('ASIGNACIONES'!$J$4:$J$451,MATCH($O1041&amp;"|"&amp;$S1041&amp;"|"&amp;$AH1041,'ASIGNACIONES'!$N$4:$N$451,0)),"")))</f>
        <v/>
      </c>
      <c r="AJ1041" s="42">
        <f>IF($AH1041="","",SUMIFS('ORDENES'!$M$4:$M$1203,'ORDENES'!$AH$4:$AH$1203,$AH1041,'ORDENES'!$O$4:$O$1203,$O1041,'ORDENES'!$S$4:$S$1203,$S1041))</f>
        <v/>
      </c>
      <c r="AK1041" s="42">
        <f>IF($AJ1041="","",p_factor_productividad*IFERROR(INDEX('ASIGNACIONES'!$M$4:$M$451,MATCH($O1041&amp;"|"&amp;$S1041&amp;"|"&amp;$AH1041,'ASIGNACIONES'!$N$4:$N$451,0)),0)-$AJ1041)</f>
        <v/>
      </c>
      <c r="AL1041" s="32">
        <f>IF($A1041="","",IFERROR(INDEX('2_IMPORTAR_EJECUCION'!$F$9:$F$1208,MATCH($AU1041,'2_IMPORTAR_EJECUCION'!$J$9:$J$1208,0)),0))</f>
        <v/>
      </c>
      <c r="AM1041" s="32">
        <f>IF($A1041="","",MAX(0,IFERROR(INDEX('2_IMPORTAR_EJECUCION'!$H$9:$H$1208,MATCH($AU1041,'2_IMPORTAR_EJECUCION'!$J$9:$J$1208,0)),0)-$AL1041))</f>
        <v/>
      </c>
      <c r="AN1041" s="32">
        <f>IF($A1041="","",$AL1041+$AM1041)</f>
        <v/>
      </c>
      <c r="AO1041" s="24">
        <f>IF($A1041="","",IF(OR((IFERROR(INDEX('CAT_ACTIVIDADES'!$D$4:$D$26,MATCH($H1041,'CAT_ACTIVIDADES'!$A$4:$A$26,0)),""))=0,(IFERROR(INDEX('CAT_ACTIVIDADES'!$D$4:$D$26,MATCH($H1041,'CAT_ACTIVIDADES'!$A$4:$A$26,0)),""))=""),"SIN CLASIFICAR",IFERROR(INDEX('CAT_ACTIVIDADES'!$D$4:$D$26,MATCH($H1041,'CAT_ACTIVIDADES'!$A$4:$A$26,0)),"")))</f>
        <v/>
      </c>
      <c r="AP1041" s="4" t="n"/>
      <c r="AQ1041" s="4" t="n"/>
      <c r="AR1041" s="4" t="n"/>
      <c r="AS1041" s="24">
        <f>IF($AR1041="","",HYPERLINK(p_ruta_base_checklists&amp;$AR1041,"abrir"))</f>
        <v/>
      </c>
      <c r="AT1041" s="4" t="n"/>
      <c r="AU1041" s="24">
        <f>IF($A1041="","",$A1041&amp;IF($B1041="","0010",$B1041))</f>
        <v/>
      </c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41" t="n"/>
      <c r="K1042" s="5" t="n"/>
      <c r="L1042" s="18" t="n"/>
      <c r="M1042" s="24">
        <f>IF($A1042="","",IFERROR(INDEX('AJUSTES'!$B$4:$B$303,MATCH($AU1042,'AJUSTES'!$A$4:$A$303,0)),IF($K1042="","",$K1042)))</f>
        <v/>
      </c>
      <c r="N1042" s="24">
        <f>IF($A1042="","",IFERROR(INDEX('CAT_ESTADOS_ERP'!$B$4:$B$22,MATCH(IFERROR(INDEX('2_IMPORTAR_EJECUCION'!$C$9:$C$1208,MATCH($AU1042,'2_IMPORTAR_EJECUCION'!$J$9:$J$1208,0)),""),'CAT_ESTADOS_ERP'!$A$4:$A$22,0)),"Pendiente"))</f>
        <v/>
      </c>
      <c r="O1042" s="24">
        <f>IF($J1042="","",YEAR($J1042+4-WEEKDAY($J1042,2))&amp;"-S"&amp;TEXT(_xlfn.ISOWEEKNUM($J1042),"00"))</f>
        <v/>
      </c>
      <c r="P1042" s="24">
        <f>IF($J1042="","",YEAR($J1042))</f>
        <v/>
      </c>
      <c r="Q1042" s="24">
        <f>IF($J1042="","",MONTH($J1042))</f>
        <v/>
      </c>
      <c r="R1042" s="24">
        <f>IF($J1042="","",$P1042&amp;"-"&amp;TEXT($Q1042,"00"))</f>
        <v/>
      </c>
      <c r="S1042" s="24">
        <f>IF($J1042="","",INDEX(lista_dias,WEEKDAY($J1042,2)))</f>
        <v/>
      </c>
      <c r="T1042" s="24">
        <f>IF($J1042="","",IFERROR(INDEX('CALENDARIO'!$C$15:$C$214,MATCH(TEXT($J1042,"yyyy-mm-dd")&amp;"|"&amp;$Y1042&amp;"|"&amp;$Z1042,'CALENDARIO'!$G$15:$G$214,0)),IFERROR(INDEX('CALENDARIO'!$C$15:$C$214,MATCH(TEXT($J1042,"yyyy-mm-dd")&amp;"|"&amp;$Y1042&amp;"|",'CALENDARIO'!$G$15:$G$214,0)),IFERROR(INDEX('CALENDARIO'!$C$15:$C$214,MATCH(TEXT($J1042,"yyyy-mm-dd")&amp;"||",'CALENDARIO'!$G$15:$G$214,0)),INDEX(patronHabil,WEEKDAY($J1042,2))))))</f>
        <v/>
      </c>
      <c r="U1042" s="24">
        <f>IF($I1042="","",IFERROR(INDEX('CAT_TIPOS_OT'!$C$4:$C$23,MATCH($I1042,'CAT_TIPOS_OT'!$A$4:$A$23,0)),"sin_clasificar"))</f>
        <v/>
      </c>
      <c r="V1042" s="24">
        <f>IF($I1042="","",IF(IFERROR(INDEX('CAT_TIPOS_OT'!$D$4:$D$23,MATCH($I1042,'CAT_TIPOS_OT'!$A$4:$A$23,0)),"SIN CLASIFICAR")="","SIN CLASIFICAR",IFERROR(INDEX('CAT_TIPOS_OT'!$D$4:$D$23,MATCH($I1042,'CAT_TIPOS_OT'!$A$4:$A$23,0)),"SIN CLASIFICAR")))</f>
        <v/>
      </c>
      <c r="W1042" s="24">
        <f>IF($H1042="","",IF(IFERROR(INDEX('CAT_ACTIVIDADES'!$F$4:$F$26,MATCH($H1042,'CAT_ACTIVIDADES'!$A$4:$A$26,0)),"")=0,"",IFERROR(INDEX('CAT_ACTIVIDADES'!$F$4:$F$26,MATCH($H1042,'CAT_ACTIVIDADES'!$A$4:$A$26,0)),"")))</f>
        <v/>
      </c>
      <c r="X1042" s="24">
        <f>IF($F1042="","",IFERROR(INDEX('CAT_CENTROS_COSTO'!$F$4:$F$28,MATCH($F1042,'CAT_CENTROS_COSTO'!$A$4:$A$28,0)),"(sin catálogo)"))</f>
        <v/>
      </c>
      <c r="Y1042" s="24">
        <f>IF($F1042="","",IFERROR(INDEX('CAT_CENTROS_COSTO'!$D$4:$D$28,MATCH($F1042,'CAT_CENTROS_COSTO'!$A$4:$A$28,0)),"(sin catálogo)"))</f>
        <v/>
      </c>
      <c r="Z1042" s="24">
        <f>IF($F1042="","",IF((IFERROR(INDEX('CAT_CENTROS_COSTO'!$E$4:$E$28,MATCH($F1042,'CAT_CENTROS_COSTO'!$A$4:$A$28,0)),""))&lt;&gt;"",IFERROR(INDEX('CAT_CENTROS_COSTO'!$E$4:$E$28,MATCH($F1042,'CAT_CENTROS_COSTO'!$A$4:$A$28,0)),""),$Y1042))</f>
        <v/>
      </c>
      <c r="AA1042" s="24">
        <f>IF($F1042="","",IFERROR(INDEX('CAT_CENTROS_COSTO'!$G$4:$G$28,MATCH($F1042,'CAT_CENTROS_COSTO'!$A$4:$A$28,0)),"(sin catálogo)"))</f>
        <v/>
      </c>
      <c r="AB1042" s="24">
        <f>IF($G1042="","",IFERROR(INDEX('CAT_PUESTOS'!$B$4:$B$23,MATCH($G1042,'CAT_PUESTOS'!$A$4:$A$23,0)),"(sin catálogo)"))</f>
        <v/>
      </c>
      <c r="AC1042" s="24">
        <f>IF($H1042="","",IFERROR(INDEX('CAT_ACTIVIDADES'!$B$4:$B$26,MATCH($H1042,'CAT_ACTIVIDADES'!$A$4:$A$26,0)),"(sin catálogo)"))</f>
        <v/>
      </c>
      <c r="AD1042" s="26">
        <f>IF($J1042="","",TODAY()-$J1042)</f>
        <v/>
      </c>
      <c r="AE1042" s="26">
        <f>IF($J1042="","",IF($J1042&lt;=TODAY(),COUNTIFS(cal_fechas,"&gt;="&amp;$J1042,cal_fechas,"&lt;"&amp;TODAY(),cal_habil,"sí"),-COUNTIFS(cal_fechas,"&gt;="&amp;TODAY(),cal_fechas,"&lt;"&amp;$J1042,cal_habil,"sí")))</f>
        <v/>
      </c>
      <c r="AF1042" s="24">
        <f>IF($AE1042="","",IF($AE1042&lt;0,"FUTURO",IF($AE1042&gt;p_dias_backlog_max,"BACKLOG","MES CORRIENTE")))</f>
        <v/>
      </c>
      <c r="AG1042" s="24">
        <f>IF($AE1042="",FALSE,AND($AE1042&gt;p_dias_backlog_min,$AE1042&lt;=p_dias_backlog_max))</f>
        <v/>
      </c>
      <c r="AH1042" s="4" t="n"/>
      <c r="AI1042" s="24">
        <f>IF($AH1042="","",IF((IFERROR(INDEX('ASIGNACIONES'!$J$4:$J$451,MATCH($O1042&amp;"|"&amp;$S1042&amp;"|"&amp;$AH1042,'ASIGNACIONES'!$N$4:$N$451,0)),""))=0,"",IFERROR(INDEX('ASIGNACIONES'!$J$4:$J$451,MATCH($O1042&amp;"|"&amp;$S1042&amp;"|"&amp;$AH1042,'ASIGNACIONES'!$N$4:$N$451,0)),"")))</f>
        <v/>
      </c>
      <c r="AJ1042" s="42">
        <f>IF($AH1042="","",SUMIFS('ORDENES'!$M$4:$M$1203,'ORDENES'!$AH$4:$AH$1203,$AH1042,'ORDENES'!$O$4:$O$1203,$O1042,'ORDENES'!$S$4:$S$1203,$S1042))</f>
        <v/>
      </c>
      <c r="AK1042" s="42">
        <f>IF($AJ1042="","",p_factor_productividad*IFERROR(INDEX('ASIGNACIONES'!$M$4:$M$451,MATCH($O1042&amp;"|"&amp;$S1042&amp;"|"&amp;$AH1042,'ASIGNACIONES'!$N$4:$N$451,0)),0)-$AJ1042)</f>
        <v/>
      </c>
      <c r="AL1042" s="32">
        <f>IF($A1042="","",IFERROR(INDEX('2_IMPORTAR_EJECUCION'!$F$9:$F$1208,MATCH($AU1042,'2_IMPORTAR_EJECUCION'!$J$9:$J$1208,0)),0))</f>
        <v/>
      </c>
      <c r="AM1042" s="32">
        <f>IF($A1042="","",MAX(0,IFERROR(INDEX('2_IMPORTAR_EJECUCION'!$H$9:$H$1208,MATCH($AU1042,'2_IMPORTAR_EJECUCION'!$J$9:$J$1208,0)),0)-$AL1042))</f>
        <v/>
      </c>
      <c r="AN1042" s="32">
        <f>IF($A1042="","",$AL1042+$AM1042)</f>
        <v/>
      </c>
      <c r="AO1042" s="24">
        <f>IF($A1042="","",IF(OR((IFERROR(INDEX('CAT_ACTIVIDADES'!$D$4:$D$26,MATCH($H1042,'CAT_ACTIVIDADES'!$A$4:$A$26,0)),""))=0,(IFERROR(INDEX('CAT_ACTIVIDADES'!$D$4:$D$26,MATCH($H1042,'CAT_ACTIVIDADES'!$A$4:$A$26,0)),""))=""),"SIN CLASIFICAR",IFERROR(INDEX('CAT_ACTIVIDADES'!$D$4:$D$26,MATCH($H1042,'CAT_ACTIVIDADES'!$A$4:$A$26,0)),"")))</f>
        <v/>
      </c>
      <c r="AP1042" s="4" t="n"/>
      <c r="AQ1042" s="4" t="n"/>
      <c r="AR1042" s="4" t="n"/>
      <c r="AS1042" s="24">
        <f>IF($AR1042="","",HYPERLINK(p_ruta_base_checklists&amp;$AR1042,"abrir"))</f>
        <v/>
      </c>
      <c r="AT1042" s="4" t="n"/>
      <c r="AU1042" s="24">
        <f>IF($A1042="","",$A1042&amp;IF($B1042="","0010",$B1042))</f>
        <v/>
      </c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41" t="n"/>
      <c r="K1043" s="5" t="n"/>
      <c r="L1043" s="18" t="n"/>
      <c r="M1043" s="24">
        <f>IF($A1043="","",IFERROR(INDEX('AJUSTES'!$B$4:$B$303,MATCH($AU1043,'AJUSTES'!$A$4:$A$303,0)),IF($K1043="","",$K1043)))</f>
        <v/>
      </c>
      <c r="N1043" s="24">
        <f>IF($A1043="","",IFERROR(INDEX('CAT_ESTADOS_ERP'!$B$4:$B$22,MATCH(IFERROR(INDEX('2_IMPORTAR_EJECUCION'!$C$9:$C$1208,MATCH($AU1043,'2_IMPORTAR_EJECUCION'!$J$9:$J$1208,0)),""),'CAT_ESTADOS_ERP'!$A$4:$A$22,0)),"Pendiente"))</f>
        <v/>
      </c>
      <c r="O1043" s="24">
        <f>IF($J1043="","",YEAR($J1043+4-WEEKDAY($J1043,2))&amp;"-S"&amp;TEXT(_xlfn.ISOWEEKNUM($J1043),"00"))</f>
        <v/>
      </c>
      <c r="P1043" s="24">
        <f>IF($J1043="","",YEAR($J1043))</f>
        <v/>
      </c>
      <c r="Q1043" s="24">
        <f>IF($J1043="","",MONTH($J1043))</f>
        <v/>
      </c>
      <c r="R1043" s="24">
        <f>IF($J1043="","",$P1043&amp;"-"&amp;TEXT($Q1043,"00"))</f>
        <v/>
      </c>
      <c r="S1043" s="24">
        <f>IF($J1043="","",INDEX(lista_dias,WEEKDAY($J1043,2)))</f>
        <v/>
      </c>
      <c r="T1043" s="24">
        <f>IF($J1043="","",IFERROR(INDEX('CALENDARIO'!$C$15:$C$214,MATCH(TEXT($J1043,"yyyy-mm-dd")&amp;"|"&amp;$Y1043&amp;"|"&amp;$Z1043,'CALENDARIO'!$G$15:$G$214,0)),IFERROR(INDEX('CALENDARIO'!$C$15:$C$214,MATCH(TEXT($J1043,"yyyy-mm-dd")&amp;"|"&amp;$Y1043&amp;"|",'CALENDARIO'!$G$15:$G$214,0)),IFERROR(INDEX('CALENDARIO'!$C$15:$C$214,MATCH(TEXT($J1043,"yyyy-mm-dd")&amp;"||",'CALENDARIO'!$G$15:$G$214,0)),INDEX(patronHabil,WEEKDAY($J1043,2))))))</f>
        <v/>
      </c>
      <c r="U1043" s="24">
        <f>IF($I1043="","",IFERROR(INDEX('CAT_TIPOS_OT'!$C$4:$C$23,MATCH($I1043,'CAT_TIPOS_OT'!$A$4:$A$23,0)),"sin_clasificar"))</f>
        <v/>
      </c>
      <c r="V1043" s="24">
        <f>IF($I1043="","",IF(IFERROR(INDEX('CAT_TIPOS_OT'!$D$4:$D$23,MATCH($I1043,'CAT_TIPOS_OT'!$A$4:$A$23,0)),"SIN CLASIFICAR")="","SIN CLASIFICAR",IFERROR(INDEX('CAT_TIPOS_OT'!$D$4:$D$23,MATCH($I1043,'CAT_TIPOS_OT'!$A$4:$A$23,0)),"SIN CLASIFICAR")))</f>
        <v/>
      </c>
      <c r="W1043" s="24">
        <f>IF($H1043="","",IF(IFERROR(INDEX('CAT_ACTIVIDADES'!$F$4:$F$26,MATCH($H1043,'CAT_ACTIVIDADES'!$A$4:$A$26,0)),"")=0,"",IFERROR(INDEX('CAT_ACTIVIDADES'!$F$4:$F$26,MATCH($H1043,'CAT_ACTIVIDADES'!$A$4:$A$26,0)),"")))</f>
        <v/>
      </c>
      <c r="X1043" s="24">
        <f>IF($F1043="","",IFERROR(INDEX('CAT_CENTROS_COSTO'!$F$4:$F$28,MATCH($F1043,'CAT_CENTROS_COSTO'!$A$4:$A$28,0)),"(sin catálogo)"))</f>
        <v/>
      </c>
      <c r="Y1043" s="24">
        <f>IF($F1043="","",IFERROR(INDEX('CAT_CENTROS_COSTO'!$D$4:$D$28,MATCH($F1043,'CAT_CENTROS_COSTO'!$A$4:$A$28,0)),"(sin catálogo)"))</f>
        <v/>
      </c>
      <c r="Z1043" s="24">
        <f>IF($F1043="","",IF((IFERROR(INDEX('CAT_CENTROS_COSTO'!$E$4:$E$28,MATCH($F1043,'CAT_CENTROS_COSTO'!$A$4:$A$28,0)),""))&lt;&gt;"",IFERROR(INDEX('CAT_CENTROS_COSTO'!$E$4:$E$28,MATCH($F1043,'CAT_CENTROS_COSTO'!$A$4:$A$28,0)),""),$Y1043))</f>
        <v/>
      </c>
      <c r="AA1043" s="24">
        <f>IF($F1043="","",IFERROR(INDEX('CAT_CENTROS_COSTO'!$G$4:$G$28,MATCH($F1043,'CAT_CENTROS_COSTO'!$A$4:$A$28,0)),"(sin catálogo)"))</f>
        <v/>
      </c>
      <c r="AB1043" s="24">
        <f>IF($G1043="","",IFERROR(INDEX('CAT_PUESTOS'!$B$4:$B$23,MATCH($G1043,'CAT_PUESTOS'!$A$4:$A$23,0)),"(sin catálogo)"))</f>
        <v/>
      </c>
      <c r="AC1043" s="24">
        <f>IF($H1043="","",IFERROR(INDEX('CAT_ACTIVIDADES'!$B$4:$B$26,MATCH($H1043,'CAT_ACTIVIDADES'!$A$4:$A$26,0)),"(sin catálogo)"))</f>
        <v/>
      </c>
      <c r="AD1043" s="26">
        <f>IF($J1043="","",TODAY()-$J1043)</f>
        <v/>
      </c>
      <c r="AE1043" s="26">
        <f>IF($J1043="","",IF($J1043&lt;=TODAY(),COUNTIFS(cal_fechas,"&gt;="&amp;$J1043,cal_fechas,"&lt;"&amp;TODAY(),cal_habil,"sí"),-COUNTIFS(cal_fechas,"&gt;="&amp;TODAY(),cal_fechas,"&lt;"&amp;$J1043,cal_habil,"sí")))</f>
        <v/>
      </c>
      <c r="AF1043" s="24">
        <f>IF($AE1043="","",IF($AE1043&lt;0,"FUTURO",IF($AE1043&gt;p_dias_backlog_max,"BACKLOG","MES CORRIENTE")))</f>
        <v/>
      </c>
      <c r="AG1043" s="24">
        <f>IF($AE1043="",FALSE,AND($AE1043&gt;p_dias_backlog_min,$AE1043&lt;=p_dias_backlog_max))</f>
        <v/>
      </c>
      <c r="AH1043" s="4" t="n"/>
      <c r="AI1043" s="24">
        <f>IF($AH1043="","",IF((IFERROR(INDEX('ASIGNACIONES'!$J$4:$J$451,MATCH($O1043&amp;"|"&amp;$S1043&amp;"|"&amp;$AH1043,'ASIGNACIONES'!$N$4:$N$451,0)),""))=0,"",IFERROR(INDEX('ASIGNACIONES'!$J$4:$J$451,MATCH($O1043&amp;"|"&amp;$S1043&amp;"|"&amp;$AH1043,'ASIGNACIONES'!$N$4:$N$451,0)),"")))</f>
        <v/>
      </c>
      <c r="AJ1043" s="42">
        <f>IF($AH1043="","",SUMIFS('ORDENES'!$M$4:$M$1203,'ORDENES'!$AH$4:$AH$1203,$AH1043,'ORDENES'!$O$4:$O$1203,$O1043,'ORDENES'!$S$4:$S$1203,$S1043))</f>
        <v/>
      </c>
      <c r="AK1043" s="42">
        <f>IF($AJ1043="","",p_factor_productividad*IFERROR(INDEX('ASIGNACIONES'!$M$4:$M$451,MATCH($O1043&amp;"|"&amp;$S1043&amp;"|"&amp;$AH1043,'ASIGNACIONES'!$N$4:$N$451,0)),0)-$AJ1043)</f>
        <v/>
      </c>
      <c r="AL1043" s="32">
        <f>IF($A1043="","",IFERROR(INDEX('2_IMPORTAR_EJECUCION'!$F$9:$F$1208,MATCH($AU1043,'2_IMPORTAR_EJECUCION'!$J$9:$J$1208,0)),0))</f>
        <v/>
      </c>
      <c r="AM1043" s="32">
        <f>IF($A1043="","",MAX(0,IFERROR(INDEX('2_IMPORTAR_EJECUCION'!$H$9:$H$1208,MATCH($AU1043,'2_IMPORTAR_EJECUCION'!$J$9:$J$1208,0)),0)-$AL1043))</f>
        <v/>
      </c>
      <c r="AN1043" s="32">
        <f>IF($A1043="","",$AL1043+$AM1043)</f>
        <v/>
      </c>
      <c r="AO1043" s="24">
        <f>IF($A1043="","",IF(OR((IFERROR(INDEX('CAT_ACTIVIDADES'!$D$4:$D$26,MATCH($H1043,'CAT_ACTIVIDADES'!$A$4:$A$26,0)),""))=0,(IFERROR(INDEX('CAT_ACTIVIDADES'!$D$4:$D$26,MATCH($H1043,'CAT_ACTIVIDADES'!$A$4:$A$26,0)),""))=""),"SIN CLASIFICAR",IFERROR(INDEX('CAT_ACTIVIDADES'!$D$4:$D$26,MATCH($H1043,'CAT_ACTIVIDADES'!$A$4:$A$26,0)),"")))</f>
        <v/>
      </c>
      <c r="AP1043" s="4" t="n"/>
      <c r="AQ1043" s="4" t="n"/>
      <c r="AR1043" s="4" t="n"/>
      <c r="AS1043" s="24">
        <f>IF($AR1043="","",HYPERLINK(p_ruta_base_checklists&amp;$AR1043,"abrir"))</f>
        <v/>
      </c>
      <c r="AT1043" s="4" t="n"/>
      <c r="AU1043" s="24">
        <f>IF($A1043="","",$A1043&amp;IF($B1043="","0010",$B1043))</f>
        <v/>
      </c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41" t="n"/>
      <c r="K1044" s="5" t="n"/>
      <c r="L1044" s="18" t="n"/>
      <c r="M1044" s="24">
        <f>IF($A1044="","",IFERROR(INDEX('AJUSTES'!$B$4:$B$303,MATCH($AU1044,'AJUSTES'!$A$4:$A$303,0)),IF($K1044="","",$K1044)))</f>
        <v/>
      </c>
      <c r="N1044" s="24">
        <f>IF($A1044="","",IFERROR(INDEX('CAT_ESTADOS_ERP'!$B$4:$B$22,MATCH(IFERROR(INDEX('2_IMPORTAR_EJECUCION'!$C$9:$C$1208,MATCH($AU1044,'2_IMPORTAR_EJECUCION'!$J$9:$J$1208,0)),""),'CAT_ESTADOS_ERP'!$A$4:$A$22,0)),"Pendiente"))</f>
        <v/>
      </c>
      <c r="O1044" s="24">
        <f>IF($J1044="","",YEAR($J1044+4-WEEKDAY($J1044,2))&amp;"-S"&amp;TEXT(_xlfn.ISOWEEKNUM($J1044),"00"))</f>
        <v/>
      </c>
      <c r="P1044" s="24">
        <f>IF($J1044="","",YEAR($J1044))</f>
        <v/>
      </c>
      <c r="Q1044" s="24">
        <f>IF($J1044="","",MONTH($J1044))</f>
        <v/>
      </c>
      <c r="R1044" s="24">
        <f>IF($J1044="","",$P1044&amp;"-"&amp;TEXT($Q1044,"00"))</f>
        <v/>
      </c>
      <c r="S1044" s="24">
        <f>IF($J1044="","",INDEX(lista_dias,WEEKDAY($J1044,2)))</f>
        <v/>
      </c>
      <c r="T1044" s="24">
        <f>IF($J1044="","",IFERROR(INDEX('CALENDARIO'!$C$15:$C$214,MATCH(TEXT($J1044,"yyyy-mm-dd")&amp;"|"&amp;$Y1044&amp;"|"&amp;$Z1044,'CALENDARIO'!$G$15:$G$214,0)),IFERROR(INDEX('CALENDARIO'!$C$15:$C$214,MATCH(TEXT($J1044,"yyyy-mm-dd")&amp;"|"&amp;$Y1044&amp;"|",'CALENDARIO'!$G$15:$G$214,0)),IFERROR(INDEX('CALENDARIO'!$C$15:$C$214,MATCH(TEXT($J1044,"yyyy-mm-dd")&amp;"||",'CALENDARIO'!$G$15:$G$214,0)),INDEX(patronHabil,WEEKDAY($J1044,2))))))</f>
        <v/>
      </c>
      <c r="U1044" s="24">
        <f>IF($I1044="","",IFERROR(INDEX('CAT_TIPOS_OT'!$C$4:$C$23,MATCH($I1044,'CAT_TIPOS_OT'!$A$4:$A$23,0)),"sin_clasificar"))</f>
        <v/>
      </c>
      <c r="V1044" s="24">
        <f>IF($I1044="","",IF(IFERROR(INDEX('CAT_TIPOS_OT'!$D$4:$D$23,MATCH($I1044,'CAT_TIPOS_OT'!$A$4:$A$23,0)),"SIN CLASIFICAR")="","SIN CLASIFICAR",IFERROR(INDEX('CAT_TIPOS_OT'!$D$4:$D$23,MATCH($I1044,'CAT_TIPOS_OT'!$A$4:$A$23,0)),"SIN CLASIFICAR")))</f>
        <v/>
      </c>
      <c r="W1044" s="24">
        <f>IF($H1044="","",IF(IFERROR(INDEX('CAT_ACTIVIDADES'!$F$4:$F$26,MATCH($H1044,'CAT_ACTIVIDADES'!$A$4:$A$26,0)),"")=0,"",IFERROR(INDEX('CAT_ACTIVIDADES'!$F$4:$F$26,MATCH($H1044,'CAT_ACTIVIDADES'!$A$4:$A$26,0)),"")))</f>
        <v/>
      </c>
      <c r="X1044" s="24">
        <f>IF($F1044="","",IFERROR(INDEX('CAT_CENTROS_COSTO'!$F$4:$F$28,MATCH($F1044,'CAT_CENTROS_COSTO'!$A$4:$A$28,0)),"(sin catálogo)"))</f>
        <v/>
      </c>
      <c r="Y1044" s="24">
        <f>IF($F1044="","",IFERROR(INDEX('CAT_CENTROS_COSTO'!$D$4:$D$28,MATCH($F1044,'CAT_CENTROS_COSTO'!$A$4:$A$28,0)),"(sin catálogo)"))</f>
        <v/>
      </c>
      <c r="Z1044" s="24">
        <f>IF($F1044="","",IF((IFERROR(INDEX('CAT_CENTROS_COSTO'!$E$4:$E$28,MATCH($F1044,'CAT_CENTROS_COSTO'!$A$4:$A$28,0)),""))&lt;&gt;"",IFERROR(INDEX('CAT_CENTROS_COSTO'!$E$4:$E$28,MATCH($F1044,'CAT_CENTROS_COSTO'!$A$4:$A$28,0)),""),$Y1044))</f>
        <v/>
      </c>
      <c r="AA1044" s="24">
        <f>IF($F1044="","",IFERROR(INDEX('CAT_CENTROS_COSTO'!$G$4:$G$28,MATCH($F1044,'CAT_CENTROS_COSTO'!$A$4:$A$28,0)),"(sin catálogo)"))</f>
        <v/>
      </c>
      <c r="AB1044" s="24">
        <f>IF($G1044="","",IFERROR(INDEX('CAT_PUESTOS'!$B$4:$B$23,MATCH($G1044,'CAT_PUESTOS'!$A$4:$A$23,0)),"(sin catálogo)"))</f>
        <v/>
      </c>
      <c r="AC1044" s="24">
        <f>IF($H1044="","",IFERROR(INDEX('CAT_ACTIVIDADES'!$B$4:$B$26,MATCH($H1044,'CAT_ACTIVIDADES'!$A$4:$A$26,0)),"(sin catálogo)"))</f>
        <v/>
      </c>
      <c r="AD1044" s="26">
        <f>IF($J1044="","",TODAY()-$J1044)</f>
        <v/>
      </c>
      <c r="AE1044" s="26">
        <f>IF($J1044="","",IF($J1044&lt;=TODAY(),COUNTIFS(cal_fechas,"&gt;="&amp;$J1044,cal_fechas,"&lt;"&amp;TODAY(),cal_habil,"sí"),-COUNTIFS(cal_fechas,"&gt;="&amp;TODAY(),cal_fechas,"&lt;"&amp;$J1044,cal_habil,"sí")))</f>
        <v/>
      </c>
      <c r="AF1044" s="24">
        <f>IF($AE1044="","",IF($AE1044&lt;0,"FUTURO",IF($AE1044&gt;p_dias_backlog_max,"BACKLOG","MES CORRIENTE")))</f>
        <v/>
      </c>
      <c r="AG1044" s="24">
        <f>IF($AE1044="",FALSE,AND($AE1044&gt;p_dias_backlog_min,$AE1044&lt;=p_dias_backlog_max))</f>
        <v/>
      </c>
      <c r="AH1044" s="4" t="n"/>
      <c r="AI1044" s="24">
        <f>IF($AH1044="","",IF((IFERROR(INDEX('ASIGNACIONES'!$J$4:$J$451,MATCH($O1044&amp;"|"&amp;$S1044&amp;"|"&amp;$AH1044,'ASIGNACIONES'!$N$4:$N$451,0)),""))=0,"",IFERROR(INDEX('ASIGNACIONES'!$J$4:$J$451,MATCH($O1044&amp;"|"&amp;$S1044&amp;"|"&amp;$AH1044,'ASIGNACIONES'!$N$4:$N$451,0)),"")))</f>
        <v/>
      </c>
      <c r="AJ1044" s="42">
        <f>IF($AH1044="","",SUMIFS('ORDENES'!$M$4:$M$1203,'ORDENES'!$AH$4:$AH$1203,$AH1044,'ORDENES'!$O$4:$O$1203,$O1044,'ORDENES'!$S$4:$S$1203,$S1044))</f>
        <v/>
      </c>
      <c r="AK1044" s="42">
        <f>IF($AJ1044="","",p_factor_productividad*IFERROR(INDEX('ASIGNACIONES'!$M$4:$M$451,MATCH($O1044&amp;"|"&amp;$S1044&amp;"|"&amp;$AH1044,'ASIGNACIONES'!$N$4:$N$451,0)),0)-$AJ1044)</f>
        <v/>
      </c>
      <c r="AL1044" s="32">
        <f>IF($A1044="","",IFERROR(INDEX('2_IMPORTAR_EJECUCION'!$F$9:$F$1208,MATCH($AU1044,'2_IMPORTAR_EJECUCION'!$J$9:$J$1208,0)),0))</f>
        <v/>
      </c>
      <c r="AM1044" s="32">
        <f>IF($A1044="","",MAX(0,IFERROR(INDEX('2_IMPORTAR_EJECUCION'!$H$9:$H$1208,MATCH($AU1044,'2_IMPORTAR_EJECUCION'!$J$9:$J$1208,0)),0)-$AL1044))</f>
        <v/>
      </c>
      <c r="AN1044" s="32">
        <f>IF($A1044="","",$AL1044+$AM1044)</f>
        <v/>
      </c>
      <c r="AO1044" s="24">
        <f>IF($A1044="","",IF(OR((IFERROR(INDEX('CAT_ACTIVIDADES'!$D$4:$D$26,MATCH($H1044,'CAT_ACTIVIDADES'!$A$4:$A$26,0)),""))=0,(IFERROR(INDEX('CAT_ACTIVIDADES'!$D$4:$D$26,MATCH($H1044,'CAT_ACTIVIDADES'!$A$4:$A$26,0)),""))=""),"SIN CLASIFICAR",IFERROR(INDEX('CAT_ACTIVIDADES'!$D$4:$D$26,MATCH($H1044,'CAT_ACTIVIDADES'!$A$4:$A$26,0)),"")))</f>
        <v/>
      </c>
      <c r="AP1044" s="4" t="n"/>
      <c r="AQ1044" s="4" t="n"/>
      <c r="AR1044" s="4" t="n"/>
      <c r="AS1044" s="24">
        <f>IF($AR1044="","",HYPERLINK(p_ruta_base_checklists&amp;$AR1044,"abrir"))</f>
        <v/>
      </c>
      <c r="AT1044" s="4" t="n"/>
      <c r="AU1044" s="24">
        <f>IF($A1044="","",$A1044&amp;IF($B1044="","0010",$B1044))</f>
        <v/>
      </c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41" t="n"/>
      <c r="K1045" s="5" t="n"/>
      <c r="L1045" s="18" t="n"/>
      <c r="M1045" s="24">
        <f>IF($A1045="","",IFERROR(INDEX('AJUSTES'!$B$4:$B$303,MATCH($AU1045,'AJUSTES'!$A$4:$A$303,0)),IF($K1045="","",$K1045)))</f>
        <v/>
      </c>
      <c r="N1045" s="24">
        <f>IF($A1045="","",IFERROR(INDEX('CAT_ESTADOS_ERP'!$B$4:$B$22,MATCH(IFERROR(INDEX('2_IMPORTAR_EJECUCION'!$C$9:$C$1208,MATCH($AU1045,'2_IMPORTAR_EJECUCION'!$J$9:$J$1208,0)),""),'CAT_ESTADOS_ERP'!$A$4:$A$22,0)),"Pendiente"))</f>
        <v/>
      </c>
      <c r="O1045" s="24">
        <f>IF($J1045="","",YEAR($J1045+4-WEEKDAY($J1045,2))&amp;"-S"&amp;TEXT(_xlfn.ISOWEEKNUM($J1045),"00"))</f>
        <v/>
      </c>
      <c r="P1045" s="24">
        <f>IF($J1045="","",YEAR($J1045))</f>
        <v/>
      </c>
      <c r="Q1045" s="24">
        <f>IF($J1045="","",MONTH($J1045))</f>
        <v/>
      </c>
      <c r="R1045" s="24">
        <f>IF($J1045="","",$P1045&amp;"-"&amp;TEXT($Q1045,"00"))</f>
        <v/>
      </c>
      <c r="S1045" s="24">
        <f>IF($J1045="","",INDEX(lista_dias,WEEKDAY($J1045,2)))</f>
        <v/>
      </c>
      <c r="T1045" s="24">
        <f>IF($J1045="","",IFERROR(INDEX('CALENDARIO'!$C$15:$C$214,MATCH(TEXT($J1045,"yyyy-mm-dd")&amp;"|"&amp;$Y1045&amp;"|"&amp;$Z1045,'CALENDARIO'!$G$15:$G$214,0)),IFERROR(INDEX('CALENDARIO'!$C$15:$C$214,MATCH(TEXT($J1045,"yyyy-mm-dd")&amp;"|"&amp;$Y1045&amp;"|",'CALENDARIO'!$G$15:$G$214,0)),IFERROR(INDEX('CALENDARIO'!$C$15:$C$214,MATCH(TEXT($J1045,"yyyy-mm-dd")&amp;"||",'CALENDARIO'!$G$15:$G$214,0)),INDEX(patronHabil,WEEKDAY($J1045,2))))))</f>
        <v/>
      </c>
      <c r="U1045" s="24">
        <f>IF($I1045="","",IFERROR(INDEX('CAT_TIPOS_OT'!$C$4:$C$23,MATCH($I1045,'CAT_TIPOS_OT'!$A$4:$A$23,0)),"sin_clasificar"))</f>
        <v/>
      </c>
      <c r="V1045" s="24">
        <f>IF($I1045="","",IF(IFERROR(INDEX('CAT_TIPOS_OT'!$D$4:$D$23,MATCH($I1045,'CAT_TIPOS_OT'!$A$4:$A$23,0)),"SIN CLASIFICAR")="","SIN CLASIFICAR",IFERROR(INDEX('CAT_TIPOS_OT'!$D$4:$D$23,MATCH($I1045,'CAT_TIPOS_OT'!$A$4:$A$23,0)),"SIN CLASIFICAR")))</f>
        <v/>
      </c>
      <c r="W1045" s="24">
        <f>IF($H1045="","",IF(IFERROR(INDEX('CAT_ACTIVIDADES'!$F$4:$F$26,MATCH($H1045,'CAT_ACTIVIDADES'!$A$4:$A$26,0)),"")=0,"",IFERROR(INDEX('CAT_ACTIVIDADES'!$F$4:$F$26,MATCH($H1045,'CAT_ACTIVIDADES'!$A$4:$A$26,0)),"")))</f>
        <v/>
      </c>
      <c r="X1045" s="24">
        <f>IF($F1045="","",IFERROR(INDEX('CAT_CENTROS_COSTO'!$F$4:$F$28,MATCH($F1045,'CAT_CENTROS_COSTO'!$A$4:$A$28,0)),"(sin catálogo)"))</f>
        <v/>
      </c>
      <c r="Y1045" s="24">
        <f>IF($F1045="","",IFERROR(INDEX('CAT_CENTROS_COSTO'!$D$4:$D$28,MATCH($F1045,'CAT_CENTROS_COSTO'!$A$4:$A$28,0)),"(sin catálogo)"))</f>
        <v/>
      </c>
      <c r="Z1045" s="24">
        <f>IF($F1045="","",IF((IFERROR(INDEX('CAT_CENTROS_COSTO'!$E$4:$E$28,MATCH($F1045,'CAT_CENTROS_COSTO'!$A$4:$A$28,0)),""))&lt;&gt;"",IFERROR(INDEX('CAT_CENTROS_COSTO'!$E$4:$E$28,MATCH($F1045,'CAT_CENTROS_COSTO'!$A$4:$A$28,0)),""),$Y1045))</f>
        <v/>
      </c>
      <c r="AA1045" s="24">
        <f>IF($F1045="","",IFERROR(INDEX('CAT_CENTROS_COSTO'!$G$4:$G$28,MATCH($F1045,'CAT_CENTROS_COSTO'!$A$4:$A$28,0)),"(sin catálogo)"))</f>
        <v/>
      </c>
      <c r="AB1045" s="24">
        <f>IF($G1045="","",IFERROR(INDEX('CAT_PUESTOS'!$B$4:$B$23,MATCH($G1045,'CAT_PUESTOS'!$A$4:$A$23,0)),"(sin catálogo)"))</f>
        <v/>
      </c>
      <c r="AC1045" s="24">
        <f>IF($H1045="","",IFERROR(INDEX('CAT_ACTIVIDADES'!$B$4:$B$26,MATCH($H1045,'CAT_ACTIVIDADES'!$A$4:$A$26,0)),"(sin catálogo)"))</f>
        <v/>
      </c>
      <c r="AD1045" s="26">
        <f>IF($J1045="","",TODAY()-$J1045)</f>
        <v/>
      </c>
      <c r="AE1045" s="26">
        <f>IF($J1045="","",IF($J1045&lt;=TODAY(),COUNTIFS(cal_fechas,"&gt;="&amp;$J1045,cal_fechas,"&lt;"&amp;TODAY(),cal_habil,"sí"),-COUNTIFS(cal_fechas,"&gt;="&amp;TODAY(),cal_fechas,"&lt;"&amp;$J1045,cal_habil,"sí")))</f>
        <v/>
      </c>
      <c r="AF1045" s="24">
        <f>IF($AE1045="","",IF($AE1045&lt;0,"FUTURO",IF($AE1045&gt;p_dias_backlog_max,"BACKLOG","MES CORRIENTE")))</f>
        <v/>
      </c>
      <c r="AG1045" s="24">
        <f>IF($AE1045="",FALSE,AND($AE1045&gt;p_dias_backlog_min,$AE1045&lt;=p_dias_backlog_max))</f>
        <v/>
      </c>
      <c r="AH1045" s="4" t="n"/>
      <c r="AI1045" s="24">
        <f>IF($AH1045="","",IF((IFERROR(INDEX('ASIGNACIONES'!$J$4:$J$451,MATCH($O1045&amp;"|"&amp;$S1045&amp;"|"&amp;$AH1045,'ASIGNACIONES'!$N$4:$N$451,0)),""))=0,"",IFERROR(INDEX('ASIGNACIONES'!$J$4:$J$451,MATCH($O1045&amp;"|"&amp;$S1045&amp;"|"&amp;$AH1045,'ASIGNACIONES'!$N$4:$N$451,0)),"")))</f>
        <v/>
      </c>
      <c r="AJ1045" s="42">
        <f>IF($AH1045="","",SUMIFS('ORDENES'!$M$4:$M$1203,'ORDENES'!$AH$4:$AH$1203,$AH1045,'ORDENES'!$O$4:$O$1203,$O1045,'ORDENES'!$S$4:$S$1203,$S1045))</f>
        <v/>
      </c>
      <c r="AK1045" s="42">
        <f>IF($AJ1045="","",p_factor_productividad*IFERROR(INDEX('ASIGNACIONES'!$M$4:$M$451,MATCH($O1045&amp;"|"&amp;$S1045&amp;"|"&amp;$AH1045,'ASIGNACIONES'!$N$4:$N$451,0)),0)-$AJ1045)</f>
        <v/>
      </c>
      <c r="AL1045" s="32">
        <f>IF($A1045="","",IFERROR(INDEX('2_IMPORTAR_EJECUCION'!$F$9:$F$1208,MATCH($AU1045,'2_IMPORTAR_EJECUCION'!$J$9:$J$1208,0)),0))</f>
        <v/>
      </c>
      <c r="AM1045" s="32">
        <f>IF($A1045="","",MAX(0,IFERROR(INDEX('2_IMPORTAR_EJECUCION'!$H$9:$H$1208,MATCH($AU1045,'2_IMPORTAR_EJECUCION'!$J$9:$J$1208,0)),0)-$AL1045))</f>
        <v/>
      </c>
      <c r="AN1045" s="32">
        <f>IF($A1045="","",$AL1045+$AM1045)</f>
        <v/>
      </c>
      <c r="AO1045" s="24">
        <f>IF($A1045="","",IF(OR((IFERROR(INDEX('CAT_ACTIVIDADES'!$D$4:$D$26,MATCH($H1045,'CAT_ACTIVIDADES'!$A$4:$A$26,0)),""))=0,(IFERROR(INDEX('CAT_ACTIVIDADES'!$D$4:$D$26,MATCH($H1045,'CAT_ACTIVIDADES'!$A$4:$A$26,0)),""))=""),"SIN CLASIFICAR",IFERROR(INDEX('CAT_ACTIVIDADES'!$D$4:$D$26,MATCH($H1045,'CAT_ACTIVIDADES'!$A$4:$A$26,0)),"")))</f>
        <v/>
      </c>
      <c r="AP1045" s="4" t="n"/>
      <c r="AQ1045" s="4" t="n"/>
      <c r="AR1045" s="4" t="n"/>
      <c r="AS1045" s="24">
        <f>IF($AR1045="","",HYPERLINK(p_ruta_base_checklists&amp;$AR1045,"abrir"))</f>
        <v/>
      </c>
      <c r="AT1045" s="4" t="n"/>
      <c r="AU1045" s="24">
        <f>IF($A1045="","",$A1045&amp;IF($B1045="","0010",$B1045))</f>
        <v/>
      </c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41" t="n"/>
      <c r="K1046" s="5" t="n"/>
      <c r="L1046" s="18" t="n"/>
      <c r="M1046" s="24">
        <f>IF($A1046="","",IFERROR(INDEX('AJUSTES'!$B$4:$B$303,MATCH($AU1046,'AJUSTES'!$A$4:$A$303,0)),IF($K1046="","",$K1046)))</f>
        <v/>
      </c>
      <c r="N1046" s="24">
        <f>IF($A1046="","",IFERROR(INDEX('CAT_ESTADOS_ERP'!$B$4:$B$22,MATCH(IFERROR(INDEX('2_IMPORTAR_EJECUCION'!$C$9:$C$1208,MATCH($AU1046,'2_IMPORTAR_EJECUCION'!$J$9:$J$1208,0)),""),'CAT_ESTADOS_ERP'!$A$4:$A$22,0)),"Pendiente"))</f>
        <v/>
      </c>
      <c r="O1046" s="24">
        <f>IF($J1046="","",YEAR($J1046+4-WEEKDAY($J1046,2))&amp;"-S"&amp;TEXT(_xlfn.ISOWEEKNUM($J1046),"00"))</f>
        <v/>
      </c>
      <c r="P1046" s="24">
        <f>IF($J1046="","",YEAR($J1046))</f>
        <v/>
      </c>
      <c r="Q1046" s="24">
        <f>IF($J1046="","",MONTH($J1046))</f>
        <v/>
      </c>
      <c r="R1046" s="24">
        <f>IF($J1046="","",$P1046&amp;"-"&amp;TEXT($Q1046,"00"))</f>
        <v/>
      </c>
      <c r="S1046" s="24">
        <f>IF($J1046="","",INDEX(lista_dias,WEEKDAY($J1046,2)))</f>
        <v/>
      </c>
      <c r="T1046" s="24">
        <f>IF($J1046="","",IFERROR(INDEX('CALENDARIO'!$C$15:$C$214,MATCH(TEXT($J1046,"yyyy-mm-dd")&amp;"|"&amp;$Y1046&amp;"|"&amp;$Z1046,'CALENDARIO'!$G$15:$G$214,0)),IFERROR(INDEX('CALENDARIO'!$C$15:$C$214,MATCH(TEXT($J1046,"yyyy-mm-dd")&amp;"|"&amp;$Y1046&amp;"|",'CALENDARIO'!$G$15:$G$214,0)),IFERROR(INDEX('CALENDARIO'!$C$15:$C$214,MATCH(TEXT($J1046,"yyyy-mm-dd")&amp;"||",'CALENDARIO'!$G$15:$G$214,0)),INDEX(patronHabil,WEEKDAY($J1046,2))))))</f>
        <v/>
      </c>
      <c r="U1046" s="24">
        <f>IF($I1046="","",IFERROR(INDEX('CAT_TIPOS_OT'!$C$4:$C$23,MATCH($I1046,'CAT_TIPOS_OT'!$A$4:$A$23,0)),"sin_clasificar"))</f>
        <v/>
      </c>
      <c r="V1046" s="24">
        <f>IF($I1046="","",IF(IFERROR(INDEX('CAT_TIPOS_OT'!$D$4:$D$23,MATCH($I1046,'CAT_TIPOS_OT'!$A$4:$A$23,0)),"SIN CLASIFICAR")="","SIN CLASIFICAR",IFERROR(INDEX('CAT_TIPOS_OT'!$D$4:$D$23,MATCH($I1046,'CAT_TIPOS_OT'!$A$4:$A$23,0)),"SIN CLASIFICAR")))</f>
        <v/>
      </c>
      <c r="W1046" s="24">
        <f>IF($H1046="","",IF(IFERROR(INDEX('CAT_ACTIVIDADES'!$F$4:$F$26,MATCH($H1046,'CAT_ACTIVIDADES'!$A$4:$A$26,0)),"")=0,"",IFERROR(INDEX('CAT_ACTIVIDADES'!$F$4:$F$26,MATCH($H1046,'CAT_ACTIVIDADES'!$A$4:$A$26,0)),"")))</f>
        <v/>
      </c>
      <c r="X1046" s="24">
        <f>IF($F1046="","",IFERROR(INDEX('CAT_CENTROS_COSTO'!$F$4:$F$28,MATCH($F1046,'CAT_CENTROS_COSTO'!$A$4:$A$28,0)),"(sin catálogo)"))</f>
        <v/>
      </c>
      <c r="Y1046" s="24">
        <f>IF($F1046="","",IFERROR(INDEX('CAT_CENTROS_COSTO'!$D$4:$D$28,MATCH($F1046,'CAT_CENTROS_COSTO'!$A$4:$A$28,0)),"(sin catálogo)"))</f>
        <v/>
      </c>
      <c r="Z1046" s="24">
        <f>IF($F1046="","",IF((IFERROR(INDEX('CAT_CENTROS_COSTO'!$E$4:$E$28,MATCH($F1046,'CAT_CENTROS_COSTO'!$A$4:$A$28,0)),""))&lt;&gt;"",IFERROR(INDEX('CAT_CENTROS_COSTO'!$E$4:$E$28,MATCH($F1046,'CAT_CENTROS_COSTO'!$A$4:$A$28,0)),""),$Y1046))</f>
        <v/>
      </c>
      <c r="AA1046" s="24">
        <f>IF($F1046="","",IFERROR(INDEX('CAT_CENTROS_COSTO'!$G$4:$G$28,MATCH($F1046,'CAT_CENTROS_COSTO'!$A$4:$A$28,0)),"(sin catálogo)"))</f>
        <v/>
      </c>
      <c r="AB1046" s="24">
        <f>IF($G1046="","",IFERROR(INDEX('CAT_PUESTOS'!$B$4:$B$23,MATCH($G1046,'CAT_PUESTOS'!$A$4:$A$23,0)),"(sin catálogo)"))</f>
        <v/>
      </c>
      <c r="AC1046" s="24">
        <f>IF($H1046="","",IFERROR(INDEX('CAT_ACTIVIDADES'!$B$4:$B$26,MATCH($H1046,'CAT_ACTIVIDADES'!$A$4:$A$26,0)),"(sin catálogo)"))</f>
        <v/>
      </c>
      <c r="AD1046" s="26">
        <f>IF($J1046="","",TODAY()-$J1046)</f>
        <v/>
      </c>
      <c r="AE1046" s="26">
        <f>IF($J1046="","",IF($J1046&lt;=TODAY(),COUNTIFS(cal_fechas,"&gt;="&amp;$J1046,cal_fechas,"&lt;"&amp;TODAY(),cal_habil,"sí"),-COUNTIFS(cal_fechas,"&gt;="&amp;TODAY(),cal_fechas,"&lt;"&amp;$J1046,cal_habil,"sí")))</f>
        <v/>
      </c>
      <c r="AF1046" s="24">
        <f>IF($AE1046="","",IF($AE1046&lt;0,"FUTURO",IF($AE1046&gt;p_dias_backlog_max,"BACKLOG","MES CORRIENTE")))</f>
        <v/>
      </c>
      <c r="AG1046" s="24">
        <f>IF($AE1046="",FALSE,AND($AE1046&gt;p_dias_backlog_min,$AE1046&lt;=p_dias_backlog_max))</f>
        <v/>
      </c>
      <c r="AH1046" s="4" t="n"/>
      <c r="AI1046" s="24">
        <f>IF($AH1046="","",IF((IFERROR(INDEX('ASIGNACIONES'!$J$4:$J$451,MATCH($O1046&amp;"|"&amp;$S1046&amp;"|"&amp;$AH1046,'ASIGNACIONES'!$N$4:$N$451,0)),""))=0,"",IFERROR(INDEX('ASIGNACIONES'!$J$4:$J$451,MATCH($O1046&amp;"|"&amp;$S1046&amp;"|"&amp;$AH1046,'ASIGNACIONES'!$N$4:$N$451,0)),"")))</f>
        <v/>
      </c>
      <c r="AJ1046" s="42">
        <f>IF($AH1046="","",SUMIFS('ORDENES'!$M$4:$M$1203,'ORDENES'!$AH$4:$AH$1203,$AH1046,'ORDENES'!$O$4:$O$1203,$O1046,'ORDENES'!$S$4:$S$1203,$S1046))</f>
        <v/>
      </c>
      <c r="AK1046" s="42">
        <f>IF($AJ1046="","",p_factor_productividad*IFERROR(INDEX('ASIGNACIONES'!$M$4:$M$451,MATCH($O1046&amp;"|"&amp;$S1046&amp;"|"&amp;$AH1046,'ASIGNACIONES'!$N$4:$N$451,0)),0)-$AJ1046)</f>
        <v/>
      </c>
      <c r="AL1046" s="32">
        <f>IF($A1046="","",IFERROR(INDEX('2_IMPORTAR_EJECUCION'!$F$9:$F$1208,MATCH($AU1046,'2_IMPORTAR_EJECUCION'!$J$9:$J$1208,0)),0))</f>
        <v/>
      </c>
      <c r="AM1046" s="32">
        <f>IF($A1046="","",MAX(0,IFERROR(INDEX('2_IMPORTAR_EJECUCION'!$H$9:$H$1208,MATCH($AU1046,'2_IMPORTAR_EJECUCION'!$J$9:$J$1208,0)),0)-$AL1046))</f>
        <v/>
      </c>
      <c r="AN1046" s="32">
        <f>IF($A1046="","",$AL1046+$AM1046)</f>
        <v/>
      </c>
      <c r="AO1046" s="24">
        <f>IF($A1046="","",IF(OR((IFERROR(INDEX('CAT_ACTIVIDADES'!$D$4:$D$26,MATCH($H1046,'CAT_ACTIVIDADES'!$A$4:$A$26,0)),""))=0,(IFERROR(INDEX('CAT_ACTIVIDADES'!$D$4:$D$26,MATCH($H1046,'CAT_ACTIVIDADES'!$A$4:$A$26,0)),""))=""),"SIN CLASIFICAR",IFERROR(INDEX('CAT_ACTIVIDADES'!$D$4:$D$26,MATCH($H1046,'CAT_ACTIVIDADES'!$A$4:$A$26,0)),"")))</f>
        <v/>
      </c>
      <c r="AP1046" s="4" t="n"/>
      <c r="AQ1046" s="4" t="n"/>
      <c r="AR1046" s="4" t="n"/>
      <c r="AS1046" s="24">
        <f>IF($AR1046="","",HYPERLINK(p_ruta_base_checklists&amp;$AR1046,"abrir"))</f>
        <v/>
      </c>
      <c r="AT1046" s="4" t="n"/>
      <c r="AU1046" s="24">
        <f>IF($A1046="","",$A1046&amp;IF($B1046="","0010",$B1046))</f>
        <v/>
      </c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41" t="n"/>
      <c r="K1047" s="5" t="n"/>
      <c r="L1047" s="18" t="n"/>
      <c r="M1047" s="24">
        <f>IF($A1047="","",IFERROR(INDEX('AJUSTES'!$B$4:$B$303,MATCH($AU1047,'AJUSTES'!$A$4:$A$303,0)),IF($K1047="","",$K1047)))</f>
        <v/>
      </c>
      <c r="N1047" s="24">
        <f>IF($A1047="","",IFERROR(INDEX('CAT_ESTADOS_ERP'!$B$4:$B$22,MATCH(IFERROR(INDEX('2_IMPORTAR_EJECUCION'!$C$9:$C$1208,MATCH($AU1047,'2_IMPORTAR_EJECUCION'!$J$9:$J$1208,0)),""),'CAT_ESTADOS_ERP'!$A$4:$A$22,0)),"Pendiente"))</f>
        <v/>
      </c>
      <c r="O1047" s="24">
        <f>IF($J1047="","",YEAR($J1047+4-WEEKDAY($J1047,2))&amp;"-S"&amp;TEXT(_xlfn.ISOWEEKNUM($J1047),"00"))</f>
        <v/>
      </c>
      <c r="P1047" s="24">
        <f>IF($J1047="","",YEAR($J1047))</f>
        <v/>
      </c>
      <c r="Q1047" s="24">
        <f>IF($J1047="","",MONTH($J1047))</f>
        <v/>
      </c>
      <c r="R1047" s="24">
        <f>IF($J1047="","",$P1047&amp;"-"&amp;TEXT($Q1047,"00"))</f>
        <v/>
      </c>
      <c r="S1047" s="24">
        <f>IF($J1047="","",INDEX(lista_dias,WEEKDAY($J1047,2)))</f>
        <v/>
      </c>
      <c r="T1047" s="24">
        <f>IF($J1047="","",IFERROR(INDEX('CALENDARIO'!$C$15:$C$214,MATCH(TEXT($J1047,"yyyy-mm-dd")&amp;"|"&amp;$Y1047&amp;"|"&amp;$Z1047,'CALENDARIO'!$G$15:$G$214,0)),IFERROR(INDEX('CALENDARIO'!$C$15:$C$214,MATCH(TEXT($J1047,"yyyy-mm-dd")&amp;"|"&amp;$Y1047&amp;"|",'CALENDARIO'!$G$15:$G$214,0)),IFERROR(INDEX('CALENDARIO'!$C$15:$C$214,MATCH(TEXT($J1047,"yyyy-mm-dd")&amp;"||",'CALENDARIO'!$G$15:$G$214,0)),INDEX(patronHabil,WEEKDAY($J1047,2))))))</f>
        <v/>
      </c>
      <c r="U1047" s="24">
        <f>IF($I1047="","",IFERROR(INDEX('CAT_TIPOS_OT'!$C$4:$C$23,MATCH($I1047,'CAT_TIPOS_OT'!$A$4:$A$23,0)),"sin_clasificar"))</f>
        <v/>
      </c>
      <c r="V1047" s="24">
        <f>IF($I1047="","",IF(IFERROR(INDEX('CAT_TIPOS_OT'!$D$4:$D$23,MATCH($I1047,'CAT_TIPOS_OT'!$A$4:$A$23,0)),"SIN CLASIFICAR")="","SIN CLASIFICAR",IFERROR(INDEX('CAT_TIPOS_OT'!$D$4:$D$23,MATCH($I1047,'CAT_TIPOS_OT'!$A$4:$A$23,0)),"SIN CLASIFICAR")))</f>
        <v/>
      </c>
      <c r="W1047" s="24">
        <f>IF($H1047="","",IF(IFERROR(INDEX('CAT_ACTIVIDADES'!$F$4:$F$26,MATCH($H1047,'CAT_ACTIVIDADES'!$A$4:$A$26,0)),"")=0,"",IFERROR(INDEX('CAT_ACTIVIDADES'!$F$4:$F$26,MATCH($H1047,'CAT_ACTIVIDADES'!$A$4:$A$26,0)),"")))</f>
        <v/>
      </c>
      <c r="X1047" s="24">
        <f>IF($F1047="","",IFERROR(INDEX('CAT_CENTROS_COSTO'!$F$4:$F$28,MATCH($F1047,'CAT_CENTROS_COSTO'!$A$4:$A$28,0)),"(sin catálogo)"))</f>
        <v/>
      </c>
      <c r="Y1047" s="24">
        <f>IF($F1047="","",IFERROR(INDEX('CAT_CENTROS_COSTO'!$D$4:$D$28,MATCH($F1047,'CAT_CENTROS_COSTO'!$A$4:$A$28,0)),"(sin catálogo)"))</f>
        <v/>
      </c>
      <c r="Z1047" s="24">
        <f>IF($F1047="","",IF((IFERROR(INDEX('CAT_CENTROS_COSTO'!$E$4:$E$28,MATCH($F1047,'CAT_CENTROS_COSTO'!$A$4:$A$28,0)),""))&lt;&gt;"",IFERROR(INDEX('CAT_CENTROS_COSTO'!$E$4:$E$28,MATCH($F1047,'CAT_CENTROS_COSTO'!$A$4:$A$28,0)),""),$Y1047))</f>
        <v/>
      </c>
      <c r="AA1047" s="24">
        <f>IF($F1047="","",IFERROR(INDEX('CAT_CENTROS_COSTO'!$G$4:$G$28,MATCH($F1047,'CAT_CENTROS_COSTO'!$A$4:$A$28,0)),"(sin catálogo)"))</f>
        <v/>
      </c>
      <c r="AB1047" s="24">
        <f>IF($G1047="","",IFERROR(INDEX('CAT_PUESTOS'!$B$4:$B$23,MATCH($G1047,'CAT_PUESTOS'!$A$4:$A$23,0)),"(sin catálogo)"))</f>
        <v/>
      </c>
      <c r="AC1047" s="24">
        <f>IF($H1047="","",IFERROR(INDEX('CAT_ACTIVIDADES'!$B$4:$B$26,MATCH($H1047,'CAT_ACTIVIDADES'!$A$4:$A$26,0)),"(sin catálogo)"))</f>
        <v/>
      </c>
      <c r="AD1047" s="26">
        <f>IF($J1047="","",TODAY()-$J1047)</f>
        <v/>
      </c>
      <c r="AE1047" s="26">
        <f>IF($J1047="","",IF($J1047&lt;=TODAY(),COUNTIFS(cal_fechas,"&gt;="&amp;$J1047,cal_fechas,"&lt;"&amp;TODAY(),cal_habil,"sí"),-COUNTIFS(cal_fechas,"&gt;="&amp;TODAY(),cal_fechas,"&lt;"&amp;$J1047,cal_habil,"sí")))</f>
        <v/>
      </c>
      <c r="AF1047" s="24">
        <f>IF($AE1047="","",IF($AE1047&lt;0,"FUTURO",IF($AE1047&gt;p_dias_backlog_max,"BACKLOG","MES CORRIENTE")))</f>
        <v/>
      </c>
      <c r="AG1047" s="24">
        <f>IF($AE1047="",FALSE,AND($AE1047&gt;p_dias_backlog_min,$AE1047&lt;=p_dias_backlog_max))</f>
        <v/>
      </c>
      <c r="AH1047" s="4" t="n"/>
      <c r="AI1047" s="24">
        <f>IF($AH1047="","",IF((IFERROR(INDEX('ASIGNACIONES'!$J$4:$J$451,MATCH($O1047&amp;"|"&amp;$S1047&amp;"|"&amp;$AH1047,'ASIGNACIONES'!$N$4:$N$451,0)),""))=0,"",IFERROR(INDEX('ASIGNACIONES'!$J$4:$J$451,MATCH($O1047&amp;"|"&amp;$S1047&amp;"|"&amp;$AH1047,'ASIGNACIONES'!$N$4:$N$451,0)),"")))</f>
        <v/>
      </c>
      <c r="AJ1047" s="42">
        <f>IF($AH1047="","",SUMIFS('ORDENES'!$M$4:$M$1203,'ORDENES'!$AH$4:$AH$1203,$AH1047,'ORDENES'!$O$4:$O$1203,$O1047,'ORDENES'!$S$4:$S$1203,$S1047))</f>
        <v/>
      </c>
      <c r="AK1047" s="42">
        <f>IF($AJ1047="","",p_factor_productividad*IFERROR(INDEX('ASIGNACIONES'!$M$4:$M$451,MATCH($O1047&amp;"|"&amp;$S1047&amp;"|"&amp;$AH1047,'ASIGNACIONES'!$N$4:$N$451,0)),0)-$AJ1047)</f>
        <v/>
      </c>
      <c r="AL1047" s="32">
        <f>IF($A1047="","",IFERROR(INDEX('2_IMPORTAR_EJECUCION'!$F$9:$F$1208,MATCH($AU1047,'2_IMPORTAR_EJECUCION'!$J$9:$J$1208,0)),0))</f>
        <v/>
      </c>
      <c r="AM1047" s="32">
        <f>IF($A1047="","",MAX(0,IFERROR(INDEX('2_IMPORTAR_EJECUCION'!$H$9:$H$1208,MATCH($AU1047,'2_IMPORTAR_EJECUCION'!$J$9:$J$1208,0)),0)-$AL1047))</f>
        <v/>
      </c>
      <c r="AN1047" s="32">
        <f>IF($A1047="","",$AL1047+$AM1047)</f>
        <v/>
      </c>
      <c r="AO1047" s="24">
        <f>IF($A1047="","",IF(OR((IFERROR(INDEX('CAT_ACTIVIDADES'!$D$4:$D$26,MATCH($H1047,'CAT_ACTIVIDADES'!$A$4:$A$26,0)),""))=0,(IFERROR(INDEX('CAT_ACTIVIDADES'!$D$4:$D$26,MATCH($H1047,'CAT_ACTIVIDADES'!$A$4:$A$26,0)),""))=""),"SIN CLASIFICAR",IFERROR(INDEX('CAT_ACTIVIDADES'!$D$4:$D$26,MATCH($H1047,'CAT_ACTIVIDADES'!$A$4:$A$26,0)),"")))</f>
        <v/>
      </c>
      <c r="AP1047" s="4" t="n"/>
      <c r="AQ1047" s="4" t="n"/>
      <c r="AR1047" s="4" t="n"/>
      <c r="AS1047" s="24">
        <f>IF($AR1047="","",HYPERLINK(p_ruta_base_checklists&amp;$AR1047,"abrir"))</f>
        <v/>
      </c>
      <c r="AT1047" s="4" t="n"/>
      <c r="AU1047" s="24">
        <f>IF($A1047="","",$A1047&amp;IF($B1047="","0010",$B1047))</f>
        <v/>
      </c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41" t="n"/>
      <c r="K1048" s="5" t="n"/>
      <c r="L1048" s="18" t="n"/>
      <c r="M1048" s="24">
        <f>IF($A1048="","",IFERROR(INDEX('AJUSTES'!$B$4:$B$303,MATCH($AU1048,'AJUSTES'!$A$4:$A$303,0)),IF($K1048="","",$K1048)))</f>
        <v/>
      </c>
      <c r="N1048" s="24">
        <f>IF($A1048="","",IFERROR(INDEX('CAT_ESTADOS_ERP'!$B$4:$B$22,MATCH(IFERROR(INDEX('2_IMPORTAR_EJECUCION'!$C$9:$C$1208,MATCH($AU1048,'2_IMPORTAR_EJECUCION'!$J$9:$J$1208,0)),""),'CAT_ESTADOS_ERP'!$A$4:$A$22,0)),"Pendiente"))</f>
        <v/>
      </c>
      <c r="O1048" s="24">
        <f>IF($J1048="","",YEAR($J1048+4-WEEKDAY($J1048,2))&amp;"-S"&amp;TEXT(_xlfn.ISOWEEKNUM($J1048),"00"))</f>
        <v/>
      </c>
      <c r="P1048" s="24">
        <f>IF($J1048="","",YEAR($J1048))</f>
        <v/>
      </c>
      <c r="Q1048" s="24">
        <f>IF($J1048="","",MONTH($J1048))</f>
        <v/>
      </c>
      <c r="R1048" s="24">
        <f>IF($J1048="","",$P1048&amp;"-"&amp;TEXT($Q1048,"00"))</f>
        <v/>
      </c>
      <c r="S1048" s="24">
        <f>IF($J1048="","",INDEX(lista_dias,WEEKDAY($J1048,2)))</f>
        <v/>
      </c>
      <c r="T1048" s="24">
        <f>IF($J1048="","",IFERROR(INDEX('CALENDARIO'!$C$15:$C$214,MATCH(TEXT($J1048,"yyyy-mm-dd")&amp;"|"&amp;$Y1048&amp;"|"&amp;$Z1048,'CALENDARIO'!$G$15:$G$214,0)),IFERROR(INDEX('CALENDARIO'!$C$15:$C$214,MATCH(TEXT($J1048,"yyyy-mm-dd")&amp;"|"&amp;$Y1048&amp;"|",'CALENDARIO'!$G$15:$G$214,0)),IFERROR(INDEX('CALENDARIO'!$C$15:$C$214,MATCH(TEXT($J1048,"yyyy-mm-dd")&amp;"||",'CALENDARIO'!$G$15:$G$214,0)),INDEX(patronHabil,WEEKDAY($J1048,2))))))</f>
        <v/>
      </c>
      <c r="U1048" s="24">
        <f>IF($I1048="","",IFERROR(INDEX('CAT_TIPOS_OT'!$C$4:$C$23,MATCH($I1048,'CAT_TIPOS_OT'!$A$4:$A$23,0)),"sin_clasificar"))</f>
        <v/>
      </c>
      <c r="V1048" s="24">
        <f>IF($I1048="","",IF(IFERROR(INDEX('CAT_TIPOS_OT'!$D$4:$D$23,MATCH($I1048,'CAT_TIPOS_OT'!$A$4:$A$23,0)),"SIN CLASIFICAR")="","SIN CLASIFICAR",IFERROR(INDEX('CAT_TIPOS_OT'!$D$4:$D$23,MATCH($I1048,'CAT_TIPOS_OT'!$A$4:$A$23,0)),"SIN CLASIFICAR")))</f>
        <v/>
      </c>
      <c r="W1048" s="24">
        <f>IF($H1048="","",IF(IFERROR(INDEX('CAT_ACTIVIDADES'!$F$4:$F$26,MATCH($H1048,'CAT_ACTIVIDADES'!$A$4:$A$26,0)),"")=0,"",IFERROR(INDEX('CAT_ACTIVIDADES'!$F$4:$F$26,MATCH($H1048,'CAT_ACTIVIDADES'!$A$4:$A$26,0)),"")))</f>
        <v/>
      </c>
      <c r="X1048" s="24">
        <f>IF($F1048="","",IFERROR(INDEX('CAT_CENTROS_COSTO'!$F$4:$F$28,MATCH($F1048,'CAT_CENTROS_COSTO'!$A$4:$A$28,0)),"(sin catálogo)"))</f>
        <v/>
      </c>
      <c r="Y1048" s="24">
        <f>IF($F1048="","",IFERROR(INDEX('CAT_CENTROS_COSTO'!$D$4:$D$28,MATCH($F1048,'CAT_CENTROS_COSTO'!$A$4:$A$28,0)),"(sin catálogo)"))</f>
        <v/>
      </c>
      <c r="Z1048" s="24">
        <f>IF($F1048="","",IF((IFERROR(INDEX('CAT_CENTROS_COSTO'!$E$4:$E$28,MATCH($F1048,'CAT_CENTROS_COSTO'!$A$4:$A$28,0)),""))&lt;&gt;"",IFERROR(INDEX('CAT_CENTROS_COSTO'!$E$4:$E$28,MATCH($F1048,'CAT_CENTROS_COSTO'!$A$4:$A$28,0)),""),$Y1048))</f>
        <v/>
      </c>
      <c r="AA1048" s="24">
        <f>IF($F1048="","",IFERROR(INDEX('CAT_CENTROS_COSTO'!$G$4:$G$28,MATCH($F1048,'CAT_CENTROS_COSTO'!$A$4:$A$28,0)),"(sin catálogo)"))</f>
        <v/>
      </c>
      <c r="AB1048" s="24">
        <f>IF($G1048="","",IFERROR(INDEX('CAT_PUESTOS'!$B$4:$B$23,MATCH($G1048,'CAT_PUESTOS'!$A$4:$A$23,0)),"(sin catálogo)"))</f>
        <v/>
      </c>
      <c r="AC1048" s="24">
        <f>IF($H1048="","",IFERROR(INDEX('CAT_ACTIVIDADES'!$B$4:$B$26,MATCH($H1048,'CAT_ACTIVIDADES'!$A$4:$A$26,0)),"(sin catálogo)"))</f>
        <v/>
      </c>
      <c r="AD1048" s="26">
        <f>IF($J1048="","",TODAY()-$J1048)</f>
        <v/>
      </c>
      <c r="AE1048" s="26">
        <f>IF($J1048="","",IF($J1048&lt;=TODAY(),COUNTIFS(cal_fechas,"&gt;="&amp;$J1048,cal_fechas,"&lt;"&amp;TODAY(),cal_habil,"sí"),-COUNTIFS(cal_fechas,"&gt;="&amp;TODAY(),cal_fechas,"&lt;"&amp;$J1048,cal_habil,"sí")))</f>
        <v/>
      </c>
      <c r="AF1048" s="24">
        <f>IF($AE1048="","",IF($AE1048&lt;0,"FUTURO",IF($AE1048&gt;p_dias_backlog_max,"BACKLOG","MES CORRIENTE")))</f>
        <v/>
      </c>
      <c r="AG1048" s="24">
        <f>IF($AE1048="",FALSE,AND($AE1048&gt;p_dias_backlog_min,$AE1048&lt;=p_dias_backlog_max))</f>
        <v/>
      </c>
      <c r="AH1048" s="4" t="n"/>
      <c r="AI1048" s="24">
        <f>IF($AH1048="","",IF((IFERROR(INDEX('ASIGNACIONES'!$J$4:$J$451,MATCH($O1048&amp;"|"&amp;$S1048&amp;"|"&amp;$AH1048,'ASIGNACIONES'!$N$4:$N$451,0)),""))=0,"",IFERROR(INDEX('ASIGNACIONES'!$J$4:$J$451,MATCH($O1048&amp;"|"&amp;$S1048&amp;"|"&amp;$AH1048,'ASIGNACIONES'!$N$4:$N$451,0)),"")))</f>
        <v/>
      </c>
      <c r="AJ1048" s="42">
        <f>IF($AH1048="","",SUMIFS('ORDENES'!$M$4:$M$1203,'ORDENES'!$AH$4:$AH$1203,$AH1048,'ORDENES'!$O$4:$O$1203,$O1048,'ORDENES'!$S$4:$S$1203,$S1048))</f>
        <v/>
      </c>
      <c r="AK1048" s="42">
        <f>IF($AJ1048="","",p_factor_productividad*IFERROR(INDEX('ASIGNACIONES'!$M$4:$M$451,MATCH($O1048&amp;"|"&amp;$S1048&amp;"|"&amp;$AH1048,'ASIGNACIONES'!$N$4:$N$451,0)),0)-$AJ1048)</f>
        <v/>
      </c>
      <c r="AL1048" s="32">
        <f>IF($A1048="","",IFERROR(INDEX('2_IMPORTAR_EJECUCION'!$F$9:$F$1208,MATCH($AU1048,'2_IMPORTAR_EJECUCION'!$J$9:$J$1208,0)),0))</f>
        <v/>
      </c>
      <c r="AM1048" s="32">
        <f>IF($A1048="","",MAX(0,IFERROR(INDEX('2_IMPORTAR_EJECUCION'!$H$9:$H$1208,MATCH($AU1048,'2_IMPORTAR_EJECUCION'!$J$9:$J$1208,0)),0)-$AL1048))</f>
        <v/>
      </c>
      <c r="AN1048" s="32">
        <f>IF($A1048="","",$AL1048+$AM1048)</f>
        <v/>
      </c>
      <c r="AO1048" s="24">
        <f>IF($A1048="","",IF(OR((IFERROR(INDEX('CAT_ACTIVIDADES'!$D$4:$D$26,MATCH($H1048,'CAT_ACTIVIDADES'!$A$4:$A$26,0)),""))=0,(IFERROR(INDEX('CAT_ACTIVIDADES'!$D$4:$D$26,MATCH($H1048,'CAT_ACTIVIDADES'!$A$4:$A$26,0)),""))=""),"SIN CLASIFICAR",IFERROR(INDEX('CAT_ACTIVIDADES'!$D$4:$D$26,MATCH($H1048,'CAT_ACTIVIDADES'!$A$4:$A$26,0)),"")))</f>
        <v/>
      </c>
      <c r="AP1048" s="4" t="n"/>
      <c r="AQ1048" s="4" t="n"/>
      <c r="AR1048" s="4" t="n"/>
      <c r="AS1048" s="24">
        <f>IF($AR1048="","",HYPERLINK(p_ruta_base_checklists&amp;$AR1048,"abrir"))</f>
        <v/>
      </c>
      <c r="AT1048" s="4" t="n"/>
      <c r="AU1048" s="24">
        <f>IF($A1048="","",$A1048&amp;IF($B1048="","0010",$B1048))</f>
        <v/>
      </c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41" t="n"/>
      <c r="K1049" s="5" t="n"/>
      <c r="L1049" s="18" t="n"/>
      <c r="M1049" s="24">
        <f>IF($A1049="","",IFERROR(INDEX('AJUSTES'!$B$4:$B$303,MATCH($AU1049,'AJUSTES'!$A$4:$A$303,0)),IF($K1049="","",$K1049)))</f>
        <v/>
      </c>
      <c r="N1049" s="24">
        <f>IF($A1049="","",IFERROR(INDEX('CAT_ESTADOS_ERP'!$B$4:$B$22,MATCH(IFERROR(INDEX('2_IMPORTAR_EJECUCION'!$C$9:$C$1208,MATCH($AU1049,'2_IMPORTAR_EJECUCION'!$J$9:$J$1208,0)),""),'CAT_ESTADOS_ERP'!$A$4:$A$22,0)),"Pendiente"))</f>
        <v/>
      </c>
      <c r="O1049" s="24">
        <f>IF($J1049="","",YEAR($J1049+4-WEEKDAY($J1049,2))&amp;"-S"&amp;TEXT(_xlfn.ISOWEEKNUM($J1049),"00"))</f>
        <v/>
      </c>
      <c r="P1049" s="24">
        <f>IF($J1049="","",YEAR($J1049))</f>
        <v/>
      </c>
      <c r="Q1049" s="24">
        <f>IF($J1049="","",MONTH($J1049))</f>
        <v/>
      </c>
      <c r="R1049" s="24">
        <f>IF($J1049="","",$P1049&amp;"-"&amp;TEXT($Q1049,"00"))</f>
        <v/>
      </c>
      <c r="S1049" s="24">
        <f>IF($J1049="","",INDEX(lista_dias,WEEKDAY($J1049,2)))</f>
        <v/>
      </c>
      <c r="T1049" s="24">
        <f>IF($J1049="","",IFERROR(INDEX('CALENDARIO'!$C$15:$C$214,MATCH(TEXT($J1049,"yyyy-mm-dd")&amp;"|"&amp;$Y1049&amp;"|"&amp;$Z1049,'CALENDARIO'!$G$15:$G$214,0)),IFERROR(INDEX('CALENDARIO'!$C$15:$C$214,MATCH(TEXT($J1049,"yyyy-mm-dd")&amp;"|"&amp;$Y1049&amp;"|",'CALENDARIO'!$G$15:$G$214,0)),IFERROR(INDEX('CALENDARIO'!$C$15:$C$214,MATCH(TEXT($J1049,"yyyy-mm-dd")&amp;"||",'CALENDARIO'!$G$15:$G$214,0)),INDEX(patronHabil,WEEKDAY($J1049,2))))))</f>
        <v/>
      </c>
      <c r="U1049" s="24">
        <f>IF($I1049="","",IFERROR(INDEX('CAT_TIPOS_OT'!$C$4:$C$23,MATCH($I1049,'CAT_TIPOS_OT'!$A$4:$A$23,0)),"sin_clasificar"))</f>
        <v/>
      </c>
      <c r="V1049" s="24">
        <f>IF($I1049="","",IF(IFERROR(INDEX('CAT_TIPOS_OT'!$D$4:$D$23,MATCH($I1049,'CAT_TIPOS_OT'!$A$4:$A$23,0)),"SIN CLASIFICAR")="","SIN CLASIFICAR",IFERROR(INDEX('CAT_TIPOS_OT'!$D$4:$D$23,MATCH($I1049,'CAT_TIPOS_OT'!$A$4:$A$23,0)),"SIN CLASIFICAR")))</f>
        <v/>
      </c>
      <c r="W1049" s="24">
        <f>IF($H1049="","",IF(IFERROR(INDEX('CAT_ACTIVIDADES'!$F$4:$F$26,MATCH($H1049,'CAT_ACTIVIDADES'!$A$4:$A$26,0)),"")=0,"",IFERROR(INDEX('CAT_ACTIVIDADES'!$F$4:$F$26,MATCH($H1049,'CAT_ACTIVIDADES'!$A$4:$A$26,0)),"")))</f>
        <v/>
      </c>
      <c r="X1049" s="24">
        <f>IF($F1049="","",IFERROR(INDEX('CAT_CENTROS_COSTO'!$F$4:$F$28,MATCH($F1049,'CAT_CENTROS_COSTO'!$A$4:$A$28,0)),"(sin catálogo)"))</f>
        <v/>
      </c>
      <c r="Y1049" s="24">
        <f>IF($F1049="","",IFERROR(INDEX('CAT_CENTROS_COSTO'!$D$4:$D$28,MATCH($F1049,'CAT_CENTROS_COSTO'!$A$4:$A$28,0)),"(sin catálogo)"))</f>
        <v/>
      </c>
      <c r="Z1049" s="24">
        <f>IF($F1049="","",IF((IFERROR(INDEX('CAT_CENTROS_COSTO'!$E$4:$E$28,MATCH($F1049,'CAT_CENTROS_COSTO'!$A$4:$A$28,0)),""))&lt;&gt;"",IFERROR(INDEX('CAT_CENTROS_COSTO'!$E$4:$E$28,MATCH($F1049,'CAT_CENTROS_COSTO'!$A$4:$A$28,0)),""),$Y1049))</f>
        <v/>
      </c>
      <c r="AA1049" s="24">
        <f>IF($F1049="","",IFERROR(INDEX('CAT_CENTROS_COSTO'!$G$4:$G$28,MATCH($F1049,'CAT_CENTROS_COSTO'!$A$4:$A$28,0)),"(sin catálogo)"))</f>
        <v/>
      </c>
      <c r="AB1049" s="24">
        <f>IF($G1049="","",IFERROR(INDEX('CAT_PUESTOS'!$B$4:$B$23,MATCH($G1049,'CAT_PUESTOS'!$A$4:$A$23,0)),"(sin catálogo)"))</f>
        <v/>
      </c>
      <c r="AC1049" s="24">
        <f>IF($H1049="","",IFERROR(INDEX('CAT_ACTIVIDADES'!$B$4:$B$26,MATCH($H1049,'CAT_ACTIVIDADES'!$A$4:$A$26,0)),"(sin catálogo)"))</f>
        <v/>
      </c>
      <c r="AD1049" s="26">
        <f>IF($J1049="","",TODAY()-$J1049)</f>
        <v/>
      </c>
      <c r="AE1049" s="26">
        <f>IF($J1049="","",IF($J1049&lt;=TODAY(),COUNTIFS(cal_fechas,"&gt;="&amp;$J1049,cal_fechas,"&lt;"&amp;TODAY(),cal_habil,"sí"),-COUNTIFS(cal_fechas,"&gt;="&amp;TODAY(),cal_fechas,"&lt;"&amp;$J1049,cal_habil,"sí")))</f>
        <v/>
      </c>
      <c r="AF1049" s="24">
        <f>IF($AE1049="","",IF($AE1049&lt;0,"FUTURO",IF($AE1049&gt;p_dias_backlog_max,"BACKLOG","MES CORRIENTE")))</f>
        <v/>
      </c>
      <c r="AG1049" s="24">
        <f>IF($AE1049="",FALSE,AND($AE1049&gt;p_dias_backlog_min,$AE1049&lt;=p_dias_backlog_max))</f>
        <v/>
      </c>
      <c r="AH1049" s="4" t="n"/>
      <c r="AI1049" s="24">
        <f>IF($AH1049="","",IF((IFERROR(INDEX('ASIGNACIONES'!$J$4:$J$451,MATCH($O1049&amp;"|"&amp;$S1049&amp;"|"&amp;$AH1049,'ASIGNACIONES'!$N$4:$N$451,0)),""))=0,"",IFERROR(INDEX('ASIGNACIONES'!$J$4:$J$451,MATCH($O1049&amp;"|"&amp;$S1049&amp;"|"&amp;$AH1049,'ASIGNACIONES'!$N$4:$N$451,0)),"")))</f>
        <v/>
      </c>
      <c r="AJ1049" s="42">
        <f>IF($AH1049="","",SUMIFS('ORDENES'!$M$4:$M$1203,'ORDENES'!$AH$4:$AH$1203,$AH1049,'ORDENES'!$O$4:$O$1203,$O1049,'ORDENES'!$S$4:$S$1203,$S1049))</f>
        <v/>
      </c>
      <c r="AK1049" s="42">
        <f>IF($AJ1049="","",p_factor_productividad*IFERROR(INDEX('ASIGNACIONES'!$M$4:$M$451,MATCH($O1049&amp;"|"&amp;$S1049&amp;"|"&amp;$AH1049,'ASIGNACIONES'!$N$4:$N$451,0)),0)-$AJ1049)</f>
        <v/>
      </c>
      <c r="AL1049" s="32">
        <f>IF($A1049="","",IFERROR(INDEX('2_IMPORTAR_EJECUCION'!$F$9:$F$1208,MATCH($AU1049,'2_IMPORTAR_EJECUCION'!$J$9:$J$1208,0)),0))</f>
        <v/>
      </c>
      <c r="AM1049" s="32">
        <f>IF($A1049="","",MAX(0,IFERROR(INDEX('2_IMPORTAR_EJECUCION'!$H$9:$H$1208,MATCH($AU1049,'2_IMPORTAR_EJECUCION'!$J$9:$J$1208,0)),0)-$AL1049))</f>
        <v/>
      </c>
      <c r="AN1049" s="32">
        <f>IF($A1049="","",$AL1049+$AM1049)</f>
        <v/>
      </c>
      <c r="AO1049" s="24">
        <f>IF($A1049="","",IF(OR((IFERROR(INDEX('CAT_ACTIVIDADES'!$D$4:$D$26,MATCH($H1049,'CAT_ACTIVIDADES'!$A$4:$A$26,0)),""))=0,(IFERROR(INDEX('CAT_ACTIVIDADES'!$D$4:$D$26,MATCH($H1049,'CAT_ACTIVIDADES'!$A$4:$A$26,0)),""))=""),"SIN CLASIFICAR",IFERROR(INDEX('CAT_ACTIVIDADES'!$D$4:$D$26,MATCH($H1049,'CAT_ACTIVIDADES'!$A$4:$A$26,0)),"")))</f>
        <v/>
      </c>
      <c r="AP1049" s="4" t="n"/>
      <c r="AQ1049" s="4" t="n"/>
      <c r="AR1049" s="4" t="n"/>
      <c r="AS1049" s="24">
        <f>IF($AR1049="","",HYPERLINK(p_ruta_base_checklists&amp;$AR1049,"abrir"))</f>
        <v/>
      </c>
      <c r="AT1049" s="4" t="n"/>
      <c r="AU1049" s="24">
        <f>IF($A1049="","",$A1049&amp;IF($B1049="","0010",$B1049))</f>
        <v/>
      </c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41" t="n"/>
      <c r="K1050" s="5" t="n"/>
      <c r="L1050" s="18" t="n"/>
      <c r="M1050" s="24">
        <f>IF($A1050="","",IFERROR(INDEX('AJUSTES'!$B$4:$B$303,MATCH($AU1050,'AJUSTES'!$A$4:$A$303,0)),IF($K1050="","",$K1050)))</f>
        <v/>
      </c>
      <c r="N1050" s="24">
        <f>IF($A1050="","",IFERROR(INDEX('CAT_ESTADOS_ERP'!$B$4:$B$22,MATCH(IFERROR(INDEX('2_IMPORTAR_EJECUCION'!$C$9:$C$1208,MATCH($AU1050,'2_IMPORTAR_EJECUCION'!$J$9:$J$1208,0)),""),'CAT_ESTADOS_ERP'!$A$4:$A$22,0)),"Pendiente"))</f>
        <v/>
      </c>
      <c r="O1050" s="24">
        <f>IF($J1050="","",YEAR($J1050+4-WEEKDAY($J1050,2))&amp;"-S"&amp;TEXT(_xlfn.ISOWEEKNUM($J1050),"00"))</f>
        <v/>
      </c>
      <c r="P1050" s="24">
        <f>IF($J1050="","",YEAR($J1050))</f>
        <v/>
      </c>
      <c r="Q1050" s="24">
        <f>IF($J1050="","",MONTH($J1050))</f>
        <v/>
      </c>
      <c r="R1050" s="24">
        <f>IF($J1050="","",$P1050&amp;"-"&amp;TEXT($Q1050,"00"))</f>
        <v/>
      </c>
      <c r="S1050" s="24">
        <f>IF($J1050="","",INDEX(lista_dias,WEEKDAY($J1050,2)))</f>
        <v/>
      </c>
      <c r="T1050" s="24">
        <f>IF($J1050="","",IFERROR(INDEX('CALENDARIO'!$C$15:$C$214,MATCH(TEXT($J1050,"yyyy-mm-dd")&amp;"|"&amp;$Y1050&amp;"|"&amp;$Z1050,'CALENDARIO'!$G$15:$G$214,0)),IFERROR(INDEX('CALENDARIO'!$C$15:$C$214,MATCH(TEXT($J1050,"yyyy-mm-dd")&amp;"|"&amp;$Y1050&amp;"|",'CALENDARIO'!$G$15:$G$214,0)),IFERROR(INDEX('CALENDARIO'!$C$15:$C$214,MATCH(TEXT($J1050,"yyyy-mm-dd")&amp;"||",'CALENDARIO'!$G$15:$G$214,0)),INDEX(patronHabil,WEEKDAY($J1050,2))))))</f>
        <v/>
      </c>
      <c r="U1050" s="24">
        <f>IF($I1050="","",IFERROR(INDEX('CAT_TIPOS_OT'!$C$4:$C$23,MATCH($I1050,'CAT_TIPOS_OT'!$A$4:$A$23,0)),"sin_clasificar"))</f>
        <v/>
      </c>
      <c r="V1050" s="24">
        <f>IF($I1050="","",IF(IFERROR(INDEX('CAT_TIPOS_OT'!$D$4:$D$23,MATCH($I1050,'CAT_TIPOS_OT'!$A$4:$A$23,0)),"SIN CLASIFICAR")="","SIN CLASIFICAR",IFERROR(INDEX('CAT_TIPOS_OT'!$D$4:$D$23,MATCH($I1050,'CAT_TIPOS_OT'!$A$4:$A$23,0)),"SIN CLASIFICAR")))</f>
        <v/>
      </c>
      <c r="W1050" s="24">
        <f>IF($H1050="","",IF(IFERROR(INDEX('CAT_ACTIVIDADES'!$F$4:$F$26,MATCH($H1050,'CAT_ACTIVIDADES'!$A$4:$A$26,0)),"")=0,"",IFERROR(INDEX('CAT_ACTIVIDADES'!$F$4:$F$26,MATCH($H1050,'CAT_ACTIVIDADES'!$A$4:$A$26,0)),"")))</f>
        <v/>
      </c>
      <c r="X1050" s="24">
        <f>IF($F1050="","",IFERROR(INDEX('CAT_CENTROS_COSTO'!$F$4:$F$28,MATCH($F1050,'CAT_CENTROS_COSTO'!$A$4:$A$28,0)),"(sin catálogo)"))</f>
        <v/>
      </c>
      <c r="Y1050" s="24">
        <f>IF($F1050="","",IFERROR(INDEX('CAT_CENTROS_COSTO'!$D$4:$D$28,MATCH($F1050,'CAT_CENTROS_COSTO'!$A$4:$A$28,0)),"(sin catálogo)"))</f>
        <v/>
      </c>
      <c r="Z1050" s="24">
        <f>IF($F1050="","",IF((IFERROR(INDEX('CAT_CENTROS_COSTO'!$E$4:$E$28,MATCH($F1050,'CAT_CENTROS_COSTO'!$A$4:$A$28,0)),""))&lt;&gt;"",IFERROR(INDEX('CAT_CENTROS_COSTO'!$E$4:$E$28,MATCH($F1050,'CAT_CENTROS_COSTO'!$A$4:$A$28,0)),""),$Y1050))</f>
        <v/>
      </c>
      <c r="AA1050" s="24">
        <f>IF($F1050="","",IFERROR(INDEX('CAT_CENTROS_COSTO'!$G$4:$G$28,MATCH($F1050,'CAT_CENTROS_COSTO'!$A$4:$A$28,0)),"(sin catálogo)"))</f>
        <v/>
      </c>
      <c r="AB1050" s="24">
        <f>IF($G1050="","",IFERROR(INDEX('CAT_PUESTOS'!$B$4:$B$23,MATCH($G1050,'CAT_PUESTOS'!$A$4:$A$23,0)),"(sin catálogo)"))</f>
        <v/>
      </c>
      <c r="AC1050" s="24">
        <f>IF($H1050="","",IFERROR(INDEX('CAT_ACTIVIDADES'!$B$4:$B$26,MATCH($H1050,'CAT_ACTIVIDADES'!$A$4:$A$26,0)),"(sin catálogo)"))</f>
        <v/>
      </c>
      <c r="AD1050" s="26">
        <f>IF($J1050="","",TODAY()-$J1050)</f>
        <v/>
      </c>
      <c r="AE1050" s="26">
        <f>IF($J1050="","",IF($J1050&lt;=TODAY(),COUNTIFS(cal_fechas,"&gt;="&amp;$J1050,cal_fechas,"&lt;"&amp;TODAY(),cal_habil,"sí"),-COUNTIFS(cal_fechas,"&gt;="&amp;TODAY(),cal_fechas,"&lt;"&amp;$J1050,cal_habil,"sí")))</f>
        <v/>
      </c>
      <c r="AF1050" s="24">
        <f>IF($AE1050="","",IF($AE1050&lt;0,"FUTURO",IF($AE1050&gt;p_dias_backlog_max,"BACKLOG","MES CORRIENTE")))</f>
        <v/>
      </c>
      <c r="AG1050" s="24">
        <f>IF($AE1050="",FALSE,AND($AE1050&gt;p_dias_backlog_min,$AE1050&lt;=p_dias_backlog_max))</f>
        <v/>
      </c>
      <c r="AH1050" s="4" t="n"/>
      <c r="AI1050" s="24">
        <f>IF($AH1050="","",IF((IFERROR(INDEX('ASIGNACIONES'!$J$4:$J$451,MATCH($O1050&amp;"|"&amp;$S1050&amp;"|"&amp;$AH1050,'ASIGNACIONES'!$N$4:$N$451,0)),""))=0,"",IFERROR(INDEX('ASIGNACIONES'!$J$4:$J$451,MATCH($O1050&amp;"|"&amp;$S1050&amp;"|"&amp;$AH1050,'ASIGNACIONES'!$N$4:$N$451,0)),"")))</f>
        <v/>
      </c>
      <c r="AJ1050" s="42">
        <f>IF($AH1050="","",SUMIFS('ORDENES'!$M$4:$M$1203,'ORDENES'!$AH$4:$AH$1203,$AH1050,'ORDENES'!$O$4:$O$1203,$O1050,'ORDENES'!$S$4:$S$1203,$S1050))</f>
        <v/>
      </c>
      <c r="AK1050" s="42">
        <f>IF($AJ1050="","",p_factor_productividad*IFERROR(INDEX('ASIGNACIONES'!$M$4:$M$451,MATCH($O1050&amp;"|"&amp;$S1050&amp;"|"&amp;$AH1050,'ASIGNACIONES'!$N$4:$N$451,0)),0)-$AJ1050)</f>
        <v/>
      </c>
      <c r="AL1050" s="32">
        <f>IF($A1050="","",IFERROR(INDEX('2_IMPORTAR_EJECUCION'!$F$9:$F$1208,MATCH($AU1050,'2_IMPORTAR_EJECUCION'!$J$9:$J$1208,0)),0))</f>
        <v/>
      </c>
      <c r="AM1050" s="32">
        <f>IF($A1050="","",MAX(0,IFERROR(INDEX('2_IMPORTAR_EJECUCION'!$H$9:$H$1208,MATCH($AU1050,'2_IMPORTAR_EJECUCION'!$J$9:$J$1208,0)),0)-$AL1050))</f>
        <v/>
      </c>
      <c r="AN1050" s="32">
        <f>IF($A1050="","",$AL1050+$AM1050)</f>
        <v/>
      </c>
      <c r="AO1050" s="24">
        <f>IF($A1050="","",IF(OR((IFERROR(INDEX('CAT_ACTIVIDADES'!$D$4:$D$26,MATCH($H1050,'CAT_ACTIVIDADES'!$A$4:$A$26,0)),""))=0,(IFERROR(INDEX('CAT_ACTIVIDADES'!$D$4:$D$26,MATCH($H1050,'CAT_ACTIVIDADES'!$A$4:$A$26,0)),""))=""),"SIN CLASIFICAR",IFERROR(INDEX('CAT_ACTIVIDADES'!$D$4:$D$26,MATCH($H1050,'CAT_ACTIVIDADES'!$A$4:$A$26,0)),"")))</f>
        <v/>
      </c>
      <c r="AP1050" s="4" t="n"/>
      <c r="AQ1050" s="4" t="n"/>
      <c r="AR1050" s="4" t="n"/>
      <c r="AS1050" s="24">
        <f>IF($AR1050="","",HYPERLINK(p_ruta_base_checklists&amp;$AR1050,"abrir"))</f>
        <v/>
      </c>
      <c r="AT1050" s="4" t="n"/>
      <c r="AU1050" s="24">
        <f>IF($A1050="","",$A1050&amp;IF($B1050="","0010",$B1050))</f>
        <v/>
      </c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41" t="n"/>
      <c r="K1051" s="5" t="n"/>
      <c r="L1051" s="18" t="n"/>
      <c r="M1051" s="24">
        <f>IF($A1051="","",IFERROR(INDEX('AJUSTES'!$B$4:$B$303,MATCH($AU1051,'AJUSTES'!$A$4:$A$303,0)),IF($K1051="","",$K1051)))</f>
        <v/>
      </c>
      <c r="N1051" s="24">
        <f>IF($A1051="","",IFERROR(INDEX('CAT_ESTADOS_ERP'!$B$4:$B$22,MATCH(IFERROR(INDEX('2_IMPORTAR_EJECUCION'!$C$9:$C$1208,MATCH($AU1051,'2_IMPORTAR_EJECUCION'!$J$9:$J$1208,0)),""),'CAT_ESTADOS_ERP'!$A$4:$A$22,0)),"Pendiente"))</f>
        <v/>
      </c>
      <c r="O1051" s="24">
        <f>IF($J1051="","",YEAR($J1051+4-WEEKDAY($J1051,2))&amp;"-S"&amp;TEXT(_xlfn.ISOWEEKNUM($J1051),"00"))</f>
        <v/>
      </c>
      <c r="P1051" s="24">
        <f>IF($J1051="","",YEAR($J1051))</f>
        <v/>
      </c>
      <c r="Q1051" s="24">
        <f>IF($J1051="","",MONTH($J1051))</f>
        <v/>
      </c>
      <c r="R1051" s="24">
        <f>IF($J1051="","",$P1051&amp;"-"&amp;TEXT($Q1051,"00"))</f>
        <v/>
      </c>
      <c r="S1051" s="24">
        <f>IF($J1051="","",INDEX(lista_dias,WEEKDAY($J1051,2)))</f>
        <v/>
      </c>
      <c r="T1051" s="24">
        <f>IF($J1051="","",IFERROR(INDEX('CALENDARIO'!$C$15:$C$214,MATCH(TEXT($J1051,"yyyy-mm-dd")&amp;"|"&amp;$Y1051&amp;"|"&amp;$Z1051,'CALENDARIO'!$G$15:$G$214,0)),IFERROR(INDEX('CALENDARIO'!$C$15:$C$214,MATCH(TEXT($J1051,"yyyy-mm-dd")&amp;"|"&amp;$Y1051&amp;"|",'CALENDARIO'!$G$15:$G$214,0)),IFERROR(INDEX('CALENDARIO'!$C$15:$C$214,MATCH(TEXT($J1051,"yyyy-mm-dd")&amp;"||",'CALENDARIO'!$G$15:$G$214,0)),INDEX(patronHabil,WEEKDAY($J1051,2))))))</f>
        <v/>
      </c>
      <c r="U1051" s="24">
        <f>IF($I1051="","",IFERROR(INDEX('CAT_TIPOS_OT'!$C$4:$C$23,MATCH($I1051,'CAT_TIPOS_OT'!$A$4:$A$23,0)),"sin_clasificar"))</f>
        <v/>
      </c>
      <c r="V1051" s="24">
        <f>IF($I1051="","",IF(IFERROR(INDEX('CAT_TIPOS_OT'!$D$4:$D$23,MATCH($I1051,'CAT_TIPOS_OT'!$A$4:$A$23,0)),"SIN CLASIFICAR")="","SIN CLASIFICAR",IFERROR(INDEX('CAT_TIPOS_OT'!$D$4:$D$23,MATCH($I1051,'CAT_TIPOS_OT'!$A$4:$A$23,0)),"SIN CLASIFICAR")))</f>
        <v/>
      </c>
      <c r="W1051" s="24">
        <f>IF($H1051="","",IF(IFERROR(INDEX('CAT_ACTIVIDADES'!$F$4:$F$26,MATCH($H1051,'CAT_ACTIVIDADES'!$A$4:$A$26,0)),"")=0,"",IFERROR(INDEX('CAT_ACTIVIDADES'!$F$4:$F$26,MATCH($H1051,'CAT_ACTIVIDADES'!$A$4:$A$26,0)),"")))</f>
        <v/>
      </c>
      <c r="X1051" s="24">
        <f>IF($F1051="","",IFERROR(INDEX('CAT_CENTROS_COSTO'!$F$4:$F$28,MATCH($F1051,'CAT_CENTROS_COSTO'!$A$4:$A$28,0)),"(sin catálogo)"))</f>
        <v/>
      </c>
      <c r="Y1051" s="24">
        <f>IF($F1051="","",IFERROR(INDEX('CAT_CENTROS_COSTO'!$D$4:$D$28,MATCH($F1051,'CAT_CENTROS_COSTO'!$A$4:$A$28,0)),"(sin catálogo)"))</f>
        <v/>
      </c>
      <c r="Z1051" s="24">
        <f>IF($F1051="","",IF((IFERROR(INDEX('CAT_CENTROS_COSTO'!$E$4:$E$28,MATCH($F1051,'CAT_CENTROS_COSTO'!$A$4:$A$28,0)),""))&lt;&gt;"",IFERROR(INDEX('CAT_CENTROS_COSTO'!$E$4:$E$28,MATCH($F1051,'CAT_CENTROS_COSTO'!$A$4:$A$28,0)),""),$Y1051))</f>
        <v/>
      </c>
      <c r="AA1051" s="24">
        <f>IF($F1051="","",IFERROR(INDEX('CAT_CENTROS_COSTO'!$G$4:$G$28,MATCH($F1051,'CAT_CENTROS_COSTO'!$A$4:$A$28,0)),"(sin catálogo)"))</f>
        <v/>
      </c>
      <c r="AB1051" s="24">
        <f>IF($G1051="","",IFERROR(INDEX('CAT_PUESTOS'!$B$4:$B$23,MATCH($G1051,'CAT_PUESTOS'!$A$4:$A$23,0)),"(sin catálogo)"))</f>
        <v/>
      </c>
      <c r="AC1051" s="24">
        <f>IF($H1051="","",IFERROR(INDEX('CAT_ACTIVIDADES'!$B$4:$B$26,MATCH($H1051,'CAT_ACTIVIDADES'!$A$4:$A$26,0)),"(sin catálogo)"))</f>
        <v/>
      </c>
      <c r="AD1051" s="26">
        <f>IF($J1051="","",TODAY()-$J1051)</f>
        <v/>
      </c>
      <c r="AE1051" s="26">
        <f>IF($J1051="","",IF($J1051&lt;=TODAY(),COUNTIFS(cal_fechas,"&gt;="&amp;$J1051,cal_fechas,"&lt;"&amp;TODAY(),cal_habil,"sí"),-COUNTIFS(cal_fechas,"&gt;="&amp;TODAY(),cal_fechas,"&lt;"&amp;$J1051,cal_habil,"sí")))</f>
        <v/>
      </c>
      <c r="AF1051" s="24">
        <f>IF($AE1051="","",IF($AE1051&lt;0,"FUTURO",IF($AE1051&gt;p_dias_backlog_max,"BACKLOG","MES CORRIENTE")))</f>
        <v/>
      </c>
      <c r="AG1051" s="24">
        <f>IF($AE1051="",FALSE,AND($AE1051&gt;p_dias_backlog_min,$AE1051&lt;=p_dias_backlog_max))</f>
        <v/>
      </c>
      <c r="AH1051" s="4" t="n"/>
      <c r="AI1051" s="24">
        <f>IF($AH1051="","",IF((IFERROR(INDEX('ASIGNACIONES'!$J$4:$J$451,MATCH($O1051&amp;"|"&amp;$S1051&amp;"|"&amp;$AH1051,'ASIGNACIONES'!$N$4:$N$451,0)),""))=0,"",IFERROR(INDEX('ASIGNACIONES'!$J$4:$J$451,MATCH($O1051&amp;"|"&amp;$S1051&amp;"|"&amp;$AH1051,'ASIGNACIONES'!$N$4:$N$451,0)),"")))</f>
        <v/>
      </c>
      <c r="AJ1051" s="42">
        <f>IF($AH1051="","",SUMIFS('ORDENES'!$M$4:$M$1203,'ORDENES'!$AH$4:$AH$1203,$AH1051,'ORDENES'!$O$4:$O$1203,$O1051,'ORDENES'!$S$4:$S$1203,$S1051))</f>
        <v/>
      </c>
      <c r="AK1051" s="42">
        <f>IF($AJ1051="","",p_factor_productividad*IFERROR(INDEX('ASIGNACIONES'!$M$4:$M$451,MATCH($O1051&amp;"|"&amp;$S1051&amp;"|"&amp;$AH1051,'ASIGNACIONES'!$N$4:$N$451,0)),0)-$AJ1051)</f>
        <v/>
      </c>
      <c r="AL1051" s="32">
        <f>IF($A1051="","",IFERROR(INDEX('2_IMPORTAR_EJECUCION'!$F$9:$F$1208,MATCH($AU1051,'2_IMPORTAR_EJECUCION'!$J$9:$J$1208,0)),0))</f>
        <v/>
      </c>
      <c r="AM1051" s="32">
        <f>IF($A1051="","",MAX(0,IFERROR(INDEX('2_IMPORTAR_EJECUCION'!$H$9:$H$1208,MATCH($AU1051,'2_IMPORTAR_EJECUCION'!$J$9:$J$1208,0)),0)-$AL1051))</f>
        <v/>
      </c>
      <c r="AN1051" s="32">
        <f>IF($A1051="","",$AL1051+$AM1051)</f>
        <v/>
      </c>
      <c r="AO1051" s="24">
        <f>IF($A1051="","",IF(OR((IFERROR(INDEX('CAT_ACTIVIDADES'!$D$4:$D$26,MATCH($H1051,'CAT_ACTIVIDADES'!$A$4:$A$26,0)),""))=0,(IFERROR(INDEX('CAT_ACTIVIDADES'!$D$4:$D$26,MATCH($H1051,'CAT_ACTIVIDADES'!$A$4:$A$26,0)),""))=""),"SIN CLASIFICAR",IFERROR(INDEX('CAT_ACTIVIDADES'!$D$4:$D$26,MATCH($H1051,'CAT_ACTIVIDADES'!$A$4:$A$26,0)),"")))</f>
        <v/>
      </c>
      <c r="AP1051" s="4" t="n"/>
      <c r="AQ1051" s="4" t="n"/>
      <c r="AR1051" s="4" t="n"/>
      <c r="AS1051" s="24">
        <f>IF($AR1051="","",HYPERLINK(p_ruta_base_checklists&amp;$AR1051,"abrir"))</f>
        <v/>
      </c>
      <c r="AT1051" s="4" t="n"/>
      <c r="AU1051" s="24">
        <f>IF($A1051="","",$A1051&amp;IF($B1051="","0010",$B1051))</f>
        <v/>
      </c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41" t="n"/>
      <c r="K1052" s="5" t="n"/>
      <c r="L1052" s="18" t="n"/>
      <c r="M1052" s="24">
        <f>IF($A1052="","",IFERROR(INDEX('AJUSTES'!$B$4:$B$303,MATCH($AU1052,'AJUSTES'!$A$4:$A$303,0)),IF($K1052="","",$K1052)))</f>
        <v/>
      </c>
      <c r="N1052" s="24">
        <f>IF($A1052="","",IFERROR(INDEX('CAT_ESTADOS_ERP'!$B$4:$B$22,MATCH(IFERROR(INDEX('2_IMPORTAR_EJECUCION'!$C$9:$C$1208,MATCH($AU1052,'2_IMPORTAR_EJECUCION'!$J$9:$J$1208,0)),""),'CAT_ESTADOS_ERP'!$A$4:$A$22,0)),"Pendiente"))</f>
        <v/>
      </c>
      <c r="O1052" s="24">
        <f>IF($J1052="","",YEAR($J1052+4-WEEKDAY($J1052,2))&amp;"-S"&amp;TEXT(_xlfn.ISOWEEKNUM($J1052),"00"))</f>
        <v/>
      </c>
      <c r="P1052" s="24">
        <f>IF($J1052="","",YEAR($J1052))</f>
        <v/>
      </c>
      <c r="Q1052" s="24">
        <f>IF($J1052="","",MONTH($J1052))</f>
        <v/>
      </c>
      <c r="R1052" s="24">
        <f>IF($J1052="","",$P1052&amp;"-"&amp;TEXT($Q1052,"00"))</f>
        <v/>
      </c>
      <c r="S1052" s="24">
        <f>IF($J1052="","",INDEX(lista_dias,WEEKDAY($J1052,2)))</f>
        <v/>
      </c>
      <c r="T1052" s="24">
        <f>IF($J1052="","",IFERROR(INDEX('CALENDARIO'!$C$15:$C$214,MATCH(TEXT($J1052,"yyyy-mm-dd")&amp;"|"&amp;$Y1052&amp;"|"&amp;$Z1052,'CALENDARIO'!$G$15:$G$214,0)),IFERROR(INDEX('CALENDARIO'!$C$15:$C$214,MATCH(TEXT($J1052,"yyyy-mm-dd")&amp;"|"&amp;$Y1052&amp;"|",'CALENDARIO'!$G$15:$G$214,0)),IFERROR(INDEX('CALENDARIO'!$C$15:$C$214,MATCH(TEXT($J1052,"yyyy-mm-dd")&amp;"||",'CALENDARIO'!$G$15:$G$214,0)),INDEX(patronHabil,WEEKDAY($J1052,2))))))</f>
        <v/>
      </c>
      <c r="U1052" s="24">
        <f>IF($I1052="","",IFERROR(INDEX('CAT_TIPOS_OT'!$C$4:$C$23,MATCH($I1052,'CAT_TIPOS_OT'!$A$4:$A$23,0)),"sin_clasificar"))</f>
        <v/>
      </c>
      <c r="V1052" s="24">
        <f>IF($I1052="","",IF(IFERROR(INDEX('CAT_TIPOS_OT'!$D$4:$D$23,MATCH($I1052,'CAT_TIPOS_OT'!$A$4:$A$23,0)),"SIN CLASIFICAR")="","SIN CLASIFICAR",IFERROR(INDEX('CAT_TIPOS_OT'!$D$4:$D$23,MATCH($I1052,'CAT_TIPOS_OT'!$A$4:$A$23,0)),"SIN CLASIFICAR")))</f>
        <v/>
      </c>
      <c r="W1052" s="24">
        <f>IF($H1052="","",IF(IFERROR(INDEX('CAT_ACTIVIDADES'!$F$4:$F$26,MATCH($H1052,'CAT_ACTIVIDADES'!$A$4:$A$26,0)),"")=0,"",IFERROR(INDEX('CAT_ACTIVIDADES'!$F$4:$F$26,MATCH($H1052,'CAT_ACTIVIDADES'!$A$4:$A$26,0)),"")))</f>
        <v/>
      </c>
      <c r="X1052" s="24">
        <f>IF($F1052="","",IFERROR(INDEX('CAT_CENTROS_COSTO'!$F$4:$F$28,MATCH($F1052,'CAT_CENTROS_COSTO'!$A$4:$A$28,0)),"(sin catálogo)"))</f>
        <v/>
      </c>
      <c r="Y1052" s="24">
        <f>IF($F1052="","",IFERROR(INDEX('CAT_CENTROS_COSTO'!$D$4:$D$28,MATCH($F1052,'CAT_CENTROS_COSTO'!$A$4:$A$28,0)),"(sin catálogo)"))</f>
        <v/>
      </c>
      <c r="Z1052" s="24">
        <f>IF($F1052="","",IF((IFERROR(INDEX('CAT_CENTROS_COSTO'!$E$4:$E$28,MATCH($F1052,'CAT_CENTROS_COSTO'!$A$4:$A$28,0)),""))&lt;&gt;"",IFERROR(INDEX('CAT_CENTROS_COSTO'!$E$4:$E$28,MATCH($F1052,'CAT_CENTROS_COSTO'!$A$4:$A$28,0)),""),$Y1052))</f>
        <v/>
      </c>
      <c r="AA1052" s="24">
        <f>IF($F1052="","",IFERROR(INDEX('CAT_CENTROS_COSTO'!$G$4:$G$28,MATCH($F1052,'CAT_CENTROS_COSTO'!$A$4:$A$28,0)),"(sin catálogo)"))</f>
        <v/>
      </c>
      <c r="AB1052" s="24">
        <f>IF($G1052="","",IFERROR(INDEX('CAT_PUESTOS'!$B$4:$B$23,MATCH($G1052,'CAT_PUESTOS'!$A$4:$A$23,0)),"(sin catálogo)"))</f>
        <v/>
      </c>
      <c r="AC1052" s="24">
        <f>IF($H1052="","",IFERROR(INDEX('CAT_ACTIVIDADES'!$B$4:$B$26,MATCH($H1052,'CAT_ACTIVIDADES'!$A$4:$A$26,0)),"(sin catálogo)"))</f>
        <v/>
      </c>
      <c r="AD1052" s="26">
        <f>IF($J1052="","",TODAY()-$J1052)</f>
        <v/>
      </c>
      <c r="AE1052" s="26">
        <f>IF($J1052="","",IF($J1052&lt;=TODAY(),COUNTIFS(cal_fechas,"&gt;="&amp;$J1052,cal_fechas,"&lt;"&amp;TODAY(),cal_habil,"sí"),-COUNTIFS(cal_fechas,"&gt;="&amp;TODAY(),cal_fechas,"&lt;"&amp;$J1052,cal_habil,"sí")))</f>
        <v/>
      </c>
      <c r="AF1052" s="24">
        <f>IF($AE1052="","",IF($AE1052&lt;0,"FUTURO",IF($AE1052&gt;p_dias_backlog_max,"BACKLOG","MES CORRIENTE")))</f>
        <v/>
      </c>
      <c r="AG1052" s="24">
        <f>IF($AE1052="",FALSE,AND($AE1052&gt;p_dias_backlog_min,$AE1052&lt;=p_dias_backlog_max))</f>
        <v/>
      </c>
      <c r="AH1052" s="4" t="n"/>
      <c r="AI1052" s="24">
        <f>IF($AH1052="","",IF((IFERROR(INDEX('ASIGNACIONES'!$J$4:$J$451,MATCH($O1052&amp;"|"&amp;$S1052&amp;"|"&amp;$AH1052,'ASIGNACIONES'!$N$4:$N$451,0)),""))=0,"",IFERROR(INDEX('ASIGNACIONES'!$J$4:$J$451,MATCH($O1052&amp;"|"&amp;$S1052&amp;"|"&amp;$AH1052,'ASIGNACIONES'!$N$4:$N$451,0)),"")))</f>
        <v/>
      </c>
      <c r="AJ1052" s="42">
        <f>IF($AH1052="","",SUMIFS('ORDENES'!$M$4:$M$1203,'ORDENES'!$AH$4:$AH$1203,$AH1052,'ORDENES'!$O$4:$O$1203,$O1052,'ORDENES'!$S$4:$S$1203,$S1052))</f>
        <v/>
      </c>
      <c r="AK1052" s="42">
        <f>IF($AJ1052="","",p_factor_productividad*IFERROR(INDEX('ASIGNACIONES'!$M$4:$M$451,MATCH($O1052&amp;"|"&amp;$S1052&amp;"|"&amp;$AH1052,'ASIGNACIONES'!$N$4:$N$451,0)),0)-$AJ1052)</f>
        <v/>
      </c>
      <c r="AL1052" s="32">
        <f>IF($A1052="","",IFERROR(INDEX('2_IMPORTAR_EJECUCION'!$F$9:$F$1208,MATCH($AU1052,'2_IMPORTAR_EJECUCION'!$J$9:$J$1208,0)),0))</f>
        <v/>
      </c>
      <c r="AM1052" s="32">
        <f>IF($A1052="","",MAX(0,IFERROR(INDEX('2_IMPORTAR_EJECUCION'!$H$9:$H$1208,MATCH($AU1052,'2_IMPORTAR_EJECUCION'!$J$9:$J$1208,0)),0)-$AL1052))</f>
        <v/>
      </c>
      <c r="AN1052" s="32">
        <f>IF($A1052="","",$AL1052+$AM1052)</f>
        <v/>
      </c>
      <c r="AO1052" s="24">
        <f>IF($A1052="","",IF(OR((IFERROR(INDEX('CAT_ACTIVIDADES'!$D$4:$D$26,MATCH($H1052,'CAT_ACTIVIDADES'!$A$4:$A$26,0)),""))=0,(IFERROR(INDEX('CAT_ACTIVIDADES'!$D$4:$D$26,MATCH($H1052,'CAT_ACTIVIDADES'!$A$4:$A$26,0)),""))=""),"SIN CLASIFICAR",IFERROR(INDEX('CAT_ACTIVIDADES'!$D$4:$D$26,MATCH($H1052,'CAT_ACTIVIDADES'!$A$4:$A$26,0)),"")))</f>
        <v/>
      </c>
      <c r="AP1052" s="4" t="n"/>
      <c r="AQ1052" s="4" t="n"/>
      <c r="AR1052" s="4" t="n"/>
      <c r="AS1052" s="24">
        <f>IF($AR1052="","",HYPERLINK(p_ruta_base_checklists&amp;$AR1052,"abrir"))</f>
        <v/>
      </c>
      <c r="AT1052" s="4" t="n"/>
      <c r="AU1052" s="24">
        <f>IF($A1052="","",$A1052&amp;IF($B1052="","0010",$B1052))</f>
        <v/>
      </c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41" t="n"/>
      <c r="K1053" s="5" t="n"/>
      <c r="L1053" s="18" t="n"/>
      <c r="M1053" s="24">
        <f>IF($A1053="","",IFERROR(INDEX('AJUSTES'!$B$4:$B$303,MATCH($AU1053,'AJUSTES'!$A$4:$A$303,0)),IF($K1053="","",$K1053)))</f>
        <v/>
      </c>
      <c r="N1053" s="24">
        <f>IF($A1053="","",IFERROR(INDEX('CAT_ESTADOS_ERP'!$B$4:$B$22,MATCH(IFERROR(INDEX('2_IMPORTAR_EJECUCION'!$C$9:$C$1208,MATCH($AU1053,'2_IMPORTAR_EJECUCION'!$J$9:$J$1208,0)),""),'CAT_ESTADOS_ERP'!$A$4:$A$22,0)),"Pendiente"))</f>
        <v/>
      </c>
      <c r="O1053" s="24">
        <f>IF($J1053="","",YEAR($J1053+4-WEEKDAY($J1053,2))&amp;"-S"&amp;TEXT(_xlfn.ISOWEEKNUM($J1053),"00"))</f>
        <v/>
      </c>
      <c r="P1053" s="24">
        <f>IF($J1053="","",YEAR($J1053))</f>
        <v/>
      </c>
      <c r="Q1053" s="24">
        <f>IF($J1053="","",MONTH($J1053))</f>
        <v/>
      </c>
      <c r="R1053" s="24">
        <f>IF($J1053="","",$P1053&amp;"-"&amp;TEXT($Q1053,"00"))</f>
        <v/>
      </c>
      <c r="S1053" s="24">
        <f>IF($J1053="","",INDEX(lista_dias,WEEKDAY($J1053,2)))</f>
        <v/>
      </c>
      <c r="T1053" s="24">
        <f>IF($J1053="","",IFERROR(INDEX('CALENDARIO'!$C$15:$C$214,MATCH(TEXT($J1053,"yyyy-mm-dd")&amp;"|"&amp;$Y1053&amp;"|"&amp;$Z1053,'CALENDARIO'!$G$15:$G$214,0)),IFERROR(INDEX('CALENDARIO'!$C$15:$C$214,MATCH(TEXT($J1053,"yyyy-mm-dd")&amp;"|"&amp;$Y1053&amp;"|",'CALENDARIO'!$G$15:$G$214,0)),IFERROR(INDEX('CALENDARIO'!$C$15:$C$214,MATCH(TEXT($J1053,"yyyy-mm-dd")&amp;"||",'CALENDARIO'!$G$15:$G$214,0)),INDEX(patronHabil,WEEKDAY($J1053,2))))))</f>
        <v/>
      </c>
      <c r="U1053" s="24">
        <f>IF($I1053="","",IFERROR(INDEX('CAT_TIPOS_OT'!$C$4:$C$23,MATCH($I1053,'CAT_TIPOS_OT'!$A$4:$A$23,0)),"sin_clasificar"))</f>
        <v/>
      </c>
      <c r="V1053" s="24">
        <f>IF($I1053="","",IF(IFERROR(INDEX('CAT_TIPOS_OT'!$D$4:$D$23,MATCH($I1053,'CAT_TIPOS_OT'!$A$4:$A$23,0)),"SIN CLASIFICAR")="","SIN CLASIFICAR",IFERROR(INDEX('CAT_TIPOS_OT'!$D$4:$D$23,MATCH($I1053,'CAT_TIPOS_OT'!$A$4:$A$23,0)),"SIN CLASIFICAR")))</f>
        <v/>
      </c>
      <c r="W1053" s="24">
        <f>IF($H1053="","",IF(IFERROR(INDEX('CAT_ACTIVIDADES'!$F$4:$F$26,MATCH($H1053,'CAT_ACTIVIDADES'!$A$4:$A$26,0)),"")=0,"",IFERROR(INDEX('CAT_ACTIVIDADES'!$F$4:$F$26,MATCH($H1053,'CAT_ACTIVIDADES'!$A$4:$A$26,0)),"")))</f>
        <v/>
      </c>
      <c r="X1053" s="24">
        <f>IF($F1053="","",IFERROR(INDEX('CAT_CENTROS_COSTO'!$F$4:$F$28,MATCH($F1053,'CAT_CENTROS_COSTO'!$A$4:$A$28,0)),"(sin catálogo)"))</f>
        <v/>
      </c>
      <c r="Y1053" s="24">
        <f>IF($F1053="","",IFERROR(INDEX('CAT_CENTROS_COSTO'!$D$4:$D$28,MATCH($F1053,'CAT_CENTROS_COSTO'!$A$4:$A$28,0)),"(sin catálogo)"))</f>
        <v/>
      </c>
      <c r="Z1053" s="24">
        <f>IF($F1053="","",IF((IFERROR(INDEX('CAT_CENTROS_COSTO'!$E$4:$E$28,MATCH($F1053,'CAT_CENTROS_COSTO'!$A$4:$A$28,0)),""))&lt;&gt;"",IFERROR(INDEX('CAT_CENTROS_COSTO'!$E$4:$E$28,MATCH($F1053,'CAT_CENTROS_COSTO'!$A$4:$A$28,0)),""),$Y1053))</f>
        <v/>
      </c>
      <c r="AA1053" s="24">
        <f>IF($F1053="","",IFERROR(INDEX('CAT_CENTROS_COSTO'!$G$4:$G$28,MATCH($F1053,'CAT_CENTROS_COSTO'!$A$4:$A$28,0)),"(sin catálogo)"))</f>
        <v/>
      </c>
      <c r="AB1053" s="24">
        <f>IF($G1053="","",IFERROR(INDEX('CAT_PUESTOS'!$B$4:$B$23,MATCH($G1053,'CAT_PUESTOS'!$A$4:$A$23,0)),"(sin catálogo)"))</f>
        <v/>
      </c>
      <c r="AC1053" s="24">
        <f>IF($H1053="","",IFERROR(INDEX('CAT_ACTIVIDADES'!$B$4:$B$26,MATCH($H1053,'CAT_ACTIVIDADES'!$A$4:$A$26,0)),"(sin catálogo)"))</f>
        <v/>
      </c>
      <c r="AD1053" s="26">
        <f>IF($J1053="","",TODAY()-$J1053)</f>
        <v/>
      </c>
      <c r="AE1053" s="26">
        <f>IF($J1053="","",IF($J1053&lt;=TODAY(),COUNTIFS(cal_fechas,"&gt;="&amp;$J1053,cal_fechas,"&lt;"&amp;TODAY(),cal_habil,"sí"),-COUNTIFS(cal_fechas,"&gt;="&amp;TODAY(),cal_fechas,"&lt;"&amp;$J1053,cal_habil,"sí")))</f>
        <v/>
      </c>
      <c r="AF1053" s="24">
        <f>IF($AE1053="","",IF($AE1053&lt;0,"FUTURO",IF($AE1053&gt;p_dias_backlog_max,"BACKLOG","MES CORRIENTE")))</f>
        <v/>
      </c>
      <c r="AG1053" s="24">
        <f>IF($AE1053="",FALSE,AND($AE1053&gt;p_dias_backlog_min,$AE1053&lt;=p_dias_backlog_max))</f>
        <v/>
      </c>
      <c r="AH1053" s="4" t="n"/>
      <c r="AI1053" s="24">
        <f>IF($AH1053="","",IF((IFERROR(INDEX('ASIGNACIONES'!$J$4:$J$451,MATCH($O1053&amp;"|"&amp;$S1053&amp;"|"&amp;$AH1053,'ASIGNACIONES'!$N$4:$N$451,0)),""))=0,"",IFERROR(INDEX('ASIGNACIONES'!$J$4:$J$451,MATCH($O1053&amp;"|"&amp;$S1053&amp;"|"&amp;$AH1053,'ASIGNACIONES'!$N$4:$N$451,0)),"")))</f>
        <v/>
      </c>
      <c r="AJ1053" s="42">
        <f>IF($AH1053="","",SUMIFS('ORDENES'!$M$4:$M$1203,'ORDENES'!$AH$4:$AH$1203,$AH1053,'ORDENES'!$O$4:$O$1203,$O1053,'ORDENES'!$S$4:$S$1203,$S1053))</f>
        <v/>
      </c>
      <c r="AK1053" s="42">
        <f>IF($AJ1053="","",p_factor_productividad*IFERROR(INDEX('ASIGNACIONES'!$M$4:$M$451,MATCH($O1053&amp;"|"&amp;$S1053&amp;"|"&amp;$AH1053,'ASIGNACIONES'!$N$4:$N$451,0)),0)-$AJ1053)</f>
        <v/>
      </c>
      <c r="AL1053" s="32">
        <f>IF($A1053="","",IFERROR(INDEX('2_IMPORTAR_EJECUCION'!$F$9:$F$1208,MATCH($AU1053,'2_IMPORTAR_EJECUCION'!$J$9:$J$1208,0)),0))</f>
        <v/>
      </c>
      <c r="AM1053" s="32">
        <f>IF($A1053="","",MAX(0,IFERROR(INDEX('2_IMPORTAR_EJECUCION'!$H$9:$H$1208,MATCH($AU1053,'2_IMPORTAR_EJECUCION'!$J$9:$J$1208,0)),0)-$AL1053))</f>
        <v/>
      </c>
      <c r="AN1053" s="32">
        <f>IF($A1053="","",$AL1053+$AM1053)</f>
        <v/>
      </c>
      <c r="AO1053" s="24">
        <f>IF($A1053="","",IF(OR((IFERROR(INDEX('CAT_ACTIVIDADES'!$D$4:$D$26,MATCH($H1053,'CAT_ACTIVIDADES'!$A$4:$A$26,0)),""))=0,(IFERROR(INDEX('CAT_ACTIVIDADES'!$D$4:$D$26,MATCH($H1053,'CAT_ACTIVIDADES'!$A$4:$A$26,0)),""))=""),"SIN CLASIFICAR",IFERROR(INDEX('CAT_ACTIVIDADES'!$D$4:$D$26,MATCH($H1053,'CAT_ACTIVIDADES'!$A$4:$A$26,0)),"")))</f>
        <v/>
      </c>
      <c r="AP1053" s="4" t="n"/>
      <c r="AQ1053" s="4" t="n"/>
      <c r="AR1053" s="4" t="n"/>
      <c r="AS1053" s="24">
        <f>IF($AR1053="","",HYPERLINK(p_ruta_base_checklists&amp;$AR1053,"abrir"))</f>
        <v/>
      </c>
      <c r="AT1053" s="4" t="n"/>
      <c r="AU1053" s="24">
        <f>IF($A1053="","",$A1053&amp;IF($B1053="","0010",$B1053))</f>
        <v/>
      </c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41" t="n"/>
      <c r="K1054" s="5" t="n"/>
      <c r="L1054" s="18" t="n"/>
      <c r="M1054" s="24">
        <f>IF($A1054="","",IFERROR(INDEX('AJUSTES'!$B$4:$B$303,MATCH($AU1054,'AJUSTES'!$A$4:$A$303,0)),IF($K1054="","",$K1054)))</f>
        <v/>
      </c>
      <c r="N1054" s="24">
        <f>IF($A1054="","",IFERROR(INDEX('CAT_ESTADOS_ERP'!$B$4:$B$22,MATCH(IFERROR(INDEX('2_IMPORTAR_EJECUCION'!$C$9:$C$1208,MATCH($AU1054,'2_IMPORTAR_EJECUCION'!$J$9:$J$1208,0)),""),'CAT_ESTADOS_ERP'!$A$4:$A$22,0)),"Pendiente"))</f>
        <v/>
      </c>
      <c r="O1054" s="24">
        <f>IF($J1054="","",YEAR($J1054+4-WEEKDAY($J1054,2))&amp;"-S"&amp;TEXT(_xlfn.ISOWEEKNUM($J1054),"00"))</f>
        <v/>
      </c>
      <c r="P1054" s="24">
        <f>IF($J1054="","",YEAR($J1054))</f>
        <v/>
      </c>
      <c r="Q1054" s="24">
        <f>IF($J1054="","",MONTH($J1054))</f>
        <v/>
      </c>
      <c r="R1054" s="24">
        <f>IF($J1054="","",$P1054&amp;"-"&amp;TEXT($Q1054,"00"))</f>
        <v/>
      </c>
      <c r="S1054" s="24">
        <f>IF($J1054="","",INDEX(lista_dias,WEEKDAY($J1054,2)))</f>
        <v/>
      </c>
      <c r="T1054" s="24">
        <f>IF($J1054="","",IFERROR(INDEX('CALENDARIO'!$C$15:$C$214,MATCH(TEXT($J1054,"yyyy-mm-dd")&amp;"|"&amp;$Y1054&amp;"|"&amp;$Z1054,'CALENDARIO'!$G$15:$G$214,0)),IFERROR(INDEX('CALENDARIO'!$C$15:$C$214,MATCH(TEXT($J1054,"yyyy-mm-dd")&amp;"|"&amp;$Y1054&amp;"|",'CALENDARIO'!$G$15:$G$214,0)),IFERROR(INDEX('CALENDARIO'!$C$15:$C$214,MATCH(TEXT($J1054,"yyyy-mm-dd")&amp;"||",'CALENDARIO'!$G$15:$G$214,0)),INDEX(patronHabil,WEEKDAY($J1054,2))))))</f>
        <v/>
      </c>
      <c r="U1054" s="24">
        <f>IF($I1054="","",IFERROR(INDEX('CAT_TIPOS_OT'!$C$4:$C$23,MATCH($I1054,'CAT_TIPOS_OT'!$A$4:$A$23,0)),"sin_clasificar"))</f>
        <v/>
      </c>
      <c r="V1054" s="24">
        <f>IF($I1054="","",IF(IFERROR(INDEX('CAT_TIPOS_OT'!$D$4:$D$23,MATCH($I1054,'CAT_TIPOS_OT'!$A$4:$A$23,0)),"SIN CLASIFICAR")="","SIN CLASIFICAR",IFERROR(INDEX('CAT_TIPOS_OT'!$D$4:$D$23,MATCH($I1054,'CAT_TIPOS_OT'!$A$4:$A$23,0)),"SIN CLASIFICAR")))</f>
        <v/>
      </c>
      <c r="W1054" s="24">
        <f>IF($H1054="","",IF(IFERROR(INDEX('CAT_ACTIVIDADES'!$F$4:$F$26,MATCH($H1054,'CAT_ACTIVIDADES'!$A$4:$A$26,0)),"")=0,"",IFERROR(INDEX('CAT_ACTIVIDADES'!$F$4:$F$26,MATCH($H1054,'CAT_ACTIVIDADES'!$A$4:$A$26,0)),"")))</f>
        <v/>
      </c>
      <c r="X1054" s="24">
        <f>IF($F1054="","",IFERROR(INDEX('CAT_CENTROS_COSTO'!$F$4:$F$28,MATCH($F1054,'CAT_CENTROS_COSTO'!$A$4:$A$28,0)),"(sin catálogo)"))</f>
        <v/>
      </c>
      <c r="Y1054" s="24">
        <f>IF($F1054="","",IFERROR(INDEX('CAT_CENTROS_COSTO'!$D$4:$D$28,MATCH($F1054,'CAT_CENTROS_COSTO'!$A$4:$A$28,0)),"(sin catálogo)"))</f>
        <v/>
      </c>
      <c r="Z1054" s="24">
        <f>IF($F1054="","",IF((IFERROR(INDEX('CAT_CENTROS_COSTO'!$E$4:$E$28,MATCH($F1054,'CAT_CENTROS_COSTO'!$A$4:$A$28,0)),""))&lt;&gt;"",IFERROR(INDEX('CAT_CENTROS_COSTO'!$E$4:$E$28,MATCH($F1054,'CAT_CENTROS_COSTO'!$A$4:$A$28,0)),""),$Y1054))</f>
        <v/>
      </c>
      <c r="AA1054" s="24">
        <f>IF($F1054="","",IFERROR(INDEX('CAT_CENTROS_COSTO'!$G$4:$G$28,MATCH($F1054,'CAT_CENTROS_COSTO'!$A$4:$A$28,0)),"(sin catálogo)"))</f>
        <v/>
      </c>
      <c r="AB1054" s="24">
        <f>IF($G1054="","",IFERROR(INDEX('CAT_PUESTOS'!$B$4:$B$23,MATCH($G1054,'CAT_PUESTOS'!$A$4:$A$23,0)),"(sin catálogo)"))</f>
        <v/>
      </c>
      <c r="AC1054" s="24">
        <f>IF($H1054="","",IFERROR(INDEX('CAT_ACTIVIDADES'!$B$4:$B$26,MATCH($H1054,'CAT_ACTIVIDADES'!$A$4:$A$26,0)),"(sin catálogo)"))</f>
        <v/>
      </c>
      <c r="AD1054" s="26">
        <f>IF($J1054="","",TODAY()-$J1054)</f>
        <v/>
      </c>
      <c r="AE1054" s="26">
        <f>IF($J1054="","",IF($J1054&lt;=TODAY(),COUNTIFS(cal_fechas,"&gt;="&amp;$J1054,cal_fechas,"&lt;"&amp;TODAY(),cal_habil,"sí"),-COUNTIFS(cal_fechas,"&gt;="&amp;TODAY(),cal_fechas,"&lt;"&amp;$J1054,cal_habil,"sí")))</f>
        <v/>
      </c>
      <c r="AF1054" s="24">
        <f>IF($AE1054="","",IF($AE1054&lt;0,"FUTURO",IF($AE1054&gt;p_dias_backlog_max,"BACKLOG","MES CORRIENTE")))</f>
        <v/>
      </c>
      <c r="AG1054" s="24">
        <f>IF($AE1054="",FALSE,AND($AE1054&gt;p_dias_backlog_min,$AE1054&lt;=p_dias_backlog_max))</f>
        <v/>
      </c>
      <c r="AH1054" s="4" t="n"/>
      <c r="AI1054" s="24">
        <f>IF($AH1054="","",IF((IFERROR(INDEX('ASIGNACIONES'!$J$4:$J$451,MATCH($O1054&amp;"|"&amp;$S1054&amp;"|"&amp;$AH1054,'ASIGNACIONES'!$N$4:$N$451,0)),""))=0,"",IFERROR(INDEX('ASIGNACIONES'!$J$4:$J$451,MATCH($O1054&amp;"|"&amp;$S1054&amp;"|"&amp;$AH1054,'ASIGNACIONES'!$N$4:$N$451,0)),"")))</f>
        <v/>
      </c>
      <c r="AJ1054" s="42">
        <f>IF($AH1054="","",SUMIFS('ORDENES'!$M$4:$M$1203,'ORDENES'!$AH$4:$AH$1203,$AH1054,'ORDENES'!$O$4:$O$1203,$O1054,'ORDENES'!$S$4:$S$1203,$S1054))</f>
        <v/>
      </c>
      <c r="AK1054" s="42">
        <f>IF($AJ1054="","",p_factor_productividad*IFERROR(INDEX('ASIGNACIONES'!$M$4:$M$451,MATCH($O1054&amp;"|"&amp;$S1054&amp;"|"&amp;$AH1054,'ASIGNACIONES'!$N$4:$N$451,0)),0)-$AJ1054)</f>
        <v/>
      </c>
      <c r="AL1054" s="32">
        <f>IF($A1054="","",IFERROR(INDEX('2_IMPORTAR_EJECUCION'!$F$9:$F$1208,MATCH($AU1054,'2_IMPORTAR_EJECUCION'!$J$9:$J$1208,0)),0))</f>
        <v/>
      </c>
      <c r="AM1054" s="32">
        <f>IF($A1054="","",MAX(0,IFERROR(INDEX('2_IMPORTAR_EJECUCION'!$H$9:$H$1208,MATCH($AU1054,'2_IMPORTAR_EJECUCION'!$J$9:$J$1208,0)),0)-$AL1054))</f>
        <v/>
      </c>
      <c r="AN1054" s="32">
        <f>IF($A1054="","",$AL1054+$AM1054)</f>
        <v/>
      </c>
      <c r="AO1054" s="24">
        <f>IF($A1054="","",IF(OR((IFERROR(INDEX('CAT_ACTIVIDADES'!$D$4:$D$26,MATCH($H1054,'CAT_ACTIVIDADES'!$A$4:$A$26,0)),""))=0,(IFERROR(INDEX('CAT_ACTIVIDADES'!$D$4:$D$26,MATCH($H1054,'CAT_ACTIVIDADES'!$A$4:$A$26,0)),""))=""),"SIN CLASIFICAR",IFERROR(INDEX('CAT_ACTIVIDADES'!$D$4:$D$26,MATCH($H1054,'CAT_ACTIVIDADES'!$A$4:$A$26,0)),"")))</f>
        <v/>
      </c>
      <c r="AP1054" s="4" t="n"/>
      <c r="AQ1054" s="4" t="n"/>
      <c r="AR1054" s="4" t="n"/>
      <c r="AS1054" s="24">
        <f>IF($AR1054="","",HYPERLINK(p_ruta_base_checklists&amp;$AR1054,"abrir"))</f>
        <v/>
      </c>
      <c r="AT1054" s="4" t="n"/>
      <c r="AU1054" s="24">
        <f>IF($A1054="","",$A1054&amp;IF($B1054="","0010",$B1054))</f>
        <v/>
      </c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41" t="n"/>
      <c r="K1055" s="5" t="n"/>
      <c r="L1055" s="18" t="n"/>
      <c r="M1055" s="24">
        <f>IF($A1055="","",IFERROR(INDEX('AJUSTES'!$B$4:$B$303,MATCH($AU1055,'AJUSTES'!$A$4:$A$303,0)),IF($K1055="","",$K1055)))</f>
        <v/>
      </c>
      <c r="N1055" s="24">
        <f>IF($A1055="","",IFERROR(INDEX('CAT_ESTADOS_ERP'!$B$4:$B$22,MATCH(IFERROR(INDEX('2_IMPORTAR_EJECUCION'!$C$9:$C$1208,MATCH($AU1055,'2_IMPORTAR_EJECUCION'!$J$9:$J$1208,0)),""),'CAT_ESTADOS_ERP'!$A$4:$A$22,0)),"Pendiente"))</f>
        <v/>
      </c>
      <c r="O1055" s="24">
        <f>IF($J1055="","",YEAR($J1055+4-WEEKDAY($J1055,2))&amp;"-S"&amp;TEXT(_xlfn.ISOWEEKNUM($J1055),"00"))</f>
        <v/>
      </c>
      <c r="P1055" s="24">
        <f>IF($J1055="","",YEAR($J1055))</f>
        <v/>
      </c>
      <c r="Q1055" s="24">
        <f>IF($J1055="","",MONTH($J1055))</f>
        <v/>
      </c>
      <c r="R1055" s="24">
        <f>IF($J1055="","",$P1055&amp;"-"&amp;TEXT($Q1055,"00"))</f>
        <v/>
      </c>
      <c r="S1055" s="24">
        <f>IF($J1055="","",INDEX(lista_dias,WEEKDAY($J1055,2)))</f>
        <v/>
      </c>
      <c r="T1055" s="24">
        <f>IF($J1055="","",IFERROR(INDEX('CALENDARIO'!$C$15:$C$214,MATCH(TEXT($J1055,"yyyy-mm-dd")&amp;"|"&amp;$Y1055&amp;"|"&amp;$Z1055,'CALENDARIO'!$G$15:$G$214,0)),IFERROR(INDEX('CALENDARIO'!$C$15:$C$214,MATCH(TEXT($J1055,"yyyy-mm-dd")&amp;"|"&amp;$Y1055&amp;"|",'CALENDARIO'!$G$15:$G$214,0)),IFERROR(INDEX('CALENDARIO'!$C$15:$C$214,MATCH(TEXT($J1055,"yyyy-mm-dd")&amp;"||",'CALENDARIO'!$G$15:$G$214,0)),INDEX(patronHabil,WEEKDAY($J1055,2))))))</f>
        <v/>
      </c>
      <c r="U1055" s="24">
        <f>IF($I1055="","",IFERROR(INDEX('CAT_TIPOS_OT'!$C$4:$C$23,MATCH($I1055,'CAT_TIPOS_OT'!$A$4:$A$23,0)),"sin_clasificar"))</f>
        <v/>
      </c>
      <c r="V1055" s="24">
        <f>IF($I1055="","",IF(IFERROR(INDEX('CAT_TIPOS_OT'!$D$4:$D$23,MATCH($I1055,'CAT_TIPOS_OT'!$A$4:$A$23,0)),"SIN CLASIFICAR")="","SIN CLASIFICAR",IFERROR(INDEX('CAT_TIPOS_OT'!$D$4:$D$23,MATCH($I1055,'CAT_TIPOS_OT'!$A$4:$A$23,0)),"SIN CLASIFICAR")))</f>
        <v/>
      </c>
      <c r="W1055" s="24">
        <f>IF($H1055="","",IF(IFERROR(INDEX('CAT_ACTIVIDADES'!$F$4:$F$26,MATCH($H1055,'CAT_ACTIVIDADES'!$A$4:$A$26,0)),"")=0,"",IFERROR(INDEX('CAT_ACTIVIDADES'!$F$4:$F$26,MATCH($H1055,'CAT_ACTIVIDADES'!$A$4:$A$26,0)),"")))</f>
        <v/>
      </c>
      <c r="X1055" s="24">
        <f>IF($F1055="","",IFERROR(INDEX('CAT_CENTROS_COSTO'!$F$4:$F$28,MATCH($F1055,'CAT_CENTROS_COSTO'!$A$4:$A$28,0)),"(sin catálogo)"))</f>
        <v/>
      </c>
      <c r="Y1055" s="24">
        <f>IF($F1055="","",IFERROR(INDEX('CAT_CENTROS_COSTO'!$D$4:$D$28,MATCH($F1055,'CAT_CENTROS_COSTO'!$A$4:$A$28,0)),"(sin catálogo)"))</f>
        <v/>
      </c>
      <c r="Z1055" s="24">
        <f>IF($F1055="","",IF((IFERROR(INDEX('CAT_CENTROS_COSTO'!$E$4:$E$28,MATCH($F1055,'CAT_CENTROS_COSTO'!$A$4:$A$28,0)),""))&lt;&gt;"",IFERROR(INDEX('CAT_CENTROS_COSTO'!$E$4:$E$28,MATCH($F1055,'CAT_CENTROS_COSTO'!$A$4:$A$28,0)),""),$Y1055))</f>
        <v/>
      </c>
      <c r="AA1055" s="24">
        <f>IF($F1055="","",IFERROR(INDEX('CAT_CENTROS_COSTO'!$G$4:$G$28,MATCH($F1055,'CAT_CENTROS_COSTO'!$A$4:$A$28,0)),"(sin catálogo)"))</f>
        <v/>
      </c>
      <c r="AB1055" s="24">
        <f>IF($G1055="","",IFERROR(INDEX('CAT_PUESTOS'!$B$4:$B$23,MATCH($G1055,'CAT_PUESTOS'!$A$4:$A$23,0)),"(sin catálogo)"))</f>
        <v/>
      </c>
      <c r="AC1055" s="24">
        <f>IF($H1055="","",IFERROR(INDEX('CAT_ACTIVIDADES'!$B$4:$B$26,MATCH($H1055,'CAT_ACTIVIDADES'!$A$4:$A$26,0)),"(sin catálogo)"))</f>
        <v/>
      </c>
      <c r="AD1055" s="26">
        <f>IF($J1055="","",TODAY()-$J1055)</f>
        <v/>
      </c>
      <c r="AE1055" s="26">
        <f>IF($J1055="","",IF($J1055&lt;=TODAY(),COUNTIFS(cal_fechas,"&gt;="&amp;$J1055,cal_fechas,"&lt;"&amp;TODAY(),cal_habil,"sí"),-COUNTIFS(cal_fechas,"&gt;="&amp;TODAY(),cal_fechas,"&lt;"&amp;$J1055,cal_habil,"sí")))</f>
        <v/>
      </c>
      <c r="AF1055" s="24">
        <f>IF($AE1055="","",IF($AE1055&lt;0,"FUTURO",IF($AE1055&gt;p_dias_backlog_max,"BACKLOG","MES CORRIENTE")))</f>
        <v/>
      </c>
      <c r="AG1055" s="24">
        <f>IF($AE1055="",FALSE,AND($AE1055&gt;p_dias_backlog_min,$AE1055&lt;=p_dias_backlog_max))</f>
        <v/>
      </c>
      <c r="AH1055" s="4" t="n"/>
      <c r="AI1055" s="24">
        <f>IF($AH1055="","",IF((IFERROR(INDEX('ASIGNACIONES'!$J$4:$J$451,MATCH($O1055&amp;"|"&amp;$S1055&amp;"|"&amp;$AH1055,'ASIGNACIONES'!$N$4:$N$451,0)),""))=0,"",IFERROR(INDEX('ASIGNACIONES'!$J$4:$J$451,MATCH($O1055&amp;"|"&amp;$S1055&amp;"|"&amp;$AH1055,'ASIGNACIONES'!$N$4:$N$451,0)),"")))</f>
        <v/>
      </c>
      <c r="AJ1055" s="42">
        <f>IF($AH1055="","",SUMIFS('ORDENES'!$M$4:$M$1203,'ORDENES'!$AH$4:$AH$1203,$AH1055,'ORDENES'!$O$4:$O$1203,$O1055,'ORDENES'!$S$4:$S$1203,$S1055))</f>
        <v/>
      </c>
      <c r="AK1055" s="42">
        <f>IF($AJ1055="","",p_factor_productividad*IFERROR(INDEX('ASIGNACIONES'!$M$4:$M$451,MATCH($O1055&amp;"|"&amp;$S1055&amp;"|"&amp;$AH1055,'ASIGNACIONES'!$N$4:$N$451,0)),0)-$AJ1055)</f>
        <v/>
      </c>
      <c r="AL1055" s="32">
        <f>IF($A1055="","",IFERROR(INDEX('2_IMPORTAR_EJECUCION'!$F$9:$F$1208,MATCH($AU1055,'2_IMPORTAR_EJECUCION'!$J$9:$J$1208,0)),0))</f>
        <v/>
      </c>
      <c r="AM1055" s="32">
        <f>IF($A1055="","",MAX(0,IFERROR(INDEX('2_IMPORTAR_EJECUCION'!$H$9:$H$1208,MATCH($AU1055,'2_IMPORTAR_EJECUCION'!$J$9:$J$1208,0)),0)-$AL1055))</f>
        <v/>
      </c>
      <c r="AN1055" s="32">
        <f>IF($A1055="","",$AL1055+$AM1055)</f>
        <v/>
      </c>
      <c r="AO1055" s="24">
        <f>IF($A1055="","",IF(OR((IFERROR(INDEX('CAT_ACTIVIDADES'!$D$4:$D$26,MATCH($H1055,'CAT_ACTIVIDADES'!$A$4:$A$26,0)),""))=0,(IFERROR(INDEX('CAT_ACTIVIDADES'!$D$4:$D$26,MATCH($H1055,'CAT_ACTIVIDADES'!$A$4:$A$26,0)),""))=""),"SIN CLASIFICAR",IFERROR(INDEX('CAT_ACTIVIDADES'!$D$4:$D$26,MATCH($H1055,'CAT_ACTIVIDADES'!$A$4:$A$26,0)),"")))</f>
        <v/>
      </c>
      <c r="AP1055" s="4" t="n"/>
      <c r="AQ1055" s="4" t="n"/>
      <c r="AR1055" s="4" t="n"/>
      <c r="AS1055" s="24">
        <f>IF($AR1055="","",HYPERLINK(p_ruta_base_checklists&amp;$AR1055,"abrir"))</f>
        <v/>
      </c>
      <c r="AT1055" s="4" t="n"/>
      <c r="AU1055" s="24">
        <f>IF($A1055="","",$A1055&amp;IF($B1055="","0010",$B1055))</f>
        <v/>
      </c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41" t="n"/>
      <c r="K1056" s="5" t="n"/>
      <c r="L1056" s="18" t="n"/>
      <c r="M1056" s="24">
        <f>IF($A1056="","",IFERROR(INDEX('AJUSTES'!$B$4:$B$303,MATCH($AU1056,'AJUSTES'!$A$4:$A$303,0)),IF($K1056="","",$K1056)))</f>
        <v/>
      </c>
      <c r="N1056" s="24">
        <f>IF($A1056="","",IFERROR(INDEX('CAT_ESTADOS_ERP'!$B$4:$B$22,MATCH(IFERROR(INDEX('2_IMPORTAR_EJECUCION'!$C$9:$C$1208,MATCH($AU1056,'2_IMPORTAR_EJECUCION'!$J$9:$J$1208,0)),""),'CAT_ESTADOS_ERP'!$A$4:$A$22,0)),"Pendiente"))</f>
        <v/>
      </c>
      <c r="O1056" s="24">
        <f>IF($J1056="","",YEAR($J1056+4-WEEKDAY($J1056,2))&amp;"-S"&amp;TEXT(_xlfn.ISOWEEKNUM($J1056),"00"))</f>
        <v/>
      </c>
      <c r="P1056" s="24">
        <f>IF($J1056="","",YEAR($J1056))</f>
        <v/>
      </c>
      <c r="Q1056" s="24">
        <f>IF($J1056="","",MONTH($J1056))</f>
        <v/>
      </c>
      <c r="R1056" s="24">
        <f>IF($J1056="","",$P1056&amp;"-"&amp;TEXT($Q1056,"00"))</f>
        <v/>
      </c>
      <c r="S1056" s="24">
        <f>IF($J1056="","",INDEX(lista_dias,WEEKDAY($J1056,2)))</f>
        <v/>
      </c>
      <c r="T1056" s="24">
        <f>IF($J1056="","",IFERROR(INDEX('CALENDARIO'!$C$15:$C$214,MATCH(TEXT($J1056,"yyyy-mm-dd")&amp;"|"&amp;$Y1056&amp;"|"&amp;$Z1056,'CALENDARIO'!$G$15:$G$214,0)),IFERROR(INDEX('CALENDARIO'!$C$15:$C$214,MATCH(TEXT($J1056,"yyyy-mm-dd")&amp;"|"&amp;$Y1056&amp;"|",'CALENDARIO'!$G$15:$G$214,0)),IFERROR(INDEX('CALENDARIO'!$C$15:$C$214,MATCH(TEXT($J1056,"yyyy-mm-dd")&amp;"||",'CALENDARIO'!$G$15:$G$214,0)),INDEX(patronHabil,WEEKDAY($J1056,2))))))</f>
        <v/>
      </c>
      <c r="U1056" s="24">
        <f>IF($I1056="","",IFERROR(INDEX('CAT_TIPOS_OT'!$C$4:$C$23,MATCH($I1056,'CAT_TIPOS_OT'!$A$4:$A$23,0)),"sin_clasificar"))</f>
        <v/>
      </c>
      <c r="V1056" s="24">
        <f>IF($I1056="","",IF(IFERROR(INDEX('CAT_TIPOS_OT'!$D$4:$D$23,MATCH($I1056,'CAT_TIPOS_OT'!$A$4:$A$23,0)),"SIN CLASIFICAR")="","SIN CLASIFICAR",IFERROR(INDEX('CAT_TIPOS_OT'!$D$4:$D$23,MATCH($I1056,'CAT_TIPOS_OT'!$A$4:$A$23,0)),"SIN CLASIFICAR")))</f>
        <v/>
      </c>
      <c r="W1056" s="24">
        <f>IF($H1056="","",IF(IFERROR(INDEX('CAT_ACTIVIDADES'!$F$4:$F$26,MATCH($H1056,'CAT_ACTIVIDADES'!$A$4:$A$26,0)),"")=0,"",IFERROR(INDEX('CAT_ACTIVIDADES'!$F$4:$F$26,MATCH($H1056,'CAT_ACTIVIDADES'!$A$4:$A$26,0)),"")))</f>
        <v/>
      </c>
      <c r="X1056" s="24">
        <f>IF($F1056="","",IFERROR(INDEX('CAT_CENTROS_COSTO'!$F$4:$F$28,MATCH($F1056,'CAT_CENTROS_COSTO'!$A$4:$A$28,0)),"(sin catálogo)"))</f>
        <v/>
      </c>
      <c r="Y1056" s="24">
        <f>IF($F1056="","",IFERROR(INDEX('CAT_CENTROS_COSTO'!$D$4:$D$28,MATCH($F1056,'CAT_CENTROS_COSTO'!$A$4:$A$28,0)),"(sin catálogo)"))</f>
        <v/>
      </c>
      <c r="Z1056" s="24">
        <f>IF($F1056="","",IF((IFERROR(INDEX('CAT_CENTROS_COSTO'!$E$4:$E$28,MATCH($F1056,'CAT_CENTROS_COSTO'!$A$4:$A$28,0)),""))&lt;&gt;"",IFERROR(INDEX('CAT_CENTROS_COSTO'!$E$4:$E$28,MATCH($F1056,'CAT_CENTROS_COSTO'!$A$4:$A$28,0)),""),$Y1056))</f>
        <v/>
      </c>
      <c r="AA1056" s="24">
        <f>IF($F1056="","",IFERROR(INDEX('CAT_CENTROS_COSTO'!$G$4:$G$28,MATCH($F1056,'CAT_CENTROS_COSTO'!$A$4:$A$28,0)),"(sin catálogo)"))</f>
        <v/>
      </c>
      <c r="AB1056" s="24">
        <f>IF($G1056="","",IFERROR(INDEX('CAT_PUESTOS'!$B$4:$B$23,MATCH($G1056,'CAT_PUESTOS'!$A$4:$A$23,0)),"(sin catálogo)"))</f>
        <v/>
      </c>
      <c r="AC1056" s="24">
        <f>IF($H1056="","",IFERROR(INDEX('CAT_ACTIVIDADES'!$B$4:$B$26,MATCH($H1056,'CAT_ACTIVIDADES'!$A$4:$A$26,0)),"(sin catálogo)"))</f>
        <v/>
      </c>
      <c r="AD1056" s="26">
        <f>IF($J1056="","",TODAY()-$J1056)</f>
        <v/>
      </c>
      <c r="AE1056" s="26">
        <f>IF($J1056="","",IF($J1056&lt;=TODAY(),COUNTIFS(cal_fechas,"&gt;="&amp;$J1056,cal_fechas,"&lt;"&amp;TODAY(),cal_habil,"sí"),-COUNTIFS(cal_fechas,"&gt;="&amp;TODAY(),cal_fechas,"&lt;"&amp;$J1056,cal_habil,"sí")))</f>
        <v/>
      </c>
      <c r="AF1056" s="24">
        <f>IF($AE1056="","",IF($AE1056&lt;0,"FUTURO",IF($AE1056&gt;p_dias_backlog_max,"BACKLOG","MES CORRIENTE")))</f>
        <v/>
      </c>
      <c r="AG1056" s="24">
        <f>IF($AE1056="",FALSE,AND($AE1056&gt;p_dias_backlog_min,$AE1056&lt;=p_dias_backlog_max))</f>
        <v/>
      </c>
      <c r="AH1056" s="4" t="n"/>
      <c r="AI1056" s="24">
        <f>IF($AH1056="","",IF((IFERROR(INDEX('ASIGNACIONES'!$J$4:$J$451,MATCH($O1056&amp;"|"&amp;$S1056&amp;"|"&amp;$AH1056,'ASIGNACIONES'!$N$4:$N$451,0)),""))=0,"",IFERROR(INDEX('ASIGNACIONES'!$J$4:$J$451,MATCH($O1056&amp;"|"&amp;$S1056&amp;"|"&amp;$AH1056,'ASIGNACIONES'!$N$4:$N$451,0)),"")))</f>
        <v/>
      </c>
      <c r="AJ1056" s="42">
        <f>IF($AH1056="","",SUMIFS('ORDENES'!$M$4:$M$1203,'ORDENES'!$AH$4:$AH$1203,$AH1056,'ORDENES'!$O$4:$O$1203,$O1056,'ORDENES'!$S$4:$S$1203,$S1056))</f>
        <v/>
      </c>
      <c r="AK1056" s="42">
        <f>IF($AJ1056="","",p_factor_productividad*IFERROR(INDEX('ASIGNACIONES'!$M$4:$M$451,MATCH($O1056&amp;"|"&amp;$S1056&amp;"|"&amp;$AH1056,'ASIGNACIONES'!$N$4:$N$451,0)),0)-$AJ1056)</f>
        <v/>
      </c>
      <c r="AL1056" s="32">
        <f>IF($A1056="","",IFERROR(INDEX('2_IMPORTAR_EJECUCION'!$F$9:$F$1208,MATCH($AU1056,'2_IMPORTAR_EJECUCION'!$J$9:$J$1208,0)),0))</f>
        <v/>
      </c>
      <c r="AM1056" s="32">
        <f>IF($A1056="","",MAX(0,IFERROR(INDEX('2_IMPORTAR_EJECUCION'!$H$9:$H$1208,MATCH($AU1056,'2_IMPORTAR_EJECUCION'!$J$9:$J$1208,0)),0)-$AL1056))</f>
        <v/>
      </c>
      <c r="AN1056" s="32">
        <f>IF($A1056="","",$AL1056+$AM1056)</f>
        <v/>
      </c>
      <c r="AO1056" s="24">
        <f>IF($A1056="","",IF(OR((IFERROR(INDEX('CAT_ACTIVIDADES'!$D$4:$D$26,MATCH($H1056,'CAT_ACTIVIDADES'!$A$4:$A$26,0)),""))=0,(IFERROR(INDEX('CAT_ACTIVIDADES'!$D$4:$D$26,MATCH($H1056,'CAT_ACTIVIDADES'!$A$4:$A$26,0)),""))=""),"SIN CLASIFICAR",IFERROR(INDEX('CAT_ACTIVIDADES'!$D$4:$D$26,MATCH($H1056,'CAT_ACTIVIDADES'!$A$4:$A$26,0)),"")))</f>
        <v/>
      </c>
      <c r="AP1056" s="4" t="n"/>
      <c r="AQ1056" s="4" t="n"/>
      <c r="AR1056" s="4" t="n"/>
      <c r="AS1056" s="24">
        <f>IF($AR1056="","",HYPERLINK(p_ruta_base_checklists&amp;$AR1056,"abrir"))</f>
        <v/>
      </c>
      <c r="AT1056" s="4" t="n"/>
      <c r="AU1056" s="24">
        <f>IF($A1056="","",$A1056&amp;IF($B1056="","0010",$B1056))</f>
        <v/>
      </c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41" t="n"/>
      <c r="K1057" s="5" t="n"/>
      <c r="L1057" s="18" t="n"/>
      <c r="M1057" s="24">
        <f>IF($A1057="","",IFERROR(INDEX('AJUSTES'!$B$4:$B$303,MATCH($AU1057,'AJUSTES'!$A$4:$A$303,0)),IF($K1057="","",$K1057)))</f>
        <v/>
      </c>
      <c r="N1057" s="24">
        <f>IF($A1057="","",IFERROR(INDEX('CAT_ESTADOS_ERP'!$B$4:$B$22,MATCH(IFERROR(INDEX('2_IMPORTAR_EJECUCION'!$C$9:$C$1208,MATCH($AU1057,'2_IMPORTAR_EJECUCION'!$J$9:$J$1208,0)),""),'CAT_ESTADOS_ERP'!$A$4:$A$22,0)),"Pendiente"))</f>
        <v/>
      </c>
      <c r="O1057" s="24">
        <f>IF($J1057="","",YEAR($J1057+4-WEEKDAY($J1057,2))&amp;"-S"&amp;TEXT(_xlfn.ISOWEEKNUM($J1057),"00"))</f>
        <v/>
      </c>
      <c r="P1057" s="24">
        <f>IF($J1057="","",YEAR($J1057))</f>
        <v/>
      </c>
      <c r="Q1057" s="24">
        <f>IF($J1057="","",MONTH($J1057))</f>
        <v/>
      </c>
      <c r="R1057" s="24">
        <f>IF($J1057="","",$P1057&amp;"-"&amp;TEXT($Q1057,"00"))</f>
        <v/>
      </c>
      <c r="S1057" s="24">
        <f>IF($J1057="","",INDEX(lista_dias,WEEKDAY($J1057,2)))</f>
        <v/>
      </c>
      <c r="T1057" s="24">
        <f>IF($J1057="","",IFERROR(INDEX('CALENDARIO'!$C$15:$C$214,MATCH(TEXT($J1057,"yyyy-mm-dd")&amp;"|"&amp;$Y1057&amp;"|"&amp;$Z1057,'CALENDARIO'!$G$15:$G$214,0)),IFERROR(INDEX('CALENDARIO'!$C$15:$C$214,MATCH(TEXT($J1057,"yyyy-mm-dd")&amp;"|"&amp;$Y1057&amp;"|",'CALENDARIO'!$G$15:$G$214,0)),IFERROR(INDEX('CALENDARIO'!$C$15:$C$214,MATCH(TEXT($J1057,"yyyy-mm-dd")&amp;"||",'CALENDARIO'!$G$15:$G$214,0)),INDEX(patronHabil,WEEKDAY($J1057,2))))))</f>
        <v/>
      </c>
      <c r="U1057" s="24">
        <f>IF($I1057="","",IFERROR(INDEX('CAT_TIPOS_OT'!$C$4:$C$23,MATCH($I1057,'CAT_TIPOS_OT'!$A$4:$A$23,0)),"sin_clasificar"))</f>
        <v/>
      </c>
      <c r="V1057" s="24">
        <f>IF($I1057="","",IF(IFERROR(INDEX('CAT_TIPOS_OT'!$D$4:$D$23,MATCH($I1057,'CAT_TIPOS_OT'!$A$4:$A$23,0)),"SIN CLASIFICAR")="","SIN CLASIFICAR",IFERROR(INDEX('CAT_TIPOS_OT'!$D$4:$D$23,MATCH($I1057,'CAT_TIPOS_OT'!$A$4:$A$23,0)),"SIN CLASIFICAR")))</f>
        <v/>
      </c>
      <c r="W1057" s="24">
        <f>IF($H1057="","",IF(IFERROR(INDEX('CAT_ACTIVIDADES'!$F$4:$F$26,MATCH($H1057,'CAT_ACTIVIDADES'!$A$4:$A$26,0)),"")=0,"",IFERROR(INDEX('CAT_ACTIVIDADES'!$F$4:$F$26,MATCH($H1057,'CAT_ACTIVIDADES'!$A$4:$A$26,0)),"")))</f>
        <v/>
      </c>
      <c r="X1057" s="24">
        <f>IF($F1057="","",IFERROR(INDEX('CAT_CENTROS_COSTO'!$F$4:$F$28,MATCH($F1057,'CAT_CENTROS_COSTO'!$A$4:$A$28,0)),"(sin catálogo)"))</f>
        <v/>
      </c>
      <c r="Y1057" s="24">
        <f>IF($F1057="","",IFERROR(INDEX('CAT_CENTROS_COSTO'!$D$4:$D$28,MATCH($F1057,'CAT_CENTROS_COSTO'!$A$4:$A$28,0)),"(sin catálogo)"))</f>
        <v/>
      </c>
      <c r="Z1057" s="24">
        <f>IF($F1057="","",IF((IFERROR(INDEX('CAT_CENTROS_COSTO'!$E$4:$E$28,MATCH($F1057,'CAT_CENTROS_COSTO'!$A$4:$A$28,0)),""))&lt;&gt;"",IFERROR(INDEX('CAT_CENTROS_COSTO'!$E$4:$E$28,MATCH($F1057,'CAT_CENTROS_COSTO'!$A$4:$A$28,0)),""),$Y1057))</f>
        <v/>
      </c>
      <c r="AA1057" s="24">
        <f>IF($F1057="","",IFERROR(INDEX('CAT_CENTROS_COSTO'!$G$4:$G$28,MATCH($F1057,'CAT_CENTROS_COSTO'!$A$4:$A$28,0)),"(sin catálogo)"))</f>
        <v/>
      </c>
      <c r="AB1057" s="24">
        <f>IF($G1057="","",IFERROR(INDEX('CAT_PUESTOS'!$B$4:$B$23,MATCH($G1057,'CAT_PUESTOS'!$A$4:$A$23,0)),"(sin catálogo)"))</f>
        <v/>
      </c>
      <c r="AC1057" s="24">
        <f>IF($H1057="","",IFERROR(INDEX('CAT_ACTIVIDADES'!$B$4:$B$26,MATCH($H1057,'CAT_ACTIVIDADES'!$A$4:$A$26,0)),"(sin catálogo)"))</f>
        <v/>
      </c>
      <c r="AD1057" s="26">
        <f>IF($J1057="","",TODAY()-$J1057)</f>
        <v/>
      </c>
      <c r="AE1057" s="26">
        <f>IF($J1057="","",IF($J1057&lt;=TODAY(),COUNTIFS(cal_fechas,"&gt;="&amp;$J1057,cal_fechas,"&lt;"&amp;TODAY(),cal_habil,"sí"),-COUNTIFS(cal_fechas,"&gt;="&amp;TODAY(),cal_fechas,"&lt;"&amp;$J1057,cal_habil,"sí")))</f>
        <v/>
      </c>
      <c r="AF1057" s="24">
        <f>IF($AE1057="","",IF($AE1057&lt;0,"FUTURO",IF($AE1057&gt;p_dias_backlog_max,"BACKLOG","MES CORRIENTE")))</f>
        <v/>
      </c>
      <c r="AG1057" s="24">
        <f>IF($AE1057="",FALSE,AND($AE1057&gt;p_dias_backlog_min,$AE1057&lt;=p_dias_backlog_max))</f>
        <v/>
      </c>
      <c r="AH1057" s="4" t="n"/>
      <c r="AI1057" s="24">
        <f>IF($AH1057="","",IF((IFERROR(INDEX('ASIGNACIONES'!$J$4:$J$451,MATCH($O1057&amp;"|"&amp;$S1057&amp;"|"&amp;$AH1057,'ASIGNACIONES'!$N$4:$N$451,0)),""))=0,"",IFERROR(INDEX('ASIGNACIONES'!$J$4:$J$451,MATCH($O1057&amp;"|"&amp;$S1057&amp;"|"&amp;$AH1057,'ASIGNACIONES'!$N$4:$N$451,0)),"")))</f>
        <v/>
      </c>
      <c r="AJ1057" s="42">
        <f>IF($AH1057="","",SUMIFS('ORDENES'!$M$4:$M$1203,'ORDENES'!$AH$4:$AH$1203,$AH1057,'ORDENES'!$O$4:$O$1203,$O1057,'ORDENES'!$S$4:$S$1203,$S1057))</f>
        <v/>
      </c>
      <c r="AK1057" s="42">
        <f>IF($AJ1057="","",p_factor_productividad*IFERROR(INDEX('ASIGNACIONES'!$M$4:$M$451,MATCH($O1057&amp;"|"&amp;$S1057&amp;"|"&amp;$AH1057,'ASIGNACIONES'!$N$4:$N$451,0)),0)-$AJ1057)</f>
        <v/>
      </c>
      <c r="AL1057" s="32">
        <f>IF($A1057="","",IFERROR(INDEX('2_IMPORTAR_EJECUCION'!$F$9:$F$1208,MATCH($AU1057,'2_IMPORTAR_EJECUCION'!$J$9:$J$1208,0)),0))</f>
        <v/>
      </c>
      <c r="AM1057" s="32">
        <f>IF($A1057="","",MAX(0,IFERROR(INDEX('2_IMPORTAR_EJECUCION'!$H$9:$H$1208,MATCH($AU1057,'2_IMPORTAR_EJECUCION'!$J$9:$J$1208,0)),0)-$AL1057))</f>
        <v/>
      </c>
      <c r="AN1057" s="32">
        <f>IF($A1057="","",$AL1057+$AM1057)</f>
        <v/>
      </c>
      <c r="AO1057" s="24">
        <f>IF($A1057="","",IF(OR((IFERROR(INDEX('CAT_ACTIVIDADES'!$D$4:$D$26,MATCH($H1057,'CAT_ACTIVIDADES'!$A$4:$A$26,0)),""))=0,(IFERROR(INDEX('CAT_ACTIVIDADES'!$D$4:$D$26,MATCH($H1057,'CAT_ACTIVIDADES'!$A$4:$A$26,0)),""))=""),"SIN CLASIFICAR",IFERROR(INDEX('CAT_ACTIVIDADES'!$D$4:$D$26,MATCH($H1057,'CAT_ACTIVIDADES'!$A$4:$A$26,0)),"")))</f>
        <v/>
      </c>
      <c r="AP1057" s="4" t="n"/>
      <c r="AQ1057" s="4" t="n"/>
      <c r="AR1057" s="4" t="n"/>
      <c r="AS1057" s="24">
        <f>IF($AR1057="","",HYPERLINK(p_ruta_base_checklists&amp;$AR1057,"abrir"))</f>
        <v/>
      </c>
      <c r="AT1057" s="4" t="n"/>
      <c r="AU1057" s="24">
        <f>IF($A1057="","",$A1057&amp;IF($B1057="","0010",$B1057))</f>
        <v/>
      </c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41" t="n"/>
      <c r="K1058" s="5" t="n"/>
      <c r="L1058" s="18" t="n"/>
      <c r="M1058" s="24">
        <f>IF($A1058="","",IFERROR(INDEX('AJUSTES'!$B$4:$B$303,MATCH($AU1058,'AJUSTES'!$A$4:$A$303,0)),IF($K1058="","",$K1058)))</f>
        <v/>
      </c>
      <c r="N1058" s="24">
        <f>IF($A1058="","",IFERROR(INDEX('CAT_ESTADOS_ERP'!$B$4:$B$22,MATCH(IFERROR(INDEX('2_IMPORTAR_EJECUCION'!$C$9:$C$1208,MATCH($AU1058,'2_IMPORTAR_EJECUCION'!$J$9:$J$1208,0)),""),'CAT_ESTADOS_ERP'!$A$4:$A$22,0)),"Pendiente"))</f>
        <v/>
      </c>
      <c r="O1058" s="24">
        <f>IF($J1058="","",YEAR($J1058+4-WEEKDAY($J1058,2))&amp;"-S"&amp;TEXT(_xlfn.ISOWEEKNUM($J1058),"00"))</f>
        <v/>
      </c>
      <c r="P1058" s="24">
        <f>IF($J1058="","",YEAR($J1058))</f>
        <v/>
      </c>
      <c r="Q1058" s="24">
        <f>IF($J1058="","",MONTH($J1058))</f>
        <v/>
      </c>
      <c r="R1058" s="24">
        <f>IF($J1058="","",$P1058&amp;"-"&amp;TEXT($Q1058,"00"))</f>
        <v/>
      </c>
      <c r="S1058" s="24">
        <f>IF($J1058="","",INDEX(lista_dias,WEEKDAY($J1058,2)))</f>
        <v/>
      </c>
      <c r="T1058" s="24">
        <f>IF($J1058="","",IFERROR(INDEX('CALENDARIO'!$C$15:$C$214,MATCH(TEXT($J1058,"yyyy-mm-dd")&amp;"|"&amp;$Y1058&amp;"|"&amp;$Z1058,'CALENDARIO'!$G$15:$G$214,0)),IFERROR(INDEX('CALENDARIO'!$C$15:$C$214,MATCH(TEXT($J1058,"yyyy-mm-dd")&amp;"|"&amp;$Y1058&amp;"|",'CALENDARIO'!$G$15:$G$214,0)),IFERROR(INDEX('CALENDARIO'!$C$15:$C$214,MATCH(TEXT($J1058,"yyyy-mm-dd")&amp;"||",'CALENDARIO'!$G$15:$G$214,0)),INDEX(patronHabil,WEEKDAY($J1058,2))))))</f>
        <v/>
      </c>
      <c r="U1058" s="24">
        <f>IF($I1058="","",IFERROR(INDEX('CAT_TIPOS_OT'!$C$4:$C$23,MATCH($I1058,'CAT_TIPOS_OT'!$A$4:$A$23,0)),"sin_clasificar"))</f>
        <v/>
      </c>
      <c r="V1058" s="24">
        <f>IF($I1058="","",IF(IFERROR(INDEX('CAT_TIPOS_OT'!$D$4:$D$23,MATCH($I1058,'CAT_TIPOS_OT'!$A$4:$A$23,0)),"SIN CLASIFICAR")="","SIN CLASIFICAR",IFERROR(INDEX('CAT_TIPOS_OT'!$D$4:$D$23,MATCH($I1058,'CAT_TIPOS_OT'!$A$4:$A$23,0)),"SIN CLASIFICAR")))</f>
        <v/>
      </c>
      <c r="W1058" s="24">
        <f>IF($H1058="","",IF(IFERROR(INDEX('CAT_ACTIVIDADES'!$F$4:$F$26,MATCH($H1058,'CAT_ACTIVIDADES'!$A$4:$A$26,0)),"")=0,"",IFERROR(INDEX('CAT_ACTIVIDADES'!$F$4:$F$26,MATCH($H1058,'CAT_ACTIVIDADES'!$A$4:$A$26,0)),"")))</f>
        <v/>
      </c>
      <c r="X1058" s="24">
        <f>IF($F1058="","",IFERROR(INDEX('CAT_CENTROS_COSTO'!$F$4:$F$28,MATCH($F1058,'CAT_CENTROS_COSTO'!$A$4:$A$28,0)),"(sin catálogo)"))</f>
        <v/>
      </c>
      <c r="Y1058" s="24">
        <f>IF($F1058="","",IFERROR(INDEX('CAT_CENTROS_COSTO'!$D$4:$D$28,MATCH($F1058,'CAT_CENTROS_COSTO'!$A$4:$A$28,0)),"(sin catálogo)"))</f>
        <v/>
      </c>
      <c r="Z1058" s="24">
        <f>IF($F1058="","",IF((IFERROR(INDEX('CAT_CENTROS_COSTO'!$E$4:$E$28,MATCH($F1058,'CAT_CENTROS_COSTO'!$A$4:$A$28,0)),""))&lt;&gt;"",IFERROR(INDEX('CAT_CENTROS_COSTO'!$E$4:$E$28,MATCH($F1058,'CAT_CENTROS_COSTO'!$A$4:$A$28,0)),""),$Y1058))</f>
        <v/>
      </c>
      <c r="AA1058" s="24">
        <f>IF($F1058="","",IFERROR(INDEX('CAT_CENTROS_COSTO'!$G$4:$G$28,MATCH($F1058,'CAT_CENTROS_COSTO'!$A$4:$A$28,0)),"(sin catálogo)"))</f>
        <v/>
      </c>
      <c r="AB1058" s="24">
        <f>IF($G1058="","",IFERROR(INDEX('CAT_PUESTOS'!$B$4:$B$23,MATCH($G1058,'CAT_PUESTOS'!$A$4:$A$23,0)),"(sin catálogo)"))</f>
        <v/>
      </c>
      <c r="AC1058" s="24">
        <f>IF($H1058="","",IFERROR(INDEX('CAT_ACTIVIDADES'!$B$4:$B$26,MATCH($H1058,'CAT_ACTIVIDADES'!$A$4:$A$26,0)),"(sin catálogo)"))</f>
        <v/>
      </c>
      <c r="AD1058" s="26">
        <f>IF($J1058="","",TODAY()-$J1058)</f>
        <v/>
      </c>
      <c r="AE1058" s="26">
        <f>IF($J1058="","",IF($J1058&lt;=TODAY(),COUNTIFS(cal_fechas,"&gt;="&amp;$J1058,cal_fechas,"&lt;"&amp;TODAY(),cal_habil,"sí"),-COUNTIFS(cal_fechas,"&gt;="&amp;TODAY(),cal_fechas,"&lt;"&amp;$J1058,cal_habil,"sí")))</f>
        <v/>
      </c>
      <c r="AF1058" s="24">
        <f>IF($AE1058="","",IF($AE1058&lt;0,"FUTURO",IF($AE1058&gt;p_dias_backlog_max,"BACKLOG","MES CORRIENTE")))</f>
        <v/>
      </c>
      <c r="AG1058" s="24">
        <f>IF($AE1058="",FALSE,AND($AE1058&gt;p_dias_backlog_min,$AE1058&lt;=p_dias_backlog_max))</f>
        <v/>
      </c>
      <c r="AH1058" s="4" t="n"/>
      <c r="AI1058" s="24">
        <f>IF($AH1058="","",IF((IFERROR(INDEX('ASIGNACIONES'!$J$4:$J$451,MATCH($O1058&amp;"|"&amp;$S1058&amp;"|"&amp;$AH1058,'ASIGNACIONES'!$N$4:$N$451,0)),""))=0,"",IFERROR(INDEX('ASIGNACIONES'!$J$4:$J$451,MATCH($O1058&amp;"|"&amp;$S1058&amp;"|"&amp;$AH1058,'ASIGNACIONES'!$N$4:$N$451,0)),"")))</f>
        <v/>
      </c>
      <c r="AJ1058" s="42">
        <f>IF($AH1058="","",SUMIFS('ORDENES'!$M$4:$M$1203,'ORDENES'!$AH$4:$AH$1203,$AH1058,'ORDENES'!$O$4:$O$1203,$O1058,'ORDENES'!$S$4:$S$1203,$S1058))</f>
        <v/>
      </c>
      <c r="AK1058" s="42">
        <f>IF($AJ1058="","",p_factor_productividad*IFERROR(INDEX('ASIGNACIONES'!$M$4:$M$451,MATCH($O1058&amp;"|"&amp;$S1058&amp;"|"&amp;$AH1058,'ASIGNACIONES'!$N$4:$N$451,0)),0)-$AJ1058)</f>
        <v/>
      </c>
      <c r="AL1058" s="32">
        <f>IF($A1058="","",IFERROR(INDEX('2_IMPORTAR_EJECUCION'!$F$9:$F$1208,MATCH($AU1058,'2_IMPORTAR_EJECUCION'!$J$9:$J$1208,0)),0))</f>
        <v/>
      </c>
      <c r="AM1058" s="32">
        <f>IF($A1058="","",MAX(0,IFERROR(INDEX('2_IMPORTAR_EJECUCION'!$H$9:$H$1208,MATCH($AU1058,'2_IMPORTAR_EJECUCION'!$J$9:$J$1208,0)),0)-$AL1058))</f>
        <v/>
      </c>
      <c r="AN1058" s="32">
        <f>IF($A1058="","",$AL1058+$AM1058)</f>
        <v/>
      </c>
      <c r="AO1058" s="24">
        <f>IF($A1058="","",IF(OR((IFERROR(INDEX('CAT_ACTIVIDADES'!$D$4:$D$26,MATCH($H1058,'CAT_ACTIVIDADES'!$A$4:$A$26,0)),""))=0,(IFERROR(INDEX('CAT_ACTIVIDADES'!$D$4:$D$26,MATCH($H1058,'CAT_ACTIVIDADES'!$A$4:$A$26,0)),""))=""),"SIN CLASIFICAR",IFERROR(INDEX('CAT_ACTIVIDADES'!$D$4:$D$26,MATCH($H1058,'CAT_ACTIVIDADES'!$A$4:$A$26,0)),"")))</f>
        <v/>
      </c>
      <c r="AP1058" s="4" t="n"/>
      <c r="AQ1058" s="4" t="n"/>
      <c r="AR1058" s="4" t="n"/>
      <c r="AS1058" s="24">
        <f>IF($AR1058="","",HYPERLINK(p_ruta_base_checklists&amp;$AR1058,"abrir"))</f>
        <v/>
      </c>
      <c r="AT1058" s="4" t="n"/>
      <c r="AU1058" s="24">
        <f>IF($A1058="","",$A1058&amp;IF($B1058="","0010",$B1058))</f>
        <v/>
      </c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41" t="n"/>
      <c r="K1059" s="5" t="n"/>
      <c r="L1059" s="18" t="n"/>
      <c r="M1059" s="24">
        <f>IF($A1059="","",IFERROR(INDEX('AJUSTES'!$B$4:$B$303,MATCH($AU1059,'AJUSTES'!$A$4:$A$303,0)),IF($K1059="","",$K1059)))</f>
        <v/>
      </c>
      <c r="N1059" s="24">
        <f>IF($A1059="","",IFERROR(INDEX('CAT_ESTADOS_ERP'!$B$4:$B$22,MATCH(IFERROR(INDEX('2_IMPORTAR_EJECUCION'!$C$9:$C$1208,MATCH($AU1059,'2_IMPORTAR_EJECUCION'!$J$9:$J$1208,0)),""),'CAT_ESTADOS_ERP'!$A$4:$A$22,0)),"Pendiente"))</f>
        <v/>
      </c>
      <c r="O1059" s="24">
        <f>IF($J1059="","",YEAR($J1059+4-WEEKDAY($J1059,2))&amp;"-S"&amp;TEXT(_xlfn.ISOWEEKNUM($J1059),"00"))</f>
        <v/>
      </c>
      <c r="P1059" s="24">
        <f>IF($J1059="","",YEAR($J1059))</f>
        <v/>
      </c>
      <c r="Q1059" s="24">
        <f>IF($J1059="","",MONTH($J1059))</f>
        <v/>
      </c>
      <c r="R1059" s="24">
        <f>IF($J1059="","",$P1059&amp;"-"&amp;TEXT($Q1059,"00"))</f>
        <v/>
      </c>
      <c r="S1059" s="24">
        <f>IF($J1059="","",INDEX(lista_dias,WEEKDAY($J1059,2)))</f>
        <v/>
      </c>
      <c r="T1059" s="24">
        <f>IF($J1059="","",IFERROR(INDEX('CALENDARIO'!$C$15:$C$214,MATCH(TEXT($J1059,"yyyy-mm-dd")&amp;"|"&amp;$Y1059&amp;"|"&amp;$Z1059,'CALENDARIO'!$G$15:$G$214,0)),IFERROR(INDEX('CALENDARIO'!$C$15:$C$214,MATCH(TEXT($J1059,"yyyy-mm-dd")&amp;"|"&amp;$Y1059&amp;"|",'CALENDARIO'!$G$15:$G$214,0)),IFERROR(INDEX('CALENDARIO'!$C$15:$C$214,MATCH(TEXT($J1059,"yyyy-mm-dd")&amp;"||",'CALENDARIO'!$G$15:$G$214,0)),INDEX(patronHabil,WEEKDAY($J1059,2))))))</f>
        <v/>
      </c>
      <c r="U1059" s="24">
        <f>IF($I1059="","",IFERROR(INDEX('CAT_TIPOS_OT'!$C$4:$C$23,MATCH($I1059,'CAT_TIPOS_OT'!$A$4:$A$23,0)),"sin_clasificar"))</f>
        <v/>
      </c>
      <c r="V1059" s="24">
        <f>IF($I1059="","",IF(IFERROR(INDEX('CAT_TIPOS_OT'!$D$4:$D$23,MATCH($I1059,'CAT_TIPOS_OT'!$A$4:$A$23,0)),"SIN CLASIFICAR")="","SIN CLASIFICAR",IFERROR(INDEX('CAT_TIPOS_OT'!$D$4:$D$23,MATCH($I1059,'CAT_TIPOS_OT'!$A$4:$A$23,0)),"SIN CLASIFICAR")))</f>
        <v/>
      </c>
      <c r="W1059" s="24">
        <f>IF($H1059="","",IF(IFERROR(INDEX('CAT_ACTIVIDADES'!$F$4:$F$26,MATCH($H1059,'CAT_ACTIVIDADES'!$A$4:$A$26,0)),"")=0,"",IFERROR(INDEX('CAT_ACTIVIDADES'!$F$4:$F$26,MATCH($H1059,'CAT_ACTIVIDADES'!$A$4:$A$26,0)),"")))</f>
        <v/>
      </c>
      <c r="X1059" s="24">
        <f>IF($F1059="","",IFERROR(INDEX('CAT_CENTROS_COSTO'!$F$4:$F$28,MATCH($F1059,'CAT_CENTROS_COSTO'!$A$4:$A$28,0)),"(sin catálogo)"))</f>
        <v/>
      </c>
      <c r="Y1059" s="24">
        <f>IF($F1059="","",IFERROR(INDEX('CAT_CENTROS_COSTO'!$D$4:$D$28,MATCH($F1059,'CAT_CENTROS_COSTO'!$A$4:$A$28,0)),"(sin catálogo)"))</f>
        <v/>
      </c>
      <c r="Z1059" s="24">
        <f>IF($F1059="","",IF((IFERROR(INDEX('CAT_CENTROS_COSTO'!$E$4:$E$28,MATCH($F1059,'CAT_CENTROS_COSTO'!$A$4:$A$28,0)),""))&lt;&gt;"",IFERROR(INDEX('CAT_CENTROS_COSTO'!$E$4:$E$28,MATCH($F1059,'CAT_CENTROS_COSTO'!$A$4:$A$28,0)),""),$Y1059))</f>
        <v/>
      </c>
      <c r="AA1059" s="24">
        <f>IF($F1059="","",IFERROR(INDEX('CAT_CENTROS_COSTO'!$G$4:$G$28,MATCH($F1059,'CAT_CENTROS_COSTO'!$A$4:$A$28,0)),"(sin catálogo)"))</f>
        <v/>
      </c>
      <c r="AB1059" s="24">
        <f>IF($G1059="","",IFERROR(INDEX('CAT_PUESTOS'!$B$4:$B$23,MATCH($G1059,'CAT_PUESTOS'!$A$4:$A$23,0)),"(sin catálogo)"))</f>
        <v/>
      </c>
      <c r="AC1059" s="24">
        <f>IF($H1059="","",IFERROR(INDEX('CAT_ACTIVIDADES'!$B$4:$B$26,MATCH($H1059,'CAT_ACTIVIDADES'!$A$4:$A$26,0)),"(sin catálogo)"))</f>
        <v/>
      </c>
      <c r="AD1059" s="26">
        <f>IF($J1059="","",TODAY()-$J1059)</f>
        <v/>
      </c>
      <c r="AE1059" s="26">
        <f>IF($J1059="","",IF($J1059&lt;=TODAY(),COUNTIFS(cal_fechas,"&gt;="&amp;$J1059,cal_fechas,"&lt;"&amp;TODAY(),cal_habil,"sí"),-COUNTIFS(cal_fechas,"&gt;="&amp;TODAY(),cal_fechas,"&lt;"&amp;$J1059,cal_habil,"sí")))</f>
        <v/>
      </c>
      <c r="AF1059" s="24">
        <f>IF($AE1059="","",IF($AE1059&lt;0,"FUTURO",IF($AE1059&gt;p_dias_backlog_max,"BACKLOG","MES CORRIENTE")))</f>
        <v/>
      </c>
      <c r="AG1059" s="24">
        <f>IF($AE1059="",FALSE,AND($AE1059&gt;p_dias_backlog_min,$AE1059&lt;=p_dias_backlog_max))</f>
        <v/>
      </c>
      <c r="AH1059" s="4" t="n"/>
      <c r="AI1059" s="24">
        <f>IF($AH1059="","",IF((IFERROR(INDEX('ASIGNACIONES'!$J$4:$J$451,MATCH($O1059&amp;"|"&amp;$S1059&amp;"|"&amp;$AH1059,'ASIGNACIONES'!$N$4:$N$451,0)),""))=0,"",IFERROR(INDEX('ASIGNACIONES'!$J$4:$J$451,MATCH($O1059&amp;"|"&amp;$S1059&amp;"|"&amp;$AH1059,'ASIGNACIONES'!$N$4:$N$451,0)),"")))</f>
        <v/>
      </c>
      <c r="AJ1059" s="42">
        <f>IF($AH1059="","",SUMIFS('ORDENES'!$M$4:$M$1203,'ORDENES'!$AH$4:$AH$1203,$AH1059,'ORDENES'!$O$4:$O$1203,$O1059,'ORDENES'!$S$4:$S$1203,$S1059))</f>
        <v/>
      </c>
      <c r="AK1059" s="42">
        <f>IF($AJ1059="","",p_factor_productividad*IFERROR(INDEX('ASIGNACIONES'!$M$4:$M$451,MATCH($O1059&amp;"|"&amp;$S1059&amp;"|"&amp;$AH1059,'ASIGNACIONES'!$N$4:$N$451,0)),0)-$AJ1059)</f>
        <v/>
      </c>
      <c r="AL1059" s="32">
        <f>IF($A1059="","",IFERROR(INDEX('2_IMPORTAR_EJECUCION'!$F$9:$F$1208,MATCH($AU1059,'2_IMPORTAR_EJECUCION'!$J$9:$J$1208,0)),0))</f>
        <v/>
      </c>
      <c r="AM1059" s="32">
        <f>IF($A1059="","",MAX(0,IFERROR(INDEX('2_IMPORTAR_EJECUCION'!$H$9:$H$1208,MATCH($AU1059,'2_IMPORTAR_EJECUCION'!$J$9:$J$1208,0)),0)-$AL1059))</f>
        <v/>
      </c>
      <c r="AN1059" s="32">
        <f>IF($A1059="","",$AL1059+$AM1059)</f>
        <v/>
      </c>
      <c r="AO1059" s="24">
        <f>IF($A1059="","",IF(OR((IFERROR(INDEX('CAT_ACTIVIDADES'!$D$4:$D$26,MATCH($H1059,'CAT_ACTIVIDADES'!$A$4:$A$26,0)),""))=0,(IFERROR(INDEX('CAT_ACTIVIDADES'!$D$4:$D$26,MATCH($H1059,'CAT_ACTIVIDADES'!$A$4:$A$26,0)),""))=""),"SIN CLASIFICAR",IFERROR(INDEX('CAT_ACTIVIDADES'!$D$4:$D$26,MATCH($H1059,'CAT_ACTIVIDADES'!$A$4:$A$26,0)),"")))</f>
        <v/>
      </c>
      <c r="AP1059" s="4" t="n"/>
      <c r="AQ1059" s="4" t="n"/>
      <c r="AR1059" s="4" t="n"/>
      <c r="AS1059" s="24">
        <f>IF($AR1059="","",HYPERLINK(p_ruta_base_checklists&amp;$AR1059,"abrir"))</f>
        <v/>
      </c>
      <c r="AT1059" s="4" t="n"/>
      <c r="AU1059" s="24">
        <f>IF($A1059="","",$A1059&amp;IF($B1059="","0010",$B1059))</f>
        <v/>
      </c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41" t="n"/>
      <c r="K1060" s="5" t="n"/>
      <c r="L1060" s="18" t="n"/>
      <c r="M1060" s="24">
        <f>IF($A1060="","",IFERROR(INDEX('AJUSTES'!$B$4:$B$303,MATCH($AU1060,'AJUSTES'!$A$4:$A$303,0)),IF($K1060="","",$K1060)))</f>
        <v/>
      </c>
      <c r="N1060" s="24">
        <f>IF($A1060="","",IFERROR(INDEX('CAT_ESTADOS_ERP'!$B$4:$B$22,MATCH(IFERROR(INDEX('2_IMPORTAR_EJECUCION'!$C$9:$C$1208,MATCH($AU1060,'2_IMPORTAR_EJECUCION'!$J$9:$J$1208,0)),""),'CAT_ESTADOS_ERP'!$A$4:$A$22,0)),"Pendiente"))</f>
        <v/>
      </c>
      <c r="O1060" s="24">
        <f>IF($J1060="","",YEAR($J1060+4-WEEKDAY($J1060,2))&amp;"-S"&amp;TEXT(_xlfn.ISOWEEKNUM($J1060),"00"))</f>
        <v/>
      </c>
      <c r="P1060" s="24">
        <f>IF($J1060="","",YEAR($J1060))</f>
        <v/>
      </c>
      <c r="Q1060" s="24">
        <f>IF($J1060="","",MONTH($J1060))</f>
        <v/>
      </c>
      <c r="R1060" s="24">
        <f>IF($J1060="","",$P1060&amp;"-"&amp;TEXT($Q1060,"00"))</f>
        <v/>
      </c>
      <c r="S1060" s="24">
        <f>IF($J1060="","",INDEX(lista_dias,WEEKDAY($J1060,2)))</f>
        <v/>
      </c>
      <c r="T1060" s="24">
        <f>IF($J1060="","",IFERROR(INDEX('CALENDARIO'!$C$15:$C$214,MATCH(TEXT($J1060,"yyyy-mm-dd")&amp;"|"&amp;$Y1060&amp;"|"&amp;$Z1060,'CALENDARIO'!$G$15:$G$214,0)),IFERROR(INDEX('CALENDARIO'!$C$15:$C$214,MATCH(TEXT($J1060,"yyyy-mm-dd")&amp;"|"&amp;$Y1060&amp;"|",'CALENDARIO'!$G$15:$G$214,0)),IFERROR(INDEX('CALENDARIO'!$C$15:$C$214,MATCH(TEXT($J1060,"yyyy-mm-dd")&amp;"||",'CALENDARIO'!$G$15:$G$214,0)),INDEX(patronHabil,WEEKDAY($J1060,2))))))</f>
        <v/>
      </c>
      <c r="U1060" s="24">
        <f>IF($I1060="","",IFERROR(INDEX('CAT_TIPOS_OT'!$C$4:$C$23,MATCH($I1060,'CAT_TIPOS_OT'!$A$4:$A$23,0)),"sin_clasificar"))</f>
        <v/>
      </c>
      <c r="V1060" s="24">
        <f>IF($I1060="","",IF(IFERROR(INDEX('CAT_TIPOS_OT'!$D$4:$D$23,MATCH($I1060,'CAT_TIPOS_OT'!$A$4:$A$23,0)),"SIN CLASIFICAR")="","SIN CLASIFICAR",IFERROR(INDEX('CAT_TIPOS_OT'!$D$4:$D$23,MATCH($I1060,'CAT_TIPOS_OT'!$A$4:$A$23,0)),"SIN CLASIFICAR")))</f>
        <v/>
      </c>
      <c r="W1060" s="24">
        <f>IF($H1060="","",IF(IFERROR(INDEX('CAT_ACTIVIDADES'!$F$4:$F$26,MATCH($H1060,'CAT_ACTIVIDADES'!$A$4:$A$26,0)),"")=0,"",IFERROR(INDEX('CAT_ACTIVIDADES'!$F$4:$F$26,MATCH($H1060,'CAT_ACTIVIDADES'!$A$4:$A$26,0)),"")))</f>
        <v/>
      </c>
      <c r="X1060" s="24">
        <f>IF($F1060="","",IFERROR(INDEX('CAT_CENTROS_COSTO'!$F$4:$F$28,MATCH($F1060,'CAT_CENTROS_COSTO'!$A$4:$A$28,0)),"(sin catálogo)"))</f>
        <v/>
      </c>
      <c r="Y1060" s="24">
        <f>IF($F1060="","",IFERROR(INDEX('CAT_CENTROS_COSTO'!$D$4:$D$28,MATCH($F1060,'CAT_CENTROS_COSTO'!$A$4:$A$28,0)),"(sin catálogo)"))</f>
        <v/>
      </c>
      <c r="Z1060" s="24">
        <f>IF($F1060="","",IF((IFERROR(INDEX('CAT_CENTROS_COSTO'!$E$4:$E$28,MATCH($F1060,'CAT_CENTROS_COSTO'!$A$4:$A$28,0)),""))&lt;&gt;"",IFERROR(INDEX('CAT_CENTROS_COSTO'!$E$4:$E$28,MATCH($F1060,'CAT_CENTROS_COSTO'!$A$4:$A$28,0)),""),$Y1060))</f>
        <v/>
      </c>
      <c r="AA1060" s="24">
        <f>IF($F1060="","",IFERROR(INDEX('CAT_CENTROS_COSTO'!$G$4:$G$28,MATCH($F1060,'CAT_CENTROS_COSTO'!$A$4:$A$28,0)),"(sin catálogo)"))</f>
        <v/>
      </c>
      <c r="AB1060" s="24">
        <f>IF($G1060="","",IFERROR(INDEX('CAT_PUESTOS'!$B$4:$B$23,MATCH($G1060,'CAT_PUESTOS'!$A$4:$A$23,0)),"(sin catálogo)"))</f>
        <v/>
      </c>
      <c r="AC1060" s="24">
        <f>IF($H1060="","",IFERROR(INDEX('CAT_ACTIVIDADES'!$B$4:$B$26,MATCH($H1060,'CAT_ACTIVIDADES'!$A$4:$A$26,0)),"(sin catálogo)"))</f>
        <v/>
      </c>
      <c r="AD1060" s="26">
        <f>IF($J1060="","",TODAY()-$J1060)</f>
        <v/>
      </c>
      <c r="AE1060" s="26">
        <f>IF($J1060="","",IF($J1060&lt;=TODAY(),COUNTIFS(cal_fechas,"&gt;="&amp;$J1060,cal_fechas,"&lt;"&amp;TODAY(),cal_habil,"sí"),-COUNTIFS(cal_fechas,"&gt;="&amp;TODAY(),cal_fechas,"&lt;"&amp;$J1060,cal_habil,"sí")))</f>
        <v/>
      </c>
      <c r="AF1060" s="24">
        <f>IF($AE1060="","",IF($AE1060&lt;0,"FUTURO",IF($AE1060&gt;p_dias_backlog_max,"BACKLOG","MES CORRIENTE")))</f>
        <v/>
      </c>
      <c r="AG1060" s="24">
        <f>IF($AE1060="",FALSE,AND($AE1060&gt;p_dias_backlog_min,$AE1060&lt;=p_dias_backlog_max))</f>
        <v/>
      </c>
      <c r="AH1060" s="4" t="n"/>
      <c r="AI1060" s="24">
        <f>IF($AH1060="","",IF((IFERROR(INDEX('ASIGNACIONES'!$J$4:$J$451,MATCH($O1060&amp;"|"&amp;$S1060&amp;"|"&amp;$AH1060,'ASIGNACIONES'!$N$4:$N$451,0)),""))=0,"",IFERROR(INDEX('ASIGNACIONES'!$J$4:$J$451,MATCH($O1060&amp;"|"&amp;$S1060&amp;"|"&amp;$AH1060,'ASIGNACIONES'!$N$4:$N$451,0)),"")))</f>
        <v/>
      </c>
      <c r="AJ1060" s="42">
        <f>IF($AH1060="","",SUMIFS('ORDENES'!$M$4:$M$1203,'ORDENES'!$AH$4:$AH$1203,$AH1060,'ORDENES'!$O$4:$O$1203,$O1060,'ORDENES'!$S$4:$S$1203,$S1060))</f>
        <v/>
      </c>
      <c r="AK1060" s="42">
        <f>IF($AJ1060="","",p_factor_productividad*IFERROR(INDEX('ASIGNACIONES'!$M$4:$M$451,MATCH($O1060&amp;"|"&amp;$S1060&amp;"|"&amp;$AH1060,'ASIGNACIONES'!$N$4:$N$451,0)),0)-$AJ1060)</f>
        <v/>
      </c>
      <c r="AL1060" s="32">
        <f>IF($A1060="","",IFERROR(INDEX('2_IMPORTAR_EJECUCION'!$F$9:$F$1208,MATCH($AU1060,'2_IMPORTAR_EJECUCION'!$J$9:$J$1208,0)),0))</f>
        <v/>
      </c>
      <c r="AM1060" s="32">
        <f>IF($A1060="","",MAX(0,IFERROR(INDEX('2_IMPORTAR_EJECUCION'!$H$9:$H$1208,MATCH($AU1060,'2_IMPORTAR_EJECUCION'!$J$9:$J$1208,0)),0)-$AL1060))</f>
        <v/>
      </c>
      <c r="AN1060" s="32">
        <f>IF($A1060="","",$AL1060+$AM1060)</f>
        <v/>
      </c>
      <c r="AO1060" s="24">
        <f>IF($A1060="","",IF(OR((IFERROR(INDEX('CAT_ACTIVIDADES'!$D$4:$D$26,MATCH($H1060,'CAT_ACTIVIDADES'!$A$4:$A$26,0)),""))=0,(IFERROR(INDEX('CAT_ACTIVIDADES'!$D$4:$D$26,MATCH($H1060,'CAT_ACTIVIDADES'!$A$4:$A$26,0)),""))=""),"SIN CLASIFICAR",IFERROR(INDEX('CAT_ACTIVIDADES'!$D$4:$D$26,MATCH($H1060,'CAT_ACTIVIDADES'!$A$4:$A$26,0)),"")))</f>
        <v/>
      </c>
      <c r="AP1060" s="4" t="n"/>
      <c r="AQ1060" s="4" t="n"/>
      <c r="AR1060" s="4" t="n"/>
      <c r="AS1060" s="24">
        <f>IF($AR1060="","",HYPERLINK(p_ruta_base_checklists&amp;$AR1060,"abrir"))</f>
        <v/>
      </c>
      <c r="AT1060" s="4" t="n"/>
      <c r="AU1060" s="24">
        <f>IF($A1060="","",$A1060&amp;IF($B1060="","0010",$B1060))</f>
        <v/>
      </c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41" t="n"/>
      <c r="K1061" s="5" t="n"/>
      <c r="L1061" s="18" t="n"/>
      <c r="M1061" s="24">
        <f>IF($A1061="","",IFERROR(INDEX('AJUSTES'!$B$4:$B$303,MATCH($AU1061,'AJUSTES'!$A$4:$A$303,0)),IF($K1061="","",$K1061)))</f>
        <v/>
      </c>
      <c r="N1061" s="24">
        <f>IF($A1061="","",IFERROR(INDEX('CAT_ESTADOS_ERP'!$B$4:$B$22,MATCH(IFERROR(INDEX('2_IMPORTAR_EJECUCION'!$C$9:$C$1208,MATCH($AU1061,'2_IMPORTAR_EJECUCION'!$J$9:$J$1208,0)),""),'CAT_ESTADOS_ERP'!$A$4:$A$22,0)),"Pendiente"))</f>
        <v/>
      </c>
      <c r="O1061" s="24">
        <f>IF($J1061="","",YEAR($J1061+4-WEEKDAY($J1061,2))&amp;"-S"&amp;TEXT(_xlfn.ISOWEEKNUM($J1061),"00"))</f>
        <v/>
      </c>
      <c r="P1061" s="24">
        <f>IF($J1061="","",YEAR($J1061))</f>
        <v/>
      </c>
      <c r="Q1061" s="24">
        <f>IF($J1061="","",MONTH($J1061))</f>
        <v/>
      </c>
      <c r="R1061" s="24">
        <f>IF($J1061="","",$P1061&amp;"-"&amp;TEXT($Q1061,"00"))</f>
        <v/>
      </c>
      <c r="S1061" s="24">
        <f>IF($J1061="","",INDEX(lista_dias,WEEKDAY($J1061,2)))</f>
        <v/>
      </c>
      <c r="T1061" s="24">
        <f>IF($J1061="","",IFERROR(INDEX('CALENDARIO'!$C$15:$C$214,MATCH(TEXT($J1061,"yyyy-mm-dd")&amp;"|"&amp;$Y1061&amp;"|"&amp;$Z1061,'CALENDARIO'!$G$15:$G$214,0)),IFERROR(INDEX('CALENDARIO'!$C$15:$C$214,MATCH(TEXT($J1061,"yyyy-mm-dd")&amp;"|"&amp;$Y1061&amp;"|",'CALENDARIO'!$G$15:$G$214,0)),IFERROR(INDEX('CALENDARIO'!$C$15:$C$214,MATCH(TEXT($J1061,"yyyy-mm-dd")&amp;"||",'CALENDARIO'!$G$15:$G$214,0)),INDEX(patronHabil,WEEKDAY($J1061,2))))))</f>
        <v/>
      </c>
      <c r="U1061" s="24">
        <f>IF($I1061="","",IFERROR(INDEX('CAT_TIPOS_OT'!$C$4:$C$23,MATCH($I1061,'CAT_TIPOS_OT'!$A$4:$A$23,0)),"sin_clasificar"))</f>
        <v/>
      </c>
      <c r="V1061" s="24">
        <f>IF($I1061="","",IF(IFERROR(INDEX('CAT_TIPOS_OT'!$D$4:$D$23,MATCH($I1061,'CAT_TIPOS_OT'!$A$4:$A$23,0)),"SIN CLASIFICAR")="","SIN CLASIFICAR",IFERROR(INDEX('CAT_TIPOS_OT'!$D$4:$D$23,MATCH($I1061,'CAT_TIPOS_OT'!$A$4:$A$23,0)),"SIN CLASIFICAR")))</f>
        <v/>
      </c>
      <c r="W1061" s="24">
        <f>IF($H1061="","",IF(IFERROR(INDEX('CAT_ACTIVIDADES'!$F$4:$F$26,MATCH($H1061,'CAT_ACTIVIDADES'!$A$4:$A$26,0)),"")=0,"",IFERROR(INDEX('CAT_ACTIVIDADES'!$F$4:$F$26,MATCH($H1061,'CAT_ACTIVIDADES'!$A$4:$A$26,0)),"")))</f>
        <v/>
      </c>
      <c r="X1061" s="24">
        <f>IF($F1061="","",IFERROR(INDEX('CAT_CENTROS_COSTO'!$F$4:$F$28,MATCH($F1061,'CAT_CENTROS_COSTO'!$A$4:$A$28,0)),"(sin catálogo)"))</f>
        <v/>
      </c>
      <c r="Y1061" s="24">
        <f>IF($F1061="","",IFERROR(INDEX('CAT_CENTROS_COSTO'!$D$4:$D$28,MATCH($F1061,'CAT_CENTROS_COSTO'!$A$4:$A$28,0)),"(sin catálogo)"))</f>
        <v/>
      </c>
      <c r="Z1061" s="24">
        <f>IF($F1061="","",IF((IFERROR(INDEX('CAT_CENTROS_COSTO'!$E$4:$E$28,MATCH($F1061,'CAT_CENTROS_COSTO'!$A$4:$A$28,0)),""))&lt;&gt;"",IFERROR(INDEX('CAT_CENTROS_COSTO'!$E$4:$E$28,MATCH($F1061,'CAT_CENTROS_COSTO'!$A$4:$A$28,0)),""),$Y1061))</f>
        <v/>
      </c>
      <c r="AA1061" s="24">
        <f>IF($F1061="","",IFERROR(INDEX('CAT_CENTROS_COSTO'!$G$4:$G$28,MATCH($F1061,'CAT_CENTROS_COSTO'!$A$4:$A$28,0)),"(sin catálogo)"))</f>
        <v/>
      </c>
      <c r="AB1061" s="24">
        <f>IF($G1061="","",IFERROR(INDEX('CAT_PUESTOS'!$B$4:$B$23,MATCH($G1061,'CAT_PUESTOS'!$A$4:$A$23,0)),"(sin catálogo)"))</f>
        <v/>
      </c>
      <c r="AC1061" s="24">
        <f>IF($H1061="","",IFERROR(INDEX('CAT_ACTIVIDADES'!$B$4:$B$26,MATCH($H1061,'CAT_ACTIVIDADES'!$A$4:$A$26,0)),"(sin catálogo)"))</f>
        <v/>
      </c>
      <c r="AD1061" s="26">
        <f>IF($J1061="","",TODAY()-$J1061)</f>
        <v/>
      </c>
      <c r="AE1061" s="26">
        <f>IF($J1061="","",IF($J1061&lt;=TODAY(),COUNTIFS(cal_fechas,"&gt;="&amp;$J1061,cal_fechas,"&lt;"&amp;TODAY(),cal_habil,"sí"),-COUNTIFS(cal_fechas,"&gt;="&amp;TODAY(),cal_fechas,"&lt;"&amp;$J1061,cal_habil,"sí")))</f>
        <v/>
      </c>
      <c r="AF1061" s="24">
        <f>IF($AE1061="","",IF($AE1061&lt;0,"FUTURO",IF($AE1061&gt;p_dias_backlog_max,"BACKLOG","MES CORRIENTE")))</f>
        <v/>
      </c>
      <c r="AG1061" s="24">
        <f>IF($AE1061="",FALSE,AND($AE1061&gt;p_dias_backlog_min,$AE1061&lt;=p_dias_backlog_max))</f>
        <v/>
      </c>
      <c r="AH1061" s="4" t="n"/>
      <c r="AI1061" s="24">
        <f>IF($AH1061="","",IF((IFERROR(INDEX('ASIGNACIONES'!$J$4:$J$451,MATCH($O1061&amp;"|"&amp;$S1061&amp;"|"&amp;$AH1061,'ASIGNACIONES'!$N$4:$N$451,0)),""))=0,"",IFERROR(INDEX('ASIGNACIONES'!$J$4:$J$451,MATCH($O1061&amp;"|"&amp;$S1061&amp;"|"&amp;$AH1061,'ASIGNACIONES'!$N$4:$N$451,0)),"")))</f>
        <v/>
      </c>
      <c r="AJ1061" s="42">
        <f>IF($AH1061="","",SUMIFS('ORDENES'!$M$4:$M$1203,'ORDENES'!$AH$4:$AH$1203,$AH1061,'ORDENES'!$O$4:$O$1203,$O1061,'ORDENES'!$S$4:$S$1203,$S1061))</f>
        <v/>
      </c>
      <c r="AK1061" s="42">
        <f>IF($AJ1061="","",p_factor_productividad*IFERROR(INDEX('ASIGNACIONES'!$M$4:$M$451,MATCH($O1061&amp;"|"&amp;$S1061&amp;"|"&amp;$AH1061,'ASIGNACIONES'!$N$4:$N$451,0)),0)-$AJ1061)</f>
        <v/>
      </c>
      <c r="AL1061" s="32">
        <f>IF($A1061="","",IFERROR(INDEX('2_IMPORTAR_EJECUCION'!$F$9:$F$1208,MATCH($AU1061,'2_IMPORTAR_EJECUCION'!$J$9:$J$1208,0)),0))</f>
        <v/>
      </c>
      <c r="AM1061" s="32">
        <f>IF($A1061="","",MAX(0,IFERROR(INDEX('2_IMPORTAR_EJECUCION'!$H$9:$H$1208,MATCH($AU1061,'2_IMPORTAR_EJECUCION'!$J$9:$J$1208,0)),0)-$AL1061))</f>
        <v/>
      </c>
      <c r="AN1061" s="32">
        <f>IF($A1061="","",$AL1061+$AM1061)</f>
        <v/>
      </c>
      <c r="AO1061" s="24">
        <f>IF($A1061="","",IF(OR((IFERROR(INDEX('CAT_ACTIVIDADES'!$D$4:$D$26,MATCH($H1061,'CAT_ACTIVIDADES'!$A$4:$A$26,0)),""))=0,(IFERROR(INDEX('CAT_ACTIVIDADES'!$D$4:$D$26,MATCH($H1061,'CAT_ACTIVIDADES'!$A$4:$A$26,0)),""))=""),"SIN CLASIFICAR",IFERROR(INDEX('CAT_ACTIVIDADES'!$D$4:$D$26,MATCH($H1061,'CAT_ACTIVIDADES'!$A$4:$A$26,0)),"")))</f>
        <v/>
      </c>
      <c r="AP1061" s="4" t="n"/>
      <c r="AQ1061" s="4" t="n"/>
      <c r="AR1061" s="4" t="n"/>
      <c r="AS1061" s="24">
        <f>IF($AR1061="","",HYPERLINK(p_ruta_base_checklists&amp;$AR1061,"abrir"))</f>
        <v/>
      </c>
      <c r="AT1061" s="4" t="n"/>
      <c r="AU1061" s="24">
        <f>IF($A1061="","",$A1061&amp;IF($B1061="","0010",$B1061))</f>
        <v/>
      </c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41" t="n"/>
      <c r="K1062" s="5" t="n"/>
      <c r="L1062" s="18" t="n"/>
      <c r="M1062" s="24">
        <f>IF($A1062="","",IFERROR(INDEX('AJUSTES'!$B$4:$B$303,MATCH($AU1062,'AJUSTES'!$A$4:$A$303,0)),IF($K1062="","",$K1062)))</f>
        <v/>
      </c>
      <c r="N1062" s="24">
        <f>IF($A1062="","",IFERROR(INDEX('CAT_ESTADOS_ERP'!$B$4:$B$22,MATCH(IFERROR(INDEX('2_IMPORTAR_EJECUCION'!$C$9:$C$1208,MATCH($AU1062,'2_IMPORTAR_EJECUCION'!$J$9:$J$1208,0)),""),'CAT_ESTADOS_ERP'!$A$4:$A$22,0)),"Pendiente"))</f>
        <v/>
      </c>
      <c r="O1062" s="24">
        <f>IF($J1062="","",YEAR($J1062+4-WEEKDAY($J1062,2))&amp;"-S"&amp;TEXT(_xlfn.ISOWEEKNUM($J1062),"00"))</f>
        <v/>
      </c>
      <c r="P1062" s="24">
        <f>IF($J1062="","",YEAR($J1062))</f>
        <v/>
      </c>
      <c r="Q1062" s="24">
        <f>IF($J1062="","",MONTH($J1062))</f>
        <v/>
      </c>
      <c r="R1062" s="24">
        <f>IF($J1062="","",$P1062&amp;"-"&amp;TEXT($Q1062,"00"))</f>
        <v/>
      </c>
      <c r="S1062" s="24">
        <f>IF($J1062="","",INDEX(lista_dias,WEEKDAY($J1062,2)))</f>
        <v/>
      </c>
      <c r="T1062" s="24">
        <f>IF($J1062="","",IFERROR(INDEX('CALENDARIO'!$C$15:$C$214,MATCH(TEXT($J1062,"yyyy-mm-dd")&amp;"|"&amp;$Y1062&amp;"|"&amp;$Z1062,'CALENDARIO'!$G$15:$G$214,0)),IFERROR(INDEX('CALENDARIO'!$C$15:$C$214,MATCH(TEXT($J1062,"yyyy-mm-dd")&amp;"|"&amp;$Y1062&amp;"|",'CALENDARIO'!$G$15:$G$214,0)),IFERROR(INDEX('CALENDARIO'!$C$15:$C$214,MATCH(TEXT($J1062,"yyyy-mm-dd")&amp;"||",'CALENDARIO'!$G$15:$G$214,0)),INDEX(patronHabil,WEEKDAY($J1062,2))))))</f>
        <v/>
      </c>
      <c r="U1062" s="24">
        <f>IF($I1062="","",IFERROR(INDEX('CAT_TIPOS_OT'!$C$4:$C$23,MATCH($I1062,'CAT_TIPOS_OT'!$A$4:$A$23,0)),"sin_clasificar"))</f>
        <v/>
      </c>
      <c r="V1062" s="24">
        <f>IF($I1062="","",IF(IFERROR(INDEX('CAT_TIPOS_OT'!$D$4:$D$23,MATCH($I1062,'CAT_TIPOS_OT'!$A$4:$A$23,0)),"SIN CLASIFICAR")="","SIN CLASIFICAR",IFERROR(INDEX('CAT_TIPOS_OT'!$D$4:$D$23,MATCH($I1062,'CAT_TIPOS_OT'!$A$4:$A$23,0)),"SIN CLASIFICAR")))</f>
        <v/>
      </c>
      <c r="W1062" s="24">
        <f>IF($H1062="","",IF(IFERROR(INDEX('CAT_ACTIVIDADES'!$F$4:$F$26,MATCH($H1062,'CAT_ACTIVIDADES'!$A$4:$A$26,0)),"")=0,"",IFERROR(INDEX('CAT_ACTIVIDADES'!$F$4:$F$26,MATCH($H1062,'CAT_ACTIVIDADES'!$A$4:$A$26,0)),"")))</f>
        <v/>
      </c>
      <c r="X1062" s="24">
        <f>IF($F1062="","",IFERROR(INDEX('CAT_CENTROS_COSTO'!$F$4:$F$28,MATCH($F1062,'CAT_CENTROS_COSTO'!$A$4:$A$28,0)),"(sin catálogo)"))</f>
        <v/>
      </c>
      <c r="Y1062" s="24">
        <f>IF($F1062="","",IFERROR(INDEX('CAT_CENTROS_COSTO'!$D$4:$D$28,MATCH($F1062,'CAT_CENTROS_COSTO'!$A$4:$A$28,0)),"(sin catálogo)"))</f>
        <v/>
      </c>
      <c r="Z1062" s="24">
        <f>IF($F1062="","",IF((IFERROR(INDEX('CAT_CENTROS_COSTO'!$E$4:$E$28,MATCH($F1062,'CAT_CENTROS_COSTO'!$A$4:$A$28,0)),""))&lt;&gt;"",IFERROR(INDEX('CAT_CENTROS_COSTO'!$E$4:$E$28,MATCH($F1062,'CAT_CENTROS_COSTO'!$A$4:$A$28,0)),""),$Y1062))</f>
        <v/>
      </c>
      <c r="AA1062" s="24">
        <f>IF($F1062="","",IFERROR(INDEX('CAT_CENTROS_COSTO'!$G$4:$G$28,MATCH($F1062,'CAT_CENTROS_COSTO'!$A$4:$A$28,0)),"(sin catálogo)"))</f>
        <v/>
      </c>
      <c r="AB1062" s="24">
        <f>IF($G1062="","",IFERROR(INDEX('CAT_PUESTOS'!$B$4:$B$23,MATCH($G1062,'CAT_PUESTOS'!$A$4:$A$23,0)),"(sin catálogo)"))</f>
        <v/>
      </c>
      <c r="AC1062" s="24">
        <f>IF($H1062="","",IFERROR(INDEX('CAT_ACTIVIDADES'!$B$4:$B$26,MATCH($H1062,'CAT_ACTIVIDADES'!$A$4:$A$26,0)),"(sin catálogo)"))</f>
        <v/>
      </c>
      <c r="AD1062" s="26">
        <f>IF($J1062="","",TODAY()-$J1062)</f>
        <v/>
      </c>
      <c r="AE1062" s="26">
        <f>IF($J1062="","",IF($J1062&lt;=TODAY(),COUNTIFS(cal_fechas,"&gt;="&amp;$J1062,cal_fechas,"&lt;"&amp;TODAY(),cal_habil,"sí"),-COUNTIFS(cal_fechas,"&gt;="&amp;TODAY(),cal_fechas,"&lt;"&amp;$J1062,cal_habil,"sí")))</f>
        <v/>
      </c>
      <c r="AF1062" s="24">
        <f>IF($AE1062="","",IF($AE1062&lt;0,"FUTURO",IF($AE1062&gt;p_dias_backlog_max,"BACKLOG","MES CORRIENTE")))</f>
        <v/>
      </c>
      <c r="AG1062" s="24">
        <f>IF($AE1062="",FALSE,AND($AE1062&gt;p_dias_backlog_min,$AE1062&lt;=p_dias_backlog_max))</f>
        <v/>
      </c>
      <c r="AH1062" s="4" t="n"/>
      <c r="AI1062" s="24">
        <f>IF($AH1062="","",IF((IFERROR(INDEX('ASIGNACIONES'!$J$4:$J$451,MATCH($O1062&amp;"|"&amp;$S1062&amp;"|"&amp;$AH1062,'ASIGNACIONES'!$N$4:$N$451,0)),""))=0,"",IFERROR(INDEX('ASIGNACIONES'!$J$4:$J$451,MATCH($O1062&amp;"|"&amp;$S1062&amp;"|"&amp;$AH1062,'ASIGNACIONES'!$N$4:$N$451,0)),"")))</f>
        <v/>
      </c>
      <c r="AJ1062" s="42">
        <f>IF($AH1062="","",SUMIFS('ORDENES'!$M$4:$M$1203,'ORDENES'!$AH$4:$AH$1203,$AH1062,'ORDENES'!$O$4:$O$1203,$O1062,'ORDENES'!$S$4:$S$1203,$S1062))</f>
        <v/>
      </c>
      <c r="AK1062" s="42">
        <f>IF($AJ1062="","",p_factor_productividad*IFERROR(INDEX('ASIGNACIONES'!$M$4:$M$451,MATCH($O1062&amp;"|"&amp;$S1062&amp;"|"&amp;$AH1062,'ASIGNACIONES'!$N$4:$N$451,0)),0)-$AJ1062)</f>
        <v/>
      </c>
      <c r="AL1062" s="32">
        <f>IF($A1062="","",IFERROR(INDEX('2_IMPORTAR_EJECUCION'!$F$9:$F$1208,MATCH($AU1062,'2_IMPORTAR_EJECUCION'!$J$9:$J$1208,0)),0))</f>
        <v/>
      </c>
      <c r="AM1062" s="32">
        <f>IF($A1062="","",MAX(0,IFERROR(INDEX('2_IMPORTAR_EJECUCION'!$H$9:$H$1208,MATCH($AU1062,'2_IMPORTAR_EJECUCION'!$J$9:$J$1208,0)),0)-$AL1062))</f>
        <v/>
      </c>
      <c r="AN1062" s="32">
        <f>IF($A1062="","",$AL1062+$AM1062)</f>
        <v/>
      </c>
      <c r="AO1062" s="24">
        <f>IF($A1062="","",IF(OR((IFERROR(INDEX('CAT_ACTIVIDADES'!$D$4:$D$26,MATCH($H1062,'CAT_ACTIVIDADES'!$A$4:$A$26,0)),""))=0,(IFERROR(INDEX('CAT_ACTIVIDADES'!$D$4:$D$26,MATCH($H1062,'CAT_ACTIVIDADES'!$A$4:$A$26,0)),""))=""),"SIN CLASIFICAR",IFERROR(INDEX('CAT_ACTIVIDADES'!$D$4:$D$26,MATCH($H1062,'CAT_ACTIVIDADES'!$A$4:$A$26,0)),"")))</f>
        <v/>
      </c>
      <c r="AP1062" s="4" t="n"/>
      <c r="AQ1062" s="4" t="n"/>
      <c r="AR1062" s="4" t="n"/>
      <c r="AS1062" s="24">
        <f>IF($AR1062="","",HYPERLINK(p_ruta_base_checklists&amp;$AR1062,"abrir"))</f>
        <v/>
      </c>
      <c r="AT1062" s="4" t="n"/>
      <c r="AU1062" s="24">
        <f>IF($A1062="","",$A1062&amp;IF($B1062="","0010",$B1062))</f>
        <v/>
      </c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41" t="n"/>
      <c r="K1063" s="5" t="n"/>
      <c r="L1063" s="18" t="n"/>
      <c r="M1063" s="24">
        <f>IF($A1063="","",IFERROR(INDEX('AJUSTES'!$B$4:$B$303,MATCH($AU1063,'AJUSTES'!$A$4:$A$303,0)),IF($K1063="","",$K1063)))</f>
        <v/>
      </c>
      <c r="N1063" s="24">
        <f>IF($A1063="","",IFERROR(INDEX('CAT_ESTADOS_ERP'!$B$4:$B$22,MATCH(IFERROR(INDEX('2_IMPORTAR_EJECUCION'!$C$9:$C$1208,MATCH($AU1063,'2_IMPORTAR_EJECUCION'!$J$9:$J$1208,0)),""),'CAT_ESTADOS_ERP'!$A$4:$A$22,0)),"Pendiente"))</f>
        <v/>
      </c>
      <c r="O1063" s="24">
        <f>IF($J1063="","",YEAR($J1063+4-WEEKDAY($J1063,2))&amp;"-S"&amp;TEXT(_xlfn.ISOWEEKNUM($J1063),"00"))</f>
        <v/>
      </c>
      <c r="P1063" s="24">
        <f>IF($J1063="","",YEAR($J1063))</f>
        <v/>
      </c>
      <c r="Q1063" s="24">
        <f>IF($J1063="","",MONTH($J1063))</f>
        <v/>
      </c>
      <c r="R1063" s="24">
        <f>IF($J1063="","",$P1063&amp;"-"&amp;TEXT($Q1063,"00"))</f>
        <v/>
      </c>
      <c r="S1063" s="24">
        <f>IF($J1063="","",INDEX(lista_dias,WEEKDAY($J1063,2)))</f>
        <v/>
      </c>
      <c r="T1063" s="24">
        <f>IF($J1063="","",IFERROR(INDEX('CALENDARIO'!$C$15:$C$214,MATCH(TEXT($J1063,"yyyy-mm-dd")&amp;"|"&amp;$Y1063&amp;"|"&amp;$Z1063,'CALENDARIO'!$G$15:$G$214,0)),IFERROR(INDEX('CALENDARIO'!$C$15:$C$214,MATCH(TEXT($J1063,"yyyy-mm-dd")&amp;"|"&amp;$Y1063&amp;"|",'CALENDARIO'!$G$15:$G$214,0)),IFERROR(INDEX('CALENDARIO'!$C$15:$C$214,MATCH(TEXT($J1063,"yyyy-mm-dd")&amp;"||",'CALENDARIO'!$G$15:$G$214,0)),INDEX(patronHabil,WEEKDAY($J1063,2))))))</f>
        <v/>
      </c>
      <c r="U1063" s="24">
        <f>IF($I1063="","",IFERROR(INDEX('CAT_TIPOS_OT'!$C$4:$C$23,MATCH($I1063,'CAT_TIPOS_OT'!$A$4:$A$23,0)),"sin_clasificar"))</f>
        <v/>
      </c>
      <c r="V1063" s="24">
        <f>IF($I1063="","",IF(IFERROR(INDEX('CAT_TIPOS_OT'!$D$4:$D$23,MATCH($I1063,'CAT_TIPOS_OT'!$A$4:$A$23,0)),"SIN CLASIFICAR")="","SIN CLASIFICAR",IFERROR(INDEX('CAT_TIPOS_OT'!$D$4:$D$23,MATCH($I1063,'CAT_TIPOS_OT'!$A$4:$A$23,0)),"SIN CLASIFICAR")))</f>
        <v/>
      </c>
      <c r="W1063" s="24">
        <f>IF($H1063="","",IF(IFERROR(INDEX('CAT_ACTIVIDADES'!$F$4:$F$26,MATCH($H1063,'CAT_ACTIVIDADES'!$A$4:$A$26,0)),"")=0,"",IFERROR(INDEX('CAT_ACTIVIDADES'!$F$4:$F$26,MATCH($H1063,'CAT_ACTIVIDADES'!$A$4:$A$26,0)),"")))</f>
        <v/>
      </c>
      <c r="X1063" s="24">
        <f>IF($F1063="","",IFERROR(INDEX('CAT_CENTROS_COSTO'!$F$4:$F$28,MATCH($F1063,'CAT_CENTROS_COSTO'!$A$4:$A$28,0)),"(sin catálogo)"))</f>
        <v/>
      </c>
      <c r="Y1063" s="24">
        <f>IF($F1063="","",IFERROR(INDEX('CAT_CENTROS_COSTO'!$D$4:$D$28,MATCH($F1063,'CAT_CENTROS_COSTO'!$A$4:$A$28,0)),"(sin catálogo)"))</f>
        <v/>
      </c>
      <c r="Z1063" s="24">
        <f>IF($F1063="","",IF((IFERROR(INDEX('CAT_CENTROS_COSTO'!$E$4:$E$28,MATCH($F1063,'CAT_CENTROS_COSTO'!$A$4:$A$28,0)),""))&lt;&gt;"",IFERROR(INDEX('CAT_CENTROS_COSTO'!$E$4:$E$28,MATCH($F1063,'CAT_CENTROS_COSTO'!$A$4:$A$28,0)),""),$Y1063))</f>
        <v/>
      </c>
      <c r="AA1063" s="24">
        <f>IF($F1063="","",IFERROR(INDEX('CAT_CENTROS_COSTO'!$G$4:$G$28,MATCH($F1063,'CAT_CENTROS_COSTO'!$A$4:$A$28,0)),"(sin catálogo)"))</f>
        <v/>
      </c>
      <c r="AB1063" s="24">
        <f>IF($G1063="","",IFERROR(INDEX('CAT_PUESTOS'!$B$4:$B$23,MATCH($G1063,'CAT_PUESTOS'!$A$4:$A$23,0)),"(sin catálogo)"))</f>
        <v/>
      </c>
      <c r="AC1063" s="24">
        <f>IF($H1063="","",IFERROR(INDEX('CAT_ACTIVIDADES'!$B$4:$B$26,MATCH($H1063,'CAT_ACTIVIDADES'!$A$4:$A$26,0)),"(sin catálogo)"))</f>
        <v/>
      </c>
      <c r="AD1063" s="26">
        <f>IF($J1063="","",TODAY()-$J1063)</f>
        <v/>
      </c>
      <c r="AE1063" s="26">
        <f>IF($J1063="","",IF($J1063&lt;=TODAY(),COUNTIFS(cal_fechas,"&gt;="&amp;$J1063,cal_fechas,"&lt;"&amp;TODAY(),cal_habil,"sí"),-COUNTIFS(cal_fechas,"&gt;="&amp;TODAY(),cal_fechas,"&lt;"&amp;$J1063,cal_habil,"sí")))</f>
        <v/>
      </c>
      <c r="AF1063" s="24">
        <f>IF($AE1063="","",IF($AE1063&lt;0,"FUTURO",IF($AE1063&gt;p_dias_backlog_max,"BACKLOG","MES CORRIENTE")))</f>
        <v/>
      </c>
      <c r="AG1063" s="24">
        <f>IF($AE1063="",FALSE,AND($AE1063&gt;p_dias_backlog_min,$AE1063&lt;=p_dias_backlog_max))</f>
        <v/>
      </c>
      <c r="AH1063" s="4" t="n"/>
      <c r="AI1063" s="24">
        <f>IF($AH1063="","",IF((IFERROR(INDEX('ASIGNACIONES'!$J$4:$J$451,MATCH($O1063&amp;"|"&amp;$S1063&amp;"|"&amp;$AH1063,'ASIGNACIONES'!$N$4:$N$451,0)),""))=0,"",IFERROR(INDEX('ASIGNACIONES'!$J$4:$J$451,MATCH($O1063&amp;"|"&amp;$S1063&amp;"|"&amp;$AH1063,'ASIGNACIONES'!$N$4:$N$451,0)),"")))</f>
        <v/>
      </c>
      <c r="AJ1063" s="42">
        <f>IF($AH1063="","",SUMIFS('ORDENES'!$M$4:$M$1203,'ORDENES'!$AH$4:$AH$1203,$AH1063,'ORDENES'!$O$4:$O$1203,$O1063,'ORDENES'!$S$4:$S$1203,$S1063))</f>
        <v/>
      </c>
      <c r="AK1063" s="42">
        <f>IF($AJ1063="","",p_factor_productividad*IFERROR(INDEX('ASIGNACIONES'!$M$4:$M$451,MATCH($O1063&amp;"|"&amp;$S1063&amp;"|"&amp;$AH1063,'ASIGNACIONES'!$N$4:$N$451,0)),0)-$AJ1063)</f>
        <v/>
      </c>
      <c r="AL1063" s="32">
        <f>IF($A1063="","",IFERROR(INDEX('2_IMPORTAR_EJECUCION'!$F$9:$F$1208,MATCH($AU1063,'2_IMPORTAR_EJECUCION'!$J$9:$J$1208,0)),0))</f>
        <v/>
      </c>
      <c r="AM1063" s="32">
        <f>IF($A1063="","",MAX(0,IFERROR(INDEX('2_IMPORTAR_EJECUCION'!$H$9:$H$1208,MATCH($AU1063,'2_IMPORTAR_EJECUCION'!$J$9:$J$1208,0)),0)-$AL1063))</f>
        <v/>
      </c>
      <c r="AN1063" s="32">
        <f>IF($A1063="","",$AL1063+$AM1063)</f>
        <v/>
      </c>
      <c r="AO1063" s="24">
        <f>IF($A1063="","",IF(OR((IFERROR(INDEX('CAT_ACTIVIDADES'!$D$4:$D$26,MATCH($H1063,'CAT_ACTIVIDADES'!$A$4:$A$26,0)),""))=0,(IFERROR(INDEX('CAT_ACTIVIDADES'!$D$4:$D$26,MATCH($H1063,'CAT_ACTIVIDADES'!$A$4:$A$26,0)),""))=""),"SIN CLASIFICAR",IFERROR(INDEX('CAT_ACTIVIDADES'!$D$4:$D$26,MATCH($H1063,'CAT_ACTIVIDADES'!$A$4:$A$26,0)),"")))</f>
        <v/>
      </c>
      <c r="AP1063" s="4" t="n"/>
      <c r="AQ1063" s="4" t="n"/>
      <c r="AR1063" s="4" t="n"/>
      <c r="AS1063" s="24">
        <f>IF($AR1063="","",HYPERLINK(p_ruta_base_checklists&amp;$AR1063,"abrir"))</f>
        <v/>
      </c>
      <c r="AT1063" s="4" t="n"/>
      <c r="AU1063" s="24">
        <f>IF($A1063="","",$A1063&amp;IF($B1063="","0010",$B1063))</f>
        <v/>
      </c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41" t="n"/>
      <c r="K1064" s="5" t="n"/>
      <c r="L1064" s="18" t="n"/>
      <c r="M1064" s="24">
        <f>IF($A1064="","",IFERROR(INDEX('AJUSTES'!$B$4:$B$303,MATCH($AU1064,'AJUSTES'!$A$4:$A$303,0)),IF($K1064="","",$K1064)))</f>
        <v/>
      </c>
      <c r="N1064" s="24">
        <f>IF($A1064="","",IFERROR(INDEX('CAT_ESTADOS_ERP'!$B$4:$B$22,MATCH(IFERROR(INDEX('2_IMPORTAR_EJECUCION'!$C$9:$C$1208,MATCH($AU1064,'2_IMPORTAR_EJECUCION'!$J$9:$J$1208,0)),""),'CAT_ESTADOS_ERP'!$A$4:$A$22,0)),"Pendiente"))</f>
        <v/>
      </c>
      <c r="O1064" s="24">
        <f>IF($J1064="","",YEAR($J1064+4-WEEKDAY($J1064,2))&amp;"-S"&amp;TEXT(_xlfn.ISOWEEKNUM($J1064),"00"))</f>
        <v/>
      </c>
      <c r="P1064" s="24">
        <f>IF($J1064="","",YEAR($J1064))</f>
        <v/>
      </c>
      <c r="Q1064" s="24">
        <f>IF($J1064="","",MONTH($J1064))</f>
        <v/>
      </c>
      <c r="R1064" s="24">
        <f>IF($J1064="","",$P1064&amp;"-"&amp;TEXT($Q1064,"00"))</f>
        <v/>
      </c>
      <c r="S1064" s="24">
        <f>IF($J1064="","",INDEX(lista_dias,WEEKDAY($J1064,2)))</f>
        <v/>
      </c>
      <c r="T1064" s="24">
        <f>IF($J1064="","",IFERROR(INDEX('CALENDARIO'!$C$15:$C$214,MATCH(TEXT($J1064,"yyyy-mm-dd")&amp;"|"&amp;$Y1064&amp;"|"&amp;$Z1064,'CALENDARIO'!$G$15:$G$214,0)),IFERROR(INDEX('CALENDARIO'!$C$15:$C$214,MATCH(TEXT($J1064,"yyyy-mm-dd")&amp;"|"&amp;$Y1064&amp;"|",'CALENDARIO'!$G$15:$G$214,0)),IFERROR(INDEX('CALENDARIO'!$C$15:$C$214,MATCH(TEXT($J1064,"yyyy-mm-dd")&amp;"||",'CALENDARIO'!$G$15:$G$214,0)),INDEX(patronHabil,WEEKDAY($J1064,2))))))</f>
        <v/>
      </c>
      <c r="U1064" s="24">
        <f>IF($I1064="","",IFERROR(INDEX('CAT_TIPOS_OT'!$C$4:$C$23,MATCH($I1064,'CAT_TIPOS_OT'!$A$4:$A$23,0)),"sin_clasificar"))</f>
        <v/>
      </c>
      <c r="V1064" s="24">
        <f>IF($I1064="","",IF(IFERROR(INDEX('CAT_TIPOS_OT'!$D$4:$D$23,MATCH($I1064,'CAT_TIPOS_OT'!$A$4:$A$23,0)),"SIN CLASIFICAR")="","SIN CLASIFICAR",IFERROR(INDEX('CAT_TIPOS_OT'!$D$4:$D$23,MATCH($I1064,'CAT_TIPOS_OT'!$A$4:$A$23,0)),"SIN CLASIFICAR")))</f>
        <v/>
      </c>
      <c r="W1064" s="24">
        <f>IF($H1064="","",IF(IFERROR(INDEX('CAT_ACTIVIDADES'!$F$4:$F$26,MATCH($H1064,'CAT_ACTIVIDADES'!$A$4:$A$26,0)),"")=0,"",IFERROR(INDEX('CAT_ACTIVIDADES'!$F$4:$F$26,MATCH($H1064,'CAT_ACTIVIDADES'!$A$4:$A$26,0)),"")))</f>
        <v/>
      </c>
      <c r="X1064" s="24">
        <f>IF($F1064="","",IFERROR(INDEX('CAT_CENTROS_COSTO'!$F$4:$F$28,MATCH($F1064,'CAT_CENTROS_COSTO'!$A$4:$A$28,0)),"(sin catálogo)"))</f>
        <v/>
      </c>
      <c r="Y1064" s="24">
        <f>IF($F1064="","",IFERROR(INDEX('CAT_CENTROS_COSTO'!$D$4:$D$28,MATCH($F1064,'CAT_CENTROS_COSTO'!$A$4:$A$28,0)),"(sin catálogo)"))</f>
        <v/>
      </c>
      <c r="Z1064" s="24">
        <f>IF($F1064="","",IF((IFERROR(INDEX('CAT_CENTROS_COSTO'!$E$4:$E$28,MATCH($F1064,'CAT_CENTROS_COSTO'!$A$4:$A$28,0)),""))&lt;&gt;"",IFERROR(INDEX('CAT_CENTROS_COSTO'!$E$4:$E$28,MATCH($F1064,'CAT_CENTROS_COSTO'!$A$4:$A$28,0)),""),$Y1064))</f>
        <v/>
      </c>
      <c r="AA1064" s="24">
        <f>IF($F1064="","",IFERROR(INDEX('CAT_CENTROS_COSTO'!$G$4:$G$28,MATCH($F1064,'CAT_CENTROS_COSTO'!$A$4:$A$28,0)),"(sin catálogo)"))</f>
        <v/>
      </c>
      <c r="AB1064" s="24">
        <f>IF($G1064="","",IFERROR(INDEX('CAT_PUESTOS'!$B$4:$B$23,MATCH($G1064,'CAT_PUESTOS'!$A$4:$A$23,0)),"(sin catálogo)"))</f>
        <v/>
      </c>
      <c r="AC1064" s="24">
        <f>IF($H1064="","",IFERROR(INDEX('CAT_ACTIVIDADES'!$B$4:$B$26,MATCH($H1064,'CAT_ACTIVIDADES'!$A$4:$A$26,0)),"(sin catálogo)"))</f>
        <v/>
      </c>
      <c r="AD1064" s="26">
        <f>IF($J1064="","",TODAY()-$J1064)</f>
        <v/>
      </c>
      <c r="AE1064" s="26">
        <f>IF($J1064="","",IF($J1064&lt;=TODAY(),COUNTIFS(cal_fechas,"&gt;="&amp;$J1064,cal_fechas,"&lt;"&amp;TODAY(),cal_habil,"sí"),-COUNTIFS(cal_fechas,"&gt;="&amp;TODAY(),cal_fechas,"&lt;"&amp;$J1064,cal_habil,"sí")))</f>
        <v/>
      </c>
      <c r="AF1064" s="24">
        <f>IF($AE1064="","",IF($AE1064&lt;0,"FUTURO",IF($AE1064&gt;p_dias_backlog_max,"BACKLOG","MES CORRIENTE")))</f>
        <v/>
      </c>
      <c r="AG1064" s="24">
        <f>IF($AE1064="",FALSE,AND($AE1064&gt;p_dias_backlog_min,$AE1064&lt;=p_dias_backlog_max))</f>
        <v/>
      </c>
      <c r="AH1064" s="4" t="n"/>
      <c r="AI1064" s="24">
        <f>IF($AH1064="","",IF((IFERROR(INDEX('ASIGNACIONES'!$J$4:$J$451,MATCH($O1064&amp;"|"&amp;$S1064&amp;"|"&amp;$AH1064,'ASIGNACIONES'!$N$4:$N$451,0)),""))=0,"",IFERROR(INDEX('ASIGNACIONES'!$J$4:$J$451,MATCH($O1064&amp;"|"&amp;$S1064&amp;"|"&amp;$AH1064,'ASIGNACIONES'!$N$4:$N$451,0)),"")))</f>
        <v/>
      </c>
      <c r="AJ1064" s="42">
        <f>IF($AH1064="","",SUMIFS('ORDENES'!$M$4:$M$1203,'ORDENES'!$AH$4:$AH$1203,$AH1064,'ORDENES'!$O$4:$O$1203,$O1064,'ORDENES'!$S$4:$S$1203,$S1064))</f>
        <v/>
      </c>
      <c r="AK1064" s="42">
        <f>IF($AJ1064="","",p_factor_productividad*IFERROR(INDEX('ASIGNACIONES'!$M$4:$M$451,MATCH($O1064&amp;"|"&amp;$S1064&amp;"|"&amp;$AH1064,'ASIGNACIONES'!$N$4:$N$451,0)),0)-$AJ1064)</f>
        <v/>
      </c>
      <c r="AL1064" s="32">
        <f>IF($A1064="","",IFERROR(INDEX('2_IMPORTAR_EJECUCION'!$F$9:$F$1208,MATCH($AU1064,'2_IMPORTAR_EJECUCION'!$J$9:$J$1208,0)),0))</f>
        <v/>
      </c>
      <c r="AM1064" s="32">
        <f>IF($A1064="","",MAX(0,IFERROR(INDEX('2_IMPORTAR_EJECUCION'!$H$9:$H$1208,MATCH($AU1064,'2_IMPORTAR_EJECUCION'!$J$9:$J$1208,0)),0)-$AL1064))</f>
        <v/>
      </c>
      <c r="AN1064" s="32">
        <f>IF($A1064="","",$AL1064+$AM1064)</f>
        <v/>
      </c>
      <c r="AO1064" s="24">
        <f>IF($A1064="","",IF(OR((IFERROR(INDEX('CAT_ACTIVIDADES'!$D$4:$D$26,MATCH($H1064,'CAT_ACTIVIDADES'!$A$4:$A$26,0)),""))=0,(IFERROR(INDEX('CAT_ACTIVIDADES'!$D$4:$D$26,MATCH($H1064,'CAT_ACTIVIDADES'!$A$4:$A$26,0)),""))=""),"SIN CLASIFICAR",IFERROR(INDEX('CAT_ACTIVIDADES'!$D$4:$D$26,MATCH($H1064,'CAT_ACTIVIDADES'!$A$4:$A$26,0)),"")))</f>
        <v/>
      </c>
      <c r="AP1064" s="4" t="n"/>
      <c r="AQ1064" s="4" t="n"/>
      <c r="AR1064" s="4" t="n"/>
      <c r="AS1064" s="24">
        <f>IF($AR1064="","",HYPERLINK(p_ruta_base_checklists&amp;$AR1064,"abrir"))</f>
        <v/>
      </c>
      <c r="AT1064" s="4" t="n"/>
      <c r="AU1064" s="24">
        <f>IF($A1064="","",$A1064&amp;IF($B1064="","0010",$B1064))</f>
        <v/>
      </c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41" t="n"/>
      <c r="K1065" s="5" t="n"/>
      <c r="L1065" s="18" t="n"/>
      <c r="M1065" s="24">
        <f>IF($A1065="","",IFERROR(INDEX('AJUSTES'!$B$4:$B$303,MATCH($AU1065,'AJUSTES'!$A$4:$A$303,0)),IF($K1065="","",$K1065)))</f>
        <v/>
      </c>
      <c r="N1065" s="24">
        <f>IF($A1065="","",IFERROR(INDEX('CAT_ESTADOS_ERP'!$B$4:$B$22,MATCH(IFERROR(INDEX('2_IMPORTAR_EJECUCION'!$C$9:$C$1208,MATCH($AU1065,'2_IMPORTAR_EJECUCION'!$J$9:$J$1208,0)),""),'CAT_ESTADOS_ERP'!$A$4:$A$22,0)),"Pendiente"))</f>
        <v/>
      </c>
      <c r="O1065" s="24">
        <f>IF($J1065="","",YEAR($J1065+4-WEEKDAY($J1065,2))&amp;"-S"&amp;TEXT(_xlfn.ISOWEEKNUM($J1065),"00"))</f>
        <v/>
      </c>
      <c r="P1065" s="24">
        <f>IF($J1065="","",YEAR($J1065))</f>
        <v/>
      </c>
      <c r="Q1065" s="24">
        <f>IF($J1065="","",MONTH($J1065))</f>
        <v/>
      </c>
      <c r="R1065" s="24">
        <f>IF($J1065="","",$P1065&amp;"-"&amp;TEXT($Q1065,"00"))</f>
        <v/>
      </c>
      <c r="S1065" s="24">
        <f>IF($J1065="","",INDEX(lista_dias,WEEKDAY($J1065,2)))</f>
        <v/>
      </c>
      <c r="T1065" s="24">
        <f>IF($J1065="","",IFERROR(INDEX('CALENDARIO'!$C$15:$C$214,MATCH(TEXT($J1065,"yyyy-mm-dd")&amp;"|"&amp;$Y1065&amp;"|"&amp;$Z1065,'CALENDARIO'!$G$15:$G$214,0)),IFERROR(INDEX('CALENDARIO'!$C$15:$C$214,MATCH(TEXT($J1065,"yyyy-mm-dd")&amp;"|"&amp;$Y1065&amp;"|",'CALENDARIO'!$G$15:$G$214,0)),IFERROR(INDEX('CALENDARIO'!$C$15:$C$214,MATCH(TEXT($J1065,"yyyy-mm-dd")&amp;"||",'CALENDARIO'!$G$15:$G$214,0)),INDEX(patronHabil,WEEKDAY($J1065,2))))))</f>
        <v/>
      </c>
      <c r="U1065" s="24">
        <f>IF($I1065="","",IFERROR(INDEX('CAT_TIPOS_OT'!$C$4:$C$23,MATCH($I1065,'CAT_TIPOS_OT'!$A$4:$A$23,0)),"sin_clasificar"))</f>
        <v/>
      </c>
      <c r="V1065" s="24">
        <f>IF($I1065="","",IF(IFERROR(INDEX('CAT_TIPOS_OT'!$D$4:$D$23,MATCH($I1065,'CAT_TIPOS_OT'!$A$4:$A$23,0)),"SIN CLASIFICAR")="","SIN CLASIFICAR",IFERROR(INDEX('CAT_TIPOS_OT'!$D$4:$D$23,MATCH($I1065,'CAT_TIPOS_OT'!$A$4:$A$23,0)),"SIN CLASIFICAR")))</f>
        <v/>
      </c>
      <c r="W1065" s="24">
        <f>IF($H1065="","",IF(IFERROR(INDEX('CAT_ACTIVIDADES'!$F$4:$F$26,MATCH($H1065,'CAT_ACTIVIDADES'!$A$4:$A$26,0)),"")=0,"",IFERROR(INDEX('CAT_ACTIVIDADES'!$F$4:$F$26,MATCH($H1065,'CAT_ACTIVIDADES'!$A$4:$A$26,0)),"")))</f>
        <v/>
      </c>
      <c r="X1065" s="24">
        <f>IF($F1065="","",IFERROR(INDEX('CAT_CENTROS_COSTO'!$F$4:$F$28,MATCH($F1065,'CAT_CENTROS_COSTO'!$A$4:$A$28,0)),"(sin catálogo)"))</f>
        <v/>
      </c>
      <c r="Y1065" s="24">
        <f>IF($F1065="","",IFERROR(INDEX('CAT_CENTROS_COSTO'!$D$4:$D$28,MATCH($F1065,'CAT_CENTROS_COSTO'!$A$4:$A$28,0)),"(sin catálogo)"))</f>
        <v/>
      </c>
      <c r="Z1065" s="24">
        <f>IF($F1065="","",IF((IFERROR(INDEX('CAT_CENTROS_COSTO'!$E$4:$E$28,MATCH($F1065,'CAT_CENTROS_COSTO'!$A$4:$A$28,0)),""))&lt;&gt;"",IFERROR(INDEX('CAT_CENTROS_COSTO'!$E$4:$E$28,MATCH($F1065,'CAT_CENTROS_COSTO'!$A$4:$A$28,0)),""),$Y1065))</f>
        <v/>
      </c>
      <c r="AA1065" s="24">
        <f>IF($F1065="","",IFERROR(INDEX('CAT_CENTROS_COSTO'!$G$4:$G$28,MATCH($F1065,'CAT_CENTROS_COSTO'!$A$4:$A$28,0)),"(sin catálogo)"))</f>
        <v/>
      </c>
      <c r="AB1065" s="24">
        <f>IF($G1065="","",IFERROR(INDEX('CAT_PUESTOS'!$B$4:$B$23,MATCH($G1065,'CAT_PUESTOS'!$A$4:$A$23,0)),"(sin catálogo)"))</f>
        <v/>
      </c>
      <c r="AC1065" s="24">
        <f>IF($H1065="","",IFERROR(INDEX('CAT_ACTIVIDADES'!$B$4:$B$26,MATCH($H1065,'CAT_ACTIVIDADES'!$A$4:$A$26,0)),"(sin catálogo)"))</f>
        <v/>
      </c>
      <c r="AD1065" s="26">
        <f>IF($J1065="","",TODAY()-$J1065)</f>
        <v/>
      </c>
      <c r="AE1065" s="26">
        <f>IF($J1065="","",IF($J1065&lt;=TODAY(),COUNTIFS(cal_fechas,"&gt;="&amp;$J1065,cal_fechas,"&lt;"&amp;TODAY(),cal_habil,"sí"),-COUNTIFS(cal_fechas,"&gt;="&amp;TODAY(),cal_fechas,"&lt;"&amp;$J1065,cal_habil,"sí")))</f>
        <v/>
      </c>
      <c r="AF1065" s="24">
        <f>IF($AE1065="","",IF($AE1065&lt;0,"FUTURO",IF($AE1065&gt;p_dias_backlog_max,"BACKLOG","MES CORRIENTE")))</f>
        <v/>
      </c>
      <c r="AG1065" s="24">
        <f>IF($AE1065="",FALSE,AND($AE1065&gt;p_dias_backlog_min,$AE1065&lt;=p_dias_backlog_max))</f>
        <v/>
      </c>
      <c r="AH1065" s="4" t="n"/>
      <c r="AI1065" s="24">
        <f>IF($AH1065="","",IF((IFERROR(INDEX('ASIGNACIONES'!$J$4:$J$451,MATCH($O1065&amp;"|"&amp;$S1065&amp;"|"&amp;$AH1065,'ASIGNACIONES'!$N$4:$N$451,0)),""))=0,"",IFERROR(INDEX('ASIGNACIONES'!$J$4:$J$451,MATCH($O1065&amp;"|"&amp;$S1065&amp;"|"&amp;$AH1065,'ASIGNACIONES'!$N$4:$N$451,0)),"")))</f>
        <v/>
      </c>
      <c r="AJ1065" s="42">
        <f>IF($AH1065="","",SUMIFS('ORDENES'!$M$4:$M$1203,'ORDENES'!$AH$4:$AH$1203,$AH1065,'ORDENES'!$O$4:$O$1203,$O1065,'ORDENES'!$S$4:$S$1203,$S1065))</f>
        <v/>
      </c>
      <c r="AK1065" s="42">
        <f>IF($AJ1065="","",p_factor_productividad*IFERROR(INDEX('ASIGNACIONES'!$M$4:$M$451,MATCH($O1065&amp;"|"&amp;$S1065&amp;"|"&amp;$AH1065,'ASIGNACIONES'!$N$4:$N$451,0)),0)-$AJ1065)</f>
        <v/>
      </c>
      <c r="AL1065" s="32">
        <f>IF($A1065="","",IFERROR(INDEX('2_IMPORTAR_EJECUCION'!$F$9:$F$1208,MATCH($AU1065,'2_IMPORTAR_EJECUCION'!$J$9:$J$1208,0)),0))</f>
        <v/>
      </c>
      <c r="AM1065" s="32">
        <f>IF($A1065="","",MAX(0,IFERROR(INDEX('2_IMPORTAR_EJECUCION'!$H$9:$H$1208,MATCH($AU1065,'2_IMPORTAR_EJECUCION'!$J$9:$J$1208,0)),0)-$AL1065))</f>
        <v/>
      </c>
      <c r="AN1065" s="32">
        <f>IF($A1065="","",$AL1065+$AM1065)</f>
        <v/>
      </c>
      <c r="AO1065" s="24">
        <f>IF($A1065="","",IF(OR((IFERROR(INDEX('CAT_ACTIVIDADES'!$D$4:$D$26,MATCH($H1065,'CAT_ACTIVIDADES'!$A$4:$A$26,0)),""))=0,(IFERROR(INDEX('CAT_ACTIVIDADES'!$D$4:$D$26,MATCH($H1065,'CAT_ACTIVIDADES'!$A$4:$A$26,0)),""))=""),"SIN CLASIFICAR",IFERROR(INDEX('CAT_ACTIVIDADES'!$D$4:$D$26,MATCH($H1065,'CAT_ACTIVIDADES'!$A$4:$A$26,0)),"")))</f>
        <v/>
      </c>
      <c r="AP1065" s="4" t="n"/>
      <c r="AQ1065" s="4" t="n"/>
      <c r="AR1065" s="4" t="n"/>
      <c r="AS1065" s="24">
        <f>IF($AR1065="","",HYPERLINK(p_ruta_base_checklists&amp;$AR1065,"abrir"))</f>
        <v/>
      </c>
      <c r="AT1065" s="4" t="n"/>
      <c r="AU1065" s="24">
        <f>IF($A1065="","",$A1065&amp;IF($B1065="","0010",$B1065))</f>
        <v/>
      </c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41" t="n"/>
      <c r="K1066" s="5" t="n"/>
      <c r="L1066" s="18" t="n"/>
      <c r="M1066" s="24">
        <f>IF($A1066="","",IFERROR(INDEX('AJUSTES'!$B$4:$B$303,MATCH($AU1066,'AJUSTES'!$A$4:$A$303,0)),IF($K1066="","",$K1066)))</f>
        <v/>
      </c>
      <c r="N1066" s="24">
        <f>IF($A1066="","",IFERROR(INDEX('CAT_ESTADOS_ERP'!$B$4:$B$22,MATCH(IFERROR(INDEX('2_IMPORTAR_EJECUCION'!$C$9:$C$1208,MATCH($AU1066,'2_IMPORTAR_EJECUCION'!$J$9:$J$1208,0)),""),'CAT_ESTADOS_ERP'!$A$4:$A$22,0)),"Pendiente"))</f>
        <v/>
      </c>
      <c r="O1066" s="24">
        <f>IF($J1066="","",YEAR($J1066+4-WEEKDAY($J1066,2))&amp;"-S"&amp;TEXT(_xlfn.ISOWEEKNUM($J1066),"00"))</f>
        <v/>
      </c>
      <c r="P1066" s="24">
        <f>IF($J1066="","",YEAR($J1066))</f>
        <v/>
      </c>
      <c r="Q1066" s="24">
        <f>IF($J1066="","",MONTH($J1066))</f>
        <v/>
      </c>
      <c r="R1066" s="24">
        <f>IF($J1066="","",$P1066&amp;"-"&amp;TEXT($Q1066,"00"))</f>
        <v/>
      </c>
      <c r="S1066" s="24">
        <f>IF($J1066="","",INDEX(lista_dias,WEEKDAY($J1066,2)))</f>
        <v/>
      </c>
      <c r="T1066" s="24">
        <f>IF($J1066="","",IFERROR(INDEX('CALENDARIO'!$C$15:$C$214,MATCH(TEXT($J1066,"yyyy-mm-dd")&amp;"|"&amp;$Y1066&amp;"|"&amp;$Z1066,'CALENDARIO'!$G$15:$G$214,0)),IFERROR(INDEX('CALENDARIO'!$C$15:$C$214,MATCH(TEXT($J1066,"yyyy-mm-dd")&amp;"|"&amp;$Y1066&amp;"|",'CALENDARIO'!$G$15:$G$214,0)),IFERROR(INDEX('CALENDARIO'!$C$15:$C$214,MATCH(TEXT($J1066,"yyyy-mm-dd")&amp;"||",'CALENDARIO'!$G$15:$G$214,0)),INDEX(patronHabil,WEEKDAY($J1066,2))))))</f>
        <v/>
      </c>
      <c r="U1066" s="24">
        <f>IF($I1066="","",IFERROR(INDEX('CAT_TIPOS_OT'!$C$4:$C$23,MATCH($I1066,'CAT_TIPOS_OT'!$A$4:$A$23,0)),"sin_clasificar"))</f>
        <v/>
      </c>
      <c r="V1066" s="24">
        <f>IF($I1066="","",IF(IFERROR(INDEX('CAT_TIPOS_OT'!$D$4:$D$23,MATCH($I1066,'CAT_TIPOS_OT'!$A$4:$A$23,0)),"SIN CLASIFICAR")="","SIN CLASIFICAR",IFERROR(INDEX('CAT_TIPOS_OT'!$D$4:$D$23,MATCH($I1066,'CAT_TIPOS_OT'!$A$4:$A$23,0)),"SIN CLASIFICAR")))</f>
        <v/>
      </c>
      <c r="W1066" s="24">
        <f>IF($H1066="","",IF(IFERROR(INDEX('CAT_ACTIVIDADES'!$F$4:$F$26,MATCH($H1066,'CAT_ACTIVIDADES'!$A$4:$A$26,0)),"")=0,"",IFERROR(INDEX('CAT_ACTIVIDADES'!$F$4:$F$26,MATCH($H1066,'CAT_ACTIVIDADES'!$A$4:$A$26,0)),"")))</f>
        <v/>
      </c>
      <c r="X1066" s="24">
        <f>IF($F1066="","",IFERROR(INDEX('CAT_CENTROS_COSTO'!$F$4:$F$28,MATCH($F1066,'CAT_CENTROS_COSTO'!$A$4:$A$28,0)),"(sin catálogo)"))</f>
        <v/>
      </c>
      <c r="Y1066" s="24">
        <f>IF($F1066="","",IFERROR(INDEX('CAT_CENTROS_COSTO'!$D$4:$D$28,MATCH($F1066,'CAT_CENTROS_COSTO'!$A$4:$A$28,0)),"(sin catálogo)"))</f>
        <v/>
      </c>
      <c r="Z1066" s="24">
        <f>IF($F1066="","",IF((IFERROR(INDEX('CAT_CENTROS_COSTO'!$E$4:$E$28,MATCH($F1066,'CAT_CENTROS_COSTO'!$A$4:$A$28,0)),""))&lt;&gt;"",IFERROR(INDEX('CAT_CENTROS_COSTO'!$E$4:$E$28,MATCH($F1066,'CAT_CENTROS_COSTO'!$A$4:$A$28,0)),""),$Y1066))</f>
        <v/>
      </c>
      <c r="AA1066" s="24">
        <f>IF($F1066="","",IFERROR(INDEX('CAT_CENTROS_COSTO'!$G$4:$G$28,MATCH($F1066,'CAT_CENTROS_COSTO'!$A$4:$A$28,0)),"(sin catálogo)"))</f>
        <v/>
      </c>
      <c r="AB1066" s="24">
        <f>IF($G1066="","",IFERROR(INDEX('CAT_PUESTOS'!$B$4:$B$23,MATCH($G1066,'CAT_PUESTOS'!$A$4:$A$23,0)),"(sin catálogo)"))</f>
        <v/>
      </c>
      <c r="AC1066" s="24">
        <f>IF($H1066="","",IFERROR(INDEX('CAT_ACTIVIDADES'!$B$4:$B$26,MATCH($H1066,'CAT_ACTIVIDADES'!$A$4:$A$26,0)),"(sin catálogo)"))</f>
        <v/>
      </c>
      <c r="AD1066" s="26">
        <f>IF($J1066="","",TODAY()-$J1066)</f>
        <v/>
      </c>
      <c r="AE1066" s="26">
        <f>IF($J1066="","",IF($J1066&lt;=TODAY(),COUNTIFS(cal_fechas,"&gt;="&amp;$J1066,cal_fechas,"&lt;"&amp;TODAY(),cal_habil,"sí"),-COUNTIFS(cal_fechas,"&gt;="&amp;TODAY(),cal_fechas,"&lt;"&amp;$J1066,cal_habil,"sí")))</f>
        <v/>
      </c>
      <c r="AF1066" s="24">
        <f>IF($AE1066="","",IF($AE1066&lt;0,"FUTURO",IF($AE1066&gt;p_dias_backlog_max,"BACKLOG","MES CORRIENTE")))</f>
        <v/>
      </c>
      <c r="AG1066" s="24">
        <f>IF($AE1066="",FALSE,AND($AE1066&gt;p_dias_backlog_min,$AE1066&lt;=p_dias_backlog_max))</f>
        <v/>
      </c>
      <c r="AH1066" s="4" t="n"/>
      <c r="AI1066" s="24">
        <f>IF($AH1066="","",IF((IFERROR(INDEX('ASIGNACIONES'!$J$4:$J$451,MATCH($O1066&amp;"|"&amp;$S1066&amp;"|"&amp;$AH1066,'ASIGNACIONES'!$N$4:$N$451,0)),""))=0,"",IFERROR(INDEX('ASIGNACIONES'!$J$4:$J$451,MATCH($O1066&amp;"|"&amp;$S1066&amp;"|"&amp;$AH1066,'ASIGNACIONES'!$N$4:$N$451,0)),"")))</f>
        <v/>
      </c>
      <c r="AJ1066" s="42">
        <f>IF($AH1066="","",SUMIFS('ORDENES'!$M$4:$M$1203,'ORDENES'!$AH$4:$AH$1203,$AH1066,'ORDENES'!$O$4:$O$1203,$O1066,'ORDENES'!$S$4:$S$1203,$S1066))</f>
        <v/>
      </c>
      <c r="AK1066" s="42">
        <f>IF($AJ1066="","",p_factor_productividad*IFERROR(INDEX('ASIGNACIONES'!$M$4:$M$451,MATCH($O1066&amp;"|"&amp;$S1066&amp;"|"&amp;$AH1066,'ASIGNACIONES'!$N$4:$N$451,0)),0)-$AJ1066)</f>
        <v/>
      </c>
      <c r="AL1066" s="32">
        <f>IF($A1066="","",IFERROR(INDEX('2_IMPORTAR_EJECUCION'!$F$9:$F$1208,MATCH($AU1066,'2_IMPORTAR_EJECUCION'!$J$9:$J$1208,0)),0))</f>
        <v/>
      </c>
      <c r="AM1066" s="32">
        <f>IF($A1066="","",MAX(0,IFERROR(INDEX('2_IMPORTAR_EJECUCION'!$H$9:$H$1208,MATCH($AU1066,'2_IMPORTAR_EJECUCION'!$J$9:$J$1208,0)),0)-$AL1066))</f>
        <v/>
      </c>
      <c r="AN1066" s="32">
        <f>IF($A1066="","",$AL1066+$AM1066)</f>
        <v/>
      </c>
      <c r="AO1066" s="24">
        <f>IF($A1066="","",IF(OR((IFERROR(INDEX('CAT_ACTIVIDADES'!$D$4:$D$26,MATCH($H1066,'CAT_ACTIVIDADES'!$A$4:$A$26,0)),""))=0,(IFERROR(INDEX('CAT_ACTIVIDADES'!$D$4:$D$26,MATCH($H1066,'CAT_ACTIVIDADES'!$A$4:$A$26,0)),""))=""),"SIN CLASIFICAR",IFERROR(INDEX('CAT_ACTIVIDADES'!$D$4:$D$26,MATCH($H1066,'CAT_ACTIVIDADES'!$A$4:$A$26,0)),"")))</f>
        <v/>
      </c>
      <c r="AP1066" s="4" t="n"/>
      <c r="AQ1066" s="4" t="n"/>
      <c r="AR1066" s="4" t="n"/>
      <c r="AS1066" s="24">
        <f>IF($AR1066="","",HYPERLINK(p_ruta_base_checklists&amp;$AR1066,"abrir"))</f>
        <v/>
      </c>
      <c r="AT1066" s="4" t="n"/>
      <c r="AU1066" s="24">
        <f>IF($A1066="","",$A1066&amp;IF($B1066="","0010",$B1066))</f>
        <v/>
      </c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41" t="n"/>
      <c r="K1067" s="5" t="n"/>
      <c r="L1067" s="18" t="n"/>
      <c r="M1067" s="24">
        <f>IF($A1067="","",IFERROR(INDEX('AJUSTES'!$B$4:$B$303,MATCH($AU1067,'AJUSTES'!$A$4:$A$303,0)),IF($K1067="","",$K1067)))</f>
        <v/>
      </c>
      <c r="N1067" s="24">
        <f>IF($A1067="","",IFERROR(INDEX('CAT_ESTADOS_ERP'!$B$4:$B$22,MATCH(IFERROR(INDEX('2_IMPORTAR_EJECUCION'!$C$9:$C$1208,MATCH($AU1067,'2_IMPORTAR_EJECUCION'!$J$9:$J$1208,0)),""),'CAT_ESTADOS_ERP'!$A$4:$A$22,0)),"Pendiente"))</f>
        <v/>
      </c>
      <c r="O1067" s="24">
        <f>IF($J1067="","",YEAR($J1067+4-WEEKDAY($J1067,2))&amp;"-S"&amp;TEXT(_xlfn.ISOWEEKNUM($J1067),"00"))</f>
        <v/>
      </c>
      <c r="P1067" s="24">
        <f>IF($J1067="","",YEAR($J1067))</f>
        <v/>
      </c>
      <c r="Q1067" s="24">
        <f>IF($J1067="","",MONTH($J1067))</f>
        <v/>
      </c>
      <c r="R1067" s="24">
        <f>IF($J1067="","",$P1067&amp;"-"&amp;TEXT($Q1067,"00"))</f>
        <v/>
      </c>
      <c r="S1067" s="24">
        <f>IF($J1067="","",INDEX(lista_dias,WEEKDAY($J1067,2)))</f>
        <v/>
      </c>
      <c r="T1067" s="24">
        <f>IF($J1067="","",IFERROR(INDEX('CALENDARIO'!$C$15:$C$214,MATCH(TEXT($J1067,"yyyy-mm-dd")&amp;"|"&amp;$Y1067&amp;"|"&amp;$Z1067,'CALENDARIO'!$G$15:$G$214,0)),IFERROR(INDEX('CALENDARIO'!$C$15:$C$214,MATCH(TEXT($J1067,"yyyy-mm-dd")&amp;"|"&amp;$Y1067&amp;"|",'CALENDARIO'!$G$15:$G$214,0)),IFERROR(INDEX('CALENDARIO'!$C$15:$C$214,MATCH(TEXT($J1067,"yyyy-mm-dd")&amp;"||",'CALENDARIO'!$G$15:$G$214,0)),INDEX(patronHabil,WEEKDAY($J1067,2))))))</f>
        <v/>
      </c>
      <c r="U1067" s="24">
        <f>IF($I1067="","",IFERROR(INDEX('CAT_TIPOS_OT'!$C$4:$C$23,MATCH($I1067,'CAT_TIPOS_OT'!$A$4:$A$23,0)),"sin_clasificar"))</f>
        <v/>
      </c>
      <c r="V1067" s="24">
        <f>IF($I1067="","",IF(IFERROR(INDEX('CAT_TIPOS_OT'!$D$4:$D$23,MATCH($I1067,'CAT_TIPOS_OT'!$A$4:$A$23,0)),"SIN CLASIFICAR")="","SIN CLASIFICAR",IFERROR(INDEX('CAT_TIPOS_OT'!$D$4:$D$23,MATCH($I1067,'CAT_TIPOS_OT'!$A$4:$A$23,0)),"SIN CLASIFICAR")))</f>
        <v/>
      </c>
      <c r="W1067" s="24">
        <f>IF($H1067="","",IF(IFERROR(INDEX('CAT_ACTIVIDADES'!$F$4:$F$26,MATCH($H1067,'CAT_ACTIVIDADES'!$A$4:$A$26,0)),"")=0,"",IFERROR(INDEX('CAT_ACTIVIDADES'!$F$4:$F$26,MATCH($H1067,'CAT_ACTIVIDADES'!$A$4:$A$26,0)),"")))</f>
        <v/>
      </c>
      <c r="X1067" s="24">
        <f>IF($F1067="","",IFERROR(INDEX('CAT_CENTROS_COSTO'!$F$4:$F$28,MATCH($F1067,'CAT_CENTROS_COSTO'!$A$4:$A$28,0)),"(sin catálogo)"))</f>
        <v/>
      </c>
      <c r="Y1067" s="24">
        <f>IF($F1067="","",IFERROR(INDEX('CAT_CENTROS_COSTO'!$D$4:$D$28,MATCH($F1067,'CAT_CENTROS_COSTO'!$A$4:$A$28,0)),"(sin catálogo)"))</f>
        <v/>
      </c>
      <c r="Z1067" s="24">
        <f>IF($F1067="","",IF((IFERROR(INDEX('CAT_CENTROS_COSTO'!$E$4:$E$28,MATCH($F1067,'CAT_CENTROS_COSTO'!$A$4:$A$28,0)),""))&lt;&gt;"",IFERROR(INDEX('CAT_CENTROS_COSTO'!$E$4:$E$28,MATCH($F1067,'CAT_CENTROS_COSTO'!$A$4:$A$28,0)),""),$Y1067))</f>
        <v/>
      </c>
      <c r="AA1067" s="24">
        <f>IF($F1067="","",IFERROR(INDEX('CAT_CENTROS_COSTO'!$G$4:$G$28,MATCH($F1067,'CAT_CENTROS_COSTO'!$A$4:$A$28,0)),"(sin catálogo)"))</f>
        <v/>
      </c>
      <c r="AB1067" s="24">
        <f>IF($G1067="","",IFERROR(INDEX('CAT_PUESTOS'!$B$4:$B$23,MATCH($G1067,'CAT_PUESTOS'!$A$4:$A$23,0)),"(sin catálogo)"))</f>
        <v/>
      </c>
      <c r="AC1067" s="24">
        <f>IF($H1067="","",IFERROR(INDEX('CAT_ACTIVIDADES'!$B$4:$B$26,MATCH($H1067,'CAT_ACTIVIDADES'!$A$4:$A$26,0)),"(sin catálogo)"))</f>
        <v/>
      </c>
      <c r="AD1067" s="26">
        <f>IF($J1067="","",TODAY()-$J1067)</f>
        <v/>
      </c>
      <c r="AE1067" s="26">
        <f>IF($J1067="","",IF($J1067&lt;=TODAY(),COUNTIFS(cal_fechas,"&gt;="&amp;$J1067,cal_fechas,"&lt;"&amp;TODAY(),cal_habil,"sí"),-COUNTIFS(cal_fechas,"&gt;="&amp;TODAY(),cal_fechas,"&lt;"&amp;$J1067,cal_habil,"sí")))</f>
        <v/>
      </c>
      <c r="AF1067" s="24">
        <f>IF($AE1067="","",IF($AE1067&lt;0,"FUTURO",IF($AE1067&gt;p_dias_backlog_max,"BACKLOG","MES CORRIENTE")))</f>
        <v/>
      </c>
      <c r="AG1067" s="24">
        <f>IF($AE1067="",FALSE,AND($AE1067&gt;p_dias_backlog_min,$AE1067&lt;=p_dias_backlog_max))</f>
        <v/>
      </c>
      <c r="AH1067" s="4" t="n"/>
      <c r="AI1067" s="24">
        <f>IF($AH1067="","",IF((IFERROR(INDEX('ASIGNACIONES'!$J$4:$J$451,MATCH($O1067&amp;"|"&amp;$S1067&amp;"|"&amp;$AH1067,'ASIGNACIONES'!$N$4:$N$451,0)),""))=0,"",IFERROR(INDEX('ASIGNACIONES'!$J$4:$J$451,MATCH($O1067&amp;"|"&amp;$S1067&amp;"|"&amp;$AH1067,'ASIGNACIONES'!$N$4:$N$451,0)),"")))</f>
        <v/>
      </c>
      <c r="AJ1067" s="42">
        <f>IF($AH1067="","",SUMIFS('ORDENES'!$M$4:$M$1203,'ORDENES'!$AH$4:$AH$1203,$AH1067,'ORDENES'!$O$4:$O$1203,$O1067,'ORDENES'!$S$4:$S$1203,$S1067))</f>
        <v/>
      </c>
      <c r="AK1067" s="42">
        <f>IF($AJ1067="","",p_factor_productividad*IFERROR(INDEX('ASIGNACIONES'!$M$4:$M$451,MATCH($O1067&amp;"|"&amp;$S1067&amp;"|"&amp;$AH1067,'ASIGNACIONES'!$N$4:$N$451,0)),0)-$AJ1067)</f>
        <v/>
      </c>
      <c r="AL1067" s="32">
        <f>IF($A1067="","",IFERROR(INDEX('2_IMPORTAR_EJECUCION'!$F$9:$F$1208,MATCH($AU1067,'2_IMPORTAR_EJECUCION'!$J$9:$J$1208,0)),0))</f>
        <v/>
      </c>
      <c r="AM1067" s="32">
        <f>IF($A1067="","",MAX(0,IFERROR(INDEX('2_IMPORTAR_EJECUCION'!$H$9:$H$1208,MATCH($AU1067,'2_IMPORTAR_EJECUCION'!$J$9:$J$1208,0)),0)-$AL1067))</f>
        <v/>
      </c>
      <c r="AN1067" s="32">
        <f>IF($A1067="","",$AL1067+$AM1067)</f>
        <v/>
      </c>
      <c r="AO1067" s="24">
        <f>IF($A1067="","",IF(OR((IFERROR(INDEX('CAT_ACTIVIDADES'!$D$4:$D$26,MATCH($H1067,'CAT_ACTIVIDADES'!$A$4:$A$26,0)),""))=0,(IFERROR(INDEX('CAT_ACTIVIDADES'!$D$4:$D$26,MATCH($H1067,'CAT_ACTIVIDADES'!$A$4:$A$26,0)),""))=""),"SIN CLASIFICAR",IFERROR(INDEX('CAT_ACTIVIDADES'!$D$4:$D$26,MATCH($H1067,'CAT_ACTIVIDADES'!$A$4:$A$26,0)),"")))</f>
        <v/>
      </c>
      <c r="AP1067" s="4" t="n"/>
      <c r="AQ1067" s="4" t="n"/>
      <c r="AR1067" s="4" t="n"/>
      <c r="AS1067" s="24">
        <f>IF($AR1067="","",HYPERLINK(p_ruta_base_checklists&amp;$AR1067,"abrir"))</f>
        <v/>
      </c>
      <c r="AT1067" s="4" t="n"/>
      <c r="AU1067" s="24">
        <f>IF($A1067="","",$A1067&amp;IF($B1067="","0010",$B1067))</f>
        <v/>
      </c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41" t="n"/>
      <c r="K1068" s="5" t="n"/>
      <c r="L1068" s="18" t="n"/>
      <c r="M1068" s="24">
        <f>IF($A1068="","",IFERROR(INDEX('AJUSTES'!$B$4:$B$303,MATCH($AU1068,'AJUSTES'!$A$4:$A$303,0)),IF($K1068="","",$K1068)))</f>
        <v/>
      </c>
      <c r="N1068" s="24">
        <f>IF($A1068="","",IFERROR(INDEX('CAT_ESTADOS_ERP'!$B$4:$B$22,MATCH(IFERROR(INDEX('2_IMPORTAR_EJECUCION'!$C$9:$C$1208,MATCH($AU1068,'2_IMPORTAR_EJECUCION'!$J$9:$J$1208,0)),""),'CAT_ESTADOS_ERP'!$A$4:$A$22,0)),"Pendiente"))</f>
        <v/>
      </c>
      <c r="O1068" s="24">
        <f>IF($J1068="","",YEAR($J1068+4-WEEKDAY($J1068,2))&amp;"-S"&amp;TEXT(_xlfn.ISOWEEKNUM($J1068),"00"))</f>
        <v/>
      </c>
      <c r="P1068" s="24">
        <f>IF($J1068="","",YEAR($J1068))</f>
        <v/>
      </c>
      <c r="Q1068" s="24">
        <f>IF($J1068="","",MONTH($J1068))</f>
        <v/>
      </c>
      <c r="R1068" s="24">
        <f>IF($J1068="","",$P1068&amp;"-"&amp;TEXT($Q1068,"00"))</f>
        <v/>
      </c>
      <c r="S1068" s="24">
        <f>IF($J1068="","",INDEX(lista_dias,WEEKDAY($J1068,2)))</f>
        <v/>
      </c>
      <c r="T1068" s="24">
        <f>IF($J1068="","",IFERROR(INDEX('CALENDARIO'!$C$15:$C$214,MATCH(TEXT($J1068,"yyyy-mm-dd")&amp;"|"&amp;$Y1068&amp;"|"&amp;$Z1068,'CALENDARIO'!$G$15:$G$214,0)),IFERROR(INDEX('CALENDARIO'!$C$15:$C$214,MATCH(TEXT($J1068,"yyyy-mm-dd")&amp;"|"&amp;$Y1068&amp;"|",'CALENDARIO'!$G$15:$G$214,0)),IFERROR(INDEX('CALENDARIO'!$C$15:$C$214,MATCH(TEXT($J1068,"yyyy-mm-dd")&amp;"||",'CALENDARIO'!$G$15:$G$214,0)),INDEX(patronHabil,WEEKDAY($J1068,2))))))</f>
        <v/>
      </c>
      <c r="U1068" s="24">
        <f>IF($I1068="","",IFERROR(INDEX('CAT_TIPOS_OT'!$C$4:$C$23,MATCH($I1068,'CAT_TIPOS_OT'!$A$4:$A$23,0)),"sin_clasificar"))</f>
        <v/>
      </c>
      <c r="V1068" s="24">
        <f>IF($I1068="","",IF(IFERROR(INDEX('CAT_TIPOS_OT'!$D$4:$D$23,MATCH($I1068,'CAT_TIPOS_OT'!$A$4:$A$23,0)),"SIN CLASIFICAR")="","SIN CLASIFICAR",IFERROR(INDEX('CAT_TIPOS_OT'!$D$4:$D$23,MATCH($I1068,'CAT_TIPOS_OT'!$A$4:$A$23,0)),"SIN CLASIFICAR")))</f>
        <v/>
      </c>
      <c r="W1068" s="24">
        <f>IF($H1068="","",IF(IFERROR(INDEX('CAT_ACTIVIDADES'!$F$4:$F$26,MATCH($H1068,'CAT_ACTIVIDADES'!$A$4:$A$26,0)),"")=0,"",IFERROR(INDEX('CAT_ACTIVIDADES'!$F$4:$F$26,MATCH($H1068,'CAT_ACTIVIDADES'!$A$4:$A$26,0)),"")))</f>
        <v/>
      </c>
      <c r="X1068" s="24">
        <f>IF($F1068="","",IFERROR(INDEX('CAT_CENTROS_COSTO'!$F$4:$F$28,MATCH($F1068,'CAT_CENTROS_COSTO'!$A$4:$A$28,0)),"(sin catálogo)"))</f>
        <v/>
      </c>
      <c r="Y1068" s="24">
        <f>IF($F1068="","",IFERROR(INDEX('CAT_CENTROS_COSTO'!$D$4:$D$28,MATCH($F1068,'CAT_CENTROS_COSTO'!$A$4:$A$28,0)),"(sin catálogo)"))</f>
        <v/>
      </c>
      <c r="Z1068" s="24">
        <f>IF($F1068="","",IF((IFERROR(INDEX('CAT_CENTROS_COSTO'!$E$4:$E$28,MATCH($F1068,'CAT_CENTROS_COSTO'!$A$4:$A$28,0)),""))&lt;&gt;"",IFERROR(INDEX('CAT_CENTROS_COSTO'!$E$4:$E$28,MATCH($F1068,'CAT_CENTROS_COSTO'!$A$4:$A$28,0)),""),$Y1068))</f>
        <v/>
      </c>
      <c r="AA1068" s="24">
        <f>IF($F1068="","",IFERROR(INDEX('CAT_CENTROS_COSTO'!$G$4:$G$28,MATCH($F1068,'CAT_CENTROS_COSTO'!$A$4:$A$28,0)),"(sin catálogo)"))</f>
        <v/>
      </c>
      <c r="AB1068" s="24">
        <f>IF($G1068="","",IFERROR(INDEX('CAT_PUESTOS'!$B$4:$B$23,MATCH($G1068,'CAT_PUESTOS'!$A$4:$A$23,0)),"(sin catálogo)"))</f>
        <v/>
      </c>
      <c r="AC1068" s="24">
        <f>IF($H1068="","",IFERROR(INDEX('CAT_ACTIVIDADES'!$B$4:$B$26,MATCH($H1068,'CAT_ACTIVIDADES'!$A$4:$A$26,0)),"(sin catálogo)"))</f>
        <v/>
      </c>
      <c r="AD1068" s="26">
        <f>IF($J1068="","",TODAY()-$J1068)</f>
        <v/>
      </c>
      <c r="AE1068" s="26">
        <f>IF($J1068="","",IF($J1068&lt;=TODAY(),COUNTIFS(cal_fechas,"&gt;="&amp;$J1068,cal_fechas,"&lt;"&amp;TODAY(),cal_habil,"sí"),-COUNTIFS(cal_fechas,"&gt;="&amp;TODAY(),cal_fechas,"&lt;"&amp;$J1068,cal_habil,"sí")))</f>
        <v/>
      </c>
      <c r="AF1068" s="24">
        <f>IF($AE1068="","",IF($AE1068&lt;0,"FUTURO",IF($AE1068&gt;p_dias_backlog_max,"BACKLOG","MES CORRIENTE")))</f>
        <v/>
      </c>
      <c r="AG1068" s="24">
        <f>IF($AE1068="",FALSE,AND($AE1068&gt;p_dias_backlog_min,$AE1068&lt;=p_dias_backlog_max))</f>
        <v/>
      </c>
      <c r="AH1068" s="4" t="n"/>
      <c r="AI1068" s="24">
        <f>IF($AH1068="","",IF((IFERROR(INDEX('ASIGNACIONES'!$J$4:$J$451,MATCH($O1068&amp;"|"&amp;$S1068&amp;"|"&amp;$AH1068,'ASIGNACIONES'!$N$4:$N$451,0)),""))=0,"",IFERROR(INDEX('ASIGNACIONES'!$J$4:$J$451,MATCH($O1068&amp;"|"&amp;$S1068&amp;"|"&amp;$AH1068,'ASIGNACIONES'!$N$4:$N$451,0)),"")))</f>
        <v/>
      </c>
      <c r="AJ1068" s="42">
        <f>IF($AH1068="","",SUMIFS('ORDENES'!$M$4:$M$1203,'ORDENES'!$AH$4:$AH$1203,$AH1068,'ORDENES'!$O$4:$O$1203,$O1068,'ORDENES'!$S$4:$S$1203,$S1068))</f>
        <v/>
      </c>
      <c r="AK1068" s="42">
        <f>IF($AJ1068="","",p_factor_productividad*IFERROR(INDEX('ASIGNACIONES'!$M$4:$M$451,MATCH($O1068&amp;"|"&amp;$S1068&amp;"|"&amp;$AH1068,'ASIGNACIONES'!$N$4:$N$451,0)),0)-$AJ1068)</f>
        <v/>
      </c>
      <c r="AL1068" s="32">
        <f>IF($A1068="","",IFERROR(INDEX('2_IMPORTAR_EJECUCION'!$F$9:$F$1208,MATCH($AU1068,'2_IMPORTAR_EJECUCION'!$J$9:$J$1208,0)),0))</f>
        <v/>
      </c>
      <c r="AM1068" s="32">
        <f>IF($A1068="","",MAX(0,IFERROR(INDEX('2_IMPORTAR_EJECUCION'!$H$9:$H$1208,MATCH($AU1068,'2_IMPORTAR_EJECUCION'!$J$9:$J$1208,0)),0)-$AL1068))</f>
        <v/>
      </c>
      <c r="AN1068" s="32">
        <f>IF($A1068="","",$AL1068+$AM1068)</f>
        <v/>
      </c>
      <c r="AO1068" s="24">
        <f>IF($A1068="","",IF(OR((IFERROR(INDEX('CAT_ACTIVIDADES'!$D$4:$D$26,MATCH($H1068,'CAT_ACTIVIDADES'!$A$4:$A$26,0)),""))=0,(IFERROR(INDEX('CAT_ACTIVIDADES'!$D$4:$D$26,MATCH($H1068,'CAT_ACTIVIDADES'!$A$4:$A$26,0)),""))=""),"SIN CLASIFICAR",IFERROR(INDEX('CAT_ACTIVIDADES'!$D$4:$D$26,MATCH($H1068,'CAT_ACTIVIDADES'!$A$4:$A$26,0)),"")))</f>
        <v/>
      </c>
      <c r="AP1068" s="4" t="n"/>
      <c r="AQ1068" s="4" t="n"/>
      <c r="AR1068" s="4" t="n"/>
      <c r="AS1068" s="24">
        <f>IF($AR1068="","",HYPERLINK(p_ruta_base_checklists&amp;$AR1068,"abrir"))</f>
        <v/>
      </c>
      <c r="AT1068" s="4" t="n"/>
      <c r="AU1068" s="24">
        <f>IF($A1068="","",$A1068&amp;IF($B1068="","0010",$B1068))</f>
        <v/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41" t="n"/>
      <c r="K1069" s="5" t="n"/>
      <c r="L1069" s="18" t="n"/>
      <c r="M1069" s="24">
        <f>IF($A1069="","",IFERROR(INDEX('AJUSTES'!$B$4:$B$303,MATCH($AU1069,'AJUSTES'!$A$4:$A$303,0)),IF($K1069="","",$K1069)))</f>
        <v/>
      </c>
      <c r="N1069" s="24">
        <f>IF($A1069="","",IFERROR(INDEX('CAT_ESTADOS_ERP'!$B$4:$B$22,MATCH(IFERROR(INDEX('2_IMPORTAR_EJECUCION'!$C$9:$C$1208,MATCH($AU1069,'2_IMPORTAR_EJECUCION'!$J$9:$J$1208,0)),""),'CAT_ESTADOS_ERP'!$A$4:$A$22,0)),"Pendiente"))</f>
        <v/>
      </c>
      <c r="O1069" s="24">
        <f>IF($J1069="","",YEAR($J1069+4-WEEKDAY($J1069,2))&amp;"-S"&amp;TEXT(_xlfn.ISOWEEKNUM($J1069),"00"))</f>
        <v/>
      </c>
      <c r="P1069" s="24">
        <f>IF($J1069="","",YEAR($J1069))</f>
        <v/>
      </c>
      <c r="Q1069" s="24">
        <f>IF($J1069="","",MONTH($J1069))</f>
        <v/>
      </c>
      <c r="R1069" s="24">
        <f>IF($J1069="","",$P1069&amp;"-"&amp;TEXT($Q1069,"00"))</f>
        <v/>
      </c>
      <c r="S1069" s="24">
        <f>IF($J1069="","",INDEX(lista_dias,WEEKDAY($J1069,2)))</f>
        <v/>
      </c>
      <c r="T1069" s="24">
        <f>IF($J1069="","",IFERROR(INDEX('CALENDARIO'!$C$15:$C$214,MATCH(TEXT($J1069,"yyyy-mm-dd")&amp;"|"&amp;$Y1069&amp;"|"&amp;$Z1069,'CALENDARIO'!$G$15:$G$214,0)),IFERROR(INDEX('CALENDARIO'!$C$15:$C$214,MATCH(TEXT($J1069,"yyyy-mm-dd")&amp;"|"&amp;$Y1069&amp;"|",'CALENDARIO'!$G$15:$G$214,0)),IFERROR(INDEX('CALENDARIO'!$C$15:$C$214,MATCH(TEXT($J1069,"yyyy-mm-dd")&amp;"||",'CALENDARIO'!$G$15:$G$214,0)),INDEX(patronHabil,WEEKDAY($J1069,2))))))</f>
        <v/>
      </c>
      <c r="U1069" s="24">
        <f>IF($I1069="","",IFERROR(INDEX('CAT_TIPOS_OT'!$C$4:$C$23,MATCH($I1069,'CAT_TIPOS_OT'!$A$4:$A$23,0)),"sin_clasificar"))</f>
        <v/>
      </c>
      <c r="V1069" s="24">
        <f>IF($I1069="","",IF(IFERROR(INDEX('CAT_TIPOS_OT'!$D$4:$D$23,MATCH($I1069,'CAT_TIPOS_OT'!$A$4:$A$23,0)),"SIN CLASIFICAR")="","SIN CLASIFICAR",IFERROR(INDEX('CAT_TIPOS_OT'!$D$4:$D$23,MATCH($I1069,'CAT_TIPOS_OT'!$A$4:$A$23,0)),"SIN CLASIFICAR")))</f>
        <v/>
      </c>
      <c r="W1069" s="24">
        <f>IF($H1069="","",IF(IFERROR(INDEX('CAT_ACTIVIDADES'!$F$4:$F$26,MATCH($H1069,'CAT_ACTIVIDADES'!$A$4:$A$26,0)),"")=0,"",IFERROR(INDEX('CAT_ACTIVIDADES'!$F$4:$F$26,MATCH($H1069,'CAT_ACTIVIDADES'!$A$4:$A$26,0)),"")))</f>
        <v/>
      </c>
      <c r="X1069" s="24">
        <f>IF($F1069="","",IFERROR(INDEX('CAT_CENTROS_COSTO'!$F$4:$F$28,MATCH($F1069,'CAT_CENTROS_COSTO'!$A$4:$A$28,0)),"(sin catálogo)"))</f>
        <v/>
      </c>
      <c r="Y1069" s="24">
        <f>IF($F1069="","",IFERROR(INDEX('CAT_CENTROS_COSTO'!$D$4:$D$28,MATCH($F1069,'CAT_CENTROS_COSTO'!$A$4:$A$28,0)),"(sin catálogo)"))</f>
        <v/>
      </c>
      <c r="Z1069" s="24">
        <f>IF($F1069="","",IF((IFERROR(INDEX('CAT_CENTROS_COSTO'!$E$4:$E$28,MATCH($F1069,'CAT_CENTROS_COSTO'!$A$4:$A$28,0)),""))&lt;&gt;"",IFERROR(INDEX('CAT_CENTROS_COSTO'!$E$4:$E$28,MATCH($F1069,'CAT_CENTROS_COSTO'!$A$4:$A$28,0)),""),$Y1069))</f>
        <v/>
      </c>
      <c r="AA1069" s="24">
        <f>IF($F1069="","",IFERROR(INDEX('CAT_CENTROS_COSTO'!$G$4:$G$28,MATCH($F1069,'CAT_CENTROS_COSTO'!$A$4:$A$28,0)),"(sin catálogo)"))</f>
        <v/>
      </c>
      <c r="AB1069" s="24">
        <f>IF($G1069="","",IFERROR(INDEX('CAT_PUESTOS'!$B$4:$B$23,MATCH($G1069,'CAT_PUESTOS'!$A$4:$A$23,0)),"(sin catálogo)"))</f>
        <v/>
      </c>
      <c r="AC1069" s="24">
        <f>IF($H1069="","",IFERROR(INDEX('CAT_ACTIVIDADES'!$B$4:$B$26,MATCH($H1069,'CAT_ACTIVIDADES'!$A$4:$A$26,0)),"(sin catálogo)"))</f>
        <v/>
      </c>
      <c r="AD1069" s="26">
        <f>IF($J1069="","",TODAY()-$J1069)</f>
        <v/>
      </c>
      <c r="AE1069" s="26">
        <f>IF($J1069="","",IF($J1069&lt;=TODAY(),COUNTIFS(cal_fechas,"&gt;="&amp;$J1069,cal_fechas,"&lt;"&amp;TODAY(),cal_habil,"sí"),-COUNTIFS(cal_fechas,"&gt;="&amp;TODAY(),cal_fechas,"&lt;"&amp;$J1069,cal_habil,"sí")))</f>
        <v/>
      </c>
      <c r="AF1069" s="24">
        <f>IF($AE1069="","",IF($AE1069&lt;0,"FUTURO",IF($AE1069&gt;p_dias_backlog_max,"BACKLOG","MES CORRIENTE")))</f>
        <v/>
      </c>
      <c r="AG1069" s="24">
        <f>IF($AE1069="",FALSE,AND($AE1069&gt;p_dias_backlog_min,$AE1069&lt;=p_dias_backlog_max))</f>
        <v/>
      </c>
      <c r="AH1069" s="4" t="n"/>
      <c r="AI1069" s="24">
        <f>IF($AH1069="","",IF((IFERROR(INDEX('ASIGNACIONES'!$J$4:$J$451,MATCH($O1069&amp;"|"&amp;$S1069&amp;"|"&amp;$AH1069,'ASIGNACIONES'!$N$4:$N$451,0)),""))=0,"",IFERROR(INDEX('ASIGNACIONES'!$J$4:$J$451,MATCH($O1069&amp;"|"&amp;$S1069&amp;"|"&amp;$AH1069,'ASIGNACIONES'!$N$4:$N$451,0)),"")))</f>
        <v/>
      </c>
      <c r="AJ1069" s="42">
        <f>IF($AH1069="","",SUMIFS('ORDENES'!$M$4:$M$1203,'ORDENES'!$AH$4:$AH$1203,$AH1069,'ORDENES'!$O$4:$O$1203,$O1069,'ORDENES'!$S$4:$S$1203,$S1069))</f>
        <v/>
      </c>
      <c r="AK1069" s="42">
        <f>IF($AJ1069="","",p_factor_productividad*IFERROR(INDEX('ASIGNACIONES'!$M$4:$M$451,MATCH($O1069&amp;"|"&amp;$S1069&amp;"|"&amp;$AH1069,'ASIGNACIONES'!$N$4:$N$451,0)),0)-$AJ1069)</f>
        <v/>
      </c>
      <c r="AL1069" s="32">
        <f>IF($A1069="","",IFERROR(INDEX('2_IMPORTAR_EJECUCION'!$F$9:$F$1208,MATCH($AU1069,'2_IMPORTAR_EJECUCION'!$J$9:$J$1208,0)),0))</f>
        <v/>
      </c>
      <c r="AM1069" s="32">
        <f>IF($A1069="","",MAX(0,IFERROR(INDEX('2_IMPORTAR_EJECUCION'!$H$9:$H$1208,MATCH($AU1069,'2_IMPORTAR_EJECUCION'!$J$9:$J$1208,0)),0)-$AL1069))</f>
        <v/>
      </c>
      <c r="AN1069" s="32">
        <f>IF($A1069="","",$AL1069+$AM1069)</f>
        <v/>
      </c>
      <c r="AO1069" s="24">
        <f>IF($A1069="","",IF(OR((IFERROR(INDEX('CAT_ACTIVIDADES'!$D$4:$D$26,MATCH($H1069,'CAT_ACTIVIDADES'!$A$4:$A$26,0)),""))=0,(IFERROR(INDEX('CAT_ACTIVIDADES'!$D$4:$D$26,MATCH($H1069,'CAT_ACTIVIDADES'!$A$4:$A$26,0)),""))=""),"SIN CLASIFICAR",IFERROR(INDEX('CAT_ACTIVIDADES'!$D$4:$D$26,MATCH($H1069,'CAT_ACTIVIDADES'!$A$4:$A$26,0)),"")))</f>
        <v/>
      </c>
      <c r="AP1069" s="4" t="n"/>
      <c r="AQ1069" s="4" t="n"/>
      <c r="AR1069" s="4" t="n"/>
      <c r="AS1069" s="24">
        <f>IF($AR1069="","",HYPERLINK(p_ruta_base_checklists&amp;$AR1069,"abrir"))</f>
        <v/>
      </c>
      <c r="AT1069" s="4" t="n"/>
      <c r="AU1069" s="24">
        <f>IF($A1069="","",$A1069&amp;IF($B1069="","0010",$B1069))</f>
        <v/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41" t="n"/>
      <c r="K1070" s="5" t="n"/>
      <c r="L1070" s="18" t="n"/>
      <c r="M1070" s="24">
        <f>IF($A1070="","",IFERROR(INDEX('AJUSTES'!$B$4:$B$303,MATCH($AU1070,'AJUSTES'!$A$4:$A$303,0)),IF($K1070="","",$K1070)))</f>
        <v/>
      </c>
      <c r="N1070" s="24">
        <f>IF($A1070="","",IFERROR(INDEX('CAT_ESTADOS_ERP'!$B$4:$B$22,MATCH(IFERROR(INDEX('2_IMPORTAR_EJECUCION'!$C$9:$C$1208,MATCH($AU1070,'2_IMPORTAR_EJECUCION'!$J$9:$J$1208,0)),""),'CAT_ESTADOS_ERP'!$A$4:$A$22,0)),"Pendiente"))</f>
        <v/>
      </c>
      <c r="O1070" s="24">
        <f>IF($J1070="","",YEAR($J1070+4-WEEKDAY($J1070,2))&amp;"-S"&amp;TEXT(_xlfn.ISOWEEKNUM($J1070),"00"))</f>
        <v/>
      </c>
      <c r="P1070" s="24">
        <f>IF($J1070="","",YEAR($J1070))</f>
        <v/>
      </c>
      <c r="Q1070" s="24">
        <f>IF($J1070="","",MONTH($J1070))</f>
        <v/>
      </c>
      <c r="R1070" s="24">
        <f>IF($J1070="","",$P1070&amp;"-"&amp;TEXT($Q1070,"00"))</f>
        <v/>
      </c>
      <c r="S1070" s="24">
        <f>IF($J1070="","",INDEX(lista_dias,WEEKDAY($J1070,2)))</f>
        <v/>
      </c>
      <c r="T1070" s="24">
        <f>IF($J1070="","",IFERROR(INDEX('CALENDARIO'!$C$15:$C$214,MATCH(TEXT($J1070,"yyyy-mm-dd")&amp;"|"&amp;$Y1070&amp;"|"&amp;$Z1070,'CALENDARIO'!$G$15:$G$214,0)),IFERROR(INDEX('CALENDARIO'!$C$15:$C$214,MATCH(TEXT($J1070,"yyyy-mm-dd")&amp;"|"&amp;$Y1070&amp;"|",'CALENDARIO'!$G$15:$G$214,0)),IFERROR(INDEX('CALENDARIO'!$C$15:$C$214,MATCH(TEXT($J1070,"yyyy-mm-dd")&amp;"||",'CALENDARIO'!$G$15:$G$214,0)),INDEX(patronHabil,WEEKDAY($J1070,2))))))</f>
        <v/>
      </c>
      <c r="U1070" s="24">
        <f>IF($I1070="","",IFERROR(INDEX('CAT_TIPOS_OT'!$C$4:$C$23,MATCH($I1070,'CAT_TIPOS_OT'!$A$4:$A$23,0)),"sin_clasificar"))</f>
        <v/>
      </c>
      <c r="V1070" s="24">
        <f>IF($I1070="","",IF(IFERROR(INDEX('CAT_TIPOS_OT'!$D$4:$D$23,MATCH($I1070,'CAT_TIPOS_OT'!$A$4:$A$23,0)),"SIN CLASIFICAR")="","SIN CLASIFICAR",IFERROR(INDEX('CAT_TIPOS_OT'!$D$4:$D$23,MATCH($I1070,'CAT_TIPOS_OT'!$A$4:$A$23,0)),"SIN CLASIFICAR")))</f>
        <v/>
      </c>
      <c r="W1070" s="24">
        <f>IF($H1070="","",IF(IFERROR(INDEX('CAT_ACTIVIDADES'!$F$4:$F$26,MATCH($H1070,'CAT_ACTIVIDADES'!$A$4:$A$26,0)),"")=0,"",IFERROR(INDEX('CAT_ACTIVIDADES'!$F$4:$F$26,MATCH($H1070,'CAT_ACTIVIDADES'!$A$4:$A$26,0)),"")))</f>
        <v/>
      </c>
      <c r="X1070" s="24">
        <f>IF($F1070="","",IFERROR(INDEX('CAT_CENTROS_COSTO'!$F$4:$F$28,MATCH($F1070,'CAT_CENTROS_COSTO'!$A$4:$A$28,0)),"(sin catálogo)"))</f>
        <v/>
      </c>
      <c r="Y1070" s="24">
        <f>IF($F1070="","",IFERROR(INDEX('CAT_CENTROS_COSTO'!$D$4:$D$28,MATCH($F1070,'CAT_CENTROS_COSTO'!$A$4:$A$28,0)),"(sin catálogo)"))</f>
        <v/>
      </c>
      <c r="Z1070" s="24">
        <f>IF($F1070="","",IF((IFERROR(INDEX('CAT_CENTROS_COSTO'!$E$4:$E$28,MATCH($F1070,'CAT_CENTROS_COSTO'!$A$4:$A$28,0)),""))&lt;&gt;"",IFERROR(INDEX('CAT_CENTROS_COSTO'!$E$4:$E$28,MATCH($F1070,'CAT_CENTROS_COSTO'!$A$4:$A$28,0)),""),$Y1070))</f>
        <v/>
      </c>
      <c r="AA1070" s="24">
        <f>IF($F1070="","",IFERROR(INDEX('CAT_CENTROS_COSTO'!$G$4:$G$28,MATCH($F1070,'CAT_CENTROS_COSTO'!$A$4:$A$28,0)),"(sin catálogo)"))</f>
        <v/>
      </c>
      <c r="AB1070" s="24">
        <f>IF($G1070="","",IFERROR(INDEX('CAT_PUESTOS'!$B$4:$B$23,MATCH($G1070,'CAT_PUESTOS'!$A$4:$A$23,0)),"(sin catálogo)"))</f>
        <v/>
      </c>
      <c r="AC1070" s="24">
        <f>IF($H1070="","",IFERROR(INDEX('CAT_ACTIVIDADES'!$B$4:$B$26,MATCH($H1070,'CAT_ACTIVIDADES'!$A$4:$A$26,0)),"(sin catálogo)"))</f>
        <v/>
      </c>
      <c r="AD1070" s="26">
        <f>IF($J1070="","",TODAY()-$J1070)</f>
        <v/>
      </c>
      <c r="AE1070" s="26">
        <f>IF($J1070="","",IF($J1070&lt;=TODAY(),COUNTIFS(cal_fechas,"&gt;="&amp;$J1070,cal_fechas,"&lt;"&amp;TODAY(),cal_habil,"sí"),-COUNTIFS(cal_fechas,"&gt;="&amp;TODAY(),cal_fechas,"&lt;"&amp;$J1070,cal_habil,"sí")))</f>
        <v/>
      </c>
      <c r="AF1070" s="24">
        <f>IF($AE1070="","",IF($AE1070&lt;0,"FUTURO",IF($AE1070&gt;p_dias_backlog_max,"BACKLOG","MES CORRIENTE")))</f>
        <v/>
      </c>
      <c r="AG1070" s="24">
        <f>IF($AE1070="",FALSE,AND($AE1070&gt;p_dias_backlog_min,$AE1070&lt;=p_dias_backlog_max))</f>
        <v/>
      </c>
      <c r="AH1070" s="4" t="n"/>
      <c r="AI1070" s="24">
        <f>IF($AH1070="","",IF((IFERROR(INDEX('ASIGNACIONES'!$J$4:$J$451,MATCH($O1070&amp;"|"&amp;$S1070&amp;"|"&amp;$AH1070,'ASIGNACIONES'!$N$4:$N$451,0)),""))=0,"",IFERROR(INDEX('ASIGNACIONES'!$J$4:$J$451,MATCH($O1070&amp;"|"&amp;$S1070&amp;"|"&amp;$AH1070,'ASIGNACIONES'!$N$4:$N$451,0)),"")))</f>
        <v/>
      </c>
      <c r="AJ1070" s="42">
        <f>IF($AH1070="","",SUMIFS('ORDENES'!$M$4:$M$1203,'ORDENES'!$AH$4:$AH$1203,$AH1070,'ORDENES'!$O$4:$O$1203,$O1070,'ORDENES'!$S$4:$S$1203,$S1070))</f>
        <v/>
      </c>
      <c r="AK1070" s="42">
        <f>IF($AJ1070="","",p_factor_productividad*IFERROR(INDEX('ASIGNACIONES'!$M$4:$M$451,MATCH($O1070&amp;"|"&amp;$S1070&amp;"|"&amp;$AH1070,'ASIGNACIONES'!$N$4:$N$451,0)),0)-$AJ1070)</f>
        <v/>
      </c>
      <c r="AL1070" s="32">
        <f>IF($A1070="","",IFERROR(INDEX('2_IMPORTAR_EJECUCION'!$F$9:$F$1208,MATCH($AU1070,'2_IMPORTAR_EJECUCION'!$J$9:$J$1208,0)),0))</f>
        <v/>
      </c>
      <c r="AM1070" s="32">
        <f>IF($A1070="","",MAX(0,IFERROR(INDEX('2_IMPORTAR_EJECUCION'!$H$9:$H$1208,MATCH($AU1070,'2_IMPORTAR_EJECUCION'!$J$9:$J$1208,0)),0)-$AL1070))</f>
        <v/>
      </c>
      <c r="AN1070" s="32">
        <f>IF($A1070="","",$AL1070+$AM1070)</f>
        <v/>
      </c>
      <c r="AO1070" s="24">
        <f>IF($A1070="","",IF(OR((IFERROR(INDEX('CAT_ACTIVIDADES'!$D$4:$D$26,MATCH($H1070,'CAT_ACTIVIDADES'!$A$4:$A$26,0)),""))=0,(IFERROR(INDEX('CAT_ACTIVIDADES'!$D$4:$D$26,MATCH($H1070,'CAT_ACTIVIDADES'!$A$4:$A$26,0)),""))=""),"SIN CLASIFICAR",IFERROR(INDEX('CAT_ACTIVIDADES'!$D$4:$D$26,MATCH($H1070,'CAT_ACTIVIDADES'!$A$4:$A$26,0)),"")))</f>
        <v/>
      </c>
      <c r="AP1070" s="4" t="n"/>
      <c r="AQ1070" s="4" t="n"/>
      <c r="AR1070" s="4" t="n"/>
      <c r="AS1070" s="24">
        <f>IF($AR1070="","",HYPERLINK(p_ruta_base_checklists&amp;$AR1070,"abrir"))</f>
        <v/>
      </c>
      <c r="AT1070" s="4" t="n"/>
      <c r="AU1070" s="24">
        <f>IF($A1070="","",$A1070&amp;IF($B1070="","0010",$B1070))</f>
        <v/>
      </c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41" t="n"/>
      <c r="K1071" s="5" t="n"/>
      <c r="L1071" s="18" t="n"/>
      <c r="M1071" s="24">
        <f>IF($A1071="","",IFERROR(INDEX('AJUSTES'!$B$4:$B$303,MATCH($AU1071,'AJUSTES'!$A$4:$A$303,0)),IF($K1071="","",$K1071)))</f>
        <v/>
      </c>
      <c r="N1071" s="24">
        <f>IF($A1071="","",IFERROR(INDEX('CAT_ESTADOS_ERP'!$B$4:$B$22,MATCH(IFERROR(INDEX('2_IMPORTAR_EJECUCION'!$C$9:$C$1208,MATCH($AU1071,'2_IMPORTAR_EJECUCION'!$J$9:$J$1208,0)),""),'CAT_ESTADOS_ERP'!$A$4:$A$22,0)),"Pendiente"))</f>
        <v/>
      </c>
      <c r="O1071" s="24">
        <f>IF($J1071="","",YEAR($J1071+4-WEEKDAY($J1071,2))&amp;"-S"&amp;TEXT(_xlfn.ISOWEEKNUM($J1071),"00"))</f>
        <v/>
      </c>
      <c r="P1071" s="24">
        <f>IF($J1071="","",YEAR($J1071))</f>
        <v/>
      </c>
      <c r="Q1071" s="24">
        <f>IF($J1071="","",MONTH($J1071))</f>
        <v/>
      </c>
      <c r="R1071" s="24">
        <f>IF($J1071="","",$P1071&amp;"-"&amp;TEXT($Q1071,"00"))</f>
        <v/>
      </c>
      <c r="S1071" s="24">
        <f>IF($J1071="","",INDEX(lista_dias,WEEKDAY($J1071,2)))</f>
        <v/>
      </c>
      <c r="T1071" s="24">
        <f>IF($J1071="","",IFERROR(INDEX('CALENDARIO'!$C$15:$C$214,MATCH(TEXT($J1071,"yyyy-mm-dd")&amp;"|"&amp;$Y1071&amp;"|"&amp;$Z1071,'CALENDARIO'!$G$15:$G$214,0)),IFERROR(INDEX('CALENDARIO'!$C$15:$C$214,MATCH(TEXT($J1071,"yyyy-mm-dd")&amp;"|"&amp;$Y1071&amp;"|",'CALENDARIO'!$G$15:$G$214,0)),IFERROR(INDEX('CALENDARIO'!$C$15:$C$214,MATCH(TEXT($J1071,"yyyy-mm-dd")&amp;"||",'CALENDARIO'!$G$15:$G$214,0)),INDEX(patronHabil,WEEKDAY($J1071,2))))))</f>
        <v/>
      </c>
      <c r="U1071" s="24">
        <f>IF($I1071="","",IFERROR(INDEX('CAT_TIPOS_OT'!$C$4:$C$23,MATCH($I1071,'CAT_TIPOS_OT'!$A$4:$A$23,0)),"sin_clasificar"))</f>
        <v/>
      </c>
      <c r="V1071" s="24">
        <f>IF($I1071="","",IF(IFERROR(INDEX('CAT_TIPOS_OT'!$D$4:$D$23,MATCH($I1071,'CAT_TIPOS_OT'!$A$4:$A$23,0)),"SIN CLASIFICAR")="","SIN CLASIFICAR",IFERROR(INDEX('CAT_TIPOS_OT'!$D$4:$D$23,MATCH($I1071,'CAT_TIPOS_OT'!$A$4:$A$23,0)),"SIN CLASIFICAR")))</f>
        <v/>
      </c>
      <c r="W1071" s="24">
        <f>IF($H1071="","",IF(IFERROR(INDEX('CAT_ACTIVIDADES'!$F$4:$F$26,MATCH($H1071,'CAT_ACTIVIDADES'!$A$4:$A$26,0)),"")=0,"",IFERROR(INDEX('CAT_ACTIVIDADES'!$F$4:$F$26,MATCH($H1071,'CAT_ACTIVIDADES'!$A$4:$A$26,0)),"")))</f>
        <v/>
      </c>
      <c r="X1071" s="24">
        <f>IF($F1071="","",IFERROR(INDEX('CAT_CENTROS_COSTO'!$F$4:$F$28,MATCH($F1071,'CAT_CENTROS_COSTO'!$A$4:$A$28,0)),"(sin catálogo)"))</f>
        <v/>
      </c>
      <c r="Y1071" s="24">
        <f>IF($F1071="","",IFERROR(INDEX('CAT_CENTROS_COSTO'!$D$4:$D$28,MATCH($F1071,'CAT_CENTROS_COSTO'!$A$4:$A$28,0)),"(sin catálogo)"))</f>
        <v/>
      </c>
      <c r="Z1071" s="24">
        <f>IF($F1071="","",IF((IFERROR(INDEX('CAT_CENTROS_COSTO'!$E$4:$E$28,MATCH($F1071,'CAT_CENTROS_COSTO'!$A$4:$A$28,0)),""))&lt;&gt;"",IFERROR(INDEX('CAT_CENTROS_COSTO'!$E$4:$E$28,MATCH($F1071,'CAT_CENTROS_COSTO'!$A$4:$A$28,0)),""),$Y1071))</f>
        <v/>
      </c>
      <c r="AA1071" s="24">
        <f>IF($F1071="","",IFERROR(INDEX('CAT_CENTROS_COSTO'!$G$4:$G$28,MATCH($F1071,'CAT_CENTROS_COSTO'!$A$4:$A$28,0)),"(sin catálogo)"))</f>
        <v/>
      </c>
      <c r="AB1071" s="24">
        <f>IF($G1071="","",IFERROR(INDEX('CAT_PUESTOS'!$B$4:$B$23,MATCH($G1071,'CAT_PUESTOS'!$A$4:$A$23,0)),"(sin catálogo)"))</f>
        <v/>
      </c>
      <c r="AC1071" s="24">
        <f>IF($H1071="","",IFERROR(INDEX('CAT_ACTIVIDADES'!$B$4:$B$26,MATCH($H1071,'CAT_ACTIVIDADES'!$A$4:$A$26,0)),"(sin catálogo)"))</f>
        <v/>
      </c>
      <c r="AD1071" s="26">
        <f>IF($J1071="","",TODAY()-$J1071)</f>
        <v/>
      </c>
      <c r="AE1071" s="26">
        <f>IF($J1071="","",IF($J1071&lt;=TODAY(),COUNTIFS(cal_fechas,"&gt;="&amp;$J1071,cal_fechas,"&lt;"&amp;TODAY(),cal_habil,"sí"),-COUNTIFS(cal_fechas,"&gt;="&amp;TODAY(),cal_fechas,"&lt;"&amp;$J1071,cal_habil,"sí")))</f>
        <v/>
      </c>
      <c r="AF1071" s="24">
        <f>IF($AE1071="","",IF($AE1071&lt;0,"FUTURO",IF($AE1071&gt;p_dias_backlog_max,"BACKLOG","MES CORRIENTE")))</f>
        <v/>
      </c>
      <c r="AG1071" s="24">
        <f>IF($AE1071="",FALSE,AND($AE1071&gt;p_dias_backlog_min,$AE1071&lt;=p_dias_backlog_max))</f>
        <v/>
      </c>
      <c r="AH1071" s="4" t="n"/>
      <c r="AI1071" s="24">
        <f>IF($AH1071="","",IF((IFERROR(INDEX('ASIGNACIONES'!$J$4:$J$451,MATCH($O1071&amp;"|"&amp;$S1071&amp;"|"&amp;$AH1071,'ASIGNACIONES'!$N$4:$N$451,0)),""))=0,"",IFERROR(INDEX('ASIGNACIONES'!$J$4:$J$451,MATCH($O1071&amp;"|"&amp;$S1071&amp;"|"&amp;$AH1071,'ASIGNACIONES'!$N$4:$N$451,0)),"")))</f>
        <v/>
      </c>
      <c r="AJ1071" s="42">
        <f>IF($AH1071="","",SUMIFS('ORDENES'!$M$4:$M$1203,'ORDENES'!$AH$4:$AH$1203,$AH1071,'ORDENES'!$O$4:$O$1203,$O1071,'ORDENES'!$S$4:$S$1203,$S1071))</f>
        <v/>
      </c>
      <c r="AK1071" s="42">
        <f>IF($AJ1071="","",p_factor_productividad*IFERROR(INDEX('ASIGNACIONES'!$M$4:$M$451,MATCH($O1071&amp;"|"&amp;$S1071&amp;"|"&amp;$AH1071,'ASIGNACIONES'!$N$4:$N$451,0)),0)-$AJ1071)</f>
        <v/>
      </c>
      <c r="AL1071" s="32">
        <f>IF($A1071="","",IFERROR(INDEX('2_IMPORTAR_EJECUCION'!$F$9:$F$1208,MATCH($AU1071,'2_IMPORTAR_EJECUCION'!$J$9:$J$1208,0)),0))</f>
        <v/>
      </c>
      <c r="AM1071" s="32">
        <f>IF($A1071="","",MAX(0,IFERROR(INDEX('2_IMPORTAR_EJECUCION'!$H$9:$H$1208,MATCH($AU1071,'2_IMPORTAR_EJECUCION'!$J$9:$J$1208,0)),0)-$AL1071))</f>
        <v/>
      </c>
      <c r="AN1071" s="32">
        <f>IF($A1071="","",$AL1071+$AM1071)</f>
        <v/>
      </c>
      <c r="AO1071" s="24">
        <f>IF($A1071="","",IF(OR((IFERROR(INDEX('CAT_ACTIVIDADES'!$D$4:$D$26,MATCH($H1071,'CAT_ACTIVIDADES'!$A$4:$A$26,0)),""))=0,(IFERROR(INDEX('CAT_ACTIVIDADES'!$D$4:$D$26,MATCH($H1071,'CAT_ACTIVIDADES'!$A$4:$A$26,0)),""))=""),"SIN CLASIFICAR",IFERROR(INDEX('CAT_ACTIVIDADES'!$D$4:$D$26,MATCH($H1071,'CAT_ACTIVIDADES'!$A$4:$A$26,0)),"")))</f>
        <v/>
      </c>
      <c r="AP1071" s="4" t="n"/>
      <c r="AQ1071" s="4" t="n"/>
      <c r="AR1071" s="4" t="n"/>
      <c r="AS1071" s="24">
        <f>IF($AR1071="","",HYPERLINK(p_ruta_base_checklists&amp;$AR1071,"abrir"))</f>
        <v/>
      </c>
      <c r="AT1071" s="4" t="n"/>
      <c r="AU1071" s="24">
        <f>IF($A1071="","",$A1071&amp;IF($B1071="","0010",$B1071))</f>
        <v/>
      </c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41" t="n"/>
      <c r="K1072" s="5" t="n"/>
      <c r="L1072" s="18" t="n"/>
      <c r="M1072" s="24">
        <f>IF($A1072="","",IFERROR(INDEX('AJUSTES'!$B$4:$B$303,MATCH($AU1072,'AJUSTES'!$A$4:$A$303,0)),IF($K1072="","",$K1072)))</f>
        <v/>
      </c>
      <c r="N1072" s="24">
        <f>IF($A1072="","",IFERROR(INDEX('CAT_ESTADOS_ERP'!$B$4:$B$22,MATCH(IFERROR(INDEX('2_IMPORTAR_EJECUCION'!$C$9:$C$1208,MATCH($AU1072,'2_IMPORTAR_EJECUCION'!$J$9:$J$1208,0)),""),'CAT_ESTADOS_ERP'!$A$4:$A$22,0)),"Pendiente"))</f>
        <v/>
      </c>
      <c r="O1072" s="24">
        <f>IF($J1072="","",YEAR($J1072+4-WEEKDAY($J1072,2))&amp;"-S"&amp;TEXT(_xlfn.ISOWEEKNUM($J1072),"00"))</f>
        <v/>
      </c>
      <c r="P1072" s="24">
        <f>IF($J1072="","",YEAR($J1072))</f>
        <v/>
      </c>
      <c r="Q1072" s="24">
        <f>IF($J1072="","",MONTH($J1072))</f>
        <v/>
      </c>
      <c r="R1072" s="24">
        <f>IF($J1072="","",$P1072&amp;"-"&amp;TEXT($Q1072,"00"))</f>
        <v/>
      </c>
      <c r="S1072" s="24">
        <f>IF($J1072="","",INDEX(lista_dias,WEEKDAY($J1072,2)))</f>
        <v/>
      </c>
      <c r="T1072" s="24">
        <f>IF($J1072="","",IFERROR(INDEX('CALENDARIO'!$C$15:$C$214,MATCH(TEXT($J1072,"yyyy-mm-dd")&amp;"|"&amp;$Y1072&amp;"|"&amp;$Z1072,'CALENDARIO'!$G$15:$G$214,0)),IFERROR(INDEX('CALENDARIO'!$C$15:$C$214,MATCH(TEXT($J1072,"yyyy-mm-dd")&amp;"|"&amp;$Y1072&amp;"|",'CALENDARIO'!$G$15:$G$214,0)),IFERROR(INDEX('CALENDARIO'!$C$15:$C$214,MATCH(TEXT($J1072,"yyyy-mm-dd")&amp;"||",'CALENDARIO'!$G$15:$G$214,0)),INDEX(patronHabil,WEEKDAY($J1072,2))))))</f>
        <v/>
      </c>
      <c r="U1072" s="24">
        <f>IF($I1072="","",IFERROR(INDEX('CAT_TIPOS_OT'!$C$4:$C$23,MATCH($I1072,'CAT_TIPOS_OT'!$A$4:$A$23,0)),"sin_clasificar"))</f>
        <v/>
      </c>
      <c r="V1072" s="24">
        <f>IF($I1072="","",IF(IFERROR(INDEX('CAT_TIPOS_OT'!$D$4:$D$23,MATCH($I1072,'CAT_TIPOS_OT'!$A$4:$A$23,0)),"SIN CLASIFICAR")="","SIN CLASIFICAR",IFERROR(INDEX('CAT_TIPOS_OT'!$D$4:$D$23,MATCH($I1072,'CAT_TIPOS_OT'!$A$4:$A$23,0)),"SIN CLASIFICAR")))</f>
        <v/>
      </c>
      <c r="W1072" s="24">
        <f>IF($H1072="","",IF(IFERROR(INDEX('CAT_ACTIVIDADES'!$F$4:$F$26,MATCH($H1072,'CAT_ACTIVIDADES'!$A$4:$A$26,0)),"")=0,"",IFERROR(INDEX('CAT_ACTIVIDADES'!$F$4:$F$26,MATCH($H1072,'CAT_ACTIVIDADES'!$A$4:$A$26,0)),"")))</f>
        <v/>
      </c>
      <c r="X1072" s="24">
        <f>IF($F1072="","",IFERROR(INDEX('CAT_CENTROS_COSTO'!$F$4:$F$28,MATCH($F1072,'CAT_CENTROS_COSTO'!$A$4:$A$28,0)),"(sin catálogo)"))</f>
        <v/>
      </c>
      <c r="Y1072" s="24">
        <f>IF($F1072="","",IFERROR(INDEX('CAT_CENTROS_COSTO'!$D$4:$D$28,MATCH($F1072,'CAT_CENTROS_COSTO'!$A$4:$A$28,0)),"(sin catálogo)"))</f>
        <v/>
      </c>
      <c r="Z1072" s="24">
        <f>IF($F1072="","",IF((IFERROR(INDEX('CAT_CENTROS_COSTO'!$E$4:$E$28,MATCH($F1072,'CAT_CENTROS_COSTO'!$A$4:$A$28,0)),""))&lt;&gt;"",IFERROR(INDEX('CAT_CENTROS_COSTO'!$E$4:$E$28,MATCH($F1072,'CAT_CENTROS_COSTO'!$A$4:$A$28,0)),""),$Y1072))</f>
        <v/>
      </c>
      <c r="AA1072" s="24">
        <f>IF($F1072="","",IFERROR(INDEX('CAT_CENTROS_COSTO'!$G$4:$G$28,MATCH($F1072,'CAT_CENTROS_COSTO'!$A$4:$A$28,0)),"(sin catálogo)"))</f>
        <v/>
      </c>
      <c r="AB1072" s="24">
        <f>IF($G1072="","",IFERROR(INDEX('CAT_PUESTOS'!$B$4:$B$23,MATCH($G1072,'CAT_PUESTOS'!$A$4:$A$23,0)),"(sin catálogo)"))</f>
        <v/>
      </c>
      <c r="AC1072" s="24">
        <f>IF($H1072="","",IFERROR(INDEX('CAT_ACTIVIDADES'!$B$4:$B$26,MATCH($H1072,'CAT_ACTIVIDADES'!$A$4:$A$26,0)),"(sin catálogo)"))</f>
        <v/>
      </c>
      <c r="AD1072" s="26">
        <f>IF($J1072="","",TODAY()-$J1072)</f>
        <v/>
      </c>
      <c r="AE1072" s="26">
        <f>IF($J1072="","",IF($J1072&lt;=TODAY(),COUNTIFS(cal_fechas,"&gt;="&amp;$J1072,cal_fechas,"&lt;"&amp;TODAY(),cal_habil,"sí"),-COUNTIFS(cal_fechas,"&gt;="&amp;TODAY(),cal_fechas,"&lt;"&amp;$J1072,cal_habil,"sí")))</f>
        <v/>
      </c>
      <c r="AF1072" s="24">
        <f>IF($AE1072="","",IF($AE1072&lt;0,"FUTURO",IF($AE1072&gt;p_dias_backlog_max,"BACKLOG","MES CORRIENTE")))</f>
        <v/>
      </c>
      <c r="AG1072" s="24">
        <f>IF($AE1072="",FALSE,AND($AE1072&gt;p_dias_backlog_min,$AE1072&lt;=p_dias_backlog_max))</f>
        <v/>
      </c>
      <c r="AH1072" s="4" t="n"/>
      <c r="AI1072" s="24">
        <f>IF($AH1072="","",IF((IFERROR(INDEX('ASIGNACIONES'!$J$4:$J$451,MATCH($O1072&amp;"|"&amp;$S1072&amp;"|"&amp;$AH1072,'ASIGNACIONES'!$N$4:$N$451,0)),""))=0,"",IFERROR(INDEX('ASIGNACIONES'!$J$4:$J$451,MATCH($O1072&amp;"|"&amp;$S1072&amp;"|"&amp;$AH1072,'ASIGNACIONES'!$N$4:$N$451,0)),"")))</f>
        <v/>
      </c>
      <c r="AJ1072" s="42">
        <f>IF($AH1072="","",SUMIFS('ORDENES'!$M$4:$M$1203,'ORDENES'!$AH$4:$AH$1203,$AH1072,'ORDENES'!$O$4:$O$1203,$O1072,'ORDENES'!$S$4:$S$1203,$S1072))</f>
        <v/>
      </c>
      <c r="AK1072" s="42">
        <f>IF($AJ1072="","",p_factor_productividad*IFERROR(INDEX('ASIGNACIONES'!$M$4:$M$451,MATCH($O1072&amp;"|"&amp;$S1072&amp;"|"&amp;$AH1072,'ASIGNACIONES'!$N$4:$N$451,0)),0)-$AJ1072)</f>
        <v/>
      </c>
      <c r="AL1072" s="32">
        <f>IF($A1072="","",IFERROR(INDEX('2_IMPORTAR_EJECUCION'!$F$9:$F$1208,MATCH($AU1072,'2_IMPORTAR_EJECUCION'!$J$9:$J$1208,0)),0))</f>
        <v/>
      </c>
      <c r="AM1072" s="32">
        <f>IF($A1072="","",MAX(0,IFERROR(INDEX('2_IMPORTAR_EJECUCION'!$H$9:$H$1208,MATCH($AU1072,'2_IMPORTAR_EJECUCION'!$J$9:$J$1208,0)),0)-$AL1072))</f>
        <v/>
      </c>
      <c r="AN1072" s="32">
        <f>IF($A1072="","",$AL1072+$AM1072)</f>
        <v/>
      </c>
      <c r="AO1072" s="24">
        <f>IF($A1072="","",IF(OR((IFERROR(INDEX('CAT_ACTIVIDADES'!$D$4:$D$26,MATCH($H1072,'CAT_ACTIVIDADES'!$A$4:$A$26,0)),""))=0,(IFERROR(INDEX('CAT_ACTIVIDADES'!$D$4:$D$26,MATCH($H1072,'CAT_ACTIVIDADES'!$A$4:$A$26,0)),""))=""),"SIN CLASIFICAR",IFERROR(INDEX('CAT_ACTIVIDADES'!$D$4:$D$26,MATCH($H1072,'CAT_ACTIVIDADES'!$A$4:$A$26,0)),"")))</f>
        <v/>
      </c>
      <c r="AP1072" s="4" t="n"/>
      <c r="AQ1072" s="4" t="n"/>
      <c r="AR1072" s="4" t="n"/>
      <c r="AS1072" s="24">
        <f>IF($AR1072="","",HYPERLINK(p_ruta_base_checklists&amp;$AR1072,"abrir"))</f>
        <v/>
      </c>
      <c r="AT1072" s="4" t="n"/>
      <c r="AU1072" s="24">
        <f>IF($A1072="","",$A1072&amp;IF($B1072="","0010",$B1072))</f>
        <v/>
      </c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41" t="n"/>
      <c r="K1073" s="5" t="n"/>
      <c r="L1073" s="18" t="n"/>
      <c r="M1073" s="24">
        <f>IF($A1073="","",IFERROR(INDEX('AJUSTES'!$B$4:$B$303,MATCH($AU1073,'AJUSTES'!$A$4:$A$303,0)),IF($K1073="","",$K1073)))</f>
        <v/>
      </c>
      <c r="N1073" s="24">
        <f>IF($A1073="","",IFERROR(INDEX('CAT_ESTADOS_ERP'!$B$4:$B$22,MATCH(IFERROR(INDEX('2_IMPORTAR_EJECUCION'!$C$9:$C$1208,MATCH($AU1073,'2_IMPORTAR_EJECUCION'!$J$9:$J$1208,0)),""),'CAT_ESTADOS_ERP'!$A$4:$A$22,0)),"Pendiente"))</f>
        <v/>
      </c>
      <c r="O1073" s="24">
        <f>IF($J1073="","",YEAR($J1073+4-WEEKDAY($J1073,2))&amp;"-S"&amp;TEXT(_xlfn.ISOWEEKNUM($J1073),"00"))</f>
        <v/>
      </c>
      <c r="P1073" s="24">
        <f>IF($J1073="","",YEAR($J1073))</f>
        <v/>
      </c>
      <c r="Q1073" s="24">
        <f>IF($J1073="","",MONTH($J1073))</f>
        <v/>
      </c>
      <c r="R1073" s="24">
        <f>IF($J1073="","",$P1073&amp;"-"&amp;TEXT($Q1073,"00"))</f>
        <v/>
      </c>
      <c r="S1073" s="24">
        <f>IF($J1073="","",INDEX(lista_dias,WEEKDAY($J1073,2)))</f>
        <v/>
      </c>
      <c r="T1073" s="24">
        <f>IF($J1073="","",IFERROR(INDEX('CALENDARIO'!$C$15:$C$214,MATCH(TEXT($J1073,"yyyy-mm-dd")&amp;"|"&amp;$Y1073&amp;"|"&amp;$Z1073,'CALENDARIO'!$G$15:$G$214,0)),IFERROR(INDEX('CALENDARIO'!$C$15:$C$214,MATCH(TEXT($J1073,"yyyy-mm-dd")&amp;"|"&amp;$Y1073&amp;"|",'CALENDARIO'!$G$15:$G$214,0)),IFERROR(INDEX('CALENDARIO'!$C$15:$C$214,MATCH(TEXT($J1073,"yyyy-mm-dd")&amp;"||",'CALENDARIO'!$G$15:$G$214,0)),INDEX(patronHabil,WEEKDAY($J1073,2))))))</f>
        <v/>
      </c>
      <c r="U1073" s="24">
        <f>IF($I1073="","",IFERROR(INDEX('CAT_TIPOS_OT'!$C$4:$C$23,MATCH($I1073,'CAT_TIPOS_OT'!$A$4:$A$23,0)),"sin_clasificar"))</f>
        <v/>
      </c>
      <c r="V1073" s="24">
        <f>IF($I1073="","",IF(IFERROR(INDEX('CAT_TIPOS_OT'!$D$4:$D$23,MATCH($I1073,'CAT_TIPOS_OT'!$A$4:$A$23,0)),"SIN CLASIFICAR")="","SIN CLASIFICAR",IFERROR(INDEX('CAT_TIPOS_OT'!$D$4:$D$23,MATCH($I1073,'CAT_TIPOS_OT'!$A$4:$A$23,0)),"SIN CLASIFICAR")))</f>
        <v/>
      </c>
      <c r="W1073" s="24">
        <f>IF($H1073="","",IF(IFERROR(INDEX('CAT_ACTIVIDADES'!$F$4:$F$26,MATCH($H1073,'CAT_ACTIVIDADES'!$A$4:$A$26,0)),"")=0,"",IFERROR(INDEX('CAT_ACTIVIDADES'!$F$4:$F$26,MATCH($H1073,'CAT_ACTIVIDADES'!$A$4:$A$26,0)),"")))</f>
        <v/>
      </c>
      <c r="X1073" s="24">
        <f>IF($F1073="","",IFERROR(INDEX('CAT_CENTROS_COSTO'!$F$4:$F$28,MATCH($F1073,'CAT_CENTROS_COSTO'!$A$4:$A$28,0)),"(sin catálogo)"))</f>
        <v/>
      </c>
      <c r="Y1073" s="24">
        <f>IF($F1073="","",IFERROR(INDEX('CAT_CENTROS_COSTO'!$D$4:$D$28,MATCH($F1073,'CAT_CENTROS_COSTO'!$A$4:$A$28,0)),"(sin catálogo)"))</f>
        <v/>
      </c>
      <c r="Z1073" s="24">
        <f>IF($F1073="","",IF((IFERROR(INDEX('CAT_CENTROS_COSTO'!$E$4:$E$28,MATCH($F1073,'CAT_CENTROS_COSTO'!$A$4:$A$28,0)),""))&lt;&gt;"",IFERROR(INDEX('CAT_CENTROS_COSTO'!$E$4:$E$28,MATCH($F1073,'CAT_CENTROS_COSTO'!$A$4:$A$28,0)),""),$Y1073))</f>
        <v/>
      </c>
      <c r="AA1073" s="24">
        <f>IF($F1073="","",IFERROR(INDEX('CAT_CENTROS_COSTO'!$G$4:$G$28,MATCH($F1073,'CAT_CENTROS_COSTO'!$A$4:$A$28,0)),"(sin catálogo)"))</f>
        <v/>
      </c>
      <c r="AB1073" s="24">
        <f>IF($G1073="","",IFERROR(INDEX('CAT_PUESTOS'!$B$4:$B$23,MATCH($G1073,'CAT_PUESTOS'!$A$4:$A$23,0)),"(sin catálogo)"))</f>
        <v/>
      </c>
      <c r="AC1073" s="24">
        <f>IF($H1073="","",IFERROR(INDEX('CAT_ACTIVIDADES'!$B$4:$B$26,MATCH($H1073,'CAT_ACTIVIDADES'!$A$4:$A$26,0)),"(sin catálogo)"))</f>
        <v/>
      </c>
      <c r="AD1073" s="26">
        <f>IF($J1073="","",TODAY()-$J1073)</f>
        <v/>
      </c>
      <c r="AE1073" s="26">
        <f>IF($J1073="","",IF($J1073&lt;=TODAY(),COUNTIFS(cal_fechas,"&gt;="&amp;$J1073,cal_fechas,"&lt;"&amp;TODAY(),cal_habil,"sí"),-COUNTIFS(cal_fechas,"&gt;="&amp;TODAY(),cal_fechas,"&lt;"&amp;$J1073,cal_habil,"sí")))</f>
        <v/>
      </c>
      <c r="AF1073" s="24">
        <f>IF($AE1073="","",IF($AE1073&lt;0,"FUTURO",IF($AE1073&gt;p_dias_backlog_max,"BACKLOG","MES CORRIENTE")))</f>
        <v/>
      </c>
      <c r="AG1073" s="24">
        <f>IF($AE1073="",FALSE,AND($AE1073&gt;p_dias_backlog_min,$AE1073&lt;=p_dias_backlog_max))</f>
        <v/>
      </c>
      <c r="AH1073" s="4" t="n"/>
      <c r="AI1073" s="24">
        <f>IF($AH1073="","",IF((IFERROR(INDEX('ASIGNACIONES'!$J$4:$J$451,MATCH($O1073&amp;"|"&amp;$S1073&amp;"|"&amp;$AH1073,'ASIGNACIONES'!$N$4:$N$451,0)),""))=0,"",IFERROR(INDEX('ASIGNACIONES'!$J$4:$J$451,MATCH($O1073&amp;"|"&amp;$S1073&amp;"|"&amp;$AH1073,'ASIGNACIONES'!$N$4:$N$451,0)),"")))</f>
        <v/>
      </c>
      <c r="AJ1073" s="42">
        <f>IF($AH1073="","",SUMIFS('ORDENES'!$M$4:$M$1203,'ORDENES'!$AH$4:$AH$1203,$AH1073,'ORDENES'!$O$4:$O$1203,$O1073,'ORDENES'!$S$4:$S$1203,$S1073))</f>
        <v/>
      </c>
      <c r="AK1073" s="42">
        <f>IF($AJ1073="","",p_factor_productividad*IFERROR(INDEX('ASIGNACIONES'!$M$4:$M$451,MATCH($O1073&amp;"|"&amp;$S1073&amp;"|"&amp;$AH1073,'ASIGNACIONES'!$N$4:$N$451,0)),0)-$AJ1073)</f>
        <v/>
      </c>
      <c r="AL1073" s="32">
        <f>IF($A1073="","",IFERROR(INDEX('2_IMPORTAR_EJECUCION'!$F$9:$F$1208,MATCH($AU1073,'2_IMPORTAR_EJECUCION'!$J$9:$J$1208,0)),0))</f>
        <v/>
      </c>
      <c r="AM1073" s="32">
        <f>IF($A1073="","",MAX(0,IFERROR(INDEX('2_IMPORTAR_EJECUCION'!$H$9:$H$1208,MATCH($AU1073,'2_IMPORTAR_EJECUCION'!$J$9:$J$1208,0)),0)-$AL1073))</f>
        <v/>
      </c>
      <c r="AN1073" s="32">
        <f>IF($A1073="","",$AL1073+$AM1073)</f>
        <v/>
      </c>
      <c r="AO1073" s="24">
        <f>IF($A1073="","",IF(OR((IFERROR(INDEX('CAT_ACTIVIDADES'!$D$4:$D$26,MATCH($H1073,'CAT_ACTIVIDADES'!$A$4:$A$26,0)),""))=0,(IFERROR(INDEX('CAT_ACTIVIDADES'!$D$4:$D$26,MATCH($H1073,'CAT_ACTIVIDADES'!$A$4:$A$26,0)),""))=""),"SIN CLASIFICAR",IFERROR(INDEX('CAT_ACTIVIDADES'!$D$4:$D$26,MATCH($H1073,'CAT_ACTIVIDADES'!$A$4:$A$26,0)),"")))</f>
        <v/>
      </c>
      <c r="AP1073" s="4" t="n"/>
      <c r="AQ1073" s="4" t="n"/>
      <c r="AR1073" s="4" t="n"/>
      <c r="AS1073" s="24">
        <f>IF($AR1073="","",HYPERLINK(p_ruta_base_checklists&amp;$AR1073,"abrir"))</f>
        <v/>
      </c>
      <c r="AT1073" s="4" t="n"/>
      <c r="AU1073" s="24">
        <f>IF($A1073="","",$A1073&amp;IF($B1073="","0010",$B1073))</f>
        <v/>
      </c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41" t="n"/>
      <c r="K1074" s="5" t="n"/>
      <c r="L1074" s="18" t="n"/>
      <c r="M1074" s="24">
        <f>IF($A1074="","",IFERROR(INDEX('AJUSTES'!$B$4:$B$303,MATCH($AU1074,'AJUSTES'!$A$4:$A$303,0)),IF($K1074="","",$K1074)))</f>
        <v/>
      </c>
      <c r="N1074" s="24">
        <f>IF($A1074="","",IFERROR(INDEX('CAT_ESTADOS_ERP'!$B$4:$B$22,MATCH(IFERROR(INDEX('2_IMPORTAR_EJECUCION'!$C$9:$C$1208,MATCH($AU1074,'2_IMPORTAR_EJECUCION'!$J$9:$J$1208,0)),""),'CAT_ESTADOS_ERP'!$A$4:$A$22,0)),"Pendiente"))</f>
        <v/>
      </c>
      <c r="O1074" s="24">
        <f>IF($J1074="","",YEAR($J1074+4-WEEKDAY($J1074,2))&amp;"-S"&amp;TEXT(_xlfn.ISOWEEKNUM($J1074),"00"))</f>
        <v/>
      </c>
      <c r="P1074" s="24">
        <f>IF($J1074="","",YEAR($J1074))</f>
        <v/>
      </c>
      <c r="Q1074" s="24">
        <f>IF($J1074="","",MONTH($J1074))</f>
        <v/>
      </c>
      <c r="R1074" s="24">
        <f>IF($J1074="","",$P1074&amp;"-"&amp;TEXT($Q1074,"00"))</f>
        <v/>
      </c>
      <c r="S1074" s="24">
        <f>IF($J1074="","",INDEX(lista_dias,WEEKDAY($J1074,2)))</f>
        <v/>
      </c>
      <c r="T1074" s="24">
        <f>IF($J1074="","",IFERROR(INDEX('CALENDARIO'!$C$15:$C$214,MATCH(TEXT($J1074,"yyyy-mm-dd")&amp;"|"&amp;$Y1074&amp;"|"&amp;$Z1074,'CALENDARIO'!$G$15:$G$214,0)),IFERROR(INDEX('CALENDARIO'!$C$15:$C$214,MATCH(TEXT($J1074,"yyyy-mm-dd")&amp;"|"&amp;$Y1074&amp;"|",'CALENDARIO'!$G$15:$G$214,0)),IFERROR(INDEX('CALENDARIO'!$C$15:$C$214,MATCH(TEXT($J1074,"yyyy-mm-dd")&amp;"||",'CALENDARIO'!$G$15:$G$214,0)),INDEX(patronHabil,WEEKDAY($J1074,2))))))</f>
        <v/>
      </c>
      <c r="U1074" s="24">
        <f>IF($I1074="","",IFERROR(INDEX('CAT_TIPOS_OT'!$C$4:$C$23,MATCH($I1074,'CAT_TIPOS_OT'!$A$4:$A$23,0)),"sin_clasificar"))</f>
        <v/>
      </c>
      <c r="V1074" s="24">
        <f>IF($I1074="","",IF(IFERROR(INDEX('CAT_TIPOS_OT'!$D$4:$D$23,MATCH($I1074,'CAT_TIPOS_OT'!$A$4:$A$23,0)),"SIN CLASIFICAR")="","SIN CLASIFICAR",IFERROR(INDEX('CAT_TIPOS_OT'!$D$4:$D$23,MATCH($I1074,'CAT_TIPOS_OT'!$A$4:$A$23,0)),"SIN CLASIFICAR")))</f>
        <v/>
      </c>
      <c r="W1074" s="24">
        <f>IF($H1074="","",IF(IFERROR(INDEX('CAT_ACTIVIDADES'!$F$4:$F$26,MATCH($H1074,'CAT_ACTIVIDADES'!$A$4:$A$26,0)),"")=0,"",IFERROR(INDEX('CAT_ACTIVIDADES'!$F$4:$F$26,MATCH($H1074,'CAT_ACTIVIDADES'!$A$4:$A$26,0)),"")))</f>
        <v/>
      </c>
      <c r="X1074" s="24">
        <f>IF($F1074="","",IFERROR(INDEX('CAT_CENTROS_COSTO'!$F$4:$F$28,MATCH($F1074,'CAT_CENTROS_COSTO'!$A$4:$A$28,0)),"(sin catálogo)"))</f>
        <v/>
      </c>
      <c r="Y1074" s="24">
        <f>IF($F1074="","",IFERROR(INDEX('CAT_CENTROS_COSTO'!$D$4:$D$28,MATCH($F1074,'CAT_CENTROS_COSTO'!$A$4:$A$28,0)),"(sin catálogo)"))</f>
        <v/>
      </c>
      <c r="Z1074" s="24">
        <f>IF($F1074="","",IF((IFERROR(INDEX('CAT_CENTROS_COSTO'!$E$4:$E$28,MATCH($F1074,'CAT_CENTROS_COSTO'!$A$4:$A$28,0)),""))&lt;&gt;"",IFERROR(INDEX('CAT_CENTROS_COSTO'!$E$4:$E$28,MATCH($F1074,'CAT_CENTROS_COSTO'!$A$4:$A$28,0)),""),$Y1074))</f>
        <v/>
      </c>
      <c r="AA1074" s="24">
        <f>IF($F1074="","",IFERROR(INDEX('CAT_CENTROS_COSTO'!$G$4:$G$28,MATCH($F1074,'CAT_CENTROS_COSTO'!$A$4:$A$28,0)),"(sin catálogo)"))</f>
        <v/>
      </c>
      <c r="AB1074" s="24">
        <f>IF($G1074="","",IFERROR(INDEX('CAT_PUESTOS'!$B$4:$B$23,MATCH($G1074,'CAT_PUESTOS'!$A$4:$A$23,0)),"(sin catálogo)"))</f>
        <v/>
      </c>
      <c r="AC1074" s="24">
        <f>IF($H1074="","",IFERROR(INDEX('CAT_ACTIVIDADES'!$B$4:$B$26,MATCH($H1074,'CAT_ACTIVIDADES'!$A$4:$A$26,0)),"(sin catálogo)"))</f>
        <v/>
      </c>
      <c r="AD1074" s="26">
        <f>IF($J1074="","",TODAY()-$J1074)</f>
        <v/>
      </c>
      <c r="AE1074" s="26">
        <f>IF($J1074="","",IF($J1074&lt;=TODAY(),COUNTIFS(cal_fechas,"&gt;="&amp;$J1074,cal_fechas,"&lt;"&amp;TODAY(),cal_habil,"sí"),-COUNTIFS(cal_fechas,"&gt;="&amp;TODAY(),cal_fechas,"&lt;"&amp;$J1074,cal_habil,"sí")))</f>
        <v/>
      </c>
      <c r="AF1074" s="24">
        <f>IF($AE1074="","",IF($AE1074&lt;0,"FUTURO",IF($AE1074&gt;p_dias_backlog_max,"BACKLOG","MES CORRIENTE")))</f>
        <v/>
      </c>
      <c r="AG1074" s="24">
        <f>IF($AE1074="",FALSE,AND($AE1074&gt;p_dias_backlog_min,$AE1074&lt;=p_dias_backlog_max))</f>
        <v/>
      </c>
      <c r="AH1074" s="4" t="n"/>
      <c r="AI1074" s="24">
        <f>IF($AH1074="","",IF((IFERROR(INDEX('ASIGNACIONES'!$J$4:$J$451,MATCH($O1074&amp;"|"&amp;$S1074&amp;"|"&amp;$AH1074,'ASIGNACIONES'!$N$4:$N$451,0)),""))=0,"",IFERROR(INDEX('ASIGNACIONES'!$J$4:$J$451,MATCH($O1074&amp;"|"&amp;$S1074&amp;"|"&amp;$AH1074,'ASIGNACIONES'!$N$4:$N$451,0)),"")))</f>
        <v/>
      </c>
      <c r="AJ1074" s="42">
        <f>IF($AH1074="","",SUMIFS('ORDENES'!$M$4:$M$1203,'ORDENES'!$AH$4:$AH$1203,$AH1074,'ORDENES'!$O$4:$O$1203,$O1074,'ORDENES'!$S$4:$S$1203,$S1074))</f>
        <v/>
      </c>
      <c r="AK1074" s="42">
        <f>IF($AJ1074="","",p_factor_productividad*IFERROR(INDEX('ASIGNACIONES'!$M$4:$M$451,MATCH($O1074&amp;"|"&amp;$S1074&amp;"|"&amp;$AH1074,'ASIGNACIONES'!$N$4:$N$451,0)),0)-$AJ1074)</f>
        <v/>
      </c>
      <c r="AL1074" s="32">
        <f>IF($A1074="","",IFERROR(INDEX('2_IMPORTAR_EJECUCION'!$F$9:$F$1208,MATCH($AU1074,'2_IMPORTAR_EJECUCION'!$J$9:$J$1208,0)),0))</f>
        <v/>
      </c>
      <c r="AM1074" s="32">
        <f>IF($A1074="","",MAX(0,IFERROR(INDEX('2_IMPORTAR_EJECUCION'!$H$9:$H$1208,MATCH($AU1074,'2_IMPORTAR_EJECUCION'!$J$9:$J$1208,0)),0)-$AL1074))</f>
        <v/>
      </c>
      <c r="AN1074" s="32">
        <f>IF($A1074="","",$AL1074+$AM1074)</f>
        <v/>
      </c>
      <c r="AO1074" s="24">
        <f>IF($A1074="","",IF(OR((IFERROR(INDEX('CAT_ACTIVIDADES'!$D$4:$D$26,MATCH($H1074,'CAT_ACTIVIDADES'!$A$4:$A$26,0)),""))=0,(IFERROR(INDEX('CAT_ACTIVIDADES'!$D$4:$D$26,MATCH($H1074,'CAT_ACTIVIDADES'!$A$4:$A$26,0)),""))=""),"SIN CLASIFICAR",IFERROR(INDEX('CAT_ACTIVIDADES'!$D$4:$D$26,MATCH($H1074,'CAT_ACTIVIDADES'!$A$4:$A$26,0)),"")))</f>
        <v/>
      </c>
      <c r="AP1074" s="4" t="n"/>
      <c r="AQ1074" s="4" t="n"/>
      <c r="AR1074" s="4" t="n"/>
      <c r="AS1074" s="24">
        <f>IF($AR1074="","",HYPERLINK(p_ruta_base_checklists&amp;$AR1074,"abrir"))</f>
        <v/>
      </c>
      <c r="AT1074" s="4" t="n"/>
      <c r="AU1074" s="24">
        <f>IF($A1074="","",$A1074&amp;IF($B1074="","0010",$B1074))</f>
        <v/>
      </c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41" t="n"/>
      <c r="K1075" s="5" t="n"/>
      <c r="L1075" s="18" t="n"/>
      <c r="M1075" s="24">
        <f>IF($A1075="","",IFERROR(INDEX('AJUSTES'!$B$4:$B$303,MATCH($AU1075,'AJUSTES'!$A$4:$A$303,0)),IF($K1075="","",$K1075)))</f>
        <v/>
      </c>
      <c r="N1075" s="24">
        <f>IF($A1075="","",IFERROR(INDEX('CAT_ESTADOS_ERP'!$B$4:$B$22,MATCH(IFERROR(INDEX('2_IMPORTAR_EJECUCION'!$C$9:$C$1208,MATCH($AU1075,'2_IMPORTAR_EJECUCION'!$J$9:$J$1208,0)),""),'CAT_ESTADOS_ERP'!$A$4:$A$22,0)),"Pendiente"))</f>
        <v/>
      </c>
      <c r="O1075" s="24">
        <f>IF($J1075="","",YEAR($J1075+4-WEEKDAY($J1075,2))&amp;"-S"&amp;TEXT(_xlfn.ISOWEEKNUM($J1075),"00"))</f>
        <v/>
      </c>
      <c r="P1075" s="24">
        <f>IF($J1075="","",YEAR($J1075))</f>
        <v/>
      </c>
      <c r="Q1075" s="24">
        <f>IF($J1075="","",MONTH($J1075))</f>
        <v/>
      </c>
      <c r="R1075" s="24">
        <f>IF($J1075="","",$P1075&amp;"-"&amp;TEXT($Q1075,"00"))</f>
        <v/>
      </c>
      <c r="S1075" s="24">
        <f>IF($J1075="","",INDEX(lista_dias,WEEKDAY($J1075,2)))</f>
        <v/>
      </c>
      <c r="T1075" s="24">
        <f>IF($J1075="","",IFERROR(INDEX('CALENDARIO'!$C$15:$C$214,MATCH(TEXT($J1075,"yyyy-mm-dd")&amp;"|"&amp;$Y1075&amp;"|"&amp;$Z1075,'CALENDARIO'!$G$15:$G$214,0)),IFERROR(INDEX('CALENDARIO'!$C$15:$C$214,MATCH(TEXT($J1075,"yyyy-mm-dd")&amp;"|"&amp;$Y1075&amp;"|",'CALENDARIO'!$G$15:$G$214,0)),IFERROR(INDEX('CALENDARIO'!$C$15:$C$214,MATCH(TEXT($J1075,"yyyy-mm-dd")&amp;"||",'CALENDARIO'!$G$15:$G$214,0)),INDEX(patronHabil,WEEKDAY($J1075,2))))))</f>
        <v/>
      </c>
      <c r="U1075" s="24">
        <f>IF($I1075="","",IFERROR(INDEX('CAT_TIPOS_OT'!$C$4:$C$23,MATCH($I1075,'CAT_TIPOS_OT'!$A$4:$A$23,0)),"sin_clasificar"))</f>
        <v/>
      </c>
      <c r="V1075" s="24">
        <f>IF($I1075="","",IF(IFERROR(INDEX('CAT_TIPOS_OT'!$D$4:$D$23,MATCH($I1075,'CAT_TIPOS_OT'!$A$4:$A$23,0)),"SIN CLASIFICAR")="","SIN CLASIFICAR",IFERROR(INDEX('CAT_TIPOS_OT'!$D$4:$D$23,MATCH($I1075,'CAT_TIPOS_OT'!$A$4:$A$23,0)),"SIN CLASIFICAR")))</f>
        <v/>
      </c>
      <c r="W1075" s="24">
        <f>IF($H1075="","",IF(IFERROR(INDEX('CAT_ACTIVIDADES'!$F$4:$F$26,MATCH($H1075,'CAT_ACTIVIDADES'!$A$4:$A$26,0)),"")=0,"",IFERROR(INDEX('CAT_ACTIVIDADES'!$F$4:$F$26,MATCH($H1075,'CAT_ACTIVIDADES'!$A$4:$A$26,0)),"")))</f>
        <v/>
      </c>
      <c r="X1075" s="24">
        <f>IF($F1075="","",IFERROR(INDEX('CAT_CENTROS_COSTO'!$F$4:$F$28,MATCH($F1075,'CAT_CENTROS_COSTO'!$A$4:$A$28,0)),"(sin catálogo)"))</f>
        <v/>
      </c>
      <c r="Y1075" s="24">
        <f>IF($F1075="","",IFERROR(INDEX('CAT_CENTROS_COSTO'!$D$4:$D$28,MATCH($F1075,'CAT_CENTROS_COSTO'!$A$4:$A$28,0)),"(sin catálogo)"))</f>
        <v/>
      </c>
      <c r="Z1075" s="24">
        <f>IF($F1075="","",IF((IFERROR(INDEX('CAT_CENTROS_COSTO'!$E$4:$E$28,MATCH($F1075,'CAT_CENTROS_COSTO'!$A$4:$A$28,0)),""))&lt;&gt;"",IFERROR(INDEX('CAT_CENTROS_COSTO'!$E$4:$E$28,MATCH($F1075,'CAT_CENTROS_COSTO'!$A$4:$A$28,0)),""),$Y1075))</f>
        <v/>
      </c>
      <c r="AA1075" s="24">
        <f>IF($F1075="","",IFERROR(INDEX('CAT_CENTROS_COSTO'!$G$4:$G$28,MATCH($F1075,'CAT_CENTROS_COSTO'!$A$4:$A$28,0)),"(sin catálogo)"))</f>
        <v/>
      </c>
      <c r="AB1075" s="24">
        <f>IF($G1075="","",IFERROR(INDEX('CAT_PUESTOS'!$B$4:$B$23,MATCH($G1075,'CAT_PUESTOS'!$A$4:$A$23,0)),"(sin catálogo)"))</f>
        <v/>
      </c>
      <c r="AC1075" s="24">
        <f>IF($H1075="","",IFERROR(INDEX('CAT_ACTIVIDADES'!$B$4:$B$26,MATCH($H1075,'CAT_ACTIVIDADES'!$A$4:$A$26,0)),"(sin catálogo)"))</f>
        <v/>
      </c>
      <c r="AD1075" s="26">
        <f>IF($J1075="","",TODAY()-$J1075)</f>
        <v/>
      </c>
      <c r="AE1075" s="26">
        <f>IF($J1075="","",IF($J1075&lt;=TODAY(),COUNTIFS(cal_fechas,"&gt;="&amp;$J1075,cal_fechas,"&lt;"&amp;TODAY(),cal_habil,"sí"),-COUNTIFS(cal_fechas,"&gt;="&amp;TODAY(),cal_fechas,"&lt;"&amp;$J1075,cal_habil,"sí")))</f>
        <v/>
      </c>
      <c r="AF1075" s="24">
        <f>IF($AE1075="","",IF($AE1075&lt;0,"FUTURO",IF($AE1075&gt;p_dias_backlog_max,"BACKLOG","MES CORRIENTE")))</f>
        <v/>
      </c>
      <c r="AG1075" s="24">
        <f>IF($AE1075="",FALSE,AND($AE1075&gt;p_dias_backlog_min,$AE1075&lt;=p_dias_backlog_max))</f>
        <v/>
      </c>
      <c r="AH1075" s="4" t="n"/>
      <c r="AI1075" s="24">
        <f>IF($AH1075="","",IF((IFERROR(INDEX('ASIGNACIONES'!$J$4:$J$451,MATCH($O1075&amp;"|"&amp;$S1075&amp;"|"&amp;$AH1075,'ASIGNACIONES'!$N$4:$N$451,0)),""))=0,"",IFERROR(INDEX('ASIGNACIONES'!$J$4:$J$451,MATCH($O1075&amp;"|"&amp;$S1075&amp;"|"&amp;$AH1075,'ASIGNACIONES'!$N$4:$N$451,0)),"")))</f>
        <v/>
      </c>
      <c r="AJ1075" s="42">
        <f>IF($AH1075="","",SUMIFS('ORDENES'!$M$4:$M$1203,'ORDENES'!$AH$4:$AH$1203,$AH1075,'ORDENES'!$O$4:$O$1203,$O1075,'ORDENES'!$S$4:$S$1203,$S1075))</f>
        <v/>
      </c>
      <c r="AK1075" s="42">
        <f>IF($AJ1075="","",p_factor_productividad*IFERROR(INDEX('ASIGNACIONES'!$M$4:$M$451,MATCH($O1075&amp;"|"&amp;$S1075&amp;"|"&amp;$AH1075,'ASIGNACIONES'!$N$4:$N$451,0)),0)-$AJ1075)</f>
        <v/>
      </c>
      <c r="AL1075" s="32">
        <f>IF($A1075="","",IFERROR(INDEX('2_IMPORTAR_EJECUCION'!$F$9:$F$1208,MATCH($AU1075,'2_IMPORTAR_EJECUCION'!$J$9:$J$1208,0)),0))</f>
        <v/>
      </c>
      <c r="AM1075" s="32">
        <f>IF($A1075="","",MAX(0,IFERROR(INDEX('2_IMPORTAR_EJECUCION'!$H$9:$H$1208,MATCH($AU1075,'2_IMPORTAR_EJECUCION'!$J$9:$J$1208,0)),0)-$AL1075))</f>
        <v/>
      </c>
      <c r="AN1075" s="32">
        <f>IF($A1075="","",$AL1075+$AM1075)</f>
        <v/>
      </c>
      <c r="AO1075" s="24">
        <f>IF($A1075="","",IF(OR((IFERROR(INDEX('CAT_ACTIVIDADES'!$D$4:$D$26,MATCH($H1075,'CAT_ACTIVIDADES'!$A$4:$A$26,0)),""))=0,(IFERROR(INDEX('CAT_ACTIVIDADES'!$D$4:$D$26,MATCH($H1075,'CAT_ACTIVIDADES'!$A$4:$A$26,0)),""))=""),"SIN CLASIFICAR",IFERROR(INDEX('CAT_ACTIVIDADES'!$D$4:$D$26,MATCH($H1075,'CAT_ACTIVIDADES'!$A$4:$A$26,0)),"")))</f>
        <v/>
      </c>
      <c r="AP1075" s="4" t="n"/>
      <c r="AQ1075" s="4" t="n"/>
      <c r="AR1075" s="4" t="n"/>
      <c r="AS1075" s="24">
        <f>IF($AR1075="","",HYPERLINK(p_ruta_base_checklists&amp;$AR1075,"abrir"))</f>
        <v/>
      </c>
      <c r="AT1075" s="4" t="n"/>
      <c r="AU1075" s="24">
        <f>IF($A1075="","",$A1075&amp;IF($B1075="","0010",$B1075))</f>
        <v/>
      </c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41" t="n"/>
      <c r="K1076" s="5" t="n"/>
      <c r="L1076" s="18" t="n"/>
      <c r="M1076" s="24">
        <f>IF($A1076="","",IFERROR(INDEX('AJUSTES'!$B$4:$B$303,MATCH($AU1076,'AJUSTES'!$A$4:$A$303,0)),IF($K1076="","",$K1076)))</f>
        <v/>
      </c>
      <c r="N1076" s="24">
        <f>IF($A1076="","",IFERROR(INDEX('CAT_ESTADOS_ERP'!$B$4:$B$22,MATCH(IFERROR(INDEX('2_IMPORTAR_EJECUCION'!$C$9:$C$1208,MATCH($AU1076,'2_IMPORTAR_EJECUCION'!$J$9:$J$1208,0)),""),'CAT_ESTADOS_ERP'!$A$4:$A$22,0)),"Pendiente"))</f>
        <v/>
      </c>
      <c r="O1076" s="24">
        <f>IF($J1076="","",YEAR($J1076+4-WEEKDAY($J1076,2))&amp;"-S"&amp;TEXT(_xlfn.ISOWEEKNUM($J1076),"00"))</f>
        <v/>
      </c>
      <c r="P1076" s="24">
        <f>IF($J1076="","",YEAR($J1076))</f>
        <v/>
      </c>
      <c r="Q1076" s="24">
        <f>IF($J1076="","",MONTH($J1076))</f>
        <v/>
      </c>
      <c r="R1076" s="24">
        <f>IF($J1076="","",$P1076&amp;"-"&amp;TEXT($Q1076,"00"))</f>
        <v/>
      </c>
      <c r="S1076" s="24">
        <f>IF($J1076="","",INDEX(lista_dias,WEEKDAY($J1076,2)))</f>
        <v/>
      </c>
      <c r="T1076" s="24">
        <f>IF($J1076="","",IFERROR(INDEX('CALENDARIO'!$C$15:$C$214,MATCH(TEXT($J1076,"yyyy-mm-dd")&amp;"|"&amp;$Y1076&amp;"|"&amp;$Z1076,'CALENDARIO'!$G$15:$G$214,0)),IFERROR(INDEX('CALENDARIO'!$C$15:$C$214,MATCH(TEXT($J1076,"yyyy-mm-dd")&amp;"|"&amp;$Y1076&amp;"|",'CALENDARIO'!$G$15:$G$214,0)),IFERROR(INDEX('CALENDARIO'!$C$15:$C$214,MATCH(TEXT($J1076,"yyyy-mm-dd")&amp;"||",'CALENDARIO'!$G$15:$G$214,0)),INDEX(patronHabil,WEEKDAY($J1076,2))))))</f>
        <v/>
      </c>
      <c r="U1076" s="24">
        <f>IF($I1076="","",IFERROR(INDEX('CAT_TIPOS_OT'!$C$4:$C$23,MATCH($I1076,'CAT_TIPOS_OT'!$A$4:$A$23,0)),"sin_clasificar"))</f>
        <v/>
      </c>
      <c r="V1076" s="24">
        <f>IF($I1076="","",IF(IFERROR(INDEX('CAT_TIPOS_OT'!$D$4:$D$23,MATCH($I1076,'CAT_TIPOS_OT'!$A$4:$A$23,0)),"SIN CLASIFICAR")="","SIN CLASIFICAR",IFERROR(INDEX('CAT_TIPOS_OT'!$D$4:$D$23,MATCH($I1076,'CAT_TIPOS_OT'!$A$4:$A$23,0)),"SIN CLASIFICAR")))</f>
        <v/>
      </c>
      <c r="W1076" s="24">
        <f>IF($H1076="","",IF(IFERROR(INDEX('CAT_ACTIVIDADES'!$F$4:$F$26,MATCH($H1076,'CAT_ACTIVIDADES'!$A$4:$A$26,0)),"")=0,"",IFERROR(INDEX('CAT_ACTIVIDADES'!$F$4:$F$26,MATCH($H1076,'CAT_ACTIVIDADES'!$A$4:$A$26,0)),"")))</f>
        <v/>
      </c>
      <c r="X1076" s="24">
        <f>IF($F1076="","",IFERROR(INDEX('CAT_CENTROS_COSTO'!$F$4:$F$28,MATCH($F1076,'CAT_CENTROS_COSTO'!$A$4:$A$28,0)),"(sin catálogo)"))</f>
        <v/>
      </c>
      <c r="Y1076" s="24">
        <f>IF($F1076="","",IFERROR(INDEX('CAT_CENTROS_COSTO'!$D$4:$D$28,MATCH($F1076,'CAT_CENTROS_COSTO'!$A$4:$A$28,0)),"(sin catálogo)"))</f>
        <v/>
      </c>
      <c r="Z1076" s="24">
        <f>IF($F1076="","",IF((IFERROR(INDEX('CAT_CENTROS_COSTO'!$E$4:$E$28,MATCH($F1076,'CAT_CENTROS_COSTO'!$A$4:$A$28,0)),""))&lt;&gt;"",IFERROR(INDEX('CAT_CENTROS_COSTO'!$E$4:$E$28,MATCH($F1076,'CAT_CENTROS_COSTO'!$A$4:$A$28,0)),""),$Y1076))</f>
        <v/>
      </c>
      <c r="AA1076" s="24">
        <f>IF($F1076="","",IFERROR(INDEX('CAT_CENTROS_COSTO'!$G$4:$G$28,MATCH($F1076,'CAT_CENTROS_COSTO'!$A$4:$A$28,0)),"(sin catálogo)"))</f>
        <v/>
      </c>
      <c r="AB1076" s="24">
        <f>IF($G1076="","",IFERROR(INDEX('CAT_PUESTOS'!$B$4:$B$23,MATCH($G1076,'CAT_PUESTOS'!$A$4:$A$23,0)),"(sin catálogo)"))</f>
        <v/>
      </c>
      <c r="AC1076" s="24">
        <f>IF($H1076="","",IFERROR(INDEX('CAT_ACTIVIDADES'!$B$4:$B$26,MATCH($H1076,'CAT_ACTIVIDADES'!$A$4:$A$26,0)),"(sin catálogo)"))</f>
        <v/>
      </c>
      <c r="AD1076" s="26">
        <f>IF($J1076="","",TODAY()-$J1076)</f>
        <v/>
      </c>
      <c r="AE1076" s="26">
        <f>IF($J1076="","",IF($J1076&lt;=TODAY(),COUNTIFS(cal_fechas,"&gt;="&amp;$J1076,cal_fechas,"&lt;"&amp;TODAY(),cal_habil,"sí"),-COUNTIFS(cal_fechas,"&gt;="&amp;TODAY(),cal_fechas,"&lt;"&amp;$J1076,cal_habil,"sí")))</f>
        <v/>
      </c>
      <c r="AF1076" s="24">
        <f>IF($AE1076="","",IF($AE1076&lt;0,"FUTURO",IF($AE1076&gt;p_dias_backlog_max,"BACKLOG","MES CORRIENTE")))</f>
        <v/>
      </c>
      <c r="AG1076" s="24">
        <f>IF($AE1076="",FALSE,AND($AE1076&gt;p_dias_backlog_min,$AE1076&lt;=p_dias_backlog_max))</f>
        <v/>
      </c>
      <c r="AH1076" s="4" t="n"/>
      <c r="AI1076" s="24">
        <f>IF($AH1076="","",IF((IFERROR(INDEX('ASIGNACIONES'!$J$4:$J$451,MATCH($O1076&amp;"|"&amp;$S1076&amp;"|"&amp;$AH1076,'ASIGNACIONES'!$N$4:$N$451,0)),""))=0,"",IFERROR(INDEX('ASIGNACIONES'!$J$4:$J$451,MATCH($O1076&amp;"|"&amp;$S1076&amp;"|"&amp;$AH1076,'ASIGNACIONES'!$N$4:$N$451,0)),"")))</f>
        <v/>
      </c>
      <c r="AJ1076" s="42">
        <f>IF($AH1076="","",SUMIFS('ORDENES'!$M$4:$M$1203,'ORDENES'!$AH$4:$AH$1203,$AH1076,'ORDENES'!$O$4:$O$1203,$O1076,'ORDENES'!$S$4:$S$1203,$S1076))</f>
        <v/>
      </c>
      <c r="AK1076" s="42">
        <f>IF($AJ1076="","",p_factor_productividad*IFERROR(INDEX('ASIGNACIONES'!$M$4:$M$451,MATCH($O1076&amp;"|"&amp;$S1076&amp;"|"&amp;$AH1076,'ASIGNACIONES'!$N$4:$N$451,0)),0)-$AJ1076)</f>
        <v/>
      </c>
      <c r="AL1076" s="32">
        <f>IF($A1076="","",IFERROR(INDEX('2_IMPORTAR_EJECUCION'!$F$9:$F$1208,MATCH($AU1076,'2_IMPORTAR_EJECUCION'!$J$9:$J$1208,0)),0))</f>
        <v/>
      </c>
      <c r="AM1076" s="32">
        <f>IF($A1076="","",MAX(0,IFERROR(INDEX('2_IMPORTAR_EJECUCION'!$H$9:$H$1208,MATCH($AU1076,'2_IMPORTAR_EJECUCION'!$J$9:$J$1208,0)),0)-$AL1076))</f>
        <v/>
      </c>
      <c r="AN1076" s="32">
        <f>IF($A1076="","",$AL1076+$AM1076)</f>
        <v/>
      </c>
      <c r="AO1076" s="24">
        <f>IF($A1076="","",IF(OR((IFERROR(INDEX('CAT_ACTIVIDADES'!$D$4:$D$26,MATCH($H1076,'CAT_ACTIVIDADES'!$A$4:$A$26,0)),""))=0,(IFERROR(INDEX('CAT_ACTIVIDADES'!$D$4:$D$26,MATCH($H1076,'CAT_ACTIVIDADES'!$A$4:$A$26,0)),""))=""),"SIN CLASIFICAR",IFERROR(INDEX('CAT_ACTIVIDADES'!$D$4:$D$26,MATCH($H1076,'CAT_ACTIVIDADES'!$A$4:$A$26,0)),"")))</f>
        <v/>
      </c>
      <c r="AP1076" s="4" t="n"/>
      <c r="AQ1076" s="4" t="n"/>
      <c r="AR1076" s="4" t="n"/>
      <c r="AS1076" s="24">
        <f>IF($AR1076="","",HYPERLINK(p_ruta_base_checklists&amp;$AR1076,"abrir"))</f>
        <v/>
      </c>
      <c r="AT1076" s="4" t="n"/>
      <c r="AU1076" s="24">
        <f>IF($A1076="","",$A1076&amp;IF($B1076="","0010",$B1076))</f>
        <v/>
      </c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41" t="n"/>
      <c r="K1077" s="5" t="n"/>
      <c r="L1077" s="18" t="n"/>
      <c r="M1077" s="24">
        <f>IF($A1077="","",IFERROR(INDEX('AJUSTES'!$B$4:$B$303,MATCH($AU1077,'AJUSTES'!$A$4:$A$303,0)),IF($K1077="","",$K1077)))</f>
        <v/>
      </c>
      <c r="N1077" s="24">
        <f>IF($A1077="","",IFERROR(INDEX('CAT_ESTADOS_ERP'!$B$4:$B$22,MATCH(IFERROR(INDEX('2_IMPORTAR_EJECUCION'!$C$9:$C$1208,MATCH($AU1077,'2_IMPORTAR_EJECUCION'!$J$9:$J$1208,0)),""),'CAT_ESTADOS_ERP'!$A$4:$A$22,0)),"Pendiente"))</f>
        <v/>
      </c>
      <c r="O1077" s="24">
        <f>IF($J1077="","",YEAR($J1077+4-WEEKDAY($J1077,2))&amp;"-S"&amp;TEXT(_xlfn.ISOWEEKNUM($J1077),"00"))</f>
        <v/>
      </c>
      <c r="P1077" s="24">
        <f>IF($J1077="","",YEAR($J1077))</f>
        <v/>
      </c>
      <c r="Q1077" s="24">
        <f>IF($J1077="","",MONTH($J1077))</f>
        <v/>
      </c>
      <c r="R1077" s="24">
        <f>IF($J1077="","",$P1077&amp;"-"&amp;TEXT($Q1077,"00"))</f>
        <v/>
      </c>
      <c r="S1077" s="24">
        <f>IF($J1077="","",INDEX(lista_dias,WEEKDAY($J1077,2)))</f>
        <v/>
      </c>
      <c r="T1077" s="24">
        <f>IF($J1077="","",IFERROR(INDEX('CALENDARIO'!$C$15:$C$214,MATCH(TEXT($J1077,"yyyy-mm-dd")&amp;"|"&amp;$Y1077&amp;"|"&amp;$Z1077,'CALENDARIO'!$G$15:$G$214,0)),IFERROR(INDEX('CALENDARIO'!$C$15:$C$214,MATCH(TEXT($J1077,"yyyy-mm-dd")&amp;"|"&amp;$Y1077&amp;"|",'CALENDARIO'!$G$15:$G$214,0)),IFERROR(INDEX('CALENDARIO'!$C$15:$C$214,MATCH(TEXT($J1077,"yyyy-mm-dd")&amp;"||",'CALENDARIO'!$G$15:$G$214,0)),INDEX(patronHabil,WEEKDAY($J1077,2))))))</f>
        <v/>
      </c>
      <c r="U1077" s="24">
        <f>IF($I1077="","",IFERROR(INDEX('CAT_TIPOS_OT'!$C$4:$C$23,MATCH($I1077,'CAT_TIPOS_OT'!$A$4:$A$23,0)),"sin_clasificar"))</f>
        <v/>
      </c>
      <c r="V1077" s="24">
        <f>IF($I1077="","",IF(IFERROR(INDEX('CAT_TIPOS_OT'!$D$4:$D$23,MATCH($I1077,'CAT_TIPOS_OT'!$A$4:$A$23,0)),"SIN CLASIFICAR")="","SIN CLASIFICAR",IFERROR(INDEX('CAT_TIPOS_OT'!$D$4:$D$23,MATCH($I1077,'CAT_TIPOS_OT'!$A$4:$A$23,0)),"SIN CLASIFICAR")))</f>
        <v/>
      </c>
      <c r="W1077" s="24">
        <f>IF($H1077="","",IF(IFERROR(INDEX('CAT_ACTIVIDADES'!$F$4:$F$26,MATCH($H1077,'CAT_ACTIVIDADES'!$A$4:$A$26,0)),"")=0,"",IFERROR(INDEX('CAT_ACTIVIDADES'!$F$4:$F$26,MATCH($H1077,'CAT_ACTIVIDADES'!$A$4:$A$26,0)),"")))</f>
        <v/>
      </c>
      <c r="X1077" s="24">
        <f>IF($F1077="","",IFERROR(INDEX('CAT_CENTROS_COSTO'!$F$4:$F$28,MATCH($F1077,'CAT_CENTROS_COSTO'!$A$4:$A$28,0)),"(sin catálogo)"))</f>
        <v/>
      </c>
      <c r="Y1077" s="24">
        <f>IF($F1077="","",IFERROR(INDEX('CAT_CENTROS_COSTO'!$D$4:$D$28,MATCH($F1077,'CAT_CENTROS_COSTO'!$A$4:$A$28,0)),"(sin catálogo)"))</f>
        <v/>
      </c>
      <c r="Z1077" s="24">
        <f>IF($F1077="","",IF((IFERROR(INDEX('CAT_CENTROS_COSTO'!$E$4:$E$28,MATCH($F1077,'CAT_CENTROS_COSTO'!$A$4:$A$28,0)),""))&lt;&gt;"",IFERROR(INDEX('CAT_CENTROS_COSTO'!$E$4:$E$28,MATCH($F1077,'CAT_CENTROS_COSTO'!$A$4:$A$28,0)),""),$Y1077))</f>
        <v/>
      </c>
      <c r="AA1077" s="24">
        <f>IF($F1077="","",IFERROR(INDEX('CAT_CENTROS_COSTO'!$G$4:$G$28,MATCH($F1077,'CAT_CENTROS_COSTO'!$A$4:$A$28,0)),"(sin catálogo)"))</f>
        <v/>
      </c>
      <c r="AB1077" s="24">
        <f>IF($G1077="","",IFERROR(INDEX('CAT_PUESTOS'!$B$4:$B$23,MATCH($G1077,'CAT_PUESTOS'!$A$4:$A$23,0)),"(sin catálogo)"))</f>
        <v/>
      </c>
      <c r="AC1077" s="24">
        <f>IF($H1077="","",IFERROR(INDEX('CAT_ACTIVIDADES'!$B$4:$B$26,MATCH($H1077,'CAT_ACTIVIDADES'!$A$4:$A$26,0)),"(sin catálogo)"))</f>
        <v/>
      </c>
      <c r="AD1077" s="26">
        <f>IF($J1077="","",TODAY()-$J1077)</f>
        <v/>
      </c>
      <c r="AE1077" s="26">
        <f>IF($J1077="","",IF($J1077&lt;=TODAY(),COUNTIFS(cal_fechas,"&gt;="&amp;$J1077,cal_fechas,"&lt;"&amp;TODAY(),cal_habil,"sí"),-COUNTIFS(cal_fechas,"&gt;="&amp;TODAY(),cal_fechas,"&lt;"&amp;$J1077,cal_habil,"sí")))</f>
        <v/>
      </c>
      <c r="AF1077" s="24">
        <f>IF($AE1077="","",IF($AE1077&lt;0,"FUTURO",IF($AE1077&gt;p_dias_backlog_max,"BACKLOG","MES CORRIENTE")))</f>
        <v/>
      </c>
      <c r="AG1077" s="24">
        <f>IF($AE1077="",FALSE,AND($AE1077&gt;p_dias_backlog_min,$AE1077&lt;=p_dias_backlog_max))</f>
        <v/>
      </c>
      <c r="AH1077" s="4" t="n"/>
      <c r="AI1077" s="24">
        <f>IF($AH1077="","",IF((IFERROR(INDEX('ASIGNACIONES'!$J$4:$J$451,MATCH($O1077&amp;"|"&amp;$S1077&amp;"|"&amp;$AH1077,'ASIGNACIONES'!$N$4:$N$451,0)),""))=0,"",IFERROR(INDEX('ASIGNACIONES'!$J$4:$J$451,MATCH($O1077&amp;"|"&amp;$S1077&amp;"|"&amp;$AH1077,'ASIGNACIONES'!$N$4:$N$451,0)),"")))</f>
        <v/>
      </c>
      <c r="AJ1077" s="42">
        <f>IF($AH1077="","",SUMIFS('ORDENES'!$M$4:$M$1203,'ORDENES'!$AH$4:$AH$1203,$AH1077,'ORDENES'!$O$4:$O$1203,$O1077,'ORDENES'!$S$4:$S$1203,$S1077))</f>
        <v/>
      </c>
      <c r="AK1077" s="42">
        <f>IF($AJ1077="","",p_factor_productividad*IFERROR(INDEX('ASIGNACIONES'!$M$4:$M$451,MATCH($O1077&amp;"|"&amp;$S1077&amp;"|"&amp;$AH1077,'ASIGNACIONES'!$N$4:$N$451,0)),0)-$AJ1077)</f>
        <v/>
      </c>
      <c r="AL1077" s="32">
        <f>IF($A1077="","",IFERROR(INDEX('2_IMPORTAR_EJECUCION'!$F$9:$F$1208,MATCH($AU1077,'2_IMPORTAR_EJECUCION'!$J$9:$J$1208,0)),0))</f>
        <v/>
      </c>
      <c r="AM1077" s="32">
        <f>IF($A1077="","",MAX(0,IFERROR(INDEX('2_IMPORTAR_EJECUCION'!$H$9:$H$1208,MATCH($AU1077,'2_IMPORTAR_EJECUCION'!$J$9:$J$1208,0)),0)-$AL1077))</f>
        <v/>
      </c>
      <c r="AN1077" s="32">
        <f>IF($A1077="","",$AL1077+$AM1077)</f>
        <v/>
      </c>
      <c r="AO1077" s="24">
        <f>IF($A1077="","",IF(OR((IFERROR(INDEX('CAT_ACTIVIDADES'!$D$4:$D$26,MATCH($H1077,'CAT_ACTIVIDADES'!$A$4:$A$26,0)),""))=0,(IFERROR(INDEX('CAT_ACTIVIDADES'!$D$4:$D$26,MATCH($H1077,'CAT_ACTIVIDADES'!$A$4:$A$26,0)),""))=""),"SIN CLASIFICAR",IFERROR(INDEX('CAT_ACTIVIDADES'!$D$4:$D$26,MATCH($H1077,'CAT_ACTIVIDADES'!$A$4:$A$26,0)),"")))</f>
        <v/>
      </c>
      <c r="AP1077" s="4" t="n"/>
      <c r="AQ1077" s="4" t="n"/>
      <c r="AR1077" s="4" t="n"/>
      <c r="AS1077" s="24">
        <f>IF($AR1077="","",HYPERLINK(p_ruta_base_checklists&amp;$AR1077,"abrir"))</f>
        <v/>
      </c>
      <c r="AT1077" s="4" t="n"/>
      <c r="AU1077" s="24">
        <f>IF($A1077="","",$A1077&amp;IF($B1077="","0010",$B1077))</f>
        <v/>
      </c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41" t="n"/>
      <c r="K1078" s="5" t="n"/>
      <c r="L1078" s="18" t="n"/>
      <c r="M1078" s="24">
        <f>IF($A1078="","",IFERROR(INDEX('AJUSTES'!$B$4:$B$303,MATCH($AU1078,'AJUSTES'!$A$4:$A$303,0)),IF($K1078="","",$K1078)))</f>
        <v/>
      </c>
      <c r="N1078" s="24">
        <f>IF($A1078="","",IFERROR(INDEX('CAT_ESTADOS_ERP'!$B$4:$B$22,MATCH(IFERROR(INDEX('2_IMPORTAR_EJECUCION'!$C$9:$C$1208,MATCH($AU1078,'2_IMPORTAR_EJECUCION'!$J$9:$J$1208,0)),""),'CAT_ESTADOS_ERP'!$A$4:$A$22,0)),"Pendiente"))</f>
        <v/>
      </c>
      <c r="O1078" s="24">
        <f>IF($J1078="","",YEAR($J1078+4-WEEKDAY($J1078,2))&amp;"-S"&amp;TEXT(_xlfn.ISOWEEKNUM($J1078),"00"))</f>
        <v/>
      </c>
      <c r="P1078" s="24">
        <f>IF($J1078="","",YEAR($J1078))</f>
        <v/>
      </c>
      <c r="Q1078" s="24">
        <f>IF($J1078="","",MONTH($J1078))</f>
        <v/>
      </c>
      <c r="R1078" s="24">
        <f>IF($J1078="","",$P1078&amp;"-"&amp;TEXT($Q1078,"00"))</f>
        <v/>
      </c>
      <c r="S1078" s="24">
        <f>IF($J1078="","",INDEX(lista_dias,WEEKDAY($J1078,2)))</f>
        <v/>
      </c>
      <c r="T1078" s="24">
        <f>IF($J1078="","",IFERROR(INDEX('CALENDARIO'!$C$15:$C$214,MATCH(TEXT($J1078,"yyyy-mm-dd")&amp;"|"&amp;$Y1078&amp;"|"&amp;$Z1078,'CALENDARIO'!$G$15:$G$214,0)),IFERROR(INDEX('CALENDARIO'!$C$15:$C$214,MATCH(TEXT($J1078,"yyyy-mm-dd")&amp;"|"&amp;$Y1078&amp;"|",'CALENDARIO'!$G$15:$G$214,0)),IFERROR(INDEX('CALENDARIO'!$C$15:$C$214,MATCH(TEXT($J1078,"yyyy-mm-dd")&amp;"||",'CALENDARIO'!$G$15:$G$214,0)),INDEX(patronHabil,WEEKDAY($J1078,2))))))</f>
        <v/>
      </c>
      <c r="U1078" s="24">
        <f>IF($I1078="","",IFERROR(INDEX('CAT_TIPOS_OT'!$C$4:$C$23,MATCH($I1078,'CAT_TIPOS_OT'!$A$4:$A$23,0)),"sin_clasificar"))</f>
        <v/>
      </c>
      <c r="V1078" s="24">
        <f>IF($I1078="","",IF(IFERROR(INDEX('CAT_TIPOS_OT'!$D$4:$D$23,MATCH($I1078,'CAT_TIPOS_OT'!$A$4:$A$23,0)),"SIN CLASIFICAR")="","SIN CLASIFICAR",IFERROR(INDEX('CAT_TIPOS_OT'!$D$4:$D$23,MATCH($I1078,'CAT_TIPOS_OT'!$A$4:$A$23,0)),"SIN CLASIFICAR")))</f>
        <v/>
      </c>
      <c r="W1078" s="24">
        <f>IF($H1078="","",IF(IFERROR(INDEX('CAT_ACTIVIDADES'!$F$4:$F$26,MATCH($H1078,'CAT_ACTIVIDADES'!$A$4:$A$26,0)),"")=0,"",IFERROR(INDEX('CAT_ACTIVIDADES'!$F$4:$F$26,MATCH($H1078,'CAT_ACTIVIDADES'!$A$4:$A$26,0)),"")))</f>
        <v/>
      </c>
      <c r="X1078" s="24">
        <f>IF($F1078="","",IFERROR(INDEX('CAT_CENTROS_COSTO'!$F$4:$F$28,MATCH($F1078,'CAT_CENTROS_COSTO'!$A$4:$A$28,0)),"(sin catálogo)"))</f>
        <v/>
      </c>
      <c r="Y1078" s="24">
        <f>IF($F1078="","",IFERROR(INDEX('CAT_CENTROS_COSTO'!$D$4:$D$28,MATCH($F1078,'CAT_CENTROS_COSTO'!$A$4:$A$28,0)),"(sin catálogo)"))</f>
        <v/>
      </c>
      <c r="Z1078" s="24">
        <f>IF($F1078="","",IF((IFERROR(INDEX('CAT_CENTROS_COSTO'!$E$4:$E$28,MATCH($F1078,'CAT_CENTROS_COSTO'!$A$4:$A$28,0)),""))&lt;&gt;"",IFERROR(INDEX('CAT_CENTROS_COSTO'!$E$4:$E$28,MATCH($F1078,'CAT_CENTROS_COSTO'!$A$4:$A$28,0)),""),$Y1078))</f>
        <v/>
      </c>
      <c r="AA1078" s="24">
        <f>IF($F1078="","",IFERROR(INDEX('CAT_CENTROS_COSTO'!$G$4:$G$28,MATCH($F1078,'CAT_CENTROS_COSTO'!$A$4:$A$28,0)),"(sin catálogo)"))</f>
        <v/>
      </c>
      <c r="AB1078" s="24">
        <f>IF($G1078="","",IFERROR(INDEX('CAT_PUESTOS'!$B$4:$B$23,MATCH($G1078,'CAT_PUESTOS'!$A$4:$A$23,0)),"(sin catálogo)"))</f>
        <v/>
      </c>
      <c r="AC1078" s="24">
        <f>IF($H1078="","",IFERROR(INDEX('CAT_ACTIVIDADES'!$B$4:$B$26,MATCH($H1078,'CAT_ACTIVIDADES'!$A$4:$A$26,0)),"(sin catálogo)"))</f>
        <v/>
      </c>
      <c r="AD1078" s="26">
        <f>IF($J1078="","",TODAY()-$J1078)</f>
        <v/>
      </c>
      <c r="AE1078" s="26">
        <f>IF($J1078="","",IF($J1078&lt;=TODAY(),COUNTIFS(cal_fechas,"&gt;="&amp;$J1078,cal_fechas,"&lt;"&amp;TODAY(),cal_habil,"sí"),-COUNTIFS(cal_fechas,"&gt;="&amp;TODAY(),cal_fechas,"&lt;"&amp;$J1078,cal_habil,"sí")))</f>
        <v/>
      </c>
      <c r="AF1078" s="24">
        <f>IF($AE1078="","",IF($AE1078&lt;0,"FUTURO",IF($AE1078&gt;p_dias_backlog_max,"BACKLOG","MES CORRIENTE")))</f>
        <v/>
      </c>
      <c r="AG1078" s="24">
        <f>IF($AE1078="",FALSE,AND($AE1078&gt;p_dias_backlog_min,$AE1078&lt;=p_dias_backlog_max))</f>
        <v/>
      </c>
      <c r="AH1078" s="4" t="n"/>
      <c r="AI1078" s="24">
        <f>IF($AH1078="","",IF((IFERROR(INDEX('ASIGNACIONES'!$J$4:$J$451,MATCH($O1078&amp;"|"&amp;$S1078&amp;"|"&amp;$AH1078,'ASIGNACIONES'!$N$4:$N$451,0)),""))=0,"",IFERROR(INDEX('ASIGNACIONES'!$J$4:$J$451,MATCH($O1078&amp;"|"&amp;$S1078&amp;"|"&amp;$AH1078,'ASIGNACIONES'!$N$4:$N$451,0)),"")))</f>
        <v/>
      </c>
      <c r="AJ1078" s="42">
        <f>IF($AH1078="","",SUMIFS('ORDENES'!$M$4:$M$1203,'ORDENES'!$AH$4:$AH$1203,$AH1078,'ORDENES'!$O$4:$O$1203,$O1078,'ORDENES'!$S$4:$S$1203,$S1078))</f>
        <v/>
      </c>
      <c r="AK1078" s="42">
        <f>IF($AJ1078="","",p_factor_productividad*IFERROR(INDEX('ASIGNACIONES'!$M$4:$M$451,MATCH($O1078&amp;"|"&amp;$S1078&amp;"|"&amp;$AH1078,'ASIGNACIONES'!$N$4:$N$451,0)),0)-$AJ1078)</f>
        <v/>
      </c>
      <c r="AL1078" s="32">
        <f>IF($A1078="","",IFERROR(INDEX('2_IMPORTAR_EJECUCION'!$F$9:$F$1208,MATCH($AU1078,'2_IMPORTAR_EJECUCION'!$J$9:$J$1208,0)),0))</f>
        <v/>
      </c>
      <c r="AM1078" s="32">
        <f>IF($A1078="","",MAX(0,IFERROR(INDEX('2_IMPORTAR_EJECUCION'!$H$9:$H$1208,MATCH($AU1078,'2_IMPORTAR_EJECUCION'!$J$9:$J$1208,0)),0)-$AL1078))</f>
        <v/>
      </c>
      <c r="AN1078" s="32">
        <f>IF($A1078="","",$AL1078+$AM1078)</f>
        <v/>
      </c>
      <c r="AO1078" s="24">
        <f>IF($A1078="","",IF(OR((IFERROR(INDEX('CAT_ACTIVIDADES'!$D$4:$D$26,MATCH($H1078,'CAT_ACTIVIDADES'!$A$4:$A$26,0)),""))=0,(IFERROR(INDEX('CAT_ACTIVIDADES'!$D$4:$D$26,MATCH($H1078,'CAT_ACTIVIDADES'!$A$4:$A$26,0)),""))=""),"SIN CLASIFICAR",IFERROR(INDEX('CAT_ACTIVIDADES'!$D$4:$D$26,MATCH($H1078,'CAT_ACTIVIDADES'!$A$4:$A$26,0)),"")))</f>
        <v/>
      </c>
      <c r="AP1078" s="4" t="n"/>
      <c r="AQ1078" s="4" t="n"/>
      <c r="AR1078" s="4" t="n"/>
      <c r="AS1078" s="24">
        <f>IF($AR1078="","",HYPERLINK(p_ruta_base_checklists&amp;$AR1078,"abrir"))</f>
        <v/>
      </c>
      <c r="AT1078" s="4" t="n"/>
      <c r="AU1078" s="24">
        <f>IF($A1078="","",$A1078&amp;IF($B1078="","0010",$B1078))</f>
        <v/>
      </c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41" t="n"/>
      <c r="K1079" s="5" t="n"/>
      <c r="L1079" s="18" t="n"/>
      <c r="M1079" s="24">
        <f>IF($A1079="","",IFERROR(INDEX('AJUSTES'!$B$4:$B$303,MATCH($AU1079,'AJUSTES'!$A$4:$A$303,0)),IF($K1079="","",$K1079)))</f>
        <v/>
      </c>
      <c r="N1079" s="24">
        <f>IF($A1079="","",IFERROR(INDEX('CAT_ESTADOS_ERP'!$B$4:$B$22,MATCH(IFERROR(INDEX('2_IMPORTAR_EJECUCION'!$C$9:$C$1208,MATCH($AU1079,'2_IMPORTAR_EJECUCION'!$J$9:$J$1208,0)),""),'CAT_ESTADOS_ERP'!$A$4:$A$22,0)),"Pendiente"))</f>
        <v/>
      </c>
      <c r="O1079" s="24">
        <f>IF($J1079="","",YEAR($J1079+4-WEEKDAY($J1079,2))&amp;"-S"&amp;TEXT(_xlfn.ISOWEEKNUM($J1079),"00"))</f>
        <v/>
      </c>
      <c r="P1079" s="24">
        <f>IF($J1079="","",YEAR($J1079))</f>
        <v/>
      </c>
      <c r="Q1079" s="24">
        <f>IF($J1079="","",MONTH($J1079))</f>
        <v/>
      </c>
      <c r="R1079" s="24">
        <f>IF($J1079="","",$P1079&amp;"-"&amp;TEXT($Q1079,"00"))</f>
        <v/>
      </c>
      <c r="S1079" s="24">
        <f>IF($J1079="","",INDEX(lista_dias,WEEKDAY($J1079,2)))</f>
        <v/>
      </c>
      <c r="T1079" s="24">
        <f>IF($J1079="","",IFERROR(INDEX('CALENDARIO'!$C$15:$C$214,MATCH(TEXT($J1079,"yyyy-mm-dd")&amp;"|"&amp;$Y1079&amp;"|"&amp;$Z1079,'CALENDARIO'!$G$15:$G$214,0)),IFERROR(INDEX('CALENDARIO'!$C$15:$C$214,MATCH(TEXT($J1079,"yyyy-mm-dd")&amp;"|"&amp;$Y1079&amp;"|",'CALENDARIO'!$G$15:$G$214,0)),IFERROR(INDEX('CALENDARIO'!$C$15:$C$214,MATCH(TEXT($J1079,"yyyy-mm-dd")&amp;"||",'CALENDARIO'!$G$15:$G$214,0)),INDEX(patronHabil,WEEKDAY($J1079,2))))))</f>
        <v/>
      </c>
      <c r="U1079" s="24">
        <f>IF($I1079="","",IFERROR(INDEX('CAT_TIPOS_OT'!$C$4:$C$23,MATCH($I1079,'CAT_TIPOS_OT'!$A$4:$A$23,0)),"sin_clasificar"))</f>
        <v/>
      </c>
      <c r="V1079" s="24">
        <f>IF($I1079="","",IF(IFERROR(INDEX('CAT_TIPOS_OT'!$D$4:$D$23,MATCH($I1079,'CAT_TIPOS_OT'!$A$4:$A$23,0)),"SIN CLASIFICAR")="","SIN CLASIFICAR",IFERROR(INDEX('CAT_TIPOS_OT'!$D$4:$D$23,MATCH($I1079,'CAT_TIPOS_OT'!$A$4:$A$23,0)),"SIN CLASIFICAR")))</f>
        <v/>
      </c>
      <c r="W1079" s="24">
        <f>IF($H1079="","",IF(IFERROR(INDEX('CAT_ACTIVIDADES'!$F$4:$F$26,MATCH($H1079,'CAT_ACTIVIDADES'!$A$4:$A$26,0)),"")=0,"",IFERROR(INDEX('CAT_ACTIVIDADES'!$F$4:$F$26,MATCH($H1079,'CAT_ACTIVIDADES'!$A$4:$A$26,0)),"")))</f>
        <v/>
      </c>
      <c r="X1079" s="24">
        <f>IF($F1079="","",IFERROR(INDEX('CAT_CENTROS_COSTO'!$F$4:$F$28,MATCH($F1079,'CAT_CENTROS_COSTO'!$A$4:$A$28,0)),"(sin catálogo)"))</f>
        <v/>
      </c>
      <c r="Y1079" s="24">
        <f>IF($F1079="","",IFERROR(INDEX('CAT_CENTROS_COSTO'!$D$4:$D$28,MATCH($F1079,'CAT_CENTROS_COSTO'!$A$4:$A$28,0)),"(sin catálogo)"))</f>
        <v/>
      </c>
      <c r="Z1079" s="24">
        <f>IF($F1079="","",IF((IFERROR(INDEX('CAT_CENTROS_COSTO'!$E$4:$E$28,MATCH($F1079,'CAT_CENTROS_COSTO'!$A$4:$A$28,0)),""))&lt;&gt;"",IFERROR(INDEX('CAT_CENTROS_COSTO'!$E$4:$E$28,MATCH($F1079,'CAT_CENTROS_COSTO'!$A$4:$A$28,0)),""),$Y1079))</f>
        <v/>
      </c>
      <c r="AA1079" s="24">
        <f>IF($F1079="","",IFERROR(INDEX('CAT_CENTROS_COSTO'!$G$4:$G$28,MATCH($F1079,'CAT_CENTROS_COSTO'!$A$4:$A$28,0)),"(sin catálogo)"))</f>
        <v/>
      </c>
      <c r="AB1079" s="24">
        <f>IF($G1079="","",IFERROR(INDEX('CAT_PUESTOS'!$B$4:$B$23,MATCH($G1079,'CAT_PUESTOS'!$A$4:$A$23,0)),"(sin catálogo)"))</f>
        <v/>
      </c>
      <c r="AC1079" s="24">
        <f>IF($H1079="","",IFERROR(INDEX('CAT_ACTIVIDADES'!$B$4:$B$26,MATCH($H1079,'CAT_ACTIVIDADES'!$A$4:$A$26,0)),"(sin catálogo)"))</f>
        <v/>
      </c>
      <c r="AD1079" s="26">
        <f>IF($J1079="","",TODAY()-$J1079)</f>
        <v/>
      </c>
      <c r="AE1079" s="26">
        <f>IF($J1079="","",IF($J1079&lt;=TODAY(),COUNTIFS(cal_fechas,"&gt;="&amp;$J1079,cal_fechas,"&lt;"&amp;TODAY(),cal_habil,"sí"),-COUNTIFS(cal_fechas,"&gt;="&amp;TODAY(),cal_fechas,"&lt;"&amp;$J1079,cal_habil,"sí")))</f>
        <v/>
      </c>
      <c r="AF1079" s="24">
        <f>IF($AE1079="","",IF($AE1079&lt;0,"FUTURO",IF($AE1079&gt;p_dias_backlog_max,"BACKLOG","MES CORRIENTE")))</f>
        <v/>
      </c>
      <c r="AG1079" s="24">
        <f>IF($AE1079="",FALSE,AND($AE1079&gt;p_dias_backlog_min,$AE1079&lt;=p_dias_backlog_max))</f>
        <v/>
      </c>
      <c r="AH1079" s="4" t="n"/>
      <c r="AI1079" s="24">
        <f>IF($AH1079="","",IF((IFERROR(INDEX('ASIGNACIONES'!$J$4:$J$451,MATCH($O1079&amp;"|"&amp;$S1079&amp;"|"&amp;$AH1079,'ASIGNACIONES'!$N$4:$N$451,0)),""))=0,"",IFERROR(INDEX('ASIGNACIONES'!$J$4:$J$451,MATCH($O1079&amp;"|"&amp;$S1079&amp;"|"&amp;$AH1079,'ASIGNACIONES'!$N$4:$N$451,0)),"")))</f>
        <v/>
      </c>
      <c r="AJ1079" s="42">
        <f>IF($AH1079="","",SUMIFS('ORDENES'!$M$4:$M$1203,'ORDENES'!$AH$4:$AH$1203,$AH1079,'ORDENES'!$O$4:$O$1203,$O1079,'ORDENES'!$S$4:$S$1203,$S1079))</f>
        <v/>
      </c>
      <c r="AK1079" s="42">
        <f>IF($AJ1079="","",p_factor_productividad*IFERROR(INDEX('ASIGNACIONES'!$M$4:$M$451,MATCH($O1079&amp;"|"&amp;$S1079&amp;"|"&amp;$AH1079,'ASIGNACIONES'!$N$4:$N$451,0)),0)-$AJ1079)</f>
        <v/>
      </c>
      <c r="AL1079" s="32">
        <f>IF($A1079="","",IFERROR(INDEX('2_IMPORTAR_EJECUCION'!$F$9:$F$1208,MATCH($AU1079,'2_IMPORTAR_EJECUCION'!$J$9:$J$1208,0)),0))</f>
        <v/>
      </c>
      <c r="AM1079" s="32">
        <f>IF($A1079="","",MAX(0,IFERROR(INDEX('2_IMPORTAR_EJECUCION'!$H$9:$H$1208,MATCH($AU1079,'2_IMPORTAR_EJECUCION'!$J$9:$J$1208,0)),0)-$AL1079))</f>
        <v/>
      </c>
      <c r="AN1079" s="32">
        <f>IF($A1079="","",$AL1079+$AM1079)</f>
        <v/>
      </c>
      <c r="AO1079" s="24">
        <f>IF($A1079="","",IF(OR((IFERROR(INDEX('CAT_ACTIVIDADES'!$D$4:$D$26,MATCH($H1079,'CAT_ACTIVIDADES'!$A$4:$A$26,0)),""))=0,(IFERROR(INDEX('CAT_ACTIVIDADES'!$D$4:$D$26,MATCH($H1079,'CAT_ACTIVIDADES'!$A$4:$A$26,0)),""))=""),"SIN CLASIFICAR",IFERROR(INDEX('CAT_ACTIVIDADES'!$D$4:$D$26,MATCH($H1079,'CAT_ACTIVIDADES'!$A$4:$A$26,0)),"")))</f>
        <v/>
      </c>
      <c r="AP1079" s="4" t="n"/>
      <c r="AQ1079" s="4" t="n"/>
      <c r="AR1079" s="4" t="n"/>
      <c r="AS1079" s="24">
        <f>IF($AR1079="","",HYPERLINK(p_ruta_base_checklists&amp;$AR1079,"abrir"))</f>
        <v/>
      </c>
      <c r="AT1079" s="4" t="n"/>
      <c r="AU1079" s="24">
        <f>IF($A1079="","",$A1079&amp;IF($B1079="","0010",$B1079))</f>
        <v/>
      </c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41" t="n"/>
      <c r="K1080" s="5" t="n"/>
      <c r="L1080" s="18" t="n"/>
      <c r="M1080" s="24">
        <f>IF($A1080="","",IFERROR(INDEX('AJUSTES'!$B$4:$B$303,MATCH($AU1080,'AJUSTES'!$A$4:$A$303,0)),IF($K1080="","",$K1080)))</f>
        <v/>
      </c>
      <c r="N1080" s="24">
        <f>IF($A1080="","",IFERROR(INDEX('CAT_ESTADOS_ERP'!$B$4:$B$22,MATCH(IFERROR(INDEX('2_IMPORTAR_EJECUCION'!$C$9:$C$1208,MATCH($AU1080,'2_IMPORTAR_EJECUCION'!$J$9:$J$1208,0)),""),'CAT_ESTADOS_ERP'!$A$4:$A$22,0)),"Pendiente"))</f>
        <v/>
      </c>
      <c r="O1080" s="24">
        <f>IF($J1080="","",YEAR($J1080+4-WEEKDAY($J1080,2))&amp;"-S"&amp;TEXT(_xlfn.ISOWEEKNUM($J1080),"00"))</f>
        <v/>
      </c>
      <c r="P1080" s="24">
        <f>IF($J1080="","",YEAR($J1080))</f>
        <v/>
      </c>
      <c r="Q1080" s="24">
        <f>IF($J1080="","",MONTH($J1080))</f>
        <v/>
      </c>
      <c r="R1080" s="24">
        <f>IF($J1080="","",$P1080&amp;"-"&amp;TEXT($Q1080,"00"))</f>
        <v/>
      </c>
      <c r="S1080" s="24">
        <f>IF($J1080="","",INDEX(lista_dias,WEEKDAY($J1080,2)))</f>
        <v/>
      </c>
      <c r="T1080" s="24">
        <f>IF($J1080="","",IFERROR(INDEX('CALENDARIO'!$C$15:$C$214,MATCH(TEXT($J1080,"yyyy-mm-dd")&amp;"|"&amp;$Y1080&amp;"|"&amp;$Z1080,'CALENDARIO'!$G$15:$G$214,0)),IFERROR(INDEX('CALENDARIO'!$C$15:$C$214,MATCH(TEXT($J1080,"yyyy-mm-dd")&amp;"|"&amp;$Y1080&amp;"|",'CALENDARIO'!$G$15:$G$214,0)),IFERROR(INDEX('CALENDARIO'!$C$15:$C$214,MATCH(TEXT($J1080,"yyyy-mm-dd")&amp;"||",'CALENDARIO'!$G$15:$G$214,0)),INDEX(patronHabil,WEEKDAY($J1080,2))))))</f>
        <v/>
      </c>
      <c r="U1080" s="24">
        <f>IF($I1080="","",IFERROR(INDEX('CAT_TIPOS_OT'!$C$4:$C$23,MATCH($I1080,'CAT_TIPOS_OT'!$A$4:$A$23,0)),"sin_clasificar"))</f>
        <v/>
      </c>
      <c r="V1080" s="24">
        <f>IF($I1080="","",IF(IFERROR(INDEX('CAT_TIPOS_OT'!$D$4:$D$23,MATCH($I1080,'CAT_TIPOS_OT'!$A$4:$A$23,0)),"SIN CLASIFICAR")="","SIN CLASIFICAR",IFERROR(INDEX('CAT_TIPOS_OT'!$D$4:$D$23,MATCH($I1080,'CAT_TIPOS_OT'!$A$4:$A$23,0)),"SIN CLASIFICAR")))</f>
        <v/>
      </c>
      <c r="W1080" s="24">
        <f>IF($H1080="","",IF(IFERROR(INDEX('CAT_ACTIVIDADES'!$F$4:$F$26,MATCH($H1080,'CAT_ACTIVIDADES'!$A$4:$A$26,0)),"")=0,"",IFERROR(INDEX('CAT_ACTIVIDADES'!$F$4:$F$26,MATCH($H1080,'CAT_ACTIVIDADES'!$A$4:$A$26,0)),"")))</f>
        <v/>
      </c>
      <c r="X1080" s="24">
        <f>IF($F1080="","",IFERROR(INDEX('CAT_CENTROS_COSTO'!$F$4:$F$28,MATCH($F1080,'CAT_CENTROS_COSTO'!$A$4:$A$28,0)),"(sin catálogo)"))</f>
        <v/>
      </c>
      <c r="Y1080" s="24">
        <f>IF($F1080="","",IFERROR(INDEX('CAT_CENTROS_COSTO'!$D$4:$D$28,MATCH($F1080,'CAT_CENTROS_COSTO'!$A$4:$A$28,0)),"(sin catálogo)"))</f>
        <v/>
      </c>
      <c r="Z1080" s="24">
        <f>IF($F1080="","",IF((IFERROR(INDEX('CAT_CENTROS_COSTO'!$E$4:$E$28,MATCH($F1080,'CAT_CENTROS_COSTO'!$A$4:$A$28,0)),""))&lt;&gt;"",IFERROR(INDEX('CAT_CENTROS_COSTO'!$E$4:$E$28,MATCH($F1080,'CAT_CENTROS_COSTO'!$A$4:$A$28,0)),""),$Y1080))</f>
        <v/>
      </c>
      <c r="AA1080" s="24">
        <f>IF($F1080="","",IFERROR(INDEX('CAT_CENTROS_COSTO'!$G$4:$G$28,MATCH($F1080,'CAT_CENTROS_COSTO'!$A$4:$A$28,0)),"(sin catálogo)"))</f>
        <v/>
      </c>
      <c r="AB1080" s="24">
        <f>IF($G1080="","",IFERROR(INDEX('CAT_PUESTOS'!$B$4:$B$23,MATCH($G1080,'CAT_PUESTOS'!$A$4:$A$23,0)),"(sin catálogo)"))</f>
        <v/>
      </c>
      <c r="AC1080" s="24">
        <f>IF($H1080="","",IFERROR(INDEX('CAT_ACTIVIDADES'!$B$4:$B$26,MATCH($H1080,'CAT_ACTIVIDADES'!$A$4:$A$26,0)),"(sin catálogo)"))</f>
        <v/>
      </c>
      <c r="AD1080" s="26">
        <f>IF($J1080="","",TODAY()-$J1080)</f>
        <v/>
      </c>
      <c r="AE1080" s="26">
        <f>IF($J1080="","",IF($J1080&lt;=TODAY(),COUNTIFS(cal_fechas,"&gt;="&amp;$J1080,cal_fechas,"&lt;"&amp;TODAY(),cal_habil,"sí"),-COUNTIFS(cal_fechas,"&gt;="&amp;TODAY(),cal_fechas,"&lt;"&amp;$J1080,cal_habil,"sí")))</f>
        <v/>
      </c>
      <c r="AF1080" s="24">
        <f>IF($AE1080="","",IF($AE1080&lt;0,"FUTURO",IF($AE1080&gt;p_dias_backlog_max,"BACKLOG","MES CORRIENTE")))</f>
        <v/>
      </c>
      <c r="AG1080" s="24">
        <f>IF($AE1080="",FALSE,AND($AE1080&gt;p_dias_backlog_min,$AE1080&lt;=p_dias_backlog_max))</f>
        <v/>
      </c>
      <c r="AH1080" s="4" t="n"/>
      <c r="AI1080" s="24">
        <f>IF($AH1080="","",IF((IFERROR(INDEX('ASIGNACIONES'!$J$4:$J$451,MATCH($O1080&amp;"|"&amp;$S1080&amp;"|"&amp;$AH1080,'ASIGNACIONES'!$N$4:$N$451,0)),""))=0,"",IFERROR(INDEX('ASIGNACIONES'!$J$4:$J$451,MATCH($O1080&amp;"|"&amp;$S1080&amp;"|"&amp;$AH1080,'ASIGNACIONES'!$N$4:$N$451,0)),"")))</f>
        <v/>
      </c>
      <c r="AJ1080" s="42">
        <f>IF($AH1080="","",SUMIFS('ORDENES'!$M$4:$M$1203,'ORDENES'!$AH$4:$AH$1203,$AH1080,'ORDENES'!$O$4:$O$1203,$O1080,'ORDENES'!$S$4:$S$1203,$S1080))</f>
        <v/>
      </c>
      <c r="AK1080" s="42">
        <f>IF($AJ1080="","",p_factor_productividad*IFERROR(INDEX('ASIGNACIONES'!$M$4:$M$451,MATCH($O1080&amp;"|"&amp;$S1080&amp;"|"&amp;$AH1080,'ASIGNACIONES'!$N$4:$N$451,0)),0)-$AJ1080)</f>
        <v/>
      </c>
      <c r="AL1080" s="32">
        <f>IF($A1080="","",IFERROR(INDEX('2_IMPORTAR_EJECUCION'!$F$9:$F$1208,MATCH($AU1080,'2_IMPORTAR_EJECUCION'!$J$9:$J$1208,0)),0))</f>
        <v/>
      </c>
      <c r="AM1080" s="32">
        <f>IF($A1080="","",MAX(0,IFERROR(INDEX('2_IMPORTAR_EJECUCION'!$H$9:$H$1208,MATCH($AU1080,'2_IMPORTAR_EJECUCION'!$J$9:$J$1208,0)),0)-$AL1080))</f>
        <v/>
      </c>
      <c r="AN1080" s="32">
        <f>IF($A1080="","",$AL1080+$AM1080)</f>
        <v/>
      </c>
      <c r="AO1080" s="24">
        <f>IF($A1080="","",IF(OR((IFERROR(INDEX('CAT_ACTIVIDADES'!$D$4:$D$26,MATCH($H1080,'CAT_ACTIVIDADES'!$A$4:$A$26,0)),""))=0,(IFERROR(INDEX('CAT_ACTIVIDADES'!$D$4:$D$26,MATCH($H1080,'CAT_ACTIVIDADES'!$A$4:$A$26,0)),""))=""),"SIN CLASIFICAR",IFERROR(INDEX('CAT_ACTIVIDADES'!$D$4:$D$26,MATCH($H1080,'CAT_ACTIVIDADES'!$A$4:$A$26,0)),"")))</f>
        <v/>
      </c>
      <c r="AP1080" s="4" t="n"/>
      <c r="AQ1080" s="4" t="n"/>
      <c r="AR1080" s="4" t="n"/>
      <c r="AS1080" s="24">
        <f>IF($AR1080="","",HYPERLINK(p_ruta_base_checklists&amp;$AR1080,"abrir"))</f>
        <v/>
      </c>
      <c r="AT1080" s="4" t="n"/>
      <c r="AU1080" s="24">
        <f>IF($A1080="","",$A1080&amp;IF($B1080="","0010",$B1080))</f>
        <v/>
      </c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41" t="n"/>
      <c r="K1081" s="5" t="n"/>
      <c r="L1081" s="18" t="n"/>
      <c r="M1081" s="24">
        <f>IF($A1081="","",IFERROR(INDEX('AJUSTES'!$B$4:$B$303,MATCH($AU1081,'AJUSTES'!$A$4:$A$303,0)),IF($K1081="","",$K1081)))</f>
        <v/>
      </c>
      <c r="N1081" s="24">
        <f>IF($A1081="","",IFERROR(INDEX('CAT_ESTADOS_ERP'!$B$4:$B$22,MATCH(IFERROR(INDEX('2_IMPORTAR_EJECUCION'!$C$9:$C$1208,MATCH($AU1081,'2_IMPORTAR_EJECUCION'!$J$9:$J$1208,0)),""),'CAT_ESTADOS_ERP'!$A$4:$A$22,0)),"Pendiente"))</f>
        <v/>
      </c>
      <c r="O1081" s="24">
        <f>IF($J1081="","",YEAR($J1081+4-WEEKDAY($J1081,2))&amp;"-S"&amp;TEXT(_xlfn.ISOWEEKNUM($J1081),"00"))</f>
        <v/>
      </c>
      <c r="P1081" s="24">
        <f>IF($J1081="","",YEAR($J1081))</f>
        <v/>
      </c>
      <c r="Q1081" s="24">
        <f>IF($J1081="","",MONTH($J1081))</f>
        <v/>
      </c>
      <c r="R1081" s="24">
        <f>IF($J1081="","",$P1081&amp;"-"&amp;TEXT($Q1081,"00"))</f>
        <v/>
      </c>
      <c r="S1081" s="24">
        <f>IF($J1081="","",INDEX(lista_dias,WEEKDAY($J1081,2)))</f>
        <v/>
      </c>
      <c r="T1081" s="24">
        <f>IF($J1081="","",IFERROR(INDEX('CALENDARIO'!$C$15:$C$214,MATCH(TEXT($J1081,"yyyy-mm-dd")&amp;"|"&amp;$Y1081&amp;"|"&amp;$Z1081,'CALENDARIO'!$G$15:$G$214,0)),IFERROR(INDEX('CALENDARIO'!$C$15:$C$214,MATCH(TEXT($J1081,"yyyy-mm-dd")&amp;"|"&amp;$Y1081&amp;"|",'CALENDARIO'!$G$15:$G$214,0)),IFERROR(INDEX('CALENDARIO'!$C$15:$C$214,MATCH(TEXT($J1081,"yyyy-mm-dd")&amp;"||",'CALENDARIO'!$G$15:$G$214,0)),INDEX(patronHabil,WEEKDAY($J1081,2))))))</f>
        <v/>
      </c>
      <c r="U1081" s="24">
        <f>IF($I1081="","",IFERROR(INDEX('CAT_TIPOS_OT'!$C$4:$C$23,MATCH($I1081,'CAT_TIPOS_OT'!$A$4:$A$23,0)),"sin_clasificar"))</f>
        <v/>
      </c>
      <c r="V1081" s="24">
        <f>IF($I1081="","",IF(IFERROR(INDEX('CAT_TIPOS_OT'!$D$4:$D$23,MATCH($I1081,'CAT_TIPOS_OT'!$A$4:$A$23,0)),"SIN CLASIFICAR")="","SIN CLASIFICAR",IFERROR(INDEX('CAT_TIPOS_OT'!$D$4:$D$23,MATCH($I1081,'CAT_TIPOS_OT'!$A$4:$A$23,0)),"SIN CLASIFICAR")))</f>
        <v/>
      </c>
      <c r="W1081" s="24">
        <f>IF($H1081="","",IF(IFERROR(INDEX('CAT_ACTIVIDADES'!$F$4:$F$26,MATCH($H1081,'CAT_ACTIVIDADES'!$A$4:$A$26,0)),"")=0,"",IFERROR(INDEX('CAT_ACTIVIDADES'!$F$4:$F$26,MATCH($H1081,'CAT_ACTIVIDADES'!$A$4:$A$26,0)),"")))</f>
        <v/>
      </c>
      <c r="X1081" s="24">
        <f>IF($F1081="","",IFERROR(INDEX('CAT_CENTROS_COSTO'!$F$4:$F$28,MATCH($F1081,'CAT_CENTROS_COSTO'!$A$4:$A$28,0)),"(sin catálogo)"))</f>
        <v/>
      </c>
      <c r="Y1081" s="24">
        <f>IF($F1081="","",IFERROR(INDEX('CAT_CENTROS_COSTO'!$D$4:$D$28,MATCH($F1081,'CAT_CENTROS_COSTO'!$A$4:$A$28,0)),"(sin catálogo)"))</f>
        <v/>
      </c>
      <c r="Z1081" s="24">
        <f>IF($F1081="","",IF((IFERROR(INDEX('CAT_CENTROS_COSTO'!$E$4:$E$28,MATCH($F1081,'CAT_CENTROS_COSTO'!$A$4:$A$28,0)),""))&lt;&gt;"",IFERROR(INDEX('CAT_CENTROS_COSTO'!$E$4:$E$28,MATCH($F1081,'CAT_CENTROS_COSTO'!$A$4:$A$28,0)),""),$Y1081))</f>
        <v/>
      </c>
      <c r="AA1081" s="24">
        <f>IF($F1081="","",IFERROR(INDEX('CAT_CENTROS_COSTO'!$G$4:$G$28,MATCH($F1081,'CAT_CENTROS_COSTO'!$A$4:$A$28,0)),"(sin catálogo)"))</f>
        <v/>
      </c>
      <c r="AB1081" s="24">
        <f>IF($G1081="","",IFERROR(INDEX('CAT_PUESTOS'!$B$4:$B$23,MATCH($G1081,'CAT_PUESTOS'!$A$4:$A$23,0)),"(sin catálogo)"))</f>
        <v/>
      </c>
      <c r="AC1081" s="24">
        <f>IF($H1081="","",IFERROR(INDEX('CAT_ACTIVIDADES'!$B$4:$B$26,MATCH($H1081,'CAT_ACTIVIDADES'!$A$4:$A$26,0)),"(sin catálogo)"))</f>
        <v/>
      </c>
      <c r="AD1081" s="26">
        <f>IF($J1081="","",TODAY()-$J1081)</f>
        <v/>
      </c>
      <c r="AE1081" s="26">
        <f>IF($J1081="","",IF($J1081&lt;=TODAY(),COUNTIFS(cal_fechas,"&gt;="&amp;$J1081,cal_fechas,"&lt;"&amp;TODAY(),cal_habil,"sí"),-COUNTIFS(cal_fechas,"&gt;="&amp;TODAY(),cal_fechas,"&lt;"&amp;$J1081,cal_habil,"sí")))</f>
        <v/>
      </c>
      <c r="AF1081" s="24">
        <f>IF($AE1081="","",IF($AE1081&lt;0,"FUTURO",IF($AE1081&gt;p_dias_backlog_max,"BACKLOG","MES CORRIENTE")))</f>
        <v/>
      </c>
      <c r="AG1081" s="24">
        <f>IF($AE1081="",FALSE,AND($AE1081&gt;p_dias_backlog_min,$AE1081&lt;=p_dias_backlog_max))</f>
        <v/>
      </c>
      <c r="AH1081" s="4" t="n"/>
      <c r="AI1081" s="24">
        <f>IF($AH1081="","",IF((IFERROR(INDEX('ASIGNACIONES'!$J$4:$J$451,MATCH($O1081&amp;"|"&amp;$S1081&amp;"|"&amp;$AH1081,'ASIGNACIONES'!$N$4:$N$451,0)),""))=0,"",IFERROR(INDEX('ASIGNACIONES'!$J$4:$J$451,MATCH($O1081&amp;"|"&amp;$S1081&amp;"|"&amp;$AH1081,'ASIGNACIONES'!$N$4:$N$451,0)),"")))</f>
        <v/>
      </c>
      <c r="AJ1081" s="42">
        <f>IF($AH1081="","",SUMIFS('ORDENES'!$M$4:$M$1203,'ORDENES'!$AH$4:$AH$1203,$AH1081,'ORDENES'!$O$4:$O$1203,$O1081,'ORDENES'!$S$4:$S$1203,$S1081))</f>
        <v/>
      </c>
      <c r="AK1081" s="42">
        <f>IF($AJ1081="","",p_factor_productividad*IFERROR(INDEX('ASIGNACIONES'!$M$4:$M$451,MATCH($O1081&amp;"|"&amp;$S1081&amp;"|"&amp;$AH1081,'ASIGNACIONES'!$N$4:$N$451,0)),0)-$AJ1081)</f>
        <v/>
      </c>
      <c r="AL1081" s="32">
        <f>IF($A1081="","",IFERROR(INDEX('2_IMPORTAR_EJECUCION'!$F$9:$F$1208,MATCH($AU1081,'2_IMPORTAR_EJECUCION'!$J$9:$J$1208,0)),0))</f>
        <v/>
      </c>
      <c r="AM1081" s="32">
        <f>IF($A1081="","",MAX(0,IFERROR(INDEX('2_IMPORTAR_EJECUCION'!$H$9:$H$1208,MATCH($AU1081,'2_IMPORTAR_EJECUCION'!$J$9:$J$1208,0)),0)-$AL1081))</f>
        <v/>
      </c>
      <c r="AN1081" s="32">
        <f>IF($A1081="","",$AL1081+$AM1081)</f>
        <v/>
      </c>
      <c r="AO1081" s="24">
        <f>IF($A1081="","",IF(OR((IFERROR(INDEX('CAT_ACTIVIDADES'!$D$4:$D$26,MATCH($H1081,'CAT_ACTIVIDADES'!$A$4:$A$26,0)),""))=0,(IFERROR(INDEX('CAT_ACTIVIDADES'!$D$4:$D$26,MATCH($H1081,'CAT_ACTIVIDADES'!$A$4:$A$26,0)),""))=""),"SIN CLASIFICAR",IFERROR(INDEX('CAT_ACTIVIDADES'!$D$4:$D$26,MATCH($H1081,'CAT_ACTIVIDADES'!$A$4:$A$26,0)),"")))</f>
        <v/>
      </c>
      <c r="AP1081" s="4" t="n"/>
      <c r="AQ1081" s="4" t="n"/>
      <c r="AR1081" s="4" t="n"/>
      <c r="AS1081" s="24">
        <f>IF($AR1081="","",HYPERLINK(p_ruta_base_checklists&amp;$AR1081,"abrir"))</f>
        <v/>
      </c>
      <c r="AT1081" s="4" t="n"/>
      <c r="AU1081" s="24">
        <f>IF($A1081="","",$A1081&amp;IF($B1081="","0010",$B1081))</f>
        <v/>
      </c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41" t="n"/>
      <c r="K1082" s="5" t="n"/>
      <c r="L1082" s="18" t="n"/>
      <c r="M1082" s="24">
        <f>IF($A1082="","",IFERROR(INDEX('AJUSTES'!$B$4:$B$303,MATCH($AU1082,'AJUSTES'!$A$4:$A$303,0)),IF($K1082="","",$K1082)))</f>
        <v/>
      </c>
      <c r="N1082" s="24">
        <f>IF($A1082="","",IFERROR(INDEX('CAT_ESTADOS_ERP'!$B$4:$B$22,MATCH(IFERROR(INDEX('2_IMPORTAR_EJECUCION'!$C$9:$C$1208,MATCH($AU1082,'2_IMPORTAR_EJECUCION'!$J$9:$J$1208,0)),""),'CAT_ESTADOS_ERP'!$A$4:$A$22,0)),"Pendiente"))</f>
        <v/>
      </c>
      <c r="O1082" s="24">
        <f>IF($J1082="","",YEAR($J1082+4-WEEKDAY($J1082,2))&amp;"-S"&amp;TEXT(_xlfn.ISOWEEKNUM($J1082),"00"))</f>
        <v/>
      </c>
      <c r="P1082" s="24">
        <f>IF($J1082="","",YEAR($J1082))</f>
        <v/>
      </c>
      <c r="Q1082" s="24">
        <f>IF($J1082="","",MONTH($J1082))</f>
        <v/>
      </c>
      <c r="R1082" s="24">
        <f>IF($J1082="","",$P1082&amp;"-"&amp;TEXT($Q1082,"00"))</f>
        <v/>
      </c>
      <c r="S1082" s="24">
        <f>IF($J1082="","",INDEX(lista_dias,WEEKDAY($J1082,2)))</f>
        <v/>
      </c>
      <c r="T1082" s="24">
        <f>IF($J1082="","",IFERROR(INDEX('CALENDARIO'!$C$15:$C$214,MATCH(TEXT($J1082,"yyyy-mm-dd")&amp;"|"&amp;$Y1082&amp;"|"&amp;$Z1082,'CALENDARIO'!$G$15:$G$214,0)),IFERROR(INDEX('CALENDARIO'!$C$15:$C$214,MATCH(TEXT($J1082,"yyyy-mm-dd")&amp;"|"&amp;$Y1082&amp;"|",'CALENDARIO'!$G$15:$G$214,0)),IFERROR(INDEX('CALENDARIO'!$C$15:$C$214,MATCH(TEXT($J1082,"yyyy-mm-dd")&amp;"||",'CALENDARIO'!$G$15:$G$214,0)),INDEX(patronHabil,WEEKDAY($J1082,2))))))</f>
        <v/>
      </c>
      <c r="U1082" s="24">
        <f>IF($I1082="","",IFERROR(INDEX('CAT_TIPOS_OT'!$C$4:$C$23,MATCH($I1082,'CAT_TIPOS_OT'!$A$4:$A$23,0)),"sin_clasificar"))</f>
        <v/>
      </c>
      <c r="V1082" s="24">
        <f>IF($I1082="","",IF(IFERROR(INDEX('CAT_TIPOS_OT'!$D$4:$D$23,MATCH($I1082,'CAT_TIPOS_OT'!$A$4:$A$23,0)),"SIN CLASIFICAR")="","SIN CLASIFICAR",IFERROR(INDEX('CAT_TIPOS_OT'!$D$4:$D$23,MATCH($I1082,'CAT_TIPOS_OT'!$A$4:$A$23,0)),"SIN CLASIFICAR")))</f>
        <v/>
      </c>
      <c r="W1082" s="24">
        <f>IF($H1082="","",IF(IFERROR(INDEX('CAT_ACTIVIDADES'!$F$4:$F$26,MATCH($H1082,'CAT_ACTIVIDADES'!$A$4:$A$26,0)),"")=0,"",IFERROR(INDEX('CAT_ACTIVIDADES'!$F$4:$F$26,MATCH($H1082,'CAT_ACTIVIDADES'!$A$4:$A$26,0)),"")))</f>
        <v/>
      </c>
      <c r="X1082" s="24">
        <f>IF($F1082="","",IFERROR(INDEX('CAT_CENTROS_COSTO'!$F$4:$F$28,MATCH($F1082,'CAT_CENTROS_COSTO'!$A$4:$A$28,0)),"(sin catálogo)"))</f>
        <v/>
      </c>
      <c r="Y1082" s="24">
        <f>IF($F1082="","",IFERROR(INDEX('CAT_CENTROS_COSTO'!$D$4:$D$28,MATCH($F1082,'CAT_CENTROS_COSTO'!$A$4:$A$28,0)),"(sin catálogo)"))</f>
        <v/>
      </c>
      <c r="Z1082" s="24">
        <f>IF($F1082="","",IF((IFERROR(INDEX('CAT_CENTROS_COSTO'!$E$4:$E$28,MATCH($F1082,'CAT_CENTROS_COSTO'!$A$4:$A$28,0)),""))&lt;&gt;"",IFERROR(INDEX('CAT_CENTROS_COSTO'!$E$4:$E$28,MATCH($F1082,'CAT_CENTROS_COSTO'!$A$4:$A$28,0)),""),$Y1082))</f>
        <v/>
      </c>
      <c r="AA1082" s="24">
        <f>IF($F1082="","",IFERROR(INDEX('CAT_CENTROS_COSTO'!$G$4:$G$28,MATCH($F1082,'CAT_CENTROS_COSTO'!$A$4:$A$28,0)),"(sin catálogo)"))</f>
        <v/>
      </c>
      <c r="AB1082" s="24">
        <f>IF($G1082="","",IFERROR(INDEX('CAT_PUESTOS'!$B$4:$B$23,MATCH($G1082,'CAT_PUESTOS'!$A$4:$A$23,0)),"(sin catálogo)"))</f>
        <v/>
      </c>
      <c r="AC1082" s="24">
        <f>IF($H1082="","",IFERROR(INDEX('CAT_ACTIVIDADES'!$B$4:$B$26,MATCH($H1082,'CAT_ACTIVIDADES'!$A$4:$A$26,0)),"(sin catálogo)"))</f>
        <v/>
      </c>
      <c r="AD1082" s="26">
        <f>IF($J1082="","",TODAY()-$J1082)</f>
        <v/>
      </c>
      <c r="AE1082" s="26">
        <f>IF($J1082="","",IF($J1082&lt;=TODAY(),COUNTIFS(cal_fechas,"&gt;="&amp;$J1082,cal_fechas,"&lt;"&amp;TODAY(),cal_habil,"sí"),-COUNTIFS(cal_fechas,"&gt;="&amp;TODAY(),cal_fechas,"&lt;"&amp;$J1082,cal_habil,"sí")))</f>
        <v/>
      </c>
      <c r="AF1082" s="24">
        <f>IF($AE1082="","",IF($AE1082&lt;0,"FUTURO",IF($AE1082&gt;p_dias_backlog_max,"BACKLOG","MES CORRIENTE")))</f>
        <v/>
      </c>
      <c r="AG1082" s="24">
        <f>IF($AE1082="",FALSE,AND($AE1082&gt;p_dias_backlog_min,$AE1082&lt;=p_dias_backlog_max))</f>
        <v/>
      </c>
      <c r="AH1082" s="4" t="n"/>
      <c r="AI1082" s="24">
        <f>IF($AH1082="","",IF((IFERROR(INDEX('ASIGNACIONES'!$J$4:$J$451,MATCH($O1082&amp;"|"&amp;$S1082&amp;"|"&amp;$AH1082,'ASIGNACIONES'!$N$4:$N$451,0)),""))=0,"",IFERROR(INDEX('ASIGNACIONES'!$J$4:$J$451,MATCH($O1082&amp;"|"&amp;$S1082&amp;"|"&amp;$AH1082,'ASIGNACIONES'!$N$4:$N$451,0)),"")))</f>
        <v/>
      </c>
      <c r="AJ1082" s="42">
        <f>IF($AH1082="","",SUMIFS('ORDENES'!$M$4:$M$1203,'ORDENES'!$AH$4:$AH$1203,$AH1082,'ORDENES'!$O$4:$O$1203,$O1082,'ORDENES'!$S$4:$S$1203,$S1082))</f>
        <v/>
      </c>
      <c r="AK1082" s="42">
        <f>IF($AJ1082="","",p_factor_productividad*IFERROR(INDEX('ASIGNACIONES'!$M$4:$M$451,MATCH($O1082&amp;"|"&amp;$S1082&amp;"|"&amp;$AH1082,'ASIGNACIONES'!$N$4:$N$451,0)),0)-$AJ1082)</f>
        <v/>
      </c>
      <c r="AL1082" s="32">
        <f>IF($A1082="","",IFERROR(INDEX('2_IMPORTAR_EJECUCION'!$F$9:$F$1208,MATCH($AU1082,'2_IMPORTAR_EJECUCION'!$J$9:$J$1208,0)),0))</f>
        <v/>
      </c>
      <c r="AM1082" s="32">
        <f>IF($A1082="","",MAX(0,IFERROR(INDEX('2_IMPORTAR_EJECUCION'!$H$9:$H$1208,MATCH($AU1082,'2_IMPORTAR_EJECUCION'!$J$9:$J$1208,0)),0)-$AL1082))</f>
        <v/>
      </c>
      <c r="AN1082" s="32">
        <f>IF($A1082="","",$AL1082+$AM1082)</f>
        <v/>
      </c>
      <c r="AO1082" s="24">
        <f>IF($A1082="","",IF(OR((IFERROR(INDEX('CAT_ACTIVIDADES'!$D$4:$D$26,MATCH($H1082,'CAT_ACTIVIDADES'!$A$4:$A$26,0)),""))=0,(IFERROR(INDEX('CAT_ACTIVIDADES'!$D$4:$D$26,MATCH($H1082,'CAT_ACTIVIDADES'!$A$4:$A$26,0)),""))=""),"SIN CLASIFICAR",IFERROR(INDEX('CAT_ACTIVIDADES'!$D$4:$D$26,MATCH($H1082,'CAT_ACTIVIDADES'!$A$4:$A$26,0)),"")))</f>
        <v/>
      </c>
      <c r="AP1082" s="4" t="n"/>
      <c r="AQ1082" s="4" t="n"/>
      <c r="AR1082" s="4" t="n"/>
      <c r="AS1082" s="24">
        <f>IF($AR1082="","",HYPERLINK(p_ruta_base_checklists&amp;$AR1082,"abrir"))</f>
        <v/>
      </c>
      <c r="AT1082" s="4" t="n"/>
      <c r="AU1082" s="24">
        <f>IF($A1082="","",$A1082&amp;IF($B1082="","0010",$B1082))</f>
        <v/>
      </c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41" t="n"/>
      <c r="K1083" s="5" t="n"/>
      <c r="L1083" s="18" t="n"/>
      <c r="M1083" s="24">
        <f>IF($A1083="","",IFERROR(INDEX('AJUSTES'!$B$4:$B$303,MATCH($AU1083,'AJUSTES'!$A$4:$A$303,0)),IF($K1083="","",$K1083)))</f>
        <v/>
      </c>
      <c r="N1083" s="24">
        <f>IF($A1083="","",IFERROR(INDEX('CAT_ESTADOS_ERP'!$B$4:$B$22,MATCH(IFERROR(INDEX('2_IMPORTAR_EJECUCION'!$C$9:$C$1208,MATCH($AU1083,'2_IMPORTAR_EJECUCION'!$J$9:$J$1208,0)),""),'CAT_ESTADOS_ERP'!$A$4:$A$22,0)),"Pendiente"))</f>
        <v/>
      </c>
      <c r="O1083" s="24">
        <f>IF($J1083="","",YEAR($J1083+4-WEEKDAY($J1083,2))&amp;"-S"&amp;TEXT(_xlfn.ISOWEEKNUM($J1083),"00"))</f>
        <v/>
      </c>
      <c r="P1083" s="24">
        <f>IF($J1083="","",YEAR($J1083))</f>
        <v/>
      </c>
      <c r="Q1083" s="24">
        <f>IF($J1083="","",MONTH($J1083))</f>
        <v/>
      </c>
      <c r="R1083" s="24">
        <f>IF($J1083="","",$P1083&amp;"-"&amp;TEXT($Q1083,"00"))</f>
        <v/>
      </c>
      <c r="S1083" s="24">
        <f>IF($J1083="","",INDEX(lista_dias,WEEKDAY($J1083,2)))</f>
        <v/>
      </c>
      <c r="T1083" s="24">
        <f>IF($J1083="","",IFERROR(INDEX('CALENDARIO'!$C$15:$C$214,MATCH(TEXT($J1083,"yyyy-mm-dd")&amp;"|"&amp;$Y1083&amp;"|"&amp;$Z1083,'CALENDARIO'!$G$15:$G$214,0)),IFERROR(INDEX('CALENDARIO'!$C$15:$C$214,MATCH(TEXT($J1083,"yyyy-mm-dd")&amp;"|"&amp;$Y1083&amp;"|",'CALENDARIO'!$G$15:$G$214,0)),IFERROR(INDEX('CALENDARIO'!$C$15:$C$214,MATCH(TEXT($J1083,"yyyy-mm-dd")&amp;"||",'CALENDARIO'!$G$15:$G$214,0)),INDEX(patronHabil,WEEKDAY($J1083,2))))))</f>
        <v/>
      </c>
      <c r="U1083" s="24">
        <f>IF($I1083="","",IFERROR(INDEX('CAT_TIPOS_OT'!$C$4:$C$23,MATCH($I1083,'CAT_TIPOS_OT'!$A$4:$A$23,0)),"sin_clasificar"))</f>
        <v/>
      </c>
      <c r="V1083" s="24">
        <f>IF($I1083="","",IF(IFERROR(INDEX('CAT_TIPOS_OT'!$D$4:$D$23,MATCH($I1083,'CAT_TIPOS_OT'!$A$4:$A$23,0)),"SIN CLASIFICAR")="","SIN CLASIFICAR",IFERROR(INDEX('CAT_TIPOS_OT'!$D$4:$D$23,MATCH($I1083,'CAT_TIPOS_OT'!$A$4:$A$23,0)),"SIN CLASIFICAR")))</f>
        <v/>
      </c>
      <c r="W1083" s="24">
        <f>IF($H1083="","",IF(IFERROR(INDEX('CAT_ACTIVIDADES'!$F$4:$F$26,MATCH($H1083,'CAT_ACTIVIDADES'!$A$4:$A$26,0)),"")=0,"",IFERROR(INDEX('CAT_ACTIVIDADES'!$F$4:$F$26,MATCH($H1083,'CAT_ACTIVIDADES'!$A$4:$A$26,0)),"")))</f>
        <v/>
      </c>
      <c r="X1083" s="24">
        <f>IF($F1083="","",IFERROR(INDEX('CAT_CENTROS_COSTO'!$F$4:$F$28,MATCH($F1083,'CAT_CENTROS_COSTO'!$A$4:$A$28,0)),"(sin catálogo)"))</f>
        <v/>
      </c>
      <c r="Y1083" s="24">
        <f>IF($F1083="","",IFERROR(INDEX('CAT_CENTROS_COSTO'!$D$4:$D$28,MATCH($F1083,'CAT_CENTROS_COSTO'!$A$4:$A$28,0)),"(sin catálogo)"))</f>
        <v/>
      </c>
      <c r="Z1083" s="24">
        <f>IF($F1083="","",IF((IFERROR(INDEX('CAT_CENTROS_COSTO'!$E$4:$E$28,MATCH($F1083,'CAT_CENTROS_COSTO'!$A$4:$A$28,0)),""))&lt;&gt;"",IFERROR(INDEX('CAT_CENTROS_COSTO'!$E$4:$E$28,MATCH($F1083,'CAT_CENTROS_COSTO'!$A$4:$A$28,0)),""),$Y1083))</f>
        <v/>
      </c>
      <c r="AA1083" s="24">
        <f>IF($F1083="","",IFERROR(INDEX('CAT_CENTROS_COSTO'!$G$4:$G$28,MATCH($F1083,'CAT_CENTROS_COSTO'!$A$4:$A$28,0)),"(sin catálogo)"))</f>
        <v/>
      </c>
      <c r="AB1083" s="24">
        <f>IF($G1083="","",IFERROR(INDEX('CAT_PUESTOS'!$B$4:$B$23,MATCH($G1083,'CAT_PUESTOS'!$A$4:$A$23,0)),"(sin catálogo)"))</f>
        <v/>
      </c>
      <c r="AC1083" s="24">
        <f>IF($H1083="","",IFERROR(INDEX('CAT_ACTIVIDADES'!$B$4:$B$26,MATCH($H1083,'CAT_ACTIVIDADES'!$A$4:$A$26,0)),"(sin catálogo)"))</f>
        <v/>
      </c>
      <c r="AD1083" s="26">
        <f>IF($J1083="","",TODAY()-$J1083)</f>
        <v/>
      </c>
      <c r="AE1083" s="26">
        <f>IF($J1083="","",IF($J1083&lt;=TODAY(),COUNTIFS(cal_fechas,"&gt;="&amp;$J1083,cal_fechas,"&lt;"&amp;TODAY(),cal_habil,"sí"),-COUNTIFS(cal_fechas,"&gt;="&amp;TODAY(),cal_fechas,"&lt;"&amp;$J1083,cal_habil,"sí")))</f>
        <v/>
      </c>
      <c r="AF1083" s="24">
        <f>IF($AE1083="","",IF($AE1083&lt;0,"FUTURO",IF($AE1083&gt;p_dias_backlog_max,"BACKLOG","MES CORRIENTE")))</f>
        <v/>
      </c>
      <c r="AG1083" s="24">
        <f>IF($AE1083="",FALSE,AND($AE1083&gt;p_dias_backlog_min,$AE1083&lt;=p_dias_backlog_max))</f>
        <v/>
      </c>
      <c r="AH1083" s="4" t="n"/>
      <c r="AI1083" s="24">
        <f>IF($AH1083="","",IF((IFERROR(INDEX('ASIGNACIONES'!$J$4:$J$451,MATCH($O1083&amp;"|"&amp;$S1083&amp;"|"&amp;$AH1083,'ASIGNACIONES'!$N$4:$N$451,0)),""))=0,"",IFERROR(INDEX('ASIGNACIONES'!$J$4:$J$451,MATCH($O1083&amp;"|"&amp;$S1083&amp;"|"&amp;$AH1083,'ASIGNACIONES'!$N$4:$N$451,0)),"")))</f>
        <v/>
      </c>
      <c r="AJ1083" s="42">
        <f>IF($AH1083="","",SUMIFS('ORDENES'!$M$4:$M$1203,'ORDENES'!$AH$4:$AH$1203,$AH1083,'ORDENES'!$O$4:$O$1203,$O1083,'ORDENES'!$S$4:$S$1203,$S1083))</f>
        <v/>
      </c>
      <c r="AK1083" s="42">
        <f>IF($AJ1083="","",p_factor_productividad*IFERROR(INDEX('ASIGNACIONES'!$M$4:$M$451,MATCH($O1083&amp;"|"&amp;$S1083&amp;"|"&amp;$AH1083,'ASIGNACIONES'!$N$4:$N$451,0)),0)-$AJ1083)</f>
        <v/>
      </c>
      <c r="AL1083" s="32">
        <f>IF($A1083="","",IFERROR(INDEX('2_IMPORTAR_EJECUCION'!$F$9:$F$1208,MATCH($AU1083,'2_IMPORTAR_EJECUCION'!$J$9:$J$1208,0)),0))</f>
        <v/>
      </c>
      <c r="AM1083" s="32">
        <f>IF($A1083="","",MAX(0,IFERROR(INDEX('2_IMPORTAR_EJECUCION'!$H$9:$H$1208,MATCH($AU1083,'2_IMPORTAR_EJECUCION'!$J$9:$J$1208,0)),0)-$AL1083))</f>
        <v/>
      </c>
      <c r="AN1083" s="32">
        <f>IF($A1083="","",$AL1083+$AM1083)</f>
        <v/>
      </c>
      <c r="AO1083" s="24">
        <f>IF($A1083="","",IF(OR((IFERROR(INDEX('CAT_ACTIVIDADES'!$D$4:$D$26,MATCH($H1083,'CAT_ACTIVIDADES'!$A$4:$A$26,0)),""))=0,(IFERROR(INDEX('CAT_ACTIVIDADES'!$D$4:$D$26,MATCH($H1083,'CAT_ACTIVIDADES'!$A$4:$A$26,0)),""))=""),"SIN CLASIFICAR",IFERROR(INDEX('CAT_ACTIVIDADES'!$D$4:$D$26,MATCH($H1083,'CAT_ACTIVIDADES'!$A$4:$A$26,0)),"")))</f>
        <v/>
      </c>
      <c r="AP1083" s="4" t="n"/>
      <c r="AQ1083" s="4" t="n"/>
      <c r="AR1083" s="4" t="n"/>
      <c r="AS1083" s="24">
        <f>IF($AR1083="","",HYPERLINK(p_ruta_base_checklists&amp;$AR1083,"abrir"))</f>
        <v/>
      </c>
      <c r="AT1083" s="4" t="n"/>
      <c r="AU1083" s="24">
        <f>IF($A1083="","",$A1083&amp;IF($B1083="","0010",$B1083))</f>
        <v/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41" t="n"/>
      <c r="K1084" s="5" t="n"/>
      <c r="L1084" s="18" t="n"/>
      <c r="M1084" s="24">
        <f>IF($A1084="","",IFERROR(INDEX('AJUSTES'!$B$4:$B$303,MATCH($AU1084,'AJUSTES'!$A$4:$A$303,0)),IF($K1084="","",$K1084)))</f>
        <v/>
      </c>
      <c r="N1084" s="24">
        <f>IF($A1084="","",IFERROR(INDEX('CAT_ESTADOS_ERP'!$B$4:$B$22,MATCH(IFERROR(INDEX('2_IMPORTAR_EJECUCION'!$C$9:$C$1208,MATCH($AU1084,'2_IMPORTAR_EJECUCION'!$J$9:$J$1208,0)),""),'CAT_ESTADOS_ERP'!$A$4:$A$22,0)),"Pendiente"))</f>
        <v/>
      </c>
      <c r="O1084" s="24">
        <f>IF($J1084="","",YEAR($J1084+4-WEEKDAY($J1084,2))&amp;"-S"&amp;TEXT(_xlfn.ISOWEEKNUM($J1084),"00"))</f>
        <v/>
      </c>
      <c r="P1084" s="24">
        <f>IF($J1084="","",YEAR($J1084))</f>
        <v/>
      </c>
      <c r="Q1084" s="24">
        <f>IF($J1084="","",MONTH($J1084))</f>
        <v/>
      </c>
      <c r="R1084" s="24">
        <f>IF($J1084="","",$P1084&amp;"-"&amp;TEXT($Q1084,"00"))</f>
        <v/>
      </c>
      <c r="S1084" s="24">
        <f>IF($J1084="","",INDEX(lista_dias,WEEKDAY($J1084,2)))</f>
        <v/>
      </c>
      <c r="T1084" s="24">
        <f>IF($J1084="","",IFERROR(INDEX('CALENDARIO'!$C$15:$C$214,MATCH(TEXT($J1084,"yyyy-mm-dd")&amp;"|"&amp;$Y1084&amp;"|"&amp;$Z1084,'CALENDARIO'!$G$15:$G$214,0)),IFERROR(INDEX('CALENDARIO'!$C$15:$C$214,MATCH(TEXT($J1084,"yyyy-mm-dd")&amp;"|"&amp;$Y1084&amp;"|",'CALENDARIO'!$G$15:$G$214,0)),IFERROR(INDEX('CALENDARIO'!$C$15:$C$214,MATCH(TEXT($J1084,"yyyy-mm-dd")&amp;"||",'CALENDARIO'!$G$15:$G$214,0)),INDEX(patronHabil,WEEKDAY($J1084,2))))))</f>
        <v/>
      </c>
      <c r="U1084" s="24">
        <f>IF($I1084="","",IFERROR(INDEX('CAT_TIPOS_OT'!$C$4:$C$23,MATCH($I1084,'CAT_TIPOS_OT'!$A$4:$A$23,0)),"sin_clasificar"))</f>
        <v/>
      </c>
      <c r="V1084" s="24">
        <f>IF($I1084="","",IF(IFERROR(INDEX('CAT_TIPOS_OT'!$D$4:$D$23,MATCH($I1084,'CAT_TIPOS_OT'!$A$4:$A$23,0)),"SIN CLASIFICAR")="","SIN CLASIFICAR",IFERROR(INDEX('CAT_TIPOS_OT'!$D$4:$D$23,MATCH($I1084,'CAT_TIPOS_OT'!$A$4:$A$23,0)),"SIN CLASIFICAR")))</f>
        <v/>
      </c>
      <c r="W1084" s="24">
        <f>IF($H1084="","",IF(IFERROR(INDEX('CAT_ACTIVIDADES'!$F$4:$F$26,MATCH($H1084,'CAT_ACTIVIDADES'!$A$4:$A$26,0)),"")=0,"",IFERROR(INDEX('CAT_ACTIVIDADES'!$F$4:$F$26,MATCH($H1084,'CAT_ACTIVIDADES'!$A$4:$A$26,0)),"")))</f>
        <v/>
      </c>
      <c r="X1084" s="24">
        <f>IF($F1084="","",IFERROR(INDEX('CAT_CENTROS_COSTO'!$F$4:$F$28,MATCH($F1084,'CAT_CENTROS_COSTO'!$A$4:$A$28,0)),"(sin catálogo)"))</f>
        <v/>
      </c>
      <c r="Y1084" s="24">
        <f>IF($F1084="","",IFERROR(INDEX('CAT_CENTROS_COSTO'!$D$4:$D$28,MATCH($F1084,'CAT_CENTROS_COSTO'!$A$4:$A$28,0)),"(sin catálogo)"))</f>
        <v/>
      </c>
      <c r="Z1084" s="24">
        <f>IF($F1084="","",IF((IFERROR(INDEX('CAT_CENTROS_COSTO'!$E$4:$E$28,MATCH($F1084,'CAT_CENTROS_COSTO'!$A$4:$A$28,0)),""))&lt;&gt;"",IFERROR(INDEX('CAT_CENTROS_COSTO'!$E$4:$E$28,MATCH($F1084,'CAT_CENTROS_COSTO'!$A$4:$A$28,0)),""),$Y1084))</f>
        <v/>
      </c>
      <c r="AA1084" s="24">
        <f>IF($F1084="","",IFERROR(INDEX('CAT_CENTROS_COSTO'!$G$4:$G$28,MATCH($F1084,'CAT_CENTROS_COSTO'!$A$4:$A$28,0)),"(sin catálogo)"))</f>
        <v/>
      </c>
      <c r="AB1084" s="24">
        <f>IF($G1084="","",IFERROR(INDEX('CAT_PUESTOS'!$B$4:$B$23,MATCH($G1084,'CAT_PUESTOS'!$A$4:$A$23,0)),"(sin catálogo)"))</f>
        <v/>
      </c>
      <c r="AC1084" s="24">
        <f>IF($H1084="","",IFERROR(INDEX('CAT_ACTIVIDADES'!$B$4:$B$26,MATCH($H1084,'CAT_ACTIVIDADES'!$A$4:$A$26,0)),"(sin catálogo)"))</f>
        <v/>
      </c>
      <c r="AD1084" s="26">
        <f>IF($J1084="","",TODAY()-$J1084)</f>
        <v/>
      </c>
      <c r="AE1084" s="26">
        <f>IF($J1084="","",IF($J1084&lt;=TODAY(),COUNTIFS(cal_fechas,"&gt;="&amp;$J1084,cal_fechas,"&lt;"&amp;TODAY(),cal_habil,"sí"),-COUNTIFS(cal_fechas,"&gt;="&amp;TODAY(),cal_fechas,"&lt;"&amp;$J1084,cal_habil,"sí")))</f>
        <v/>
      </c>
      <c r="AF1084" s="24">
        <f>IF($AE1084="","",IF($AE1084&lt;0,"FUTURO",IF($AE1084&gt;p_dias_backlog_max,"BACKLOG","MES CORRIENTE")))</f>
        <v/>
      </c>
      <c r="AG1084" s="24">
        <f>IF($AE1084="",FALSE,AND($AE1084&gt;p_dias_backlog_min,$AE1084&lt;=p_dias_backlog_max))</f>
        <v/>
      </c>
      <c r="AH1084" s="4" t="n"/>
      <c r="AI1084" s="24">
        <f>IF($AH1084="","",IF((IFERROR(INDEX('ASIGNACIONES'!$J$4:$J$451,MATCH($O1084&amp;"|"&amp;$S1084&amp;"|"&amp;$AH1084,'ASIGNACIONES'!$N$4:$N$451,0)),""))=0,"",IFERROR(INDEX('ASIGNACIONES'!$J$4:$J$451,MATCH($O1084&amp;"|"&amp;$S1084&amp;"|"&amp;$AH1084,'ASIGNACIONES'!$N$4:$N$451,0)),"")))</f>
        <v/>
      </c>
      <c r="AJ1084" s="42">
        <f>IF($AH1084="","",SUMIFS('ORDENES'!$M$4:$M$1203,'ORDENES'!$AH$4:$AH$1203,$AH1084,'ORDENES'!$O$4:$O$1203,$O1084,'ORDENES'!$S$4:$S$1203,$S1084))</f>
        <v/>
      </c>
      <c r="AK1084" s="42">
        <f>IF($AJ1084="","",p_factor_productividad*IFERROR(INDEX('ASIGNACIONES'!$M$4:$M$451,MATCH($O1084&amp;"|"&amp;$S1084&amp;"|"&amp;$AH1084,'ASIGNACIONES'!$N$4:$N$451,0)),0)-$AJ1084)</f>
        <v/>
      </c>
      <c r="AL1084" s="32">
        <f>IF($A1084="","",IFERROR(INDEX('2_IMPORTAR_EJECUCION'!$F$9:$F$1208,MATCH($AU1084,'2_IMPORTAR_EJECUCION'!$J$9:$J$1208,0)),0))</f>
        <v/>
      </c>
      <c r="AM1084" s="32">
        <f>IF($A1084="","",MAX(0,IFERROR(INDEX('2_IMPORTAR_EJECUCION'!$H$9:$H$1208,MATCH($AU1084,'2_IMPORTAR_EJECUCION'!$J$9:$J$1208,0)),0)-$AL1084))</f>
        <v/>
      </c>
      <c r="AN1084" s="32">
        <f>IF($A1084="","",$AL1084+$AM1084)</f>
        <v/>
      </c>
      <c r="AO1084" s="24">
        <f>IF($A1084="","",IF(OR((IFERROR(INDEX('CAT_ACTIVIDADES'!$D$4:$D$26,MATCH($H1084,'CAT_ACTIVIDADES'!$A$4:$A$26,0)),""))=0,(IFERROR(INDEX('CAT_ACTIVIDADES'!$D$4:$D$26,MATCH($H1084,'CAT_ACTIVIDADES'!$A$4:$A$26,0)),""))=""),"SIN CLASIFICAR",IFERROR(INDEX('CAT_ACTIVIDADES'!$D$4:$D$26,MATCH($H1084,'CAT_ACTIVIDADES'!$A$4:$A$26,0)),"")))</f>
        <v/>
      </c>
      <c r="AP1084" s="4" t="n"/>
      <c r="AQ1084" s="4" t="n"/>
      <c r="AR1084" s="4" t="n"/>
      <c r="AS1084" s="24">
        <f>IF($AR1084="","",HYPERLINK(p_ruta_base_checklists&amp;$AR1084,"abrir"))</f>
        <v/>
      </c>
      <c r="AT1084" s="4" t="n"/>
      <c r="AU1084" s="24">
        <f>IF($A1084="","",$A1084&amp;IF($B1084="","0010",$B1084))</f>
        <v/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41" t="n"/>
      <c r="K1085" s="5" t="n"/>
      <c r="L1085" s="18" t="n"/>
      <c r="M1085" s="24">
        <f>IF($A1085="","",IFERROR(INDEX('AJUSTES'!$B$4:$B$303,MATCH($AU1085,'AJUSTES'!$A$4:$A$303,0)),IF($K1085="","",$K1085)))</f>
        <v/>
      </c>
      <c r="N1085" s="24">
        <f>IF($A1085="","",IFERROR(INDEX('CAT_ESTADOS_ERP'!$B$4:$B$22,MATCH(IFERROR(INDEX('2_IMPORTAR_EJECUCION'!$C$9:$C$1208,MATCH($AU1085,'2_IMPORTAR_EJECUCION'!$J$9:$J$1208,0)),""),'CAT_ESTADOS_ERP'!$A$4:$A$22,0)),"Pendiente"))</f>
        <v/>
      </c>
      <c r="O1085" s="24">
        <f>IF($J1085="","",YEAR($J1085+4-WEEKDAY($J1085,2))&amp;"-S"&amp;TEXT(_xlfn.ISOWEEKNUM($J1085),"00"))</f>
        <v/>
      </c>
      <c r="P1085" s="24">
        <f>IF($J1085="","",YEAR($J1085))</f>
        <v/>
      </c>
      <c r="Q1085" s="24">
        <f>IF($J1085="","",MONTH($J1085))</f>
        <v/>
      </c>
      <c r="R1085" s="24">
        <f>IF($J1085="","",$P1085&amp;"-"&amp;TEXT($Q1085,"00"))</f>
        <v/>
      </c>
      <c r="S1085" s="24">
        <f>IF($J1085="","",INDEX(lista_dias,WEEKDAY($J1085,2)))</f>
        <v/>
      </c>
      <c r="T1085" s="24">
        <f>IF($J1085="","",IFERROR(INDEX('CALENDARIO'!$C$15:$C$214,MATCH(TEXT($J1085,"yyyy-mm-dd")&amp;"|"&amp;$Y1085&amp;"|"&amp;$Z1085,'CALENDARIO'!$G$15:$G$214,0)),IFERROR(INDEX('CALENDARIO'!$C$15:$C$214,MATCH(TEXT($J1085,"yyyy-mm-dd")&amp;"|"&amp;$Y1085&amp;"|",'CALENDARIO'!$G$15:$G$214,0)),IFERROR(INDEX('CALENDARIO'!$C$15:$C$214,MATCH(TEXT($J1085,"yyyy-mm-dd")&amp;"||",'CALENDARIO'!$G$15:$G$214,0)),INDEX(patronHabil,WEEKDAY($J1085,2))))))</f>
        <v/>
      </c>
      <c r="U1085" s="24">
        <f>IF($I1085="","",IFERROR(INDEX('CAT_TIPOS_OT'!$C$4:$C$23,MATCH($I1085,'CAT_TIPOS_OT'!$A$4:$A$23,0)),"sin_clasificar"))</f>
        <v/>
      </c>
      <c r="V1085" s="24">
        <f>IF($I1085="","",IF(IFERROR(INDEX('CAT_TIPOS_OT'!$D$4:$D$23,MATCH($I1085,'CAT_TIPOS_OT'!$A$4:$A$23,0)),"SIN CLASIFICAR")="","SIN CLASIFICAR",IFERROR(INDEX('CAT_TIPOS_OT'!$D$4:$D$23,MATCH($I1085,'CAT_TIPOS_OT'!$A$4:$A$23,0)),"SIN CLASIFICAR")))</f>
        <v/>
      </c>
      <c r="W1085" s="24">
        <f>IF($H1085="","",IF(IFERROR(INDEX('CAT_ACTIVIDADES'!$F$4:$F$26,MATCH($H1085,'CAT_ACTIVIDADES'!$A$4:$A$26,0)),"")=0,"",IFERROR(INDEX('CAT_ACTIVIDADES'!$F$4:$F$26,MATCH($H1085,'CAT_ACTIVIDADES'!$A$4:$A$26,0)),"")))</f>
        <v/>
      </c>
      <c r="X1085" s="24">
        <f>IF($F1085="","",IFERROR(INDEX('CAT_CENTROS_COSTO'!$F$4:$F$28,MATCH($F1085,'CAT_CENTROS_COSTO'!$A$4:$A$28,0)),"(sin catálogo)"))</f>
        <v/>
      </c>
      <c r="Y1085" s="24">
        <f>IF($F1085="","",IFERROR(INDEX('CAT_CENTROS_COSTO'!$D$4:$D$28,MATCH($F1085,'CAT_CENTROS_COSTO'!$A$4:$A$28,0)),"(sin catálogo)"))</f>
        <v/>
      </c>
      <c r="Z1085" s="24">
        <f>IF($F1085="","",IF((IFERROR(INDEX('CAT_CENTROS_COSTO'!$E$4:$E$28,MATCH($F1085,'CAT_CENTROS_COSTO'!$A$4:$A$28,0)),""))&lt;&gt;"",IFERROR(INDEX('CAT_CENTROS_COSTO'!$E$4:$E$28,MATCH($F1085,'CAT_CENTROS_COSTO'!$A$4:$A$28,0)),""),$Y1085))</f>
        <v/>
      </c>
      <c r="AA1085" s="24">
        <f>IF($F1085="","",IFERROR(INDEX('CAT_CENTROS_COSTO'!$G$4:$G$28,MATCH($F1085,'CAT_CENTROS_COSTO'!$A$4:$A$28,0)),"(sin catálogo)"))</f>
        <v/>
      </c>
      <c r="AB1085" s="24">
        <f>IF($G1085="","",IFERROR(INDEX('CAT_PUESTOS'!$B$4:$B$23,MATCH($G1085,'CAT_PUESTOS'!$A$4:$A$23,0)),"(sin catálogo)"))</f>
        <v/>
      </c>
      <c r="AC1085" s="24">
        <f>IF($H1085="","",IFERROR(INDEX('CAT_ACTIVIDADES'!$B$4:$B$26,MATCH($H1085,'CAT_ACTIVIDADES'!$A$4:$A$26,0)),"(sin catálogo)"))</f>
        <v/>
      </c>
      <c r="AD1085" s="26">
        <f>IF($J1085="","",TODAY()-$J1085)</f>
        <v/>
      </c>
      <c r="AE1085" s="26">
        <f>IF($J1085="","",IF($J1085&lt;=TODAY(),COUNTIFS(cal_fechas,"&gt;="&amp;$J1085,cal_fechas,"&lt;"&amp;TODAY(),cal_habil,"sí"),-COUNTIFS(cal_fechas,"&gt;="&amp;TODAY(),cal_fechas,"&lt;"&amp;$J1085,cal_habil,"sí")))</f>
        <v/>
      </c>
      <c r="AF1085" s="24">
        <f>IF($AE1085="","",IF($AE1085&lt;0,"FUTURO",IF($AE1085&gt;p_dias_backlog_max,"BACKLOG","MES CORRIENTE")))</f>
        <v/>
      </c>
      <c r="AG1085" s="24">
        <f>IF($AE1085="",FALSE,AND($AE1085&gt;p_dias_backlog_min,$AE1085&lt;=p_dias_backlog_max))</f>
        <v/>
      </c>
      <c r="AH1085" s="4" t="n"/>
      <c r="AI1085" s="24">
        <f>IF($AH1085="","",IF((IFERROR(INDEX('ASIGNACIONES'!$J$4:$J$451,MATCH($O1085&amp;"|"&amp;$S1085&amp;"|"&amp;$AH1085,'ASIGNACIONES'!$N$4:$N$451,0)),""))=0,"",IFERROR(INDEX('ASIGNACIONES'!$J$4:$J$451,MATCH($O1085&amp;"|"&amp;$S1085&amp;"|"&amp;$AH1085,'ASIGNACIONES'!$N$4:$N$451,0)),"")))</f>
        <v/>
      </c>
      <c r="AJ1085" s="42">
        <f>IF($AH1085="","",SUMIFS('ORDENES'!$M$4:$M$1203,'ORDENES'!$AH$4:$AH$1203,$AH1085,'ORDENES'!$O$4:$O$1203,$O1085,'ORDENES'!$S$4:$S$1203,$S1085))</f>
        <v/>
      </c>
      <c r="AK1085" s="42">
        <f>IF($AJ1085="","",p_factor_productividad*IFERROR(INDEX('ASIGNACIONES'!$M$4:$M$451,MATCH($O1085&amp;"|"&amp;$S1085&amp;"|"&amp;$AH1085,'ASIGNACIONES'!$N$4:$N$451,0)),0)-$AJ1085)</f>
        <v/>
      </c>
      <c r="AL1085" s="32">
        <f>IF($A1085="","",IFERROR(INDEX('2_IMPORTAR_EJECUCION'!$F$9:$F$1208,MATCH($AU1085,'2_IMPORTAR_EJECUCION'!$J$9:$J$1208,0)),0))</f>
        <v/>
      </c>
      <c r="AM1085" s="32">
        <f>IF($A1085="","",MAX(0,IFERROR(INDEX('2_IMPORTAR_EJECUCION'!$H$9:$H$1208,MATCH($AU1085,'2_IMPORTAR_EJECUCION'!$J$9:$J$1208,0)),0)-$AL1085))</f>
        <v/>
      </c>
      <c r="AN1085" s="32">
        <f>IF($A1085="","",$AL1085+$AM1085)</f>
        <v/>
      </c>
      <c r="AO1085" s="24">
        <f>IF($A1085="","",IF(OR((IFERROR(INDEX('CAT_ACTIVIDADES'!$D$4:$D$26,MATCH($H1085,'CAT_ACTIVIDADES'!$A$4:$A$26,0)),""))=0,(IFERROR(INDEX('CAT_ACTIVIDADES'!$D$4:$D$26,MATCH($H1085,'CAT_ACTIVIDADES'!$A$4:$A$26,0)),""))=""),"SIN CLASIFICAR",IFERROR(INDEX('CAT_ACTIVIDADES'!$D$4:$D$26,MATCH($H1085,'CAT_ACTIVIDADES'!$A$4:$A$26,0)),"")))</f>
        <v/>
      </c>
      <c r="AP1085" s="4" t="n"/>
      <c r="AQ1085" s="4" t="n"/>
      <c r="AR1085" s="4" t="n"/>
      <c r="AS1085" s="24">
        <f>IF($AR1085="","",HYPERLINK(p_ruta_base_checklists&amp;$AR1085,"abrir"))</f>
        <v/>
      </c>
      <c r="AT1085" s="4" t="n"/>
      <c r="AU1085" s="24">
        <f>IF($A1085="","",$A1085&amp;IF($B1085="","0010",$B1085))</f>
        <v/>
      </c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41" t="n"/>
      <c r="K1086" s="5" t="n"/>
      <c r="L1086" s="18" t="n"/>
      <c r="M1086" s="24">
        <f>IF($A1086="","",IFERROR(INDEX('AJUSTES'!$B$4:$B$303,MATCH($AU1086,'AJUSTES'!$A$4:$A$303,0)),IF($K1086="","",$K1086)))</f>
        <v/>
      </c>
      <c r="N1086" s="24">
        <f>IF($A1086="","",IFERROR(INDEX('CAT_ESTADOS_ERP'!$B$4:$B$22,MATCH(IFERROR(INDEX('2_IMPORTAR_EJECUCION'!$C$9:$C$1208,MATCH($AU1086,'2_IMPORTAR_EJECUCION'!$J$9:$J$1208,0)),""),'CAT_ESTADOS_ERP'!$A$4:$A$22,0)),"Pendiente"))</f>
        <v/>
      </c>
      <c r="O1086" s="24">
        <f>IF($J1086="","",YEAR($J1086+4-WEEKDAY($J1086,2))&amp;"-S"&amp;TEXT(_xlfn.ISOWEEKNUM($J1086),"00"))</f>
        <v/>
      </c>
      <c r="P1086" s="24">
        <f>IF($J1086="","",YEAR($J1086))</f>
        <v/>
      </c>
      <c r="Q1086" s="24">
        <f>IF($J1086="","",MONTH($J1086))</f>
        <v/>
      </c>
      <c r="R1086" s="24">
        <f>IF($J1086="","",$P1086&amp;"-"&amp;TEXT($Q1086,"00"))</f>
        <v/>
      </c>
      <c r="S1086" s="24">
        <f>IF($J1086="","",INDEX(lista_dias,WEEKDAY($J1086,2)))</f>
        <v/>
      </c>
      <c r="T1086" s="24">
        <f>IF($J1086="","",IFERROR(INDEX('CALENDARIO'!$C$15:$C$214,MATCH(TEXT($J1086,"yyyy-mm-dd")&amp;"|"&amp;$Y1086&amp;"|"&amp;$Z1086,'CALENDARIO'!$G$15:$G$214,0)),IFERROR(INDEX('CALENDARIO'!$C$15:$C$214,MATCH(TEXT($J1086,"yyyy-mm-dd")&amp;"|"&amp;$Y1086&amp;"|",'CALENDARIO'!$G$15:$G$214,0)),IFERROR(INDEX('CALENDARIO'!$C$15:$C$214,MATCH(TEXT($J1086,"yyyy-mm-dd")&amp;"||",'CALENDARIO'!$G$15:$G$214,0)),INDEX(patronHabil,WEEKDAY($J1086,2))))))</f>
        <v/>
      </c>
      <c r="U1086" s="24">
        <f>IF($I1086="","",IFERROR(INDEX('CAT_TIPOS_OT'!$C$4:$C$23,MATCH($I1086,'CAT_TIPOS_OT'!$A$4:$A$23,0)),"sin_clasificar"))</f>
        <v/>
      </c>
      <c r="V1086" s="24">
        <f>IF($I1086="","",IF(IFERROR(INDEX('CAT_TIPOS_OT'!$D$4:$D$23,MATCH($I1086,'CAT_TIPOS_OT'!$A$4:$A$23,0)),"SIN CLASIFICAR")="","SIN CLASIFICAR",IFERROR(INDEX('CAT_TIPOS_OT'!$D$4:$D$23,MATCH($I1086,'CAT_TIPOS_OT'!$A$4:$A$23,0)),"SIN CLASIFICAR")))</f>
        <v/>
      </c>
      <c r="W1086" s="24">
        <f>IF($H1086="","",IF(IFERROR(INDEX('CAT_ACTIVIDADES'!$F$4:$F$26,MATCH($H1086,'CAT_ACTIVIDADES'!$A$4:$A$26,0)),"")=0,"",IFERROR(INDEX('CAT_ACTIVIDADES'!$F$4:$F$26,MATCH($H1086,'CAT_ACTIVIDADES'!$A$4:$A$26,0)),"")))</f>
        <v/>
      </c>
      <c r="X1086" s="24">
        <f>IF($F1086="","",IFERROR(INDEX('CAT_CENTROS_COSTO'!$F$4:$F$28,MATCH($F1086,'CAT_CENTROS_COSTO'!$A$4:$A$28,0)),"(sin catálogo)"))</f>
        <v/>
      </c>
      <c r="Y1086" s="24">
        <f>IF($F1086="","",IFERROR(INDEX('CAT_CENTROS_COSTO'!$D$4:$D$28,MATCH($F1086,'CAT_CENTROS_COSTO'!$A$4:$A$28,0)),"(sin catálogo)"))</f>
        <v/>
      </c>
      <c r="Z1086" s="24">
        <f>IF($F1086="","",IF((IFERROR(INDEX('CAT_CENTROS_COSTO'!$E$4:$E$28,MATCH($F1086,'CAT_CENTROS_COSTO'!$A$4:$A$28,0)),""))&lt;&gt;"",IFERROR(INDEX('CAT_CENTROS_COSTO'!$E$4:$E$28,MATCH($F1086,'CAT_CENTROS_COSTO'!$A$4:$A$28,0)),""),$Y1086))</f>
        <v/>
      </c>
      <c r="AA1086" s="24">
        <f>IF($F1086="","",IFERROR(INDEX('CAT_CENTROS_COSTO'!$G$4:$G$28,MATCH($F1086,'CAT_CENTROS_COSTO'!$A$4:$A$28,0)),"(sin catálogo)"))</f>
        <v/>
      </c>
      <c r="AB1086" s="24">
        <f>IF($G1086="","",IFERROR(INDEX('CAT_PUESTOS'!$B$4:$B$23,MATCH($G1086,'CAT_PUESTOS'!$A$4:$A$23,0)),"(sin catálogo)"))</f>
        <v/>
      </c>
      <c r="AC1086" s="24">
        <f>IF($H1086="","",IFERROR(INDEX('CAT_ACTIVIDADES'!$B$4:$B$26,MATCH($H1086,'CAT_ACTIVIDADES'!$A$4:$A$26,0)),"(sin catálogo)"))</f>
        <v/>
      </c>
      <c r="AD1086" s="26">
        <f>IF($J1086="","",TODAY()-$J1086)</f>
        <v/>
      </c>
      <c r="AE1086" s="26">
        <f>IF($J1086="","",IF($J1086&lt;=TODAY(),COUNTIFS(cal_fechas,"&gt;="&amp;$J1086,cal_fechas,"&lt;"&amp;TODAY(),cal_habil,"sí"),-COUNTIFS(cal_fechas,"&gt;="&amp;TODAY(),cal_fechas,"&lt;"&amp;$J1086,cal_habil,"sí")))</f>
        <v/>
      </c>
      <c r="AF1086" s="24">
        <f>IF($AE1086="","",IF($AE1086&lt;0,"FUTURO",IF($AE1086&gt;p_dias_backlog_max,"BACKLOG","MES CORRIENTE")))</f>
        <v/>
      </c>
      <c r="AG1086" s="24">
        <f>IF($AE1086="",FALSE,AND($AE1086&gt;p_dias_backlog_min,$AE1086&lt;=p_dias_backlog_max))</f>
        <v/>
      </c>
      <c r="AH1086" s="4" t="n"/>
      <c r="AI1086" s="24">
        <f>IF($AH1086="","",IF((IFERROR(INDEX('ASIGNACIONES'!$J$4:$J$451,MATCH($O1086&amp;"|"&amp;$S1086&amp;"|"&amp;$AH1086,'ASIGNACIONES'!$N$4:$N$451,0)),""))=0,"",IFERROR(INDEX('ASIGNACIONES'!$J$4:$J$451,MATCH($O1086&amp;"|"&amp;$S1086&amp;"|"&amp;$AH1086,'ASIGNACIONES'!$N$4:$N$451,0)),"")))</f>
        <v/>
      </c>
      <c r="AJ1086" s="42">
        <f>IF($AH1086="","",SUMIFS('ORDENES'!$M$4:$M$1203,'ORDENES'!$AH$4:$AH$1203,$AH1086,'ORDENES'!$O$4:$O$1203,$O1086,'ORDENES'!$S$4:$S$1203,$S1086))</f>
        <v/>
      </c>
      <c r="AK1086" s="42">
        <f>IF($AJ1086="","",p_factor_productividad*IFERROR(INDEX('ASIGNACIONES'!$M$4:$M$451,MATCH($O1086&amp;"|"&amp;$S1086&amp;"|"&amp;$AH1086,'ASIGNACIONES'!$N$4:$N$451,0)),0)-$AJ1086)</f>
        <v/>
      </c>
      <c r="AL1086" s="32">
        <f>IF($A1086="","",IFERROR(INDEX('2_IMPORTAR_EJECUCION'!$F$9:$F$1208,MATCH($AU1086,'2_IMPORTAR_EJECUCION'!$J$9:$J$1208,0)),0))</f>
        <v/>
      </c>
      <c r="AM1086" s="32">
        <f>IF($A1086="","",MAX(0,IFERROR(INDEX('2_IMPORTAR_EJECUCION'!$H$9:$H$1208,MATCH($AU1086,'2_IMPORTAR_EJECUCION'!$J$9:$J$1208,0)),0)-$AL1086))</f>
        <v/>
      </c>
      <c r="AN1086" s="32">
        <f>IF($A1086="","",$AL1086+$AM1086)</f>
        <v/>
      </c>
      <c r="AO1086" s="24">
        <f>IF($A1086="","",IF(OR((IFERROR(INDEX('CAT_ACTIVIDADES'!$D$4:$D$26,MATCH($H1086,'CAT_ACTIVIDADES'!$A$4:$A$26,0)),""))=0,(IFERROR(INDEX('CAT_ACTIVIDADES'!$D$4:$D$26,MATCH($H1086,'CAT_ACTIVIDADES'!$A$4:$A$26,0)),""))=""),"SIN CLASIFICAR",IFERROR(INDEX('CAT_ACTIVIDADES'!$D$4:$D$26,MATCH($H1086,'CAT_ACTIVIDADES'!$A$4:$A$26,0)),"")))</f>
        <v/>
      </c>
      <c r="AP1086" s="4" t="n"/>
      <c r="AQ1086" s="4" t="n"/>
      <c r="AR1086" s="4" t="n"/>
      <c r="AS1086" s="24">
        <f>IF($AR1086="","",HYPERLINK(p_ruta_base_checklists&amp;$AR1086,"abrir"))</f>
        <v/>
      </c>
      <c r="AT1086" s="4" t="n"/>
      <c r="AU1086" s="24">
        <f>IF($A1086="","",$A1086&amp;IF($B1086="","0010",$B1086))</f>
        <v/>
      </c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41" t="n"/>
      <c r="K1087" s="5" t="n"/>
      <c r="L1087" s="18" t="n"/>
      <c r="M1087" s="24">
        <f>IF($A1087="","",IFERROR(INDEX('AJUSTES'!$B$4:$B$303,MATCH($AU1087,'AJUSTES'!$A$4:$A$303,0)),IF($K1087="","",$K1087)))</f>
        <v/>
      </c>
      <c r="N1087" s="24">
        <f>IF($A1087="","",IFERROR(INDEX('CAT_ESTADOS_ERP'!$B$4:$B$22,MATCH(IFERROR(INDEX('2_IMPORTAR_EJECUCION'!$C$9:$C$1208,MATCH($AU1087,'2_IMPORTAR_EJECUCION'!$J$9:$J$1208,0)),""),'CAT_ESTADOS_ERP'!$A$4:$A$22,0)),"Pendiente"))</f>
        <v/>
      </c>
      <c r="O1087" s="24">
        <f>IF($J1087="","",YEAR($J1087+4-WEEKDAY($J1087,2))&amp;"-S"&amp;TEXT(_xlfn.ISOWEEKNUM($J1087),"00"))</f>
        <v/>
      </c>
      <c r="P1087" s="24">
        <f>IF($J1087="","",YEAR($J1087))</f>
        <v/>
      </c>
      <c r="Q1087" s="24">
        <f>IF($J1087="","",MONTH($J1087))</f>
        <v/>
      </c>
      <c r="R1087" s="24">
        <f>IF($J1087="","",$P1087&amp;"-"&amp;TEXT($Q1087,"00"))</f>
        <v/>
      </c>
      <c r="S1087" s="24">
        <f>IF($J1087="","",INDEX(lista_dias,WEEKDAY($J1087,2)))</f>
        <v/>
      </c>
      <c r="T1087" s="24">
        <f>IF($J1087="","",IFERROR(INDEX('CALENDARIO'!$C$15:$C$214,MATCH(TEXT($J1087,"yyyy-mm-dd")&amp;"|"&amp;$Y1087&amp;"|"&amp;$Z1087,'CALENDARIO'!$G$15:$G$214,0)),IFERROR(INDEX('CALENDARIO'!$C$15:$C$214,MATCH(TEXT($J1087,"yyyy-mm-dd")&amp;"|"&amp;$Y1087&amp;"|",'CALENDARIO'!$G$15:$G$214,0)),IFERROR(INDEX('CALENDARIO'!$C$15:$C$214,MATCH(TEXT($J1087,"yyyy-mm-dd")&amp;"||",'CALENDARIO'!$G$15:$G$214,0)),INDEX(patronHabil,WEEKDAY($J1087,2))))))</f>
        <v/>
      </c>
      <c r="U1087" s="24">
        <f>IF($I1087="","",IFERROR(INDEX('CAT_TIPOS_OT'!$C$4:$C$23,MATCH($I1087,'CAT_TIPOS_OT'!$A$4:$A$23,0)),"sin_clasificar"))</f>
        <v/>
      </c>
      <c r="V1087" s="24">
        <f>IF($I1087="","",IF(IFERROR(INDEX('CAT_TIPOS_OT'!$D$4:$D$23,MATCH($I1087,'CAT_TIPOS_OT'!$A$4:$A$23,0)),"SIN CLASIFICAR")="","SIN CLASIFICAR",IFERROR(INDEX('CAT_TIPOS_OT'!$D$4:$D$23,MATCH($I1087,'CAT_TIPOS_OT'!$A$4:$A$23,0)),"SIN CLASIFICAR")))</f>
        <v/>
      </c>
      <c r="W1087" s="24">
        <f>IF($H1087="","",IF(IFERROR(INDEX('CAT_ACTIVIDADES'!$F$4:$F$26,MATCH($H1087,'CAT_ACTIVIDADES'!$A$4:$A$26,0)),"")=0,"",IFERROR(INDEX('CAT_ACTIVIDADES'!$F$4:$F$26,MATCH($H1087,'CAT_ACTIVIDADES'!$A$4:$A$26,0)),"")))</f>
        <v/>
      </c>
      <c r="X1087" s="24">
        <f>IF($F1087="","",IFERROR(INDEX('CAT_CENTROS_COSTO'!$F$4:$F$28,MATCH($F1087,'CAT_CENTROS_COSTO'!$A$4:$A$28,0)),"(sin catálogo)"))</f>
        <v/>
      </c>
      <c r="Y1087" s="24">
        <f>IF($F1087="","",IFERROR(INDEX('CAT_CENTROS_COSTO'!$D$4:$D$28,MATCH($F1087,'CAT_CENTROS_COSTO'!$A$4:$A$28,0)),"(sin catálogo)"))</f>
        <v/>
      </c>
      <c r="Z1087" s="24">
        <f>IF($F1087="","",IF((IFERROR(INDEX('CAT_CENTROS_COSTO'!$E$4:$E$28,MATCH($F1087,'CAT_CENTROS_COSTO'!$A$4:$A$28,0)),""))&lt;&gt;"",IFERROR(INDEX('CAT_CENTROS_COSTO'!$E$4:$E$28,MATCH($F1087,'CAT_CENTROS_COSTO'!$A$4:$A$28,0)),""),$Y1087))</f>
        <v/>
      </c>
      <c r="AA1087" s="24">
        <f>IF($F1087="","",IFERROR(INDEX('CAT_CENTROS_COSTO'!$G$4:$G$28,MATCH($F1087,'CAT_CENTROS_COSTO'!$A$4:$A$28,0)),"(sin catálogo)"))</f>
        <v/>
      </c>
      <c r="AB1087" s="24">
        <f>IF($G1087="","",IFERROR(INDEX('CAT_PUESTOS'!$B$4:$B$23,MATCH($G1087,'CAT_PUESTOS'!$A$4:$A$23,0)),"(sin catálogo)"))</f>
        <v/>
      </c>
      <c r="AC1087" s="24">
        <f>IF($H1087="","",IFERROR(INDEX('CAT_ACTIVIDADES'!$B$4:$B$26,MATCH($H1087,'CAT_ACTIVIDADES'!$A$4:$A$26,0)),"(sin catálogo)"))</f>
        <v/>
      </c>
      <c r="AD1087" s="26">
        <f>IF($J1087="","",TODAY()-$J1087)</f>
        <v/>
      </c>
      <c r="AE1087" s="26">
        <f>IF($J1087="","",IF($J1087&lt;=TODAY(),COUNTIFS(cal_fechas,"&gt;="&amp;$J1087,cal_fechas,"&lt;"&amp;TODAY(),cal_habil,"sí"),-COUNTIFS(cal_fechas,"&gt;="&amp;TODAY(),cal_fechas,"&lt;"&amp;$J1087,cal_habil,"sí")))</f>
        <v/>
      </c>
      <c r="AF1087" s="24">
        <f>IF($AE1087="","",IF($AE1087&lt;0,"FUTURO",IF($AE1087&gt;p_dias_backlog_max,"BACKLOG","MES CORRIENTE")))</f>
        <v/>
      </c>
      <c r="AG1087" s="24">
        <f>IF($AE1087="",FALSE,AND($AE1087&gt;p_dias_backlog_min,$AE1087&lt;=p_dias_backlog_max))</f>
        <v/>
      </c>
      <c r="AH1087" s="4" t="n"/>
      <c r="AI1087" s="24">
        <f>IF($AH1087="","",IF((IFERROR(INDEX('ASIGNACIONES'!$J$4:$J$451,MATCH($O1087&amp;"|"&amp;$S1087&amp;"|"&amp;$AH1087,'ASIGNACIONES'!$N$4:$N$451,0)),""))=0,"",IFERROR(INDEX('ASIGNACIONES'!$J$4:$J$451,MATCH($O1087&amp;"|"&amp;$S1087&amp;"|"&amp;$AH1087,'ASIGNACIONES'!$N$4:$N$451,0)),"")))</f>
        <v/>
      </c>
      <c r="AJ1087" s="42">
        <f>IF($AH1087="","",SUMIFS('ORDENES'!$M$4:$M$1203,'ORDENES'!$AH$4:$AH$1203,$AH1087,'ORDENES'!$O$4:$O$1203,$O1087,'ORDENES'!$S$4:$S$1203,$S1087))</f>
        <v/>
      </c>
      <c r="AK1087" s="42">
        <f>IF($AJ1087="","",p_factor_productividad*IFERROR(INDEX('ASIGNACIONES'!$M$4:$M$451,MATCH($O1087&amp;"|"&amp;$S1087&amp;"|"&amp;$AH1087,'ASIGNACIONES'!$N$4:$N$451,0)),0)-$AJ1087)</f>
        <v/>
      </c>
      <c r="AL1087" s="32">
        <f>IF($A1087="","",IFERROR(INDEX('2_IMPORTAR_EJECUCION'!$F$9:$F$1208,MATCH($AU1087,'2_IMPORTAR_EJECUCION'!$J$9:$J$1208,0)),0))</f>
        <v/>
      </c>
      <c r="AM1087" s="32">
        <f>IF($A1087="","",MAX(0,IFERROR(INDEX('2_IMPORTAR_EJECUCION'!$H$9:$H$1208,MATCH($AU1087,'2_IMPORTAR_EJECUCION'!$J$9:$J$1208,0)),0)-$AL1087))</f>
        <v/>
      </c>
      <c r="AN1087" s="32">
        <f>IF($A1087="","",$AL1087+$AM1087)</f>
        <v/>
      </c>
      <c r="AO1087" s="24">
        <f>IF($A1087="","",IF(OR((IFERROR(INDEX('CAT_ACTIVIDADES'!$D$4:$D$26,MATCH($H1087,'CAT_ACTIVIDADES'!$A$4:$A$26,0)),""))=0,(IFERROR(INDEX('CAT_ACTIVIDADES'!$D$4:$D$26,MATCH($H1087,'CAT_ACTIVIDADES'!$A$4:$A$26,0)),""))=""),"SIN CLASIFICAR",IFERROR(INDEX('CAT_ACTIVIDADES'!$D$4:$D$26,MATCH($H1087,'CAT_ACTIVIDADES'!$A$4:$A$26,0)),"")))</f>
        <v/>
      </c>
      <c r="AP1087" s="4" t="n"/>
      <c r="AQ1087" s="4" t="n"/>
      <c r="AR1087" s="4" t="n"/>
      <c r="AS1087" s="24">
        <f>IF($AR1087="","",HYPERLINK(p_ruta_base_checklists&amp;$AR1087,"abrir"))</f>
        <v/>
      </c>
      <c r="AT1087" s="4" t="n"/>
      <c r="AU1087" s="24">
        <f>IF($A1087="","",$A1087&amp;IF($B1087="","0010",$B1087))</f>
        <v/>
      </c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41" t="n"/>
      <c r="K1088" s="5" t="n"/>
      <c r="L1088" s="18" t="n"/>
      <c r="M1088" s="24">
        <f>IF($A1088="","",IFERROR(INDEX('AJUSTES'!$B$4:$B$303,MATCH($AU1088,'AJUSTES'!$A$4:$A$303,0)),IF($K1088="","",$K1088)))</f>
        <v/>
      </c>
      <c r="N1088" s="24">
        <f>IF($A1088="","",IFERROR(INDEX('CAT_ESTADOS_ERP'!$B$4:$B$22,MATCH(IFERROR(INDEX('2_IMPORTAR_EJECUCION'!$C$9:$C$1208,MATCH($AU1088,'2_IMPORTAR_EJECUCION'!$J$9:$J$1208,0)),""),'CAT_ESTADOS_ERP'!$A$4:$A$22,0)),"Pendiente"))</f>
        <v/>
      </c>
      <c r="O1088" s="24">
        <f>IF($J1088="","",YEAR($J1088+4-WEEKDAY($J1088,2))&amp;"-S"&amp;TEXT(_xlfn.ISOWEEKNUM($J1088),"00"))</f>
        <v/>
      </c>
      <c r="P1088" s="24">
        <f>IF($J1088="","",YEAR($J1088))</f>
        <v/>
      </c>
      <c r="Q1088" s="24">
        <f>IF($J1088="","",MONTH($J1088))</f>
        <v/>
      </c>
      <c r="R1088" s="24">
        <f>IF($J1088="","",$P1088&amp;"-"&amp;TEXT($Q1088,"00"))</f>
        <v/>
      </c>
      <c r="S1088" s="24">
        <f>IF($J1088="","",INDEX(lista_dias,WEEKDAY($J1088,2)))</f>
        <v/>
      </c>
      <c r="T1088" s="24">
        <f>IF($J1088="","",IFERROR(INDEX('CALENDARIO'!$C$15:$C$214,MATCH(TEXT($J1088,"yyyy-mm-dd")&amp;"|"&amp;$Y1088&amp;"|"&amp;$Z1088,'CALENDARIO'!$G$15:$G$214,0)),IFERROR(INDEX('CALENDARIO'!$C$15:$C$214,MATCH(TEXT($J1088,"yyyy-mm-dd")&amp;"|"&amp;$Y1088&amp;"|",'CALENDARIO'!$G$15:$G$214,0)),IFERROR(INDEX('CALENDARIO'!$C$15:$C$214,MATCH(TEXT($J1088,"yyyy-mm-dd")&amp;"||",'CALENDARIO'!$G$15:$G$214,0)),INDEX(patronHabil,WEEKDAY($J1088,2))))))</f>
        <v/>
      </c>
      <c r="U1088" s="24">
        <f>IF($I1088="","",IFERROR(INDEX('CAT_TIPOS_OT'!$C$4:$C$23,MATCH($I1088,'CAT_TIPOS_OT'!$A$4:$A$23,0)),"sin_clasificar"))</f>
        <v/>
      </c>
      <c r="V1088" s="24">
        <f>IF($I1088="","",IF(IFERROR(INDEX('CAT_TIPOS_OT'!$D$4:$D$23,MATCH($I1088,'CAT_TIPOS_OT'!$A$4:$A$23,0)),"SIN CLASIFICAR")="","SIN CLASIFICAR",IFERROR(INDEX('CAT_TIPOS_OT'!$D$4:$D$23,MATCH($I1088,'CAT_TIPOS_OT'!$A$4:$A$23,0)),"SIN CLASIFICAR")))</f>
        <v/>
      </c>
      <c r="W1088" s="24">
        <f>IF($H1088="","",IF(IFERROR(INDEX('CAT_ACTIVIDADES'!$F$4:$F$26,MATCH($H1088,'CAT_ACTIVIDADES'!$A$4:$A$26,0)),"")=0,"",IFERROR(INDEX('CAT_ACTIVIDADES'!$F$4:$F$26,MATCH($H1088,'CAT_ACTIVIDADES'!$A$4:$A$26,0)),"")))</f>
        <v/>
      </c>
      <c r="X1088" s="24">
        <f>IF($F1088="","",IFERROR(INDEX('CAT_CENTROS_COSTO'!$F$4:$F$28,MATCH($F1088,'CAT_CENTROS_COSTO'!$A$4:$A$28,0)),"(sin catálogo)"))</f>
        <v/>
      </c>
      <c r="Y1088" s="24">
        <f>IF($F1088="","",IFERROR(INDEX('CAT_CENTROS_COSTO'!$D$4:$D$28,MATCH($F1088,'CAT_CENTROS_COSTO'!$A$4:$A$28,0)),"(sin catálogo)"))</f>
        <v/>
      </c>
      <c r="Z1088" s="24">
        <f>IF($F1088="","",IF((IFERROR(INDEX('CAT_CENTROS_COSTO'!$E$4:$E$28,MATCH($F1088,'CAT_CENTROS_COSTO'!$A$4:$A$28,0)),""))&lt;&gt;"",IFERROR(INDEX('CAT_CENTROS_COSTO'!$E$4:$E$28,MATCH($F1088,'CAT_CENTROS_COSTO'!$A$4:$A$28,0)),""),$Y1088))</f>
        <v/>
      </c>
      <c r="AA1088" s="24">
        <f>IF($F1088="","",IFERROR(INDEX('CAT_CENTROS_COSTO'!$G$4:$G$28,MATCH($F1088,'CAT_CENTROS_COSTO'!$A$4:$A$28,0)),"(sin catálogo)"))</f>
        <v/>
      </c>
      <c r="AB1088" s="24">
        <f>IF($G1088="","",IFERROR(INDEX('CAT_PUESTOS'!$B$4:$B$23,MATCH($G1088,'CAT_PUESTOS'!$A$4:$A$23,0)),"(sin catálogo)"))</f>
        <v/>
      </c>
      <c r="AC1088" s="24">
        <f>IF($H1088="","",IFERROR(INDEX('CAT_ACTIVIDADES'!$B$4:$B$26,MATCH($H1088,'CAT_ACTIVIDADES'!$A$4:$A$26,0)),"(sin catálogo)"))</f>
        <v/>
      </c>
      <c r="AD1088" s="26">
        <f>IF($J1088="","",TODAY()-$J1088)</f>
        <v/>
      </c>
      <c r="AE1088" s="26">
        <f>IF($J1088="","",IF($J1088&lt;=TODAY(),COUNTIFS(cal_fechas,"&gt;="&amp;$J1088,cal_fechas,"&lt;"&amp;TODAY(),cal_habil,"sí"),-COUNTIFS(cal_fechas,"&gt;="&amp;TODAY(),cal_fechas,"&lt;"&amp;$J1088,cal_habil,"sí")))</f>
        <v/>
      </c>
      <c r="AF1088" s="24">
        <f>IF($AE1088="","",IF($AE1088&lt;0,"FUTURO",IF($AE1088&gt;p_dias_backlog_max,"BACKLOG","MES CORRIENTE")))</f>
        <v/>
      </c>
      <c r="AG1088" s="24">
        <f>IF($AE1088="",FALSE,AND($AE1088&gt;p_dias_backlog_min,$AE1088&lt;=p_dias_backlog_max))</f>
        <v/>
      </c>
      <c r="AH1088" s="4" t="n"/>
      <c r="AI1088" s="24">
        <f>IF($AH1088="","",IF((IFERROR(INDEX('ASIGNACIONES'!$J$4:$J$451,MATCH($O1088&amp;"|"&amp;$S1088&amp;"|"&amp;$AH1088,'ASIGNACIONES'!$N$4:$N$451,0)),""))=0,"",IFERROR(INDEX('ASIGNACIONES'!$J$4:$J$451,MATCH($O1088&amp;"|"&amp;$S1088&amp;"|"&amp;$AH1088,'ASIGNACIONES'!$N$4:$N$451,0)),"")))</f>
        <v/>
      </c>
      <c r="AJ1088" s="42">
        <f>IF($AH1088="","",SUMIFS('ORDENES'!$M$4:$M$1203,'ORDENES'!$AH$4:$AH$1203,$AH1088,'ORDENES'!$O$4:$O$1203,$O1088,'ORDENES'!$S$4:$S$1203,$S1088))</f>
        <v/>
      </c>
      <c r="AK1088" s="42">
        <f>IF($AJ1088="","",p_factor_productividad*IFERROR(INDEX('ASIGNACIONES'!$M$4:$M$451,MATCH($O1088&amp;"|"&amp;$S1088&amp;"|"&amp;$AH1088,'ASIGNACIONES'!$N$4:$N$451,0)),0)-$AJ1088)</f>
        <v/>
      </c>
      <c r="AL1088" s="32">
        <f>IF($A1088="","",IFERROR(INDEX('2_IMPORTAR_EJECUCION'!$F$9:$F$1208,MATCH($AU1088,'2_IMPORTAR_EJECUCION'!$J$9:$J$1208,0)),0))</f>
        <v/>
      </c>
      <c r="AM1088" s="32">
        <f>IF($A1088="","",MAX(0,IFERROR(INDEX('2_IMPORTAR_EJECUCION'!$H$9:$H$1208,MATCH($AU1088,'2_IMPORTAR_EJECUCION'!$J$9:$J$1208,0)),0)-$AL1088))</f>
        <v/>
      </c>
      <c r="AN1088" s="32">
        <f>IF($A1088="","",$AL1088+$AM1088)</f>
        <v/>
      </c>
      <c r="AO1088" s="24">
        <f>IF($A1088="","",IF(OR((IFERROR(INDEX('CAT_ACTIVIDADES'!$D$4:$D$26,MATCH($H1088,'CAT_ACTIVIDADES'!$A$4:$A$26,0)),""))=0,(IFERROR(INDEX('CAT_ACTIVIDADES'!$D$4:$D$26,MATCH($H1088,'CAT_ACTIVIDADES'!$A$4:$A$26,0)),""))=""),"SIN CLASIFICAR",IFERROR(INDEX('CAT_ACTIVIDADES'!$D$4:$D$26,MATCH($H1088,'CAT_ACTIVIDADES'!$A$4:$A$26,0)),"")))</f>
        <v/>
      </c>
      <c r="AP1088" s="4" t="n"/>
      <c r="AQ1088" s="4" t="n"/>
      <c r="AR1088" s="4" t="n"/>
      <c r="AS1088" s="24">
        <f>IF($AR1088="","",HYPERLINK(p_ruta_base_checklists&amp;$AR1088,"abrir"))</f>
        <v/>
      </c>
      <c r="AT1088" s="4" t="n"/>
      <c r="AU1088" s="24">
        <f>IF($A1088="","",$A1088&amp;IF($B1088="","0010",$B1088))</f>
        <v/>
      </c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41" t="n"/>
      <c r="K1089" s="5" t="n"/>
      <c r="L1089" s="18" t="n"/>
      <c r="M1089" s="24">
        <f>IF($A1089="","",IFERROR(INDEX('AJUSTES'!$B$4:$B$303,MATCH($AU1089,'AJUSTES'!$A$4:$A$303,0)),IF($K1089="","",$K1089)))</f>
        <v/>
      </c>
      <c r="N1089" s="24">
        <f>IF($A1089="","",IFERROR(INDEX('CAT_ESTADOS_ERP'!$B$4:$B$22,MATCH(IFERROR(INDEX('2_IMPORTAR_EJECUCION'!$C$9:$C$1208,MATCH($AU1089,'2_IMPORTAR_EJECUCION'!$J$9:$J$1208,0)),""),'CAT_ESTADOS_ERP'!$A$4:$A$22,0)),"Pendiente"))</f>
        <v/>
      </c>
      <c r="O1089" s="24">
        <f>IF($J1089="","",YEAR($J1089+4-WEEKDAY($J1089,2))&amp;"-S"&amp;TEXT(_xlfn.ISOWEEKNUM($J1089),"00"))</f>
        <v/>
      </c>
      <c r="P1089" s="24">
        <f>IF($J1089="","",YEAR($J1089))</f>
        <v/>
      </c>
      <c r="Q1089" s="24">
        <f>IF($J1089="","",MONTH($J1089))</f>
        <v/>
      </c>
      <c r="R1089" s="24">
        <f>IF($J1089="","",$P1089&amp;"-"&amp;TEXT($Q1089,"00"))</f>
        <v/>
      </c>
      <c r="S1089" s="24">
        <f>IF($J1089="","",INDEX(lista_dias,WEEKDAY($J1089,2)))</f>
        <v/>
      </c>
      <c r="T1089" s="24">
        <f>IF($J1089="","",IFERROR(INDEX('CALENDARIO'!$C$15:$C$214,MATCH(TEXT($J1089,"yyyy-mm-dd")&amp;"|"&amp;$Y1089&amp;"|"&amp;$Z1089,'CALENDARIO'!$G$15:$G$214,0)),IFERROR(INDEX('CALENDARIO'!$C$15:$C$214,MATCH(TEXT($J1089,"yyyy-mm-dd")&amp;"|"&amp;$Y1089&amp;"|",'CALENDARIO'!$G$15:$G$214,0)),IFERROR(INDEX('CALENDARIO'!$C$15:$C$214,MATCH(TEXT($J1089,"yyyy-mm-dd")&amp;"||",'CALENDARIO'!$G$15:$G$214,0)),INDEX(patronHabil,WEEKDAY($J1089,2))))))</f>
        <v/>
      </c>
      <c r="U1089" s="24">
        <f>IF($I1089="","",IFERROR(INDEX('CAT_TIPOS_OT'!$C$4:$C$23,MATCH($I1089,'CAT_TIPOS_OT'!$A$4:$A$23,0)),"sin_clasificar"))</f>
        <v/>
      </c>
      <c r="V1089" s="24">
        <f>IF($I1089="","",IF(IFERROR(INDEX('CAT_TIPOS_OT'!$D$4:$D$23,MATCH($I1089,'CAT_TIPOS_OT'!$A$4:$A$23,0)),"SIN CLASIFICAR")="","SIN CLASIFICAR",IFERROR(INDEX('CAT_TIPOS_OT'!$D$4:$D$23,MATCH($I1089,'CAT_TIPOS_OT'!$A$4:$A$23,0)),"SIN CLASIFICAR")))</f>
        <v/>
      </c>
      <c r="W1089" s="24">
        <f>IF($H1089="","",IF(IFERROR(INDEX('CAT_ACTIVIDADES'!$F$4:$F$26,MATCH($H1089,'CAT_ACTIVIDADES'!$A$4:$A$26,0)),"")=0,"",IFERROR(INDEX('CAT_ACTIVIDADES'!$F$4:$F$26,MATCH($H1089,'CAT_ACTIVIDADES'!$A$4:$A$26,0)),"")))</f>
        <v/>
      </c>
      <c r="X1089" s="24">
        <f>IF($F1089="","",IFERROR(INDEX('CAT_CENTROS_COSTO'!$F$4:$F$28,MATCH($F1089,'CAT_CENTROS_COSTO'!$A$4:$A$28,0)),"(sin catálogo)"))</f>
        <v/>
      </c>
      <c r="Y1089" s="24">
        <f>IF($F1089="","",IFERROR(INDEX('CAT_CENTROS_COSTO'!$D$4:$D$28,MATCH($F1089,'CAT_CENTROS_COSTO'!$A$4:$A$28,0)),"(sin catálogo)"))</f>
        <v/>
      </c>
      <c r="Z1089" s="24">
        <f>IF($F1089="","",IF((IFERROR(INDEX('CAT_CENTROS_COSTO'!$E$4:$E$28,MATCH($F1089,'CAT_CENTROS_COSTO'!$A$4:$A$28,0)),""))&lt;&gt;"",IFERROR(INDEX('CAT_CENTROS_COSTO'!$E$4:$E$28,MATCH($F1089,'CAT_CENTROS_COSTO'!$A$4:$A$28,0)),""),$Y1089))</f>
        <v/>
      </c>
      <c r="AA1089" s="24">
        <f>IF($F1089="","",IFERROR(INDEX('CAT_CENTROS_COSTO'!$G$4:$G$28,MATCH($F1089,'CAT_CENTROS_COSTO'!$A$4:$A$28,0)),"(sin catálogo)"))</f>
        <v/>
      </c>
      <c r="AB1089" s="24">
        <f>IF($G1089="","",IFERROR(INDEX('CAT_PUESTOS'!$B$4:$B$23,MATCH($G1089,'CAT_PUESTOS'!$A$4:$A$23,0)),"(sin catálogo)"))</f>
        <v/>
      </c>
      <c r="AC1089" s="24">
        <f>IF($H1089="","",IFERROR(INDEX('CAT_ACTIVIDADES'!$B$4:$B$26,MATCH($H1089,'CAT_ACTIVIDADES'!$A$4:$A$26,0)),"(sin catálogo)"))</f>
        <v/>
      </c>
      <c r="AD1089" s="26">
        <f>IF($J1089="","",TODAY()-$J1089)</f>
        <v/>
      </c>
      <c r="AE1089" s="26">
        <f>IF($J1089="","",IF($J1089&lt;=TODAY(),COUNTIFS(cal_fechas,"&gt;="&amp;$J1089,cal_fechas,"&lt;"&amp;TODAY(),cal_habil,"sí"),-COUNTIFS(cal_fechas,"&gt;="&amp;TODAY(),cal_fechas,"&lt;"&amp;$J1089,cal_habil,"sí")))</f>
        <v/>
      </c>
      <c r="AF1089" s="24">
        <f>IF($AE1089="","",IF($AE1089&lt;0,"FUTURO",IF($AE1089&gt;p_dias_backlog_max,"BACKLOG","MES CORRIENTE")))</f>
        <v/>
      </c>
      <c r="AG1089" s="24">
        <f>IF($AE1089="",FALSE,AND($AE1089&gt;p_dias_backlog_min,$AE1089&lt;=p_dias_backlog_max))</f>
        <v/>
      </c>
      <c r="AH1089" s="4" t="n"/>
      <c r="AI1089" s="24">
        <f>IF($AH1089="","",IF((IFERROR(INDEX('ASIGNACIONES'!$J$4:$J$451,MATCH($O1089&amp;"|"&amp;$S1089&amp;"|"&amp;$AH1089,'ASIGNACIONES'!$N$4:$N$451,0)),""))=0,"",IFERROR(INDEX('ASIGNACIONES'!$J$4:$J$451,MATCH($O1089&amp;"|"&amp;$S1089&amp;"|"&amp;$AH1089,'ASIGNACIONES'!$N$4:$N$451,0)),"")))</f>
        <v/>
      </c>
      <c r="AJ1089" s="42">
        <f>IF($AH1089="","",SUMIFS('ORDENES'!$M$4:$M$1203,'ORDENES'!$AH$4:$AH$1203,$AH1089,'ORDENES'!$O$4:$O$1203,$O1089,'ORDENES'!$S$4:$S$1203,$S1089))</f>
        <v/>
      </c>
      <c r="AK1089" s="42">
        <f>IF($AJ1089="","",p_factor_productividad*IFERROR(INDEX('ASIGNACIONES'!$M$4:$M$451,MATCH($O1089&amp;"|"&amp;$S1089&amp;"|"&amp;$AH1089,'ASIGNACIONES'!$N$4:$N$451,0)),0)-$AJ1089)</f>
        <v/>
      </c>
      <c r="AL1089" s="32">
        <f>IF($A1089="","",IFERROR(INDEX('2_IMPORTAR_EJECUCION'!$F$9:$F$1208,MATCH($AU1089,'2_IMPORTAR_EJECUCION'!$J$9:$J$1208,0)),0))</f>
        <v/>
      </c>
      <c r="AM1089" s="32">
        <f>IF($A1089="","",MAX(0,IFERROR(INDEX('2_IMPORTAR_EJECUCION'!$H$9:$H$1208,MATCH($AU1089,'2_IMPORTAR_EJECUCION'!$J$9:$J$1208,0)),0)-$AL1089))</f>
        <v/>
      </c>
      <c r="AN1089" s="32">
        <f>IF($A1089="","",$AL1089+$AM1089)</f>
        <v/>
      </c>
      <c r="AO1089" s="24">
        <f>IF($A1089="","",IF(OR((IFERROR(INDEX('CAT_ACTIVIDADES'!$D$4:$D$26,MATCH($H1089,'CAT_ACTIVIDADES'!$A$4:$A$26,0)),""))=0,(IFERROR(INDEX('CAT_ACTIVIDADES'!$D$4:$D$26,MATCH($H1089,'CAT_ACTIVIDADES'!$A$4:$A$26,0)),""))=""),"SIN CLASIFICAR",IFERROR(INDEX('CAT_ACTIVIDADES'!$D$4:$D$26,MATCH($H1089,'CAT_ACTIVIDADES'!$A$4:$A$26,0)),"")))</f>
        <v/>
      </c>
      <c r="AP1089" s="4" t="n"/>
      <c r="AQ1089" s="4" t="n"/>
      <c r="AR1089" s="4" t="n"/>
      <c r="AS1089" s="24">
        <f>IF($AR1089="","",HYPERLINK(p_ruta_base_checklists&amp;$AR1089,"abrir"))</f>
        <v/>
      </c>
      <c r="AT1089" s="4" t="n"/>
      <c r="AU1089" s="24">
        <f>IF($A1089="","",$A1089&amp;IF($B1089="","0010",$B1089))</f>
        <v/>
      </c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41" t="n"/>
      <c r="K1090" s="5" t="n"/>
      <c r="L1090" s="18" t="n"/>
      <c r="M1090" s="24">
        <f>IF($A1090="","",IFERROR(INDEX('AJUSTES'!$B$4:$B$303,MATCH($AU1090,'AJUSTES'!$A$4:$A$303,0)),IF($K1090="","",$K1090)))</f>
        <v/>
      </c>
      <c r="N1090" s="24">
        <f>IF($A1090="","",IFERROR(INDEX('CAT_ESTADOS_ERP'!$B$4:$B$22,MATCH(IFERROR(INDEX('2_IMPORTAR_EJECUCION'!$C$9:$C$1208,MATCH($AU1090,'2_IMPORTAR_EJECUCION'!$J$9:$J$1208,0)),""),'CAT_ESTADOS_ERP'!$A$4:$A$22,0)),"Pendiente"))</f>
        <v/>
      </c>
      <c r="O1090" s="24">
        <f>IF($J1090="","",YEAR($J1090+4-WEEKDAY($J1090,2))&amp;"-S"&amp;TEXT(_xlfn.ISOWEEKNUM($J1090),"00"))</f>
        <v/>
      </c>
      <c r="P1090" s="24">
        <f>IF($J1090="","",YEAR($J1090))</f>
        <v/>
      </c>
      <c r="Q1090" s="24">
        <f>IF($J1090="","",MONTH($J1090))</f>
        <v/>
      </c>
      <c r="R1090" s="24">
        <f>IF($J1090="","",$P1090&amp;"-"&amp;TEXT($Q1090,"00"))</f>
        <v/>
      </c>
      <c r="S1090" s="24">
        <f>IF($J1090="","",INDEX(lista_dias,WEEKDAY($J1090,2)))</f>
        <v/>
      </c>
      <c r="T1090" s="24">
        <f>IF($J1090="","",IFERROR(INDEX('CALENDARIO'!$C$15:$C$214,MATCH(TEXT($J1090,"yyyy-mm-dd")&amp;"|"&amp;$Y1090&amp;"|"&amp;$Z1090,'CALENDARIO'!$G$15:$G$214,0)),IFERROR(INDEX('CALENDARIO'!$C$15:$C$214,MATCH(TEXT($J1090,"yyyy-mm-dd")&amp;"|"&amp;$Y1090&amp;"|",'CALENDARIO'!$G$15:$G$214,0)),IFERROR(INDEX('CALENDARIO'!$C$15:$C$214,MATCH(TEXT($J1090,"yyyy-mm-dd")&amp;"||",'CALENDARIO'!$G$15:$G$214,0)),INDEX(patronHabil,WEEKDAY($J1090,2))))))</f>
        <v/>
      </c>
      <c r="U1090" s="24">
        <f>IF($I1090="","",IFERROR(INDEX('CAT_TIPOS_OT'!$C$4:$C$23,MATCH($I1090,'CAT_TIPOS_OT'!$A$4:$A$23,0)),"sin_clasificar"))</f>
        <v/>
      </c>
      <c r="V1090" s="24">
        <f>IF($I1090="","",IF(IFERROR(INDEX('CAT_TIPOS_OT'!$D$4:$D$23,MATCH($I1090,'CAT_TIPOS_OT'!$A$4:$A$23,0)),"SIN CLASIFICAR")="","SIN CLASIFICAR",IFERROR(INDEX('CAT_TIPOS_OT'!$D$4:$D$23,MATCH($I1090,'CAT_TIPOS_OT'!$A$4:$A$23,0)),"SIN CLASIFICAR")))</f>
        <v/>
      </c>
      <c r="W1090" s="24">
        <f>IF($H1090="","",IF(IFERROR(INDEX('CAT_ACTIVIDADES'!$F$4:$F$26,MATCH($H1090,'CAT_ACTIVIDADES'!$A$4:$A$26,0)),"")=0,"",IFERROR(INDEX('CAT_ACTIVIDADES'!$F$4:$F$26,MATCH($H1090,'CAT_ACTIVIDADES'!$A$4:$A$26,0)),"")))</f>
        <v/>
      </c>
      <c r="X1090" s="24">
        <f>IF($F1090="","",IFERROR(INDEX('CAT_CENTROS_COSTO'!$F$4:$F$28,MATCH($F1090,'CAT_CENTROS_COSTO'!$A$4:$A$28,0)),"(sin catálogo)"))</f>
        <v/>
      </c>
      <c r="Y1090" s="24">
        <f>IF($F1090="","",IFERROR(INDEX('CAT_CENTROS_COSTO'!$D$4:$D$28,MATCH($F1090,'CAT_CENTROS_COSTO'!$A$4:$A$28,0)),"(sin catálogo)"))</f>
        <v/>
      </c>
      <c r="Z1090" s="24">
        <f>IF($F1090="","",IF((IFERROR(INDEX('CAT_CENTROS_COSTO'!$E$4:$E$28,MATCH($F1090,'CAT_CENTROS_COSTO'!$A$4:$A$28,0)),""))&lt;&gt;"",IFERROR(INDEX('CAT_CENTROS_COSTO'!$E$4:$E$28,MATCH($F1090,'CAT_CENTROS_COSTO'!$A$4:$A$28,0)),""),$Y1090))</f>
        <v/>
      </c>
      <c r="AA1090" s="24">
        <f>IF($F1090="","",IFERROR(INDEX('CAT_CENTROS_COSTO'!$G$4:$G$28,MATCH($F1090,'CAT_CENTROS_COSTO'!$A$4:$A$28,0)),"(sin catálogo)"))</f>
        <v/>
      </c>
      <c r="AB1090" s="24">
        <f>IF($G1090="","",IFERROR(INDEX('CAT_PUESTOS'!$B$4:$B$23,MATCH($G1090,'CAT_PUESTOS'!$A$4:$A$23,0)),"(sin catálogo)"))</f>
        <v/>
      </c>
      <c r="AC1090" s="24">
        <f>IF($H1090="","",IFERROR(INDEX('CAT_ACTIVIDADES'!$B$4:$B$26,MATCH($H1090,'CAT_ACTIVIDADES'!$A$4:$A$26,0)),"(sin catálogo)"))</f>
        <v/>
      </c>
      <c r="AD1090" s="26">
        <f>IF($J1090="","",TODAY()-$J1090)</f>
        <v/>
      </c>
      <c r="AE1090" s="26">
        <f>IF($J1090="","",IF($J1090&lt;=TODAY(),COUNTIFS(cal_fechas,"&gt;="&amp;$J1090,cal_fechas,"&lt;"&amp;TODAY(),cal_habil,"sí"),-COUNTIFS(cal_fechas,"&gt;="&amp;TODAY(),cal_fechas,"&lt;"&amp;$J1090,cal_habil,"sí")))</f>
        <v/>
      </c>
      <c r="AF1090" s="24">
        <f>IF($AE1090="","",IF($AE1090&lt;0,"FUTURO",IF($AE1090&gt;p_dias_backlog_max,"BACKLOG","MES CORRIENTE")))</f>
        <v/>
      </c>
      <c r="AG1090" s="24">
        <f>IF($AE1090="",FALSE,AND($AE1090&gt;p_dias_backlog_min,$AE1090&lt;=p_dias_backlog_max))</f>
        <v/>
      </c>
      <c r="AH1090" s="4" t="n"/>
      <c r="AI1090" s="24">
        <f>IF($AH1090="","",IF((IFERROR(INDEX('ASIGNACIONES'!$J$4:$J$451,MATCH($O1090&amp;"|"&amp;$S1090&amp;"|"&amp;$AH1090,'ASIGNACIONES'!$N$4:$N$451,0)),""))=0,"",IFERROR(INDEX('ASIGNACIONES'!$J$4:$J$451,MATCH($O1090&amp;"|"&amp;$S1090&amp;"|"&amp;$AH1090,'ASIGNACIONES'!$N$4:$N$451,0)),"")))</f>
        <v/>
      </c>
      <c r="AJ1090" s="42">
        <f>IF($AH1090="","",SUMIFS('ORDENES'!$M$4:$M$1203,'ORDENES'!$AH$4:$AH$1203,$AH1090,'ORDENES'!$O$4:$O$1203,$O1090,'ORDENES'!$S$4:$S$1203,$S1090))</f>
        <v/>
      </c>
      <c r="AK1090" s="42">
        <f>IF($AJ1090="","",p_factor_productividad*IFERROR(INDEX('ASIGNACIONES'!$M$4:$M$451,MATCH($O1090&amp;"|"&amp;$S1090&amp;"|"&amp;$AH1090,'ASIGNACIONES'!$N$4:$N$451,0)),0)-$AJ1090)</f>
        <v/>
      </c>
      <c r="AL1090" s="32">
        <f>IF($A1090="","",IFERROR(INDEX('2_IMPORTAR_EJECUCION'!$F$9:$F$1208,MATCH($AU1090,'2_IMPORTAR_EJECUCION'!$J$9:$J$1208,0)),0))</f>
        <v/>
      </c>
      <c r="AM1090" s="32">
        <f>IF($A1090="","",MAX(0,IFERROR(INDEX('2_IMPORTAR_EJECUCION'!$H$9:$H$1208,MATCH($AU1090,'2_IMPORTAR_EJECUCION'!$J$9:$J$1208,0)),0)-$AL1090))</f>
        <v/>
      </c>
      <c r="AN1090" s="32">
        <f>IF($A1090="","",$AL1090+$AM1090)</f>
        <v/>
      </c>
      <c r="AO1090" s="24">
        <f>IF($A1090="","",IF(OR((IFERROR(INDEX('CAT_ACTIVIDADES'!$D$4:$D$26,MATCH($H1090,'CAT_ACTIVIDADES'!$A$4:$A$26,0)),""))=0,(IFERROR(INDEX('CAT_ACTIVIDADES'!$D$4:$D$26,MATCH($H1090,'CAT_ACTIVIDADES'!$A$4:$A$26,0)),""))=""),"SIN CLASIFICAR",IFERROR(INDEX('CAT_ACTIVIDADES'!$D$4:$D$26,MATCH($H1090,'CAT_ACTIVIDADES'!$A$4:$A$26,0)),"")))</f>
        <v/>
      </c>
      <c r="AP1090" s="4" t="n"/>
      <c r="AQ1090" s="4" t="n"/>
      <c r="AR1090" s="4" t="n"/>
      <c r="AS1090" s="24">
        <f>IF($AR1090="","",HYPERLINK(p_ruta_base_checklists&amp;$AR1090,"abrir"))</f>
        <v/>
      </c>
      <c r="AT1090" s="4" t="n"/>
      <c r="AU1090" s="24">
        <f>IF($A1090="","",$A1090&amp;IF($B1090="","0010",$B1090))</f>
        <v/>
      </c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41" t="n"/>
      <c r="K1091" s="5" t="n"/>
      <c r="L1091" s="18" t="n"/>
      <c r="M1091" s="24">
        <f>IF($A1091="","",IFERROR(INDEX('AJUSTES'!$B$4:$B$303,MATCH($AU1091,'AJUSTES'!$A$4:$A$303,0)),IF($K1091="","",$K1091)))</f>
        <v/>
      </c>
      <c r="N1091" s="24">
        <f>IF($A1091="","",IFERROR(INDEX('CAT_ESTADOS_ERP'!$B$4:$B$22,MATCH(IFERROR(INDEX('2_IMPORTAR_EJECUCION'!$C$9:$C$1208,MATCH($AU1091,'2_IMPORTAR_EJECUCION'!$J$9:$J$1208,0)),""),'CAT_ESTADOS_ERP'!$A$4:$A$22,0)),"Pendiente"))</f>
        <v/>
      </c>
      <c r="O1091" s="24">
        <f>IF($J1091="","",YEAR($J1091+4-WEEKDAY($J1091,2))&amp;"-S"&amp;TEXT(_xlfn.ISOWEEKNUM($J1091),"00"))</f>
        <v/>
      </c>
      <c r="P1091" s="24">
        <f>IF($J1091="","",YEAR($J1091))</f>
        <v/>
      </c>
      <c r="Q1091" s="24">
        <f>IF($J1091="","",MONTH($J1091))</f>
        <v/>
      </c>
      <c r="R1091" s="24">
        <f>IF($J1091="","",$P1091&amp;"-"&amp;TEXT($Q1091,"00"))</f>
        <v/>
      </c>
      <c r="S1091" s="24">
        <f>IF($J1091="","",INDEX(lista_dias,WEEKDAY($J1091,2)))</f>
        <v/>
      </c>
      <c r="T1091" s="24">
        <f>IF($J1091="","",IFERROR(INDEX('CALENDARIO'!$C$15:$C$214,MATCH(TEXT($J1091,"yyyy-mm-dd")&amp;"|"&amp;$Y1091&amp;"|"&amp;$Z1091,'CALENDARIO'!$G$15:$G$214,0)),IFERROR(INDEX('CALENDARIO'!$C$15:$C$214,MATCH(TEXT($J1091,"yyyy-mm-dd")&amp;"|"&amp;$Y1091&amp;"|",'CALENDARIO'!$G$15:$G$214,0)),IFERROR(INDEX('CALENDARIO'!$C$15:$C$214,MATCH(TEXT($J1091,"yyyy-mm-dd")&amp;"||",'CALENDARIO'!$G$15:$G$214,0)),INDEX(patronHabil,WEEKDAY($J1091,2))))))</f>
        <v/>
      </c>
      <c r="U1091" s="24">
        <f>IF($I1091="","",IFERROR(INDEX('CAT_TIPOS_OT'!$C$4:$C$23,MATCH($I1091,'CAT_TIPOS_OT'!$A$4:$A$23,0)),"sin_clasificar"))</f>
        <v/>
      </c>
      <c r="V1091" s="24">
        <f>IF($I1091="","",IF(IFERROR(INDEX('CAT_TIPOS_OT'!$D$4:$D$23,MATCH($I1091,'CAT_TIPOS_OT'!$A$4:$A$23,0)),"SIN CLASIFICAR")="","SIN CLASIFICAR",IFERROR(INDEX('CAT_TIPOS_OT'!$D$4:$D$23,MATCH($I1091,'CAT_TIPOS_OT'!$A$4:$A$23,0)),"SIN CLASIFICAR")))</f>
        <v/>
      </c>
      <c r="W1091" s="24">
        <f>IF($H1091="","",IF(IFERROR(INDEX('CAT_ACTIVIDADES'!$F$4:$F$26,MATCH($H1091,'CAT_ACTIVIDADES'!$A$4:$A$26,0)),"")=0,"",IFERROR(INDEX('CAT_ACTIVIDADES'!$F$4:$F$26,MATCH($H1091,'CAT_ACTIVIDADES'!$A$4:$A$26,0)),"")))</f>
        <v/>
      </c>
      <c r="X1091" s="24">
        <f>IF($F1091="","",IFERROR(INDEX('CAT_CENTROS_COSTO'!$F$4:$F$28,MATCH($F1091,'CAT_CENTROS_COSTO'!$A$4:$A$28,0)),"(sin catálogo)"))</f>
        <v/>
      </c>
      <c r="Y1091" s="24">
        <f>IF($F1091="","",IFERROR(INDEX('CAT_CENTROS_COSTO'!$D$4:$D$28,MATCH($F1091,'CAT_CENTROS_COSTO'!$A$4:$A$28,0)),"(sin catálogo)"))</f>
        <v/>
      </c>
      <c r="Z1091" s="24">
        <f>IF($F1091="","",IF((IFERROR(INDEX('CAT_CENTROS_COSTO'!$E$4:$E$28,MATCH($F1091,'CAT_CENTROS_COSTO'!$A$4:$A$28,0)),""))&lt;&gt;"",IFERROR(INDEX('CAT_CENTROS_COSTO'!$E$4:$E$28,MATCH($F1091,'CAT_CENTROS_COSTO'!$A$4:$A$28,0)),""),$Y1091))</f>
        <v/>
      </c>
      <c r="AA1091" s="24">
        <f>IF($F1091="","",IFERROR(INDEX('CAT_CENTROS_COSTO'!$G$4:$G$28,MATCH($F1091,'CAT_CENTROS_COSTO'!$A$4:$A$28,0)),"(sin catálogo)"))</f>
        <v/>
      </c>
      <c r="AB1091" s="24">
        <f>IF($G1091="","",IFERROR(INDEX('CAT_PUESTOS'!$B$4:$B$23,MATCH($G1091,'CAT_PUESTOS'!$A$4:$A$23,0)),"(sin catálogo)"))</f>
        <v/>
      </c>
      <c r="AC1091" s="24">
        <f>IF($H1091="","",IFERROR(INDEX('CAT_ACTIVIDADES'!$B$4:$B$26,MATCH($H1091,'CAT_ACTIVIDADES'!$A$4:$A$26,0)),"(sin catálogo)"))</f>
        <v/>
      </c>
      <c r="AD1091" s="26">
        <f>IF($J1091="","",TODAY()-$J1091)</f>
        <v/>
      </c>
      <c r="AE1091" s="26">
        <f>IF($J1091="","",IF($J1091&lt;=TODAY(),COUNTIFS(cal_fechas,"&gt;="&amp;$J1091,cal_fechas,"&lt;"&amp;TODAY(),cal_habil,"sí"),-COUNTIFS(cal_fechas,"&gt;="&amp;TODAY(),cal_fechas,"&lt;"&amp;$J1091,cal_habil,"sí")))</f>
        <v/>
      </c>
      <c r="AF1091" s="24">
        <f>IF($AE1091="","",IF($AE1091&lt;0,"FUTURO",IF($AE1091&gt;p_dias_backlog_max,"BACKLOG","MES CORRIENTE")))</f>
        <v/>
      </c>
      <c r="AG1091" s="24">
        <f>IF($AE1091="",FALSE,AND($AE1091&gt;p_dias_backlog_min,$AE1091&lt;=p_dias_backlog_max))</f>
        <v/>
      </c>
      <c r="AH1091" s="4" t="n"/>
      <c r="AI1091" s="24">
        <f>IF($AH1091="","",IF((IFERROR(INDEX('ASIGNACIONES'!$J$4:$J$451,MATCH($O1091&amp;"|"&amp;$S1091&amp;"|"&amp;$AH1091,'ASIGNACIONES'!$N$4:$N$451,0)),""))=0,"",IFERROR(INDEX('ASIGNACIONES'!$J$4:$J$451,MATCH($O1091&amp;"|"&amp;$S1091&amp;"|"&amp;$AH1091,'ASIGNACIONES'!$N$4:$N$451,0)),"")))</f>
        <v/>
      </c>
      <c r="AJ1091" s="42">
        <f>IF($AH1091="","",SUMIFS('ORDENES'!$M$4:$M$1203,'ORDENES'!$AH$4:$AH$1203,$AH1091,'ORDENES'!$O$4:$O$1203,$O1091,'ORDENES'!$S$4:$S$1203,$S1091))</f>
        <v/>
      </c>
      <c r="AK1091" s="42">
        <f>IF($AJ1091="","",p_factor_productividad*IFERROR(INDEX('ASIGNACIONES'!$M$4:$M$451,MATCH($O1091&amp;"|"&amp;$S1091&amp;"|"&amp;$AH1091,'ASIGNACIONES'!$N$4:$N$451,0)),0)-$AJ1091)</f>
        <v/>
      </c>
      <c r="AL1091" s="32">
        <f>IF($A1091="","",IFERROR(INDEX('2_IMPORTAR_EJECUCION'!$F$9:$F$1208,MATCH($AU1091,'2_IMPORTAR_EJECUCION'!$J$9:$J$1208,0)),0))</f>
        <v/>
      </c>
      <c r="AM1091" s="32">
        <f>IF($A1091="","",MAX(0,IFERROR(INDEX('2_IMPORTAR_EJECUCION'!$H$9:$H$1208,MATCH($AU1091,'2_IMPORTAR_EJECUCION'!$J$9:$J$1208,0)),0)-$AL1091))</f>
        <v/>
      </c>
      <c r="AN1091" s="32">
        <f>IF($A1091="","",$AL1091+$AM1091)</f>
        <v/>
      </c>
      <c r="AO1091" s="24">
        <f>IF($A1091="","",IF(OR((IFERROR(INDEX('CAT_ACTIVIDADES'!$D$4:$D$26,MATCH($H1091,'CAT_ACTIVIDADES'!$A$4:$A$26,0)),""))=0,(IFERROR(INDEX('CAT_ACTIVIDADES'!$D$4:$D$26,MATCH($H1091,'CAT_ACTIVIDADES'!$A$4:$A$26,0)),""))=""),"SIN CLASIFICAR",IFERROR(INDEX('CAT_ACTIVIDADES'!$D$4:$D$26,MATCH($H1091,'CAT_ACTIVIDADES'!$A$4:$A$26,0)),"")))</f>
        <v/>
      </c>
      <c r="AP1091" s="4" t="n"/>
      <c r="AQ1091" s="4" t="n"/>
      <c r="AR1091" s="4" t="n"/>
      <c r="AS1091" s="24">
        <f>IF($AR1091="","",HYPERLINK(p_ruta_base_checklists&amp;$AR1091,"abrir"))</f>
        <v/>
      </c>
      <c r="AT1091" s="4" t="n"/>
      <c r="AU1091" s="24">
        <f>IF($A1091="","",$A1091&amp;IF($B1091="","0010",$B1091))</f>
        <v/>
      </c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41" t="n"/>
      <c r="K1092" s="5" t="n"/>
      <c r="L1092" s="18" t="n"/>
      <c r="M1092" s="24">
        <f>IF($A1092="","",IFERROR(INDEX('AJUSTES'!$B$4:$B$303,MATCH($AU1092,'AJUSTES'!$A$4:$A$303,0)),IF($K1092="","",$K1092)))</f>
        <v/>
      </c>
      <c r="N1092" s="24">
        <f>IF($A1092="","",IFERROR(INDEX('CAT_ESTADOS_ERP'!$B$4:$B$22,MATCH(IFERROR(INDEX('2_IMPORTAR_EJECUCION'!$C$9:$C$1208,MATCH($AU1092,'2_IMPORTAR_EJECUCION'!$J$9:$J$1208,0)),""),'CAT_ESTADOS_ERP'!$A$4:$A$22,0)),"Pendiente"))</f>
        <v/>
      </c>
      <c r="O1092" s="24">
        <f>IF($J1092="","",YEAR($J1092+4-WEEKDAY($J1092,2))&amp;"-S"&amp;TEXT(_xlfn.ISOWEEKNUM($J1092),"00"))</f>
        <v/>
      </c>
      <c r="P1092" s="24">
        <f>IF($J1092="","",YEAR($J1092))</f>
        <v/>
      </c>
      <c r="Q1092" s="24">
        <f>IF($J1092="","",MONTH($J1092))</f>
        <v/>
      </c>
      <c r="R1092" s="24">
        <f>IF($J1092="","",$P1092&amp;"-"&amp;TEXT($Q1092,"00"))</f>
        <v/>
      </c>
      <c r="S1092" s="24">
        <f>IF($J1092="","",INDEX(lista_dias,WEEKDAY($J1092,2)))</f>
        <v/>
      </c>
      <c r="T1092" s="24">
        <f>IF($J1092="","",IFERROR(INDEX('CALENDARIO'!$C$15:$C$214,MATCH(TEXT($J1092,"yyyy-mm-dd")&amp;"|"&amp;$Y1092&amp;"|"&amp;$Z1092,'CALENDARIO'!$G$15:$G$214,0)),IFERROR(INDEX('CALENDARIO'!$C$15:$C$214,MATCH(TEXT($J1092,"yyyy-mm-dd")&amp;"|"&amp;$Y1092&amp;"|",'CALENDARIO'!$G$15:$G$214,0)),IFERROR(INDEX('CALENDARIO'!$C$15:$C$214,MATCH(TEXT($J1092,"yyyy-mm-dd")&amp;"||",'CALENDARIO'!$G$15:$G$214,0)),INDEX(patronHabil,WEEKDAY($J1092,2))))))</f>
        <v/>
      </c>
      <c r="U1092" s="24">
        <f>IF($I1092="","",IFERROR(INDEX('CAT_TIPOS_OT'!$C$4:$C$23,MATCH($I1092,'CAT_TIPOS_OT'!$A$4:$A$23,0)),"sin_clasificar"))</f>
        <v/>
      </c>
      <c r="V1092" s="24">
        <f>IF($I1092="","",IF(IFERROR(INDEX('CAT_TIPOS_OT'!$D$4:$D$23,MATCH($I1092,'CAT_TIPOS_OT'!$A$4:$A$23,0)),"SIN CLASIFICAR")="","SIN CLASIFICAR",IFERROR(INDEX('CAT_TIPOS_OT'!$D$4:$D$23,MATCH($I1092,'CAT_TIPOS_OT'!$A$4:$A$23,0)),"SIN CLASIFICAR")))</f>
        <v/>
      </c>
      <c r="W1092" s="24">
        <f>IF($H1092="","",IF(IFERROR(INDEX('CAT_ACTIVIDADES'!$F$4:$F$26,MATCH($H1092,'CAT_ACTIVIDADES'!$A$4:$A$26,0)),"")=0,"",IFERROR(INDEX('CAT_ACTIVIDADES'!$F$4:$F$26,MATCH($H1092,'CAT_ACTIVIDADES'!$A$4:$A$26,0)),"")))</f>
        <v/>
      </c>
      <c r="X1092" s="24">
        <f>IF($F1092="","",IFERROR(INDEX('CAT_CENTROS_COSTO'!$F$4:$F$28,MATCH($F1092,'CAT_CENTROS_COSTO'!$A$4:$A$28,0)),"(sin catálogo)"))</f>
        <v/>
      </c>
      <c r="Y1092" s="24">
        <f>IF($F1092="","",IFERROR(INDEX('CAT_CENTROS_COSTO'!$D$4:$D$28,MATCH($F1092,'CAT_CENTROS_COSTO'!$A$4:$A$28,0)),"(sin catálogo)"))</f>
        <v/>
      </c>
      <c r="Z1092" s="24">
        <f>IF($F1092="","",IF((IFERROR(INDEX('CAT_CENTROS_COSTO'!$E$4:$E$28,MATCH($F1092,'CAT_CENTROS_COSTO'!$A$4:$A$28,0)),""))&lt;&gt;"",IFERROR(INDEX('CAT_CENTROS_COSTO'!$E$4:$E$28,MATCH($F1092,'CAT_CENTROS_COSTO'!$A$4:$A$28,0)),""),$Y1092))</f>
        <v/>
      </c>
      <c r="AA1092" s="24">
        <f>IF($F1092="","",IFERROR(INDEX('CAT_CENTROS_COSTO'!$G$4:$G$28,MATCH($F1092,'CAT_CENTROS_COSTO'!$A$4:$A$28,0)),"(sin catálogo)"))</f>
        <v/>
      </c>
      <c r="AB1092" s="24">
        <f>IF($G1092="","",IFERROR(INDEX('CAT_PUESTOS'!$B$4:$B$23,MATCH($G1092,'CAT_PUESTOS'!$A$4:$A$23,0)),"(sin catálogo)"))</f>
        <v/>
      </c>
      <c r="AC1092" s="24">
        <f>IF($H1092="","",IFERROR(INDEX('CAT_ACTIVIDADES'!$B$4:$B$26,MATCH($H1092,'CAT_ACTIVIDADES'!$A$4:$A$26,0)),"(sin catálogo)"))</f>
        <v/>
      </c>
      <c r="AD1092" s="26">
        <f>IF($J1092="","",TODAY()-$J1092)</f>
        <v/>
      </c>
      <c r="AE1092" s="26">
        <f>IF($J1092="","",IF($J1092&lt;=TODAY(),COUNTIFS(cal_fechas,"&gt;="&amp;$J1092,cal_fechas,"&lt;"&amp;TODAY(),cal_habil,"sí"),-COUNTIFS(cal_fechas,"&gt;="&amp;TODAY(),cal_fechas,"&lt;"&amp;$J1092,cal_habil,"sí")))</f>
        <v/>
      </c>
      <c r="AF1092" s="24">
        <f>IF($AE1092="","",IF($AE1092&lt;0,"FUTURO",IF($AE1092&gt;p_dias_backlog_max,"BACKLOG","MES CORRIENTE")))</f>
        <v/>
      </c>
      <c r="AG1092" s="24">
        <f>IF($AE1092="",FALSE,AND($AE1092&gt;p_dias_backlog_min,$AE1092&lt;=p_dias_backlog_max))</f>
        <v/>
      </c>
      <c r="AH1092" s="4" t="n"/>
      <c r="AI1092" s="24">
        <f>IF($AH1092="","",IF((IFERROR(INDEX('ASIGNACIONES'!$J$4:$J$451,MATCH($O1092&amp;"|"&amp;$S1092&amp;"|"&amp;$AH1092,'ASIGNACIONES'!$N$4:$N$451,0)),""))=0,"",IFERROR(INDEX('ASIGNACIONES'!$J$4:$J$451,MATCH($O1092&amp;"|"&amp;$S1092&amp;"|"&amp;$AH1092,'ASIGNACIONES'!$N$4:$N$451,0)),"")))</f>
        <v/>
      </c>
      <c r="AJ1092" s="42">
        <f>IF($AH1092="","",SUMIFS('ORDENES'!$M$4:$M$1203,'ORDENES'!$AH$4:$AH$1203,$AH1092,'ORDENES'!$O$4:$O$1203,$O1092,'ORDENES'!$S$4:$S$1203,$S1092))</f>
        <v/>
      </c>
      <c r="AK1092" s="42">
        <f>IF($AJ1092="","",p_factor_productividad*IFERROR(INDEX('ASIGNACIONES'!$M$4:$M$451,MATCH($O1092&amp;"|"&amp;$S1092&amp;"|"&amp;$AH1092,'ASIGNACIONES'!$N$4:$N$451,0)),0)-$AJ1092)</f>
        <v/>
      </c>
      <c r="AL1092" s="32">
        <f>IF($A1092="","",IFERROR(INDEX('2_IMPORTAR_EJECUCION'!$F$9:$F$1208,MATCH($AU1092,'2_IMPORTAR_EJECUCION'!$J$9:$J$1208,0)),0))</f>
        <v/>
      </c>
      <c r="AM1092" s="32">
        <f>IF($A1092="","",MAX(0,IFERROR(INDEX('2_IMPORTAR_EJECUCION'!$H$9:$H$1208,MATCH($AU1092,'2_IMPORTAR_EJECUCION'!$J$9:$J$1208,0)),0)-$AL1092))</f>
        <v/>
      </c>
      <c r="AN1092" s="32">
        <f>IF($A1092="","",$AL1092+$AM1092)</f>
        <v/>
      </c>
      <c r="AO1092" s="24">
        <f>IF($A1092="","",IF(OR((IFERROR(INDEX('CAT_ACTIVIDADES'!$D$4:$D$26,MATCH($H1092,'CAT_ACTIVIDADES'!$A$4:$A$26,0)),""))=0,(IFERROR(INDEX('CAT_ACTIVIDADES'!$D$4:$D$26,MATCH($H1092,'CAT_ACTIVIDADES'!$A$4:$A$26,0)),""))=""),"SIN CLASIFICAR",IFERROR(INDEX('CAT_ACTIVIDADES'!$D$4:$D$26,MATCH($H1092,'CAT_ACTIVIDADES'!$A$4:$A$26,0)),"")))</f>
        <v/>
      </c>
      <c r="AP1092" s="4" t="n"/>
      <c r="AQ1092" s="4" t="n"/>
      <c r="AR1092" s="4" t="n"/>
      <c r="AS1092" s="24">
        <f>IF($AR1092="","",HYPERLINK(p_ruta_base_checklists&amp;$AR1092,"abrir"))</f>
        <v/>
      </c>
      <c r="AT1092" s="4" t="n"/>
      <c r="AU1092" s="24">
        <f>IF($A1092="","",$A1092&amp;IF($B1092="","0010",$B1092))</f>
        <v/>
      </c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41" t="n"/>
      <c r="K1093" s="5" t="n"/>
      <c r="L1093" s="18" t="n"/>
      <c r="M1093" s="24">
        <f>IF($A1093="","",IFERROR(INDEX('AJUSTES'!$B$4:$B$303,MATCH($AU1093,'AJUSTES'!$A$4:$A$303,0)),IF($K1093="","",$K1093)))</f>
        <v/>
      </c>
      <c r="N1093" s="24">
        <f>IF($A1093="","",IFERROR(INDEX('CAT_ESTADOS_ERP'!$B$4:$B$22,MATCH(IFERROR(INDEX('2_IMPORTAR_EJECUCION'!$C$9:$C$1208,MATCH($AU1093,'2_IMPORTAR_EJECUCION'!$J$9:$J$1208,0)),""),'CAT_ESTADOS_ERP'!$A$4:$A$22,0)),"Pendiente"))</f>
        <v/>
      </c>
      <c r="O1093" s="24">
        <f>IF($J1093="","",YEAR($J1093+4-WEEKDAY($J1093,2))&amp;"-S"&amp;TEXT(_xlfn.ISOWEEKNUM($J1093),"00"))</f>
        <v/>
      </c>
      <c r="P1093" s="24">
        <f>IF($J1093="","",YEAR($J1093))</f>
        <v/>
      </c>
      <c r="Q1093" s="24">
        <f>IF($J1093="","",MONTH($J1093))</f>
        <v/>
      </c>
      <c r="R1093" s="24">
        <f>IF($J1093="","",$P1093&amp;"-"&amp;TEXT($Q1093,"00"))</f>
        <v/>
      </c>
      <c r="S1093" s="24">
        <f>IF($J1093="","",INDEX(lista_dias,WEEKDAY($J1093,2)))</f>
        <v/>
      </c>
      <c r="T1093" s="24">
        <f>IF($J1093="","",IFERROR(INDEX('CALENDARIO'!$C$15:$C$214,MATCH(TEXT($J1093,"yyyy-mm-dd")&amp;"|"&amp;$Y1093&amp;"|"&amp;$Z1093,'CALENDARIO'!$G$15:$G$214,0)),IFERROR(INDEX('CALENDARIO'!$C$15:$C$214,MATCH(TEXT($J1093,"yyyy-mm-dd")&amp;"|"&amp;$Y1093&amp;"|",'CALENDARIO'!$G$15:$G$214,0)),IFERROR(INDEX('CALENDARIO'!$C$15:$C$214,MATCH(TEXT($J1093,"yyyy-mm-dd")&amp;"||",'CALENDARIO'!$G$15:$G$214,0)),INDEX(patronHabil,WEEKDAY($J1093,2))))))</f>
        <v/>
      </c>
      <c r="U1093" s="24">
        <f>IF($I1093="","",IFERROR(INDEX('CAT_TIPOS_OT'!$C$4:$C$23,MATCH($I1093,'CAT_TIPOS_OT'!$A$4:$A$23,0)),"sin_clasificar"))</f>
        <v/>
      </c>
      <c r="V1093" s="24">
        <f>IF($I1093="","",IF(IFERROR(INDEX('CAT_TIPOS_OT'!$D$4:$D$23,MATCH($I1093,'CAT_TIPOS_OT'!$A$4:$A$23,0)),"SIN CLASIFICAR")="","SIN CLASIFICAR",IFERROR(INDEX('CAT_TIPOS_OT'!$D$4:$D$23,MATCH($I1093,'CAT_TIPOS_OT'!$A$4:$A$23,0)),"SIN CLASIFICAR")))</f>
        <v/>
      </c>
      <c r="W1093" s="24">
        <f>IF($H1093="","",IF(IFERROR(INDEX('CAT_ACTIVIDADES'!$F$4:$F$26,MATCH($H1093,'CAT_ACTIVIDADES'!$A$4:$A$26,0)),"")=0,"",IFERROR(INDEX('CAT_ACTIVIDADES'!$F$4:$F$26,MATCH($H1093,'CAT_ACTIVIDADES'!$A$4:$A$26,0)),"")))</f>
        <v/>
      </c>
      <c r="X1093" s="24">
        <f>IF($F1093="","",IFERROR(INDEX('CAT_CENTROS_COSTO'!$F$4:$F$28,MATCH($F1093,'CAT_CENTROS_COSTO'!$A$4:$A$28,0)),"(sin catálogo)"))</f>
        <v/>
      </c>
      <c r="Y1093" s="24">
        <f>IF($F1093="","",IFERROR(INDEX('CAT_CENTROS_COSTO'!$D$4:$D$28,MATCH($F1093,'CAT_CENTROS_COSTO'!$A$4:$A$28,0)),"(sin catálogo)"))</f>
        <v/>
      </c>
      <c r="Z1093" s="24">
        <f>IF($F1093="","",IF((IFERROR(INDEX('CAT_CENTROS_COSTO'!$E$4:$E$28,MATCH($F1093,'CAT_CENTROS_COSTO'!$A$4:$A$28,0)),""))&lt;&gt;"",IFERROR(INDEX('CAT_CENTROS_COSTO'!$E$4:$E$28,MATCH($F1093,'CAT_CENTROS_COSTO'!$A$4:$A$28,0)),""),$Y1093))</f>
        <v/>
      </c>
      <c r="AA1093" s="24">
        <f>IF($F1093="","",IFERROR(INDEX('CAT_CENTROS_COSTO'!$G$4:$G$28,MATCH($F1093,'CAT_CENTROS_COSTO'!$A$4:$A$28,0)),"(sin catálogo)"))</f>
        <v/>
      </c>
      <c r="AB1093" s="24">
        <f>IF($G1093="","",IFERROR(INDEX('CAT_PUESTOS'!$B$4:$B$23,MATCH($G1093,'CAT_PUESTOS'!$A$4:$A$23,0)),"(sin catálogo)"))</f>
        <v/>
      </c>
      <c r="AC1093" s="24">
        <f>IF($H1093="","",IFERROR(INDEX('CAT_ACTIVIDADES'!$B$4:$B$26,MATCH($H1093,'CAT_ACTIVIDADES'!$A$4:$A$26,0)),"(sin catálogo)"))</f>
        <v/>
      </c>
      <c r="AD1093" s="26">
        <f>IF($J1093="","",TODAY()-$J1093)</f>
        <v/>
      </c>
      <c r="AE1093" s="26">
        <f>IF($J1093="","",IF($J1093&lt;=TODAY(),COUNTIFS(cal_fechas,"&gt;="&amp;$J1093,cal_fechas,"&lt;"&amp;TODAY(),cal_habil,"sí"),-COUNTIFS(cal_fechas,"&gt;="&amp;TODAY(),cal_fechas,"&lt;"&amp;$J1093,cal_habil,"sí")))</f>
        <v/>
      </c>
      <c r="AF1093" s="24">
        <f>IF($AE1093="","",IF($AE1093&lt;0,"FUTURO",IF($AE1093&gt;p_dias_backlog_max,"BACKLOG","MES CORRIENTE")))</f>
        <v/>
      </c>
      <c r="AG1093" s="24">
        <f>IF($AE1093="",FALSE,AND($AE1093&gt;p_dias_backlog_min,$AE1093&lt;=p_dias_backlog_max))</f>
        <v/>
      </c>
      <c r="AH1093" s="4" t="n"/>
      <c r="AI1093" s="24">
        <f>IF($AH1093="","",IF((IFERROR(INDEX('ASIGNACIONES'!$J$4:$J$451,MATCH($O1093&amp;"|"&amp;$S1093&amp;"|"&amp;$AH1093,'ASIGNACIONES'!$N$4:$N$451,0)),""))=0,"",IFERROR(INDEX('ASIGNACIONES'!$J$4:$J$451,MATCH($O1093&amp;"|"&amp;$S1093&amp;"|"&amp;$AH1093,'ASIGNACIONES'!$N$4:$N$451,0)),"")))</f>
        <v/>
      </c>
      <c r="AJ1093" s="42">
        <f>IF($AH1093="","",SUMIFS('ORDENES'!$M$4:$M$1203,'ORDENES'!$AH$4:$AH$1203,$AH1093,'ORDENES'!$O$4:$O$1203,$O1093,'ORDENES'!$S$4:$S$1203,$S1093))</f>
        <v/>
      </c>
      <c r="AK1093" s="42">
        <f>IF($AJ1093="","",p_factor_productividad*IFERROR(INDEX('ASIGNACIONES'!$M$4:$M$451,MATCH($O1093&amp;"|"&amp;$S1093&amp;"|"&amp;$AH1093,'ASIGNACIONES'!$N$4:$N$451,0)),0)-$AJ1093)</f>
        <v/>
      </c>
      <c r="AL1093" s="32">
        <f>IF($A1093="","",IFERROR(INDEX('2_IMPORTAR_EJECUCION'!$F$9:$F$1208,MATCH($AU1093,'2_IMPORTAR_EJECUCION'!$J$9:$J$1208,0)),0))</f>
        <v/>
      </c>
      <c r="AM1093" s="32">
        <f>IF($A1093="","",MAX(0,IFERROR(INDEX('2_IMPORTAR_EJECUCION'!$H$9:$H$1208,MATCH($AU1093,'2_IMPORTAR_EJECUCION'!$J$9:$J$1208,0)),0)-$AL1093))</f>
        <v/>
      </c>
      <c r="AN1093" s="32">
        <f>IF($A1093="","",$AL1093+$AM1093)</f>
        <v/>
      </c>
      <c r="AO1093" s="24">
        <f>IF($A1093="","",IF(OR((IFERROR(INDEX('CAT_ACTIVIDADES'!$D$4:$D$26,MATCH($H1093,'CAT_ACTIVIDADES'!$A$4:$A$26,0)),""))=0,(IFERROR(INDEX('CAT_ACTIVIDADES'!$D$4:$D$26,MATCH($H1093,'CAT_ACTIVIDADES'!$A$4:$A$26,0)),""))=""),"SIN CLASIFICAR",IFERROR(INDEX('CAT_ACTIVIDADES'!$D$4:$D$26,MATCH($H1093,'CAT_ACTIVIDADES'!$A$4:$A$26,0)),"")))</f>
        <v/>
      </c>
      <c r="AP1093" s="4" t="n"/>
      <c r="AQ1093" s="4" t="n"/>
      <c r="AR1093" s="4" t="n"/>
      <c r="AS1093" s="24">
        <f>IF($AR1093="","",HYPERLINK(p_ruta_base_checklists&amp;$AR1093,"abrir"))</f>
        <v/>
      </c>
      <c r="AT1093" s="4" t="n"/>
      <c r="AU1093" s="24">
        <f>IF($A1093="","",$A1093&amp;IF($B1093="","0010",$B1093))</f>
        <v/>
      </c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41" t="n"/>
      <c r="K1094" s="5" t="n"/>
      <c r="L1094" s="18" t="n"/>
      <c r="M1094" s="24">
        <f>IF($A1094="","",IFERROR(INDEX('AJUSTES'!$B$4:$B$303,MATCH($AU1094,'AJUSTES'!$A$4:$A$303,0)),IF($K1094="","",$K1094)))</f>
        <v/>
      </c>
      <c r="N1094" s="24">
        <f>IF($A1094="","",IFERROR(INDEX('CAT_ESTADOS_ERP'!$B$4:$B$22,MATCH(IFERROR(INDEX('2_IMPORTAR_EJECUCION'!$C$9:$C$1208,MATCH($AU1094,'2_IMPORTAR_EJECUCION'!$J$9:$J$1208,0)),""),'CAT_ESTADOS_ERP'!$A$4:$A$22,0)),"Pendiente"))</f>
        <v/>
      </c>
      <c r="O1094" s="24">
        <f>IF($J1094="","",YEAR($J1094+4-WEEKDAY($J1094,2))&amp;"-S"&amp;TEXT(_xlfn.ISOWEEKNUM($J1094),"00"))</f>
        <v/>
      </c>
      <c r="P1094" s="24">
        <f>IF($J1094="","",YEAR($J1094))</f>
        <v/>
      </c>
      <c r="Q1094" s="24">
        <f>IF($J1094="","",MONTH($J1094))</f>
        <v/>
      </c>
      <c r="R1094" s="24">
        <f>IF($J1094="","",$P1094&amp;"-"&amp;TEXT($Q1094,"00"))</f>
        <v/>
      </c>
      <c r="S1094" s="24">
        <f>IF($J1094="","",INDEX(lista_dias,WEEKDAY($J1094,2)))</f>
        <v/>
      </c>
      <c r="T1094" s="24">
        <f>IF($J1094="","",IFERROR(INDEX('CALENDARIO'!$C$15:$C$214,MATCH(TEXT($J1094,"yyyy-mm-dd")&amp;"|"&amp;$Y1094&amp;"|"&amp;$Z1094,'CALENDARIO'!$G$15:$G$214,0)),IFERROR(INDEX('CALENDARIO'!$C$15:$C$214,MATCH(TEXT($J1094,"yyyy-mm-dd")&amp;"|"&amp;$Y1094&amp;"|",'CALENDARIO'!$G$15:$G$214,0)),IFERROR(INDEX('CALENDARIO'!$C$15:$C$214,MATCH(TEXT($J1094,"yyyy-mm-dd")&amp;"||",'CALENDARIO'!$G$15:$G$214,0)),INDEX(patronHabil,WEEKDAY($J1094,2))))))</f>
        <v/>
      </c>
      <c r="U1094" s="24">
        <f>IF($I1094="","",IFERROR(INDEX('CAT_TIPOS_OT'!$C$4:$C$23,MATCH($I1094,'CAT_TIPOS_OT'!$A$4:$A$23,0)),"sin_clasificar"))</f>
        <v/>
      </c>
      <c r="V1094" s="24">
        <f>IF($I1094="","",IF(IFERROR(INDEX('CAT_TIPOS_OT'!$D$4:$D$23,MATCH($I1094,'CAT_TIPOS_OT'!$A$4:$A$23,0)),"SIN CLASIFICAR")="","SIN CLASIFICAR",IFERROR(INDEX('CAT_TIPOS_OT'!$D$4:$D$23,MATCH($I1094,'CAT_TIPOS_OT'!$A$4:$A$23,0)),"SIN CLASIFICAR")))</f>
        <v/>
      </c>
      <c r="W1094" s="24">
        <f>IF($H1094="","",IF(IFERROR(INDEX('CAT_ACTIVIDADES'!$F$4:$F$26,MATCH($H1094,'CAT_ACTIVIDADES'!$A$4:$A$26,0)),"")=0,"",IFERROR(INDEX('CAT_ACTIVIDADES'!$F$4:$F$26,MATCH($H1094,'CAT_ACTIVIDADES'!$A$4:$A$26,0)),"")))</f>
        <v/>
      </c>
      <c r="X1094" s="24">
        <f>IF($F1094="","",IFERROR(INDEX('CAT_CENTROS_COSTO'!$F$4:$F$28,MATCH($F1094,'CAT_CENTROS_COSTO'!$A$4:$A$28,0)),"(sin catálogo)"))</f>
        <v/>
      </c>
      <c r="Y1094" s="24">
        <f>IF($F1094="","",IFERROR(INDEX('CAT_CENTROS_COSTO'!$D$4:$D$28,MATCH($F1094,'CAT_CENTROS_COSTO'!$A$4:$A$28,0)),"(sin catálogo)"))</f>
        <v/>
      </c>
      <c r="Z1094" s="24">
        <f>IF($F1094="","",IF((IFERROR(INDEX('CAT_CENTROS_COSTO'!$E$4:$E$28,MATCH($F1094,'CAT_CENTROS_COSTO'!$A$4:$A$28,0)),""))&lt;&gt;"",IFERROR(INDEX('CAT_CENTROS_COSTO'!$E$4:$E$28,MATCH($F1094,'CAT_CENTROS_COSTO'!$A$4:$A$28,0)),""),$Y1094))</f>
        <v/>
      </c>
      <c r="AA1094" s="24">
        <f>IF($F1094="","",IFERROR(INDEX('CAT_CENTROS_COSTO'!$G$4:$G$28,MATCH($F1094,'CAT_CENTROS_COSTO'!$A$4:$A$28,0)),"(sin catálogo)"))</f>
        <v/>
      </c>
      <c r="AB1094" s="24">
        <f>IF($G1094="","",IFERROR(INDEX('CAT_PUESTOS'!$B$4:$B$23,MATCH($G1094,'CAT_PUESTOS'!$A$4:$A$23,0)),"(sin catálogo)"))</f>
        <v/>
      </c>
      <c r="AC1094" s="24">
        <f>IF($H1094="","",IFERROR(INDEX('CAT_ACTIVIDADES'!$B$4:$B$26,MATCH($H1094,'CAT_ACTIVIDADES'!$A$4:$A$26,0)),"(sin catálogo)"))</f>
        <v/>
      </c>
      <c r="AD1094" s="26">
        <f>IF($J1094="","",TODAY()-$J1094)</f>
        <v/>
      </c>
      <c r="AE1094" s="26">
        <f>IF($J1094="","",IF($J1094&lt;=TODAY(),COUNTIFS(cal_fechas,"&gt;="&amp;$J1094,cal_fechas,"&lt;"&amp;TODAY(),cal_habil,"sí"),-COUNTIFS(cal_fechas,"&gt;="&amp;TODAY(),cal_fechas,"&lt;"&amp;$J1094,cal_habil,"sí")))</f>
        <v/>
      </c>
      <c r="AF1094" s="24">
        <f>IF($AE1094="","",IF($AE1094&lt;0,"FUTURO",IF($AE1094&gt;p_dias_backlog_max,"BACKLOG","MES CORRIENTE")))</f>
        <v/>
      </c>
      <c r="AG1094" s="24">
        <f>IF($AE1094="",FALSE,AND($AE1094&gt;p_dias_backlog_min,$AE1094&lt;=p_dias_backlog_max))</f>
        <v/>
      </c>
      <c r="AH1094" s="4" t="n"/>
      <c r="AI1094" s="24">
        <f>IF($AH1094="","",IF((IFERROR(INDEX('ASIGNACIONES'!$J$4:$J$451,MATCH($O1094&amp;"|"&amp;$S1094&amp;"|"&amp;$AH1094,'ASIGNACIONES'!$N$4:$N$451,0)),""))=0,"",IFERROR(INDEX('ASIGNACIONES'!$J$4:$J$451,MATCH($O1094&amp;"|"&amp;$S1094&amp;"|"&amp;$AH1094,'ASIGNACIONES'!$N$4:$N$451,0)),"")))</f>
        <v/>
      </c>
      <c r="AJ1094" s="42">
        <f>IF($AH1094="","",SUMIFS('ORDENES'!$M$4:$M$1203,'ORDENES'!$AH$4:$AH$1203,$AH1094,'ORDENES'!$O$4:$O$1203,$O1094,'ORDENES'!$S$4:$S$1203,$S1094))</f>
        <v/>
      </c>
      <c r="AK1094" s="42">
        <f>IF($AJ1094="","",p_factor_productividad*IFERROR(INDEX('ASIGNACIONES'!$M$4:$M$451,MATCH($O1094&amp;"|"&amp;$S1094&amp;"|"&amp;$AH1094,'ASIGNACIONES'!$N$4:$N$451,0)),0)-$AJ1094)</f>
        <v/>
      </c>
      <c r="AL1094" s="32">
        <f>IF($A1094="","",IFERROR(INDEX('2_IMPORTAR_EJECUCION'!$F$9:$F$1208,MATCH($AU1094,'2_IMPORTAR_EJECUCION'!$J$9:$J$1208,0)),0))</f>
        <v/>
      </c>
      <c r="AM1094" s="32">
        <f>IF($A1094="","",MAX(0,IFERROR(INDEX('2_IMPORTAR_EJECUCION'!$H$9:$H$1208,MATCH($AU1094,'2_IMPORTAR_EJECUCION'!$J$9:$J$1208,0)),0)-$AL1094))</f>
        <v/>
      </c>
      <c r="AN1094" s="32">
        <f>IF($A1094="","",$AL1094+$AM1094)</f>
        <v/>
      </c>
      <c r="AO1094" s="24">
        <f>IF($A1094="","",IF(OR((IFERROR(INDEX('CAT_ACTIVIDADES'!$D$4:$D$26,MATCH($H1094,'CAT_ACTIVIDADES'!$A$4:$A$26,0)),""))=0,(IFERROR(INDEX('CAT_ACTIVIDADES'!$D$4:$D$26,MATCH($H1094,'CAT_ACTIVIDADES'!$A$4:$A$26,0)),""))=""),"SIN CLASIFICAR",IFERROR(INDEX('CAT_ACTIVIDADES'!$D$4:$D$26,MATCH($H1094,'CAT_ACTIVIDADES'!$A$4:$A$26,0)),"")))</f>
        <v/>
      </c>
      <c r="AP1094" s="4" t="n"/>
      <c r="AQ1094" s="4" t="n"/>
      <c r="AR1094" s="4" t="n"/>
      <c r="AS1094" s="24">
        <f>IF($AR1094="","",HYPERLINK(p_ruta_base_checklists&amp;$AR1094,"abrir"))</f>
        <v/>
      </c>
      <c r="AT1094" s="4" t="n"/>
      <c r="AU1094" s="24">
        <f>IF($A1094="","",$A1094&amp;IF($B1094="","0010",$B1094))</f>
        <v/>
      </c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41" t="n"/>
      <c r="K1095" s="5" t="n"/>
      <c r="L1095" s="18" t="n"/>
      <c r="M1095" s="24">
        <f>IF($A1095="","",IFERROR(INDEX('AJUSTES'!$B$4:$B$303,MATCH($AU1095,'AJUSTES'!$A$4:$A$303,0)),IF($K1095="","",$K1095)))</f>
        <v/>
      </c>
      <c r="N1095" s="24">
        <f>IF($A1095="","",IFERROR(INDEX('CAT_ESTADOS_ERP'!$B$4:$B$22,MATCH(IFERROR(INDEX('2_IMPORTAR_EJECUCION'!$C$9:$C$1208,MATCH($AU1095,'2_IMPORTAR_EJECUCION'!$J$9:$J$1208,0)),""),'CAT_ESTADOS_ERP'!$A$4:$A$22,0)),"Pendiente"))</f>
        <v/>
      </c>
      <c r="O1095" s="24">
        <f>IF($J1095="","",YEAR($J1095+4-WEEKDAY($J1095,2))&amp;"-S"&amp;TEXT(_xlfn.ISOWEEKNUM($J1095),"00"))</f>
        <v/>
      </c>
      <c r="P1095" s="24">
        <f>IF($J1095="","",YEAR($J1095))</f>
        <v/>
      </c>
      <c r="Q1095" s="24">
        <f>IF($J1095="","",MONTH($J1095))</f>
        <v/>
      </c>
      <c r="R1095" s="24">
        <f>IF($J1095="","",$P1095&amp;"-"&amp;TEXT($Q1095,"00"))</f>
        <v/>
      </c>
      <c r="S1095" s="24">
        <f>IF($J1095="","",INDEX(lista_dias,WEEKDAY($J1095,2)))</f>
        <v/>
      </c>
      <c r="T1095" s="24">
        <f>IF($J1095="","",IFERROR(INDEX('CALENDARIO'!$C$15:$C$214,MATCH(TEXT($J1095,"yyyy-mm-dd")&amp;"|"&amp;$Y1095&amp;"|"&amp;$Z1095,'CALENDARIO'!$G$15:$G$214,0)),IFERROR(INDEX('CALENDARIO'!$C$15:$C$214,MATCH(TEXT($J1095,"yyyy-mm-dd")&amp;"|"&amp;$Y1095&amp;"|",'CALENDARIO'!$G$15:$G$214,0)),IFERROR(INDEX('CALENDARIO'!$C$15:$C$214,MATCH(TEXT($J1095,"yyyy-mm-dd")&amp;"||",'CALENDARIO'!$G$15:$G$214,0)),INDEX(patronHabil,WEEKDAY($J1095,2))))))</f>
        <v/>
      </c>
      <c r="U1095" s="24">
        <f>IF($I1095="","",IFERROR(INDEX('CAT_TIPOS_OT'!$C$4:$C$23,MATCH($I1095,'CAT_TIPOS_OT'!$A$4:$A$23,0)),"sin_clasificar"))</f>
        <v/>
      </c>
      <c r="V1095" s="24">
        <f>IF($I1095="","",IF(IFERROR(INDEX('CAT_TIPOS_OT'!$D$4:$D$23,MATCH($I1095,'CAT_TIPOS_OT'!$A$4:$A$23,0)),"SIN CLASIFICAR")="","SIN CLASIFICAR",IFERROR(INDEX('CAT_TIPOS_OT'!$D$4:$D$23,MATCH($I1095,'CAT_TIPOS_OT'!$A$4:$A$23,0)),"SIN CLASIFICAR")))</f>
        <v/>
      </c>
      <c r="W1095" s="24">
        <f>IF($H1095="","",IF(IFERROR(INDEX('CAT_ACTIVIDADES'!$F$4:$F$26,MATCH($H1095,'CAT_ACTIVIDADES'!$A$4:$A$26,0)),"")=0,"",IFERROR(INDEX('CAT_ACTIVIDADES'!$F$4:$F$26,MATCH($H1095,'CAT_ACTIVIDADES'!$A$4:$A$26,0)),"")))</f>
        <v/>
      </c>
      <c r="X1095" s="24">
        <f>IF($F1095="","",IFERROR(INDEX('CAT_CENTROS_COSTO'!$F$4:$F$28,MATCH($F1095,'CAT_CENTROS_COSTO'!$A$4:$A$28,0)),"(sin catálogo)"))</f>
        <v/>
      </c>
      <c r="Y1095" s="24">
        <f>IF($F1095="","",IFERROR(INDEX('CAT_CENTROS_COSTO'!$D$4:$D$28,MATCH($F1095,'CAT_CENTROS_COSTO'!$A$4:$A$28,0)),"(sin catálogo)"))</f>
        <v/>
      </c>
      <c r="Z1095" s="24">
        <f>IF($F1095="","",IF((IFERROR(INDEX('CAT_CENTROS_COSTO'!$E$4:$E$28,MATCH($F1095,'CAT_CENTROS_COSTO'!$A$4:$A$28,0)),""))&lt;&gt;"",IFERROR(INDEX('CAT_CENTROS_COSTO'!$E$4:$E$28,MATCH($F1095,'CAT_CENTROS_COSTO'!$A$4:$A$28,0)),""),$Y1095))</f>
        <v/>
      </c>
      <c r="AA1095" s="24">
        <f>IF($F1095="","",IFERROR(INDEX('CAT_CENTROS_COSTO'!$G$4:$G$28,MATCH($F1095,'CAT_CENTROS_COSTO'!$A$4:$A$28,0)),"(sin catálogo)"))</f>
        <v/>
      </c>
      <c r="AB1095" s="24">
        <f>IF($G1095="","",IFERROR(INDEX('CAT_PUESTOS'!$B$4:$B$23,MATCH($G1095,'CAT_PUESTOS'!$A$4:$A$23,0)),"(sin catálogo)"))</f>
        <v/>
      </c>
      <c r="AC1095" s="24">
        <f>IF($H1095="","",IFERROR(INDEX('CAT_ACTIVIDADES'!$B$4:$B$26,MATCH($H1095,'CAT_ACTIVIDADES'!$A$4:$A$26,0)),"(sin catálogo)"))</f>
        <v/>
      </c>
      <c r="AD1095" s="26">
        <f>IF($J1095="","",TODAY()-$J1095)</f>
        <v/>
      </c>
      <c r="AE1095" s="26">
        <f>IF($J1095="","",IF($J1095&lt;=TODAY(),COUNTIFS(cal_fechas,"&gt;="&amp;$J1095,cal_fechas,"&lt;"&amp;TODAY(),cal_habil,"sí"),-COUNTIFS(cal_fechas,"&gt;="&amp;TODAY(),cal_fechas,"&lt;"&amp;$J1095,cal_habil,"sí")))</f>
        <v/>
      </c>
      <c r="AF1095" s="24">
        <f>IF($AE1095="","",IF($AE1095&lt;0,"FUTURO",IF($AE1095&gt;p_dias_backlog_max,"BACKLOG","MES CORRIENTE")))</f>
        <v/>
      </c>
      <c r="AG1095" s="24">
        <f>IF($AE1095="",FALSE,AND($AE1095&gt;p_dias_backlog_min,$AE1095&lt;=p_dias_backlog_max))</f>
        <v/>
      </c>
      <c r="AH1095" s="4" t="n"/>
      <c r="AI1095" s="24">
        <f>IF($AH1095="","",IF((IFERROR(INDEX('ASIGNACIONES'!$J$4:$J$451,MATCH($O1095&amp;"|"&amp;$S1095&amp;"|"&amp;$AH1095,'ASIGNACIONES'!$N$4:$N$451,0)),""))=0,"",IFERROR(INDEX('ASIGNACIONES'!$J$4:$J$451,MATCH($O1095&amp;"|"&amp;$S1095&amp;"|"&amp;$AH1095,'ASIGNACIONES'!$N$4:$N$451,0)),"")))</f>
        <v/>
      </c>
      <c r="AJ1095" s="42">
        <f>IF($AH1095="","",SUMIFS('ORDENES'!$M$4:$M$1203,'ORDENES'!$AH$4:$AH$1203,$AH1095,'ORDENES'!$O$4:$O$1203,$O1095,'ORDENES'!$S$4:$S$1203,$S1095))</f>
        <v/>
      </c>
      <c r="AK1095" s="42">
        <f>IF($AJ1095="","",p_factor_productividad*IFERROR(INDEX('ASIGNACIONES'!$M$4:$M$451,MATCH($O1095&amp;"|"&amp;$S1095&amp;"|"&amp;$AH1095,'ASIGNACIONES'!$N$4:$N$451,0)),0)-$AJ1095)</f>
        <v/>
      </c>
      <c r="AL1095" s="32">
        <f>IF($A1095="","",IFERROR(INDEX('2_IMPORTAR_EJECUCION'!$F$9:$F$1208,MATCH($AU1095,'2_IMPORTAR_EJECUCION'!$J$9:$J$1208,0)),0))</f>
        <v/>
      </c>
      <c r="AM1095" s="32">
        <f>IF($A1095="","",MAX(0,IFERROR(INDEX('2_IMPORTAR_EJECUCION'!$H$9:$H$1208,MATCH($AU1095,'2_IMPORTAR_EJECUCION'!$J$9:$J$1208,0)),0)-$AL1095))</f>
        <v/>
      </c>
      <c r="AN1095" s="32">
        <f>IF($A1095="","",$AL1095+$AM1095)</f>
        <v/>
      </c>
      <c r="AO1095" s="24">
        <f>IF($A1095="","",IF(OR((IFERROR(INDEX('CAT_ACTIVIDADES'!$D$4:$D$26,MATCH($H1095,'CAT_ACTIVIDADES'!$A$4:$A$26,0)),""))=0,(IFERROR(INDEX('CAT_ACTIVIDADES'!$D$4:$D$26,MATCH($H1095,'CAT_ACTIVIDADES'!$A$4:$A$26,0)),""))=""),"SIN CLASIFICAR",IFERROR(INDEX('CAT_ACTIVIDADES'!$D$4:$D$26,MATCH($H1095,'CAT_ACTIVIDADES'!$A$4:$A$26,0)),"")))</f>
        <v/>
      </c>
      <c r="AP1095" s="4" t="n"/>
      <c r="AQ1095" s="4" t="n"/>
      <c r="AR1095" s="4" t="n"/>
      <c r="AS1095" s="24">
        <f>IF($AR1095="","",HYPERLINK(p_ruta_base_checklists&amp;$AR1095,"abrir"))</f>
        <v/>
      </c>
      <c r="AT1095" s="4" t="n"/>
      <c r="AU1095" s="24">
        <f>IF($A1095="","",$A1095&amp;IF($B1095="","0010",$B1095))</f>
        <v/>
      </c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41" t="n"/>
      <c r="K1096" s="5" t="n"/>
      <c r="L1096" s="18" t="n"/>
      <c r="M1096" s="24">
        <f>IF($A1096="","",IFERROR(INDEX('AJUSTES'!$B$4:$B$303,MATCH($AU1096,'AJUSTES'!$A$4:$A$303,0)),IF($K1096="","",$K1096)))</f>
        <v/>
      </c>
      <c r="N1096" s="24">
        <f>IF($A1096="","",IFERROR(INDEX('CAT_ESTADOS_ERP'!$B$4:$B$22,MATCH(IFERROR(INDEX('2_IMPORTAR_EJECUCION'!$C$9:$C$1208,MATCH($AU1096,'2_IMPORTAR_EJECUCION'!$J$9:$J$1208,0)),""),'CAT_ESTADOS_ERP'!$A$4:$A$22,0)),"Pendiente"))</f>
        <v/>
      </c>
      <c r="O1096" s="24">
        <f>IF($J1096="","",YEAR($J1096+4-WEEKDAY($J1096,2))&amp;"-S"&amp;TEXT(_xlfn.ISOWEEKNUM($J1096),"00"))</f>
        <v/>
      </c>
      <c r="P1096" s="24">
        <f>IF($J1096="","",YEAR($J1096))</f>
        <v/>
      </c>
      <c r="Q1096" s="24">
        <f>IF($J1096="","",MONTH($J1096))</f>
        <v/>
      </c>
      <c r="R1096" s="24">
        <f>IF($J1096="","",$P1096&amp;"-"&amp;TEXT($Q1096,"00"))</f>
        <v/>
      </c>
      <c r="S1096" s="24">
        <f>IF($J1096="","",INDEX(lista_dias,WEEKDAY($J1096,2)))</f>
        <v/>
      </c>
      <c r="T1096" s="24">
        <f>IF($J1096="","",IFERROR(INDEX('CALENDARIO'!$C$15:$C$214,MATCH(TEXT($J1096,"yyyy-mm-dd")&amp;"|"&amp;$Y1096&amp;"|"&amp;$Z1096,'CALENDARIO'!$G$15:$G$214,0)),IFERROR(INDEX('CALENDARIO'!$C$15:$C$214,MATCH(TEXT($J1096,"yyyy-mm-dd")&amp;"|"&amp;$Y1096&amp;"|",'CALENDARIO'!$G$15:$G$214,0)),IFERROR(INDEX('CALENDARIO'!$C$15:$C$214,MATCH(TEXT($J1096,"yyyy-mm-dd")&amp;"||",'CALENDARIO'!$G$15:$G$214,0)),INDEX(patronHabil,WEEKDAY($J1096,2))))))</f>
        <v/>
      </c>
      <c r="U1096" s="24">
        <f>IF($I1096="","",IFERROR(INDEX('CAT_TIPOS_OT'!$C$4:$C$23,MATCH($I1096,'CAT_TIPOS_OT'!$A$4:$A$23,0)),"sin_clasificar"))</f>
        <v/>
      </c>
      <c r="V1096" s="24">
        <f>IF($I1096="","",IF(IFERROR(INDEX('CAT_TIPOS_OT'!$D$4:$D$23,MATCH($I1096,'CAT_TIPOS_OT'!$A$4:$A$23,0)),"SIN CLASIFICAR")="","SIN CLASIFICAR",IFERROR(INDEX('CAT_TIPOS_OT'!$D$4:$D$23,MATCH($I1096,'CAT_TIPOS_OT'!$A$4:$A$23,0)),"SIN CLASIFICAR")))</f>
        <v/>
      </c>
      <c r="W1096" s="24">
        <f>IF($H1096="","",IF(IFERROR(INDEX('CAT_ACTIVIDADES'!$F$4:$F$26,MATCH($H1096,'CAT_ACTIVIDADES'!$A$4:$A$26,0)),"")=0,"",IFERROR(INDEX('CAT_ACTIVIDADES'!$F$4:$F$26,MATCH($H1096,'CAT_ACTIVIDADES'!$A$4:$A$26,0)),"")))</f>
        <v/>
      </c>
      <c r="X1096" s="24">
        <f>IF($F1096="","",IFERROR(INDEX('CAT_CENTROS_COSTO'!$F$4:$F$28,MATCH($F1096,'CAT_CENTROS_COSTO'!$A$4:$A$28,0)),"(sin catálogo)"))</f>
        <v/>
      </c>
      <c r="Y1096" s="24">
        <f>IF($F1096="","",IFERROR(INDEX('CAT_CENTROS_COSTO'!$D$4:$D$28,MATCH($F1096,'CAT_CENTROS_COSTO'!$A$4:$A$28,0)),"(sin catálogo)"))</f>
        <v/>
      </c>
      <c r="Z1096" s="24">
        <f>IF($F1096="","",IF((IFERROR(INDEX('CAT_CENTROS_COSTO'!$E$4:$E$28,MATCH($F1096,'CAT_CENTROS_COSTO'!$A$4:$A$28,0)),""))&lt;&gt;"",IFERROR(INDEX('CAT_CENTROS_COSTO'!$E$4:$E$28,MATCH($F1096,'CAT_CENTROS_COSTO'!$A$4:$A$28,0)),""),$Y1096))</f>
        <v/>
      </c>
      <c r="AA1096" s="24">
        <f>IF($F1096="","",IFERROR(INDEX('CAT_CENTROS_COSTO'!$G$4:$G$28,MATCH($F1096,'CAT_CENTROS_COSTO'!$A$4:$A$28,0)),"(sin catálogo)"))</f>
        <v/>
      </c>
      <c r="AB1096" s="24">
        <f>IF($G1096="","",IFERROR(INDEX('CAT_PUESTOS'!$B$4:$B$23,MATCH($G1096,'CAT_PUESTOS'!$A$4:$A$23,0)),"(sin catálogo)"))</f>
        <v/>
      </c>
      <c r="AC1096" s="24">
        <f>IF($H1096="","",IFERROR(INDEX('CAT_ACTIVIDADES'!$B$4:$B$26,MATCH($H1096,'CAT_ACTIVIDADES'!$A$4:$A$26,0)),"(sin catálogo)"))</f>
        <v/>
      </c>
      <c r="AD1096" s="26">
        <f>IF($J1096="","",TODAY()-$J1096)</f>
        <v/>
      </c>
      <c r="AE1096" s="26">
        <f>IF($J1096="","",IF($J1096&lt;=TODAY(),COUNTIFS(cal_fechas,"&gt;="&amp;$J1096,cal_fechas,"&lt;"&amp;TODAY(),cal_habil,"sí"),-COUNTIFS(cal_fechas,"&gt;="&amp;TODAY(),cal_fechas,"&lt;"&amp;$J1096,cal_habil,"sí")))</f>
        <v/>
      </c>
      <c r="AF1096" s="24">
        <f>IF($AE1096="","",IF($AE1096&lt;0,"FUTURO",IF($AE1096&gt;p_dias_backlog_max,"BACKLOG","MES CORRIENTE")))</f>
        <v/>
      </c>
      <c r="AG1096" s="24">
        <f>IF($AE1096="",FALSE,AND($AE1096&gt;p_dias_backlog_min,$AE1096&lt;=p_dias_backlog_max))</f>
        <v/>
      </c>
      <c r="AH1096" s="4" t="n"/>
      <c r="AI1096" s="24">
        <f>IF($AH1096="","",IF((IFERROR(INDEX('ASIGNACIONES'!$J$4:$J$451,MATCH($O1096&amp;"|"&amp;$S1096&amp;"|"&amp;$AH1096,'ASIGNACIONES'!$N$4:$N$451,0)),""))=0,"",IFERROR(INDEX('ASIGNACIONES'!$J$4:$J$451,MATCH($O1096&amp;"|"&amp;$S1096&amp;"|"&amp;$AH1096,'ASIGNACIONES'!$N$4:$N$451,0)),"")))</f>
        <v/>
      </c>
      <c r="AJ1096" s="42">
        <f>IF($AH1096="","",SUMIFS('ORDENES'!$M$4:$M$1203,'ORDENES'!$AH$4:$AH$1203,$AH1096,'ORDENES'!$O$4:$O$1203,$O1096,'ORDENES'!$S$4:$S$1203,$S1096))</f>
        <v/>
      </c>
      <c r="AK1096" s="42">
        <f>IF($AJ1096="","",p_factor_productividad*IFERROR(INDEX('ASIGNACIONES'!$M$4:$M$451,MATCH($O1096&amp;"|"&amp;$S1096&amp;"|"&amp;$AH1096,'ASIGNACIONES'!$N$4:$N$451,0)),0)-$AJ1096)</f>
        <v/>
      </c>
      <c r="AL1096" s="32">
        <f>IF($A1096="","",IFERROR(INDEX('2_IMPORTAR_EJECUCION'!$F$9:$F$1208,MATCH($AU1096,'2_IMPORTAR_EJECUCION'!$J$9:$J$1208,0)),0))</f>
        <v/>
      </c>
      <c r="AM1096" s="32">
        <f>IF($A1096="","",MAX(0,IFERROR(INDEX('2_IMPORTAR_EJECUCION'!$H$9:$H$1208,MATCH($AU1096,'2_IMPORTAR_EJECUCION'!$J$9:$J$1208,0)),0)-$AL1096))</f>
        <v/>
      </c>
      <c r="AN1096" s="32">
        <f>IF($A1096="","",$AL1096+$AM1096)</f>
        <v/>
      </c>
      <c r="AO1096" s="24">
        <f>IF($A1096="","",IF(OR((IFERROR(INDEX('CAT_ACTIVIDADES'!$D$4:$D$26,MATCH($H1096,'CAT_ACTIVIDADES'!$A$4:$A$26,0)),""))=0,(IFERROR(INDEX('CAT_ACTIVIDADES'!$D$4:$D$26,MATCH($H1096,'CAT_ACTIVIDADES'!$A$4:$A$26,0)),""))=""),"SIN CLASIFICAR",IFERROR(INDEX('CAT_ACTIVIDADES'!$D$4:$D$26,MATCH($H1096,'CAT_ACTIVIDADES'!$A$4:$A$26,0)),"")))</f>
        <v/>
      </c>
      <c r="AP1096" s="4" t="n"/>
      <c r="AQ1096" s="4" t="n"/>
      <c r="AR1096" s="4" t="n"/>
      <c r="AS1096" s="24">
        <f>IF($AR1096="","",HYPERLINK(p_ruta_base_checklists&amp;$AR1096,"abrir"))</f>
        <v/>
      </c>
      <c r="AT1096" s="4" t="n"/>
      <c r="AU1096" s="24">
        <f>IF($A1096="","",$A1096&amp;IF($B1096="","0010",$B1096))</f>
        <v/>
      </c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41" t="n"/>
      <c r="K1097" s="5" t="n"/>
      <c r="L1097" s="18" t="n"/>
      <c r="M1097" s="24">
        <f>IF($A1097="","",IFERROR(INDEX('AJUSTES'!$B$4:$B$303,MATCH($AU1097,'AJUSTES'!$A$4:$A$303,0)),IF($K1097="","",$K1097)))</f>
        <v/>
      </c>
      <c r="N1097" s="24">
        <f>IF($A1097="","",IFERROR(INDEX('CAT_ESTADOS_ERP'!$B$4:$B$22,MATCH(IFERROR(INDEX('2_IMPORTAR_EJECUCION'!$C$9:$C$1208,MATCH($AU1097,'2_IMPORTAR_EJECUCION'!$J$9:$J$1208,0)),""),'CAT_ESTADOS_ERP'!$A$4:$A$22,0)),"Pendiente"))</f>
        <v/>
      </c>
      <c r="O1097" s="24">
        <f>IF($J1097="","",YEAR($J1097+4-WEEKDAY($J1097,2))&amp;"-S"&amp;TEXT(_xlfn.ISOWEEKNUM($J1097),"00"))</f>
        <v/>
      </c>
      <c r="P1097" s="24">
        <f>IF($J1097="","",YEAR($J1097))</f>
        <v/>
      </c>
      <c r="Q1097" s="24">
        <f>IF($J1097="","",MONTH($J1097))</f>
        <v/>
      </c>
      <c r="R1097" s="24">
        <f>IF($J1097="","",$P1097&amp;"-"&amp;TEXT($Q1097,"00"))</f>
        <v/>
      </c>
      <c r="S1097" s="24">
        <f>IF($J1097="","",INDEX(lista_dias,WEEKDAY($J1097,2)))</f>
        <v/>
      </c>
      <c r="T1097" s="24">
        <f>IF($J1097="","",IFERROR(INDEX('CALENDARIO'!$C$15:$C$214,MATCH(TEXT($J1097,"yyyy-mm-dd")&amp;"|"&amp;$Y1097&amp;"|"&amp;$Z1097,'CALENDARIO'!$G$15:$G$214,0)),IFERROR(INDEX('CALENDARIO'!$C$15:$C$214,MATCH(TEXT($J1097,"yyyy-mm-dd")&amp;"|"&amp;$Y1097&amp;"|",'CALENDARIO'!$G$15:$G$214,0)),IFERROR(INDEX('CALENDARIO'!$C$15:$C$214,MATCH(TEXT($J1097,"yyyy-mm-dd")&amp;"||",'CALENDARIO'!$G$15:$G$214,0)),INDEX(patronHabil,WEEKDAY($J1097,2))))))</f>
        <v/>
      </c>
      <c r="U1097" s="24">
        <f>IF($I1097="","",IFERROR(INDEX('CAT_TIPOS_OT'!$C$4:$C$23,MATCH($I1097,'CAT_TIPOS_OT'!$A$4:$A$23,0)),"sin_clasificar"))</f>
        <v/>
      </c>
      <c r="V1097" s="24">
        <f>IF($I1097="","",IF(IFERROR(INDEX('CAT_TIPOS_OT'!$D$4:$D$23,MATCH($I1097,'CAT_TIPOS_OT'!$A$4:$A$23,0)),"SIN CLASIFICAR")="","SIN CLASIFICAR",IFERROR(INDEX('CAT_TIPOS_OT'!$D$4:$D$23,MATCH($I1097,'CAT_TIPOS_OT'!$A$4:$A$23,0)),"SIN CLASIFICAR")))</f>
        <v/>
      </c>
      <c r="W1097" s="24">
        <f>IF($H1097="","",IF(IFERROR(INDEX('CAT_ACTIVIDADES'!$F$4:$F$26,MATCH($H1097,'CAT_ACTIVIDADES'!$A$4:$A$26,0)),"")=0,"",IFERROR(INDEX('CAT_ACTIVIDADES'!$F$4:$F$26,MATCH($H1097,'CAT_ACTIVIDADES'!$A$4:$A$26,0)),"")))</f>
        <v/>
      </c>
      <c r="X1097" s="24">
        <f>IF($F1097="","",IFERROR(INDEX('CAT_CENTROS_COSTO'!$F$4:$F$28,MATCH($F1097,'CAT_CENTROS_COSTO'!$A$4:$A$28,0)),"(sin catálogo)"))</f>
        <v/>
      </c>
      <c r="Y1097" s="24">
        <f>IF($F1097="","",IFERROR(INDEX('CAT_CENTROS_COSTO'!$D$4:$D$28,MATCH($F1097,'CAT_CENTROS_COSTO'!$A$4:$A$28,0)),"(sin catálogo)"))</f>
        <v/>
      </c>
      <c r="Z1097" s="24">
        <f>IF($F1097="","",IF((IFERROR(INDEX('CAT_CENTROS_COSTO'!$E$4:$E$28,MATCH($F1097,'CAT_CENTROS_COSTO'!$A$4:$A$28,0)),""))&lt;&gt;"",IFERROR(INDEX('CAT_CENTROS_COSTO'!$E$4:$E$28,MATCH($F1097,'CAT_CENTROS_COSTO'!$A$4:$A$28,0)),""),$Y1097))</f>
        <v/>
      </c>
      <c r="AA1097" s="24">
        <f>IF($F1097="","",IFERROR(INDEX('CAT_CENTROS_COSTO'!$G$4:$G$28,MATCH($F1097,'CAT_CENTROS_COSTO'!$A$4:$A$28,0)),"(sin catálogo)"))</f>
        <v/>
      </c>
      <c r="AB1097" s="24">
        <f>IF($G1097="","",IFERROR(INDEX('CAT_PUESTOS'!$B$4:$B$23,MATCH($G1097,'CAT_PUESTOS'!$A$4:$A$23,0)),"(sin catálogo)"))</f>
        <v/>
      </c>
      <c r="AC1097" s="24">
        <f>IF($H1097="","",IFERROR(INDEX('CAT_ACTIVIDADES'!$B$4:$B$26,MATCH($H1097,'CAT_ACTIVIDADES'!$A$4:$A$26,0)),"(sin catálogo)"))</f>
        <v/>
      </c>
      <c r="AD1097" s="26">
        <f>IF($J1097="","",TODAY()-$J1097)</f>
        <v/>
      </c>
      <c r="AE1097" s="26">
        <f>IF($J1097="","",IF($J1097&lt;=TODAY(),COUNTIFS(cal_fechas,"&gt;="&amp;$J1097,cal_fechas,"&lt;"&amp;TODAY(),cal_habil,"sí"),-COUNTIFS(cal_fechas,"&gt;="&amp;TODAY(),cal_fechas,"&lt;"&amp;$J1097,cal_habil,"sí")))</f>
        <v/>
      </c>
      <c r="AF1097" s="24">
        <f>IF($AE1097="","",IF($AE1097&lt;0,"FUTURO",IF($AE1097&gt;p_dias_backlog_max,"BACKLOG","MES CORRIENTE")))</f>
        <v/>
      </c>
      <c r="AG1097" s="24">
        <f>IF($AE1097="",FALSE,AND($AE1097&gt;p_dias_backlog_min,$AE1097&lt;=p_dias_backlog_max))</f>
        <v/>
      </c>
      <c r="AH1097" s="4" t="n"/>
      <c r="AI1097" s="24">
        <f>IF($AH1097="","",IF((IFERROR(INDEX('ASIGNACIONES'!$J$4:$J$451,MATCH($O1097&amp;"|"&amp;$S1097&amp;"|"&amp;$AH1097,'ASIGNACIONES'!$N$4:$N$451,0)),""))=0,"",IFERROR(INDEX('ASIGNACIONES'!$J$4:$J$451,MATCH($O1097&amp;"|"&amp;$S1097&amp;"|"&amp;$AH1097,'ASIGNACIONES'!$N$4:$N$451,0)),"")))</f>
        <v/>
      </c>
      <c r="AJ1097" s="42">
        <f>IF($AH1097="","",SUMIFS('ORDENES'!$M$4:$M$1203,'ORDENES'!$AH$4:$AH$1203,$AH1097,'ORDENES'!$O$4:$O$1203,$O1097,'ORDENES'!$S$4:$S$1203,$S1097))</f>
        <v/>
      </c>
      <c r="AK1097" s="42">
        <f>IF($AJ1097="","",p_factor_productividad*IFERROR(INDEX('ASIGNACIONES'!$M$4:$M$451,MATCH($O1097&amp;"|"&amp;$S1097&amp;"|"&amp;$AH1097,'ASIGNACIONES'!$N$4:$N$451,0)),0)-$AJ1097)</f>
        <v/>
      </c>
      <c r="AL1097" s="32">
        <f>IF($A1097="","",IFERROR(INDEX('2_IMPORTAR_EJECUCION'!$F$9:$F$1208,MATCH($AU1097,'2_IMPORTAR_EJECUCION'!$J$9:$J$1208,0)),0))</f>
        <v/>
      </c>
      <c r="AM1097" s="32">
        <f>IF($A1097="","",MAX(0,IFERROR(INDEX('2_IMPORTAR_EJECUCION'!$H$9:$H$1208,MATCH($AU1097,'2_IMPORTAR_EJECUCION'!$J$9:$J$1208,0)),0)-$AL1097))</f>
        <v/>
      </c>
      <c r="AN1097" s="32">
        <f>IF($A1097="","",$AL1097+$AM1097)</f>
        <v/>
      </c>
      <c r="AO1097" s="24">
        <f>IF($A1097="","",IF(OR((IFERROR(INDEX('CAT_ACTIVIDADES'!$D$4:$D$26,MATCH($H1097,'CAT_ACTIVIDADES'!$A$4:$A$26,0)),""))=0,(IFERROR(INDEX('CAT_ACTIVIDADES'!$D$4:$D$26,MATCH($H1097,'CAT_ACTIVIDADES'!$A$4:$A$26,0)),""))=""),"SIN CLASIFICAR",IFERROR(INDEX('CAT_ACTIVIDADES'!$D$4:$D$26,MATCH($H1097,'CAT_ACTIVIDADES'!$A$4:$A$26,0)),"")))</f>
        <v/>
      </c>
      <c r="AP1097" s="4" t="n"/>
      <c r="AQ1097" s="4" t="n"/>
      <c r="AR1097" s="4" t="n"/>
      <c r="AS1097" s="24">
        <f>IF($AR1097="","",HYPERLINK(p_ruta_base_checklists&amp;$AR1097,"abrir"))</f>
        <v/>
      </c>
      <c r="AT1097" s="4" t="n"/>
      <c r="AU1097" s="24">
        <f>IF($A1097="","",$A1097&amp;IF($B1097="","0010",$B1097))</f>
        <v/>
      </c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41" t="n"/>
      <c r="K1098" s="5" t="n"/>
      <c r="L1098" s="18" t="n"/>
      <c r="M1098" s="24">
        <f>IF($A1098="","",IFERROR(INDEX('AJUSTES'!$B$4:$B$303,MATCH($AU1098,'AJUSTES'!$A$4:$A$303,0)),IF($K1098="","",$K1098)))</f>
        <v/>
      </c>
      <c r="N1098" s="24">
        <f>IF($A1098="","",IFERROR(INDEX('CAT_ESTADOS_ERP'!$B$4:$B$22,MATCH(IFERROR(INDEX('2_IMPORTAR_EJECUCION'!$C$9:$C$1208,MATCH($AU1098,'2_IMPORTAR_EJECUCION'!$J$9:$J$1208,0)),""),'CAT_ESTADOS_ERP'!$A$4:$A$22,0)),"Pendiente"))</f>
        <v/>
      </c>
      <c r="O1098" s="24">
        <f>IF($J1098="","",YEAR($J1098+4-WEEKDAY($J1098,2))&amp;"-S"&amp;TEXT(_xlfn.ISOWEEKNUM($J1098),"00"))</f>
        <v/>
      </c>
      <c r="P1098" s="24">
        <f>IF($J1098="","",YEAR($J1098))</f>
        <v/>
      </c>
      <c r="Q1098" s="24">
        <f>IF($J1098="","",MONTH($J1098))</f>
        <v/>
      </c>
      <c r="R1098" s="24">
        <f>IF($J1098="","",$P1098&amp;"-"&amp;TEXT($Q1098,"00"))</f>
        <v/>
      </c>
      <c r="S1098" s="24">
        <f>IF($J1098="","",INDEX(lista_dias,WEEKDAY($J1098,2)))</f>
        <v/>
      </c>
      <c r="T1098" s="24">
        <f>IF($J1098="","",IFERROR(INDEX('CALENDARIO'!$C$15:$C$214,MATCH(TEXT($J1098,"yyyy-mm-dd")&amp;"|"&amp;$Y1098&amp;"|"&amp;$Z1098,'CALENDARIO'!$G$15:$G$214,0)),IFERROR(INDEX('CALENDARIO'!$C$15:$C$214,MATCH(TEXT($J1098,"yyyy-mm-dd")&amp;"|"&amp;$Y1098&amp;"|",'CALENDARIO'!$G$15:$G$214,0)),IFERROR(INDEX('CALENDARIO'!$C$15:$C$214,MATCH(TEXT($J1098,"yyyy-mm-dd")&amp;"||",'CALENDARIO'!$G$15:$G$214,0)),INDEX(patronHabil,WEEKDAY($J1098,2))))))</f>
        <v/>
      </c>
      <c r="U1098" s="24">
        <f>IF($I1098="","",IFERROR(INDEX('CAT_TIPOS_OT'!$C$4:$C$23,MATCH($I1098,'CAT_TIPOS_OT'!$A$4:$A$23,0)),"sin_clasificar"))</f>
        <v/>
      </c>
      <c r="V1098" s="24">
        <f>IF($I1098="","",IF(IFERROR(INDEX('CAT_TIPOS_OT'!$D$4:$D$23,MATCH($I1098,'CAT_TIPOS_OT'!$A$4:$A$23,0)),"SIN CLASIFICAR")="","SIN CLASIFICAR",IFERROR(INDEX('CAT_TIPOS_OT'!$D$4:$D$23,MATCH($I1098,'CAT_TIPOS_OT'!$A$4:$A$23,0)),"SIN CLASIFICAR")))</f>
        <v/>
      </c>
      <c r="W1098" s="24">
        <f>IF($H1098="","",IF(IFERROR(INDEX('CAT_ACTIVIDADES'!$F$4:$F$26,MATCH($H1098,'CAT_ACTIVIDADES'!$A$4:$A$26,0)),"")=0,"",IFERROR(INDEX('CAT_ACTIVIDADES'!$F$4:$F$26,MATCH($H1098,'CAT_ACTIVIDADES'!$A$4:$A$26,0)),"")))</f>
        <v/>
      </c>
      <c r="X1098" s="24">
        <f>IF($F1098="","",IFERROR(INDEX('CAT_CENTROS_COSTO'!$F$4:$F$28,MATCH($F1098,'CAT_CENTROS_COSTO'!$A$4:$A$28,0)),"(sin catálogo)"))</f>
        <v/>
      </c>
      <c r="Y1098" s="24">
        <f>IF($F1098="","",IFERROR(INDEX('CAT_CENTROS_COSTO'!$D$4:$D$28,MATCH($F1098,'CAT_CENTROS_COSTO'!$A$4:$A$28,0)),"(sin catálogo)"))</f>
        <v/>
      </c>
      <c r="Z1098" s="24">
        <f>IF($F1098="","",IF((IFERROR(INDEX('CAT_CENTROS_COSTO'!$E$4:$E$28,MATCH($F1098,'CAT_CENTROS_COSTO'!$A$4:$A$28,0)),""))&lt;&gt;"",IFERROR(INDEX('CAT_CENTROS_COSTO'!$E$4:$E$28,MATCH($F1098,'CAT_CENTROS_COSTO'!$A$4:$A$28,0)),""),$Y1098))</f>
        <v/>
      </c>
      <c r="AA1098" s="24">
        <f>IF($F1098="","",IFERROR(INDEX('CAT_CENTROS_COSTO'!$G$4:$G$28,MATCH($F1098,'CAT_CENTROS_COSTO'!$A$4:$A$28,0)),"(sin catálogo)"))</f>
        <v/>
      </c>
      <c r="AB1098" s="24">
        <f>IF($G1098="","",IFERROR(INDEX('CAT_PUESTOS'!$B$4:$B$23,MATCH($G1098,'CAT_PUESTOS'!$A$4:$A$23,0)),"(sin catálogo)"))</f>
        <v/>
      </c>
      <c r="AC1098" s="24">
        <f>IF($H1098="","",IFERROR(INDEX('CAT_ACTIVIDADES'!$B$4:$B$26,MATCH($H1098,'CAT_ACTIVIDADES'!$A$4:$A$26,0)),"(sin catálogo)"))</f>
        <v/>
      </c>
      <c r="AD1098" s="26">
        <f>IF($J1098="","",TODAY()-$J1098)</f>
        <v/>
      </c>
      <c r="AE1098" s="26">
        <f>IF($J1098="","",IF($J1098&lt;=TODAY(),COUNTIFS(cal_fechas,"&gt;="&amp;$J1098,cal_fechas,"&lt;"&amp;TODAY(),cal_habil,"sí"),-COUNTIFS(cal_fechas,"&gt;="&amp;TODAY(),cal_fechas,"&lt;"&amp;$J1098,cal_habil,"sí")))</f>
        <v/>
      </c>
      <c r="AF1098" s="24">
        <f>IF($AE1098="","",IF($AE1098&lt;0,"FUTURO",IF($AE1098&gt;p_dias_backlog_max,"BACKLOG","MES CORRIENTE")))</f>
        <v/>
      </c>
      <c r="AG1098" s="24">
        <f>IF($AE1098="",FALSE,AND($AE1098&gt;p_dias_backlog_min,$AE1098&lt;=p_dias_backlog_max))</f>
        <v/>
      </c>
      <c r="AH1098" s="4" t="n"/>
      <c r="AI1098" s="24">
        <f>IF($AH1098="","",IF((IFERROR(INDEX('ASIGNACIONES'!$J$4:$J$451,MATCH($O1098&amp;"|"&amp;$S1098&amp;"|"&amp;$AH1098,'ASIGNACIONES'!$N$4:$N$451,0)),""))=0,"",IFERROR(INDEX('ASIGNACIONES'!$J$4:$J$451,MATCH($O1098&amp;"|"&amp;$S1098&amp;"|"&amp;$AH1098,'ASIGNACIONES'!$N$4:$N$451,0)),"")))</f>
        <v/>
      </c>
      <c r="AJ1098" s="42">
        <f>IF($AH1098="","",SUMIFS('ORDENES'!$M$4:$M$1203,'ORDENES'!$AH$4:$AH$1203,$AH1098,'ORDENES'!$O$4:$O$1203,$O1098,'ORDENES'!$S$4:$S$1203,$S1098))</f>
        <v/>
      </c>
      <c r="AK1098" s="42">
        <f>IF($AJ1098="","",p_factor_productividad*IFERROR(INDEX('ASIGNACIONES'!$M$4:$M$451,MATCH($O1098&amp;"|"&amp;$S1098&amp;"|"&amp;$AH1098,'ASIGNACIONES'!$N$4:$N$451,0)),0)-$AJ1098)</f>
        <v/>
      </c>
      <c r="AL1098" s="32">
        <f>IF($A1098="","",IFERROR(INDEX('2_IMPORTAR_EJECUCION'!$F$9:$F$1208,MATCH($AU1098,'2_IMPORTAR_EJECUCION'!$J$9:$J$1208,0)),0))</f>
        <v/>
      </c>
      <c r="AM1098" s="32">
        <f>IF($A1098="","",MAX(0,IFERROR(INDEX('2_IMPORTAR_EJECUCION'!$H$9:$H$1208,MATCH($AU1098,'2_IMPORTAR_EJECUCION'!$J$9:$J$1208,0)),0)-$AL1098))</f>
        <v/>
      </c>
      <c r="AN1098" s="32">
        <f>IF($A1098="","",$AL1098+$AM1098)</f>
        <v/>
      </c>
      <c r="AO1098" s="24">
        <f>IF($A1098="","",IF(OR((IFERROR(INDEX('CAT_ACTIVIDADES'!$D$4:$D$26,MATCH($H1098,'CAT_ACTIVIDADES'!$A$4:$A$26,0)),""))=0,(IFERROR(INDEX('CAT_ACTIVIDADES'!$D$4:$D$26,MATCH($H1098,'CAT_ACTIVIDADES'!$A$4:$A$26,0)),""))=""),"SIN CLASIFICAR",IFERROR(INDEX('CAT_ACTIVIDADES'!$D$4:$D$26,MATCH($H1098,'CAT_ACTIVIDADES'!$A$4:$A$26,0)),"")))</f>
        <v/>
      </c>
      <c r="AP1098" s="4" t="n"/>
      <c r="AQ1098" s="4" t="n"/>
      <c r="AR1098" s="4" t="n"/>
      <c r="AS1098" s="24">
        <f>IF($AR1098="","",HYPERLINK(p_ruta_base_checklists&amp;$AR1098,"abrir"))</f>
        <v/>
      </c>
      <c r="AT1098" s="4" t="n"/>
      <c r="AU1098" s="24">
        <f>IF($A1098="","",$A1098&amp;IF($B1098="","0010",$B1098))</f>
        <v/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41" t="n"/>
      <c r="K1099" s="5" t="n"/>
      <c r="L1099" s="18" t="n"/>
      <c r="M1099" s="24">
        <f>IF($A1099="","",IFERROR(INDEX('AJUSTES'!$B$4:$B$303,MATCH($AU1099,'AJUSTES'!$A$4:$A$303,0)),IF($K1099="","",$K1099)))</f>
        <v/>
      </c>
      <c r="N1099" s="24">
        <f>IF($A1099="","",IFERROR(INDEX('CAT_ESTADOS_ERP'!$B$4:$B$22,MATCH(IFERROR(INDEX('2_IMPORTAR_EJECUCION'!$C$9:$C$1208,MATCH($AU1099,'2_IMPORTAR_EJECUCION'!$J$9:$J$1208,0)),""),'CAT_ESTADOS_ERP'!$A$4:$A$22,0)),"Pendiente"))</f>
        <v/>
      </c>
      <c r="O1099" s="24">
        <f>IF($J1099="","",YEAR($J1099+4-WEEKDAY($J1099,2))&amp;"-S"&amp;TEXT(_xlfn.ISOWEEKNUM($J1099),"00"))</f>
        <v/>
      </c>
      <c r="P1099" s="24">
        <f>IF($J1099="","",YEAR($J1099))</f>
        <v/>
      </c>
      <c r="Q1099" s="24">
        <f>IF($J1099="","",MONTH($J1099))</f>
        <v/>
      </c>
      <c r="R1099" s="24">
        <f>IF($J1099="","",$P1099&amp;"-"&amp;TEXT($Q1099,"00"))</f>
        <v/>
      </c>
      <c r="S1099" s="24">
        <f>IF($J1099="","",INDEX(lista_dias,WEEKDAY($J1099,2)))</f>
        <v/>
      </c>
      <c r="T1099" s="24">
        <f>IF($J1099="","",IFERROR(INDEX('CALENDARIO'!$C$15:$C$214,MATCH(TEXT($J1099,"yyyy-mm-dd")&amp;"|"&amp;$Y1099&amp;"|"&amp;$Z1099,'CALENDARIO'!$G$15:$G$214,0)),IFERROR(INDEX('CALENDARIO'!$C$15:$C$214,MATCH(TEXT($J1099,"yyyy-mm-dd")&amp;"|"&amp;$Y1099&amp;"|",'CALENDARIO'!$G$15:$G$214,0)),IFERROR(INDEX('CALENDARIO'!$C$15:$C$214,MATCH(TEXT($J1099,"yyyy-mm-dd")&amp;"||",'CALENDARIO'!$G$15:$G$214,0)),INDEX(patronHabil,WEEKDAY($J1099,2))))))</f>
        <v/>
      </c>
      <c r="U1099" s="24">
        <f>IF($I1099="","",IFERROR(INDEX('CAT_TIPOS_OT'!$C$4:$C$23,MATCH($I1099,'CAT_TIPOS_OT'!$A$4:$A$23,0)),"sin_clasificar"))</f>
        <v/>
      </c>
      <c r="V1099" s="24">
        <f>IF($I1099="","",IF(IFERROR(INDEX('CAT_TIPOS_OT'!$D$4:$D$23,MATCH($I1099,'CAT_TIPOS_OT'!$A$4:$A$23,0)),"SIN CLASIFICAR")="","SIN CLASIFICAR",IFERROR(INDEX('CAT_TIPOS_OT'!$D$4:$D$23,MATCH($I1099,'CAT_TIPOS_OT'!$A$4:$A$23,0)),"SIN CLASIFICAR")))</f>
        <v/>
      </c>
      <c r="W1099" s="24">
        <f>IF($H1099="","",IF(IFERROR(INDEX('CAT_ACTIVIDADES'!$F$4:$F$26,MATCH($H1099,'CAT_ACTIVIDADES'!$A$4:$A$26,0)),"")=0,"",IFERROR(INDEX('CAT_ACTIVIDADES'!$F$4:$F$26,MATCH($H1099,'CAT_ACTIVIDADES'!$A$4:$A$26,0)),"")))</f>
        <v/>
      </c>
      <c r="X1099" s="24">
        <f>IF($F1099="","",IFERROR(INDEX('CAT_CENTROS_COSTO'!$F$4:$F$28,MATCH($F1099,'CAT_CENTROS_COSTO'!$A$4:$A$28,0)),"(sin catálogo)"))</f>
        <v/>
      </c>
      <c r="Y1099" s="24">
        <f>IF($F1099="","",IFERROR(INDEX('CAT_CENTROS_COSTO'!$D$4:$D$28,MATCH($F1099,'CAT_CENTROS_COSTO'!$A$4:$A$28,0)),"(sin catálogo)"))</f>
        <v/>
      </c>
      <c r="Z1099" s="24">
        <f>IF($F1099="","",IF((IFERROR(INDEX('CAT_CENTROS_COSTO'!$E$4:$E$28,MATCH($F1099,'CAT_CENTROS_COSTO'!$A$4:$A$28,0)),""))&lt;&gt;"",IFERROR(INDEX('CAT_CENTROS_COSTO'!$E$4:$E$28,MATCH($F1099,'CAT_CENTROS_COSTO'!$A$4:$A$28,0)),""),$Y1099))</f>
        <v/>
      </c>
      <c r="AA1099" s="24">
        <f>IF($F1099="","",IFERROR(INDEX('CAT_CENTROS_COSTO'!$G$4:$G$28,MATCH($F1099,'CAT_CENTROS_COSTO'!$A$4:$A$28,0)),"(sin catálogo)"))</f>
        <v/>
      </c>
      <c r="AB1099" s="24">
        <f>IF($G1099="","",IFERROR(INDEX('CAT_PUESTOS'!$B$4:$B$23,MATCH($G1099,'CAT_PUESTOS'!$A$4:$A$23,0)),"(sin catálogo)"))</f>
        <v/>
      </c>
      <c r="AC1099" s="24">
        <f>IF($H1099="","",IFERROR(INDEX('CAT_ACTIVIDADES'!$B$4:$B$26,MATCH($H1099,'CAT_ACTIVIDADES'!$A$4:$A$26,0)),"(sin catálogo)"))</f>
        <v/>
      </c>
      <c r="AD1099" s="26">
        <f>IF($J1099="","",TODAY()-$J1099)</f>
        <v/>
      </c>
      <c r="AE1099" s="26">
        <f>IF($J1099="","",IF($J1099&lt;=TODAY(),COUNTIFS(cal_fechas,"&gt;="&amp;$J1099,cal_fechas,"&lt;"&amp;TODAY(),cal_habil,"sí"),-COUNTIFS(cal_fechas,"&gt;="&amp;TODAY(),cal_fechas,"&lt;"&amp;$J1099,cal_habil,"sí")))</f>
        <v/>
      </c>
      <c r="AF1099" s="24">
        <f>IF($AE1099="","",IF($AE1099&lt;0,"FUTURO",IF($AE1099&gt;p_dias_backlog_max,"BACKLOG","MES CORRIENTE")))</f>
        <v/>
      </c>
      <c r="AG1099" s="24">
        <f>IF($AE1099="",FALSE,AND($AE1099&gt;p_dias_backlog_min,$AE1099&lt;=p_dias_backlog_max))</f>
        <v/>
      </c>
      <c r="AH1099" s="4" t="n"/>
      <c r="AI1099" s="24">
        <f>IF($AH1099="","",IF((IFERROR(INDEX('ASIGNACIONES'!$J$4:$J$451,MATCH($O1099&amp;"|"&amp;$S1099&amp;"|"&amp;$AH1099,'ASIGNACIONES'!$N$4:$N$451,0)),""))=0,"",IFERROR(INDEX('ASIGNACIONES'!$J$4:$J$451,MATCH($O1099&amp;"|"&amp;$S1099&amp;"|"&amp;$AH1099,'ASIGNACIONES'!$N$4:$N$451,0)),"")))</f>
        <v/>
      </c>
      <c r="AJ1099" s="42">
        <f>IF($AH1099="","",SUMIFS('ORDENES'!$M$4:$M$1203,'ORDENES'!$AH$4:$AH$1203,$AH1099,'ORDENES'!$O$4:$O$1203,$O1099,'ORDENES'!$S$4:$S$1203,$S1099))</f>
        <v/>
      </c>
      <c r="AK1099" s="42">
        <f>IF($AJ1099="","",p_factor_productividad*IFERROR(INDEX('ASIGNACIONES'!$M$4:$M$451,MATCH($O1099&amp;"|"&amp;$S1099&amp;"|"&amp;$AH1099,'ASIGNACIONES'!$N$4:$N$451,0)),0)-$AJ1099)</f>
        <v/>
      </c>
      <c r="AL1099" s="32">
        <f>IF($A1099="","",IFERROR(INDEX('2_IMPORTAR_EJECUCION'!$F$9:$F$1208,MATCH($AU1099,'2_IMPORTAR_EJECUCION'!$J$9:$J$1208,0)),0))</f>
        <v/>
      </c>
      <c r="AM1099" s="32">
        <f>IF($A1099="","",MAX(0,IFERROR(INDEX('2_IMPORTAR_EJECUCION'!$H$9:$H$1208,MATCH($AU1099,'2_IMPORTAR_EJECUCION'!$J$9:$J$1208,0)),0)-$AL1099))</f>
        <v/>
      </c>
      <c r="AN1099" s="32">
        <f>IF($A1099="","",$AL1099+$AM1099)</f>
        <v/>
      </c>
      <c r="AO1099" s="24">
        <f>IF($A1099="","",IF(OR((IFERROR(INDEX('CAT_ACTIVIDADES'!$D$4:$D$26,MATCH($H1099,'CAT_ACTIVIDADES'!$A$4:$A$26,0)),""))=0,(IFERROR(INDEX('CAT_ACTIVIDADES'!$D$4:$D$26,MATCH($H1099,'CAT_ACTIVIDADES'!$A$4:$A$26,0)),""))=""),"SIN CLASIFICAR",IFERROR(INDEX('CAT_ACTIVIDADES'!$D$4:$D$26,MATCH($H1099,'CAT_ACTIVIDADES'!$A$4:$A$26,0)),"")))</f>
        <v/>
      </c>
      <c r="AP1099" s="4" t="n"/>
      <c r="AQ1099" s="4" t="n"/>
      <c r="AR1099" s="4" t="n"/>
      <c r="AS1099" s="24">
        <f>IF($AR1099="","",HYPERLINK(p_ruta_base_checklists&amp;$AR1099,"abrir"))</f>
        <v/>
      </c>
      <c r="AT1099" s="4" t="n"/>
      <c r="AU1099" s="24">
        <f>IF($A1099="","",$A1099&amp;IF($B1099="","0010",$B1099))</f>
        <v/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41" t="n"/>
      <c r="K1100" s="5" t="n"/>
      <c r="L1100" s="18" t="n"/>
      <c r="M1100" s="24">
        <f>IF($A1100="","",IFERROR(INDEX('AJUSTES'!$B$4:$B$303,MATCH($AU1100,'AJUSTES'!$A$4:$A$303,0)),IF($K1100="","",$K1100)))</f>
        <v/>
      </c>
      <c r="N1100" s="24">
        <f>IF($A1100="","",IFERROR(INDEX('CAT_ESTADOS_ERP'!$B$4:$B$22,MATCH(IFERROR(INDEX('2_IMPORTAR_EJECUCION'!$C$9:$C$1208,MATCH($AU1100,'2_IMPORTAR_EJECUCION'!$J$9:$J$1208,0)),""),'CAT_ESTADOS_ERP'!$A$4:$A$22,0)),"Pendiente"))</f>
        <v/>
      </c>
      <c r="O1100" s="24">
        <f>IF($J1100="","",YEAR($J1100+4-WEEKDAY($J1100,2))&amp;"-S"&amp;TEXT(_xlfn.ISOWEEKNUM($J1100),"00"))</f>
        <v/>
      </c>
      <c r="P1100" s="24">
        <f>IF($J1100="","",YEAR($J1100))</f>
        <v/>
      </c>
      <c r="Q1100" s="24">
        <f>IF($J1100="","",MONTH($J1100))</f>
        <v/>
      </c>
      <c r="R1100" s="24">
        <f>IF($J1100="","",$P1100&amp;"-"&amp;TEXT($Q1100,"00"))</f>
        <v/>
      </c>
      <c r="S1100" s="24">
        <f>IF($J1100="","",INDEX(lista_dias,WEEKDAY($J1100,2)))</f>
        <v/>
      </c>
      <c r="T1100" s="24">
        <f>IF($J1100="","",IFERROR(INDEX('CALENDARIO'!$C$15:$C$214,MATCH(TEXT($J1100,"yyyy-mm-dd")&amp;"|"&amp;$Y1100&amp;"|"&amp;$Z1100,'CALENDARIO'!$G$15:$G$214,0)),IFERROR(INDEX('CALENDARIO'!$C$15:$C$214,MATCH(TEXT($J1100,"yyyy-mm-dd")&amp;"|"&amp;$Y1100&amp;"|",'CALENDARIO'!$G$15:$G$214,0)),IFERROR(INDEX('CALENDARIO'!$C$15:$C$214,MATCH(TEXT($J1100,"yyyy-mm-dd")&amp;"||",'CALENDARIO'!$G$15:$G$214,0)),INDEX(patronHabil,WEEKDAY($J1100,2))))))</f>
        <v/>
      </c>
      <c r="U1100" s="24">
        <f>IF($I1100="","",IFERROR(INDEX('CAT_TIPOS_OT'!$C$4:$C$23,MATCH($I1100,'CAT_TIPOS_OT'!$A$4:$A$23,0)),"sin_clasificar"))</f>
        <v/>
      </c>
      <c r="V1100" s="24">
        <f>IF($I1100="","",IF(IFERROR(INDEX('CAT_TIPOS_OT'!$D$4:$D$23,MATCH($I1100,'CAT_TIPOS_OT'!$A$4:$A$23,0)),"SIN CLASIFICAR")="","SIN CLASIFICAR",IFERROR(INDEX('CAT_TIPOS_OT'!$D$4:$D$23,MATCH($I1100,'CAT_TIPOS_OT'!$A$4:$A$23,0)),"SIN CLASIFICAR")))</f>
        <v/>
      </c>
      <c r="W1100" s="24">
        <f>IF($H1100="","",IF(IFERROR(INDEX('CAT_ACTIVIDADES'!$F$4:$F$26,MATCH($H1100,'CAT_ACTIVIDADES'!$A$4:$A$26,0)),"")=0,"",IFERROR(INDEX('CAT_ACTIVIDADES'!$F$4:$F$26,MATCH($H1100,'CAT_ACTIVIDADES'!$A$4:$A$26,0)),"")))</f>
        <v/>
      </c>
      <c r="X1100" s="24">
        <f>IF($F1100="","",IFERROR(INDEX('CAT_CENTROS_COSTO'!$F$4:$F$28,MATCH($F1100,'CAT_CENTROS_COSTO'!$A$4:$A$28,0)),"(sin catálogo)"))</f>
        <v/>
      </c>
      <c r="Y1100" s="24">
        <f>IF($F1100="","",IFERROR(INDEX('CAT_CENTROS_COSTO'!$D$4:$D$28,MATCH($F1100,'CAT_CENTROS_COSTO'!$A$4:$A$28,0)),"(sin catálogo)"))</f>
        <v/>
      </c>
      <c r="Z1100" s="24">
        <f>IF($F1100="","",IF((IFERROR(INDEX('CAT_CENTROS_COSTO'!$E$4:$E$28,MATCH($F1100,'CAT_CENTROS_COSTO'!$A$4:$A$28,0)),""))&lt;&gt;"",IFERROR(INDEX('CAT_CENTROS_COSTO'!$E$4:$E$28,MATCH($F1100,'CAT_CENTROS_COSTO'!$A$4:$A$28,0)),""),$Y1100))</f>
        <v/>
      </c>
      <c r="AA1100" s="24">
        <f>IF($F1100="","",IFERROR(INDEX('CAT_CENTROS_COSTO'!$G$4:$G$28,MATCH($F1100,'CAT_CENTROS_COSTO'!$A$4:$A$28,0)),"(sin catálogo)"))</f>
        <v/>
      </c>
      <c r="AB1100" s="24">
        <f>IF($G1100="","",IFERROR(INDEX('CAT_PUESTOS'!$B$4:$B$23,MATCH($G1100,'CAT_PUESTOS'!$A$4:$A$23,0)),"(sin catálogo)"))</f>
        <v/>
      </c>
      <c r="AC1100" s="24">
        <f>IF($H1100="","",IFERROR(INDEX('CAT_ACTIVIDADES'!$B$4:$B$26,MATCH($H1100,'CAT_ACTIVIDADES'!$A$4:$A$26,0)),"(sin catálogo)"))</f>
        <v/>
      </c>
      <c r="AD1100" s="26">
        <f>IF($J1100="","",TODAY()-$J1100)</f>
        <v/>
      </c>
      <c r="AE1100" s="26">
        <f>IF($J1100="","",IF($J1100&lt;=TODAY(),COUNTIFS(cal_fechas,"&gt;="&amp;$J1100,cal_fechas,"&lt;"&amp;TODAY(),cal_habil,"sí"),-COUNTIFS(cal_fechas,"&gt;="&amp;TODAY(),cal_fechas,"&lt;"&amp;$J1100,cal_habil,"sí")))</f>
        <v/>
      </c>
      <c r="AF1100" s="24">
        <f>IF($AE1100="","",IF($AE1100&lt;0,"FUTURO",IF($AE1100&gt;p_dias_backlog_max,"BACKLOG","MES CORRIENTE")))</f>
        <v/>
      </c>
      <c r="AG1100" s="24">
        <f>IF($AE1100="",FALSE,AND($AE1100&gt;p_dias_backlog_min,$AE1100&lt;=p_dias_backlog_max))</f>
        <v/>
      </c>
      <c r="AH1100" s="4" t="n"/>
      <c r="AI1100" s="24">
        <f>IF($AH1100="","",IF((IFERROR(INDEX('ASIGNACIONES'!$J$4:$J$451,MATCH($O1100&amp;"|"&amp;$S1100&amp;"|"&amp;$AH1100,'ASIGNACIONES'!$N$4:$N$451,0)),""))=0,"",IFERROR(INDEX('ASIGNACIONES'!$J$4:$J$451,MATCH($O1100&amp;"|"&amp;$S1100&amp;"|"&amp;$AH1100,'ASIGNACIONES'!$N$4:$N$451,0)),"")))</f>
        <v/>
      </c>
      <c r="AJ1100" s="42">
        <f>IF($AH1100="","",SUMIFS('ORDENES'!$M$4:$M$1203,'ORDENES'!$AH$4:$AH$1203,$AH1100,'ORDENES'!$O$4:$O$1203,$O1100,'ORDENES'!$S$4:$S$1203,$S1100))</f>
        <v/>
      </c>
      <c r="AK1100" s="42">
        <f>IF($AJ1100="","",p_factor_productividad*IFERROR(INDEX('ASIGNACIONES'!$M$4:$M$451,MATCH($O1100&amp;"|"&amp;$S1100&amp;"|"&amp;$AH1100,'ASIGNACIONES'!$N$4:$N$451,0)),0)-$AJ1100)</f>
        <v/>
      </c>
      <c r="AL1100" s="32">
        <f>IF($A1100="","",IFERROR(INDEX('2_IMPORTAR_EJECUCION'!$F$9:$F$1208,MATCH($AU1100,'2_IMPORTAR_EJECUCION'!$J$9:$J$1208,0)),0))</f>
        <v/>
      </c>
      <c r="AM1100" s="32">
        <f>IF($A1100="","",MAX(0,IFERROR(INDEX('2_IMPORTAR_EJECUCION'!$H$9:$H$1208,MATCH($AU1100,'2_IMPORTAR_EJECUCION'!$J$9:$J$1208,0)),0)-$AL1100))</f>
        <v/>
      </c>
      <c r="AN1100" s="32">
        <f>IF($A1100="","",$AL1100+$AM1100)</f>
        <v/>
      </c>
      <c r="AO1100" s="24">
        <f>IF($A1100="","",IF(OR((IFERROR(INDEX('CAT_ACTIVIDADES'!$D$4:$D$26,MATCH($H1100,'CAT_ACTIVIDADES'!$A$4:$A$26,0)),""))=0,(IFERROR(INDEX('CAT_ACTIVIDADES'!$D$4:$D$26,MATCH($H1100,'CAT_ACTIVIDADES'!$A$4:$A$26,0)),""))=""),"SIN CLASIFICAR",IFERROR(INDEX('CAT_ACTIVIDADES'!$D$4:$D$26,MATCH($H1100,'CAT_ACTIVIDADES'!$A$4:$A$26,0)),"")))</f>
        <v/>
      </c>
      <c r="AP1100" s="4" t="n"/>
      <c r="AQ1100" s="4" t="n"/>
      <c r="AR1100" s="4" t="n"/>
      <c r="AS1100" s="24">
        <f>IF($AR1100="","",HYPERLINK(p_ruta_base_checklists&amp;$AR1100,"abrir"))</f>
        <v/>
      </c>
      <c r="AT1100" s="4" t="n"/>
      <c r="AU1100" s="24">
        <f>IF($A1100="","",$A1100&amp;IF($B1100="","0010",$B1100))</f>
        <v/>
      </c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41" t="n"/>
      <c r="K1101" s="5" t="n"/>
      <c r="L1101" s="18" t="n"/>
      <c r="M1101" s="24">
        <f>IF($A1101="","",IFERROR(INDEX('AJUSTES'!$B$4:$B$303,MATCH($AU1101,'AJUSTES'!$A$4:$A$303,0)),IF($K1101="","",$K1101)))</f>
        <v/>
      </c>
      <c r="N1101" s="24">
        <f>IF($A1101="","",IFERROR(INDEX('CAT_ESTADOS_ERP'!$B$4:$B$22,MATCH(IFERROR(INDEX('2_IMPORTAR_EJECUCION'!$C$9:$C$1208,MATCH($AU1101,'2_IMPORTAR_EJECUCION'!$J$9:$J$1208,0)),""),'CAT_ESTADOS_ERP'!$A$4:$A$22,0)),"Pendiente"))</f>
        <v/>
      </c>
      <c r="O1101" s="24">
        <f>IF($J1101="","",YEAR($J1101+4-WEEKDAY($J1101,2))&amp;"-S"&amp;TEXT(_xlfn.ISOWEEKNUM($J1101),"00"))</f>
        <v/>
      </c>
      <c r="P1101" s="24">
        <f>IF($J1101="","",YEAR($J1101))</f>
        <v/>
      </c>
      <c r="Q1101" s="24">
        <f>IF($J1101="","",MONTH($J1101))</f>
        <v/>
      </c>
      <c r="R1101" s="24">
        <f>IF($J1101="","",$P1101&amp;"-"&amp;TEXT($Q1101,"00"))</f>
        <v/>
      </c>
      <c r="S1101" s="24">
        <f>IF($J1101="","",INDEX(lista_dias,WEEKDAY($J1101,2)))</f>
        <v/>
      </c>
      <c r="T1101" s="24">
        <f>IF($J1101="","",IFERROR(INDEX('CALENDARIO'!$C$15:$C$214,MATCH(TEXT($J1101,"yyyy-mm-dd")&amp;"|"&amp;$Y1101&amp;"|"&amp;$Z1101,'CALENDARIO'!$G$15:$G$214,0)),IFERROR(INDEX('CALENDARIO'!$C$15:$C$214,MATCH(TEXT($J1101,"yyyy-mm-dd")&amp;"|"&amp;$Y1101&amp;"|",'CALENDARIO'!$G$15:$G$214,0)),IFERROR(INDEX('CALENDARIO'!$C$15:$C$214,MATCH(TEXT($J1101,"yyyy-mm-dd")&amp;"||",'CALENDARIO'!$G$15:$G$214,0)),INDEX(patronHabil,WEEKDAY($J1101,2))))))</f>
        <v/>
      </c>
      <c r="U1101" s="24">
        <f>IF($I1101="","",IFERROR(INDEX('CAT_TIPOS_OT'!$C$4:$C$23,MATCH($I1101,'CAT_TIPOS_OT'!$A$4:$A$23,0)),"sin_clasificar"))</f>
        <v/>
      </c>
      <c r="V1101" s="24">
        <f>IF($I1101="","",IF(IFERROR(INDEX('CAT_TIPOS_OT'!$D$4:$D$23,MATCH($I1101,'CAT_TIPOS_OT'!$A$4:$A$23,0)),"SIN CLASIFICAR")="","SIN CLASIFICAR",IFERROR(INDEX('CAT_TIPOS_OT'!$D$4:$D$23,MATCH($I1101,'CAT_TIPOS_OT'!$A$4:$A$23,0)),"SIN CLASIFICAR")))</f>
        <v/>
      </c>
      <c r="W1101" s="24">
        <f>IF($H1101="","",IF(IFERROR(INDEX('CAT_ACTIVIDADES'!$F$4:$F$26,MATCH($H1101,'CAT_ACTIVIDADES'!$A$4:$A$26,0)),"")=0,"",IFERROR(INDEX('CAT_ACTIVIDADES'!$F$4:$F$26,MATCH($H1101,'CAT_ACTIVIDADES'!$A$4:$A$26,0)),"")))</f>
        <v/>
      </c>
      <c r="X1101" s="24">
        <f>IF($F1101="","",IFERROR(INDEX('CAT_CENTROS_COSTO'!$F$4:$F$28,MATCH($F1101,'CAT_CENTROS_COSTO'!$A$4:$A$28,0)),"(sin catálogo)"))</f>
        <v/>
      </c>
      <c r="Y1101" s="24">
        <f>IF($F1101="","",IFERROR(INDEX('CAT_CENTROS_COSTO'!$D$4:$D$28,MATCH($F1101,'CAT_CENTROS_COSTO'!$A$4:$A$28,0)),"(sin catálogo)"))</f>
        <v/>
      </c>
      <c r="Z1101" s="24">
        <f>IF($F1101="","",IF((IFERROR(INDEX('CAT_CENTROS_COSTO'!$E$4:$E$28,MATCH($F1101,'CAT_CENTROS_COSTO'!$A$4:$A$28,0)),""))&lt;&gt;"",IFERROR(INDEX('CAT_CENTROS_COSTO'!$E$4:$E$28,MATCH($F1101,'CAT_CENTROS_COSTO'!$A$4:$A$28,0)),""),$Y1101))</f>
        <v/>
      </c>
      <c r="AA1101" s="24">
        <f>IF($F1101="","",IFERROR(INDEX('CAT_CENTROS_COSTO'!$G$4:$G$28,MATCH($F1101,'CAT_CENTROS_COSTO'!$A$4:$A$28,0)),"(sin catálogo)"))</f>
        <v/>
      </c>
      <c r="AB1101" s="24">
        <f>IF($G1101="","",IFERROR(INDEX('CAT_PUESTOS'!$B$4:$B$23,MATCH($G1101,'CAT_PUESTOS'!$A$4:$A$23,0)),"(sin catálogo)"))</f>
        <v/>
      </c>
      <c r="AC1101" s="24">
        <f>IF($H1101="","",IFERROR(INDEX('CAT_ACTIVIDADES'!$B$4:$B$26,MATCH($H1101,'CAT_ACTIVIDADES'!$A$4:$A$26,0)),"(sin catálogo)"))</f>
        <v/>
      </c>
      <c r="AD1101" s="26">
        <f>IF($J1101="","",TODAY()-$J1101)</f>
        <v/>
      </c>
      <c r="AE1101" s="26">
        <f>IF($J1101="","",IF($J1101&lt;=TODAY(),COUNTIFS(cal_fechas,"&gt;="&amp;$J1101,cal_fechas,"&lt;"&amp;TODAY(),cal_habil,"sí"),-COUNTIFS(cal_fechas,"&gt;="&amp;TODAY(),cal_fechas,"&lt;"&amp;$J1101,cal_habil,"sí")))</f>
        <v/>
      </c>
      <c r="AF1101" s="24">
        <f>IF($AE1101="","",IF($AE1101&lt;0,"FUTURO",IF($AE1101&gt;p_dias_backlog_max,"BACKLOG","MES CORRIENTE")))</f>
        <v/>
      </c>
      <c r="AG1101" s="24">
        <f>IF($AE1101="",FALSE,AND($AE1101&gt;p_dias_backlog_min,$AE1101&lt;=p_dias_backlog_max))</f>
        <v/>
      </c>
      <c r="AH1101" s="4" t="n"/>
      <c r="AI1101" s="24">
        <f>IF($AH1101="","",IF((IFERROR(INDEX('ASIGNACIONES'!$J$4:$J$451,MATCH($O1101&amp;"|"&amp;$S1101&amp;"|"&amp;$AH1101,'ASIGNACIONES'!$N$4:$N$451,0)),""))=0,"",IFERROR(INDEX('ASIGNACIONES'!$J$4:$J$451,MATCH($O1101&amp;"|"&amp;$S1101&amp;"|"&amp;$AH1101,'ASIGNACIONES'!$N$4:$N$451,0)),"")))</f>
        <v/>
      </c>
      <c r="AJ1101" s="42">
        <f>IF($AH1101="","",SUMIFS('ORDENES'!$M$4:$M$1203,'ORDENES'!$AH$4:$AH$1203,$AH1101,'ORDENES'!$O$4:$O$1203,$O1101,'ORDENES'!$S$4:$S$1203,$S1101))</f>
        <v/>
      </c>
      <c r="AK1101" s="42">
        <f>IF($AJ1101="","",p_factor_productividad*IFERROR(INDEX('ASIGNACIONES'!$M$4:$M$451,MATCH($O1101&amp;"|"&amp;$S1101&amp;"|"&amp;$AH1101,'ASIGNACIONES'!$N$4:$N$451,0)),0)-$AJ1101)</f>
        <v/>
      </c>
      <c r="AL1101" s="32">
        <f>IF($A1101="","",IFERROR(INDEX('2_IMPORTAR_EJECUCION'!$F$9:$F$1208,MATCH($AU1101,'2_IMPORTAR_EJECUCION'!$J$9:$J$1208,0)),0))</f>
        <v/>
      </c>
      <c r="AM1101" s="32">
        <f>IF($A1101="","",MAX(0,IFERROR(INDEX('2_IMPORTAR_EJECUCION'!$H$9:$H$1208,MATCH($AU1101,'2_IMPORTAR_EJECUCION'!$J$9:$J$1208,0)),0)-$AL1101))</f>
        <v/>
      </c>
      <c r="AN1101" s="32">
        <f>IF($A1101="","",$AL1101+$AM1101)</f>
        <v/>
      </c>
      <c r="AO1101" s="24">
        <f>IF($A1101="","",IF(OR((IFERROR(INDEX('CAT_ACTIVIDADES'!$D$4:$D$26,MATCH($H1101,'CAT_ACTIVIDADES'!$A$4:$A$26,0)),""))=0,(IFERROR(INDEX('CAT_ACTIVIDADES'!$D$4:$D$26,MATCH($H1101,'CAT_ACTIVIDADES'!$A$4:$A$26,0)),""))=""),"SIN CLASIFICAR",IFERROR(INDEX('CAT_ACTIVIDADES'!$D$4:$D$26,MATCH($H1101,'CAT_ACTIVIDADES'!$A$4:$A$26,0)),"")))</f>
        <v/>
      </c>
      <c r="AP1101" s="4" t="n"/>
      <c r="AQ1101" s="4" t="n"/>
      <c r="AR1101" s="4" t="n"/>
      <c r="AS1101" s="24">
        <f>IF($AR1101="","",HYPERLINK(p_ruta_base_checklists&amp;$AR1101,"abrir"))</f>
        <v/>
      </c>
      <c r="AT1101" s="4" t="n"/>
      <c r="AU1101" s="24">
        <f>IF($A1101="","",$A1101&amp;IF($B1101="","0010",$B1101))</f>
        <v/>
      </c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41" t="n"/>
      <c r="K1102" s="5" t="n"/>
      <c r="L1102" s="18" t="n"/>
      <c r="M1102" s="24">
        <f>IF($A1102="","",IFERROR(INDEX('AJUSTES'!$B$4:$B$303,MATCH($AU1102,'AJUSTES'!$A$4:$A$303,0)),IF($K1102="","",$K1102)))</f>
        <v/>
      </c>
      <c r="N1102" s="24">
        <f>IF($A1102="","",IFERROR(INDEX('CAT_ESTADOS_ERP'!$B$4:$B$22,MATCH(IFERROR(INDEX('2_IMPORTAR_EJECUCION'!$C$9:$C$1208,MATCH($AU1102,'2_IMPORTAR_EJECUCION'!$J$9:$J$1208,0)),""),'CAT_ESTADOS_ERP'!$A$4:$A$22,0)),"Pendiente"))</f>
        <v/>
      </c>
      <c r="O1102" s="24">
        <f>IF($J1102="","",YEAR($J1102+4-WEEKDAY($J1102,2))&amp;"-S"&amp;TEXT(_xlfn.ISOWEEKNUM($J1102),"00"))</f>
        <v/>
      </c>
      <c r="P1102" s="24">
        <f>IF($J1102="","",YEAR($J1102))</f>
        <v/>
      </c>
      <c r="Q1102" s="24">
        <f>IF($J1102="","",MONTH($J1102))</f>
        <v/>
      </c>
      <c r="R1102" s="24">
        <f>IF($J1102="","",$P1102&amp;"-"&amp;TEXT($Q1102,"00"))</f>
        <v/>
      </c>
      <c r="S1102" s="24">
        <f>IF($J1102="","",INDEX(lista_dias,WEEKDAY($J1102,2)))</f>
        <v/>
      </c>
      <c r="T1102" s="24">
        <f>IF($J1102="","",IFERROR(INDEX('CALENDARIO'!$C$15:$C$214,MATCH(TEXT($J1102,"yyyy-mm-dd")&amp;"|"&amp;$Y1102&amp;"|"&amp;$Z1102,'CALENDARIO'!$G$15:$G$214,0)),IFERROR(INDEX('CALENDARIO'!$C$15:$C$214,MATCH(TEXT($J1102,"yyyy-mm-dd")&amp;"|"&amp;$Y1102&amp;"|",'CALENDARIO'!$G$15:$G$214,0)),IFERROR(INDEX('CALENDARIO'!$C$15:$C$214,MATCH(TEXT($J1102,"yyyy-mm-dd")&amp;"||",'CALENDARIO'!$G$15:$G$214,0)),INDEX(patronHabil,WEEKDAY($J1102,2))))))</f>
        <v/>
      </c>
      <c r="U1102" s="24">
        <f>IF($I1102="","",IFERROR(INDEX('CAT_TIPOS_OT'!$C$4:$C$23,MATCH($I1102,'CAT_TIPOS_OT'!$A$4:$A$23,0)),"sin_clasificar"))</f>
        <v/>
      </c>
      <c r="V1102" s="24">
        <f>IF($I1102="","",IF(IFERROR(INDEX('CAT_TIPOS_OT'!$D$4:$D$23,MATCH($I1102,'CAT_TIPOS_OT'!$A$4:$A$23,0)),"SIN CLASIFICAR")="","SIN CLASIFICAR",IFERROR(INDEX('CAT_TIPOS_OT'!$D$4:$D$23,MATCH($I1102,'CAT_TIPOS_OT'!$A$4:$A$23,0)),"SIN CLASIFICAR")))</f>
        <v/>
      </c>
      <c r="W1102" s="24">
        <f>IF($H1102="","",IF(IFERROR(INDEX('CAT_ACTIVIDADES'!$F$4:$F$26,MATCH($H1102,'CAT_ACTIVIDADES'!$A$4:$A$26,0)),"")=0,"",IFERROR(INDEX('CAT_ACTIVIDADES'!$F$4:$F$26,MATCH($H1102,'CAT_ACTIVIDADES'!$A$4:$A$26,0)),"")))</f>
        <v/>
      </c>
      <c r="X1102" s="24">
        <f>IF($F1102="","",IFERROR(INDEX('CAT_CENTROS_COSTO'!$F$4:$F$28,MATCH($F1102,'CAT_CENTROS_COSTO'!$A$4:$A$28,0)),"(sin catálogo)"))</f>
        <v/>
      </c>
      <c r="Y1102" s="24">
        <f>IF($F1102="","",IFERROR(INDEX('CAT_CENTROS_COSTO'!$D$4:$D$28,MATCH($F1102,'CAT_CENTROS_COSTO'!$A$4:$A$28,0)),"(sin catálogo)"))</f>
        <v/>
      </c>
      <c r="Z1102" s="24">
        <f>IF($F1102="","",IF((IFERROR(INDEX('CAT_CENTROS_COSTO'!$E$4:$E$28,MATCH($F1102,'CAT_CENTROS_COSTO'!$A$4:$A$28,0)),""))&lt;&gt;"",IFERROR(INDEX('CAT_CENTROS_COSTO'!$E$4:$E$28,MATCH($F1102,'CAT_CENTROS_COSTO'!$A$4:$A$28,0)),""),$Y1102))</f>
        <v/>
      </c>
      <c r="AA1102" s="24">
        <f>IF($F1102="","",IFERROR(INDEX('CAT_CENTROS_COSTO'!$G$4:$G$28,MATCH($F1102,'CAT_CENTROS_COSTO'!$A$4:$A$28,0)),"(sin catálogo)"))</f>
        <v/>
      </c>
      <c r="AB1102" s="24">
        <f>IF($G1102="","",IFERROR(INDEX('CAT_PUESTOS'!$B$4:$B$23,MATCH($G1102,'CAT_PUESTOS'!$A$4:$A$23,0)),"(sin catálogo)"))</f>
        <v/>
      </c>
      <c r="AC1102" s="24">
        <f>IF($H1102="","",IFERROR(INDEX('CAT_ACTIVIDADES'!$B$4:$B$26,MATCH($H1102,'CAT_ACTIVIDADES'!$A$4:$A$26,0)),"(sin catálogo)"))</f>
        <v/>
      </c>
      <c r="AD1102" s="26">
        <f>IF($J1102="","",TODAY()-$J1102)</f>
        <v/>
      </c>
      <c r="AE1102" s="26">
        <f>IF($J1102="","",IF($J1102&lt;=TODAY(),COUNTIFS(cal_fechas,"&gt;="&amp;$J1102,cal_fechas,"&lt;"&amp;TODAY(),cal_habil,"sí"),-COUNTIFS(cal_fechas,"&gt;="&amp;TODAY(),cal_fechas,"&lt;"&amp;$J1102,cal_habil,"sí")))</f>
        <v/>
      </c>
      <c r="AF1102" s="24">
        <f>IF($AE1102="","",IF($AE1102&lt;0,"FUTURO",IF($AE1102&gt;p_dias_backlog_max,"BACKLOG","MES CORRIENTE")))</f>
        <v/>
      </c>
      <c r="AG1102" s="24">
        <f>IF($AE1102="",FALSE,AND($AE1102&gt;p_dias_backlog_min,$AE1102&lt;=p_dias_backlog_max))</f>
        <v/>
      </c>
      <c r="AH1102" s="4" t="n"/>
      <c r="AI1102" s="24">
        <f>IF($AH1102="","",IF((IFERROR(INDEX('ASIGNACIONES'!$J$4:$J$451,MATCH($O1102&amp;"|"&amp;$S1102&amp;"|"&amp;$AH1102,'ASIGNACIONES'!$N$4:$N$451,0)),""))=0,"",IFERROR(INDEX('ASIGNACIONES'!$J$4:$J$451,MATCH($O1102&amp;"|"&amp;$S1102&amp;"|"&amp;$AH1102,'ASIGNACIONES'!$N$4:$N$451,0)),"")))</f>
        <v/>
      </c>
      <c r="AJ1102" s="42">
        <f>IF($AH1102="","",SUMIFS('ORDENES'!$M$4:$M$1203,'ORDENES'!$AH$4:$AH$1203,$AH1102,'ORDENES'!$O$4:$O$1203,$O1102,'ORDENES'!$S$4:$S$1203,$S1102))</f>
        <v/>
      </c>
      <c r="AK1102" s="42">
        <f>IF($AJ1102="","",p_factor_productividad*IFERROR(INDEX('ASIGNACIONES'!$M$4:$M$451,MATCH($O1102&amp;"|"&amp;$S1102&amp;"|"&amp;$AH1102,'ASIGNACIONES'!$N$4:$N$451,0)),0)-$AJ1102)</f>
        <v/>
      </c>
      <c r="AL1102" s="32">
        <f>IF($A1102="","",IFERROR(INDEX('2_IMPORTAR_EJECUCION'!$F$9:$F$1208,MATCH($AU1102,'2_IMPORTAR_EJECUCION'!$J$9:$J$1208,0)),0))</f>
        <v/>
      </c>
      <c r="AM1102" s="32">
        <f>IF($A1102="","",MAX(0,IFERROR(INDEX('2_IMPORTAR_EJECUCION'!$H$9:$H$1208,MATCH($AU1102,'2_IMPORTAR_EJECUCION'!$J$9:$J$1208,0)),0)-$AL1102))</f>
        <v/>
      </c>
      <c r="AN1102" s="32">
        <f>IF($A1102="","",$AL1102+$AM1102)</f>
        <v/>
      </c>
      <c r="AO1102" s="24">
        <f>IF($A1102="","",IF(OR((IFERROR(INDEX('CAT_ACTIVIDADES'!$D$4:$D$26,MATCH($H1102,'CAT_ACTIVIDADES'!$A$4:$A$26,0)),""))=0,(IFERROR(INDEX('CAT_ACTIVIDADES'!$D$4:$D$26,MATCH($H1102,'CAT_ACTIVIDADES'!$A$4:$A$26,0)),""))=""),"SIN CLASIFICAR",IFERROR(INDEX('CAT_ACTIVIDADES'!$D$4:$D$26,MATCH($H1102,'CAT_ACTIVIDADES'!$A$4:$A$26,0)),"")))</f>
        <v/>
      </c>
      <c r="AP1102" s="4" t="n"/>
      <c r="AQ1102" s="4" t="n"/>
      <c r="AR1102" s="4" t="n"/>
      <c r="AS1102" s="24">
        <f>IF($AR1102="","",HYPERLINK(p_ruta_base_checklists&amp;$AR1102,"abrir"))</f>
        <v/>
      </c>
      <c r="AT1102" s="4" t="n"/>
      <c r="AU1102" s="24">
        <f>IF($A1102="","",$A1102&amp;IF($B1102="","0010",$B1102))</f>
        <v/>
      </c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41" t="n"/>
      <c r="K1103" s="5" t="n"/>
      <c r="L1103" s="18" t="n"/>
      <c r="M1103" s="24">
        <f>IF($A1103="","",IFERROR(INDEX('AJUSTES'!$B$4:$B$303,MATCH($AU1103,'AJUSTES'!$A$4:$A$303,0)),IF($K1103="","",$K1103)))</f>
        <v/>
      </c>
      <c r="N1103" s="24">
        <f>IF($A1103="","",IFERROR(INDEX('CAT_ESTADOS_ERP'!$B$4:$B$22,MATCH(IFERROR(INDEX('2_IMPORTAR_EJECUCION'!$C$9:$C$1208,MATCH($AU1103,'2_IMPORTAR_EJECUCION'!$J$9:$J$1208,0)),""),'CAT_ESTADOS_ERP'!$A$4:$A$22,0)),"Pendiente"))</f>
        <v/>
      </c>
      <c r="O1103" s="24">
        <f>IF($J1103="","",YEAR($J1103+4-WEEKDAY($J1103,2))&amp;"-S"&amp;TEXT(_xlfn.ISOWEEKNUM($J1103),"00"))</f>
        <v/>
      </c>
      <c r="P1103" s="24">
        <f>IF($J1103="","",YEAR($J1103))</f>
        <v/>
      </c>
      <c r="Q1103" s="24">
        <f>IF($J1103="","",MONTH($J1103))</f>
        <v/>
      </c>
      <c r="R1103" s="24">
        <f>IF($J1103="","",$P1103&amp;"-"&amp;TEXT($Q1103,"00"))</f>
        <v/>
      </c>
      <c r="S1103" s="24">
        <f>IF($J1103="","",INDEX(lista_dias,WEEKDAY($J1103,2)))</f>
        <v/>
      </c>
      <c r="T1103" s="24">
        <f>IF($J1103="","",IFERROR(INDEX('CALENDARIO'!$C$15:$C$214,MATCH(TEXT($J1103,"yyyy-mm-dd")&amp;"|"&amp;$Y1103&amp;"|"&amp;$Z1103,'CALENDARIO'!$G$15:$G$214,0)),IFERROR(INDEX('CALENDARIO'!$C$15:$C$214,MATCH(TEXT($J1103,"yyyy-mm-dd")&amp;"|"&amp;$Y1103&amp;"|",'CALENDARIO'!$G$15:$G$214,0)),IFERROR(INDEX('CALENDARIO'!$C$15:$C$214,MATCH(TEXT($J1103,"yyyy-mm-dd")&amp;"||",'CALENDARIO'!$G$15:$G$214,0)),INDEX(patronHabil,WEEKDAY($J1103,2))))))</f>
        <v/>
      </c>
      <c r="U1103" s="24">
        <f>IF($I1103="","",IFERROR(INDEX('CAT_TIPOS_OT'!$C$4:$C$23,MATCH($I1103,'CAT_TIPOS_OT'!$A$4:$A$23,0)),"sin_clasificar"))</f>
        <v/>
      </c>
      <c r="V1103" s="24">
        <f>IF($I1103="","",IF(IFERROR(INDEX('CAT_TIPOS_OT'!$D$4:$D$23,MATCH($I1103,'CAT_TIPOS_OT'!$A$4:$A$23,0)),"SIN CLASIFICAR")="","SIN CLASIFICAR",IFERROR(INDEX('CAT_TIPOS_OT'!$D$4:$D$23,MATCH($I1103,'CAT_TIPOS_OT'!$A$4:$A$23,0)),"SIN CLASIFICAR")))</f>
        <v/>
      </c>
      <c r="W1103" s="24">
        <f>IF($H1103="","",IF(IFERROR(INDEX('CAT_ACTIVIDADES'!$F$4:$F$26,MATCH($H1103,'CAT_ACTIVIDADES'!$A$4:$A$26,0)),"")=0,"",IFERROR(INDEX('CAT_ACTIVIDADES'!$F$4:$F$26,MATCH($H1103,'CAT_ACTIVIDADES'!$A$4:$A$26,0)),"")))</f>
        <v/>
      </c>
      <c r="X1103" s="24">
        <f>IF($F1103="","",IFERROR(INDEX('CAT_CENTROS_COSTO'!$F$4:$F$28,MATCH($F1103,'CAT_CENTROS_COSTO'!$A$4:$A$28,0)),"(sin catálogo)"))</f>
        <v/>
      </c>
      <c r="Y1103" s="24">
        <f>IF($F1103="","",IFERROR(INDEX('CAT_CENTROS_COSTO'!$D$4:$D$28,MATCH($F1103,'CAT_CENTROS_COSTO'!$A$4:$A$28,0)),"(sin catálogo)"))</f>
        <v/>
      </c>
      <c r="Z1103" s="24">
        <f>IF($F1103="","",IF((IFERROR(INDEX('CAT_CENTROS_COSTO'!$E$4:$E$28,MATCH($F1103,'CAT_CENTROS_COSTO'!$A$4:$A$28,0)),""))&lt;&gt;"",IFERROR(INDEX('CAT_CENTROS_COSTO'!$E$4:$E$28,MATCH($F1103,'CAT_CENTROS_COSTO'!$A$4:$A$28,0)),""),$Y1103))</f>
        <v/>
      </c>
      <c r="AA1103" s="24">
        <f>IF($F1103="","",IFERROR(INDEX('CAT_CENTROS_COSTO'!$G$4:$G$28,MATCH($F1103,'CAT_CENTROS_COSTO'!$A$4:$A$28,0)),"(sin catálogo)"))</f>
        <v/>
      </c>
      <c r="AB1103" s="24">
        <f>IF($G1103="","",IFERROR(INDEX('CAT_PUESTOS'!$B$4:$B$23,MATCH($G1103,'CAT_PUESTOS'!$A$4:$A$23,0)),"(sin catálogo)"))</f>
        <v/>
      </c>
      <c r="AC1103" s="24">
        <f>IF($H1103="","",IFERROR(INDEX('CAT_ACTIVIDADES'!$B$4:$B$26,MATCH($H1103,'CAT_ACTIVIDADES'!$A$4:$A$26,0)),"(sin catálogo)"))</f>
        <v/>
      </c>
      <c r="AD1103" s="26">
        <f>IF($J1103="","",TODAY()-$J1103)</f>
        <v/>
      </c>
      <c r="AE1103" s="26">
        <f>IF($J1103="","",IF($J1103&lt;=TODAY(),COUNTIFS(cal_fechas,"&gt;="&amp;$J1103,cal_fechas,"&lt;"&amp;TODAY(),cal_habil,"sí"),-COUNTIFS(cal_fechas,"&gt;="&amp;TODAY(),cal_fechas,"&lt;"&amp;$J1103,cal_habil,"sí")))</f>
        <v/>
      </c>
      <c r="AF1103" s="24">
        <f>IF($AE1103="","",IF($AE1103&lt;0,"FUTURO",IF($AE1103&gt;p_dias_backlog_max,"BACKLOG","MES CORRIENTE")))</f>
        <v/>
      </c>
      <c r="AG1103" s="24">
        <f>IF($AE1103="",FALSE,AND($AE1103&gt;p_dias_backlog_min,$AE1103&lt;=p_dias_backlog_max))</f>
        <v/>
      </c>
      <c r="AH1103" s="4" t="n"/>
      <c r="AI1103" s="24">
        <f>IF($AH1103="","",IF((IFERROR(INDEX('ASIGNACIONES'!$J$4:$J$451,MATCH($O1103&amp;"|"&amp;$S1103&amp;"|"&amp;$AH1103,'ASIGNACIONES'!$N$4:$N$451,0)),""))=0,"",IFERROR(INDEX('ASIGNACIONES'!$J$4:$J$451,MATCH($O1103&amp;"|"&amp;$S1103&amp;"|"&amp;$AH1103,'ASIGNACIONES'!$N$4:$N$451,0)),"")))</f>
        <v/>
      </c>
      <c r="AJ1103" s="42">
        <f>IF($AH1103="","",SUMIFS('ORDENES'!$M$4:$M$1203,'ORDENES'!$AH$4:$AH$1203,$AH1103,'ORDENES'!$O$4:$O$1203,$O1103,'ORDENES'!$S$4:$S$1203,$S1103))</f>
        <v/>
      </c>
      <c r="AK1103" s="42">
        <f>IF($AJ1103="","",p_factor_productividad*IFERROR(INDEX('ASIGNACIONES'!$M$4:$M$451,MATCH($O1103&amp;"|"&amp;$S1103&amp;"|"&amp;$AH1103,'ASIGNACIONES'!$N$4:$N$451,0)),0)-$AJ1103)</f>
        <v/>
      </c>
      <c r="AL1103" s="32">
        <f>IF($A1103="","",IFERROR(INDEX('2_IMPORTAR_EJECUCION'!$F$9:$F$1208,MATCH($AU1103,'2_IMPORTAR_EJECUCION'!$J$9:$J$1208,0)),0))</f>
        <v/>
      </c>
      <c r="AM1103" s="32">
        <f>IF($A1103="","",MAX(0,IFERROR(INDEX('2_IMPORTAR_EJECUCION'!$H$9:$H$1208,MATCH($AU1103,'2_IMPORTAR_EJECUCION'!$J$9:$J$1208,0)),0)-$AL1103))</f>
        <v/>
      </c>
      <c r="AN1103" s="32">
        <f>IF($A1103="","",$AL1103+$AM1103)</f>
        <v/>
      </c>
      <c r="AO1103" s="24">
        <f>IF($A1103="","",IF(OR((IFERROR(INDEX('CAT_ACTIVIDADES'!$D$4:$D$26,MATCH($H1103,'CAT_ACTIVIDADES'!$A$4:$A$26,0)),""))=0,(IFERROR(INDEX('CAT_ACTIVIDADES'!$D$4:$D$26,MATCH($H1103,'CAT_ACTIVIDADES'!$A$4:$A$26,0)),""))=""),"SIN CLASIFICAR",IFERROR(INDEX('CAT_ACTIVIDADES'!$D$4:$D$26,MATCH($H1103,'CAT_ACTIVIDADES'!$A$4:$A$26,0)),"")))</f>
        <v/>
      </c>
      <c r="AP1103" s="4" t="n"/>
      <c r="AQ1103" s="4" t="n"/>
      <c r="AR1103" s="4" t="n"/>
      <c r="AS1103" s="24">
        <f>IF($AR1103="","",HYPERLINK(p_ruta_base_checklists&amp;$AR1103,"abrir"))</f>
        <v/>
      </c>
      <c r="AT1103" s="4" t="n"/>
      <c r="AU1103" s="24">
        <f>IF($A1103="","",$A1103&amp;IF($B1103="","0010",$B1103))</f>
        <v/>
      </c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41" t="n"/>
      <c r="K1104" s="5" t="n"/>
      <c r="L1104" s="18" t="n"/>
      <c r="M1104" s="24">
        <f>IF($A1104="","",IFERROR(INDEX('AJUSTES'!$B$4:$B$303,MATCH($AU1104,'AJUSTES'!$A$4:$A$303,0)),IF($K1104="","",$K1104)))</f>
        <v/>
      </c>
      <c r="N1104" s="24">
        <f>IF($A1104="","",IFERROR(INDEX('CAT_ESTADOS_ERP'!$B$4:$B$22,MATCH(IFERROR(INDEX('2_IMPORTAR_EJECUCION'!$C$9:$C$1208,MATCH($AU1104,'2_IMPORTAR_EJECUCION'!$J$9:$J$1208,0)),""),'CAT_ESTADOS_ERP'!$A$4:$A$22,0)),"Pendiente"))</f>
        <v/>
      </c>
      <c r="O1104" s="24">
        <f>IF($J1104="","",YEAR($J1104+4-WEEKDAY($J1104,2))&amp;"-S"&amp;TEXT(_xlfn.ISOWEEKNUM($J1104),"00"))</f>
        <v/>
      </c>
      <c r="P1104" s="24">
        <f>IF($J1104="","",YEAR($J1104))</f>
        <v/>
      </c>
      <c r="Q1104" s="24">
        <f>IF($J1104="","",MONTH($J1104))</f>
        <v/>
      </c>
      <c r="R1104" s="24">
        <f>IF($J1104="","",$P1104&amp;"-"&amp;TEXT($Q1104,"00"))</f>
        <v/>
      </c>
      <c r="S1104" s="24">
        <f>IF($J1104="","",INDEX(lista_dias,WEEKDAY($J1104,2)))</f>
        <v/>
      </c>
      <c r="T1104" s="24">
        <f>IF($J1104="","",IFERROR(INDEX('CALENDARIO'!$C$15:$C$214,MATCH(TEXT($J1104,"yyyy-mm-dd")&amp;"|"&amp;$Y1104&amp;"|"&amp;$Z1104,'CALENDARIO'!$G$15:$G$214,0)),IFERROR(INDEX('CALENDARIO'!$C$15:$C$214,MATCH(TEXT($J1104,"yyyy-mm-dd")&amp;"|"&amp;$Y1104&amp;"|",'CALENDARIO'!$G$15:$G$214,0)),IFERROR(INDEX('CALENDARIO'!$C$15:$C$214,MATCH(TEXT($J1104,"yyyy-mm-dd")&amp;"||",'CALENDARIO'!$G$15:$G$214,0)),INDEX(patronHabil,WEEKDAY($J1104,2))))))</f>
        <v/>
      </c>
      <c r="U1104" s="24">
        <f>IF($I1104="","",IFERROR(INDEX('CAT_TIPOS_OT'!$C$4:$C$23,MATCH($I1104,'CAT_TIPOS_OT'!$A$4:$A$23,0)),"sin_clasificar"))</f>
        <v/>
      </c>
      <c r="V1104" s="24">
        <f>IF($I1104="","",IF(IFERROR(INDEX('CAT_TIPOS_OT'!$D$4:$D$23,MATCH($I1104,'CAT_TIPOS_OT'!$A$4:$A$23,0)),"SIN CLASIFICAR")="","SIN CLASIFICAR",IFERROR(INDEX('CAT_TIPOS_OT'!$D$4:$D$23,MATCH($I1104,'CAT_TIPOS_OT'!$A$4:$A$23,0)),"SIN CLASIFICAR")))</f>
        <v/>
      </c>
      <c r="W1104" s="24">
        <f>IF($H1104="","",IF(IFERROR(INDEX('CAT_ACTIVIDADES'!$F$4:$F$26,MATCH($H1104,'CAT_ACTIVIDADES'!$A$4:$A$26,0)),"")=0,"",IFERROR(INDEX('CAT_ACTIVIDADES'!$F$4:$F$26,MATCH($H1104,'CAT_ACTIVIDADES'!$A$4:$A$26,0)),"")))</f>
        <v/>
      </c>
      <c r="X1104" s="24">
        <f>IF($F1104="","",IFERROR(INDEX('CAT_CENTROS_COSTO'!$F$4:$F$28,MATCH($F1104,'CAT_CENTROS_COSTO'!$A$4:$A$28,0)),"(sin catálogo)"))</f>
        <v/>
      </c>
      <c r="Y1104" s="24">
        <f>IF($F1104="","",IFERROR(INDEX('CAT_CENTROS_COSTO'!$D$4:$D$28,MATCH($F1104,'CAT_CENTROS_COSTO'!$A$4:$A$28,0)),"(sin catálogo)"))</f>
        <v/>
      </c>
      <c r="Z1104" s="24">
        <f>IF($F1104="","",IF((IFERROR(INDEX('CAT_CENTROS_COSTO'!$E$4:$E$28,MATCH($F1104,'CAT_CENTROS_COSTO'!$A$4:$A$28,0)),""))&lt;&gt;"",IFERROR(INDEX('CAT_CENTROS_COSTO'!$E$4:$E$28,MATCH($F1104,'CAT_CENTROS_COSTO'!$A$4:$A$28,0)),""),$Y1104))</f>
        <v/>
      </c>
      <c r="AA1104" s="24">
        <f>IF($F1104="","",IFERROR(INDEX('CAT_CENTROS_COSTO'!$G$4:$G$28,MATCH($F1104,'CAT_CENTROS_COSTO'!$A$4:$A$28,0)),"(sin catálogo)"))</f>
        <v/>
      </c>
      <c r="AB1104" s="24">
        <f>IF($G1104="","",IFERROR(INDEX('CAT_PUESTOS'!$B$4:$B$23,MATCH($G1104,'CAT_PUESTOS'!$A$4:$A$23,0)),"(sin catálogo)"))</f>
        <v/>
      </c>
      <c r="AC1104" s="24">
        <f>IF($H1104="","",IFERROR(INDEX('CAT_ACTIVIDADES'!$B$4:$B$26,MATCH($H1104,'CAT_ACTIVIDADES'!$A$4:$A$26,0)),"(sin catálogo)"))</f>
        <v/>
      </c>
      <c r="AD1104" s="26">
        <f>IF($J1104="","",TODAY()-$J1104)</f>
        <v/>
      </c>
      <c r="AE1104" s="26">
        <f>IF($J1104="","",IF($J1104&lt;=TODAY(),COUNTIFS(cal_fechas,"&gt;="&amp;$J1104,cal_fechas,"&lt;"&amp;TODAY(),cal_habil,"sí"),-COUNTIFS(cal_fechas,"&gt;="&amp;TODAY(),cal_fechas,"&lt;"&amp;$J1104,cal_habil,"sí")))</f>
        <v/>
      </c>
      <c r="AF1104" s="24">
        <f>IF($AE1104="","",IF($AE1104&lt;0,"FUTURO",IF($AE1104&gt;p_dias_backlog_max,"BACKLOG","MES CORRIENTE")))</f>
        <v/>
      </c>
      <c r="AG1104" s="24">
        <f>IF($AE1104="",FALSE,AND($AE1104&gt;p_dias_backlog_min,$AE1104&lt;=p_dias_backlog_max))</f>
        <v/>
      </c>
      <c r="AH1104" s="4" t="n"/>
      <c r="AI1104" s="24">
        <f>IF($AH1104="","",IF((IFERROR(INDEX('ASIGNACIONES'!$J$4:$J$451,MATCH($O1104&amp;"|"&amp;$S1104&amp;"|"&amp;$AH1104,'ASIGNACIONES'!$N$4:$N$451,0)),""))=0,"",IFERROR(INDEX('ASIGNACIONES'!$J$4:$J$451,MATCH($O1104&amp;"|"&amp;$S1104&amp;"|"&amp;$AH1104,'ASIGNACIONES'!$N$4:$N$451,0)),"")))</f>
        <v/>
      </c>
      <c r="AJ1104" s="42">
        <f>IF($AH1104="","",SUMIFS('ORDENES'!$M$4:$M$1203,'ORDENES'!$AH$4:$AH$1203,$AH1104,'ORDENES'!$O$4:$O$1203,$O1104,'ORDENES'!$S$4:$S$1203,$S1104))</f>
        <v/>
      </c>
      <c r="AK1104" s="42">
        <f>IF($AJ1104="","",p_factor_productividad*IFERROR(INDEX('ASIGNACIONES'!$M$4:$M$451,MATCH($O1104&amp;"|"&amp;$S1104&amp;"|"&amp;$AH1104,'ASIGNACIONES'!$N$4:$N$451,0)),0)-$AJ1104)</f>
        <v/>
      </c>
      <c r="AL1104" s="32">
        <f>IF($A1104="","",IFERROR(INDEX('2_IMPORTAR_EJECUCION'!$F$9:$F$1208,MATCH($AU1104,'2_IMPORTAR_EJECUCION'!$J$9:$J$1208,0)),0))</f>
        <v/>
      </c>
      <c r="AM1104" s="32">
        <f>IF($A1104="","",MAX(0,IFERROR(INDEX('2_IMPORTAR_EJECUCION'!$H$9:$H$1208,MATCH($AU1104,'2_IMPORTAR_EJECUCION'!$J$9:$J$1208,0)),0)-$AL1104))</f>
        <v/>
      </c>
      <c r="AN1104" s="32">
        <f>IF($A1104="","",$AL1104+$AM1104)</f>
        <v/>
      </c>
      <c r="AO1104" s="24">
        <f>IF($A1104="","",IF(OR((IFERROR(INDEX('CAT_ACTIVIDADES'!$D$4:$D$26,MATCH($H1104,'CAT_ACTIVIDADES'!$A$4:$A$26,0)),""))=0,(IFERROR(INDEX('CAT_ACTIVIDADES'!$D$4:$D$26,MATCH($H1104,'CAT_ACTIVIDADES'!$A$4:$A$26,0)),""))=""),"SIN CLASIFICAR",IFERROR(INDEX('CAT_ACTIVIDADES'!$D$4:$D$26,MATCH($H1104,'CAT_ACTIVIDADES'!$A$4:$A$26,0)),"")))</f>
        <v/>
      </c>
      <c r="AP1104" s="4" t="n"/>
      <c r="AQ1104" s="4" t="n"/>
      <c r="AR1104" s="4" t="n"/>
      <c r="AS1104" s="24">
        <f>IF($AR1104="","",HYPERLINK(p_ruta_base_checklists&amp;$AR1104,"abrir"))</f>
        <v/>
      </c>
      <c r="AT1104" s="4" t="n"/>
      <c r="AU1104" s="24">
        <f>IF($A1104="","",$A1104&amp;IF($B1104="","0010",$B1104))</f>
        <v/>
      </c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41" t="n"/>
      <c r="K1105" s="5" t="n"/>
      <c r="L1105" s="18" t="n"/>
      <c r="M1105" s="24">
        <f>IF($A1105="","",IFERROR(INDEX('AJUSTES'!$B$4:$B$303,MATCH($AU1105,'AJUSTES'!$A$4:$A$303,0)),IF($K1105="","",$K1105)))</f>
        <v/>
      </c>
      <c r="N1105" s="24">
        <f>IF($A1105="","",IFERROR(INDEX('CAT_ESTADOS_ERP'!$B$4:$B$22,MATCH(IFERROR(INDEX('2_IMPORTAR_EJECUCION'!$C$9:$C$1208,MATCH($AU1105,'2_IMPORTAR_EJECUCION'!$J$9:$J$1208,0)),""),'CAT_ESTADOS_ERP'!$A$4:$A$22,0)),"Pendiente"))</f>
        <v/>
      </c>
      <c r="O1105" s="24">
        <f>IF($J1105="","",YEAR($J1105+4-WEEKDAY($J1105,2))&amp;"-S"&amp;TEXT(_xlfn.ISOWEEKNUM($J1105),"00"))</f>
        <v/>
      </c>
      <c r="P1105" s="24">
        <f>IF($J1105="","",YEAR($J1105))</f>
        <v/>
      </c>
      <c r="Q1105" s="24">
        <f>IF($J1105="","",MONTH($J1105))</f>
        <v/>
      </c>
      <c r="R1105" s="24">
        <f>IF($J1105="","",$P1105&amp;"-"&amp;TEXT($Q1105,"00"))</f>
        <v/>
      </c>
      <c r="S1105" s="24">
        <f>IF($J1105="","",INDEX(lista_dias,WEEKDAY($J1105,2)))</f>
        <v/>
      </c>
      <c r="T1105" s="24">
        <f>IF($J1105="","",IFERROR(INDEX('CALENDARIO'!$C$15:$C$214,MATCH(TEXT($J1105,"yyyy-mm-dd")&amp;"|"&amp;$Y1105&amp;"|"&amp;$Z1105,'CALENDARIO'!$G$15:$G$214,0)),IFERROR(INDEX('CALENDARIO'!$C$15:$C$214,MATCH(TEXT($J1105,"yyyy-mm-dd")&amp;"|"&amp;$Y1105&amp;"|",'CALENDARIO'!$G$15:$G$214,0)),IFERROR(INDEX('CALENDARIO'!$C$15:$C$214,MATCH(TEXT($J1105,"yyyy-mm-dd")&amp;"||",'CALENDARIO'!$G$15:$G$214,0)),INDEX(patronHabil,WEEKDAY($J1105,2))))))</f>
        <v/>
      </c>
      <c r="U1105" s="24">
        <f>IF($I1105="","",IFERROR(INDEX('CAT_TIPOS_OT'!$C$4:$C$23,MATCH($I1105,'CAT_TIPOS_OT'!$A$4:$A$23,0)),"sin_clasificar"))</f>
        <v/>
      </c>
      <c r="V1105" s="24">
        <f>IF($I1105="","",IF(IFERROR(INDEX('CAT_TIPOS_OT'!$D$4:$D$23,MATCH($I1105,'CAT_TIPOS_OT'!$A$4:$A$23,0)),"SIN CLASIFICAR")="","SIN CLASIFICAR",IFERROR(INDEX('CAT_TIPOS_OT'!$D$4:$D$23,MATCH($I1105,'CAT_TIPOS_OT'!$A$4:$A$23,0)),"SIN CLASIFICAR")))</f>
        <v/>
      </c>
      <c r="W1105" s="24">
        <f>IF($H1105="","",IF(IFERROR(INDEX('CAT_ACTIVIDADES'!$F$4:$F$26,MATCH($H1105,'CAT_ACTIVIDADES'!$A$4:$A$26,0)),"")=0,"",IFERROR(INDEX('CAT_ACTIVIDADES'!$F$4:$F$26,MATCH($H1105,'CAT_ACTIVIDADES'!$A$4:$A$26,0)),"")))</f>
        <v/>
      </c>
      <c r="X1105" s="24">
        <f>IF($F1105="","",IFERROR(INDEX('CAT_CENTROS_COSTO'!$F$4:$F$28,MATCH($F1105,'CAT_CENTROS_COSTO'!$A$4:$A$28,0)),"(sin catálogo)"))</f>
        <v/>
      </c>
      <c r="Y1105" s="24">
        <f>IF($F1105="","",IFERROR(INDEX('CAT_CENTROS_COSTO'!$D$4:$D$28,MATCH($F1105,'CAT_CENTROS_COSTO'!$A$4:$A$28,0)),"(sin catálogo)"))</f>
        <v/>
      </c>
      <c r="Z1105" s="24">
        <f>IF($F1105="","",IF((IFERROR(INDEX('CAT_CENTROS_COSTO'!$E$4:$E$28,MATCH($F1105,'CAT_CENTROS_COSTO'!$A$4:$A$28,0)),""))&lt;&gt;"",IFERROR(INDEX('CAT_CENTROS_COSTO'!$E$4:$E$28,MATCH($F1105,'CAT_CENTROS_COSTO'!$A$4:$A$28,0)),""),$Y1105))</f>
        <v/>
      </c>
      <c r="AA1105" s="24">
        <f>IF($F1105="","",IFERROR(INDEX('CAT_CENTROS_COSTO'!$G$4:$G$28,MATCH($F1105,'CAT_CENTROS_COSTO'!$A$4:$A$28,0)),"(sin catálogo)"))</f>
        <v/>
      </c>
      <c r="AB1105" s="24">
        <f>IF($G1105="","",IFERROR(INDEX('CAT_PUESTOS'!$B$4:$B$23,MATCH($G1105,'CAT_PUESTOS'!$A$4:$A$23,0)),"(sin catálogo)"))</f>
        <v/>
      </c>
      <c r="AC1105" s="24">
        <f>IF($H1105="","",IFERROR(INDEX('CAT_ACTIVIDADES'!$B$4:$B$26,MATCH($H1105,'CAT_ACTIVIDADES'!$A$4:$A$26,0)),"(sin catálogo)"))</f>
        <v/>
      </c>
      <c r="AD1105" s="26">
        <f>IF($J1105="","",TODAY()-$J1105)</f>
        <v/>
      </c>
      <c r="AE1105" s="26">
        <f>IF($J1105="","",IF($J1105&lt;=TODAY(),COUNTIFS(cal_fechas,"&gt;="&amp;$J1105,cal_fechas,"&lt;"&amp;TODAY(),cal_habil,"sí"),-COUNTIFS(cal_fechas,"&gt;="&amp;TODAY(),cal_fechas,"&lt;"&amp;$J1105,cal_habil,"sí")))</f>
        <v/>
      </c>
      <c r="AF1105" s="24">
        <f>IF($AE1105="","",IF($AE1105&lt;0,"FUTURO",IF($AE1105&gt;p_dias_backlog_max,"BACKLOG","MES CORRIENTE")))</f>
        <v/>
      </c>
      <c r="AG1105" s="24">
        <f>IF($AE1105="",FALSE,AND($AE1105&gt;p_dias_backlog_min,$AE1105&lt;=p_dias_backlog_max))</f>
        <v/>
      </c>
      <c r="AH1105" s="4" t="n"/>
      <c r="AI1105" s="24">
        <f>IF($AH1105="","",IF((IFERROR(INDEX('ASIGNACIONES'!$J$4:$J$451,MATCH($O1105&amp;"|"&amp;$S1105&amp;"|"&amp;$AH1105,'ASIGNACIONES'!$N$4:$N$451,0)),""))=0,"",IFERROR(INDEX('ASIGNACIONES'!$J$4:$J$451,MATCH($O1105&amp;"|"&amp;$S1105&amp;"|"&amp;$AH1105,'ASIGNACIONES'!$N$4:$N$451,0)),"")))</f>
        <v/>
      </c>
      <c r="AJ1105" s="42">
        <f>IF($AH1105="","",SUMIFS('ORDENES'!$M$4:$M$1203,'ORDENES'!$AH$4:$AH$1203,$AH1105,'ORDENES'!$O$4:$O$1203,$O1105,'ORDENES'!$S$4:$S$1203,$S1105))</f>
        <v/>
      </c>
      <c r="AK1105" s="42">
        <f>IF($AJ1105="","",p_factor_productividad*IFERROR(INDEX('ASIGNACIONES'!$M$4:$M$451,MATCH($O1105&amp;"|"&amp;$S1105&amp;"|"&amp;$AH1105,'ASIGNACIONES'!$N$4:$N$451,0)),0)-$AJ1105)</f>
        <v/>
      </c>
      <c r="AL1105" s="32">
        <f>IF($A1105="","",IFERROR(INDEX('2_IMPORTAR_EJECUCION'!$F$9:$F$1208,MATCH($AU1105,'2_IMPORTAR_EJECUCION'!$J$9:$J$1208,0)),0))</f>
        <v/>
      </c>
      <c r="AM1105" s="32">
        <f>IF($A1105="","",MAX(0,IFERROR(INDEX('2_IMPORTAR_EJECUCION'!$H$9:$H$1208,MATCH($AU1105,'2_IMPORTAR_EJECUCION'!$J$9:$J$1208,0)),0)-$AL1105))</f>
        <v/>
      </c>
      <c r="AN1105" s="32">
        <f>IF($A1105="","",$AL1105+$AM1105)</f>
        <v/>
      </c>
      <c r="AO1105" s="24">
        <f>IF($A1105="","",IF(OR((IFERROR(INDEX('CAT_ACTIVIDADES'!$D$4:$D$26,MATCH($H1105,'CAT_ACTIVIDADES'!$A$4:$A$26,0)),""))=0,(IFERROR(INDEX('CAT_ACTIVIDADES'!$D$4:$D$26,MATCH($H1105,'CAT_ACTIVIDADES'!$A$4:$A$26,0)),""))=""),"SIN CLASIFICAR",IFERROR(INDEX('CAT_ACTIVIDADES'!$D$4:$D$26,MATCH($H1105,'CAT_ACTIVIDADES'!$A$4:$A$26,0)),"")))</f>
        <v/>
      </c>
      <c r="AP1105" s="4" t="n"/>
      <c r="AQ1105" s="4" t="n"/>
      <c r="AR1105" s="4" t="n"/>
      <c r="AS1105" s="24">
        <f>IF($AR1105="","",HYPERLINK(p_ruta_base_checklists&amp;$AR1105,"abrir"))</f>
        <v/>
      </c>
      <c r="AT1105" s="4" t="n"/>
      <c r="AU1105" s="24">
        <f>IF($A1105="","",$A1105&amp;IF($B1105="","0010",$B1105))</f>
        <v/>
      </c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41" t="n"/>
      <c r="K1106" s="5" t="n"/>
      <c r="L1106" s="18" t="n"/>
      <c r="M1106" s="24">
        <f>IF($A1106="","",IFERROR(INDEX('AJUSTES'!$B$4:$B$303,MATCH($AU1106,'AJUSTES'!$A$4:$A$303,0)),IF($K1106="","",$K1106)))</f>
        <v/>
      </c>
      <c r="N1106" s="24">
        <f>IF($A1106="","",IFERROR(INDEX('CAT_ESTADOS_ERP'!$B$4:$B$22,MATCH(IFERROR(INDEX('2_IMPORTAR_EJECUCION'!$C$9:$C$1208,MATCH($AU1106,'2_IMPORTAR_EJECUCION'!$J$9:$J$1208,0)),""),'CAT_ESTADOS_ERP'!$A$4:$A$22,0)),"Pendiente"))</f>
        <v/>
      </c>
      <c r="O1106" s="24">
        <f>IF($J1106="","",YEAR($J1106+4-WEEKDAY($J1106,2))&amp;"-S"&amp;TEXT(_xlfn.ISOWEEKNUM($J1106),"00"))</f>
        <v/>
      </c>
      <c r="P1106" s="24">
        <f>IF($J1106="","",YEAR($J1106))</f>
        <v/>
      </c>
      <c r="Q1106" s="24">
        <f>IF($J1106="","",MONTH($J1106))</f>
        <v/>
      </c>
      <c r="R1106" s="24">
        <f>IF($J1106="","",$P1106&amp;"-"&amp;TEXT($Q1106,"00"))</f>
        <v/>
      </c>
      <c r="S1106" s="24">
        <f>IF($J1106="","",INDEX(lista_dias,WEEKDAY($J1106,2)))</f>
        <v/>
      </c>
      <c r="T1106" s="24">
        <f>IF($J1106="","",IFERROR(INDEX('CALENDARIO'!$C$15:$C$214,MATCH(TEXT($J1106,"yyyy-mm-dd")&amp;"|"&amp;$Y1106&amp;"|"&amp;$Z1106,'CALENDARIO'!$G$15:$G$214,0)),IFERROR(INDEX('CALENDARIO'!$C$15:$C$214,MATCH(TEXT($J1106,"yyyy-mm-dd")&amp;"|"&amp;$Y1106&amp;"|",'CALENDARIO'!$G$15:$G$214,0)),IFERROR(INDEX('CALENDARIO'!$C$15:$C$214,MATCH(TEXT($J1106,"yyyy-mm-dd")&amp;"||",'CALENDARIO'!$G$15:$G$214,0)),INDEX(patronHabil,WEEKDAY($J1106,2))))))</f>
        <v/>
      </c>
      <c r="U1106" s="24">
        <f>IF($I1106="","",IFERROR(INDEX('CAT_TIPOS_OT'!$C$4:$C$23,MATCH($I1106,'CAT_TIPOS_OT'!$A$4:$A$23,0)),"sin_clasificar"))</f>
        <v/>
      </c>
      <c r="V1106" s="24">
        <f>IF($I1106="","",IF(IFERROR(INDEX('CAT_TIPOS_OT'!$D$4:$D$23,MATCH($I1106,'CAT_TIPOS_OT'!$A$4:$A$23,0)),"SIN CLASIFICAR")="","SIN CLASIFICAR",IFERROR(INDEX('CAT_TIPOS_OT'!$D$4:$D$23,MATCH($I1106,'CAT_TIPOS_OT'!$A$4:$A$23,0)),"SIN CLASIFICAR")))</f>
        <v/>
      </c>
      <c r="W1106" s="24">
        <f>IF($H1106="","",IF(IFERROR(INDEX('CAT_ACTIVIDADES'!$F$4:$F$26,MATCH($H1106,'CAT_ACTIVIDADES'!$A$4:$A$26,0)),"")=0,"",IFERROR(INDEX('CAT_ACTIVIDADES'!$F$4:$F$26,MATCH($H1106,'CAT_ACTIVIDADES'!$A$4:$A$26,0)),"")))</f>
        <v/>
      </c>
      <c r="X1106" s="24">
        <f>IF($F1106="","",IFERROR(INDEX('CAT_CENTROS_COSTO'!$F$4:$F$28,MATCH($F1106,'CAT_CENTROS_COSTO'!$A$4:$A$28,0)),"(sin catálogo)"))</f>
        <v/>
      </c>
      <c r="Y1106" s="24">
        <f>IF($F1106="","",IFERROR(INDEX('CAT_CENTROS_COSTO'!$D$4:$D$28,MATCH($F1106,'CAT_CENTROS_COSTO'!$A$4:$A$28,0)),"(sin catálogo)"))</f>
        <v/>
      </c>
      <c r="Z1106" s="24">
        <f>IF($F1106="","",IF((IFERROR(INDEX('CAT_CENTROS_COSTO'!$E$4:$E$28,MATCH($F1106,'CAT_CENTROS_COSTO'!$A$4:$A$28,0)),""))&lt;&gt;"",IFERROR(INDEX('CAT_CENTROS_COSTO'!$E$4:$E$28,MATCH($F1106,'CAT_CENTROS_COSTO'!$A$4:$A$28,0)),""),$Y1106))</f>
        <v/>
      </c>
      <c r="AA1106" s="24">
        <f>IF($F1106="","",IFERROR(INDEX('CAT_CENTROS_COSTO'!$G$4:$G$28,MATCH($F1106,'CAT_CENTROS_COSTO'!$A$4:$A$28,0)),"(sin catálogo)"))</f>
        <v/>
      </c>
      <c r="AB1106" s="24">
        <f>IF($G1106="","",IFERROR(INDEX('CAT_PUESTOS'!$B$4:$B$23,MATCH($G1106,'CAT_PUESTOS'!$A$4:$A$23,0)),"(sin catálogo)"))</f>
        <v/>
      </c>
      <c r="AC1106" s="24">
        <f>IF($H1106="","",IFERROR(INDEX('CAT_ACTIVIDADES'!$B$4:$B$26,MATCH($H1106,'CAT_ACTIVIDADES'!$A$4:$A$26,0)),"(sin catálogo)"))</f>
        <v/>
      </c>
      <c r="AD1106" s="26">
        <f>IF($J1106="","",TODAY()-$J1106)</f>
        <v/>
      </c>
      <c r="AE1106" s="26">
        <f>IF($J1106="","",IF($J1106&lt;=TODAY(),COUNTIFS(cal_fechas,"&gt;="&amp;$J1106,cal_fechas,"&lt;"&amp;TODAY(),cal_habil,"sí"),-COUNTIFS(cal_fechas,"&gt;="&amp;TODAY(),cal_fechas,"&lt;"&amp;$J1106,cal_habil,"sí")))</f>
        <v/>
      </c>
      <c r="AF1106" s="24">
        <f>IF($AE1106="","",IF($AE1106&lt;0,"FUTURO",IF($AE1106&gt;p_dias_backlog_max,"BACKLOG","MES CORRIENTE")))</f>
        <v/>
      </c>
      <c r="AG1106" s="24">
        <f>IF($AE1106="",FALSE,AND($AE1106&gt;p_dias_backlog_min,$AE1106&lt;=p_dias_backlog_max))</f>
        <v/>
      </c>
      <c r="AH1106" s="4" t="n"/>
      <c r="AI1106" s="24">
        <f>IF($AH1106="","",IF((IFERROR(INDEX('ASIGNACIONES'!$J$4:$J$451,MATCH($O1106&amp;"|"&amp;$S1106&amp;"|"&amp;$AH1106,'ASIGNACIONES'!$N$4:$N$451,0)),""))=0,"",IFERROR(INDEX('ASIGNACIONES'!$J$4:$J$451,MATCH($O1106&amp;"|"&amp;$S1106&amp;"|"&amp;$AH1106,'ASIGNACIONES'!$N$4:$N$451,0)),"")))</f>
        <v/>
      </c>
      <c r="AJ1106" s="42">
        <f>IF($AH1106="","",SUMIFS('ORDENES'!$M$4:$M$1203,'ORDENES'!$AH$4:$AH$1203,$AH1106,'ORDENES'!$O$4:$O$1203,$O1106,'ORDENES'!$S$4:$S$1203,$S1106))</f>
        <v/>
      </c>
      <c r="AK1106" s="42">
        <f>IF($AJ1106="","",p_factor_productividad*IFERROR(INDEX('ASIGNACIONES'!$M$4:$M$451,MATCH($O1106&amp;"|"&amp;$S1106&amp;"|"&amp;$AH1106,'ASIGNACIONES'!$N$4:$N$451,0)),0)-$AJ1106)</f>
        <v/>
      </c>
      <c r="AL1106" s="32">
        <f>IF($A1106="","",IFERROR(INDEX('2_IMPORTAR_EJECUCION'!$F$9:$F$1208,MATCH($AU1106,'2_IMPORTAR_EJECUCION'!$J$9:$J$1208,0)),0))</f>
        <v/>
      </c>
      <c r="AM1106" s="32">
        <f>IF($A1106="","",MAX(0,IFERROR(INDEX('2_IMPORTAR_EJECUCION'!$H$9:$H$1208,MATCH($AU1106,'2_IMPORTAR_EJECUCION'!$J$9:$J$1208,0)),0)-$AL1106))</f>
        <v/>
      </c>
      <c r="AN1106" s="32">
        <f>IF($A1106="","",$AL1106+$AM1106)</f>
        <v/>
      </c>
      <c r="AO1106" s="24">
        <f>IF($A1106="","",IF(OR((IFERROR(INDEX('CAT_ACTIVIDADES'!$D$4:$D$26,MATCH($H1106,'CAT_ACTIVIDADES'!$A$4:$A$26,0)),""))=0,(IFERROR(INDEX('CAT_ACTIVIDADES'!$D$4:$D$26,MATCH($H1106,'CAT_ACTIVIDADES'!$A$4:$A$26,0)),""))=""),"SIN CLASIFICAR",IFERROR(INDEX('CAT_ACTIVIDADES'!$D$4:$D$26,MATCH($H1106,'CAT_ACTIVIDADES'!$A$4:$A$26,0)),"")))</f>
        <v/>
      </c>
      <c r="AP1106" s="4" t="n"/>
      <c r="AQ1106" s="4" t="n"/>
      <c r="AR1106" s="4" t="n"/>
      <c r="AS1106" s="24">
        <f>IF($AR1106="","",HYPERLINK(p_ruta_base_checklists&amp;$AR1106,"abrir"))</f>
        <v/>
      </c>
      <c r="AT1106" s="4" t="n"/>
      <c r="AU1106" s="24">
        <f>IF($A1106="","",$A1106&amp;IF($B1106="","0010",$B1106))</f>
        <v/>
      </c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41" t="n"/>
      <c r="K1107" s="5" t="n"/>
      <c r="L1107" s="18" t="n"/>
      <c r="M1107" s="24">
        <f>IF($A1107="","",IFERROR(INDEX('AJUSTES'!$B$4:$B$303,MATCH($AU1107,'AJUSTES'!$A$4:$A$303,0)),IF($K1107="","",$K1107)))</f>
        <v/>
      </c>
      <c r="N1107" s="24">
        <f>IF($A1107="","",IFERROR(INDEX('CAT_ESTADOS_ERP'!$B$4:$B$22,MATCH(IFERROR(INDEX('2_IMPORTAR_EJECUCION'!$C$9:$C$1208,MATCH($AU1107,'2_IMPORTAR_EJECUCION'!$J$9:$J$1208,0)),""),'CAT_ESTADOS_ERP'!$A$4:$A$22,0)),"Pendiente"))</f>
        <v/>
      </c>
      <c r="O1107" s="24">
        <f>IF($J1107="","",YEAR($J1107+4-WEEKDAY($J1107,2))&amp;"-S"&amp;TEXT(_xlfn.ISOWEEKNUM($J1107),"00"))</f>
        <v/>
      </c>
      <c r="P1107" s="24">
        <f>IF($J1107="","",YEAR($J1107))</f>
        <v/>
      </c>
      <c r="Q1107" s="24">
        <f>IF($J1107="","",MONTH($J1107))</f>
        <v/>
      </c>
      <c r="R1107" s="24">
        <f>IF($J1107="","",$P1107&amp;"-"&amp;TEXT($Q1107,"00"))</f>
        <v/>
      </c>
      <c r="S1107" s="24">
        <f>IF($J1107="","",INDEX(lista_dias,WEEKDAY($J1107,2)))</f>
        <v/>
      </c>
      <c r="T1107" s="24">
        <f>IF($J1107="","",IFERROR(INDEX('CALENDARIO'!$C$15:$C$214,MATCH(TEXT($J1107,"yyyy-mm-dd")&amp;"|"&amp;$Y1107&amp;"|"&amp;$Z1107,'CALENDARIO'!$G$15:$G$214,0)),IFERROR(INDEX('CALENDARIO'!$C$15:$C$214,MATCH(TEXT($J1107,"yyyy-mm-dd")&amp;"|"&amp;$Y1107&amp;"|",'CALENDARIO'!$G$15:$G$214,0)),IFERROR(INDEX('CALENDARIO'!$C$15:$C$214,MATCH(TEXT($J1107,"yyyy-mm-dd")&amp;"||",'CALENDARIO'!$G$15:$G$214,0)),INDEX(patronHabil,WEEKDAY($J1107,2))))))</f>
        <v/>
      </c>
      <c r="U1107" s="24">
        <f>IF($I1107="","",IFERROR(INDEX('CAT_TIPOS_OT'!$C$4:$C$23,MATCH($I1107,'CAT_TIPOS_OT'!$A$4:$A$23,0)),"sin_clasificar"))</f>
        <v/>
      </c>
      <c r="V1107" s="24">
        <f>IF($I1107="","",IF(IFERROR(INDEX('CAT_TIPOS_OT'!$D$4:$D$23,MATCH($I1107,'CAT_TIPOS_OT'!$A$4:$A$23,0)),"SIN CLASIFICAR")="","SIN CLASIFICAR",IFERROR(INDEX('CAT_TIPOS_OT'!$D$4:$D$23,MATCH($I1107,'CAT_TIPOS_OT'!$A$4:$A$23,0)),"SIN CLASIFICAR")))</f>
        <v/>
      </c>
      <c r="W1107" s="24">
        <f>IF($H1107="","",IF(IFERROR(INDEX('CAT_ACTIVIDADES'!$F$4:$F$26,MATCH($H1107,'CAT_ACTIVIDADES'!$A$4:$A$26,0)),"")=0,"",IFERROR(INDEX('CAT_ACTIVIDADES'!$F$4:$F$26,MATCH($H1107,'CAT_ACTIVIDADES'!$A$4:$A$26,0)),"")))</f>
        <v/>
      </c>
      <c r="X1107" s="24">
        <f>IF($F1107="","",IFERROR(INDEX('CAT_CENTROS_COSTO'!$F$4:$F$28,MATCH($F1107,'CAT_CENTROS_COSTO'!$A$4:$A$28,0)),"(sin catálogo)"))</f>
        <v/>
      </c>
      <c r="Y1107" s="24">
        <f>IF($F1107="","",IFERROR(INDEX('CAT_CENTROS_COSTO'!$D$4:$D$28,MATCH($F1107,'CAT_CENTROS_COSTO'!$A$4:$A$28,0)),"(sin catálogo)"))</f>
        <v/>
      </c>
      <c r="Z1107" s="24">
        <f>IF($F1107="","",IF((IFERROR(INDEX('CAT_CENTROS_COSTO'!$E$4:$E$28,MATCH($F1107,'CAT_CENTROS_COSTO'!$A$4:$A$28,0)),""))&lt;&gt;"",IFERROR(INDEX('CAT_CENTROS_COSTO'!$E$4:$E$28,MATCH($F1107,'CAT_CENTROS_COSTO'!$A$4:$A$28,0)),""),$Y1107))</f>
        <v/>
      </c>
      <c r="AA1107" s="24">
        <f>IF($F1107="","",IFERROR(INDEX('CAT_CENTROS_COSTO'!$G$4:$G$28,MATCH($F1107,'CAT_CENTROS_COSTO'!$A$4:$A$28,0)),"(sin catálogo)"))</f>
        <v/>
      </c>
      <c r="AB1107" s="24">
        <f>IF($G1107="","",IFERROR(INDEX('CAT_PUESTOS'!$B$4:$B$23,MATCH($G1107,'CAT_PUESTOS'!$A$4:$A$23,0)),"(sin catálogo)"))</f>
        <v/>
      </c>
      <c r="AC1107" s="24">
        <f>IF($H1107="","",IFERROR(INDEX('CAT_ACTIVIDADES'!$B$4:$B$26,MATCH($H1107,'CAT_ACTIVIDADES'!$A$4:$A$26,0)),"(sin catálogo)"))</f>
        <v/>
      </c>
      <c r="AD1107" s="26">
        <f>IF($J1107="","",TODAY()-$J1107)</f>
        <v/>
      </c>
      <c r="AE1107" s="26">
        <f>IF($J1107="","",IF($J1107&lt;=TODAY(),COUNTIFS(cal_fechas,"&gt;="&amp;$J1107,cal_fechas,"&lt;"&amp;TODAY(),cal_habil,"sí"),-COUNTIFS(cal_fechas,"&gt;="&amp;TODAY(),cal_fechas,"&lt;"&amp;$J1107,cal_habil,"sí")))</f>
        <v/>
      </c>
      <c r="AF1107" s="24">
        <f>IF($AE1107="","",IF($AE1107&lt;0,"FUTURO",IF($AE1107&gt;p_dias_backlog_max,"BACKLOG","MES CORRIENTE")))</f>
        <v/>
      </c>
      <c r="AG1107" s="24">
        <f>IF($AE1107="",FALSE,AND($AE1107&gt;p_dias_backlog_min,$AE1107&lt;=p_dias_backlog_max))</f>
        <v/>
      </c>
      <c r="AH1107" s="4" t="n"/>
      <c r="AI1107" s="24">
        <f>IF($AH1107="","",IF((IFERROR(INDEX('ASIGNACIONES'!$J$4:$J$451,MATCH($O1107&amp;"|"&amp;$S1107&amp;"|"&amp;$AH1107,'ASIGNACIONES'!$N$4:$N$451,0)),""))=0,"",IFERROR(INDEX('ASIGNACIONES'!$J$4:$J$451,MATCH($O1107&amp;"|"&amp;$S1107&amp;"|"&amp;$AH1107,'ASIGNACIONES'!$N$4:$N$451,0)),"")))</f>
        <v/>
      </c>
      <c r="AJ1107" s="42">
        <f>IF($AH1107="","",SUMIFS('ORDENES'!$M$4:$M$1203,'ORDENES'!$AH$4:$AH$1203,$AH1107,'ORDENES'!$O$4:$O$1203,$O1107,'ORDENES'!$S$4:$S$1203,$S1107))</f>
        <v/>
      </c>
      <c r="AK1107" s="42">
        <f>IF($AJ1107="","",p_factor_productividad*IFERROR(INDEX('ASIGNACIONES'!$M$4:$M$451,MATCH($O1107&amp;"|"&amp;$S1107&amp;"|"&amp;$AH1107,'ASIGNACIONES'!$N$4:$N$451,0)),0)-$AJ1107)</f>
        <v/>
      </c>
      <c r="AL1107" s="32">
        <f>IF($A1107="","",IFERROR(INDEX('2_IMPORTAR_EJECUCION'!$F$9:$F$1208,MATCH($AU1107,'2_IMPORTAR_EJECUCION'!$J$9:$J$1208,0)),0))</f>
        <v/>
      </c>
      <c r="AM1107" s="32">
        <f>IF($A1107="","",MAX(0,IFERROR(INDEX('2_IMPORTAR_EJECUCION'!$H$9:$H$1208,MATCH($AU1107,'2_IMPORTAR_EJECUCION'!$J$9:$J$1208,0)),0)-$AL1107))</f>
        <v/>
      </c>
      <c r="AN1107" s="32">
        <f>IF($A1107="","",$AL1107+$AM1107)</f>
        <v/>
      </c>
      <c r="AO1107" s="24">
        <f>IF($A1107="","",IF(OR((IFERROR(INDEX('CAT_ACTIVIDADES'!$D$4:$D$26,MATCH($H1107,'CAT_ACTIVIDADES'!$A$4:$A$26,0)),""))=0,(IFERROR(INDEX('CAT_ACTIVIDADES'!$D$4:$D$26,MATCH($H1107,'CAT_ACTIVIDADES'!$A$4:$A$26,0)),""))=""),"SIN CLASIFICAR",IFERROR(INDEX('CAT_ACTIVIDADES'!$D$4:$D$26,MATCH($H1107,'CAT_ACTIVIDADES'!$A$4:$A$26,0)),"")))</f>
        <v/>
      </c>
      <c r="AP1107" s="4" t="n"/>
      <c r="AQ1107" s="4" t="n"/>
      <c r="AR1107" s="4" t="n"/>
      <c r="AS1107" s="24">
        <f>IF($AR1107="","",HYPERLINK(p_ruta_base_checklists&amp;$AR1107,"abrir"))</f>
        <v/>
      </c>
      <c r="AT1107" s="4" t="n"/>
      <c r="AU1107" s="24">
        <f>IF($A1107="","",$A1107&amp;IF($B1107="","0010",$B1107))</f>
        <v/>
      </c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41" t="n"/>
      <c r="K1108" s="5" t="n"/>
      <c r="L1108" s="18" t="n"/>
      <c r="M1108" s="24">
        <f>IF($A1108="","",IFERROR(INDEX('AJUSTES'!$B$4:$B$303,MATCH($AU1108,'AJUSTES'!$A$4:$A$303,0)),IF($K1108="","",$K1108)))</f>
        <v/>
      </c>
      <c r="N1108" s="24">
        <f>IF($A1108="","",IFERROR(INDEX('CAT_ESTADOS_ERP'!$B$4:$B$22,MATCH(IFERROR(INDEX('2_IMPORTAR_EJECUCION'!$C$9:$C$1208,MATCH($AU1108,'2_IMPORTAR_EJECUCION'!$J$9:$J$1208,0)),""),'CAT_ESTADOS_ERP'!$A$4:$A$22,0)),"Pendiente"))</f>
        <v/>
      </c>
      <c r="O1108" s="24">
        <f>IF($J1108="","",YEAR($J1108+4-WEEKDAY($J1108,2))&amp;"-S"&amp;TEXT(_xlfn.ISOWEEKNUM($J1108),"00"))</f>
        <v/>
      </c>
      <c r="P1108" s="24">
        <f>IF($J1108="","",YEAR($J1108))</f>
        <v/>
      </c>
      <c r="Q1108" s="24">
        <f>IF($J1108="","",MONTH($J1108))</f>
        <v/>
      </c>
      <c r="R1108" s="24">
        <f>IF($J1108="","",$P1108&amp;"-"&amp;TEXT($Q1108,"00"))</f>
        <v/>
      </c>
      <c r="S1108" s="24">
        <f>IF($J1108="","",INDEX(lista_dias,WEEKDAY($J1108,2)))</f>
        <v/>
      </c>
      <c r="T1108" s="24">
        <f>IF($J1108="","",IFERROR(INDEX('CALENDARIO'!$C$15:$C$214,MATCH(TEXT($J1108,"yyyy-mm-dd")&amp;"|"&amp;$Y1108&amp;"|"&amp;$Z1108,'CALENDARIO'!$G$15:$G$214,0)),IFERROR(INDEX('CALENDARIO'!$C$15:$C$214,MATCH(TEXT($J1108,"yyyy-mm-dd")&amp;"|"&amp;$Y1108&amp;"|",'CALENDARIO'!$G$15:$G$214,0)),IFERROR(INDEX('CALENDARIO'!$C$15:$C$214,MATCH(TEXT($J1108,"yyyy-mm-dd")&amp;"||",'CALENDARIO'!$G$15:$G$214,0)),INDEX(patronHabil,WEEKDAY($J1108,2))))))</f>
        <v/>
      </c>
      <c r="U1108" s="24">
        <f>IF($I1108="","",IFERROR(INDEX('CAT_TIPOS_OT'!$C$4:$C$23,MATCH($I1108,'CAT_TIPOS_OT'!$A$4:$A$23,0)),"sin_clasificar"))</f>
        <v/>
      </c>
      <c r="V1108" s="24">
        <f>IF($I1108="","",IF(IFERROR(INDEX('CAT_TIPOS_OT'!$D$4:$D$23,MATCH($I1108,'CAT_TIPOS_OT'!$A$4:$A$23,0)),"SIN CLASIFICAR")="","SIN CLASIFICAR",IFERROR(INDEX('CAT_TIPOS_OT'!$D$4:$D$23,MATCH($I1108,'CAT_TIPOS_OT'!$A$4:$A$23,0)),"SIN CLASIFICAR")))</f>
        <v/>
      </c>
      <c r="W1108" s="24">
        <f>IF($H1108="","",IF(IFERROR(INDEX('CAT_ACTIVIDADES'!$F$4:$F$26,MATCH($H1108,'CAT_ACTIVIDADES'!$A$4:$A$26,0)),"")=0,"",IFERROR(INDEX('CAT_ACTIVIDADES'!$F$4:$F$26,MATCH($H1108,'CAT_ACTIVIDADES'!$A$4:$A$26,0)),"")))</f>
        <v/>
      </c>
      <c r="X1108" s="24">
        <f>IF($F1108="","",IFERROR(INDEX('CAT_CENTROS_COSTO'!$F$4:$F$28,MATCH($F1108,'CAT_CENTROS_COSTO'!$A$4:$A$28,0)),"(sin catálogo)"))</f>
        <v/>
      </c>
      <c r="Y1108" s="24">
        <f>IF($F1108="","",IFERROR(INDEX('CAT_CENTROS_COSTO'!$D$4:$D$28,MATCH($F1108,'CAT_CENTROS_COSTO'!$A$4:$A$28,0)),"(sin catálogo)"))</f>
        <v/>
      </c>
      <c r="Z1108" s="24">
        <f>IF($F1108="","",IF((IFERROR(INDEX('CAT_CENTROS_COSTO'!$E$4:$E$28,MATCH($F1108,'CAT_CENTROS_COSTO'!$A$4:$A$28,0)),""))&lt;&gt;"",IFERROR(INDEX('CAT_CENTROS_COSTO'!$E$4:$E$28,MATCH($F1108,'CAT_CENTROS_COSTO'!$A$4:$A$28,0)),""),$Y1108))</f>
        <v/>
      </c>
      <c r="AA1108" s="24">
        <f>IF($F1108="","",IFERROR(INDEX('CAT_CENTROS_COSTO'!$G$4:$G$28,MATCH($F1108,'CAT_CENTROS_COSTO'!$A$4:$A$28,0)),"(sin catálogo)"))</f>
        <v/>
      </c>
      <c r="AB1108" s="24">
        <f>IF($G1108="","",IFERROR(INDEX('CAT_PUESTOS'!$B$4:$B$23,MATCH($G1108,'CAT_PUESTOS'!$A$4:$A$23,0)),"(sin catálogo)"))</f>
        <v/>
      </c>
      <c r="AC1108" s="24">
        <f>IF($H1108="","",IFERROR(INDEX('CAT_ACTIVIDADES'!$B$4:$B$26,MATCH($H1108,'CAT_ACTIVIDADES'!$A$4:$A$26,0)),"(sin catálogo)"))</f>
        <v/>
      </c>
      <c r="AD1108" s="26">
        <f>IF($J1108="","",TODAY()-$J1108)</f>
        <v/>
      </c>
      <c r="AE1108" s="26">
        <f>IF($J1108="","",IF($J1108&lt;=TODAY(),COUNTIFS(cal_fechas,"&gt;="&amp;$J1108,cal_fechas,"&lt;"&amp;TODAY(),cal_habil,"sí"),-COUNTIFS(cal_fechas,"&gt;="&amp;TODAY(),cal_fechas,"&lt;"&amp;$J1108,cal_habil,"sí")))</f>
        <v/>
      </c>
      <c r="AF1108" s="24">
        <f>IF($AE1108="","",IF($AE1108&lt;0,"FUTURO",IF($AE1108&gt;p_dias_backlog_max,"BACKLOG","MES CORRIENTE")))</f>
        <v/>
      </c>
      <c r="AG1108" s="24">
        <f>IF($AE1108="",FALSE,AND($AE1108&gt;p_dias_backlog_min,$AE1108&lt;=p_dias_backlog_max))</f>
        <v/>
      </c>
      <c r="AH1108" s="4" t="n"/>
      <c r="AI1108" s="24">
        <f>IF($AH1108="","",IF((IFERROR(INDEX('ASIGNACIONES'!$J$4:$J$451,MATCH($O1108&amp;"|"&amp;$S1108&amp;"|"&amp;$AH1108,'ASIGNACIONES'!$N$4:$N$451,0)),""))=0,"",IFERROR(INDEX('ASIGNACIONES'!$J$4:$J$451,MATCH($O1108&amp;"|"&amp;$S1108&amp;"|"&amp;$AH1108,'ASIGNACIONES'!$N$4:$N$451,0)),"")))</f>
        <v/>
      </c>
      <c r="AJ1108" s="42">
        <f>IF($AH1108="","",SUMIFS('ORDENES'!$M$4:$M$1203,'ORDENES'!$AH$4:$AH$1203,$AH1108,'ORDENES'!$O$4:$O$1203,$O1108,'ORDENES'!$S$4:$S$1203,$S1108))</f>
        <v/>
      </c>
      <c r="AK1108" s="42">
        <f>IF($AJ1108="","",p_factor_productividad*IFERROR(INDEX('ASIGNACIONES'!$M$4:$M$451,MATCH($O1108&amp;"|"&amp;$S1108&amp;"|"&amp;$AH1108,'ASIGNACIONES'!$N$4:$N$451,0)),0)-$AJ1108)</f>
        <v/>
      </c>
      <c r="AL1108" s="32">
        <f>IF($A1108="","",IFERROR(INDEX('2_IMPORTAR_EJECUCION'!$F$9:$F$1208,MATCH($AU1108,'2_IMPORTAR_EJECUCION'!$J$9:$J$1208,0)),0))</f>
        <v/>
      </c>
      <c r="AM1108" s="32">
        <f>IF($A1108="","",MAX(0,IFERROR(INDEX('2_IMPORTAR_EJECUCION'!$H$9:$H$1208,MATCH($AU1108,'2_IMPORTAR_EJECUCION'!$J$9:$J$1208,0)),0)-$AL1108))</f>
        <v/>
      </c>
      <c r="AN1108" s="32">
        <f>IF($A1108="","",$AL1108+$AM1108)</f>
        <v/>
      </c>
      <c r="AO1108" s="24">
        <f>IF($A1108="","",IF(OR((IFERROR(INDEX('CAT_ACTIVIDADES'!$D$4:$D$26,MATCH($H1108,'CAT_ACTIVIDADES'!$A$4:$A$26,0)),""))=0,(IFERROR(INDEX('CAT_ACTIVIDADES'!$D$4:$D$26,MATCH($H1108,'CAT_ACTIVIDADES'!$A$4:$A$26,0)),""))=""),"SIN CLASIFICAR",IFERROR(INDEX('CAT_ACTIVIDADES'!$D$4:$D$26,MATCH($H1108,'CAT_ACTIVIDADES'!$A$4:$A$26,0)),"")))</f>
        <v/>
      </c>
      <c r="AP1108" s="4" t="n"/>
      <c r="AQ1108" s="4" t="n"/>
      <c r="AR1108" s="4" t="n"/>
      <c r="AS1108" s="24">
        <f>IF($AR1108="","",HYPERLINK(p_ruta_base_checklists&amp;$AR1108,"abrir"))</f>
        <v/>
      </c>
      <c r="AT1108" s="4" t="n"/>
      <c r="AU1108" s="24">
        <f>IF($A1108="","",$A1108&amp;IF($B1108="","0010",$B1108))</f>
        <v/>
      </c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41" t="n"/>
      <c r="K1109" s="5" t="n"/>
      <c r="L1109" s="18" t="n"/>
      <c r="M1109" s="24">
        <f>IF($A1109="","",IFERROR(INDEX('AJUSTES'!$B$4:$B$303,MATCH($AU1109,'AJUSTES'!$A$4:$A$303,0)),IF($K1109="","",$K1109)))</f>
        <v/>
      </c>
      <c r="N1109" s="24">
        <f>IF($A1109="","",IFERROR(INDEX('CAT_ESTADOS_ERP'!$B$4:$B$22,MATCH(IFERROR(INDEX('2_IMPORTAR_EJECUCION'!$C$9:$C$1208,MATCH($AU1109,'2_IMPORTAR_EJECUCION'!$J$9:$J$1208,0)),""),'CAT_ESTADOS_ERP'!$A$4:$A$22,0)),"Pendiente"))</f>
        <v/>
      </c>
      <c r="O1109" s="24">
        <f>IF($J1109="","",YEAR($J1109+4-WEEKDAY($J1109,2))&amp;"-S"&amp;TEXT(_xlfn.ISOWEEKNUM($J1109),"00"))</f>
        <v/>
      </c>
      <c r="P1109" s="24">
        <f>IF($J1109="","",YEAR($J1109))</f>
        <v/>
      </c>
      <c r="Q1109" s="24">
        <f>IF($J1109="","",MONTH($J1109))</f>
        <v/>
      </c>
      <c r="R1109" s="24">
        <f>IF($J1109="","",$P1109&amp;"-"&amp;TEXT($Q1109,"00"))</f>
        <v/>
      </c>
      <c r="S1109" s="24">
        <f>IF($J1109="","",INDEX(lista_dias,WEEKDAY($J1109,2)))</f>
        <v/>
      </c>
      <c r="T1109" s="24">
        <f>IF($J1109="","",IFERROR(INDEX('CALENDARIO'!$C$15:$C$214,MATCH(TEXT($J1109,"yyyy-mm-dd")&amp;"|"&amp;$Y1109&amp;"|"&amp;$Z1109,'CALENDARIO'!$G$15:$G$214,0)),IFERROR(INDEX('CALENDARIO'!$C$15:$C$214,MATCH(TEXT($J1109,"yyyy-mm-dd")&amp;"|"&amp;$Y1109&amp;"|",'CALENDARIO'!$G$15:$G$214,0)),IFERROR(INDEX('CALENDARIO'!$C$15:$C$214,MATCH(TEXT($J1109,"yyyy-mm-dd")&amp;"||",'CALENDARIO'!$G$15:$G$214,0)),INDEX(patronHabil,WEEKDAY($J1109,2))))))</f>
        <v/>
      </c>
      <c r="U1109" s="24">
        <f>IF($I1109="","",IFERROR(INDEX('CAT_TIPOS_OT'!$C$4:$C$23,MATCH($I1109,'CAT_TIPOS_OT'!$A$4:$A$23,0)),"sin_clasificar"))</f>
        <v/>
      </c>
      <c r="V1109" s="24">
        <f>IF($I1109="","",IF(IFERROR(INDEX('CAT_TIPOS_OT'!$D$4:$D$23,MATCH($I1109,'CAT_TIPOS_OT'!$A$4:$A$23,0)),"SIN CLASIFICAR")="","SIN CLASIFICAR",IFERROR(INDEX('CAT_TIPOS_OT'!$D$4:$D$23,MATCH($I1109,'CAT_TIPOS_OT'!$A$4:$A$23,0)),"SIN CLASIFICAR")))</f>
        <v/>
      </c>
      <c r="W1109" s="24">
        <f>IF($H1109="","",IF(IFERROR(INDEX('CAT_ACTIVIDADES'!$F$4:$F$26,MATCH($H1109,'CAT_ACTIVIDADES'!$A$4:$A$26,0)),"")=0,"",IFERROR(INDEX('CAT_ACTIVIDADES'!$F$4:$F$26,MATCH($H1109,'CAT_ACTIVIDADES'!$A$4:$A$26,0)),"")))</f>
        <v/>
      </c>
      <c r="X1109" s="24">
        <f>IF($F1109="","",IFERROR(INDEX('CAT_CENTROS_COSTO'!$F$4:$F$28,MATCH($F1109,'CAT_CENTROS_COSTO'!$A$4:$A$28,0)),"(sin catálogo)"))</f>
        <v/>
      </c>
      <c r="Y1109" s="24">
        <f>IF($F1109="","",IFERROR(INDEX('CAT_CENTROS_COSTO'!$D$4:$D$28,MATCH($F1109,'CAT_CENTROS_COSTO'!$A$4:$A$28,0)),"(sin catálogo)"))</f>
        <v/>
      </c>
      <c r="Z1109" s="24">
        <f>IF($F1109="","",IF((IFERROR(INDEX('CAT_CENTROS_COSTO'!$E$4:$E$28,MATCH($F1109,'CAT_CENTROS_COSTO'!$A$4:$A$28,0)),""))&lt;&gt;"",IFERROR(INDEX('CAT_CENTROS_COSTO'!$E$4:$E$28,MATCH($F1109,'CAT_CENTROS_COSTO'!$A$4:$A$28,0)),""),$Y1109))</f>
        <v/>
      </c>
      <c r="AA1109" s="24">
        <f>IF($F1109="","",IFERROR(INDEX('CAT_CENTROS_COSTO'!$G$4:$G$28,MATCH($F1109,'CAT_CENTROS_COSTO'!$A$4:$A$28,0)),"(sin catálogo)"))</f>
        <v/>
      </c>
      <c r="AB1109" s="24">
        <f>IF($G1109="","",IFERROR(INDEX('CAT_PUESTOS'!$B$4:$B$23,MATCH($G1109,'CAT_PUESTOS'!$A$4:$A$23,0)),"(sin catálogo)"))</f>
        <v/>
      </c>
      <c r="AC1109" s="24">
        <f>IF($H1109="","",IFERROR(INDEX('CAT_ACTIVIDADES'!$B$4:$B$26,MATCH($H1109,'CAT_ACTIVIDADES'!$A$4:$A$26,0)),"(sin catálogo)"))</f>
        <v/>
      </c>
      <c r="AD1109" s="26">
        <f>IF($J1109="","",TODAY()-$J1109)</f>
        <v/>
      </c>
      <c r="AE1109" s="26">
        <f>IF($J1109="","",IF($J1109&lt;=TODAY(),COUNTIFS(cal_fechas,"&gt;="&amp;$J1109,cal_fechas,"&lt;"&amp;TODAY(),cal_habil,"sí"),-COUNTIFS(cal_fechas,"&gt;="&amp;TODAY(),cal_fechas,"&lt;"&amp;$J1109,cal_habil,"sí")))</f>
        <v/>
      </c>
      <c r="AF1109" s="24">
        <f>IF($AE1109="","",IF($AE1109&lt;0,"FUTURO",IF($AE1109&gt;p_dias_backlog_max,"BACKLOG","MES CORRIENTE")))</f>
        <v/>
      </c>
      <c r="AG1109" s="24">
        <f>IF($AE1109="",FALSE,AND($AE1109&gt;p_dias_backlog_min,$AE1109&lt;=p_dias_backlog_max))</f>
        <v/>
      </c>
      <c r="AH1109" s="4" t="n"/>
      <c r="AI1109" s="24">
        <f>IF($AH1109="","",IF((IFERROR(INDEX('ASIGNACIONES'!$J$4:$J$451,MATCH($O1109&amp;"|"&amp;$S1109&amp;"|"&amp;$AH1109,'ASIGNACIONES'!$N$4:$N$451,0)),""))=0,"",IFERROR(INDEX('ASIGNACIONES'!$J$4:$J$451,MATCH($O1109&amp;"|"&amp;$S1109&amp;"|"&amp;$AH1109,'ASIGNACIONES'!$N$4:$N$451,0)),"")))</f>
        <v/>
      </c>
      <c r="AJ1109" s="42">
        <f>IF($AH1109="","",SUMIFS('ORDENES'!$M$4:$M$1203,'ORDENES'!$AH$4:$AH$1203,$AH1109,'ORDENES'!$O$4:$O$1203,$O1109,'ORDENES'!$S$4:$S$1203,$S1109))</f>
        <v/>
      </c>
      <c r="AK1109" s="42">
        <f>IF($AJ1109="","",p_factor_productividad*IFERROR(INDEX('ASIGNACIONES'!$M$4:$M$451,MATCH($O1109&amp;"|"&amp;$S1109&amp;"|"&amp;$AH1109,'ASIGNACIONES'!$N$4:$N$451,0)),0)-$AJ1109)</f>
        <v/>
      </c>
      <c r="AL1109" s="32">
        <f>IF($A1109="","",IFERROR(INDEX('2_IMPORTAR_EJECUCION'!$F$9:$F$1208,MATCH($AU1109,'2_IMPORTAR_EJECUCION'!$J$9:$J$1208,0)),0))</f>
        <v/>
      </c>
      <c r="AM1109" s="32">
        <f>IF($A1109="","",MAX(0,IFERROR(INDEX('2_IMPORTAR_EJECUCION'!$H$9:$H$1208,MATCH($AU1109,'2_IMPORTAR_EJECUCION'!$J$9:$J$1208,0)),0)-$AL1109))</f>
        <v/>
      </c>
      <c r="AN1109" s="32">
        <f>IF($A1109="","",$AL1109+$AM1109)</f>
        <v/>
      </c>
      <c r="AO1109" s="24">
        <f>IF($A1109="","",IF(OR((IFERROR(INDEX('CAT_ACTIVIDADES'!$D$4:$D$26,MATCH($H1109,'CAT_ACTIVIDADES'!$A$4:$A$26,0)),""))=0,(IFERROR(INDEX('CAT_ACTIVIDADES'!$D$4:$D$26,MATCH($H1109,'CAT_ACTIVIDADES'!$A$4:$A$26,0)),""))=""),"SIN CLASIFICAR",IFERROR(INDEX('CAT_ACTIVIDADES'!$D$4:$D$26,MATCH($H1109,'CAT_ACTIVIDADES'!$A$4:$A$26,0)),"")))</f>
        <v/>
      </c>
      <c r="AP1109" s="4" t="n"/>
      <c r="AQ1109" s="4" t="n"/>
      <c r="AR1109" s="4" t="n"/>
      <c r="AS1109" s="24">
        <f>IF($AR1109="","",HYPERLINK(p_ruta_base_checklists&amp;$AR1109,"abrir"))</f>
        <v/>
      </c>
      <c r="AT1109" s="4" t="n"/>
      <c r="AU1109" s="24">
        <f>IF($A1109="","",$A1109&amp;IF($B1109="","0010",$B1109))</f>
        <v/>
      </c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41" t="n"/>
      <c r="K1110" s="5" t="n"/>
      <c r="L1110" s="18" t="n"/>
      <c r="M1110" s="24">
        <f>IF($A1110="","",IFERROR(INDEX('AJUSTES'!$B$4:$B$303,MATCH($AU1110,'AJUSTES'!$A$4:$A$303,0)),IF($K1110="","",$K1110)))</f>
        <v/>
      </c>
      <c r="N1110" s="24">
        <f>IF($A1110="","",IFERROR(INDEX('CAT_ESTADOS_ERP'!$B$4:$B$22,MATCH(IFERROR(INDEX('2_IMPORTAR_EJECUCION'!$C$9:$C$1208,MATCH($AU1110,'2_IMPORTAR_EJECUCION'!$J$9:$J$1208,0)),""),'CAT_ESTADOS_ERP'!$A$4:$A$22,0)),"Pendiente"))</f>
        <v/>
      </c>
      <c r="O1110" s="24">
        <f>IF($J1110="","",YEAR($J1110+4-WEEKDAY($J1110,2))&amp;"-S"&amp;TEXT(_xlfn.ISOWEEKNUM($J1110),"00"))</f>
        <v/>
      </c>
      <c r="P1110" s="24">
        <f>IF($J1110="","",YEAR($J1110))</f>
        <v/>
      </c>
      <c r="Q1110" s="24">
        <f>IF($J1110="","",MONTH($J1110))</f>
        <v/>
      </c>
      <c r="R1110" s="24">
        <f>IF($J1110="","",$P1110&amp;"-"&amp;TEXT($Q1110,"00"))</f>
        <v/>
      </c>
      <c r="S1110" s="24">
        <f>IF($J1110="","",INDEX(lista_dias,WEEKDAY($J1110,2)))</f>
        <v/>
      </c>
      <c r="T1110" s="24">
        <f>IF($J1110="","",IFERROR(INDEX('CALENDARIO'!$C$15:$C$214,MATCH(TEXT($J1110,"yyyy-mm-dd")&amp;"|"&amp;$Y1110&amp;"|"&amp;$Z1110,'CALENDARIO'!$G$15:$G$214,0)),IFERROR(INDEX('CALENDARIO'!$C$15:$C$214,MATCH(TEXT($J1110,"yyyy-mm-dd")&amp;"|"&amp;$Y1110&amp;"|",'CALENDARIO'!$G$15:$G$214,0)),IFERROR(INDEX('CALENDARIO'!$C$15:$C$214,MATCH(TEXT($J1110,"yyyy-mm-dd")&amp;"||",'CALENDARIO'!$G$15:$G$214,0)),INDEX(patronHabil,WEEKDAY($J1110,2))))))</f>
        <v/>
      </c>
      <c r="U1110" s="24">
        <f>IF($I1110="","",IFERROR(INDEX('CAT_TIPOS_OT'!$C$4:$C$23,MATCH($I1110,'CAT_TIPOS_OT'!$A$4:$A$23,0)),"sin_clasificar"))</f>
        <v/>
      </c>
      <c r="V1110" s="24">
        <f>IF($I1110="","",IF(IFERROR(INDEX('CAT_TIPOS_OT'!$D$4:$D$23,MATCH($I1110,'CAT_TIPOS_OT'!$A$4:$A$23,0)),"SIN CLASIFICAR")="","SIN CLASIFICAR",IFERROR(INDEX('CAT_TIPOS_OT'!$D$4:$D$23,MATCH($I1110,'CAT_TIPOS_OT'!$A$4:$A$23,0)),"SIN CLASIFICAR")))</f>
        <v/>
      </c>
      <c r="W1110" s="24">
        <f>IF($H1110="","",IF(IFERROR(INDEX('CAT_ACTIVIDADES'!$F$4:$F$26,MATCH($H1110,'CAT_ACTIVIDADES'!$A$4:$A$26,0)),"")=0,"",IFERROR(INDEX('CAT_ACTIVIDADES'!$F$4:$F$26,MATCH($H1110,'CAT_ACTIVIDADES'!$A$4:$A$26,0)),"")))</f>
        <v/>
      </c>
      <c r="X1110" s="24">
        <f>IF($F1110="","",IFERROR(INDEX('CAT_CENTROS_COSTO'!$F$4:$F$28,MATCH($F1110,'CAT_CENTROS_COSTO'!$A$4:$A$28,0)),"(sin catálogo)"))</f>
        <v/>
      </c>
      <c r="Y1110" s="24">
        <f>IF($F1110="","",IFERROR(INDEX('CAT_CENTROS_COSTO'!$D$4:$D$28,MATCH($F1110,'CAT_CENTROS_COSTO'!$A$4:$A$28,0)),"(sin catálogo)"))</f>
        <v/>
      </c>
      <c r="Z1110" s="24">
        <f>IF($F1110="","",IF((IFERROR(INDEX('CAT_CENTROS_COSTO'!$E$4:$E$28,MATCH($F1110,'CAT_CENTROS_COSTO'!$A$4:$A$28,0)),""))&lt;&gt;"",IFERROR(INDEX('CAT_CENTROS_COSTO'!$E$4:$E$28,MATCH($F1110,'CAT_CENTROS_COSTO'!$A$4:$A$28,0)),""),$Y1110))</f>
        <v/>
      </c>
      <c r="AA1110" s="24">
        <f>IF($F1110="","",IFERROR(INDEX('CAT_CENTROS_COSTO'!$G$4:$G$28,MATCH($F1110,'CAT_CENTROS_COSTO'!$A$4:$A$28,0)),"(sin catálogo)"))</f>
        <v/>
      </c>
      <c r="AB1110" s="24">
        <f>IF($G1110="","",IFERROR(INDEX('CAT_PUESTOS'!$B$4:$B$23,MATCH($G1110,'CAT_PUESTOS'!$A$4:$A$23,0)),"(sin catálogo)"))</f>
        <v/>
      </c>
      <c r="AC1110" s="24">
        <f>IF($H1110="","",IFERROR(INDEX('CAT_ACTIVIDADES'!$B$4:$B$26,MATCH($H1110,'CAT_ACTIVIDADES'!$A$4:$A$26,0)),"(sin catálogo)"))</f>
        <v/>
      </c>
      <c r="AD1110" s="26">
        <f>IF($J1110="","",TODAY()-$J1110)</f>
        <v/>
      </c>
      <c r="AE1110" s="26">
        <f>IF($J1110="","",IF($J1110&lt;=TODAY(),COUNTIFS(cal_fechas,"&gt;="&amp;$J1110,cal_fechas,"&lt;"&amp;TODAY(),cal_habil,"sí"),-COUNTIFS(cal_fechas,"&gt;="&amp;TODAY(),cal_fechas,"&lt;"&amp;$J1110,cal_habil,"sí")))</f>
        <v/>
      </c>
      <c r="AF1110" s="24">
        <f>IF($AE1110="","",IF($AE1110&lt;0,"FUTURO",IF($AE1110&gt;p_dias_backlog_max,"BACKLOG","MES CORRIENTE")))</f>
        <v/>
      </c>
      <c r="AG1110" s="24">
        <f>IF($AE1110="",FALSE,AND($AE1110&gt;p_dias_backlog_min,$AE1110&lt;=p_dias_backlog_max))</f>
        <v/>
      </c>
      <c r="AH1110" s="4" t="n"/>
      <c r="AI1110" s="24">
        <f>IF($AH1110="","",IF((IFERROR(INDEX('ASIGNACIONES'!$J$4:$J$451,MATCH($O1110&amp;"|"&amp;$S1110&amp;"|"&amp;$AH1110,'ASIGNACIONES'!$N$4:$N$451,0)),""))=0,"",IFERROR(INDEX('ASIGNACIONES'!$J$4:$J$451,MATCH($O1110&amp;"|"&amp;$S1110&amp;"|"&amp;$AH1110,'ASIGNACIONES'!$N$4:$N$451,0)),"")))</f>
        <v/>
      </c>
      <c r="AJ1110" s="42">
        <f>IF($AH1110="","",SUMIFS('ORDENES'!$M$4:$M$1203,'ORDENES'!$AH$4:$AH$1203,$AH1110,'ORDENES'!$O$4:$O$1203,$O1110,'ORDENES'!$S$4:$S$1203,$S1110))</f>
        <v/>
      </c>
      <c r="AK1110" s="42">
        <f>IF($AJ1110="","",p_factor_productividad*IFERROR(INDEX('ASIGNACIONES'!$M$4:$M$451,MATCH($O1110&amp;"|"&amp;$S1110&amp;"|"&amp;$AH1110,'ASIGNACIONES'!$N$4:$N$451,0)),0)-$AJ1110)</f>
        <v/>
      </c>
      <c r="AL1110" s="32">
        <f>IF($A1110="","",IFERROR(INDEX('2_IMPORTAR_EJECUCION'!$F$9:$F$1208,MATCH($AU1110,'2_IMPORTAR_EJECUCION'!$J$9:$J$1208,0)),0))</f>
        <v/>
      </c>
      <c r="AM1110" s="32">
        <f>IF($A1110="","",MAX(0,IFERROR(INDEX('2_IMPORTAR_EJECUCION'!$H$9:$H$1208,MATCH($AU1110,'2_IMPORTAR_EJECUCION'!$J$9:$J$1208,0)),0)-$AL1110))</f>
        <v/>
      </c>
      <c r="AN1110" s="32">
        <f>IF($A1110="","",$AL1110+$AM1110)</f>
        <v/>
      </c>
      <c r="AO1110" s="24">
        <f>IF($A1110="","",IF(OR((IFERROR(INDEX('CAT_ACTIVIDADES'!$D$4:$D$26,MATCH($H1110,'CAT_ACTIVIDADES'!$A$4:$A$26,0)),""))=0,(IFERROR(INDEX('CAT_ACTIVIDADES'!$D$4:$D$26,MATCH($H1110,'CAT_ACTIVIDADES'!$A$4:$A$26,0)),""))=""),"SIN CLASIFICAR",IFERROR(INDEX('CAT_ACTIVIDADES'!$D$4:$D$26,MATCH($H1110,'CAT_ACTIVIDADES'!$A$4:$A$26,0)),"")))</f>
        <v/>
      </c>
      <c r="AP1110" s="4" t="n"/>
      <c r="AQ1110" s="4" t="n"/>
      <c r="AR1110" s="4" t="n"/>
      <c r="AS1110" s="24">
        <f>IF($AR1110="","",HYPERLINK(p_ruta_base_checklists&amp;$AR1110,"abrir"))</f>
        <v/>
      </c>
      <c r="AT1110" s="4" t="n"/>
      <c r="AU1110" s="24">
        <f>IF($A1110="","",$A1110&amp;IF($B1110="","0010",$B1110))</f>
        <v/>
      </c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41" t="n"/>
      <c r="K1111" s="5" t="n"/>
      <c r="L1111" s="18" t="n"/>
      <c r="M1111" s="24">
        <f>IF($A1111="","",IFERROR(INDEX('AJUSTES'!$B$4:$B$303,MATCH($AU1111,'AJUSTES'!$A$4:$A$303,0)),IF($K1111="","",$K1111)))</f>
        <v/>
      </c>
      <c r="N1111" s="24">
        <f>IF($A1111="","",IFERROR(INDEX('CAT_ESTADOS_ERP'!$B$4:$B$22,MATCH(IFERROR(INDEX('2_IMPORTAR_EJECUCION'!$C$9:$C$1208,MATCH($AU1111,'2_IMPORTAR_EJECUCION'!$J$9:$J$1208,0)),""),'CAT_ESTADOS_ERP'!$A$4:$A$22,0)),"Pendiente"))</f>
        <v/>
      </c>
      <c r="O1111" s="24">
        <f>IF($J1111="","",YEAR($J1111+4-WEEKDAY($J1111,2))&amp;"-S"&amp;TEXT(_xlfn.ISOWEEKNUM($J1111),"00"))</f>
        <v/>
      </c>
      <c r="P1111" s="24">
        <f>IF($J1111="","",YEAR($J1111))</f>
        <v/>
      </c>
      <c r="Q1111" s="24">
        <f>IF($J1111="","",MONTH($J1111))</f>
        <v/>
      </c>
      <c r="R1111" s="24">
        <f>IF($J1111="","",$P1111&amp;"-"&amp;TEXT($Q1111,"00"))</f>
        <v/>
      </c>
      <c r="S1111" s="24">
        <f>IF($J1111="","",INDEX(lista_dias,WEEKDAY($J1111,2)))</f>
        <v/>
      </c>
      <c r="T1111" s="24">
        <f>IF($J1111="","",IFERROR(INDEX('CALENDARIO'!$C$15:$C$214,MATCH(TEXT($J1111,"yyyy-mm-dd")&amp;"|"&amp;$Y1111&amp;"|"&amp;$Z1111,'CALENDARIO'!$G$15:$G$214,0)),IFERROR(INDEX('CALENDARIO'!$C$15:$C$214,MATCH(TEXT($J1111,"yyyy-mm-dd")&amp;"|"&amp;$Y1111&amp;"|",'CALENDARIO'!$G$15:$G$214,0)),IFERROR(INDEX('CALENDARIO'!$C$15:$C$214,MATCH(TEXT($J1111,"yyyy-mm-dd")&amp;"||",'CALENDARIO'!$G$15:$G$214,0)),INDEX(patronHabil,WEEKDAY($J1111,2))))))</f>
        <v/>
      </c>
      <c r="U1111" s="24">
        <f>IF($I1111="","",IFERROR(INDEX('CAT_TIPOS_OT'!$C$4:$C$23,MATCH($I1111,'CAT_TIPOS_OT'!$A$4:$A$23,0)),"sin_clasificar"))</f>
        <v/>
      </c>
      <c r="V1111" s="24">
        <f>IF($I1111="","",IF(IFERROR(INDEX('CAT_TIPOS_OT'!$D$4:$D$23,MATCH($I1111,'CAT_TIPOS_OT'!$A$4:$A$23,0)),"SIN CLASIFICAR")="","SIN CLASIFICAR",IFERROR(INDEX('CAT_TIPOS_OT'!$D$4:$D$23,MATCH($I1111,'CAT_TIPOS_OT'!$A$4:$A$23,0)),"SIN CLASIFICAR")))</f>
        <v/>
      </c>
      <c r="W1111" s="24">
        <f>IF($H1111="","",IF(IFERROR(INDEX('CAT_ACTIVIDADES'!$F$4:$F$26,MATCH($H1111,'CAT_ACTIVIDADES'!$A$4:$A$26,0)),"")=0,"",IFERROR(INDEX('CAT_ACTIVIDADES'!$F$4:$F$26,MATCH($H1111,'CAT_ACTIVIDADES'!$A$4:$A$26,0)),"")))</f>
        <v/>
      </c>
      <c r="X1111" s="24">
        <f>IF($F1111="","",IFERROR(INDEX('CAT_CENTROS_COSTO'!$F$4:$F$28,MATCH($F1111,'CAT_CENTROS_COSTO'!$A$4:$A$28,0)),"(sin catálogo)"))</f>
        <v/>
      </c>
      <c r="Y1111" s="24">
        <f>IF($F1111="","",IFERROR(INDEX('CAT_CENTROS_COSTO'!$D$4:$D$28,MATCH($F1111,'CAT_CENTROS_COSTO'!$A$4:$A$28,0)),"(sin catálogo)"))</f>
        <v/>
      </c>
      <c r="Z1111" s="24">
        <f>IF($F1111="","",IF((IFERROR(INDEX('CAT_CENTROS_COSTO'!$E$4:$E$28,MATCH($F1111,'CAT_CENTROS_COSTO'!$A$4:$A$28,0)),""))&lt;&gt;"",IFERROR(INDEX('CAT_CENTROS_COSTO'!$E$4:$E$28,MATCH($F1111,'CAT_CENTROS_COSTO'!$A$4:$A$28,0)),""),$Y1111))</f>
        <v/>
      </c>
      <c r="AA1111" s="24">
        <f>IF($F1111="","",IFERROR(INDEX('CAT_CENTROS_COSTO'!$G$4:$G$28,MATCH($F1111,'CAT_CENTROS_COSTO'!$A$4:$A$28,0)),"(sin catálogo)"))</f>
        <v/>
      </c>
      <c r="AB1111" s="24">
        <f>IF($G1111="","",IFERROR(INDEX('CAT_PUESTOS'!$B$4:$B$23,MATCH($G1111,'CAT_PUESTOS'!$A$4:$A$23,0)),"(sin catálogo)"))</f>
        <v/>
      </c>
      <c r="AC1111" s="24">
        <f>IF($H1111="","",IFERROR(INDEX('CAT_ACTIVIDADES'!$B$4:$B$26,MATCH($H1111,'CAT_ACTIVIDADES'!$A$4:$A$26,0)),"(sin catálogo)"))</f>
        <v/>
      </c>
      <c r="AD1111" s="26">
        <f>IF($J1111="","",TODAY()-$J1111)</f>
        <v/>
      </c>
      <c r="AE1111" s="26">
        <f>IF($J1111="","",IF($J1111&lt;=TODAY(),COUNTIFS(cal_fechas,"&gt;="&amp;$J1111,cal_fechas,"&lt;"&amp;TODAY(),cal_habil,"sí"),-COUNTIFS(cal_fechas,"&gt;="&amp;TODAY(),cal_fechas,"&lt;"&amp;$J1111,cal_habil,"sí")))</f>
        <v/>
      </c>
      <c r="AF1111" s="24">
        <f>IF($AE1111="","",IF($AE1111&lt;0,"FUTURO",IF($AE1111&gt;p_dias_backlog_max,"BACKLOG","MES CORRIENTE")))</f>
        <v/>
      </c>
      <c r="AG1111" s="24">
        <f>IF($AE1111="",FALSE,AND($AE1111&gt;p_dias_backlog_min,$AE1111&lt;=p_dias_backlog_max))</f>
        <v/>
      </c>
      <c r="AH1111" s="4" t="n"/>
      <c r="AI1111" s="24">
        <f>IF($AH1111="","",IF((IFERROR(INDEX('ASIGNACIONES'!$J$4:$J$451,MATCH($O1111&amp;"|"&amp;$S1111&amp;"|"&amp;$AH1111,'ASIGNACIONES'!$N$4:$N$451,0)),""))=0,"",IFERROR(INDEX('ASIGNACIONES'!$J$4:$J$451,MATCH($O1111&amp;"|"&amp;$S1111&amp;"|"&amp;$AH1111,'ASIGNACIONES'!$N$4:$N$451,0)),"")))</f>
        <v/>
      </c>
      <c r="AJ1111" s="42">
        <f>IF($AH1111="","",SUMIFS('ORDENES'!$M$4:$M$1203,'ORDENES'!$AH$4:$AH$1203,$AH1111,'ORDENES'!$O$4:$O$1203,$O1111,'ORDENES'!$S$4:$S$1203,$S1111))</f>
        <v/>
      </c>
      <c r="AK1111" s="42">
        <f>IF($AJ1111="","",p_factor_productividad*IFERROR(INDEX('ASIGNACIONES'!$M$4:$M$451,MATCH($O1111&amp;"|"&amp;$S1111&amp;"|"&amp;$AH1111,'ASIGNACIONES'!$N$4:$N$451,0)),0)-$AJ1111)</f>
        <v/>
      </c>
      <c r="AL1111" s="32">
        <f>IF($A1111="","",IFERROR(INDEX('2_IMPORTAR_EJECUCION'!$F$9:$F$1208,MATCH($AU1111,'2_IMPORTAR_EJECUCION'!$J$9:$J$1208,0)),0))</f>
        <v/>
      </c>
      <c r="AM1111" s="32">
        <f>IF($A1111="","",MAX(0,IFERROR(INDEX('2_IMPORTAR_EJECUCION'!$H$9:$H$1208,MATCH($AU1111,'2_IMPORTAR_EJECUCION'!$J$9:$J$1208,0)),0)-$AL1111))</f>
        <v/>
      </c>
      <c r="AN1111" s="32">
        <f>IF($A1111="","",$AL1111+$AM1111)</f>
        <v/>
      </c>
      <c r="AO1111" s="24">
        <f>IF($A1111="","",IF(OR((IFERROR(INDEX('CAT_ACTIVIDADES'!$D$4:$D$26,MATCH($H1111,'CAT_ACTIVIDADES'!$A$4:$A$26,0)),""))=0,(IFERROR(INDEX('CAT_ACTIVIDADES'!$D$4:$D$26,MATCH($H1111,'CAT_ACTIVIDADES'!$A$4:$A$26,0)),""))=""),"SIN CLASIFICAR",IFERROR(INDEX('CAT_ACTIVIDADES'!$D$4:$D$26,MATCH($H1111,'CAT_ACTIVIDADES'!$A$4:$A$26,0)),"")))</f>
        <v/>
      </c>
      <c r="AP1111" s="4" t="n"/>
      <c r="AQ1111" s="4" t="n"/>
      <c r="AR1111" s="4" t="n"/>
      <c r="AS1111" s="24">
        <f>IF($AR1111="","",HYPERLINK(p_ruta_base_checklists&amp;$AR1111,"abrir"))</f>
        <v/>
      </c>
      <c r="AT1111" s="4" t="n"/>
      <c r="AU1111" s="24">
        <f>IF($A1111="","",$A1111&amp;IF($B1111="","0010",$B1111))</f>
        <v/>
      </c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41" t="n"/>
      <c r="K1112" s="5" t="n"/>
      <c r="L1112" s="18" t="n"/>
      <c r="M1112" s="24">
        <f>IF($A1112="","",IFERROR(INDEX('AJUSTES'!$B$4:$B$303,MATCH($AU1112,'AJUSTES'!$A$4:$A$303,0)),IF($K1112="","",$K1112)))</f>
        <v/>
      </c>
      <c r="N1112" s="24">
        <f>IF($A1112="","",IFERROR(INDEX('CAT_ESTADOS_ERP'!$B$4:$B$22,MATCH(IFERROR(INDEX('2_IMPORTAR_EJECUCION'!$C$9:$C$1208,MATCH($AU1112,'2_IMPORTAR_EJECUCION'!$J$9:$J$1208,0)),""),'CAT_ESTADOS_ERP'!$A$4:$A$22,0)),"Pendiente"))</f>
        <v/>
      </c>
      <c r="O1112" s="24">
        <f>IF($J1112="","",YEAR($J1112+4-WEEKDAY($J1112,2))&amp;"-S"&amp;TEXT(_xlfn.ISOWEEKNUM($J1112),"00"))</f>
        <v/>
      </c>
      <c r="P1112" s="24">
        <f>IF($J1112="","",YEAR($J1112))</f>
        <v/>
      </c>
      <c r="Q1112" s="24">
        <f>IF($J1112="","",MONTH($J1112))</f>
        <v/>
      </c>
      <c r="R1112" s="24">
        <f>IF($J1112="","",$P1112&amp;"-"&amp;TEXT($Q1112,"00"))</f>
        <v/>
      </c>
      <c r="S1112" s="24">
        <f>IF($J1112="","",INDEX(lista_dias,WEEKDAY($J1112,2)))</f>
        <v/>
      </c>
      <c r="T1112" s="24">
        <f>IF($J1112="","",IFERROR(INDEX('CALENDARIO'!$C$15:$C$214,MATCH(TEXT($J1112,"yyyy-mm-dd")&amp;"|"&amp;$Y1112&amp;"|"&amp;$Z1112,'CALENDARIO'!$G$15:$G$214,0)),IFERROR(INDEX('CALENDARIO'!$C$15:$C$214,MATCH(TEXT($J1112,"yyyy-mm-dd")&amp;"|"&amp;$Y1112&amp;"|",'CALENDARIO'!$G$15:$G$214,0)),IFERROR(INDEX('CALENDARIO'!$C$15:$C$214,MATCH(TEXT($J1112,"yyyy-mm-dd")&amp;"||",'CALENDARIO'!$G$15:$G$214,0)),INDEX(patronHabil,WEEKDAY($J1112,2))))))</f>
        <v/>
      </c>
      <c r="U1112" s="24">
        <f>IF($I1112="","",IFERROR(INDEX('CAT_TIPOS_OT'!$C$4:$C$23,MATCH($I1112,'CAT_TIPOS_OT'!$A$4:$A$23,0)),"sin_clasificar"))</f>
        <v/>
      </c>
      <c r="V1112" s="24">
        <f>IF($I1112="","",IF(IFERROR(INDEX('CAT_TIPOS_OT'!$D$4:$D$23,MATCH($I1112,'CAT_TIPOS_OT'!$A$4:$A$23,0)),"SIN CLASIFICAR")="","SIN CLASIFICAR",IFERROR(INDEX('CAT_TIPOS_OT'!$D$4:$D$23,MATCH($I1112,'CAT_TIPOS_OT'!$A$4:$A$23,0)),"SIN CLASIFICAR")))</f>
        <v/>
      </c>
      <c r="W1112" s="24">
        <f>IF($H1112="","",IF(IFERROR(INDEX('CAT_ACTIVIDADES'!$F$4:$F$26,MATCH($H1112,'CAT_ACTIVIDADES'!$A$4:$A$26,0)),"")=0,"",IFERROR(INDEX('CAT_ACTIVIDADES'!$F$4:$F$26,MATCH($H1112,'CAT_ACTIVIDADES'!$A$4:$A$26,0)),"")))</f>
        <v/>
      </c>
      <c r="X1112" s="24">
        <f>IF($F1112="","",IFERROR(INDEX('CAT_CENTROS_COSTO'!$F$4:$F$28,MATCH($F1112,'CAT_CENTROS_COSTO'!$A$4:$A$28,0)),"(sin catálogo)"))</f>
        <v/>
      </c>
      <c r="Y1112" s="24">
        <f>IF($F1112="","",IFERROR(INDEX('CAT_CENTROS_COSTO'!$D$4:$D$28,MATCH($F1112,'CAT_CENTROS_COSTO'!$A$4:$A$28,0)),"(sin catálogo)"))</f>
        <v/>
      </c>
      <c r="Z1112" s="24">
        <f>IF($F1112="","",IF((IFERROR(INDEX('CAT_CENTROS_COSTO'!$E$4:$E$28,MATCH($F1112,'CAT_CENTROS_COSTO'!$A$4:$A$28,0)),""))&lt;&gt;"",IFERROR(INDEX('CAT_CENTROS_COSTO'!$E$4:$E$28,MATCH($F1112,'CAT_CENTROS_COSTO'!$A$4:$A$28,0)),""),$Y1112))</f>
        <v/>
      </c>
      <c r="AA1112" s="24">
        <f>IF($F1112="","",IFERROR(INDEX('CAT_CENTROS_COSTO'!$G$4:$G$28,MATCH($F1112,'CAT_CENTROS_COSTO'!$A$4:$A$28,0)),"(sin catálogo)"))</f>
        <v/>
      </c>
      <c r="AB1112" s="24">
        <f>IF($G1112="","",IFERROR(INDEX('CAT_PUESTOS'!$B$4:$B$23,MATCH($G1112,'CAT_PUESTOS'!$A$4:$A$23,0)),"(sin catálogo)"))</f>
        <v/>
      </c>
      <c r="AC1112" s="24">
        <f>IF($H1112="","",IFERROR(INDEX('CAT_ACTIVIDADES'!$B$4:$B$26,MATCH($H1112,'CAT_ACTIVIDADES'!$A$4:$A$26,0)),"(sin catálogo)"))</f>
        <v/>
      </c>
      <c r="AD1112" s="26">
        <f>IF($J1112="","",TODAY()-$J1112)</f>
        <v/>
      </c>
      <c r="AE1112" s="26">
        <f>IF($J1112="","",IF($J1112&lt;=TODAY(),COUNTIFS(cal_fechas,"&gt;="&amp;$J1112,cal_fechas,"&lt;"&amp;TODAY(),cal_habil,"sí"),-COUNTIFS(cal_fechas,"&gt;="&amp;TODAY(),cal_fechas,"&lt;"&amp;$J1112,cal_habil,"sí")))</f>
        <v/>
      </c>
      <c r="AF1112" s="24">
        <f>IF($AE1112="","",IF($AE1112&lt;0,"FUTURO",IF($AE1112&gt;p_dias_backlog_max,"BACKLOG","MES CORRIENTE")))</f>
        <v/>
      </c>
      <c r="AG1112" s="24">
        <f>IF($AE1112="",FALSE,AND($AE1112&gt;p_dias_backlog_min,$AE1112&lt;=p_dias_backlog_max))</f>
        <v/>
      </c>
      <c r="AH1112" s="4" t="n"/>
      <c r="AI1112" s="24">
        <f>IF($AH1112="","",IF((IFERROR(INDEX('ASIGNACIONES'!$J$4:$J$451,MATCH($O1112&amp;"|"&amp;$S1112&amp;"|"&amp;$AH1112,'ASIGNACIONES'!$N$4:$N$451,0)),""))=0,"",IFERROR(INDEX('ASIGNACIONES'!$J$4:$J$451,MATCH($O1112&amp;"|"&amp;$S1112&amp;"|"&amp;$AH1112,'ASIGNACIONES'!$N$4:$N$451,0)),"")))</f>
        <v/>
      </c>
      <c r="AJ1112" s="42">
        <f>IF($AH1112="","",SUMIFS('ORDENES'!$M$4:$M$1203,'ORDENES'!$AH$4:$AH$1203,$AH1112,'ORDENES'!$O$4:$O$1203,$O1112,'ORDENES'!$S$4:$S$1203,$S1112))</f>
        <v/>
      </c>
      <c r="AK1112" s="42">
        <f>IF($AJ1112="","",p_factor_productividad*IFERROR(INDEX('ASIGNACIONES'!$M$4:$M$451,MATCH($O1112&amp;"|"&amp;$S1112&amp;"|"&amp;$AH1112,'ASIGNACIONES'!$N$4:$N$451,0)),0)-$AJ1112)</f>
        <v/>
      </c>
      <c r="AL1112" s="32">
        <f>IF($A1112="","",IFERROR(INDEX('2_IMPORTAR_EJECUCION'!$F$9:$F$1208,MATCH($AU1112,'2_IMPORTAR_EJECUCION'!$J$9:$J$1208,0)),0))</f>
        <v/>
      </c>
      <c r="AM1112" s="32">
        <f>IF($A1112="","",MAX(0,IFERROR(INDEX('2_IMPORTAR_EJECUCION'!$H$9:$H$1208,MATCH($AU1112,'2_IMPORTAR_EJECUCION'!$J$9:$J$1208,0)),0)-$AL1112))</f>
        <v/>
      </c>
      <c r="AN1112" s="32">
        <f>IF($A1112="","",$AL1112+$AM1112)</f>
        <v/>
      </c>
      <c r="AO1112" s="24">
        <f>IF($A1112="","",IF(OR((IFERROR(INDEX('CAT_ACTIVIDADES'!$D$4:$D$26,MATCH($H1112,'CAT_ACTIVIDADES'!$A$4:$A$26,0)),""))=0,(IFERROR(INDEX('CAT_ACTIVIDADES'!$D$4:$D$26,MATCH($H1112,'CAT_ACTIVIDADES'!$A$4:$A$26,0)),""))=""),"SIN CLASIFICAR",IFERROR(INDEX('CAT_ACTIVIDADES'!$D$4:$D$26,MATCH($H1112,'CAT_ACTIVIDADES'!$A$4:$A$26,0)),"")))</f>
        <v/>
      </c>
      <c r="AP1112" s="4" t="n"/>
      <c r="AQ1112" s="4" t="n"/>
      <c r="AR1112" s="4" t="n"/>
      <c r="AS1112" s="24">
        <f>IF($AR1112="","",HYPERLINK(p_ruta_base_checklists&amp;$AR1112,"abrir"))</f>
        <v/>
      </c>
      <c r="AT1112" s="4" t="n"/>
      <c r="AU1112" s="24">
        <f>IF($A1112="","",$A1112&amp;IF($B1112="","0010",$B1112))</f>
        <v/>
      </c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41" t="n"/>
      <c r="K1113" s="5" t="n"/>
      <c r="L1113" s="18" t="n"/>
      <c r="M1113" s="24">
        <f>IF($A1113="","",IFERROR(INDEX('AJUSTES'!$B$4:$B$303,MATCH($AU1113,'AJUSTES'!$A$4:$A$303,0)),IF($K1113="","",$K1113)))</f>
        <v/>
      </c>
      <c r="N1113" s="24">
        <f>IF($A1113="","",IFERROR(INDEX('CAT_ESTADOS_ERP'!$B$4:$B$22,MATCH(IFERROR(INDEX('2_IMPORTAR_EJECUCION'!$C$9:$C$1208,MATCH($AU1113,'2_IMPORTAR_EJECUCION'!$J$9:$J$1208,0)),""),'CAT_ESTADOS_ERP'!$A$4:$A$22,0)),"Pendiente"))</f>
        <v/>
      </c>
      <c r="O1113" s="24">
        <f>IF($J1113="","",YEAR($J1113+4-WEEKDAY($J1113,2))&amp;"-S"&amp;TEXT(_xlfn.ISOWEEKNUM($J1113),"00"))</f>
        <v/>
      </c>
      <c r="P1113" s="24">
        <f>IF($J1113="","",YEAR($J1113))</f>
        <v/>
      </c>
      <c r="Q1113" s="24">
        <f>IF($J1113="","",MONTH($J1113))</f>
        <v/>
      </c>
      <c r="R1113" s="24">
        <f>IF($J1113="","",$P1113&amp;"-"&amp;TEXT($Q1113,"00"))</f>
        <v/>
      </c>
      <c r="S1113" s="24">
        <f>IF($J1113="","",INDEX(lista_dias,WEEKDAY($J1113,2)))</f>
        <v/>
      </c>
      <c r="T1113" s="24">
        <f>IF($J1113="","",IFERROR(INDEX('CALENDARIO'!$C$15:$C$214,MATCH(TEXT($J1113,"yyyy-mm-dd")&amp;"|"&amp;$Y1113&amp;"|"&amp;$Z1113,'CALENDARIO'!$G$15:$G$214,0)),IFERROR(INDEX('CALENDARIO'!$C$15:$C$214,MATCH(TEXT($J1113,"yyyy-mm-dd")&amp;"|"&amp;$Y1113&amp;"|",'CALENDARIO'!$G$15:$G$214,0)),IFERROR(INDEX('CALENDARIO'!$C$15:$C$214,MATCH(TEXT($J1113,"yyyy-mm-dd")&amp;"||",'CALENDARIO'!$G$15:$G$214,0)),INDEX(patronHabil,WEEKDAY($J1113,2))))))</f>
        <v/>
      </c>
      <c r="U1113" s="24">
        <f>IF($I1113="","",IFERROR(INDEX('CAT_TIPOS_OT'!$C$4:$C$23,MATCH($I1113,'CAT_TIPOS_OT'!$A$4:$A$23,0)),"sin_clasificar"))</f>
        <v/>
      </c>
      <c r="V1113" s="24">
        <f>IF($I1113="","",IF(IFERROR(INDEX('CAT_TIPOS_OT'!$D$4:$D$23,MATCH($I1113,'CAT_TIPOS_OT'!$A$4:$A$23,0)),"SIN CLASIFICAR")="","SIN CLASIFICAR",IFERROR(INDEX('CAT_TIPOS_OT'!$D$4:$D$23,MATCH($I1113,'CAT_TIPOS_OT'!$A$4:$A$23,0)),"SIN CLASIFICAR")))</f>
        <v/>
      </c>
      <c r="W1113" s="24">
        <f>IF($H1113="","",IF(IFERROR(INDEX('CAT_ACTIVIDADES'!$F$4:$F$26,MATCH($H1113,'CAT_ACTIVIDADES'!$A$4:$A$26,0)),"")=0,"",IFERROR(INDEX('CAT_ACTIVIDADES'!$F$4:$F$26,MATCH($H1113,'CAT_ACTIVIDADES'!$A$4:$A$26,0)),"")))</f>
        <v/>
      </c>
      <c r="X1113" s="24">
        <f>IF($F1113="","",IFERROR(INDEX('CAT_CENTROS_COSTO'!$F$4:$F$28,MATCH($F1113,'CAT_CENTROS_COSTO'!$A$4:$A$28,0)),"(sin catálogo)"))</f>
        <v/>
      </c>
      <c r="Y1113" s="24">
        <f>IF($F1113="","",IFERROR(INDEX('CAT_CENTROS_COSTO'!$D$4:$D$28,MATCH($F1113,'CAT_CENTROS_COSTO'!$A$4:$A$28,0)),"(sin catálogo)"))</f>
        <v/>
      </c>
      <c r="Z1113" s="24">
        <f>IF($F1113="","",IF((IFERROR(INDEX('CAT_CENTROS_COSTO'!$E$4:$E$28,MATCH($F1113,'CAT_CENTROS_COSTO'!$A$4:$A$28,0)),""))&lt;&gt;"",IFERROR(INDEX('CAT_CENTROS_COSTO'!$E$4:$E$28,MATCH($F1113,'CAT_CENTROS_COSTO'!$A$4:$A$28,0)),""),$Y1113))</f>
        <v/>
      </c>
      <c r="AA1113" s="24">
        <f>IF($F1113="","",IFERROR(INDEX('CAT_CENTROS_COSTO'!$G$4:$G$28,MATCH($F1113,'CAT_CENTROS_COSTO'!$A$4:$A$28,0)),"(sin catálogo)"))</f>
        <v/>
      </c>
      <c r="AB1113" s="24">
        <f>IF($G1113="","",IFERROR(INDEX('CAT_PUESTOS'!$B$4:$B$23,MATCH($G1113,'CAT_PUESTOS'!$A$4:$A$23,0)),"(sin catálogo)"))</f>
        <v/>
      </c>
      <c r="AC1113" s="24">
        <f>IF($H1113="","",IFERROR(INDEX('CAT_ACTIVIDADES'!$B$4:$B$26,MATCH($H1113,'CAT_ACTIVIDADES'!$A$4:$A$26,0)),"(sin catálogo)"))</f>
        <v/>
      </c>
      <c r="AD1113" s="26">
        <f>IF($J1113="","",TODAY()-$J1113)</f>
        <v/>
      </c>
      <c r="AE1113" s="26">
        <f>IF($J1113="","",IF($J1113&lt;=TODAY(),COUNTIFS(cal_fechas,"&gt;="&amp;$J1113,cal_fechas,"&lt;"&amp;TODAY(),cal_habil,"sí"),-COUNTIFS(cal_fechas,"&gt;="&amp;TODAY(),cal_fechas,"&lt;"&amp;$J1113,cal_habil,"sí")))</f>
        <v/>
      </c>
      <c r="AF1113" s="24">
        <f>IF($AE1113="","",IF($AE1113&lt;0,"FUTURO",IF($AE1113&gt;p_dias_backlog_max,"BACKLOG","MES CORRIENTE")))</f>
        <v/>
      </c>
      <c r="AG1113" s="24">
        <f>IF($AE1113="",FALSE,AND($AE1113&gt;p_dias_backlog_min,$AE1113&lt;=p_dias_backlog_max))</f>
        <v/>
      </c>
      <c r="AH1113" s="4" t="n"/>
      <c r="AI1113" s="24">
        <f>IF($AH1113="","",IF((IFERROR(INDEX('ASIGNACIONES'!$J$4:$J$451,MATCH($O1113&amp;"|"&amp;$S1113&amp;"|"&amp;$AH1113,'ASIGNACIONES'!$N$4:$N$451,0)),""))=0,"",IFERROR(INDEX('ASIGNACIONES'!$J$4:$J$451,MATCH($O1113&amp;"|"&amp;$S1113&amp;"|"&amp;$AH1113,'ASIGNACIONES'!$N$4:$N$451,0)),"")))</f>
        <v/>
      </c>
      <c r="AJ1113" s="42">
        <f>IF($AH1113="","",SUMIFS('ORDENES'!$M$4:$M$1203,'ORDENES'!$AH$4:$AH$1203,$AH1113,'ORDENES'!$O$4:$O$1203,$O1113,'ORDENES'!$S$4:$S$1203,$S1113))</f>
        <v/>
      </c>
      <c r="AK1113" s="42">
        <f>IF($AJ1113="","",p_factor_productividad*IFERROR(INDEX('ASIGNACIONES'!$M$4:$M$451,MATCH($O1113&amp;"|"&amp;$S1113&amp;"|"&amp;$AH1113,'ASIGNACIONES'!$N$4:$N$451,0)),0)-$AJ1113)</f>
        <v/>
      </c>
      <c r="AL1113" s="32">
        <f>IF($A1113="","",IFERROR(INDEX('2_IMPORTAR_EJECUCION'!$F$9:$F$1208,MATCH($AU1113,'2_IMPORTAR_EJECUCION'!$J$9:$J$1208,0)),0))</f>
        <v/>
      </c>
      <c r="AM1113" s="32">
        <f>IF($A1113="","",MAX(0,IFERROR(INDEX('2_IMPORTAR_EJECUCION'!$H$9:$H$1208,MATCH($AU1113,'2_IMPORTAR_EJECUCION'!$J$9:$J$1208,0)),0)-$AL1113))</f>
        <v/>
      </c>
      <c r="AN1113" s="32">
        <f>IF($A1113="","",$AL1113+$AM1113)</f>
        <v/>
      </c>
      <c r="AO1113" s="24">
        <f>IF($A1113="","",IF(OR((IFERROR(INDEX('CAT_ACTIVIDADES'!$D$4:$D$26,MATCH($H1113,'CAT_ACTIVIDADES'!$A$4:$A$26,0)),""))=0,(IFERROR(INDEX('CAT_ACTIVIDADES'!$D$4:$D$26,MATCH($H1113,'CAT_ACTIVIDADES'!$A$4:$A$26,0)),""))=""),"SIN CLASIFICAR",IFERROR(INDEX('CAT_ACTIVIDADES'!$D$4:$D$26,MATCH($H1113,'CAT_ACTIVIDADES'!$A$4:$A$26,0)),"")))</f>
        <v/>
      </c>
      <c r="AP1113" s="4" t="n"/>
      <c r="AQ1113" s="4" t="n"/>
      <c r="AR1113" s="4" t="n"/>
      <c r="AS1113" s="24">
        <f>IF($AR1113="","",HYPERLINK(p_ruta_base_checklists&amp;$AR1113,"abrir"))</f>
        <v/>
      </c>
      <c r="AT1113" s="4" t="n"/>
      <c r="AU1113" s="24">
        <f>IF($A1113="","",$A1113&amp;IF($B1113="","0010",$B1113))</f>
        <v/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41" t="n"/>
      <c r="K1114" s="5" t="n"/>
      <c r="L1114" s="18" t="n"/>
      <c r="M1114" s="24">
        <f>IF($A1114="","",IFERROR(INDEX('AJUSTES'!$B$4:$B$303,MATCH($AU1114,'AJUSTES'!$A$4:$A$303,0)),IF($K1114="","",$K1114)))</f>
        <v/>
      </c>
      <c r="N1114" s="24">
        <f>IF($A1114="","",IFERROR(INDEX('CAT_ESTADOS_ERP'!$B$4:$B$22,MATCH(IFERROR(INDEX('2_IMPORTAR_EJECUCION'!$C$9:$C$1208,MATCH($AU1114,'2_IMPORTAR_EJECUCION'!$J$9:$J$1208,0)),""),'CAT_ESTADOS_ERP'!$A$4:$A$22,0)),"Pendiente"))</f>
        <v/>
      </c>
      <c r="O1114" s="24">
        <f>IF($J1114="","",YEAR($J1114+4-WEEKDAY($J1114,2))&amp;"-S"&amp;TEXT(_xlfn.ISOWEEKNUM($J1114),"00"))</f>
        <v/>
      </c>
      <c r="P1114" s="24">
        <f>IF($J1114="","",YEAR($J1114))</f>
        <v/>
      </c>
      <c r="Q1114" s="24">
        <f>IF($J1114="","",MONTH($J1114))</f>
        <v/>
      </c>
      <c r="R1114" s="24">
        <f>IF($J1114="","",$P1114&amp;"-"&amp;TEXT($Q1114,"00"))</f>
        <v/>
      </c>
      <c r="S1114" s="24">
        <f>IF($J1114="","",INDEX(lista_dias,WEEKDAY($J1114,2)))</f>
        <v/>
      </c>
      <c r="T1114" s="24">
        <f>IF($J1114="","",IFERROR(INDEX('CALENDARIO'!$C$15:$C$214,MATCH(TEXT($J1114,"yyyy-mm-dd")&amp;"|"&amp;$Y1114&amp;"|"&amp;$Z1114,'CALENDARIO'!$G$15:$G$214,0)),IFERROR(INDEX('CALENDARIO'!$C$15:$C$214,MATCH(TEXT($J1114,"yyyy-mm-dd")&amp;"|"&amp;$Y1114&amp;"|",'CALENDARIO'!$G$15:$G$214,0)),IFERROR(INDEX('CALENDARIO'!$C$15:$C$214,MATCH(TEXT($J1114,"yyyy-mm-dd")&amp;"||",'CALENDARIO'!$G$15:$G$214,0)),INDEX(patronHabil,WEEKDAY($J1114,2))))))</f>
        <v/>
      </c>
      <c r="U1114" s="24">
        <f>IF($I1114="","",IFERROR(INDEX('CAT_TIPOS_OT'!$C$4:$C$23,MATCH($I1114,'CAT_TIPOS_OT'!$A$4:$A$23,0)),"sin_clasificar"))</f>
        <v/>
      </c>
      <c r="V1114" s="24">
        <f>IF($I1114="","",IF(IFERROR(INDEX('CAT_TIPOS_OT'!$D$4:$D$23,MATCH($I1114,'CAT_TIPOS_OT'!$A$4:$A$23,0)),"SIN CLASIFICAR")="","SIN CLASIFICAR",IFERROR(INDEX('CAT_TIPOS_OT'!$D$4:$D$23,MATCH($I1114,'CAT_TIPOS_OT'!$A$4:$A$23,0)),"SIN CLASIFICAR")))</f>
        <v/>
      </c>
      <c r="W1114" s="24">
        <f>IF($H1114="","",IF(IFERROR(INDEX('CAT_ACTIVIDADES'!$F$4:$F$26,MATCH($H1114,'CAT_ACTIVIDADES'!$A$4:$A$26,0)),"")=0,"",IFERROR(INDEX('CAT_ACTIVIDADES'!$F$4:$F$26,MATCH($H1114,'CAT_ACTIVIDADES'!$A$4:$A$26,0)),"")))</f>
        <v/>
      </c>
      <c r="X1114" s="24">
        <f>IF($F1114="","",IFERROR(INDEX('CAT_CENTROS_COSTO'!$F$4:$F$28,MATCH($F1114,'CAT_CENTROS_COSTO'!$A$4:$A$28,0)),"(sin catálogo)"))</f>
        <v/>
      </c>
      <c r="Y1114" s="24">
        <f>IF($F1114="","",IFERROR(INDEX('CAT_CENTROS_COSTO'!$D$4:$D$28,MATCH($F1114,'CAT_CENTROS_COSTO'!$A$4:$A$28,0)),"(sin catálogo)"))</f>
        <v/>
      </c>
      <c r="Z1114" s="24">
        <f>IF($F1114="","",IF((IFERROR(INDEX('CAT_CENTROS_COSTO'!$E$4:$E$28,MATCH($F1114,'CAT_CENTROS_COSTO'!$A$4:$A$28,0)),""))&lt;&gt;"",IFERROR(INDEX('CAT_CENTROS_COSTO'!$E$4:$E$28,MATCH($F1114,'CAT_CENTROS_COSTO'!$A$4:$A$28,0)),""),$Y1114))</f>
        <v/>
      </c>
      <c r="AA1114" s="24">
        <f>IF($F1114="","",IFERROR(INDEX('CAT_CENTROS_COSTO'!$G$4:$G$28,MATCH($F1114,'CAT_CENTROS_COSTO'!$A$4:$A$28,0)),"(sin catálogo)"))</f>
        <v/>
      </c>
      <c r="AB1114" s="24">
        <f>IF($G1114="","",IFERROR(INDEX('CAT_PUESTOS'!$B$4:$B$23,MATCH($G1114,'CAT_PUESTOS'!$A$4:$A$23,0)),"(sin catálogo)"))</f>
        <v/>
      </c>
      <c r="AC1114" s="24">
        <f>IF($H1114="","",IFERROR(INDEX('CAT_ACTIVIDADES'!$B$4:$B$26,MATCH($H1114,'CAT_ACTIVIDADES'!$A$4:$A$26,0)),"(sin catálogo)"))</f>
        <v/>
      </c>
      <c r="AD1114" s="26">
        <f>IF($J1114="","",TODAY()-$J1114)</f>
        <v/>
      </c>
      <c r="AE1114" s="26">
        <f>IF($J1114="","",IF($J1114&lt;=TODAY(),COUNTIFS(cal_fechas,"&gt;="&amp;$J1114,cal_fechas,"&lt;"&amp;TODAY(),cal_habil,"sí"),-COUNTIFS(cal_fechas,"&gt;="&amp;TODAY(),cal_fechas,"&lt;"&amp;$J1114,cal_habil,"sí")))</f>
        <v/>
      </c>
      <c r="AF1114" s="24">
        <f>IF($AE1114="","",IF($AE1114&lt;0,"FUTURO",IF($AE1114&gt;p_dias_backlog_max,"BACKLOG","MES CORRIENTE")))</f>
        <v/>
      </c>
      <c r="AG1114" s="24">
        <f>IF($AE1114="",FALSE,AND($AE1114&gt;p_dias_backlog_min,$AE1114&lt;=p_dias_backlog_max))</f>
        <v/>
      </c>
      <c r="AH1114" s="4" t="n"/>
      <c r="AI1114" s="24">
        <f>IF($AH1114="","",IF((IFERROR(INDEX('ASIGNACIONES'!$J$4:$J$451,MATCH($O1114&amp;"|"&amp;$S1114&amp;"|"&amp;$AH1114,'ASIGNACIONES'!$N$4:$N$451,0)),""))=0,"",IFERROR(INDEX('ASIGNACIONES'!$J$4:$J$451,MATCH($O1114&amp;"|"&amp;$S1114&amp;"|"&amp;$AH1114,'ASIGNACIONES'!$N$4:$N$451,0)),"")))</f>
        <v/>
      </c>
      <c r="AJ1114" s="42">
        <f>IF($AH1114="","",SUMIFS('ORDENES'!$M$4:$M$1203,'ORDENES'!$AH$4:$AH$1203,$AH1114,'ORDENES'!$O$4:$O$1203,$O1114,'ORDENES'!$S$4:$S$1203,$S1114))</f>
        <v/>
      </c>
      <c r="AK1114" s="42">
        <f>IF($AJ1114="","",p_factor_productividad*IFERROR(INDEX('ASIGNACIONES'!$M$4:$M$451,MATCH($O1114&amp;"|"&amp;$S1114&amp;"|"&amp;$AH1114,'ASIGNACIONES'!$N$4:$N$451,0)),0)-$AJ1114)</f>
        <v/>
      </c>
      <c r="AL1114" s="32">
        <f>IF($A1114="","",IFERROR(INDEX('2_IMPORTAR_EJECUCION'!$F$9:$F$1208,MATCH($AU1114,'2_IMPORTAR_EJECUCION'!$J$9:$J$1208,0)),0))</f>
        <v/>
      </c>
      <c r="AM1114" s="32">
        <f>IF($A1114="","",MAX(0,IFERROR(INDEX('2_IMPORTAR_EJECUCION'!$H$9:$H$1208,MATCH($AU1114,'2_IMPORTAR_EJECUCION'!$J$9:$J$1208,0)),0)-$AL1114))</f>
        <v/>
      </c>
      <c r="AN1114" s="32">
        <f>IF($A1114="","",$AL1114+$AM1114)</f>
        <v/>
      </c>
      <c r="AO1114" s="24">
        <f>IF($A1114="","",IF(OR((IFERROR(INDEX('CAT_ACTIVIDADES'!$D$4:$D$26,MATCH($H1114,'CAT_ACTIVIDADES'!$A$4:$A$26,0)),""))=0,(IFERROR(INDEX('CAT_ACTIVIDADES'!$D$4:$D$26,MATCH($H1114,'CAT_ACTIVIDADES'!$A$4:$A$26,0)),""))=""),"SIN CLASIFICAR",IFERROR(INDEX('CAT_ACTIVIDADES'!$D$4:$D$26,MATCH($H1114,'CAT_ACTIVIDADES'!$A$4:$A$26,0)),"")))</f>
        <v/>
      </c>
      <c r="AP1114" s="4" t="n"/>
      <c r="AQ1114" s="4" t="n"/>
      <c r="AR1114" s="4" t="n"/>
      <c r="AS1114" s="24">
        <f>IF($AR1114="","",HYPERLINK(p_ruta_base_checklists&amp;$AR1114,"abrir"))</f>
        <v/>
      </c>
      <c r="AT1114" s="4" t="n"/>
      <c r="AU1114" s="24">
        <f>IF($A1114="","",$A1114&amp;IF($B1114="","0010",$B1114))</f>
        <v/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41" t="n"/>
      <c r="K1115" s="5" t="n"/>
      <c r="L1115" s="18" t="n"/>
      <c r="M1115" s="24">
        <f>IF($A1115="","",IFERROR(INDEX('AJUSTES'!$B$4:$B$303,MATCH($AU1115,'AJUSTES'!$A$4:$A$303,0)),IF($K1115="","",$K1115)))</f>
        <v/>
      </c>
      <c r="N1115" s="24">
        <f>IF($A1115="","",IFERROR(INDEX('CAT_ESTADOS_ERP'!$B$4:$B$22,MATCH(IFERROR(INDEX('2_IMPORTAR_EJECUCION'!$C$9:$C$1208,MATCH($AU1115,'2_IMPORTAR_EJECUCION'!$J$9:$J$1208,0)),""),'CAT_ESTADOS_ERP'!$A$4:$A$22,0)),"Pendiente"))</f>
        <v/>
      </c>
      <c r="O1115" s="24">
        <f>IF($J1115="","",YEAR($J1115+4-WEEKDAY($J1115,2))&amp;"-S"&amp;TEXT(_xlfn.ISOWEEKNUM($J1115),"00"))</f>
        <v/>
      </c>
      <c r="P1115" s="24">
        <f>IF($J1115="","",YEAR($J1115))</f>
        <v/>
      </c>
      <c r="Q1115" s="24">
        <f>IF($J1115="","",MONTH($J1115))</f>
        <v/>
      </c>
      <c r="R1115" s="24">
        <f>IF($J1115="","",$P1115&amp;"-"&amp;TEXT($Q1115,"00"))</f>
        <v/>
      </c>
      <c r="S1115" s="24">
        <f>IF($J1115="","",INDEX(lista_dias,WEEKDAY($J1115,2)))</f>
        <v/>
      </c>
      <c r="T1115" s="24">
        <f>IF($J1115="","",IFERROR(INDEX('CALENDARIO'!$C$15:$C$214,MATCH(TEXT($J1115,"yyyy-mm-dd")&amp;"|"&amp;$Y1115&amp;"|"&amp;$Z1115,'CALENDARIO'!$G$15:$G$214,0)),IFERROR(INDEX('CALENDARIO'!$C$15:$C$214,MATCH(TEXT($J1115,"yyyy-mm-dd")&amp;"|"&amp;$Y1115&amp;"|",'CALENDARIO'!$G$15:$G$214,0)),IFERROR(INDEX('CALENDARIO'!$C$15:$C$214,MATCH(TEXT($J1115,"yyyy-mm-dd")&amp;"||",'CALENDARIO'!$G$15:$G$214,0)),INDEX(patronHabil,WEEKDAY($J1115,2))))))</f>
        <v/>
      </c>
      <c r="U1115" s="24">
        <f>IF($I1115="","",IFERROR(INDEX('CAT_TIPOS_OT'!$C$4:$C$23,MATCH($I1115,'CAT_TIPOS_OT'!$A$4:$A$23,0)),"sin_clasificar"))</f>
        <v/>
      </c>
      <c r="V1115" s="24">
        <f>IF($I1115="","",IF(IFERROR(INDEX('CAT_TIPOS_OT'!$D$4:$D$23,MATCH($I1115,'CAT_TIPOS_OT'!$A$4:$A$23,0)),"SIN CLASIFICAR")="","SIN CLASIFICAR",IFERROR(INDEX('CAT_TIPOS_OT'!$D$4:$D$23,MATCH($I1115,'CAT_TIPOS_OT'!$A$4:$A$23,0)),"SIN CLASIFICAR")))</f>
        <v/>
      </c>
      <c r="W1115" s="24">
        <f>IF($H1115="","",IF(IFERROR(INDEX('CAT_ACTIVIDADES'!$F$4:$F$26,MATCH($H1115,'CAT_ACTIVIDADES'!$A$4:$A$26,0)),"")=0,"",IFERROR(INDEX('CAT_ACTIVIDADES'!$F$4:$F$26,MATCH($H1115,'CAT_ACTIVIDADES'!$A$4:$A$26,0)),"")))</f>
        <v/>
      </c>
      <c r="X1115" s="24">
        <f>IF($F1115="","",IFERROR(INDEX('CAT_CENTROS_COSTO'!$F$4:$F$28,MATCH($F1115,'CAT_CENTROS_COSTO'!$A$4:$A$28,0)),"(sin catálogo)"))</f>
        <v/>
      </c>
      <c r="Y1115" s="24">
        <f>IF($F1115="","",IFERROR(INDEX('CAT_CENTROS_COSTO'!$D$4:$D$28,MATCH($F1115,'CAT_CENTROS_COSTO'!$A$4:$A$28,0)),"(sin catálogo)"))</f>
        <v/>
      </c>
      <c r="Z1115" s="24">
        <f>IF($F1115="","",IF((IFERROR(INDEX('CAT_CENTROS_COSTO'!$E$4:$E$28,MATCH($F1115,'CAT_CENTROS_COSTO'!$A$4:$A$28,0)),""))&lt;&gt;"",IFERROR(INDEX('CAT_CENTROS_COSTO'!$E$4:$E$28,MATCH($F1115,'CAT_CENTROS_COSTO'!$A$4:$A$28,0)),""),$Y1115))</f>
        <v/>
      </c>
      <c r="AA1115" s="24">
        <f>IF($F1115="","",IFERROR(INDEX('CAT_CENTROS_COSTO'!$G$4:$G$28,MATCH($F1115,'CAT_CENTROS_COSTO'!$A$4:$A$28,0)),"(sin catálogo)"))</f>
        <v/>
      </c>
      <c r="AB1115" s="24">
        <f>IF($G1115="","",IFERROR(INDEX('CAT_PUESTOS'!$B$4:$B$23,MATCH($G1115,'CAT_PUESTOS'!$A$4:$A$23,0)),"(sin catálogo)"))</f>
        <v/>
      </c>
      <c r="AC1115" s="24">
        <f>IF($H1115="","",IFERROR(INDEX('CAT_ACTIVIDADES'!$B$4:$B$26,MATCH($H1115,'CAT_ACTIVIDADES'!$A$4:$A$26,0)),"(sin catálogo)"))</f>
        <v/>
      </c>
      <c r="AD1115" s="26">
        <f>IF($J1115="","",TODAY()-$J1115)</f>
        <v/>
      </c>
      <c r="AE1115" s="26">
        <f>IF($J1115="","",IF($J1115&lt;=TODAY(),COUNTIFS(cal_fechas,"&gt;="&amp;$J1115,cal_fechas,"&lt;"&amp;TODAY(),cal_habil,"sí"),-COUNTIFS(cal_fechas,"&gt;="&amp;TODAY(),cal_fechas,"&lt;"&amp;$J1115,cal_habil,"sí")))</f>
        <v/>
      </c>
      <c r="AF1115" s="24">
        <f>IF($AE1115="","",IF($AE1115&lt;0,"FUTURO",IF($AE1115&gt;p_dias_backlog_max,"BACKLOG","MES CORRIENTE")))</f>
        <v/>
      </c>
      <c r="AG1115" s="24">
        <f>IF($AE1115="",FALSE,AND($AE1115&gt;p_dias_backlog_min,$AE1115&lt;=p_dias_backlog_max))</f>
        <v/>
      </c>
      <c r="AH1115" s="4" t="n"/>
      <c r="AI1115" s="24">
        <f>IF($AH1115="","",IF((IFERROR(INDEX('ASIGNACIONES'!$J$4:$J$451,MATCH($O1115&amp;"|"&amp;$S1115&amp;"|"&amp;$AH1115,'ASIGNACIONES'!$N$4:$N$451,0)),""))=0,"",IFERROR(INDEX('ASIGNACIONES'!$J$4:$J$451,MATCH($O1115&amp;"|"&amp;$S1115&amp;"|"&amp;$AH1115,'ASIGNACIONES'!$N$4:$N$451,0)),"")))</f>
        <v/>
      </c>
      <c r="AJ1115" s="42">
        <f>IF($AH1115="","",SUMIFS('ORDENES'!$M$4:$M$1203,'ORDENES'!$AH$4:$AH$1203,$AH1115,'ORDENES'!$O$4:$O$1203,$O1115,'ORDENES'!$S$4:$S$1203,$S1115))</f>
        <v/>
      </c>
      <c r="AK1115" s="42">
        <f>IF($AJ1115="","",p_factor_productividad*IFERROR(INDEX('ASIGNACIONES'!$M$4:$M$451,MATCH($O1115&amp;"|"&amp;$S1115&amp;"|"&amp;$AH1115,'ASIGNACIONES'!$N$4:$N$451,0)),0)-$AJ1115)</f>
        <v/>
      </c>
      <c r="AL1115" s="32">
        <f>IF($A1115="","",IFERROR(INDEX('2_IMPORTAR_EJECUCION'!$F$9:$F$1208,MATCH($AU1115,'2_IMPORTAR_EJECUCION'!$J$9:$J$1208,0)),0))</f>
        <v/>
      </c>
      <c r="AM1115" s="32">
        <f>IF($A1115="","",MAX(0,IFERROR(INDEX('2_IMPORTAR_EJECUCION'!$H$9:$H$1208,MATCH($AU1115,'2_IMPORTAR_EJECUCION'!$J$9:$J$1208,0)),0)-$AL1115))</f>
        <v/>
      </c>
      <c r="AN1115" s="32">
        <f>IF($A1115="","",$AL1115+$AM1115)</f>
        <v/>
      </c>
      <c r="AO1115" s="24">
        <f>IF($A1115="","",IF(OR((IFERROR(INDEX('CAT_ACTIVIDADES'!$D$4:$D$26,MATCH($H1115,'CAT_ACTIVIDADES'!$A$4:$A$26,0)),""))=0,(IFERROR(INDEX('CAT_ACTIVIDADES'!$D$4:$D$26,MATCH($H1115,'CAT_ACTIVIDADES'!$A$4:$A$26,0)),""))=""),"SIN CLASIFICAR",IFERROR(INDEX('CAT_ACTIVIDADES'!$D$4:$D$26,MATCH($H1115,'CAT_ACTIVIDADES'!$A$4:$A$26,0)),"")))</f>
        <v/>
      </c>
      <c r="AP1115" s="4" t="n"/>
      <c r="AQ1115" s="4" t="n"/>
      <c r="AR1115" s="4" t="n"/>
      <c r="AS1115" s="24">
        <f>IF($AR1115="","",HYPERLINK(p_ruta_base_checklists&amp;$AR1115,"abrir"))</f>
        <v/>
      </c>
      <c r="AT1115" s="4" t="n"/>
      <c r="AU1115" s="24">
        <f>IF($A1115="","",$A1115&amp;IF($B1115="","0010",$B1115))</f>
        <v/>
      </c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41" t="n"/>
      <c r="K1116" s="5" t="n"/>
      <c r="L1116" s="18" t="n"/>
      <c r="M1116" s="24">
        <f>IF($A1116="","",IFERROR(INDEX('AJUSTES'!$B$4:$B$303,MATCH($AU1116,'AJUSTES'!$A$4:$A$303,0)),IF($K1116="","",$K1116)))</f>
        <v/>
      </c>
      <c r="N1116" s="24">
        <f>IF($A1116="","",IFERROR(INDEX('CAT_ESTADOS_ERP'!$B$4:$B$22,MATCH(IFERROR(INDEX('2_IMPORTAR_EJECUCION'!$C$9:$C$1208,MATCH($AU1116,'2_IMPORTAR_EJECUCION'!$J$9:$J$1208,0)),""),'CAT_ESTADOS_ERP'!$A$4:$A$22,0)),"Pendiente"))</f>
        <v/>
      </c>
      <c r="O1116" s="24">
        <f>IF($J1116="","",YEAR($J1116+4-WEEKDAY($J1116,2))&amp;"-S"&amp;TEXT(_xlfn.ISOWEEKNUM($J1116),"00"))</f>
        <v/>
      </c>
      <c r="P1116" s="24">
        <f>IF($J1116="","",YEAR($J1116))</f>
        <v/>
      </c>
      <c r="Q1116" s="24">
        <f>IF($J1116="","",MONTH($J1116))</f>
        <v/>
      </c>
      <c r="R1116" s="24">
        <f>IF($J1116="","",$P1116&amp;"-"&amp;TEXT($Q1116,"00"))</f>
        <v/>
      </c>
      <c r="S1116" s="24">
        <f>IF($J1116="","",INDEX(lista_dias,WEEKDAY($J1116,2)))</f>
        <v/>
      </c>
      <c r="T1116" s="24">
        <f>IF($J1116="","",IFERROR(INDEX('CALENDARIO'!$C$15:$C$214,MATCH(TEXT($J1116,"yyyy-mm-dd")&amp;"|"&amp;$Y1116&amp;"|"&amp;$Z1116,'CALENDARIO'!$G$15:$G$214,0)),IFERROR(INDEX('CALENDARIO'!$C$15:$C$214,MATCH(TEXT($J1116,"yyyy-mm-dd")&amp;"|"&amp;$Y1116&amp;"|",'CALENDARIO'!$G$15:$G$214,0)),IFERROR(INDEX('CALENDARIO'!$C$15:$C$214,MATCH(TEXT($J1116,"yyyy-mm-dd")&amp;"||",'CALENDARIO'!$G$15:$G$214,0)),INDEX(patronHabil,WEEKDAY($J1116,2))))))</f>
        <v/>
      </c>
      <c r="U1116" s="24">
        <f>IF($I1116="","",IFERROR(INDEX('CAT_TIPOS_OT'!$C$4:$C$23,MATCH($I1116,'CAT_TIPOS_OT'!$A$4:$A$23,0)),"sin_clasificar"))</f>
        <v/>
      </c>
      <c r="V1116" s="24">
        <f>IF($I1116="","",IF(IFERROR(INDEX('CAT_TIPOS_OT'!$D$4:$D$23,MATCH($I1116,'CAT_TIPOS_OT'!$A$4:$A$23,0)),"SIN CLASIFICAR")="","SIN CLASIFICAR",IFERROR(INDEX('CAT_TIPOS_OT'!$D$4:$D$23,MATCH($I1116,'CAT_TIPOS_OT'!$A$4:$A$23,0)),"SIN CLASIFICAR")))</f>
        <v/>
      </c>
      <c r="W1116" s="24">
        <f>IF($H1116="","",IF(IFERROR(INDEX('CAT_ACTIVIDADES'!$F$4:$F$26,MATCH($H1116,'CAT_ACTIVIDADES'!$A$4:$A$26,0)),"")=0,"",IFERROR(INDEX('CAT_ACTIVIDADES'!$F$4:$F$26,MATCH($H1116,'CAT_ACTIVIDADES'!$A$4:$A$26,0)),"")))</f>
        <v/>
      </c>
      <c r="X1116" s="24">
        <f>IF($F1116="","",IFERROR(INDEX('CAT_CENTROS_COSTO'!$F$4:$F$28,MATCH($F1116,'CAT_CENTROS_COSTO'!$A$4:$A$28,0)),"(sin catálogo)"))</f>
        <v/>
      </c>
      <c r="Y1116" s="24">
        <f>IF($F1116="","",IFERROR(INDEX('CAT_CENTROS_COSTO'!$D$4:$D$28,MATCH($F1116,'CAT_CENTROS_COSTO'!$A$4:$A$28,0)),"(sin catálogo)"))</f>
        <v/>
      </c>
      <c r="Z1116" s="24">
        <f>IF($F1116="","",IF((IFERROR(INDEX('CAT_CENTROS_COSTO'!$E$4:$E$28,MATCH($F1116,'CAT_CENTROS_COSTO'!$A$4:$A$28,0)),""))&lt;&gt;"",IFERROR(INDEX('CAT_CENTROS_COSTO'!$E$4:$E$28,MATCH($F1116,'CAT_CENTROS_COSTO'!$A$4:$A$28,0)),""),$Y1116))</f>
        <v/>
      </c>
      <c r="AA1116" s="24">
        <f>IF($F1116="","",IFERROR(INDEX('CAT_CENTROS_COSTO'!$G$4:$G$28,MATCH($F1116,'CAT_CENTROS_COSTO'!$A$4:$A$28,0)),"(sin catálogo)"))</f>
        <v/>
      </c>
      <c r="AB1116" s="24">
        <f>IF($G1116="","",IFERROR(INDEX('CAT_PUESTOS'!$B$4:$B$23,MATCH($G1116,'CAT_PUESTOS'!$A$4:$A$23,0)),"(sin catálogo)"))</f>
        <v/>
      </c>
      <c r="AC1116" s="24">
        <f>IF($H1116="","",IFERROR(INDEX('CAT_ACTIVIDADES'!$B$4:$B$26,MATCH($H1116,'CAT_ACTIVIDADES'!$A$4:$A$26,0)),"(sin catálogo)"))</f>
        <v/>
      </c>
      <c r="AD1116" s="26">
        <f>IF($J1116="","",TODAY()-$J1116)</f>
        <v/>
      </c>
      <c r="AE1116" s="26">
        <f>IF($J1116="","",IF($J1116&lt;=TODAY(),COUNTIFS(cal_fechas,"&gt;="&amp;$J1116,cal_fechas,"&lt;"&amp;TODAY(),cal_habil,"sí"),-COUNTIFS(cal_fechas,"&gt;="&amp;TODAY(),cal_fechas,"&lt;"&amp;$J1116,cal_habil,"sí")))</f>
        <v/>
      </c>
      <c r="AF1116" s="24">
        <f>IF($AE1116="","",IF($AE1116&lt;0,"FUTURO",IF($AE1116&gt;p_dias_backlog_max,"BACKLOG","MES CORRIENTE")))</f>
        <v/>
      </c>
      <c r="AG1116" s="24">
        <f>IF($AE1116="",FALSE,AND($AE1116&gt;p_dias_backlog_min,$AE1116&lt;=p_dias_backlog_max))</f>
        <v/>
      </c>
      <c r="AH1116" s="4" t="n"/>
      <c r="AI1116" s="24">
        <f>IF($AH1116="","",IF((IFERROR(INDEX('ASIGNACIONES'!$J$4:$J$451,MATCH($O1116&amp;"|"&amp;$S1116&amp;"|"&amp;$AH1116,'ASIGNACIONES'!$N$4:$N$451,0)),""))=0,"",IFERROR(INDEX('ASIGNACIONES'!$J$4:$J$451,MATCH($O1116&amp;"|"&amp;$S1116&amp;"|"&amp;$AH1116,'ASIGNACIONES'!$N$4:$N$451,0)),"")))</f>
        <v/>
      </c>
      <c r="AJ1116" s="42">
        <f>IF($AH1116="","",SUMIFS('ORDENES'!$M$4:$M$1203,'ORDENES'!$AH$4:$AH$1203,$AH1116,'ORDENES'!$O$4:$O$1203,$O1116,'ORDENES'!$S$4:$S$1203,$S1116))</f>
        <v/>
      </c>
      <c r="AK1116" s="42">
        <f>IF($AJ1116="","",p_factor_productividad*IFERROR(INDEX('ASIGNACIONES'!$M$4:$M$451,MATCH($O1116&amp;"|"&amp;$S1116&amp;"|"&amp;$AH1116,'ASIGNACIONES'!$N$4:$N$451,0)),0)-$AJ1116)</f>
        <v/>
      </c>
      <c r="AL1116" s="32">
        <f>IF($A1116="","",IFERROR(INDEX('2_IMPORTAR_EJECUCION'!$F$9:$F$1208,MATCH($AU1116,'2_IMPORTAR_EJECUCION'!$J$9:$J$1208,0)),0))</f>
        <v/>
      </c>
      <c r="AM1116" s="32">
        <f>IF($A1116="","",MAX(0,IFERROR(INDEX('2_IMPORTAR_EJECUCION'!$H$9:$H$1208,MATCH($AU1116,'2_IMPORTAR_EJECUCION'!$J$9:$J$1208,0)),0)-$AL1116))</f>
        <v/>
      </c>
      <c r="AN1116" s="32">
        <f>IF($A1116="","",$AL1116+$AM1116)</f>
        <v/>
      </c>
      <c r="AO1116" s="24">
        <f>IF($A1116="","",IF(OR((IFERROR(INDEX('CAT_ACTIVIDADES'!$D$4:$D$26,MATCH($H1116,'CAT_ACTIVIDADES'!$A$4:$A$26,0)),""))=0,(IFERROR(INDEX('CAT_ACTIVIDADES'!$D$4:$D$26,MATCH($H1116,'CAT_ACTIVIDADES'!$A$4:$A$26,0)),""))=""),"SIN CLASIFICAR",IFERROR(INDEX('CAT_ACTIVIDADES'!$D$4:$D$26,MATCH($H1116,'CAT_ACTIVIDADES'!$A$4:$A$26,0)),"")))</f>
        <v/>
      </c>
      <c r="AP1116" s="4" t="n"/>
      <c r="AQ1116" s="4" t="n"/>
      <c r="AR1116" s="4" t="n"/>
      <c r="AS1116" s="24">
        <f>IF($AR1116="","",HYPERLINK(p_ruta_base_checklists&amp;$AR1116,"abrir"))</f>
        <v/>
      </c>
      <c r="AT1116" s="4" t="n"/>
      <c r="AU1116" s="24">
        <f>IF($A1116="","",$A1116&amp;IF($B1116="","0010",$B1116))</f>
        <v/>
      </c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41" t="n"/>
      <c r="K1117" s="5" t="n"/>
      <c r="L1117" s="18" t="n"/>
      <c r="M1117" s="24">
        <f>IF($A1117="","",IFERROR(INDEX('AJUSTES'!$B$4:$B$303,MATCH($AU1117,'AJUSTES'!$A$4:$A$303,0)),IF($K1117="","",$K1117)))</f>
        <v/>
      </c>
      <c r="N1117" s="24">
        <f>IF($A1117="","",IFERROR(INDEX('CAT_ESTADOS_ERP'!$B$4:$B$22,MATCH(IFERROR(INDEX('2_IMPORTAR_EJECUCION'!$C$9:$C$1208,MATCH($AU1117,'2_IMPORTAR_EJECUCION'!$J$9:$J$1208,0)),""),'CAT_ESTADOS_ERP'!$A$4:$A$22,0)),"Pendiente"))</f>
        <v/>
      </c>
      <c r="O1117" s="24">
        <f>IF($J1117="","",YEAR($J1117+4-WEEKDAY($J1117,2))&amp;"-S"&amp;TEXT(_xlfn.ISOWEEKNUM($J1117),"00"))</f>
        <v/>
      </c>
      <c r="P1117" s="24">
        <f>IF($J1117="","",YEAR($J1117))</f>
        <v/>
      </c>
      <c r="Q1117" s="24">
        <f>IF($J1117="","",MONTH($J1117))</f>
        <v/>
      </c>
      <c r="R1117" s="24">
        <f>IF($J1117="","",$P1117&amp;"-"&amp;TEXT($Q1117,"00"))</f>
        <v/>
      </c>
      <c r="S1117" s="24">
        <f>IF($J1117="","",INDEX(lista_dias,WEEKDAY($J1117,2)))</f>
        <v/>
      </c>
      <c r="T1117" s="24">
        <f>IF($J1117="","",IFERROR(INDEX('CALENDARIO'!$C$15:$C$214,MATCH(TEXT($J1117,"yyyy-mm-dd")&amp;"|"&amp;$Y1117&amp;"|"&amp;$Z1117,'CALENDARIO'!$G$15:$G$214,0)),IFERROR(INDEX('CALENDARIO'!$C$15:$C$214,MATCH(TEXT($J1117,"yyyy-mm-dd")&amp;"|"&amp;$Y1117&amp;"|",'CALENDARIO'!$G$15:$G$214,0)),IFERROR(INDEX('CALENDARIO'!$C$15:$C$214,MATCH(TEXT($J1117,"yyyy-mm-dd")&amp;"||",'CALENDARIO'!$G$15:$G$214,0)),INDEX(patronHabil,WEEKDAY($J1117,2))))))</f>
        <v/>
      </c>
      <c r="U1117" s="24">
        <f>IF($I1117="","",IFERROR(INDEX('CAT_TIPOS_OT'!$C$4:$C$23,MATCH($I1117,'CAT_TIPOS_OT'!$A$4:$A$23,0)),"sin_clasificar"))</f>
        <v/>
      </c>
      <c r="V1117" s="24">
        <f>IF($I1117="","",IF(IFERROR(INDEX('CAT_TIPOS_OT'!$D$4:$D$23,MATCH($I1117,'CAT_TIPOS_OT'!$A$4:$A$23,0)),"SIN CLASIFICAR")="","SIN CLASIFICAR",IFERROR(INDEX('CAT_TIPOS_OT'!$D$4:$D$23,MATCH($I1117,'CAT_TIPOS_OT'!$A$4:$A$23,0)),"SIN CLASIFICAR")))</f>
        <v/>
      </c>
      <c r="W1117" s="24">
        <f>IF($H1117="","",IF(IFERROR(INDEX('CAT_ACTIVIDADES'!$F$4:$F$26,MATCH($H1117,'CAT_ACTIVIDADES'!$A$4:$A$26,0)),"")=0,"",IFERROR(INDEX('CAT_ACTIVIDADES'!$F$4:$F$26,MATCH($H1117,'CAT_ACTIVIDADES'!$A$4:$A$26,0)),"")))</f>
        <v/>
      </c>
      <c r="X1117" s="24">
        <f>IF($F1117="","",IFERROR(INDEX('CAT_CENTROS_COSTO'!$F$4:$F$28,MATCH($F1117,'CAT_CENTROS_COSTO'!$A$4:$A$28,0)),"(sin catálogo)"))</f>
        <v/>
      </c>
      <c r="Y1117" s="24">
        <f>IF($F1117="","",IFERROR(INDEX('CAT_CENTROS_COSTO'!$D$4:$D$28,MATCH($F1117,'CAT_CENTROS_COSTO'!$A$4:$A$28,0)),"(sin catálogo)"))</f>
        <v/>
      </c>
      <c r="Z1117" s="24">
        <f>IF($F1117="","",IF((IFERROR(INDEX('CAT_CENTROS_COSTO'!$E$4:$E$28,MATCH($F1117,'CAT_CENTROS_COSTO'!$A$4:$A$28,0)),""))&lt;&gt;"",IFERROR(INDEX('CAT_CENTROS_COSTO'!$E$4:$E$28,MATCH($F1117,'CAT_CENTROS_COSTO'!$A$4:$A$28,0)),""),$Y1117))</f>
        <v/>
      </c>
      <c r="AA1117" s="24">
        <f>IF($F1117="","",IFERROR(INDEX('CAT_CENTROS_COSTO'!$G$4:$G$28,MATCH($F1117,'CAT_CENTROS_COSTO'!$A$4:$A$28,0)),"(sin catálogo)"))</f>
        <v/>
      </c>
      <c r="AB1117" s="24">
        <f>IF($G1117="","",IFERROR(INDEX('CAT_PUESTOS'!$B$4:$B$23,MATCH($G1117,'CAT_PUESTOS'!$A$4:$A$23,0)),"(sin catálogo)"))</f>
        <v/>
      </c>
      <c r="AC1117" s="24">
        <f>IF($H1117="","",IFERROR(INDEX('CAT_ACTIVIDADES'!$B$4:$B$26,MATCH($H1117,'CAT_ACTIVIDADES'!$A$4:$A$26,0)),"(sin catálogo)"))</f>
        <v/>
      </c>
      <c r="AD1117" s="26">
        <f>IF($J1117="","",TODAY()-$J1117)</f>
        <v/>
      </c>
      <c r="AE1117" s="26">
        <f>IF($J1117="","",IF($J1117&lt;=TODAY(),COUNTIFS(cal_fechas,"&gt;="&amp;$J1117,cal_fechas,"&lt;"&amp;TODAY(),cal_habil,"sí"),-COUNTIFS(cal_fechas,"&gt;="&amp;TODAY(),cal_fechas,"&lt;"&amp;$J1117,cal_habil,"sí")))</f>
        <v/>
      </c>
      <c r="AF1117" s="24">
        <f>IF($AE1117="","",IF($AE1117&lt;0,"FUTURO",IF($AE1117&gt;p_dias_backlog_max,"BACKLOG","MES CORRIENTE")))</f>
        <v/>
      </c>
      <c r="AG1117" s="24">
        <f>IF($AE1117="",FALSE,AND($AE1117&gt;p_dias_backlog_min,$AE1117&lt;=p_dias_backlog_max))</f>
        <v/>
      </c>
      <c r="AH1117" s="4" t="n"/>
      <c r="AI1117" s="24">
        <f>IF($AH1117="","",IF((IFERROR(INDEX('ASIGNACIONES'!$J$4:$J$451,MATCH($O1117&amp;"|"&amp;$S1117&amp;"|"&amp;$AH1117,'ASIGNACIONES'!$N$4:$N$451,0)),""))=0,"",IFERROR(INDEX('ASIGNACIONES'!$J$4:$J$451,MATCH($O1117&amp;"|"&amp;$S1117&amp;"|"&amp;$AH1117,'ASIGNACIONES'!$N$4:$N$451,0)),"")))</f>
        <v/>
      </c>
      <c r="AJ1117" s="42">
        <f>IF($AH1117="","",SUMIFS('ORDENES'!$M$4:$M$1203,'ORDENES'!$AH$4:$AH$1203,$AH1117,'ORDENES'!$O$4:$O$1203,$O1117,'ORDENES'!$S$4:$S$1203,$S1117))</f>
        <v/>
      </c>
      <c r="AK1117" s="42">
        <f>IF($AJ1117="","",p_factor_productividad*IFERROR(INDEX('ASIGNACIONES'!$M$4:$M$451,MATCH($O1117&amp;"|"&amp;$S1117&amp;"|"&amp;$AH1117,'ASIGNACIONES'!$N$4:$N$451,0)),0)-$AJ1117)</f>
        <v/>
      </c>
      <c r="AL1117" s="32">
        <f>IF($A1117="","",IFERROR(INDEX('2_IMPORTAR_EJECUCION'!$F$9:$F$1208,MATCH($AU1117,'2_IMPORTAR_EJECUCION'!$J$9:$J$1208,0)),0))</f>
        <v/>
      </c>
      <c r="AM1117" s="32">
        <f>IF($A1117="","",MAX(0,IFERROR(INDEX('2_IMPORTAR_EJECUCION'!$H$9:$H$1208,MATCH($AU1117,'2_IMPORTAR_EJECUCION'!$J$9:$J$1208,0)),0)-$AL1117))</f>
        <v/>
      </c>
      <c r="AN1117" s="32">
        <f>IF($A1117="","",$AL1117+$AM1117)</f>
        <v/>
      </c>
      <c r="AO1117" s="24">
        <f>IF($A1117="","",IF(OR((IFERROR(INDEX('CAT_ACTIVIDADES'!$D$4:$D$26,MATCH($H1117,'CAT_ACTIVIDADES'!$A$4:$A$26,0)),""))=0,(IFERROR(INDEX('CAT_ACTIVIDADES'!$D$4:$D$26,MATCH($H1117,'CAT_ACTIVIDADES'!$A$4:$A$26,0)),""))=""),"SIN CLASIFICAR",IFERROR(INDEX('CAT_ACTIVIDADES'!$D$4:$D$26,MATCH($H1117,'CAT_ACTIVIDADES'!$A$4:$A$26,0)),"")))</f>
        <v/>
      </c>
      <c r="AP1117" s="4" t="n"/>
      <c r="AQ1117" s="4" t="n"/>
      <c r="AR1117" s="4" t="n"/>
      <c r="AS1117" s="24">
        <f>IF($AR1117="","",HYPERLINK(p_ruta_base_checklists&amp;$AR1117,"abrir"))</f>
        <v/>
      </c>
      <c r="AT1117" s="4" t="n"/>
      <c r="AU1117" s="24">
        <f>IF($A1117="","",$A1117&amp;IF($B1117="","0010",$B1117))</f>
        <v/>
      </c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41" t="n"/>
      <c r="K1118" s="5" t="n"/>
      <c r="L1118" s="18" t="n"/>
      <c r="M1118" s="24">
        <f>IF($A1118="","",IFERROR(INDEX('AJUSTES'!$B$4:$B$303,MATCH($AU1118,'AJUSTES'!$A$4:$A$303,0)),IF($K1118="","",$K1118)))</f>
        <v/>
      </c>
      <c r="N1118" s="24">
        <f>IF($A1118="","",IFERROR(INDEX('CAT_ESTADOS_ERP'!$B$4:$B$22,MATCH(IFERROR(INDEX('2_IMPORTAR_EJECUCION'!$C$9:$C$1208,MATCH($AU1118,'2_IMPORTAR_EJECUCION'!$J$9:$J$1208,0)),""),'CAT_ESTADOS_ERP'!$A$4:$A$22,0)),"Pendiente"))</f>
        <v/>
      </c>
      <c r="O1118" s="24">
        <f>IF($J1118="","",YEAR($J1118+4-WEEKDAY($J1118,2))&amp;"-S"&amp;TEXT(_xlfn.ISOWEEKNUM($J1118),"00"))</f>
        <v/>
      </c>
      <c r="P1118" s="24">
        <f>IF($J1118="","",YEAR($J1118))</f>
        <v/>
      </c>
      <c r="Q1118" s="24">
        <f>IF($J1118="","",MONTH($J1118))</f>
        <v/>
      </c>
      <c r="R1118" s="24">
        <f>IF($J1118="","",$P1118&amp;"-"&amp;TEXT($Q1118,"00"))</f>
        <v/>
      </c>
      <c r="S1118" s="24">
        <f>IF($J1118="","",INDEX(lista_dias,WEEKDAY($J1118,2)))</f>
        <v/>
      </c>
      <c r="T1118" s="24">
        <f>IF($J1118="","",IFERROR(INDEX('CALENDARIO'!$C$15:$C$214,MATCH(TEXT($J1118,"yyyy-mm-dd")&amp;"|"&amp;$Y1118&amp;"|"&amp;$Z1118,'CALENDARIO'!$G$15:$G$214,0)),IFERROR(INDEX('CALENDARIO'!$C$15:$C$214,MATCH(TEXT($J1118,"yyyy-mm-dd")&amp;"|"&amp;$Y1118&amp;"|",'CALENDARIO'!$G$15:$G$214,0)),IFERROR(INDEX('CALENDARIO'!$C$15:$C$214,MATCH(TEXT($J1118,"yyyy-mm-dd")&amp;"||",'CALENDARIO'!$G$15:$G$214,0)),INDEX(patronHabil,WEEKDAY($J1118,2))))))</f>
        <v/>
      </c>
      <c r="U1118" s="24">
        <f>IF($I1118="","",IFERROR(INDEX('CAT_TIPOS_OT'!$C$4:$C$23,MATCH($I1118,'CAT_TIPOS_OT'!$A$4:$A$23,0)),"sin_clasificar"))</f>
        <v/>
      </c>
      <c r="V1118" s="24">
        <f>IF($I1118="","",IF(IFERROR(INDEX('CAT_TIPOS_OT'!$D$4:$D$23,MATCH($I1118,'CAT_TIPOS_OT'!$A$4:$A$23,0)),"SIN CLASIFICAR")="","SIN CLASIFICAR",IFERROR(INDEX('CAT_TIPOS_OT'!$D$4:$D$23,MATCH($I1118,'CAT_TIPOS_OT'!$A$4:$A$23,0)),"SIN CLASIFICAR")))</f>
        <v/>
      </c>
      <c r="W1118" s="24">
        <f>IF($H1118="","",IF(IFERROR(INDEX('CAT_ACTIVIDADES'!$F$4:$F$26,MATCH($H1118,'CAT_ACTIVIDADES'!$A$4:$A$26,0)),"")=0,"",IFERROR(INDEX('CAT_ACTIVIDADES'!$F$4:$F$26,MATCH($H1118,'CAT_ACTIVIDADES'!$A$4:$A$26,0)),"")))</f>
        <v/>
      </c>
      <c r="X1118" s="24">
        <f>IF($F1118="","",IFERROR(INDEX('CAT_CENTROS_COSTO'!$F$4:$F$28,MATCH($F1118,'CAT_CENTROS_COSTO'!$A$4:$A$28,0)),"(sin catálogo)"))</f>
        <v/>
      </c>
      <c r="Y1118" s="24">
        <f>IF($F1118="","",IFERROR(INDEX('CAT_CENTROS_COSTO'!$D$4:$D$28,MATCH($F1118,'CAT_CENTROS_COSTO'!$A$4:$A$28,0)),"(sin catálogo)"))</f>
        <v/>
      </c>
      <c r="Z1118" s="24">
        <f>IF($F1118="","",IF((IFERROR(INDEX('CAT_CENTROS_COSTO'!$E$4:$E$28,MATCH($F1118,'CAT_CENTROS_COSTO'!$A$4:$A$28,0)),""))&lt;&gt;"",IFERROR(INDEX('CAT_CENTROS_COSTO'!$E$4:$E$28,MATCH($F1118,'CAT_CENTROS_COSTO'!$A$4:$A$28,0)),""),$Y1118))</f>
        <v/>
      </c>
      <c r="AA1118" s="24">
        <f>IF($F1118="","",IFERROR(INDEX('CAT_CENTROS_COSTO'!$G$4:$G$28,MATCH($F1118,'CAT_CENTROS_COSTO'!$A$4:$A$28,0)),"(sin catálogo)"))</f>
        <v/>
      </c>
      <c r="AB1118" s="24">
        <f>IF($G1118="","",IFERROR(INDEX('CAT_PUESTOS'!$B$4:$B$23,MATCH($G1118,'CAT_PUESTOS'!$A$4:$A$23,0)),"(sin catálogo)"))</f>
        <v/>
      </c>
      <c r="AC1118" s="24">
        <f>IF($H1118="","",IFERROR(INDEX('CAT_ACTIVIDADES'!$B$4:$B$26,MATCH($H1118,'CAT_ACTIVIDADES'!$A$4:$A$26,0)),"(sin catálogo)"))</f>
        <v/>
      </c>
      <c r="AD1118" s="26">
        <f>IF($J1118="","",TODAY()-$J1118)</f>
        <v/>
      </c>
      <c r="AE1118" s="26">
        <f>IF($J1118="","",IF($J1118&lt;=TODAY(),COUNTIFS(cal_fechas,"&gt;="&amp;$J1118,cal_fechas,"&lt;"&amp;TODAY(),cal_habil,"sí"),-COUNTIFS(cal_fechas,"&gt;="&amp;TODAY(),cal_fechas,"&lt;"&amp;$J1118,cal_habil,"sí")))</f>
        <v/>
      </c>
      <c r="AF1118" s="24">
        <f>IF($AE1118="","",IF($AE1118&lt;0,"FUTURO",IF($AE1118&gt;p_dias_backlog_max,"BACKLOG","MES CORRIENTE")))</f>
        <v/>
      </c>
      <c r="AG1118" s="24">
        <f>IF($AE1118="",FALSE,AND($AE1118&gt;p_dias_backlog_min,$AE1118&lt;=p_dias_backlog_max))</f>
        <v/>
      </c>
      <c r="AH1118" s="4" t="n"/>
      <c r="AI1118" s="24">
        <f>IF($AH1118="","",IF((IFERROR(INDEX('ASIGNACIONES'!$J$4:$J$451,MATCH($O1118&amp;"|"&amp;$S1118&amp;"|"&amp;$AH1118,'ASIGNACIONES'!$N$4:$N$451,0)),""))=0,"",IFERROR(INDEX('ASIGNACIONES'!$J$4:$J$451,MATCH($O1118&amp;"|"&amp;$S1118&amp;"|"&amp;$AH1118,'ASIGNACIONES'!$N$4:$N$451,0)),"")))</f>
        <v/>
      </c>
      <c r="AJ1118" s="42">
        <f>IF($AH1118="","",SUMIFS('ORDENES'!$M$4:$M$1203,'ORDENES'!$AH$4:$AH$1203,$AH1118,'ORDENES'!$O$4:$O$1203,$O1118,'ORDENES'!$S$4:$S$1203,$S1118))</f>
        <v/>
      </c>
      <c r="AK1118" s="42">
        <f>IF($AJ1118="","",p_factor_productividad*IFERROR(INDEX('ASIGNACIONES'!$M$4:$M$451,MATCH($O1118&amp;"|"&amp;$S1118&amp;"|"&amp;$AH1118,'ASIGNACIONES'!$N$4:$N$451,0)),0)-$AJ1118)</f>
        <v/>
      </c>
      <c r="AL1118" s="32">
        <f>IF($A1118="","",IFERROR(INDEX('2_IMPORTAR_EJECUCION'!$F$9:$F$1208,MATCH($AU1118,'2_IMPORTAR_EJECUCION'!$J$9:$J$1208,0)),0))</f>
        <v/>
      </c>
      <c r="AM1118" s="32">
        <f>IF($A1118="","",MAX(0,IFERROR(INDEX('2_IMPORTAR_EJECUCION'!$H$9:$H$1208,MATCH($AU1118,'2_IMPORTAR_EJECUCION'!$J$9:$J$1208,0)),0)-$AL1118))</f>
        <v/>
      </c>
      <c r="AN1118" s="32">
        <f>IF($A1118="","",$AL1118+$AM1118)</f>
        <v/>
      </c>
      <c r="AO1118" s="24">
        <f>IF($A1118="","",IF(OR((IFERROR(INDEX('CAT_ACTIVIDADES'!$D$4:$D$26,MATCH($H1118,'CAT_ACTIVIDADES'!$A$4:$A$26,0)),""))=0,(IFERROR(INDEX('CAT_ACTIVIDADES'!$D$4:$D$26,MATCH($H1118,'CAT_ACTIVIDADES'!$A$4:$A$26,0)),""))=""),"SIN CLASIFICAR",IFERROR(INDEX('CAT_ACTIVIDADES'!$D$4:$D$26,MATCH($H1118,'CAT_ACTIVIDADES'!$A$4:$A$26,0)),"")))</f>
        <v/>
      </c>
      <c r="AP1118" s="4" t="n"/>
      <c r="AQ1118" s="4" t="n"/>
      <c r="AR1118" s="4" t="n"/>
      <c r="AS1118" s="24">
        <f>IF($AR1118="","",HYPERLINK(p_ruta_base_checklists&amp;$AR1118,"abrir"))</f>
        <v/>
      </c>
      <c r="AT1118" s="4" t="n"/>
      <c r="AU1118" s="24">
        <f>IF($A1118="","",$A1118&amp;IF($B1118="","0010",$B1118))</f>
        <v/>
      </c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41" t="n"/>
      <c r="K1119" s="5" t="n"/>
      <c r="L1119" s="18" t="n"/>
      <c r="M1119" s="24">
        <f>IF($A1119="","",IFERROR(INDEX('AJUSTES'!$B$4:$B$303,MATCH($AU1119,'AJUSTES'!$A$4:$A$303,0)),IF($K1119="","",$K1119)))</f>
        <v/>
      </c>
      <c r="N1119" s="24">
        <f>IF($A1119="","",IFERROR(INDEX('CAT_ESTADOS_ERP'!$B$4:$B$22,MATCH(IFERROR(INDEX('2_IMPORTAR_EJECUCION'!$C$9:$C$1208,MATCH($AU1119,'2_IMPORTAR_EJECUCION'!$J$9:$J$1208,0)),""),'CAT_ESTADOS_ERP'!$A$4:$A$22,0)),"Pendiente"))</f>
        <v/>
      </c>
      <c r="O1119" s="24">
        <f>IF($J1119="","",YEAR($J1119+4-WEEKDAY($J1119,2))&amp;"-S"&amp;TEXT(_xlfn.ISOWEEKNUM($J1119),"00"))</f>
        <v/>
      </c>
      <c r="P1119" s="24">
        <f>IF($J1119="","",YEAR($J1119))</f>
        <v/>
      </c>
      <c r="Q1119" s="24">
        <f>IF($J1119="","",MONTH($J1119))</f>
        <v/>
      </c>
      <c r="R1119" s="24">
        <f>IF($J1119="","",$P1119&amp;"-"&amp;TEXT($Q1119,"00"))</f>
        <v/>
      </c>
      <c r="S1119" s="24">
        <f>IF($J1119="","",INDEX(lista_dias,WEEKDAY($J1119,2)))</f>
        <v/>
      </c>
      <c r="T1119" s="24">
        <f>IF($J1119="","",IFERROR(INDEX('CALENDARIO'!$C$15:$C$214,MATCH(TEXT($J1119,"yyyy-mm-dd")&amp;"|"&amp;$Y1119&amp;"|"&amp;$Z1119,'CALENDARIO'!$G$15:$G$214,0)),IFERROR(INDEX('CALENDARIO'!$C$15:$C$214,MATCH(TEXT($J1119,"yyyy-mm-dd")&amp;"|"&amp;$Y1119&amp;"|",'CALENDARIO'!$G$15:$G$214,0)),IFERROR(INDEX('CALENDARIO'!$C$15:$C$214,MATCH(TEXT($J1119,"yyyy-mm-dd")&amp;"||",'CALENDARIO'!$G$15:$G$214,0)),INDEX(patronHabil,WEEKDAY($J1119,2))))))</f>
        <v/>
      </c>
      <c r="U1119" s="24">
        <f>IF($I1119="","",IFERROR(INDEX('CAT_TIPOS_OT'!$C$4:$C$23,MATCH($I1119,'CAT_TIPOS_OT'!$A$4:$A$23,0)),"sin_clasificar"))</f>
        <v/>
      </c>
      <c r="V1119" s="24">
        <f>IF($I1119="","",IF(IFERROR(INDEX('CAT_TIPOS_OT'!$D$4:$D$23,MATCH($I1119,'CAT_TIPOS_OT'!$A$4:$A$23,0)),"SIN CLASIFICAR")="","SIN CLASIFICAR",IFERROR(INDEX('CAT_TIPOS_OT'!$D$4:$D$23,MATCH($I1119,'CAT_TIPOS_OT'!$A$4:$A$23,0)),"SIN CLASIFICAR")))</f>
        <v/>
      </c>
      <c r="W1119" s="24">
        <f>IF($H1119="","",IF(IFERROR(INDEX('CAT_ACTIVIDADES'!$F$4:$F$26,MATCH($H1119,'CAT_ACTIVIDADES'!$A$4:$A$26,0)),"")=0,"",IFERROR(INDEX('CAT_ACTIVIDADES'!$F$4:$F$26,MATCH($H1119,'CAT_ACTIVIDADES'!$A$4:$A$26,0)),"")))</f>
        <v/>
      </c>
      <c r="X1119" s="24">
        <f>IF($F1119="","",IFERROR(INDEX('CAT_CENTROS_COSTO'!$F$4:$F$28,MATCH($F1119,'CAT_CENTROS_COSTO'!$A$4:$A$28,0)),"(sin catálogo)"))</f>
        <v/>
      </c>
      <c r="Y1119" s="24">
        <f>IF($F1119="","",IFERROR(INDEX('CAT_CENTROS_COSTO'!$D$4:$D$28,MATCH($F1119,'CAT_CENTROS_COSTO'!$A$4:$A$28,0)),"(sin catálogo)"))</f>
        <v/>
      </c>
      <c r="Z1119" s="24">
        <f>IF($F1119="","",IF((IFERROR(INDEX('CAT_CENTROS_COSTO'!$E$4:$E$28,MATCH($F1119,'CAT_CENTROS_COSTO'!$A$4:$A$28,0)),""))&lt;&gt;"",IFERROR(INDEX('CAT_CENTROS_COSTO'!$E$4:$E$28,MATCH($F1119,'CAT_CENTROS_COSTO'!$A$4:$A$28,0)),""),$Y1119))</f>
        <v/>
      </c>
      <c r="AA1119" s="24">
        <f>IF($F1119="","",IFERROR(INDEX('CAT_CENTROS_COSTO'!$G$4:$G$28,MATCH($F1119,'CAT_CENTROS_COSTO'!$A$4:$A$28,0)),"(sin catálogo)"))</f>
        <v/>
      </c>
      <c r="AB1119" s="24">
        <f>IF($G1119="","",IFERROR(INDEX('CAT_PUESTOS'!$B$4:$B$23,MATCH($G1119,'CAT_PUESTOS'!$A$4:$A$23,0)),"(sin catálogo)"))</f>
        <v/>
      </c>
      <c r="AC1119" s="24">
        <f>IF($H1119="","",IFERROR(INDEX('CAT_ACTIVIDADES'!$B$4:$B$26,MATCH($H1119,'CAT_ACTIVIDADES'!$A$4:$A$26,0)),"(sin catálogo)"))</f>
        <v/>
      </c>
      <c r="AD1119" s="26">
        <f>IF($J1119="","",TODAY()-$J1119)</f>
        <v/>
      </c>
      <c r="AE1119" s="26">
        <f>IF($J1119="","",IF($J1119&lt;=TODAY(),COUNTIFS(cal_fechas,"&gt;="&amp;$J1119,cal_fechas,"&lt;"&amp;TODAY(),cal_habil,"sí"),-COUNTIFS(cal_fechas,"&gt;="&amp;TODAY(),cal_fechas,"&lt;"&amp;$J1119,cal_habil,"sí")))</f>
        <v/>
      </c>
      <c r="AF1119" s="24">
        <f>IF($AE1119="","",IF($AE1119&lt;0,"FUTURO",IF($AE1119&gt;p_dias_backlog_max,"BACKLOG","MES CORRIENTE")))</f>
        <v/>
      </c>
      <c r="AG1119" s="24">
        <f>IF($AE1119="",FALSE,AND($AE1119&gt;p_dias_backlog_min,$AE1119&lt;=p_dias_backlog_max))</f>
        <v/>
      </c>
      <c r="AH1119" s="4" t="n"/>
      <c r="AI1119" s="24">
        <f>IF($AH1119="","",IF((IFERROR(INDEX('ASIGNACIONES'!$J$4:$J$451,MATCH($O1119&amp;"|"&amp;$S1119&amp;"|"&amp;$AH1119,'ASIGNACIONES'!$N$4:$N$451,0)),""))=0,"",IFERROR(INDEX('ASIGNACIONES'!$J$4:$J$451,MATCH($O1119&amp;"|"&amp;$S1119&amp;"|"&amp;$AH1119,'ASIGNACIONES'!$N$4:$N$451,0)),"")))</f>
        <v/>
      </c>
      <c r="AJ1119" s="42">
        <f>IF($AH1119="","",SUMIFS('ORDENES'!$M$4:$M$1203,'ORDENES'!$AH$4:$AH$1203,$AH1119,'ORDENES'!$O$4:$O$1203,$O1119,'ORDENES'!$S$4:$S$1203,$S1119))</f>
        <v/>
      </c>
      <c r="AK1119" s="42">
        <f>IF($AJ1119="","",p_factor_productividad*IFERROR(INDEX('ASIGNACIONES'!$M$4:$M$451,MATCH($O1119&amp;"|"&amp;$S1119&amp;"|"&amp;$AH1119,'ASIGNACIONES'!$N$4:$N$451,0)),0)-$AJ1119)</f>
        <v/>
      </c>
      <c r="AL1119" s="32">
        <f>IF($A1119="","",IFERROR(INDEX('2_IMPORTAR_EJECUCION'!$F$9:$F$1208,MATCH($AU1119,'2_IMPORTAR_EJECUCION'!$J$9:$J$1208,0)),0))</f>
        <v/>
      </c>
      <c r="AM1119" s="32">
        <f>IF($A1119="","",MAX(0,IFERROR(INDEX('2_IMPORTAR_EJECUCION'!$H$9:$H$1208,MATCH($AU1119,'2_IMPORTAR_EJECUCION'!$J$9:$J$1208,0)),0)-$AL1119))</f>
        <v/>
      </c>
      <c r="AN1119" s="32">
        <f>IF($A1119="","",$AL1119+$AM1119)</f>
        <v/>
      </c>
      <c r="AO1119" s="24">
        <f>IF($A1119="","",IF(OR((IFERROR(INDEX('CAT_ACTIVIDADES'!$D$4:$D$26,MATCH($H1119,'CAT_ACTIVIDADES'!$A$4:$A$26,0)),""))=0,(IFERROR(INDEX('CAT_ACTIVIDADES'!$D$4:$D$26,MATCH($H1119,'CAT_ACTIVIDADES'!$A$4:$A$26,0)),""))=""),"SIN CLASIFICAR",IFERROR(INDEX('CAT_ACTIVIDADES'!$D$4:$D$26,MATCH($H1119,'CAT_ACTIVIDADES'!$A$4:$A$26,0)),"")))</f>
        <v/>
      </c>
      <c r="AP1119" s="4" t="n"/>
      <c r="AQ1119" s="4" t="n"/>
      <c r="AR1119" s="4" t="n"/>
      <c r="AS1119" s="24">
        <f>IF($AR1119="","",HYPERLINK(p_ruta_base_checklists&amp;$AR1119,"abrir"))</f>
        <v/>
      </c>
      <c r="AT1119" s="4" t="n"/>
      <c r="AU1119" s="24">
        <f>IF($A1119="","",$A1119&amp;IF($B1119="","0010",$B1119))</f>
        <v/>
      </c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41" t="n"/>
      <c r="K1120" s="5" t="n"/>
      <c r="L1120" s="18" t="n"/>
      <c r="M1120" s="24">
        <f>IF($A1120="","",IFERROR(INDEX('AJUSTES'!$B$4:$B$303,MATCH($AU1120,'AJUSTES'!$A$4:$A$303,0)),IF($K1120="","",$K1120)))</f>
        <v/>
      </c>
      <c r="N1120" s="24">
        <f>IF($A1120="","",IFERROR(INDEX('CAT_ESTADOS_ERP'!$B$4:$B$22,MATCH(IFERROR(INDEX('2_IMPORTAR_EJECUCION'!$C$9:$C$1208,MATCH($AU1120,'2_IMPORTAR_EJECUCION'!$J$9:$J$1208,0)),""),'CAT_ESTADOS_ERP'!$A$4:$A$22,0)),"Pendiente"))</f>
        <v/>
      </c>
      <c r="O1120" s="24">
        <f>IF($J1120="","",YEAR($J1120+4-WEEKDAY($J1120,2))&amp;"-S"&amp;TEXT(_xlfn.ISOWEEKNUM($J1120),"00"))</f>
        <v/>
      </c>
      <c r="P1120" s="24">
        <f>IF($J1120="","",YEAR($J1120))</f>
        <v/>
      </c>
      <c r="Q1120" s="24">
        <f>IF($J1120="","",MONTH($J1120))</f>
        <v/>
      </c>
      <c r="R1120" s="24">
        <f>IF($J1120="","",$P1120&amp;"-"&amp;TEXT($Q1120,"00"))</f>
        <v/>
      </c>
      <c r="S1120" s="24">
        <f>IF($J1120="","",INDEX(lista_dias,WEEKDAY($J1120,2)))</f>
        <v/>
      </c>
      <c r="T1120" s="24">
        <f>IF($J1120="","",IFERROR(INDEX('CALENDARIO'!$C$15:$C$214,MATCH(TEXT($J1120,"yyyy-mm-dd")&amp;"|"&amp;$Y1120&amp;"|"&amp;$Z1120,'CALENDARIO'!$G$15:$G$214,0)),IFERROR(INDEX('CALENDARIO'!$C$15:$C$214,MATCH(TEXT($J1120,"yyyy-mm-dd")&amp;"|"&amp;$Y1120&amp;"|",'CALENDARIO'!$G$15:$G$214,0)),IFERROR(INDEX('CALENDARIO'!$C$15:$C$214,MATCH(TEXT($J1120,"yyyy-mm-dd")&amp;"||",'CALENDARIO'!$G$15:$G$214,0)),INDEX(patronHabil,WEEKDAY($J1120,2))))))</f>
        <v/>
      </c>
      <c r="U1120" s="24">
        <f>IF($I1120="","",IFERROR(INDEX('CAT_TIPOS_OT'!$C$4:$C$23,MATCH($I1120,'CAT_TIPOS_OT'!$A$4:$A$23,0)),"sin_clasificar"))</f>
        <v/>
      </c>
      <c r="V1120" s="24">
        <f>IF($I1120="","",IF(IFERROR(INDEX('CAT_TIPOS_OT'!$D$4:$D$23,MATCH($I1120,'CAT_TIPOS_OT'!$A$4:$A$23,0)),"SIN CLASIFICAR")="","SIN CLASIFICAR",IFERROR(INDEX('CAT_TIPOS_OT'!$D$4:$D$23,MATCH($I1120,'CAT_TIPOS_OT'!$A$4:$A$23,0)),"SIN CLASIFICAR")))</f>
        <v/>
      </c>
      <c r="W1120" s="24">
        <f>IF($H1120="","",IF(IFERROR(INDEX('CAT_ACTIVIDADES'!$F$4:$F$26,MATCH($H1120,'CAT_ACTIVIDADES'!$A$4:$A$26,0)),"")=0,"",IFERROR(INDEX('CAT_ACTIVIDADES'!$F$4:$F$26,MATCH($H1120,'CAT_ACTIVIDADES'!$A$4:$A$26,0)),"")))</f>
        <v/>
      </c>
      <c r="X1120" s="24">
        <f>IF($F1120="","",IFERROR(INDEX('CAT_CENTROS_COSTO'!$F$4:$F$28,MATCH($F1120,'CAT_CENTROS_COSTO'!$A$4:$A$28,0)),"(sin catálogo)"))</f>
        <v/>
      </c>
      <c r="Y1120" s="24">
        <f>IF($F1120="","",IFERROR(INDEX('CAT_CENTROS_COSTO'!$D$4:$D$28,MATCH($F1120,'CAT_CENTROS_COSTO'!$A$4:$A$28,0)),"(sin catálogo)"))</f>
        <v/>
      </c>
      <c r="Z1120" s="24">
        <f>IF($F1120="","",IF((IFERROR(INDEX('CAT_CENTROS_COSTO'!$E$4:$E$28,MATCH($F1120,'CAT_CENTROS_COSTO'!$A$4:$A$28,0)),""))&lt;&gt;"",IFERROR(INDEX('CAT_CENTROS_COSTO'!$E$4:$E$28,MATCH($F1120,'CAT_CENTROS_COSTO'!$A$4:$A$28,0)),""),$Y1120))</f>
        <v/>
      </c>
      <c r="AA1120" s="24">
        <f>IF($F1120="","",IFERROR(INDEX('CAT_CENTROS_COSTO'!$G$4:$G$28,MATCH($F1120,'CAT_CENTROS_COSTO'!$A$4:$A$28,0)),"(sin catálogo)"))</f>
        <v/>
      </c>
      <c r="AB1120" s="24">
        <f>IF($G1120="","",IFERROR(INDEX('CAT_PUESTOS'!$B$4:$B$23,MATCH($G1120,'CAT_PUESTOS'!$A$4:$A$23,0)),"(sin catálogo)"))</f>
        <v/>
      </c>
      <c r="AC1120" s="24">
        <f>IF($H1120="","",IFERROR(INDEX('CAT_ACTIVIDADES'!$B$4:$B$26,MATCH($H1120,'CAT_ACTIVIDADES'!$A$4:$A$26,0)),"(sin catálogo)"))</f>
        <v/>
      </c>
      <c r="AD1120" s="26">
        <f>IF($J1120="","",TODAY()-$J1120)</f>
        <v/>
      </c>
      <c r="AE1120" s="26">
        <f>IF($J1120="","",IF($J1120&lt;=TODAY(),COUNTIFS(cal_fechas,"&gt;="&amp;$J1120,cal_fechas,"&lt;"&amp;TODAY(),cal_habil,"sí"),-COUNTIFS(cal_fechas,"&gt;="&amp;TODAY(),cal_fechas,"&lt;"&amp;$J1120,cal_habil,"sí")))</f>
        <v/>
      </c>
      <c r="AF1120" s="24">
        <f>IF($AE1120="","",IF($AE1120&lt;0,"FUTURO",IF($AE1120&gt;p_dias_backlog_max,"BACKLOG","MES CORRIENTE")))</f>
        <v/>
      </c>
      <c r="AG1120" s="24">
        <f>IF($AE1120="",FALSE,AND($AE1120&gt;p_dias_backlog_min,$AE1120&lt;=p_dias_backlog_max))</f>
        <v/>
      </c>
      <c r="AH1120" s="4" t="n"/>
      <c r="AI1120" s="24">
        <f>IF($AH1120="","",IF((IFERROR(INDEX('ASIGNACIONES'!$J$4:$J$451,MATCH($O1120&amp;"|"&amp;$S1120&amp;"|"&amp;$AH1120,'ASIGNACIONES'!$N$4:$N$451,0)),""))=0,"",IFERROR(INDEX('ASIGNACIONES'!$J$4:$J$451,MATCH($O1120&amp;"|"&amp;$S1120&amp;"|"&amp;$AH1120,'ASIGNACIONES'!$N$4:$N$451,0)),"")))</f>
        <v/>
      </c>
      <c r="AJ1120" s="42">
        <f>IF($AH1120="","",SUMIFS('ORDENES'!$M$4:$M$1203,'ORDENES'!$AH$4:$AH$1203,$AH1120,'ORDENES'!$O$4:$O$1203,$O1120,'ORDENES'!$S$4:$S$1203,$S1120))</f>
        <v/>
      </c>
      <c r="AK1120" s="42">
        <f>IF($AJ1120="","",p_factor_productividad*IFERROR(INDEX('ASIGNACIONES'!$M$4:$M$451,MATCH($O1120&amp;"|"&amp;$S1120&amp;"|"&amp;$AH1120,'ASIGNACIONES'!$N$4:$N$451,0)),0)-$AJ1120)</f>
        <v/>
      </c>
      <c r="AL1120" s="32">
        <f>IF($A1120="","",IFERROR(INDEX('2_IMPORTAR_EJECUCION'!$F$9:$F$1208,MATCH($AU1120,'2_IMPORTAR_EJECUCION'!$J$9:$J$1208,0)),0))</f>
        <v/>
      </c>
      <c r="AM1120" s="32">
        <f>IF($A1120="","",MAX(0,IFERROR(INDEX('2_IMPORTAR_EJECUCION'!$H$9:$H$1208,MATCH($AU1120,'2_IMPORTAR_EJECUCION'!$J$9:$J$1208,0)),0)-$AL1120))</f>
        <v/>
      </c>
      <c r="AN1120" s="32">
        <f>IF($A1120="","",$AL1120+$AM1120)</f>
        <v/>
      </c>
      <c r="AO1120" s="24">
        <f>IF($A1120="","",IF(OR((IFERROR(INDEX('CAT_ACTIVIDADES'!$D$4:$D$26,MATCH($H1120,'CAT_ACTIVIDADES'!$A$4:$A$26,0)),""))=0,(IFERROR(INDEX('CAT_ACTIVIDADES'!$D$4:$D$26,MATCH($H1120,'CAT_ACTIVIDADES'!$A$4:$A$26,0)),""))=""),"SIN CLASIFICAR",IFERROR(INDEX('CAT_ACTIVIDADES'!$D$4:$D$26,MATCH($H1120,'CAT_ACTIVIDADES'!$A$4:$A$26,0)),"")))</f>
        <v/>
      </c>
      <c r="AP1120" s="4" t="n"/>
      <c r="AQ1120" s="4" t="n"/>
      <c r="AR1120" s="4" t="n"/>
      <c r="AS1120" s="24">
        <f>IF($AR1120="","",HYPERLINK(p_ruta_base_checklists&amp;$AR1120,"abrir"))</f>
        <v/>
      </c>
      <c r="AT1120" s="4" t="n"/>
      <c r="AU1120" s="24">
        <f>IF($A1120="","",$A1120&amp;IF($B1120="","0010",$B1120))</f>
        <v/>
      </c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41" t="n"/>
      <c r="K1121" s="5" t="n"/>
      <c r="L1121" s="18" t="n"/>
      <c r="M1121" s="24">
        <f>IF($A1121="","",IFERROR(INDEX('AJUSTES'!$B$4:$B$303,MATCH($AU1121,'AJUSTES'!$A$4:$A$303,0)),IF($K1121="","",$K1121)))</f>
        <v/>
      </c>
      <c r="N1121" s="24">
        <f>IF($A1121="","",IFERROR(INDEX('CAT_ESTADOS_ERP'!$B$4:$B$22,MATCH(IFERROR(INDEX('2_IMPORTAR_EJECUCION'!$C$9:$C$1208,MATCH($AU1121,'2_IMPORTAR_EJECUCION'!$J$9:$J$1208,0)),""),'CAT_ESTADOS_ERP'!$A$4:$A$22,0)),"Pendiente"))</f>
        <v/>
      </c>
      <c r="O1121" s="24">
        <f>IF($J1121="","",YEAR($J1121+4-WEEKDAY($J1121,2))&amp;"-S"&amp;TEXT(_xlfn.ISOWEEKNUM($J1121),"00"))</f>
        <v/>
      </c>
      <c r="P1121" s="24">
        <f>IF($J1121="","",YEAR($J1121))</f>
        <v/>
      </c>
      <c r="Q1121" s="24">
        <f>IF($J1121="","",MONTH($J1121))</f>
        <v/>
      </c>
      <c r="R1121" s="24">
        <f>IF($J1121="","",$P1121&amp;"-"&amp;TEXT($Q1121,"00"))</f>
        <v/>
      </c>
      <c r="S1121" s="24">
        <f>IF($J1121="","",INDEX(lista_dias,WEEKDAY($J1121,2)))</f>
        <v/>
      </c>
      <c r="T1121" s="24">
        <f>IF($J1121="","",IFERROR(INDEX('CALENDARIO'!$C$15:$C$214,MATCH(TEXT($J1121,"yyyy-mm-dd")&amp;"|"&amp;$Y1121&amp;"|"&amp;$Z1121,'CALENDARIO'!$G$15:$G$214,0)),IFERROR(INDEX('CALENDARIO'!$C$15:$C$214,MATCH(TEXT($J1121,"yyyy-mm-dd")&amp;"|"&amp;$Y1121&amp;"|",'CALENDARIO'!$G$15:$G$214,0)),IFERROR(INDEX('CALENDARIO'!$C$15:$C$214,MATCH(TEXT($J1121,"yyyy-mm-dd")&amp;"||",'CALENDARIO'!$G$15:$G$214,0)),INDEX(patronHabil,WEEKDAY($J1121,2))))))</f>
        <v/>
      </c>
      <c r="U1121" s="24">
        <f>IF($I1121="","",IFERROR(INDEX('CAT_TIPOS_OT'!$C$4:$C$23,MATCH($I1121,'CAT_TIPOS_OT'!$A$4:$A$23,0)),"sin_clasificar"))</f>
        <v/>
      </c>
      <c r="V1121" s="24">
        <f>IF($I1121="","",IF(IFERROR(INDEX('CAT_TIPOS_OT'!$D$4:$D$23,MATCH($I1121,'CAT_TIPOS_OT'!$A$4:$A$23,0)),"SIN CLASIFICAR")="","SIN CLASIFICAR",IFERROR(INDEX('CAT_TIPOS_OT'!$D$4:$D$23,MATCH($I1121,'CAT_TIPOS_OT'!$A$4:$A$23,0)),"SIN CLASIFICAR")))</f>
        <v/>
      </c>
      <c r="W1121" s="24">
        <f>IF($H1121="","",IF(IFERROR(INDEX('CAT_ACTIVIDADES'!$F$4:$F$26,MATCH($H1121,'CAT_ACTIVIDADES'!$A$4:$A$26,0)),"")=0,"",IFERROR(INDEX('CAT_ACTIVIDADES'!$F$4:$F$26,MATCH($H1121,'CAT_ACTIVIDADES'!$A$4:$A$26,0)),"")))</f>
        <v/>
      </c>
      <c r="X1121" s="24">
        <f>IF($F1121="","",IFERROR(INDEX('CAT_CENTROS_COSTO'!$F$4:$F$28,MATCH($F1121,'CAT_CENTROS_COSTO'!$A$4:$A$28,0)),"(sin catálogo)"))</f>
        <v/>
      </c>
      <c r="Y1121" s="24">
        <f>IF($F1121="","",IFERROR(INDEX('CAT_CENTROS_COSTO'!$D$4:$D$28,MATCH($F1121,'CAT_CENTROS_COSTO'!$A$4:$A$28,0)),"(sin catálogo)"))</f>
        <v/>
      </c>
      <c r="Z1121" s="24">
        <f>IF($F1121="","",IF((IFERROR(INDEX('CAT_CENTROS_COSTO'!$E$4:$E$28,MATCH($F1121,'CAT_CENTROS_COSTO'!$A$4:$A$28,0)),""))&lt;&gt;"",IFERROR(INDEX('CAT_CENTROS_COSTO'!$E$4:$E$28,MATCH($F1121,'CAT_CENTROS_COSTO'!$A$4:$A$28,0)),""),$Y1121))</f>
        <v/>
      </c>
      <c r="AA1121" s="24">
        <f>IF($F1121="","",IFERROR(INDEX('CAT_CENTROS_COSTO'!$G$4:$G$28,MATCH($F1121,'CAT_CENTROS_COSTO'!$A$4:$A$28,0)),"(sin catálogo)"))</f>
        <v/>
      </c>
      <c r="AB1121" s="24">
        <f>IF($G1121="","",IFERROR(INDEX('CAT_PUESTOS'!$B$4:$B$23,MATCH($G1121,'CAT_PUESTOS'!$A$4:$A$23,0)),"(sin catálogo)"))</f>
        <v/>
      </c>
      <c r="AC1121" s="24">
        <f>IF($H1121="","",IFERROR(INDEX('CAT_ACTIVIDADES'!$B$4:$B$26,MATCH($H1121,'CAT_ACTIVIDADES'!$A$4:$A$26,0)),"(sin catálogo)"))</f>
        <v/>
      </c>
      <c r="AD1121" s="26">
        <f>IF($J1121="","",TODAY()-$J1121)</f>
        <v/>
      </c>
      <c r="AE1121" s="26">
        <f>IF($J1121="","",IF($J1121&lt;=TODAY(),COUNTIFS(cal_fechas,"&gt;="&amp;$J1121,cal_fechas,"&lt;"&amp;TODAY(),cal_habil,"sí"),-COUNTIFS(cal_fechas,"&gt;="&amp;TODAY(),cal_fechas,"&lt;"&amp;$J1121,cal_habil,"sí")))</f>
        <v/>
      </c>
      <c r="AF1121" s="24">
        <f>IF($AE1121="","",IF($AE1121&lt;0,"FUTURO",IF($AE1121&gt;p_dias_backlog_max,"BACKLOG","MES CORRIENTE")))</f>
        <v/>
      </c>
      <c r="AG1121" s="24">
        <f>IF($AE1121="",FALSE,AND($AE1121&gt;p_dias_backlog_min,$AE1121&lt;=p_dias_backlog_max))</f>
        <v/>
      </c>
      <c r="AH1121" s="4" t="n"/>
      <c r="AI1121" s="24">
        <f>IF($AH1121="","",IF((IFERROR(INDEX('ASIGNACIONES'!$J$4:$J$451,MATCH($O1121&amp;"|"&amp;$S1121&amp;"|"&amp;$AH1121,'ASIGNACIONES'!$N$4:$N$451,0)),""))=0,"",IFERROR(INDEX('ASIGNACIONES'!$J$4:$J$451,MATCH($O1121&amp;"|"&amp;$S1121&amp;"|"&amp;$AH1121,'ASIGNACIONES'!$N$4:$N$451,0)),"")))</f>
        <v/>
      </c>
      <c r="AJ1121" s="42">
        <f>IF($AH1121="","",SUMIFS('ORDENES'!$M$4:$M$1203,'ORDENES'!$AH$4:$AH$1203,$AH1121,'ORDENES'!$O$4:$O$1203,$O1121,'ORDENES'!$S$4:$S$1203,$S1121))</f>
        <v/>
      </c>
      <c r="AK1121" s="42">
        <f>IF($AJ1121="","",p_factor_productividad*IFERROR(INDEX('ASIGNACIONES'!$M$4:$M$451,MATCH($O1121&amp;"|"&amp;$S1121&amp;"|"&amp;$AH1121,'ASIGNACIONES'!$N$4:$N$451,0)),0)-$AJ1121)</f>
        <v/>
      </c>
      <c r="AL1121" s="32">
        <f>IF($A1121="","",IFERROR(INDEX('2_IMPORTAR_EJECUCION'!$F$9:$F$1208,MATCH($AU1121,'2_IMPORTAR_EJECUCION'!$J$9:$J$1208,0)),0))</f>
        <v/>
      </c>
      <c r="AM1121" s="32">
        <f>IF($A1121="","",MAX(0,IFERROR(INDEX('2_IMPORTAR_EJECUCION'!$H$9:$H$1208,MATCH($AU1121,'2_IMPORTAR_EJECUCION'!$J$9:$J$1208,0)),0)-$AL1121))</f>
        <v/>
      </c>
      <c r="AN1121" s="32">
        <f>IF($A1121="","",$AL1121+$AM1121)</f>
        <v/>
      </c>
      <c r="AO1121" s="24">
        <f>IF($A1121="","",IF(OR((IFERROR(INDEX('CAT_ACTIVIDADES'!$D$4:$D$26,MATCH($H1121,'CAT_ACTIVIDADES'!$A$4:$A$26,0)),""))=0,(IFERROR(INDEX('CAT_ACTIVIDADES'!$D$4:$D$26,MATCH($H1121,'CAT_ACTIVIDADES'!$A$4:$A$26,0)),""))=""),"SIN CLASIFICAR",IFERROR(INDEX('CAT_ACTIVIDADES'!$D$4:$D$26,MATCH($H1121,'CAT_ACTIVIDADES'!$A$4:$A$26,0)),"")))</f>
        <v/>
      </c>
      <c r="AP1121" s="4" t="n"/>
      <c r="AQ1121" s="4" t="n"/>
      <c r="AR1121" s="4" t="n"/>
      <c r="AS1121" s="24">
        <f>IF($AR1121="","",HYPERLINK(p_ruta_base_checklists&amp;$AR1121,"abrir"))</f>
        <v/>
      </c>
      <c r="AT1121" s="4" t="n"/>
      <c r="AU1121" s="24">
        <f>IF($A1121="","",$A1121&amp;IF($B1121="","0010",$B1121))</f>
        <v/>
      </c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41" t="n"/>
      <c r="K1122" s="5" t="n"/>
      <c r="L1122" s="18" t="n"/>
      <c r="M1122" s="24">
        <f>IF($A1122="","",IFERROR(INDEX('AJUSTES'!$B$4:$B$303,MATCH($AU1122,'AJUSTES'!$A$4:$A$303,0)),IF($K1122="","",$K1122)))</f>
        <v/>
      </c>
      <c r="N1122" s="24">
        <f>IF($A1122="","",IFERROR(INDEX('CAT_ESTADOS_ERP'!$B$4:$B$22,MATCH(IFERROR(INDEX('2_IMPORTAR_EJECUCION'!$C$9:$C$1208,MATCH($AU1122,'2_IMPORTAR_EJECUCION'!$J$9:$J$1208,0)),""),'CAT_ESTADOS_ERP'!$A$4:$A$22,0)),"Pendiente"))</f>
        <v/>
      </c>
      <c r="O1122" s="24">
        <f>IF($J1122="","",YEAR($J1122+4-WEEKDAY($J1122,2))&amp;"-S"&amp;TEXT(_xlfn.ISOWEEKNUM($J1122),"00"))</f>
        <v/>
      </c>
      <c r="P1122" s="24">
        <f>IF($J1122="","",YEAR($J1122))</f>
        <v/>
      </c>
      <c r="Q1122" s="24">
        <f>IF($J1122="","",MONTH($J1122))</f>
        <v/>
      </c>
      <c r="R1122" s="24">
        <f>IF($J1122="","",$P1122&amp;"-"&amp;TEXT($Q1122,"00"))</f>
        <v/>
      </c>
      <c r="S1122" s="24">
        <f>IF($J1122="","",INDEX(lista_dias,WEEKDAY($J1122,2)))</f>
        <v/>
      </c>
      <c r="T1122" s="24">
        <f>IF($J1122="","",IFERROR(INDEX('CALENDARIO'!$C$15:$C$214,MATCH(TEXT($J1122,"yyyy-mm-dd")&amp;"|"&amp;$Y1122&amp;"|"&amp;$Z1122,'CALENDARIO'!$G$15:$G$214,0)),IFERROR(INDEX('CALENDARIO'!$C$15:$C$214,MATCH(TEXT($J1122,"yyyy-mm-dd")&amp;"|"&amp;$Y1122&amp;"|",'CALENDARIO'!$G$15:$G$214,0)),IFERROR(INDEX('CALENDARIO'!$C$15:$C$214,MATCH(TEXT($J1122,"yyyy-mm-dd")&amp;"||",'CALENDARIO'!$G$15:$G$214,0)),INDEX(patronHabil,WEEKDAY($J1122,2))))))</f>
        <v/>
      </c>
      <c r="U1122" s="24">
        <f>IF($I1122="","",IFERROR(INDEX('CAT_TIPOS_OT'!$C$4:$C$23,MATCH($I1122,'CAT_TIPOS_OT'!$A$4:$A$23,0)),"sin_clasificar"))</f>
        <v/>
      </c>
      <c r="V1122" s="24">
        <f>IF($I1122="","",IF(IFERROR(INDEX('CAT_TIPOS_OT'!$D$4:$D$23,MATCH($I1122,'CAT_TIPOS_OT'!$A$4:$A$23,0)),"SIN CLASIFICAR")="","SIN CLASIFICAR",IFERROR(INDEX('CAT_TIPOS_OT'!$D$4:$D$23,MATCH($I1122,'CAT_TIPOS_OT'!$A$4:$A$23,0)),"SIN CLASIFICAR")))</f>
        <v/>
      </c>
      <c r="W1122" s="24">
        <f>IF($H1122="","",IF(IFERROR(INDEX('CAT_ACTIVIDADES'!$F$4:$F$26,MATCH($H1122,'CAT_ACTIVIDADES'!$A$4:$A$26,0)),"")=0,"",IFERROR(INDEX('CAT_ACTIVIDADES'!$F$4:$F$26,MATCH($H1122,'CAT_ACTIVIDADES'!$A$4:$A$26,0)),"")))</f>
        <v/>
      </c>
      <c r="X1122" s="24">
        <f>IF($F1122="","",IFERROR(INDEX('CAT_CENTROS_COSTO'!$F$4:$F$28,MATCH($F1122,'CAT_CENTROS_COSTO'!$A$4:$A$28,0)),"(sin catálogo)"))</f>
        <v/>
      </c>
      <c r="Y1122" s="24">
        <f>IF($F1122="","",IFERROR(INDEX('CAT_CENTROS_COSTO'!$D$4:$D$28,MATCH($F1122,'CAT_CENTROS_COSTO'!$A$4:$A$28,0)),"(sin catálogo)"))</f>
        <v/>
      </c>
      <c r="Z1122" s="24">
        <f>IF($F1122="","",IF((IFERROR(INDEX('CAT_CENTROS_COSTO'!$E$4:$E$28,MATCH($F1122,'CAT_CENTROS_COSTO'!$A$4:$A$28,0)),""))&lt;&gt;"",IFERROR(INDEX('CAT_CENTROS_COSTO'!$E$4:$E$28,MATCH($F1122,'CAT_CENTROS_COSTO'!$A$4:$A$28,0)),""),$Y1122))</f>
        <v/>
      </c>
      <c r="AA1122" s="24">
        <f>IF($F1122="","",IFERROR(INDEX('CAT_CENTROS_COSTO'!$G$4:$G$28,MATCH($F1122,'CAT_CENTROS_COSTO'!$A$4:$A$28,0)),"(sin catálogo)"))</f>
        <v/>
      </c>
      <c r="AB1122" s="24">
        <f>IF($G1122="","",IFERROR(INDEX('CAT_PUESTOS'!$B$4:$B$23,MATCH($G1122,'CAT_PUESTOS'!$A$4:$A$23,0)),"(sin catálogo)"))</f>
        <v/>
      </c>
      <c r="AC1122" s="24">
        <f>IF($H1122="","",IFERROR(INDEX('CAT_ACTIVIDADES'!$B$4:$B$26,MATCH($H1122,'CAT_ACTIVIDADES'!$A$4:$A$26,0)),"(sin catálogo)"))</f>
        <v/>
      </c>
      <c r="AD1122" s="26">
        <f>IF($J1122="","",TODAY()-$J1122)</f>
        <v/>
      </c>
      <c r="AE1122" s="26">
        <f>IF($J1122="","",IF($J1122&lt;=TODAY(),COUNTIFS(cal_fechas,"&gt;="&amp;$J1122,cal_fechas,"&lt;"&amp;TODAY(),cal_habil,"sí"),-COUNTIFS(cal_fechas,"&gt;="&amp;TODAY(),cal_fechas,"&lt;"&amp;$J1122,cal_habil,"sí")))</f>
        <v/>
      </c>
      <c r="AF1122" s="24">
        <f>IF($AE1122="","",IF($AE1122&lt;0,"FUTURO",IF($AE1122&gt;p_dias_backlog_max,"BACKLOG","MES CORRIENTE")))</f>
        <v/>
      </c>
      <c r="AG1122" s="24">
        <f>IF($AE1122="",FALSE,AND($AE1122&gt;p_dias_backlog_min,$AE1122&lt;=p_dias_backlog_max))</f>
        <v/>
      </c>
      <c r="AH1122" s="4" t="n"/>
      <c r="AI1122" s="24">
        <f>IF($AH1122="","",IF((IFERROR(INDEX('ASIGNACIONES'!$J$4:$J$451,MATCH($O1122&amp;"|"&amp;$S1122&amp;"|"&amp;$AH1122,'ASIGNACIONES'!$N$4:$N$451,0)),""))=0,"",IFERROR(INDEX('ASIGNACIONES'!$J$4:$J$451,MATCH($O1122&amp;"|"&amp;$S1122&amp;"|"&amp;$AH1122,'ASIGNACIONES'!$N$4:$N$451,0)),"")))</f>
        <v/>
      </c>
      <c r="AJ1122" s="42">
        <f>IF($AH1122="","",SUMIFS('ORDENES'!$M$4:$M$1203,'ORDENES'!$AH$4:$AH$1203,$AH1122,'ORDENES'!$O$4:$O$1203,$O1122,'ORDENES'!$S$4:$S$1203,$S1122))</f>
        <v/>
      </c>
      <c r="AK1122" s="42">
        <f>IF($AJ1122="","",p_factor_productividad*IFERROR(INDEX('ASIGNACIONES'!$M$4:$M$451,MATCH($O1122&amp;"|"&amp;$S1122&amp;"|"&amp;$AH1122,'ASIGNACIONES'!$N$4:$N$451,0)),0)-$AJ1122)</f>
        <v/>
      </c>
      <c r="AL1122" s="32">
        <f>IF($A1122="","",IFERROR(INDEX('2_IMPORTAR_EJECUCION'!$F$9:$F$1208,MATCH($AU1122,'2_IMPORTAR_EJECUCION'!$J$9:$J$1208,0)),0))</f>
        <v/>
      </c>
      <c r="AM1122" s="32">
        <f>IF($A1122="","",MAX(0,IFERROR(INDEX('2_IMPORTAR_EJECUCION'!$H$9:$H$1208,MATCH($AU1122,'2_IMPORTAR_EJECUCION'!$J$9:$J$1208,0)),0)-$AL1122))</f>
        <v/>
      </c>
      <c r="AN1122" s="32">
        <f>IF($A1122="","",$AL1122+$AM1122)</f>
        <v/>
      </c>
      <c r="AO1122" s="24">
        <f>IF($A1122="","",IF(OR((IFERROR(INDEX('CAT_ACTIVIDADES'!$D$4:$D$26,MATCH($H1122,'CAT_ACTIVIDADES'!$A$4:$A$26,0)),""))=0,(IFERROR(INDEX('CAT_ACTIVIDADES'!$D$4:$D$26,MATCH($H1122,'CAT_ACTIVIDADES'!$A$4:$A$26,0)),""))=""),"SIN CLASIFICAR",IFERROR(INDEX('CAT_ACTIVIDADES'!$D$4:$D$26,MATCH($H1122,'CAT_ACTIVIDADES'!$A$4:$A$26,0)),"")))</f>
        <v/>
      </c>
      <c r="AP1122" s="4" t="n"/>
      <c r="AQ1122" s="4" t="n"/>
      <c r="AR1122" s="4" t="n"/>
      <c r="AS1122" s="24">
        <f>IF($AR1122="","",HYPERLINK(p_ruta_base_checklists&amp;$AR1122,"abrir"))</f>
        <v/>
      </c>
      <c r="AT1122" s="4" t="n"/>
      <c r="AU1122" s="24">
        <f>IF($A1122="","",$A1122&amp;IF($B1122="","0010",$B1122))</f>
        <v/>
      </c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41" t="n"/>
      <c r="K1123" s="5" t="n"/>
      <c r="L1123" s="18" t="n"/>
      <c r="M1123" s="24">
        <f>IF($A1123="","",IFERROR(INDEX('AJUSTES'!$B$4:$B$303,MATCH($AU1123,'AJUSTES'!$A$4:$A$303,0)),IF($K1123="","",$K1123)))</f>
        <v/>
      </c>
      <c r="N1123" s="24">
        <f>IF($A1123="","",IFERROR(INDEX('CAT_ESTADOS_ERP'!$B$4:$B$22,MATCH(IFERROR(INDEX('2_IMPORTAR_EJECUCION'!$C$9:$C$1208,MATCH($AU1123,'2_IMPORTAR_EJECUCION'!$J$9:$J$1208,0)),""),'CAT_ESTADOS_ERP'!$A$4:$A$22,0)),"Pendiente"))</f>
        <v/>
      </c>
      <c r="O1123" s="24">
        <f>IF($J1123="","",YEAR($J1123+4-WEEKDAY($J1123,2))&amp;"-S"&amp;TEXT(_xlfn.ISOWEEKNUM($J1123),"00"))</f>
        <v/>
      </c>
      <c r="P1123" s="24">
        <f>IF($J1123="","",YEAR($J1123))</f>
        <v/>
      </c>
      <c r="Q1123" s="24">
        <f>IF($J1123="","",MONTH($J1123))</f>
        <v/>
      </c>
      <c r="R1123" s="24">
        <f>IF($J1123="","",$P1123&amp;"-"&amp;TEXT($Q1123,"00"))</f>
        <v/>
      </c>
      <c r="S1123" s="24">
        <f>IF($J1123="","",INDEX(lista_dias,WEEKDAY($J1123,2)))</f>
        <v/>
      </c>
      <c r="T1123" s="24">
        <f>IF($J1123="","",IFERROR(INDEX('CALENDARIO'!$C$15:$C$214,MATCH(TEXT($J1123,"yyyy-mm-dd")&amp;"|"&amp;$Y1123&amp;"|"&amp;$Z1123,'CALENDARIO'!$G$15:$G$214,0)),IFERROR(INDEX('CALENDARIO'!$C$15:$C$214,MATCH(TEXT($J1123,"yyyy-mm-dd")&amp;"|"&amp;$Y1123&amp;"|",'CALENDARIO'!$G$15:$G$214,0)),IFERROR(INDEX('CALENDARIO'!$C$15:$C$214,MATCH(TEXT($J1123,"yyyy-mm-dd")&amp;"||",'CALENDARIO'!$G$15:$G$214,0)),INDEX(patronHabil,WEEKDAY($J1123,2))))))</f>
        <v/>
      </c>
      <c r="U1123" s="24">
        <f>IF($I1123="","",IFERROR(INDEX('CAT_TIPOS_OT'!$C$4:$C$23,MATCH($I1123,'CAT_TIPOS_OT'!$A$4:$A$23,0)),"sin_clasificar"))</f>
        <v/>
      </c>
      <c r="V1123" s="24">
        <f>IF($I1123="","",IF(IFERROR(INDEX('CAT_TIPOS_OT'!$D$4:$D$23,MATCH($I1123,'CAT_TIPOS_OT'!$A$4:$A$23,0)),"SIN CLASIFICAR")="","SIN CLASIFICAR",IFERROR(INDEX('CAT_TIPOS_OT'!$D$4:$D$23,MATCH($I1123,'CAT_TIPOS_OT'!$A$4:$A$23,0)),"SIN CLASIFICAR")))</f>
        <v/>
      </c>
      <c r="W1123" s="24">
        <f>IF($H1123="","",IF(IFERROR(INDEX('CAT_ACTIVIDADES'!$F$4:$F$26,MATCH($H1123,'CAT_ACTIVIDADES'!$A$4:$A$26,0)),"")=0,"",IFERROR(INDEX('CAT_ACTIVIDADES'!$F$4:$F$26,MATCH($H1123,'CAT_ACTIVIDADES'!$A$4:$A$26,0)),"")))</f>
        <v/>
      </c>
      <c r="X1123" s="24">
        <f>IF($F1123="","",IFERROR(INDEX('CAT_CENTROS_COSTO'!$F$4:$F$28,MATCH($F1123,'CAT_CENTROS_COSTO'!$A$4:$A$28,0)),"(sin catálogo)"))</f>
        <v/>
      </c>
      <c r="Y1123" s="24">
        <f>IF($F1123="","",IFERROR(INDEX('CAT_CENTROS_COSTO'!$D$4:$D$28,MATCH($F1123,'CAT_CENTROS_COSTO'!$A$4:$A$28,0)),"(sin catálogo)"))</f>
        <v/>
      </c>
      <c r="Z1123" s="24">
        <f>IF($F1123="","",IF((IFERROR(INDEX('CAT_CENTROS_COSTO'!$E$4:$E$28,MATCH($F1123,'CAT_CENTROS_COSTO'!$A$4:$A$28,0)),""))&lt;&gt;"",IFERROR(INDEX('CAT_CENTROS_COSTO'!$E$4:$E$28,MATCH($F1123,'CAT_CENTROS_COSTO'!$A$4:$A$28,0)),""),$Y1123))</f>
        <v/>
      </c>
      <c r="AA1123" s="24">
        <f>IF($F1123="","",IFERROR(INDEX('CAT_CENTROS_COSTO'!$G$4:$G$28,MATCH($F1123,'CAT_CENTROS_COSTO'!$A$4:$A$28,0)),"(sin catálogo)"))</f>
        <v/>
      </c>
      <c r="AB1123" s="24">
        <f>IF($G1123="","",IFERROR(INDEX('CAT_PUESTOS'!$B$4:$B$23,MATCH($G1123,'CAT_PUESTOS'!$A$4:$A$23,0)),"(sin catálogo)"))</f>
        <v/>
      </c>
      <c r="AC1123" s="24">
        <f>IF($H1123="","",IFERROR(INDEX('CAT_ACTIVIDADES'!$B$4:$B$26,MATCH($H1123,'CAT_ACTIVIDADES'!$A$4:$A$26,0)),"(sin catálogo)"))</f>
        <v/>
      </c>
      <c r="AD1123" s="26">
        <f>IF($J1123="","",TODAY()-$J1123)</f>
        <v/>
      </c>
      <c r="AE1123" s="26">
        <f>IF($J1123="","",IF($J1123&lt;=TODAY(),COUNTIFS(cal_fechas,"&gt;="&amp;$J1123,cal_fechas,"&lt;"&amp;TODAY(),cal_habil,"sí"),-COUNTIFS(cal_fechas,"&gt;="&amp;TODAY(),cal_fechas,"&lt;"&amp;$J1123,cal_habil,"sí")))</f>
        <v/>
      </c>
      <c r="AF1123" s="24">
        <f>IF($AE1123="","",IF($AE1123&lt;0,"FUTURO",IF($AE1123&gt;p_dias_backlog_max,"BACKLOG","MES CORRIENTE")))</f>
        <v/>
      </c>
      <c r="AG1123" s="24">
        <f>IF($AE1123="",FALSE,AND($AE1123&gt;p_dias_backlog_min,$AE1123&lt;=p_dias_backlog_max))</f>
        <v/>
      </c>
      <c r="AH1123" s="4" t="n"/>
      <c r="AI1123" s="24">
        <f>IF($AH1123="","",IF((IFERROR(INDEX('ASIGNACIONES'!$J$4:$J$451,MATCH($O1123&amp;"|"&amp;$S1123&amp;"|"&amp;$AH1123,'ASIGNACIONES'!$N$4:$N$451,0)),""))=0,"",IFERROR(INDEX('ASIGNACIONES'!$J$4:$J$451,MATCH($O1123&amp;"|"&amp;$S1123&amp;"|"&amp;$AH1123,'ASIGNACIONES'!$N$4:$N$451,0)),"")))</f>
        <v/>
      </c>
      <c r="AJ1123" s="42">
        <f>IF($AH1123="","",SUMIFS('ORDENES'!$M$4:$M$1203,'ORDENES'!$AH$4:$AH$1203,$AH1123,'ORDENES'!$O$4:$O$1203,$O1123,'ORDENES'!$S$4:$S$1203,$S1123))</f>
        <v/>
      </c>
      <c r="AK1123" s="42">
        <f>IF($AJ1123="","",p_factor_productividad*IFERROR(INDEX('ASIGNACIONES'!$M$4:$M$451,MATCH($O1123&amp;"|"&amp;$S1123&amp;"|"&amp;$AH1123,'ASIGNACIONES'!$N$4:$N$451,0)),0)-$AJ1123)</f>
        <v/>
      </c>
      <c r="AL1123" s="32">
        <f>IF($A1123="","",IFERROR(INDEX('2_IMPORTAR_EJECUCION'!$F$9:$F$1208,MATCH($AU1123,'2_IMPORTAR_EJECUCION'!$J$9:$J$1208,0)),0))</f>
        <v/>
      </c>
      <c r="AM1123" s="32">
        <f>IF($A1123="","",MAX(0,IFERROR(INDEX('2_IMPORTAR_EJECUCION'!$H$9:$H$1208,MATCH($AU1123,'2_IMPORTAR_EJECUCION'!$J$9:$J$1208,0)),0)-$AL1123))</f>
        <v/>
      </c>
      <c r="AN1123" s="32">
        <f>IF($A1123="","",$AL1123+$AM1123)</f>
        <v/>
      </c>
      <c r="AO1123" s="24">
        <f>IF($A1123="","",IF(OR((IFERROR(INDEX('CAT_ACTIVIDADES'!$D$4:$D$26,MATCH($H1123,'CAT_ACTIVIDADES'!$A$4:$A$26,0)),""))=0,(IFERROR(INDEX('CAT_ACTIVIDADES'!$D$4:$D$26,MATCH($H1123,'CAT_ACTIVIDADES'!$A$4:$A$26,0)),""))=""),"SIN CLASIFICAR",IFERROR(INDEX('CAT_ACTIVIDADES'!$D$4:$D$26,MATCH($H1123,'CAT_ACTIVIDADES'!$A$4:$A$26,0)),"")))</f>
        <v/>
      </c>
      <c r="AP1123" s="4" t="n"/>
      <c r="AQ1123" s="4" t="n"/>
      <c r="AR1123" s="4" t="n"/>
      <c r="AS1123" s="24">
        <f>IF($AR1123="","",HYPERLINK(p_ruta_base_checklists&amp;$AR1123,"abrir"))</f>
        <v/>
      </c>
      <c r="AT1123" s="4" t="n"/>
      <c r="AU1123" s="24">
        <f>IF($A1123="","",$A1123&amp;IF($B1123="","0010",$B1123))</f>
        <v/>
      </c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41" t="n"/>
      <c r="K1124" s="5" t="n"/>
      <c r="L1124" s="18" t="n"/>
      <c r="M1124" s="24">
        <f>IF($A1124="","",IFERROR(INDEX('AJUSTES'!$B$4:$B$303,MATCH($AU1124,'AJUSTES'!$A$4:$A$303,0)),IF($K1124="","",$K1124)))</f>
        <v/>
      </c>
      <c r="N1124" s="24">
        <f>IF($A1124="","",IFERROR(INDEX('CAT_ESTADOS_ERP'!$B$4:$B$22,MATCH(IFERROR(INDEX('2_IMPORTAR_EJECUCION'!$C$9:$C$1208,MATCH($AU1124,'2_IMPORTAR_EJECUCION'!$J$9:$J$1208,0)),""),'CAT_ESTADOS_ERP'!$A$4:$A$22,0)),"Pendiente"))</f>
        <v/>
      </c>
      <c r="O1124" s="24">
        <f>IF($J1124="","",YEAR($J1124+4-WEEKDAY($J1124,2))&amp;"-S"&amp;TEXT(_xlfn.ISOWEEKNUM($J1124),"00"))</f>
        <v/>
      </c>
      <c r="P1124" s="24">
        <f>IF($J1124="","",YEAR($J1124))</f>
        <v/>
      </c>
      <c r="Q1124" s="24">
        <f>IF($J1124="","",MONTH($J1124))</f>
        <v/>
      </c>
      <c r="R1124" s="24">
        <f>IF($J1124="","",$P1124&amp;"-"&amp;TEXT($Q1124,"00"))</f>
        <v/>
      </c>
      <c r="S1124" s="24">
        <f>IF($J1124="","",INDEX(lista_dias,WEEKDAY($J1124,2)))</f>
        <v/>
      </c>
      <c r="T1124" s="24">
        <f>IF($J1124="","",IFERROR(INDEX('CALENDARIO'!$C$15:$C$214,MATCH(TEXT($J1124,"yyyy-mm-dd")&amp;"|"&amp;$Y1124&amp;"|"&amp;$Z1124,'CALENDARIO'!$G$15:$G$214,0)),IFERROR(INDEX('CALENDARIO'!$C$15:$C$214,MATCH(TEXT($J1124,"yyyy-mm-dd")&amp;"|"&amp;$Y1124&amp;"|",'CALENDARIO'!$G$15:$G$214,0)),IFERROR(INDEX('CALENDARIO'!$C$15:$C$214,MATCH(TEXT($J1124,"yyyy-mm-dd")&amp;"||",'CALENDARIO'!$G$15:$G$214,0)),INDEX(patronHabil,WEEKDAY($J1124,2))))))</f>
        <v/>
      </c>
      <c r="U1124" s="24">
        <f>IF($I1124="","",IFERROR(INDEX('CAT_TIPOS_OT'!$C$4:$C$23,MATCH($I1124,'CAT_TIPOS_OT'!$A$4:$A$23,0)),"sin_clasificar"))</f>
        <v/>
      </c>
      <c r="V1124" s="24">
        <f>IF($I1124="","",IF(IFERROR(INDEX('CAT_TIPOS_OT'!$D$4:$D$23,MATCH($I1124,'CAT_TIPOS_OT'!$A$4:$A$23,0)),"SIN CLASIFICAR")="","SIN CLASIFICAR",IFERROR(INDEX('CAT_TIPOS_OT'!$D$4:$D$23,MATCH($I1124,'CAT_TIPOS_OT'!$A$4:$A$23,0)),"SIN CLASIFICAR")))</f>
        <v/>
      </c>
      <c r="W1124" s="24">
        <f>IF($H1124="","",IF(IFERROR(INDEX('CAT_ACTIVIDADES'!$F$4:$F$26,MATCH($H1124,'CAT_ACTIVIDADES'!$A$4:$A$26,0)),"")=0,"",IFERROR(INDEX('CAT_ACTIVIDADES'!$F$4:$F$26,MATCH($H1124,'CAT_ACTIVIDADES'!$A$4:$A$26,0)),"")))</f>
        <v/>
      </c>
      <c r="X1124" s="24">
        <f>IF($F1124="","",IFERROR(INDEX('CAT_CENTROS_COSTO'!$F$4:$F$28,MATCH($F1124,'CAT_CENTROS_COSTO'!$A$4:$A$28,0)),"(sin catálogo)"))</f>
        <v/>
      </c>
      <c r="Y1124" s="24">
        <f>IF($F1124="","",IFERROR(INDEX('CAT_CENTROS_COSTO'!$D$4:$D$28,MATCH($F1124,'CAT_CENTROS_COSTO'!$A$4:$A$28,0)),"(sin catálogo)"))</f>
        <v/>
      </c>
      <c r="Z1124" s="24">
        <f>IF($F1124="","",IF((IFERROR(INDEX('CAT_CENTROS_COSTO'!$E$4:$E$28,MATCH($F1124,'CAT_CENTROS_COSTO'!$A$4:$A$28,0)),""))&lt;&gt;"",IFERROR(INDEX('CAT_CENTROS_COSTO'!$E$4:$E$28,MATCH($F1124,'CAT_CENTROS_COSTO'!$A$4:$A$28,0)),""),$Y1124))</f>
        <v/>
      </c>
      <c r="AA1124" s="24">
        <f>IF($F1124="","",IFERROR(INDEX('CAT_CENTROS_COSTO'!$G$4:$G$28,MATCH($F1124,'CAT_CENTROS_COSTO'!$A$4:$A$28,0)),"(sin catálogo)"))</f>
        <v/>
      </c>
      <c r="AB1124" s="24">
        <f>IF($G1124="","",IFERROR(INDEX('CAT_PUESTOS'!$B$4:$B$23,MATCH($G1124,'CAT_PUESTOS'!$A$4:$A$23,0)),"(sin catálogo)"))</f>
        <v/>
      </c>
      <c r="AC1124" s="24">
        <f>IF($H1124="","",IFERROR(INDEX('CAT_ACTIVIDADES'!$B$4:$B$26,MATCH($H1124,'CAT_ACTIVIDADES'!$A$4:$A$26,0)),"(sin catálogo)"))</f>
        <v/>
      </c>
      <c r="AD1124" s="26">
        <f>IF($J1124="","",TODAY()-$J1124)</f>
        <v/>
      </c>
      <c r="AE1124" s="26">
        <f>IF($J1124="","",IF($J1124&lt;=TODAY(),COUNTIFS(cal_fechas,"&gt;="&amp;$J1124,cal_fechas,"&lt;"&amp;TODAY(),cal_habil,"sí"),-COUNTIFS(cal_fechas,"&gt;="&amp;TODAY(),cal_fechas,"&lt;"&amp;$J1124,cal_habil,"sí")))</f>
        <v/>
      </c>
      <c r="AF1124" s="24">
        <f>IF($AE1124="","",IF($AE1124&lt;0,"FUTURO",IF($AE1124&gt;p_dias_backlog_max,"BACKLOG","MES CORRIENTE")))</f>
        <v/>
      </c>
      <c r="AG1124" s="24">
        <f>IF($AE1124="",FALSE,AND($AE1124&gt;p_dias_backlog_min,$AE1124&lt;=p_dias_backlog_max))</f>
        <v/>
      </c>
      <c r="AH1124" s="4" t="n"/>
      <c r="AI1124" s="24">
        <f>IF($AH1124="","",IF((IFERROR(INDEX('ASIGNACIONES'!$J$4:$J$451,MATCH($O1124&amp;"|"&amp;$S1124&amp;"|"&amp;$AH1124,'ASIGNACIONES'!$N$4:$N$451,0)),""))=0,"",IFERROR(INDEX('ASIGNACIONES'!$J$4:$J$451,MATCH($O1124&amp;"|"&amp;$S1124&amp;"|"&amp;$AH1124,'ASIGNACIONES'!$N$4:$N$451,0)),"")))</f>
        <v/>
      </c>
      <c r="AJ1124" s="42">
        <f>IF($AH1124="","",SUMIFS('ORDENES'!$M$4:$M$1203,'ORDENES'!$AH$4:$AH$1203,$AH1124,'ORDENES'!$O$4:$O$1203,$O1124,'ORDENES'!$S$4:$S$1203,$S1124))</f>
        <v/>
      </c>
      <c r="AK1124" s="42">
        <f>IF($AJ1124="","",p_factor_productividad*IFERROR(INDEX('ASIGNACIONES'!$M$4:$M$451,MATCH($O1124&amp;"|"&amp;$S1124&amp;"|"&amp;$AH1124,'ASIGNACIONES'!$N$4:$N$451,0)),0)-$AJ1124)</f>
        <v/>
      </c>
      <c r="AL1124" s="32">
        <f>IF($A1124="","",IFERROR(INDEX('2_IMPORTAR_EJECUCION'!$F$9:$F$1208,MATCH($AU1124,'2_IMPORTAR_EJECUCION'!$J$9:$J$1208,0)),0))</f>
        <v/>
      </c>
      <c r="AM1124" s="32">
        <f>IF($A1124="","",MAX(0,IFERROR(INDEX('2_IMPORTAR_EJECUCION'!$H$9:$H$1208,MATCH($AU1124,'2_IMPORTAR_EJECUCION'!$J$9:$J$1208,0)),0)-$AL1124))</f>
        <v/>
      </c>
      <c r="AN1124" s="32">
        <f>IF($A1124="","",$AL1124+$AM1124)</f>
        <v/>
      </c>
      <c r="AO1124" s="24">
        <f>IF($A1124="","",IF(OR((IFERROR(INDEX('CAT_ACTIVIDADES'!$D$4:$D$26,MATCH($H1124,'CAT_ACTIVIDADES'!$A$4:$A$26,0)),""))=0,(IFERROR(INDEX('CAT_ACTIVIDADES'!$D$4:$D$26,MATCH($H1124,'CAT_ACTIVIDADES'!$A$4:$A$26,0)),""))=""),"SIN CLASIFICAR",IFERROR(INDEX('CAT_ACTIVIDADES'!$D$4:$D$26,MATCH($H1124,'CAT_ACTIVIDADES'!$A$4:$A$26,0)),"")))</f>
        <v/>
      </c>
      <c r="AP1124" s="4" t="n"/>
      <c r="AQ1124" s="4" t="n"/>
      <c r="AR1124" s="4" t="n"/>
      <c r="AS1124" s="24">
        <f>IF($AR1124="","",HYPERLINK(p_ruta_base_checklists&amp;$AR1124,"abrir"))</f>
        <v/>
      </c>
      <c r="AT1124" s="4" t="n"/>
      <c r="AU1124" s="24">
        <f>IF($A1124="","",$A1124&amp;IF($B1124="","0010",$B1124))</f>
        <v/>
      </c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41" t="n"/>
      <c r="K1125" s="5" t="n"/>
      <c r="L1125" s="18" t="n"/>
      <c r="M1125" s="24">
        <f>IF($A1125="","",IFERROR(INDEX('AJUSTES'!$B$4:$B$303,MATCH($AU1125,'AJUSTES'!$A$4:$A$303,0)),IF($K1125="","",$K1125)))</f>
        <v/>
      </c>
      <c r="N1125" s="24">
        <f>IF($A1125="","",IFERROR(INDEX('CAT_ESTADOS_ERP'!$B$4:$B$22,MATCH(IFERROR(INDEX('2_IMPORTAR_EJECUCION'!$C$9:$C$1208,MATCH($AU1125,'2_IMPORTAR_EJECUCION'!$J$9:$J$1208,0)),""),'CAT_ESTADOS_ERP'!$A$4:$A$22,0)),"Pendiente"))</f>
        <v/>
      </c>
      <c r="O1125" s="24">
        <f>IF($J1125="","",YEAR($J1125+4-WEEKDAY($J1125,2))&amp;"-S"&amp;TEXT(_xlfn.ISOWEEKNUM($J1125),"00"))</f>
        <v/>
      </c>
      <c r="P1125" s="24">
        <f>IF($J1125="","",YEAR($J1125))</f>
        <v/>
      </c>
      <c r="Q1125" s="24">
        <f>IF($J1125="","",MONTH($J1125))</f>
        <v/>
      </c>
      <c r="R1125" s="24">
        <f>IF($J1125="","",$P1125&amp;"-"&amp;TEXT($Q1125,"00"))</f>
        <v/>
      </c>
      <c r="S1125" s="24">
        <f>IF($J1125="","",INDEX(lista_dias,WEEKDAY($J1125,2)))</f>
        <v/>
      </c>
      <c r="T1125" s="24">
        <f>IF($J1125="","",IFERROR(INDEX('CALENDARIO'!$C$15:$C$214,MATCH(TEXT($J1125,"yyyy-mm-dd")&amp;"|"&amp;$Y1125&amp;"|"&amp;$Z1125,'CALENDARIO'!$G$15:$G$214,0)),IFERROR(INDEX('CALENDARIO'!$C$15:$C$214,MATCH(TEXT($J1125,"yyyy-mm-dd")&amp;"|"&amp;$Y1125&amp;"|",'CALENDARIO'!$G$15:$G$214,0)),IFERROR(INDEX('CALENDARIO'!$C$15:$C$214,MATCH(TEXT($J1125,"yyyy-mm-dd")&amp;"||",'CALENDARIO'!$G$15:$G$214,0)),INDEX(patronHabil,WEEKDAY($J1125,2))))))</f>
        <v/>
      </c>
      <c r="U1125" s="24">
        <f>IF($I1125="","",IFERROR(INDEX('CAT_TIPOS_OT'!$C$4:$C$23,MATCH($I1125,'CAT_TIPOS_OT'!$A$4:$A$23,0)),"sin_clasificar"))</f>
        <v/>
      </c>
      <c r="V1125" s="24">
        <f>IF($I1125="","",IF(IFERROR(INDEX('CAT_TIPOS_OT'!$D$4:$D$23,MATCH($I1125,'CAT_TIPOS_OT'!$A$4:$A$23,0)),"SIN CLASIFICAR")="","SIN CLASIFICAR",IFERROR(INDEX('CAT_TIPOS_OT'!$D$4:$D$23,MATCH($I1125,'CAT_TIPOS_OT'!$A$4:$A$23,0)),"SIN CLASIFICAR")))</f>
        <v/>
      </c>
      <c r="W1125" s="24">
        <f>IF($H1125="","",IF(IFERROR(INDEX('CAT_ACTIVIDADES'!$F$4:$F$26,MATCH($H1125,'CAT_ACTIVIDADES'!$A$4:$A$26,0)),"")=0,"",IFERROR(INDEX('CAT_ACTIVIDADES'!$F$4:$F$26,MATCH($H1125,'CAT_ACTIVIDADES'!$A$4:$A$26,0)),"")))</f>
        <v/>
      </c>
      <c r="X1125" s="24">
        <f>IF($F1125="","",IFERROR(INDEX('CAT_CENTROS_COSTO'!$F$4:$F$28,MATCH($F1125,'CAT_CENTROS_COSTO'!$A$4:$A$28,0)),"(sin catálogo)"))</f>
        <v/>
      </c>
      <c r="Y1125" s="24">
        <f>IF($F1125="","",IFERROR(INDEX('CAT_CENTROS_COSTO'!$D$4:$D$28,MATCH($F1125,'CAT_CENTROS_COSTO'!$A$4:$A$28,0)),"(sin catálogo)"))</f>
        <v/>
      </c>
      <c r="Z1125" s="24">
        <f>IF($F1125="","",IF((IFERROR(INDEX('CAT_CENTROS_COSTO'!$E$4:$E$28,MATCH($F1125,'CAT_CENTROS_COSTO'!$A$4:$A$28,0)),""))&lt;&gt;"",IFERROR(INDEX('CAT_CENTROS_COSTO'!$E$4:$E$28,MATCH($F1125,'CAT_CENTROS_COSTO'!$A$4:$A$28,0)),""),$Y1125))</f>
        <v/>
      </c>
      <c r="AA1125" s="24">
        <f>IF($F1125="","",IFERROR(INDEX('CAT_CENTROS_COSTO'!$G$4:$G$28,MATCH($F1125,'CAT_CENTROS_COSTO'!$A$4:$A$28,0)),"(sin catálogo)"))</f>
        <v/>
      </c>
      <c r="AB1125" s="24">
        <f>IF($G1125="","",IFERROR(INDEX('CAT_PUESTOS'!$B$4:$B$23,MATCH($G1125,'CAT_PUESTOS'!$A$4:$A$23,0)),"(sin catálogo)"))</f>
        <v/>
      </c>
      <c r="AC1125" s="24">
        <f>IF($H1125="","",IFERROR(INDEX('CAT_ACTIVIDADES'!$B$4:$B$26,MATCH($H1125,'CAT_ACTIVIDADES'!$A$4:$A$26,0)),"(sin catálogo)"))</f>
        <v/>
      </c>
      <c r="AD1125" s="26">
        <f>IF($J1125="","",TODAY()-$J1125)</f>
        <v/>
      </c>
      <c r="AE1125" s="26">
        <f>IF($J1125="","",IF($J1125&lt;=TODAY(),COUNTIFS(cal_fechas,"&gt;="&amp;$J1125,cal_fechas,"&lt;"&amp;TODAY(),cal_habil,"sí"),-COUNTIFS(cal_fechas,"&gt;="&amp;TODAY(),cal_fechas,"&lt;"&amp;$J1125,cal_habil,"sí")))</f>
        <v/>
      </c>
      <c r="AF1125" s="24">
        <f>IF($AE1125="","",IF($AE1125&lt;0,"FUTURO",IF($AE1125&gt;p_dias_backlog_max,"BACKLOG","MES CORRIENTE")))</f>
        <v/>
      </c>
      <c r="AG1125" s="24">
        <f>IF($AE1125="",FALSE,AND($AE1125&gt;p_dias_backlog_min,$AE1125&lt;=p_dias_backlog_max))</f>
        <v/>
      </c>
      <c r="AH1125" s="4" t="n"/>
      <c r="AI1125" s="24">
        <f>IF($AH1125="","",IF((IFERROR(INDEX('ASIGNACIONES'!$J$4:$J$451,MATCH($O1125&amp;"|"&amp;$S1125&amp;"|"&amp;$AH1125,'ASIGNACIONES'!$N$4:$N$451,0)),""))=0,"",IFERROR(INDEX('ASIGNACIONES'!$J$4:$J$451,MATCH($O1125&amp;"|"&amp;$S1125&amp;"|"&amp;$AH1125,'ASIGNACIONES'!$N$4:$N$451,0)),"")))</f>
        <v/>
      </c>
      <c r="AJ1125" s="42">
        <f>IF($AH1125="","",SUMIFS('ORDENES'!$M$4:$M$1203,'ORDENES'!$AH$4:$AH$1203,$AH1125,'ORDENES'!$O$4:$O$1203,$O1125,'ORDENES'!$S$4:$S$1203,$S1125))</f>
        <v/>
      </c>
      <c r="AK1125" s="42">
        <f>IF($AJ1125="","",p_factor_productividad*IFERROR(INDEX('ASIGNACIONES'!$M$4:$M$451,MATCH($O1125&amp;"|"&amp;$S1125&amp;"|"&amp;$AH1125,'ASIGNACIONES'!$N$4:$N$451,0)),0)-$AJ1125)</f>
        <v/>
      </c>
      <c r="AL1125" s="32">
        <f>IF($A1125="","",IFERROR(INDEX('2_IMPORTAR_EJECUCION'!$F$9:$F$1208,MATCH($AU1125,'2_IMPORTAR_EJECUCION'!$J$9:$J$1208,0)),0))</f>
        <v/>
      </c>
      <c r="AM1125" s="32">
        <f>IF($A1125="","",MAX(0,IFERROR(INDEX('2_IMPORTAR_EJECUCION'!$H$9:$H$1208,MATCH($AU1125,'2_IMPORTAR_EJECUCION'!$J$9:$J$1208,0)),0)-$AL1125))</f>
        <v/>
      </c>
      <c r="AN1125" s="32">
        <f>IF($A1125="","",$AL1125+$AM1125)</f>
        <v/>
      </c>
      <c r="AO1125" s="24">
        <f>IF($A1125="","",IF(OR((IFERROR(INDEX('CAT_ACTIVIDADES'!$D$4:$D$26,MATCH($H1125,'CAT_ACTIVIDADES'!$A$4:$A$26,0)),""))=0,(IFERROR(INDEX('CAT_ACTIVIDADES'!$D$4:$D$26,MATCH($H1125,'CAT_ACTIVIDADES'!$A$4:$A$26,0)),""))=""),"SIN CLASIFICAR",IFERROR(INDEX('CAT_ACTIVIDADES'!$D$4:$D$26,MATCH($H1125,'CAT_ACTIVIDADES'!$A$4:$A$26,0)),"")))</f>
        <v/>
      </c>
      <c r="AP1125" s="4" t="n"/>
      <c r="AQ1125" s="4" t="n"/>
      <c r="AR1125" s="4" t="n"/>
      <c r="AS1125" s="24">
        <f>IF($AR1125="","",HYPERLINK(p_ruta_base_checklists&amp;$AR1125,"abrir"))</f>
        <v/>
      </c>
      <c r="AT1125" s="4" t="n"/>
      <c r="AU1125" s="24">
        <f>IF($A1125="","",$A1125&amp;IF($B1125="","0010",$B1125))</f>
        <v/>
      </c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41" t="n"/>
      <c r="K1126" s="5" t="n"/>
      <c r="L1126" s="18" t="n"/>
      <c r="M1126" s="24">
        <f>IF($A1126="","",IFERROR(INDEX('AJUSTES'!$B$4:$B$303,MATCH($AU1126,'AJUSTES'!$A$4:$A$303,0)),IF($K1126="","",$K1126)))</f>
        <v/>
      </c>
      <c r="N1126" s="24">
        <f>IF($A1126="","",IFERROR(INDEX('CAT_ESTADOS_ERP'!$B$4:$B$22,MATCH(IFERROR(INDEX('2_IMPORTAR_EJECUCION'!$C$9:$C$1208,MATCH($AU1126,'2_IMPORTAR_EJECUCION'!$J$9:$J$1208,0)),""),'CAT_ESTADOS_ERP'!$A$4:$A$22,0)),"Pendiente"))</f>
        <v/>
      </c>
      <c r="O1126" s="24">
        <f>IF($J1126="","",YEAR($J1126+4-WEEKDAY($J1126,2))&amp;"-S"&amp;TEXT(_xlfn.ISOWEEKNUM($J1126),"00"))</f>
        <v/>
      </c>
      <c r="P1126" s="24">
        <f>IF($J1126="","",YEAR($J1126))</f>
        <v/>
      </c>
      <c r="Q1126" s="24">
        <f>IF($J1126="","",MONTH($J1126))</f>
        <v/>
      </c>
      <c r="R1126" s="24">
        <f>IF($J1126="","",$P1126&amp;"-"&amp;TEXT($Q1126,"00"))</f>
        <v/>
      </c>
      <c r="S1126" s="24">
        <f>IF($J1126="","",INDEX(lista_dias,WEEKDAY($J1126,2)))</f>
        <v/>
      </c>
      <c r="T1126" s="24">
        <f>IF($J1126="","",IFERROR(INDEX('CALENDARIO'!$C$15:$C$214,MATCH(TEXT($J1126,"yyyy-mm-dd")&amp;"|"&amp;$Y1126&amp;"|"&amp;$Z1126,'CALENDARIO'!$G$15:$G$214,0)),IFERROR(INDEX('CALENDARIO'!$C$15:$C$214,MATCH(TEXT($J1126,"yyyy-mm-dd")&amp;"|"&amp;$Y1126&amp;"|",'CALENDARIO'!$G$15:$G$214,0)),IFERROR(INDEX('CALENDARIO'!$C$15:$C$214,MATCH(TEXT($J1126,"yyyy-mm-dd")&amp;"||",'CALENDARIO'!$G$15:$G$214,0)),INDEX(patronHabil,WEEKDAY($J1126,2))))))</f>
        <v/>
      </c>
      <c r="U1126" s="24">
        <f>IF($I1126="","",IFERROR(INDEX('CAT_TIPOS_OT'!$C$4:$C$23,MATCH($I1126,'CAT_TIPOS_OT'!$A$4:$A$23,0)),"sin_clasificar"))</f>
        <v/>
      </c>
      <c r="V1126" s="24">
        <f>IF($I1126="","",IF(IFERROR(INDEX('CAT_TIPOS_OT'!$D$4:$D$23,MATCH($I1126,'CAT_TIPOS_OT'!$A$4:$A$23,0)),"SIN CLASIFICAR")="","SIN CLASIFICAR",IFERROR(INDEX('CAT_TIPOS_OT'!$D$4:$D$23,MATCH($I1126,'CAT_TIPOS_OT'!$A$4:$A$23,0)),"SIN CLASIFICAR")))</f>
        <v/>
      </c>
      <c r="W1126" s="24">
        <f>IF($H1126="","",IF(IFERROR(INDEX('CAT_ACTIVIDADES'!$F$4:$F$26,MATCH($H1126,'CAT_ACTIVIDADES'!$A$4:$A$26,0)),"")=0,"",IFERROR(INDEX('CAT_ACTIVIDADES'!$F$4:$F$26,MATCH($H1126,'CAT_ACTIVIDADES'!$A$4:$A$26,0)),"")))</f>
        <v/>
      </c>
      <c r="X1126" s="24">
        <f>IF($F1126="","",IFERROR(INDEX('CAT_CENTROS_COSTO'!$F$4:$F$28,MATCH($F1126,'CAT_CENTROS_COSTO'!$A$4:$A$28,0)),"(sin catálogo)"))</f>
        <v/>
      </c>
      <c r="Y1126" s="24">
        <f>IF($F1126="","",IFERROR(INDEX('CAT_CENTROS_COSTO'!$D$4:$D$28,MATCH($F1126,'CAT_CENTROS_COSTO'!$A$4:$A$28,0)),"(sin catálogo)"))</f>
        <v/>
      </c>
      <c r="Z1126" s="24">
        <f>IF($F1126="","",IF((IFERROR(INDEX('CAT_CENTROS_COSTO'!$E$4:$E$28,MATCH($F1126,'CAT_CENTROS_COSTO'!$A$4:$A$28,0)),""))&lt;&gt;"",IFERROR(INDEX('CAT_CENTROS_COSTO'!$E$4:$E$28,MATCH($F1126,'CAT_CENTROS_COSTO'!$A$4:$A$28,0)),""),$Y1126))</f>
        <v/>
      </c>
      <c r="AA1126" s="24">
        <f>IF($F1126="","",IFERROR(INDEX('CAT_CENTROS_COSTO'!$G$4:$G$28,MATCH($F1126,'CAT_CENTROS_COSTO'!$A$4:$A$28,0)),"(sin catálogo)"))</f>
        <v/>
      </c>
      <c r="AB1126" s="24">
        <f>IF($G1126="","",IFERROR(INDEX('CAT_PUESTOS'!$B$4:$B$23,MATCH($G1126,'CAT_PUESTOS'!$A$4:$A$23,0)),"(sin catálogo)"))</f>
        <v/>
      </c>
      <c r="AC1126" s="24">
        <f>IF($H1126="","",IFERROR(INDEX('CAT_ACTIVIDADES'!$B$4:$B$26,MATCH($H1126,'CAT_ACTIVIDADES'!$A$4:$A$26,0)),"(sin catálogo)"))</f>
        <v/>
      </c>
      <c r="AD1126" s="26">
        <f>IF($J1126="","",TODAY()-$J1126)</f>
        <v/>
      </c>
      <c r="AE1126" s="26">
        <f>IF($J1126="","",IF($J1126&lt;=TODAY(),COUNTIFS(cal_fechas,"&gt;="&amp;$J1126,cal_fechas,"&lt;"&amp;TODAY(),cal_habil,"sí"),-COUNTIFS(cal_fechas,"&gt;="&amp;TODAY(),cal_fechas,"&lt;"&amp;$J1126,cal_habil,"sí")))</f>
        <v/>
      </c>
      <c r="AF1126" s="24">
        <f>IF($AE1126="","",IF($AE1126&lt;0,"FUTURO",IF($AE1126&gt;p_dias_backlog_max,"BACKLOG","MES CORRIENTE")))</f>
        <v/>
      </c>
      <c r="AG1126" s="24">
        <f>IF($AE1126="",FALSE,AND($AE1126&gt;p_dias_backlog_min,$AE1126&lt;=p_dias_backlog_max))</f>
        <v/>
      </c>
      <c r="AH1126" s="4" t="n"/>
      <c r="AI1126" s="24">
        <f>IF($AH1126="","",IF((IFERROR(INDEX('ASIGNACIONES'!$J$4:$J$451,MATCH($O1126&amp;"|"&amp;$S1126&amp;"|"&amp;$AH1126,'ASIGNACIONES'!$N$4:$N$451,0)),""))=0,"",IFERROR(INDEX('ASIGNACIONES'!$J$4:$J$451,MATCH($O1126&amp;"|"&amp;$S1126&amp;"|"&amp;$AH1126,'ASIGNACIONES'!$N$4:$N$451,0)),"")))</f>
        <v/>
      </c>
      <c r="AJ1126" s="42">
        <f>IF($AH1126="","",SUMIFS('ORDENES'!$M$4:$M$1203,'ORDENES'!$AH$4:$AH$1203,$AH1126,'ORDENES'!$O$4:$O$1203,$O1126,'ORDENES'!$S$4:$S$1203,$S1126))</f>
        <v/>
      </c>
      <c r="AK1126" s="42">
        <f>IF($AJ1126="","",p_factor_productividad*IFERROR(INDEX('ASIGNACIONES'!$M$4:$M$451,MATCH($O1126&amp;"|"&amp;$S1126&amp;"|"&amp;$AH1126,'ASIGNACIONES'!$N$4:$N$451,0)),0)-$AJ1126)</f>
        <v/>
      </c>
      <c r="AL1126" s="32">
        <f>IF($A1126="","",IFERROR(INDEX('2_IMPORTAR_EJECUCION'!$F$9:$F$1208,MATCH($AU1126,'2_IMPORTAR_EJECUCION'!$J$9:$J$1208,0)),0))</f>
        <v/>
      </c>
      <c r="AM1126" s="32">
        <f>IF($A1126="","",MAX(0,IFERROR(INDEX('2_IMPORTAR_EJECUCION'!$H$9:$H$1208,MATCH($AU1126,'2_IMPORTAR_EJECUCION'!$J$9:$J$1208,0)),0)-$AL1126))</f>
        <v/>
      </c>
      <c r="AN1126" s="32">
        <f>IF($A1126="","",$AL1126+$AM1126)</f>
        <v/>
      </c>
      <c r="AO1126" s="24">
        <f>IF($A1126="","",IF(OR((IFERROR(INDEX('CAT_ACTIVIDADES'!$D$4:$D$26,MATCH($H1126,'CAT_ACTIVIDADES'!$A$4:$A$26,0)),""))=0,(IFERROR(INDEX('CAT_ACTIVIDADES'!$D$4:$D$26,MATCH($H1126,'CAT_ACTIVIDADES'!$A$4:$A$26,0)),""))=""),"SIN CLASIFICAR",IFERROR(INDEX('CAT_ACTIVIDADES'!$D$4:$D$26,MATCH($H1126,'CAT_ACTIVIDADES'!$A$4:$A$26,0)),"")))</f>
        <v/>
      </c>
      <c r="AP1126" s="4" t="n"/>
      <c r="AQ1126" s="4" t="n"/>
      <c r="AR1126" s="4" t="n"/>
      <c r="AS1126" s="24">
        <f>IF($AR1126="","",HYPERLINK(p_ruta_base_checklists&amp;$AR1126,"abrir"))</f>
        <v/>
      </c>
      <c r="AT1126" s="4" t="n"/>
      <c r="AU1126" s="24">
        <f>IF($A1126="","",$A1126&amp;IF($B1126="","0010",$B1126))</f>
        <v/>
      </c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41" t="n"/>
      <c r="K1127" s="5" t="n"/>
      <c r="L1127" s="18" t="n"/>
      <c r="M1127" s="24">
        <f>IF($A1127="","",IFERROR(INDEX('AJUSTES'!$B$4:$B$303,MATCH($AU1127,'AJUSTES'!$A$4:$A$303,0)),IF($K1127="","",$K1127)))</f>
        <v/>
      </c>
      <c r="N1127" s="24">
        <f>IF($A1127="","",IFERROR(INDEX('CAT_ESTADOS_ERP'!$B$4:$B$22,MATCH(IFERROR(INDEX('2_IMPORTAR_EJECUCION'!$C$9:$C$1208,MATCH($AU1127,'2_IMPORTAR_EJECUCION'!$J$9:$J$1208,0)),""),'CAT_ESTADOS_ERP'!$A$4:$A$22,0)),"Pendiente"))</f>
        <v/>
      </c>
      <c r="O1127" s="24">
        <f>IF($J1127="","",YEAR($J1127+4-WEEKDAY($J1127,2))&amp;"-S"&amp;TEXT(_xlfn.ISOWEEKNUM($J1127),"00"))</f>
        <v/>
      </c>
      <c r="P1127" s="24">
        <f>IF($J1127="","",YEAR($J1127))</f>
        <v/>
      </c>
      <c r="Q1127" s="24">
        <f>IF($J1127="","",MONTH($J1127))</f>
        <v/>
      </c>
      <c r="R1127" s="24">
        <f>IF($J1127="","",$P1127&amp;"-"&amp;TEXT($Q1127,"00"))</f>
        <v/>
      </c>
      <c r="S1127" s="24">
        <f>IF($J1127="","",INDEX(lista_dias,WEEKDAY($J1127,2)))</f>
        <v/>
      </c>
      <c r="T1127" s="24">
        <f>IF($J1127="","",IFERROR(INDEX('CALENDARIO'!$C$15:$C$214,MATCH(TEXT($J1127,"yyyy-mm-dd")&amp;"|"&amp;$Y1127&amp;"|"&amp;$Z1127,'CALENDARIO'!$G$15:$G$214,0)),IFERROR(INDEX('CALENDARIO'!$C$15:$C$214,MATCH(TEXT($J1127,"yyyy-mm-dd")&amp;"|"&amp;$Y1127&amp;"|",'CALENDARIO'!$G$15:$G$214,0)),IFERROR(INDEX('CALENDARIO'!$C$15:$C$214,MATCH(TEXT($J1127,"yyyy-mm-dd")&amp;"||",'CALENDARIO'!$G$15:$G$214,0)),INDEX(patronHabil,WEEKDAY($J1127,2))))))</f>
        <v/>
      </c>
      <c r="U1127" s="24">
        <f>IF($I1127="","",IFERROR(INDEX('CAT_TIPOS_OT'!$C$4:$C$23,MATCH($I1127,'CAT_TIPOS_OT'!$A$4:$A$23,0)),"sin_clasificar"))</f>
        <v/>
      </c>
      <c r="V1127" s="24">
        <f>IF($I1127="","",IF(IFERROR(INDEX('CAT_TIPOS_OT'!$D$4:$D$23,MATCH($I1127,'CAT_TIPOS_OT'!$A$4:$A$23,0)),"SIN CLASIFICAR")="","SIN CLASIFICAR",IFERROR(INDEX('CAT_TIPOS_OT'!$D$4:$D$23,MATCH($I1127,'CAT_TIPOS_OT'!$A$4:$A$23,0)),"SIN CLASIFICAR")))</f>
        <v/>
      </c>
      <c r="W1127" s="24">
        <f>IF($H1127="","",IF(IFERROR(INDEX('CAT_ACTIVIDADES'!$F$4:$F$26,MATCH($H1127,'CAT_ACTIVIDADES'!$A$4:$A$26,0)),"")=0,"",IFERROR(INDEX('CAT_ACTIVIDADES'!$F$4:$F$26,MATCH($H1127,'CAT_ACTIVIDADES'!$A$4:$A$26,0)),"")))</f>
        <v/>
      </c>
      <c r="X1127" s="24">
        <f>IF($F1127="","",IFERROR(INDEX('CAT_CENTROS_COSTO'!$F$4:$F$28,MATCH($F1127,'CAT_CENTROS_COSTO'!$A$4:$A$28,0)),"(sin catálogo)"))</f>
        <v/>
      </c>
      <c r="Y1127" s="24">
        <f>IF($F1127="","",IFERROR(INDEX('CAT_CENTROS_COSTO'!$D$4:$D$28,MATCH($F1127,'CAT_CENTROS_COSTO'!$A$4:$A$28,0)),"(sin catálogo)"))</f>
        <v/>
      </c>
      <c r="Z1127" s="24">
        <f>IF($F1127="","",IF((IFERROR(INDEX('CAT_CENTROS_COSTO'!$E$4:$E$28,MATCH($F1127,'CAT_CENTROS_COSTO'!$A$4:$A$28,0)),""))&lt;&gt;"",IFERROR(INDEX('CAT_CENTROS_COSTO'!$E$4:$E$28,MATCH($F1127,'CAT_CENTROS_COSTO'!$A$4:$A$28,0)),""),$Y1127))</f>
        <v/>
      </c>
      <c r="AA1127" s="24">
        <f>IF($F1127="","",IFERROR(INDEX('CAT_CENTROS_COSTO'!$G$4:$G$28,MATCH($F1127,'CAT_CENTROS_COSTO'!$A$4:$A$28,0)),"(sin catálogo)"))</f>
        <v/>
      </c>
      <c r="AB1127" s="24">
        <f>IF($G1127="","",IFERROR(INDEX('CAT_PUESTOS'!$B$4:$B$23,MATCH($G1127,'CAT_PUESTOS'!$A$4:$A$23,0)),"(sin catálogo)"))</f>
        <v/>
      </c>
      <c r="AC1127" s="24">
        <f>IF($H1127="","",IFERROR(INDEX('CAT_ACTIVIDADES'!$B$4:$B$26,MATCH($H1127,'CAT_ACTIVIDADES'!$A$4:$A$26,0)),"(sin catálogo)"))</f>
        <v/>
      </c>
      <c r="AD1127" s="26">
        <f>IF($J1127="","",TODAY()-$J1127)</f>
        <v/>
      </c>
      <c r="AE1127" s="26">
        <f>IF($J1127="","",IF($J1127&lt;=TODAY(),COUNTIFS(cal_fechas,"&gt;="&amp;$J1127,cal_fechas,"&lt;"&amp;TODAY(),cal_habil,"sí"),-COUNTIFS(cal_fechas,"&gt;="&amp;TODAY(),cal_fechas,"&lt;"&amp;$J1127,cal_habil,"sí")))</f>
        <v/>
      </c>
      <c r="AF1127" s="24">
        <f>IF($AE1127="","",IF($AE1127&lt;0,"FUTURO",IF($AE1127&gt;p_dias_backlog_max,"BACKLOG","MES CORRIENTE")))</f>
        <v/>
      </c>
      <c r="AG1127" s="24">
        <f>IF($AE1127="",FALSE,AND($AE1127&gt;p_dias_backlog_min,$AE1127&lt;=p_dias_backlog_max))</f>
        <v/>
      </c>
      <c r="AH1127" s="4" t="n"/>
      <c r="AI1127" s="24">
        <f>IF($AH1127="","",IF((IFERROR(INDEX('ASIGNACIONES'!$J$4:$J$451,MATCH($O1127&amp;"|"&amp;$S1127&amp;"|"&amp;$AH1127,'ASIGNACIONES'!$N$4:$N$451,0)),""))=0,"",IFERROR(INDEX('ASIGNACIONES'!$J$4:$J$451,MATCH($O1127&amp;"|"&amp;$S1127&amp;"|"&amp;$AH1127,'ASIGNACIONES'!$N$4:$N$451,0)),"")))</f>
        <v/>
      </c>
      <c r="AJ1127" s="42">
        <f>IF($AH1127="","",SUMIFS('ORDENES'!$M$4:$M$1203,'ORDENES'!$AH$4:$AH$1203,$AH1127,'ORDENES'!$O$4:$O$1203,$O1127,'ORDENES'!$S$4:$S$1203,$S1127))</f>
        <v/>
      </c>
      <c r="AK1127" s="42">
        <f>IF($AJ1127="","",p_factor_productividad*IFERROR(INDEX('ASIGNACIONES'!$M$4:$M$451,MATCH($O1127&amp;"|"&amp;$S1127&amp;"|"&amp;$AH1127,'ASIGNACIONES'!$N$4:$N$451,0)),0)-$AJ1127)</f>
        <v/>
      </c>
      <c r="AL1127" s="32">
        <f>IF($A1127="","",IFERROR(INDEX('2_IMPORTAR_EJECUCION'!$F$9:$F$1208,MATCH($AU1127,'2_IMPORTAR_EJECUCION'!$J$9:$J$1208,0)),0))</f>
        <v/>
      </c>
      <c r="AM1127" s="32">
        <f>IF($A1127="","",MAX(0,IFERROR(INDEX('2_IMPORTAR_EJECUCION'!$H$9:$H$1208,MATCH($AU1127,'2_IMPORTAR_EJECUCION'!$J$9:$J$1208,0)),0)-$AL1127))</f>
        <v/>
      </c>
      <c r="AN1127" s="32">
        <f>IF($A1127="","",$AL1127+$AM1127)</f>
        <v/>
      </c>
      <c r="AO1127" s="24">
        <f>IF($A1127="","",IF(OR((IFERROR(INDEX('CAT_ACTIVIDADES'!$D$4:$D$26,MATCH($H1127,'CAT_ACTIVIDADES'!$A$4:$A$26,0)),""))=0,(IFERROR(INDEX('CAT_ACTIVIDADES'!$D$4:$D$26,MATCH($H1127,'CAT_ACTIVIDADES'!$A$4:$A$26,0)),""))=""),"SIN CLASIFICAR",IFERROR(INDEX('CAT_ACTIVIDADES'!$D$4:$D$26,MATCH($H1127,'CAT_ACTIVIDADES'!$A$4:$A$26,0)),"")))</f>
        <v/>
      </c>
      <c r="AP1127" s="4" t="n"/>
      <c r="AQ1127" s="4" t="n"/>
      <c r="AR1127" s="4" t="n"/>
      <c r="AS1127" s="24">
        <f>IF($AR1127="","",HYPERLINK(p_ruta_base_checklists&amp;$AR1127,"abrir"))</f>
        <v/>
      </c>
      <c r="AT1127" s="4" t="n"/>
      <c r="AU1127" s="24">
        <f>IF($A1127="","",$A1127&amp;IF($B1127="","0010",$B1127))</f>
        <v/>
      </c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41" t="n"/>
      <c r="K1128" s="5" t="n"/>
      <c r="L1128" s="18" t="n"/>
      <c r="M1128" s="24">
        <f>IF($A1128="","",IFERROR(INDEX('AJUSTES'!$B$4:$B$303,MATCH($AU1128,'AJUSTES'!$A$4:$A$303,0)),IF($K1128="","",$K1128)))</f>
        <v/>
      </c>
      <c r="N1128" s="24">
        <f>IF($A1128="","",IFERROR(INDEX('CAT_ESTADOS_ERP'!$B$4:$B$22,MATCH(IFERROR(INDEX('2_IMPORTAR_EJECUCION'!$C$9:$C$1208,MATCH($AU1128,'2_IMPORTAR_EJECUCION'!$J$9:$J$1208,0)),""),'CAT_ESTADOS_ERP'!$A$4:$A$22,0)),"Pendiente"))</f>
        <v/>
      </c>
      <c r="O1128" s="24">
        <f>IF($J1128="","",YEAR($J1128+4-WEEKDAY($J1128,2))&amp;"-S"&amp;TEXT(_xlfn.ISOWEEKNUM($J1128),"00"))</f>
        <v/>
      </c>
      <c r="P1128" s="24">
        <f>IF($J1128="","",YEAR($J1128))</f>
        <v/>
      </c>
      <c r="Q1128" s="24">
        <f>IF($J1128="","",MONTH($J1128))</f>
        <v/>
      </c>
      <c r="R1128" s="24">
        <f>IF($J1128="","",$P1128&amp;"-"&amp;TEXT($Q1128,"00"))</f>
        <v/>
      </c>
      <c r="S1128" s="24">
        <f>IF($J1128="","",INDEX(lista_dias,WEEKDAY($J1128,2)))</f>
        <v/>
      </c>
      <c r="T1128" s="24">
        <f>IF($J1128="","",IFERROR(INDEX('CALENDARIO'!$C$15:$C$214,MATCH(TEXT($J1128,"yyyy-mm-dd")&amp;"|"&amp;$Y1128&amp;"|"&amp;$Z1128,'CALENDARIO'!$G$15:$G$214,0)),IFERROR(INDEX('CALENDARIO'!$C$15:$C$214,MATCH(TEXT($J1128,"yyyy-mm-dd")&amp;"|"&amp;$Y1128&amp;"|",'CALENDARIO'!$G$15:$G$214,0)),IFERROR(INDEX('CALENDARIO'!$C$15:$C$214,MATCH(TEXT($J1128,"yyyy-mm-dd")&amp;"||",'CALENDARIO'!$G$15:$G$214,0)),INDEX(patronHabil,WEEKDAY($J1128,2))))))</f>
        <v/>
      </c>
      <c r="U1128" s="24">
        <f>IF($I1128="","",IFERROR(INDEX('CAT_TIPOS_OT'!$C$4:$C$23,MATCH($I1128,'CAT_TIPOS_OT'!$A$4:$A$23,0)),"sin_clasificar"))</f>
        <v/>
      </c>
      <c r="V1128" s="24">
        <f>IF($I1128="","",IF(IFERROR(INDEX('CAT_TIPOS_OT'!$D$4:$D$23,MATCH($I1128,'CAT_TIPOS_OT'!$A$4:$A$23,0)),"SIN CLASIFICAR")="","SIN CLASIFICAR",IFERROR(INDEX('CAT_TIPOS_OT'!$D$4:$D$23,MATCH($I1128,'CAT_TIPOS_OT'!$A$4:$A$23,0)),"SIN CLASIFICAR")))</f>
        <v/>
      </c>
      <c r="W1128" s="24">
        <f>IF($H1128="","",IF(IFERROR(INDEX('CAT_ACTIVIDADES'!$F$4:$F$26,MATCH($H1128,'CAT_ACTIVIDADES'!$A$4:$A$26,0)),"")=0,"",IFERROR(INDEX('CAT_ACTIVIDADES'!$F$4:$F$26,MATCH($H1128,'CAT_ACTIVIDADES'!$A$4:$A$26,0)),"")))</f>
        <v/>
      </c>
      <c r="X1128" s="24">
        <f>IF($F1128="","",IFERROR(INDEX('CAT_CENTROS_COSTO'!$F$4:$F$28,MATCH($F1128,'CAT_CENTROS_COSTO'!$A$4:$A$28,0)),"(sin catálogo)"))</f>
        <v/>
      </c>
      <c r="Y1128" s="24">
        <f>IF($F1128="","",IFERROR(INDEX('CAT_CENTROS_COSTO'!$D$4:$D$28,MATCH($F1128,'CAT_CENTROS_COSTO'!$A$4:$A$28,0)),"(sin catálogo)"))</f>
        <v/>
      </c>
      <c r="Z1128" s="24">
        <f>IF($F1128="","",IF((IFERROR(INDEX('CAT_CENTROS_COSTO'!$E$4:$E$28,MATCH($F1128,'CAT_CENTROS_COSTO'!$A$4:$A$28,0)),""))&lt;&gt;"",IFERROR(INDEX('CAT_CENTROS_COSTO'!$E$4:$E$28,MATCH($F1128,'CAT_CENTROS_COSTO'!$A$4:$A$28,0)),""),$Y1128))</f>
        <v/>
      </c>
      <c r="AA1128" s="24">
        <f>IF($F1128="","",IFERROR(INDEX('CAT_CENTROS_COSTO'!$G$4:$G$28,MATCH($F1128,'CAT_CENTROS_COSTO'!$A$4:$A$28,0)),"(sin catálogo)"))</f>
        <v/>
      </c>
      <c r="AB1128" s="24">
        <f>IF($G1128="","",IFERROR(INDEX('CAT_PUESTOS'!$B$4:$B$23,MATCH($G1128,'CAT_PUESTOS'!$A$4:$A$23,0)),"(sin catálogo)"))</f>
        <v/>
      </c>
      <c r="AC1128" s="24">
        <f>IF($H1128="","",IFERROR(INDEX('CAT_ACTIVIDADES'!$B$4:$B$26,MATCH($H1128,'CAT_ACTIVIDADES'!$A$4:$A$26,0)),"(sin catálogo)"))</f>
        <v/>
      </c>
      <c r="AD1128" s="26">
        <f>IF($J1128="","",TODAY()-$J1128)</f>
        <v/>
      </c>
      <c r="AE1128" s="26">
        <f>IF($J1128="","",IF($J1128&lt;=TODAY(),COUNTIFS(cal_fechas,"&gt;="&amp;$J1128,cal_fechas,"&lt;"&amp;TODAY(),cal_habil,"sí"),-COUNTIFS(cal_fechas,"&gt;="&amp;TODAY(),cal_fechas,"&lt;"&amp;$J1128,cal_habil,"sí")))</f>
        <v/>
      </c>
      <c r="AF1128" s="24">
        <f>IF($AE1128="","",IF($AE1128&lt;0,"FUTURO",IF($AE1128&gt;p_dias_backlog_max,"BACKLOG","MES CORRIENTE")))</f>
        <v/>
      </c>
      <c r="AG1128" s="24">
        <f>IF($AE1128="",FALSE,AND($AE1128&gt;p_dias_backlog_min,$AE1128&lt;=p_dias_backlog_max))</f>
        <v/>
      </c>
      <c r="AH1128" s="4" t="n"/>
      <c r="AI1128" s="24">
        <f>IF($AH1128="","",IF((IFERROR(INDEX('ASIGNACIONES'!$J$4:$J$451,MATCH($O1128&amp;"|"&amp;$S1128&amp;"|"&amp;$AH1128,'ASIGNACIONES'!$N$4:$N$451,0)),""))=0,"",IFERROR(INDEX('ASIGNACIONES'!$J$4:$J$451,MATCH($O1128&amp;"|"&amp;$S1128&amp;"|"&amp;$AH1128,'ASIGNACIONES'!$N$4:$N$451,0)),"")))</f>
        <v/>
      </c>
      <c r="AJ1128" s="42">
        <f>IF($AH1128="","",SUMIFS('ORDENES'!$M$4:$M$1203,'ORDENES'!$AH$4:$AH$1203,$AH1128,'ORDENES'!$O$4:$O$1203,$O1128,'ORDENES'!$S$4:$S$1203,$S1128))</f>
        <v/>
      </c>
      <c r="AK1128" s="42">
        <f>IF($AJ1128="","",p_factor_productividad*IFERROR(INDEX('ASIGNACIONES'!$M$4:$M$451,MATCH($O1128&amp;"|"&amp;$S1128&amp;"|"&amp;$AH1128,'ASIGNACIONES'!$N$4:$N$451,0)),0)-$AJ1128)</f>
        <v/>
      </c>
      <c r="AL1128" s="32">
        <f>IF($A1128="","",IFERROR(INDEX('2_IMPORTAR_EJECUCION'!$F$9:$F$1208,MATCH($AU1128,'2_IMPORTAR_EJECUCION'!$J$9:$J$1208,0)),0))</f>
        <v/>
      </c>
      <c r="AM1128" s="32">
        <f>IF($A1128="","",MAX(0,IFERROR(INDEX('2_IMPORTAR_EJECUCION'!$H$9:$H$1208,MATCH($AU1128,'2_IMPORTAR_EJECUCION'!$J$9:$J$1208,0)),0)-$AL1128))</f>
        <v/>
      </c>
      <c r="AN1128" s="32">
        <f>IF($A1128="","",$AL1128+$AM1128)</f>
        <v/>
      </c>
      <c r="AO1128" s="24">
        <f>IF($A1128="","",IF(OR((IFERROR(INDEX('CAT_ACTIVIDADES'!$D$4:$D$26,MATCH($H1128,'CAT_ACTIVIDADES'!$A$4:$A$26,0)),""))=0,(IFERROR(INDEX('CAT_ACTIVIDADES'!$D$4:$D$26,MATCH($H1128,'CAT_ACTIVIDADES'!$A$4:$A$26,0)),""))=""),"SIN CLASIFICAR",IFERROR(INDEX('CAT_ACTIVIDADES'!$D$4:$D$26,MATCH($H1128,'CAT_ACTIVIDADES'!$A$4:$A$26,0)),"")))</f>
        <v/>
      </c>
      <c r="AP1128" s="4" t="n"/>
      <c r="AQ1128" s="4" t="n"/>
      <c r="AR1128" s="4" t="n"/>
      <c r="AS1128" s="24">
        <f>IF($AR1128="","",HYPERLINK(p_ruta_base_checklists&amp;$AR1128,"abrir"))</f>
        <v/>
      </c>
      <c r="AT1128" s="4" t="n"/>
      <c r="AU1128" s="24">
        <f>IF($A1128="","",$A1128&amp;IF($B1128="","0010",$B1128))</f>
        <v/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41" t="n"/>
      <c r="K1129" s="5" t="n"/>
      <c r="L1129" s="18" t="n"/>
      <c r="M1129" s="24">
        <f>IF($A1129="","",IFERROR(INDEX('AJUSTES'!$B$4:$B$303,MATCH($AU1129,'AJUSTES'!$A$4:$A$303,0)),IF($K1129="","",$K1129)))</f>
        <v/>
      </c>
      <c r="N1129" s="24">
        <f>IF($A1129="","",IFERROR(INDEX('CAT_ESTADOS_ERP'!$B$4:$B$22,MATCH(IFERROR(INDEX('2_IMPORTAR_EJECUCION'!$C$9:$C$1208,MATCH($AU1129,'2_IMPORTAR_EJECUCION'!$J$9:$J$1208,0)),""),'CAT_ESTADOS_ERP'!$A$4:$A$22,0)),"Pendiente"))</f>
        <v/>
      </c>
      <c r="O1129" s="24">
        <f>IF($J1129="","",YEAR($J1129+4-WEEKDAY($J1129,2))&amp;"-S"&amp;TEXT(_xlfn.ISOWEEKNUM($J1129),"00"))</f>
        <v/>
      </c>
      <c r="P1129" s="24">
        <f>IF($J1129="","",YEAR($J1129))</f>
        <v/>
      </c>
      <c r="Q1129" s="24">
        <f>IF($J1129="","",MONTH($J1129))</f>
        <v/>
      </c>
      <c r="R1129" s="24">
        <f>IF($J1129="","",$P1129&amp;"-"&amp;TEXT($Q1129,"00"))</f>
        <v/>
      </c>
      <c r="S1129" s="24">
        <f>IF($J1129="","",INDEX(lista_dias,WEEKDAY($J1129,2)))</f>
        <v/>
      </c>
      <c r="T1129" s="24">
        <f>IF($J1129="","",IFERROR(INDEX('CALENDARIO'!$C$15:$C$214,MATCH(TEXT($J1129,"yyyy-mm-dd")&amp;"|"&amp;$Y1129&amp;"|"&amp;$Z1129,'CALENDARIO'!$G$15:$G$214,0)),IFERROR(INDEX('CALENDARIO'!$C$15:$C$214,MATCH(TEXT($J1129,"yyyy-mm-dd")&amp;"|"&amp;$Y1129&amp;"|",'CALENDARIO'!$G$15:$G$214,0)),IFERROR(INDEX('CALENDARIO'!$C$15:$C$214,MATCH(TEXT($J1129,"yyyy-mm-dd")&amp;"||",'CALENDARIO'!$G$15:$G$214,0)),INDEX(patronHabil,WEEKDAY($J1129,2))))))</f>
        <v/>
      </c>
      <c r="U1129" s="24">
        <f>IF($I1129="","",IFERROR(INDEX('CAT_TIPOS_OT'!$C$4:$C$23,MATCH($I1129,'CAT_TIPOS_OT'!$A$4:$A$23,0)),"sin_clasificar"))</f>
        <v/>
      </c>
      <c r="V1129" s="24">
        <f>IF($I1129="","",IF(IFERROR(INDEX('CAT_TIPOS_OT'!$D$4:$D$23,MATCH($I1129,'CAT_TIPOS_OT'!$A$4:$A$23,0)),"SIN CLASIFICAR")="","SIN CLASIFICAR",IFERROR(INDEX('CAT_TIPOS_OT'!$D$4:$D$23,MATCH($I1129,'CAT_TIPOS_OT'!$A$4:$A$23,0)),"SIN CLASIFICAR")))</f>
        <v/>
      </c>
      <c r="W1129" s="24">
        <f>IF($H1129="","",IF(IFERROR(INDEX('CAT_ACTIVIDADES'!$F$4:$F$26,MATCH($H1129,'CAT_ACTIVIDADES'!$A$4:$A$26,0)),"")=0,"",IFERROR(INDEX('CAT_ACTIVIDADES'!$F$4:$F$26,MATCH($H1129,'CAT_ACTIVIDADES'!$A$4:$A$26,0)),"")))</f>
        <v/>
      </c>
      <c r="X1129" s="24">
        <f>IF($F1129="","",IFERROR(INDEX('CAT_CENTROS_COSTO'!$F$4:$F$28,MATCH($F1129,'CAT_CENTROS_COSTO'!$A$4:$A$28,0)),"(sin catálogo)"))</f>
        <v/>
      </c>
      <c r="Y1129" s="24">
        <f>IF($F1129="","",IFERROR(INDEX('CAT_CENTROS_COSTO'!$D$4:$D$28,MATCH($F1129,'CAT_CENTROS_COSTO'!$A$4:$A$28,0)),"(sin catálogo)"))</f>
        <v/>
      </c>
      <c r="Z1129" s="24">
        <f>IF($F1129="","",IF((IFERROR(INDEX('CAT_CENTROS_COSTO'!$E$4:$E$28,MATCH($F1129,'CAT_CENTROS_COSTO'!$A$4:$A$28,0)),""))&lt;&gt;"",IFERROR(INDEX('CAT_CENTROS_COSTO'!$E$4:$E$28,MATCH($F1129,'CAT_CENTROS_COSTO'!$A$4:$A$28,0)),""),$Y1129))</f>
        <v/>
      </c>
      <c r="AA1129" s="24">
        <f>IF($F1129="","",IFERROR(INDEX('CAT_CENTROS_COSTO'!$G$4:$G$28,MATCH($F1129,'CAT_CENTROS_COSTO'!$A$4:$A$28,0)),"(sin catálogo)"))</f>
        <v/>
      </c>
      <c r="AB1129" s="24">
        <f>IF($G1129="","",IFERROR(INDEX('CAT_PUESTOS'!$B$4:$B$23,MATCH($G1129,'CAT_PUESTOS'!$A$4:$A$23,0)),"(sin catálogo)"))</f>
        <v/>
      </c>
      <c r="AC1129" s="24">
        <f>IF($H1129="","",IFERROR(INDEX('CAT_ACTIVIDADES'!$B$4:$B$26,MATCH($H1129,'CAT_ACTIVIDADES'!$A$4:$A$26,0)),"(sin catálogo)"))</f>
        <v/>
      </c>
      <c r="AD1129" s="26">
        <f>IF($J1129="","",TODAY()-$J1129)</f>
        <v/>
      </c>
      <c r="AE1129" s="26">
        <f>IF($J1129="","",IF($J1129&lt;=TODAY(),COUNTIFS(cal_fechas,"&gt;="&amp;$J1129,cal_fechas,"&lt;"&amp;TODAY(),cal_habil,"sí"),-COUNTIFS(cal_fechas,"&gt;="&amp;TODAY(),cal_fechas,"&lt;"&amp;$J1129,cal_habil,"sí")))</f>
        <v/>
      </c>
      <c r="AF1129" s="24">
        <f>IF($AE1129="","",IF($AE1129&lt;0,"FUTURO",IF($AE1129&gt;p_dias_backlog_max,"BACKLOG","MES CORRIENTE")))</f>
        <v/>
      </c>
      <c r="AG1129" s="24">
        <f>IF($AE1129="",FALSE,AND($AE1129&gt;p_dias_backlog_min,$AE1129&lt;=p_dias_backlog_max))</f>
        <v/>
      </c>
      <c r="AH1129" s="4" t="n"/>
      <c r="AI1129" s="24">
        <f>IF($AH1129="","",IF((IFERROR(INDEX('ASIGNACIONES'!$J$4:$J$451,MATCH($O1129&amp;"|"&amp;$S1129&amp;"|"&amp;$AH1129,'ASIGNACIONES'!$N$4:$N$451,0)),""))=0,"",IFERROR(INDEX('ASIGNACIONES'!$J$4:$J$451,MATCH($O1129&amp;"|"&amp;$S1129&amp;"|"&amp;$AH1129,'ASIGNACIONES'!$N$4:$N$451,0)),"")))</f>
        <v/>
      </c>
      <c r="AJ1129" s="42">
        <f>IF($AH1129="","",SUMIFS('ORDENES'!$M$4:$M$1203,'ORDENES'!$AH$4:$AH$1203,$AH1129,'ORDENES'!$O$4:$O$1203,$O1129,'ORDENES'!$S$4:$S$1203,$S1129))</f>
        <v/>
      </c>
      <c r="AK1129" s="42">
        <f>IF($AJ1129="","",p_factor_productividad*IFERROR(INDEX('ASIGNACIONES'!$M$4:$M$451,MATCH($O1129&amp;"|"&amp;$S1129&amp;"|"&amp;$AH1129,'ASIGNACIONES'!$N$4:$N$451,0)),0)-$AJ1129)</f>
        <v/>
      </c>
      <c r="AL1129" s="32">
        <f>IF($A1129="","",IFERROR(INDEX('2_IMPORTAR_EJECUCION'!$F$9:$F$1208,MATCH($AU1129,'2_IMPORTAR_EJECUCION'!$J$9:$J$1208,0)),0))</f>
        <v/>
      </c>
      <c r="AM1129" s="32">
        <f>IF($A1129="","",MAX(0,IFERROR(INDEX('2_IMPORTAR_EJECUCION'!$H$9:$H$1208,MATCH($AU1129,'2_IMPORTAR_EJECUCION'!$J$9:$J$1208,0)),0)-$AL1129))</f>
        <v/>
      </c>
      <c r="AN1129" s="32">
        <f>IF($A1129="","",$AL1129+$AM1129)</f>
        <v/>
      </c>
      <c r="AO1129" s="24">
        <f>IF($A1129="","",IF(OR((IFERROR(INDEX('CAT_ACTIVIDADES'!$D$4:$D$26,MATCH($H1129,'CAT_ACTIVIDADES'!$A$4:$A$26,0)),""))=0,(IFERROR(INDEX('CAT_ACTIVIDADES'!$D$4:$D$26,MATCH($H1129,'CAT_ACTIVIDADES'!$A$4:$A$26,0)),""))=""),"SIN CLASIFICAR",IFERROR(INDEX('CAT_ACTIVIDADES'!$D$4:$D$26,MATCH($H1129,'CAT_ACTIVIDADES'!$A$4:$A$26,0)),"")))</f>
        <v/>
      </c>
      <c r="AP1129" s="4" t="n"/>
      <c r="AQ1129" s="4" t="n"/>
      <c r="AR1129" s="4" t="n"/>
      <c r="AS1129" s="24">
        <f>IF($AR1129="","",HYPERLINK(p_ruta_base_checklists&amp;$AR1129,"abrir"))</f>
        <v/>
      </c>
      <c r="AT1129" s="4" t="n"/>
      <c r="AU1129" s="24">
        <f>IF($A1129="","",$A1129&amp;IF($B1129="","0010",$B1129))</f>
        <v/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41" t="n"/>
      <c r="K1130" s="5" t="n"/>
      <c r="L1130" s="18" t="n"/>
      <c r="M1130" s="24">
        <f>IF($A1130="","",IFERROR(INDEX('AJUSTES'!$B$4:$B$303,MATCH($AU1130,'AJUSTES'!$A$4:$A$303,0)),IF($K1130="","",$K1130)))</f>
        <v/>
      </c>
      <c r="N1130" s="24">
        <f>IF($A1130="","",IFERROR(INDEX('CAT_ESTADOS_ERP'!$B$4:$B$22,MATCH(IFERROR(INDEX('2_IMPORTAR_EJECUCION'!$C$9:$C$1208,MATCH($AU1130,'2_IMPORTAR_EJECUCION'!$J$9:$J$1208,0)),""),'CAT_ESTADOS_ERP'!$A$4:$A$22,0)),"Pendiente"))</f>
        <v/>
      </c>
      <c r="O1130" s="24">
        <f>IF($J1130="","",YEAR($J1130+4-WEEKDAY($J1130,2))&amp;"-S"&amp;TEXT(_xlfn.ISOWEEKNUM($J1130),"00"))</f>
        <v/>
      </c>
      <c r="P1130" s="24">
        <f>IF($J1130="","",YEAR($J1130))</f>
        <v/>
      </c>
      <c r="Q1130" s="24">
        <f>IF($J1130="","",MONTH($J1130))</f>
        <v/>
      </c>
      <c r="R1130" s="24">
        <f>IF($J1130="","",$P1130&amp;"-"&amp;TEXT($Q1130,"00"))</f>
        <v/>
      </c>
      <c r="S1130" s="24">
        <f>IF($J1130="","",INDEX(lista_dias,WEEKDAY($J1130,2)))</f>
        <v/>
      </c>
      <c r="T1130" s="24">
        <f>IF($J1130="","",IFERROR(INDEX('CALENDARIO'!$C$15:$C$214,MATCH(TEXT($J1130,"yyyy-mm-dd")&amp;"|"&amp;$Y1130&amp;"|"&amp;$Z1130,'CALENDARIO'!$G$15:$G$214,0)),IFERROR(INDEX('CALENDARIO'!$C$15:$C$214,MATCH(TEXT($J1130,"yyyy-mm-dd")&amp;"|"&amp;$Y1130&amp;"|",'CALENDARIO'!$G$15:$G$214,0)),IFERROR(INDEX('CALENDARIO'!$C$15:$C$214,MATCH(TEXT($J1130,"yyyy-mm-dd")&amp;"||",'CALENDARIO'!$G$15:$G$214,0)),INDEX(patronHabil,WEEKDAY($J1130,2))))))</f>
        <v/>
      </c>
      <c r="U1130" s="24">
        <f>IF($I1130="","",IFERROR(INDEX('CAT_TIPOS_OT'!$C$4:$C$23,MATCH($I1130,'CAT_TIPOS_OT'!$A$4:$A$23,0)),"sin_clasificar"))</f>
        <v/>
      </c>
      <c r="V1130" s="24">
        <f>IF($I1130="","",IF(IFERROR(INDEX('CAT_TIPOS_OT'!$D$4:$D$23,MATCH($I1130,'CAT_TIPOS_OT'!$A$4:$A$23,0)),"SIN CLASIFICAR")="","SIN CLASIFICAR",IFERROR(INDEX('CAT_TIPOS_OT'!$D$4:$D$23,MATCH($I1130,'CAT_TIPOS_OT'!$A$4:$A$23,0)),"SIN CLASIFICAR")))</f>
        <v/>
      </c>
      <c r="W1130" s="24">
        <f>IF($H1130="","",IF(IFERROR(INDEX('CAT_ACTIVIDADES'!$F$4:$F$26,MATCH($H1130,'CAT_ACTIVIDADES'!$A$4:$A$26,0)),"")=0,"",IFERROR(INDEX('CAT_ACTIVIDADES'!$F$4:$F$26,MATCH($H1130,'CAT_ACTIVIDADES'!$A$4:$A$26,0)),"")))</f>
        <v/>
      </c>
      <c r="X1130" s="24">
        <f>IF($F1130="","",IFERROR(INDEX('CAT_CENTROS_COSTO'!$F$4:$F$28,MATCH($F1130,'CAT_CENTROS_COSTO'!$A$4:$A$28,0)),"(sin catálogo)"))</f>
        <v/>
      </c>
      <c r="Y1130" s="24">
        <f>IF($F1130="","",IFERROR(INDEX('CAT_CENTROS_COSTO'!$D$4:$D$28,MATCH($F1130,'CAT_CENTROS_COSTO'!$A$4:$A$28,0)),"(sin catálogo)"))</f>
        <v/>
      </c>
      <c r="Z1130" s="24">
        <f>IF($F1130="","",IF((IFERROR(INDEX('CAT_CENTROS_COSTO'!$E$4:$E$28,MATCH($F1130,'CAT_CENTROS_COSTO'!$A$4:$A$28,0)),""))&lt;&gt;"",IFERROR(INDEX('CAT_CENTROS_COSTO'!$E$4:$E$28,MATCH($F1130,'CAT_CENTROS_COSTO'!$A$4:$A$28,0)),""),$Y1130))</f>
        <v/>
      </c>
      <c r="AA1130" s="24">
        <f>IF($F1130="","",IFERROR(INDEX('CAT_CENTROS_COSTO'!$G$4:$G$28,MATCH($F1130,'CAT_CENTROS_COSTO'!$A$4:$A$28,0)),"(sin catálogo)"))</f>
        <v/>
      </c>
      <c r="AB1130" s="24">
        <f>IF($G1130="","",IFERROR(INDEX('CAT_PUESTOS'!$B$4:$B$23,MATCH($G1130,'CAT_PUESTOS'!$A$4:$A$23,0)),"(sin catálogo)"))</f>
        <v/>
      </c>
      <c r="AC1130" s="24">
        <f>IF($H1130="","",IFERROR(INDEX('CAT_ACTIVIDADES'!$B$4:$B$26,MATCH($H1130,'CAT_ACTIVIDADES'!$A$4:$A$26,0)),"(sin catálogo)"))</f>
        <v/>
      </c>
      <c r="AD1130" s="26">
        <f>IF($J1130="","",TODAY()-$J1130)</f>
        <v/>
      </c>
      <c r="AE1130" s="26">
        <f>IF($J1130="","",IF($J1130&lt;=TODAY(),COUNTIFS(cal_fechas,"&gt;="&amp;$J1130,cal_fechas,"&lt;"&amp;TODAY(),cal_habil,"sí"),-COUNTIFS(cal_fechas,"&gt;="&amp;TODAY(),cal_fechas,"&lt;"&amp;$J1130,cal_habil,"sí")))</f>
        <v/>
      </c>
      <c r="AF1130" s="24">
        <f>IF($AE1130="","",IF($AE1130&lt;0,"FUTURO",IF($AE1130&gt;p_dias_backlog_max,"BACKLOG","MES CORRIENTE")))</f>
        <v/>
      </c>
      <c r="AG1130" s="24">
        <f>IF($AE1130="",FALSE,AND($AE1130&gt;p_dias_backlog_min,$AE1130&lt;=p_dias_backlog_max))</f>
        <v/>
      </c>
      <c r="AH1130" s="4" t="n"/>
      <c r="AI1130" s="24">
        <f>IF($AH1130="","",IF((IFERROR(INDEX('ASIGNACIONES'!$J$4:$J$451,MATCH($O1130&amp;"|"&amp;$S1130&amp;"|"&amp;$AH1130,'ASIGNACIONES'!$N$4:$N$451,0)),""))=0,"",IFERROR(INDEX('ASIGNACIONES'!$J$4:$J$451,MATCH($O1130&amp;"|"&amp;$S1130&amp;"|"&amp;$AH1130,'ASIGNACIONES'!$N$4:$N$451,0)),"")))</f>
        <v/>
      </c>
      <c r="AJ1130" s="42">
        <f>IF($AH1130="","",SUMIFS('ORDENES'!$M$4:$M$1203,'ORDENES'!$AH$4:$AH$1203,$AH1130,'ORDENES'!$O$4:$O$1203,$O1130,'ORDENES'!$S$4:$S$1203,$S1130))</f>
        <v/>
      </c>
      <c r="AK1130" s="42">
        <f>IF($AJ1130="","",p_factor_productividad*IFERROR(INDEX('ASIGNACIONES'!$M$4:$M$451,MATCH($O1130&amp;"|"&amp;$S1130&amp;"|"&amp;$AH1130,'ASIGNACIONES'!$N$4:$N$451,0)),0)-$AJ1130)</f>
        <v/>
      </c>
      <c r="AL1130" s="32">
        <f>IF($A1130="","",IFERROR(INDEX('2_IMPORTAR_EJECUCION'!$F$9:$F$1208,MATCH($AU1130,'2_IMPORTAR_EJECUCION'!$J$9:$J$1208,0)),0))</f>
        <v/>
      </c>
      <c r="AM1130" s="32">
        <f>IF($A1130="","",MAX(0,IFERROR(INDEX('2_IMPORTAR_EJECUCION'!$H$9:$H$1208,MATCH($AU1130,'2_IMPORTAR_EJECUCION'!$J$9:$J$1208,0)),0)-$AL1130))</f>
        <v/>
      </c>
      <c r="AN1130" s="32">
        <f>IF($A1130="","",$AL1130+$AM1130)</f>
        <v/>
      </c>
      <c r="AO1130" s="24">
        <f>IF($A1130="","",IF(OR((IFERROR(INDEX('CAT_ACTIVIDADES'!$D$4:$D$26,MATCH($H1130,'CAT_ACTIVIDADES'!$A$4:$A$26,0)),""))=0,(IFERROR(INDEX('CAT_ACTIVIDADES'!$D$4:$D$26,MATCH($H1130,'CAT_ACTIVIDADES'!$A$4:$A$26,0)),""))=""),"SIN CLASIFICAR",IFERROR(INDEX('CAT_ACTIVIDADES'!$D$4:$D$26,MATCH($H1130,'CAT_ACTIVIDADES'!$A$4:$A$26,0)),"")))</f>
        <v/>
      </c>
      <c r="AP1130" s="4" t="n"/>
      <c r="AQ1130" s="4" t="n"/>
      <c r="AR1130" s="4" t="n"/>
      <c r="AS1130" s="24">
        <f>IF($AR1130="","",HYPERLINK(p_ruta_base_checklists&amp;$AR1130,"abrir"))</f>
        <v/>
      </c>
      <c r="AT1130" s="4" t="n"/>
      <c r="AU1130" s="24">
        <f>IF($A1130="","",$A1130&amp;IF($B1130="","0010",$B1130))</f>
        <v/>
      </c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41" t="n"/>
      <c r="K1131" s="5" t="n"/>
      <c r="L1131" s="18" t="n"/>
      <c r="M1131" s="24">
        <f>IF($A1131="","",IFERROR(INDEX('AJUSTES'!$B$4:$B$303,MATCH($AU1131,'AJUSTES'!$A$4:$A$303,0)),IF($K1131="","",$K1131)))</f>
        <v/>
      </c>
      <c r="N1131" s="24">
        <f>IF($A1131="","",IFERROR(INDEX('CAT_ESTADOS_ERP'!$B$4:$B$22,MATCH(IFERROR(INDEX('2_IMPORTAR_EJECUCION'!$C$9:$C$1208,MATCH($AU1131,'2_IMPORTAR_EJECUCION'!$J$9:$J$1208,0)),""),'CAT_ESTADOS_ERP'!$A$4:$A$22,0)),"Pendiente"))</f>
        <v/>
      </c>
      <c r="O1131" s="24">
        <f>IF($J1131="","",YEAR($J1131+4-WEEKDAY($J1131,2))&amp;"-S"&amp;TEXT(_xlfn.ISOWEEKNUM($J1131),"00"))</f>
        <v/>
      </c>
      <c r="P1131" s="24">
        <f>IF($J1131="","",YEAR($J1131))</f>
        <v/>
      </c>
      <c r="Q1131" s="24">
        <f>IF($J1131="","",MONTH($J1131))</f>
        <v/>
      </c>
      <c r="R1131" s="24">
        <f>IF($J1131="","",$P1131&amp;"-"&amp;TEXT($Q1131,"00"))</f>
        <v/>
      </c>
      <c r="S1131" s="24">
        <f>IF($J1131="","",INDEX(lista_dias,WEEKDAY($J1131,2)))</f>
        <v/>
      </c>
      <c r="T1131" s="24">
        <f>IF($J1131="","",IFERROR(INDEX('CALENDARIO'!$C$15:$C$214,MATCH(TEXT($J1131,"yyyy-mm-dd")&amp;"|"&amp;$Y1131&amp;"|"&amp;$Z1131,'CALENDARIO'!$G$15:$G$214,0)),IFERROR(INDEX('CALENDARIO'!$C$15:$C$214,MATCH(TEXT($J1131,"yyyy-mm-dd")&amp;"|"&amp;$Y1131&amp;"|",'CALENDARIO'!$G$15:$G$214,0)),IFERROR(INDEX('CALENDARIO'!$C$15:$C$214,MATCH(TEXT($J1131,"yyyy-mm-dd")&amp;"||",'CALENDARIO'!$G$15:$G$214,0)),INDEX(patronHabil,WEEKDAY($J1131,2))))))</f>
        <v/>
      </c>
      <c r="U1131" s="24">
        <f>IF($I1131="","",IFERROR(INDEX('CAT_TIPOS_OT'!$C$4:$C$23,MATCH($I1131,'CAT_TIPOS_OT'!$A$4:$A$23,0)),"sin_clasificar"))</f>
        <v/>
      </c>
      <c r="V1131" s="24">
        <f>IF($I1131="","",IF(IFERROR(INDEX('CAT_TIPOS_OT'!$D$4:$D$23,MATCH($I1131,'CAT_TIPOS_OT'!$A$4:$A$23,0)),"SIN CLASIFICAR")="","SIN CLASIFICAR",IFERROR(INDEX('CAT_TIPOS_OT'!$D$4:$D$23,MATCH($I1131,'CAT_TIPOS_OT'!$A$4:$A$23,0)),"SIN CLASIFICAR")))</f>
        <v/>
      </c>
      <c r="W1131" s="24">
        <f>IF($H1131="","",IF(IFERROR(INDEX('CAT_ACTIVIDADES'!$F$4:$F$26,MATCH($H1131,'CAT_ACTIVIDADES'!$A$4:$A$26,0)),"")=0,"",IFERROR(INDEX('CAT_ACTIVIDADES'!$F$4:$F$26,MATCH($H1131,'CAT_ACTIVIDADES'!$A$4:$A$26,0)),"")))</f>
        <v/>
      </c>
      <c r="X1131" s="24">
        <f>IF($F1131="","",IFERROR(INDEX('CAT_CENTROS_COSTO'!$F$4:$F$28,MATCH($F1131,'CAT_CENTROS_COSTO'!$A$4:$A$28,0)),"(sin catálogo)"))</f>
        <v/>
      </c>
      <c r="Y1131" s="24">
        <f>IF($F1131="","",IFERROR(INDEX('CAT_CENTROS_COSTO'!$D$4:$D$28,MATCH($F1131,'CAT_CENTROS_COSTO'!$A$4:$A$28,0)),"(sin catálogo)"))</f>
        <v/>
      </c>
      <c r="Z1131" s="24">
        <f>IF($F1131="","",IF((IFERROR(INDEX('CAT_CENTROS_COSTO'!$E$4:$E$28,MATCH($F1131,'CAT_CENTROS_COSTO'!$A$4:$A$28,0)),""))&lt;&gt;"",IFERROR(INDEX('CAT_CENTROS_COSTO'!$E$4:$E$28,MATCH($F1131,'CAT_CENTROS_COSTO'!$A$4:$A$28,0)),""),$Y1131))</f>
        <v/>
      </c>
      <c r="AA1131" s="24">
        <f>IF($F1131="","",IFERROR(INDEX('CAT_CENTROS_COSTO'!$G$4:$G$28,MATCH($F1131,'CAT_CENTROS_COSTO'!$A$4:$A$28,0)),"(sin catálogo)"))</f>
        <v/>
      </c>
      <c r="AB1131" s="24">
        <f>IF($G1131="","",IFERROR(INDEX('CAT_PUESTOS'!$B$4:$B$23,MATCH($G1131,'CAT_PUESTOS'!$A$4:$A$23,0)),"(sin catálogo)"))</f>
        <v/>
      </c>
      <c r="AC1131" s="24">
        <f>IF($H1131="","",IFERROR(INDEX('CAT_ACTIVIDADES'!$B$4:$B$26,MATCH($H1131,'CAT_ACTIVIDADES'!$A$4:$A$26,0)),"(sin catálogo)"))</f>
        <v/>
      </c>
      <c r="AD1131" s="26">
        <f>IF($J1131="","",TODAY()-$J1131)</f>
        <v/>
      </c>
      <c r="AE1131" s="26">
        <f>IF($J1131="","",IF($J1131&lt;=TODAY(),COUNTIFS(cal_fechas,"&gt;="&amp;$J1131,cal_fechas,"&lt;"&amp;TODAY(),cal_habil,"sí"),-COUNTIFS(cal_fechas,"&gt;="&amp;TODAY(),cal_fechas,"&lt;"&amp;$J1131,cal_habil,"sí")))</f>
        <v/>
      </c>
      <c r="AF1131" s="24">
        <f>IF($AE1131="","",IF($AE1131&lt;0,"FUTURO",IF($AE1131&gt;p_dias_backlog_max,"BACKLOG","MES CORRIENTE")))</f>
        <v/>
      </c>
      <c r="AG1131" s="24">
        <f>IF($AE1131="",FALSE,AND($AE1131&gt;p_dias_backlog_min,$AE1131&lt;=p_dias_backlog_max))</f>
        <v/>
      </c>
      <c r="AH1131" s="4" t="n"/>
      <c r="AI1131" s="24">
        <f>IF($AH1131="","",IF((IFERROR(INDEX('ASIGNACIONES'!$J$4:$J$451,MATCH($O1131&amp;"|"&amp;$S1131&amp;"|"&amp;$AH1131,'ASIGNACIONES'!$N$4:$N$451,0)),""))=0,"",IFERROR(INDEX('ASIGNACIONES'!$J$4:$J$451,MATCH($O1131&amp;"|"&amp;$S1131&amp;"|"&amp;$AH1131,'ASIGNACIONES'!$N$4:$N$451,0)),"")))</f>
        <v/>
      </c>
      <c r="AJ1131" s="42">
        <f>IF($AH1131="","",SUMIFS('ORDENES'!$M$4:$M$1203,'ORDENES'!$AH$4:$AH$1203,$AH1131,'ORDENES'!$O$4:$O$1203,$O1131,'ORDENES'!$S$4:$S$1203,$S1131))</f>
        <v/>
      </c>
      <c r="AK1131" s="42">
        <f>IF($AJ1131="","",p_factor_productividad*IFERROR(INDEX('ASIGNACIONES'!$M$4:$M$451,MATCH($O1131&amp;"|"&amp;$S1131&amp;"|"&amp;$AH1131,'ASIGNACIONES'!$N$4:$N$451,0)),0)-$AJ1131)</f>
        <v/>
      </c>
      <c r="AL1131" s="32">
        <f>IF($A1131="","",IFERROR(INDEX('2_IMPORTAR_EJECUCION'!$F$9:$F$1208,MATCH($AU1131,'2_IMPORTAR_EJECUCION'!$J$9:$J$1208,0)),0))</f>
        <v/>
      </c>
      <c r="AM1131" s="32">
        <f>IF($A1131="","",MAX(0,IFERROR(INDEX('2_IMPORTAR_EJECUCION'!$H$9:$H$1208,MATCH($AU1131,'2_IMPORTAR_EJECUCION'!$J$9:$J$1208,0)),0)-$AL1131))</f>
        <v/>
      </c>
      <c r="AN1131" s="32">
        <f>IF($A1131="","",$AL1131+$AM1131)</f>
        <v/>
      </c>
      <c r="AO1131" s="24">
        <f>IF($A1131="","",IF(OR((IFERROR(INDEX('CAT_ACTIVIDADES'!$D$4:$D$26,MATCH($H1131,'CAT_ACTIVIDADES'!$A$4:$A$26,0)),""))=0,(IFERROR(INDEX('CAT_ACTIVIDADES'!$D$4:$D$26,MATCH($H1131,'CAT_ACTIVIDADES'!$A$4:$A$26,0)),""))=""),"SIN CLASIFICAR",IFERROR(INDEX('CAT_ACTIVIDADES'!$D$4:$D$26,MATCH($H1131,'CAT_ACTIVIDADES'!$A$4:$A$26,0)),"")))</f>
        <v/>
      </c>
      <c r="AP1131" s="4" t="n"/>
      <c r="AQ1131" s="4" t="n"/>
      <c r="AR1131" s="4" t="n"/>
      <c r="AS1131" s="24">
        <f>IF($AR1131="","",HYPERLINK(p_ruta_base_checklists&amp;$AR1131,"abrir"))</f>
        <v/>
      </c>
      <c r="AT1131" s="4" t="n"/>
      <c r="AU1131" s="24">
        <f>IF($A1131="","",$A1131&amp;IF($B1131="","0010",$B1131))</f>
        <v/>
      </c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41" t="n"/>
      <c r="K1132" s="5" t="n"/>
      <c r="L1132" s="18" t="n"/>
      <c r="M1132" s="24">
        <f>IF($A1132="","",IFERROR(INDEX('AJUSTES'!$B$4:$B$303,MATCH($AU1132,'AJUSTES'!$A$4:$A$303,0)),IF($K1132="","",$K1132)))</f>
        <v/>
      </c>
      <c r="N1132" s="24">
        <f>IF($A1132="","",IFERROR(INDEX('CAT_ESTADOS_ERP'!$B$4:$B$22,MATCH(IFERROR(INDEX('2_IMPORTAR_EJECUCION'!$C$9:$C$1208,MATCH($AU1132,'2_IMPORTAR_EJECUCION'!$J$9:$J$1208,0)),""),'CAT_ESTADOS_ERP'!$A$4:$A$22,0)),"Pendiente"))</f>
        <v/>
      </c>
      <c r="O1132" s="24">
        <f>IF($J1132="","",YEAR($J1132+4-WEEKDAY($J1132,2))&amp;"-S"&amp;TEXT(_xlfn.ISOWEEKNUM($J1132),"00"))</f>
        <v/>
      </c>
      <c r="P1132" s="24">
        <f>IF($J1132="","",YEAR($J1132))</f>
        <v/>
      </c>
      <c r="Q1132" s="24">
        <f>IF($J1132="","",MONTH($J1132))</f>
        <v/>
      </c>
      <c r="R1132" s="24">
        <f>IF($J1132="","",$P1132&amp;"-"&amp;TEXT($Q1132,"00"))</f>
        <v/>
      </c>
      <c r="S1132" s="24">
        <f>IF($J1132="","",INDEX(lista_dias,WEEKDAY($J1132,2)))</f>
        <v/>
      </c>
      <c r="T1132" s="24">
        <f>IF($J1132="","",IFERROR(INDEX('CALENDARIO'!$C$15:$C$214,MATCH(TEXT($J1132,"yyyy-mm-dd")&amp;"|"&amp;$Y1132&amp;"|"&amp;$Z1132,'CALENDARIO'!$G$15:$G$214,0)),IFERROR(INDEX('CALENDARIO'!$C$15:$C$214,MATCH(TEXT($J1132,"yyyy-mm-dd")&amp;"|"&amp;$Y1132&amp;"|",'CALENDARIO'!$G$15:$G$214,0)),IFERROR(INDEX('CALENDARIO'!$C$15:$C$214,MATCH(TEXT($J1132,"yyyy-mm-dd")&amp;"||",'CALENDARIO'!$G$15:$G$214,0)),INDEX(patronHabil,WEEKDAY($J1132,2))))))</f>
        <v/>
      </c>
      <c r="U1132" s="24">
        <f>IF($I1132="","",IFERROR(INDEX('CAT_TIPOS_OT'!$C$4:$C$23,MATCH($I1132,'CAT_TIPOS_OT'!$A$4:$A$23,0)),"sin_clasificar"))</f>
        <v/>
      </c>
      <c r="V1132" s="24">
        <f>IF($I1132="","",IF(IFERROR(INDEX('CAT_TIPOS_OT'!$D$4:$D$23,MATCH($I1132,'CAT_TIPOS_OT'!$A$4:$A$23,0)),"SIN CLASIFICAR")="","SIN CLASIFICAR",IFERROR(INDEX('CAT_TIPOS_OT'!$D$4:$D$23,MATCH($I1132,'CAT_TIPOS_OT'!$A$4:$A$23,0)),"SIN CLASIFICAR")))</f>
        <v/>
      </c>
      <c r="W1132" s="24">
        <f>IF($H1132="","",IF(IFERROR(INDEX('CAT_ACTIVIDADES'!$F$4:$F$26,MATCH($H1132,'CAT_ACTIVIDADES'!$A$4:$A$26,0)),"")=0,"",IFERROR(INDEX('CAT_ACTIVIDADES'!$F$4:$F$26,MATCH($H1132,'CAT_ACTIVIDADES'!$A$4:$A$26,0)),"")))</f>
        <v/>
      </c>
      <c r="X1132" s="24">
        <f>IF($F1132="","",IFERROR(INDEX('CAT_CENTROS_COSTO'!$F$4:$F$28,MATCH($F1132,'CAT_CENTROS_COSTO'!$A$4:$A$28,0)),"(sin catálogo)"))</f>
        <v/>
      </c>
      <c r="Y1132" s="24">
        <f>IF($F1132="","",IFERROR(INDEX('CAT_CENTROS_COSTO'!$D$4:$D$28,MATCH($F1132,'CAT_CENTROS_COSTO'!$A$4:$A$28,0)),"(sin catálogo)"))</f>
        <v/>
      </c>
      <c r="Z1132" s="24">
        <f>IF($F1132="","",IF((IFERROR(INDEX('CAT_CENTROS_COSTO'!$E$4:$E$28,MATCH($F1132,'CAT_CENTROS_COSTO'!$A$4:$A$28,0)),""))&lt;&gt;"",IFERROR(INDEX('CAT_CENTROS_COSTO'!$E$4:$E$28,MATCH($F1132,'CAT_CENTROS_COSTO'!$A$4:$A$28,0)),""),$Y1132))</f>
        <v/>
      </c>
      <c r="AA1132" s="24">
        <f>IF($F1132="","",IFERROR(INDEX('CAT_CENTROS_COSTO'!$G$4:$G$28,MATCH($F1132,'CAT_CENTROS_COSTO'!$A$4:$A$28,0)),"(sin catálogo)"))</f>
        <v/>
      </c>
      <c r="AB1132" s="24">
        <f>IF($G1132="","",IFERROR(INDEX('CAT_PUESTOS'!$B$4:$B$23,MATCH($G1132,'CAT_PUESTOS'!$A$4:$A$23,0)),"(sin catálogo)"))</f>
        <v/>
      </c>
      <c r="AC1132" s="24">
        <f>IF($H1132="","",IFERROR(INDEX('CAT_ACTIVIDADES'!$B$4:$B$26,MATCH($H1132,'CAT_ACTIVIDADES'!$A$4:$A$26,0)),"(sin catálogo)"))</f>
        <v/>
      </c>
      <c r="AD1132" s="26">
        <f>IF($J1132="","",TODAY()-$J1132)</f>
        <v/>
      </c>
      <c r="AE1132" s="26">
        <f>IF($J1132="","",IF($J1132&lt;=TODAY(),COUNTIFS(cal_fechas,"&gt;="&amp;$J1132,cal_fechas,"&lt;"&amp;TODAY(),cal_habil,"sí"),-COUNTIFS(cal_fechas,"&gt;="&amp;TODAY(),cal_fechas,"&lt;"&amp;$J1132,cal_habil,"sí")))</f>
        <v/>
      </c>
      <c r="AF1132" s="24">
        <f>IF($AE1132="","",IF($AE1132&lt;0,"FUTURO",IF($AE1132&gt;p_dias_backlog_max,"BACKLOG","MES CORRIENTE")))</f>
        <v/>
      </c>
      <c r="AG1132" s="24">
        <f>IF($AE1132="",FALSE,AND($AE1132&gt;p_dias_backlog_min,$AE1132&lt;=p_dias_backlog_max))</f>
        <v/>
      </c>
      <c r="AH1132" s="4" t="n"/>
      <c r="AI1132" s="24">
        <f>IF($AH1132="","",IF((IFERROR(INDEX('ASIGNACIONES'!$J$4:$J$451,MATCH($O1132&amp;"|"&amp;$S1132&amp;"|"&amp;$AH1132,'ASIGNACIONES'!$N$4:$N$451,0)),""))=0,"",IFERROR(INDEX('ASIGNACIONES'!$J$4:$J$451,MATCH($O1132&amp;"|"&amp;$S1132&amp;"|"&amp;$AH1132,'ASIGNACIONES'!$N$4:$N$451,0)),"")))</f>
        <v/>
      </c>
      <c r="AJ1132" s="42">
        <f>IF($AH1132="","",SUMIFS('ORDENES'!$M$4:$M$1203,'ORDENES'!$AH$4:$AH$1203,$AH1132,'ORDENES'!$O$4:$O$1203,$O1132,'ORDENES'!$S$4:$S$1203,$S1132))</f>
        <v/>
      </c>
      <c r="AK1132" s="42">
        <f>IF($AJ1132="","",p_factor_productividad*IFERROR(INDEX('ASIGNACIONES'!$M$4:$M$451,MATCH($O1132&amp;"|"&amp;$S1132&amp;"|"&amp;$AH1132,'ASIGNACIONES'!$N$4:$N$451,0)),0)-$AJ1132)</f>
        <v/>
      </c>
      <c r="AL1132" s="32">
        <f>IF($A1132="","",IFERROR(INDEX('2_IMPORTAR_EJECUCION'!$F$9:$F$1208,MATCH($AU1132,'2_IMPORTAR_EJECUCION'!$J$9:$J$1208,0)),0))</f>
        <v/>
      </c>
      <c r="AM1132" s="32">
        <f>IF($A1132="","",MAX(0,IFERROR(INDEX('2_IMPORTAR_EJECUCION'!$H$9:$H$1208,MATCH($AU1132,'2_IMPORTAR_EJECUCION'!$J$9:$J$1208,0)),0)-$AL1132))</f>
        <v/>
      </c>
      <c r="AN1132" s="32">
        <f>IF($A1132="","",$AL1132+$AM1132)</f>
        <v/>
      </c>
      <c r="AO1132" s="24">
        <f>IF($A1132="","",IF(OR((IFERROR(INDEX('CAT_ACTIVIDADES'!$D$4:$D$26,MATCH($H1132,'CAT_ACTIVIDADES'!$A$4:$A$26,0)),""))=0,(IFERROR(INDEX('CAT_ACTIVIDADES'!$D$4:$D$26,MATCH($H1132,'CAT_ACTIVIDADES'!$A$4:$A$26,0)),""))=""),"SIN CLASIFICAR",IFERROR(INDEX('CAT_ACTIVIDADES'!$D$4:$D$26,MATCH($H1132,'CAT_ACTIVIDADES'!$A$4:$A$26,0)),"")))</f>
        <v/>
      </c>
      <c r="AP1132" s="4" t="n"/>
      <c r="AQ1132" s="4" t="n"/>
      <c r="AR1132" s="4" t="n"/>
      <c r="AS1132" s="24">
        <f>IF($AR1132="","",HYPERLINK(p_ruta_base_checklists&amp;$AR1132,"abrir"))</f>
        <v/>
      </c>
      <c r="AT1132" s="4" t="n"/>
      <c r="AU1132" s="24">
        <f>IF($A1132="","",$A1132&amp;IF($B1132="","0010",$B1132))</f>
        <v/>
      </c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41" t="n"/>
      <c r="K1133" s="5" t="n"/>
      <c r="L1133" s="18" t="n"/>
      <c r="M1133" s="24">
        <f>IF($A1133="","",IFERROR(INDEX('AJUSTES'!$B$4:$B$303,MATCH($AU1133,'AJUSTES'!$A$4:$A$303,0)),IF($K1133="","",$K1133)))</f>
        <v/>
      </c>
      <c r="N1133" s="24">
        <f>IF($A1133="","",IFERROR(INDEX('CAT_ESTADOS_ERP'!$B$4:$B$22,MATCH(IFERROR(INDEX('2_IMPORTAR_EJECUCION'!$C$9:$C$1208,MATCH($AU1133,'2_IMPORTAR_EJECUCION'!$J$9:$J$1208,0)),""),'CAT_ESTADOS_ERP'!$A$4:$A$22,0)),"Pendiente"))</f>
        <v/>
      </c>
      <c r="O1133" s="24">
        <f>IF($J1133="","",YEAR($J1133+4-WEEKDAY($J1133,2))&amp;"-S"&amp;TEXT(_xlfn.ISOWEEKNUM($J1133),"00"))</f>
        <v/>
      </c>
      <c r="P1133" s="24">
        <f>IF($J1133="","",YEAR($J1133))</f>
        <v/>
      </c>
      <c r="Q1133" s="24">
        <f>IF($J1133="","",MONTH($J1133))</f>
        <v/>
      </c>
      <c r="R1133" s="24">
        <f>IF($J1133="","",$P1133&amp;"-"&amp;TEXT($Q1133,"00"))</f>
        <v/>
      </c>
      <c r="S1133" s="24">
        <f>IF($J1133="","",INDEX(lista_dias,WEEKDAY($J1133,2)))</f>
        <v/>
      </c>
      <c r="T1133" s="24">
        <f>IF($J1133="","",IFERROR(INDEX('CALENDARIO'!$C$15:$C$214,MATCH(TEXT($J1133,"yyyy-mm-dd")&amp;"|"&amp;$Y1133&amp;"|"&amp;$Z1133,'CALENDARIO'!$G$15:$G$214,0)),IFERROR(INDEX('CALENDARIO'!$C$15:$C$214,MATCH(TEXT($J1133,"yyyy-mm-dd")&amp;"|"&amp;$Y1133&amp;"|",'CALENDARIO'!$G$15:$G$214,0)),IFERROR(INDEX('CALENDARIO'!$C$15:$C$214,MATCH(TEXT($J1133,"yyyy-mm-dd")&amp;"||",'CALENDARIO'!$G$15:$G$214,0)),INDEX(patronHabil,WEEKDAY($J1133,2))))))</f>
        <v/>
      </c>
      <c r="U1133" s="24">
        <f>IF($I1133="","",IFERROR(INDEX('CAT_TIPOS_OT'!$C$4:$C$23,MATCH($I1133,'CAT_TIPOS_OT'!$A$4:$A$23,0)),"sin_clasificar"))</f>
        <v/>
      </c>
      <c r="V1133" s="24">
        <f>IF($I1133="","",IF(IFERROR(INDEX('CAT_TIPOS_OT'!$D$4:$D$23,MATCH($I1133,'CAT_TIPOS_OT'!$A$4:$A$23,0)),"SIN CLASIFICAR")="","SIN CLASIFICAR",IFERROR(INDEX('CAT_TIPOS_OT'!$D$4:$D$23,MATCH($I1133,'CAT_TIPOS_OT'!$A$4:$A$23,0)),"SIN CLASIFICAR")))</f>
        <v/>
      </c>
      <c r="W1133" s="24">
        <f>IF($H1133="","",IF(IFERROR(INDEX('CAT_ACTIVIDADES'!$F$4:$F$26,MATCH($H1133,'CAT_ACTIVIDADES'!$A$4:$A$26,0)),"")=0,"",IFERROR(INDEX('CAT_ACTIVIDADES'!$F$4:$F$26,MATCH($H1133,'CAT_ACTIVIDADES'!$A$4:$A$26,0)),"")))</f>
        <v/>
      </c>
      <c r="X1133" s="24">
        <f>IF($F1133="","",IFERROR(INDEX('CAT_CENTROS_COSTO'!$F$4:$F$28,MATCH($F1133,'CAT_CENTROS_COSTO'!$A$4:$A$28,0)),"(sin catálogo)"))</f>
        <v/>
      </c>
      <c r="Y1133" s="24">
        <f>IF($F1133="","",IFERROR(INDEX('CAT_CENTROS_COSTO'!$D$4:$D$28,MATCH($F1133,'CAT_CENTROS_COSTO'!$A$4:$A$28,0)),"(sin catálogo)"))</f>
        <v/>
      </c>
      <c r="Z1133" s="24">
        <f>IF($F1133="","",IF((IFERROR(INDEX('CAT_CENTROS_COSTO'!$E$4:$E$28,MATCH($F1133,'CAT_CENTROS_COSTO'!$A$4:$A$28,0)),""))&lt;&gt;"",IFERROR(INDEX('CAT_CENTROS_COSTO'!$E$4:$E$28,MATCH($F1133,'CAT_CENTROS_COSTO'!$A$4:$A$28,0)),""),$Y1133))</f>
        <v/>
      </c>
      <c r="AA1133" s="24">
        <f>IF($F1133="","",IFERROR(INDEX('CAT_CENTROS_COSTO'!$G$4:$G$28,MATCH($F1133,'CAT_CENTROS_COSTO'!$A$4:$A$28,0)),"(sin catálogo)"))</f>
        <v/>
      </c>
      <c r="AB1133" s="24">
        <f>IF($G1133="","",IFERROR(INDEX('CAT_PUESTOS'!$B$4:$B$23,MATCH($G1133,'CAT_PUESTOS'!$A$4:$A$23,0)),"(sin catálogo)"))</f>
        <v/>
      </c>
      <c r="AC1133" s="24">
        <f>IF($H1133="","",IFERROR(INDEX('CAT_ACTIVIDADES'!$B$4:$B$26,MATCH($H1133,'CAT_ACTIVIDADES'!$A$4:$A$26,0)),"(sin catálogo)"))</f>
        <v/>
      </c>
      <c r="AD1133" s="26">
        <f>IF($J1133="","",TODAY()-$J1133)</f>
        <v/>
      </c>
      <c r="AE1133" s="26">
        <f>IF($J1133="","",IF($J1133&lt;=TODAY(),COUNTIFS(cal_fechas,"&gt;="&amp;$J1133,cal_fechas,"&lt;"&amp;TODAY(),cal_habil,"sí"),-COUNTIFS(cal_fechas,"&gt;="&amp;TODAY(),cal_fechas,"&lt;"&amp;$J1133,cal_habil,"sí")))</f>
        <v/>
      </c>
      <c r="AF1133" s="24">
        <f>IF($AE1133="","",IF($AE1133&lt;0,"FUTURO",IF($AE1133&gt;p_dias_backlog_max,"BACKLOG","MES CORRIENTE")))</f>
        <v/>
      </c>
      <c r="AG1133" s="24">
        <f>IF($AE1133="",FALSE,AND($AE1133&gt;p_dias_backlog_min,$AE1133&lt;=p_dias_backlog_max))</f>
        <v/>
      </c>
      <c r="AH1133" s="4" t="n"/>
      <c r="AI1133" s="24">
        <f>IF($AH1133="","",IF((IFERROR(INDEX('ASIGNACIONES'!$J$4:$J$451,MATCH($O1133&amp;"|"&amp;$S1133&amp;"|"&amp;$AH1133,'ASIGNACIONES'!$N$4:$N$451,0)),""))=0,"",IFERROR(INDEX('ASIGNACIONES'!$J$4:$J$451,MATCH($O1133&amp;"|"&amp;$S1133&amp;"|"&amp;$AH1133,'ASIGNACIONES'!$N$4:$N$451,0)),"")))</f>
        <v/>
      </c>
      <c r="AJ1133" s="42">
        <f>IF($AH1133="","",SUMIFS('ORDENES'!$M$4:$M$1203,'ORDENES'!$AH$4:$AH$1203,$AH1133,'ORDENES'!$O$4:$O$1203,$O1133,'ORDENES'!$S$4:$S$1203,$S1133))</f>
        <v/>
      </c>
      <c r="AK1133" s="42">
        <f>IF($AJ1133="","",p_factor_productividad*IFERROR(INDEX('ASIGNACIONES'!$M$4:$M$451,MATCH($O1133&amp;"|"&amp;$S1133&amp;"|"&amp;$AH1133,'ASIGNACIONES'!$N$4:$N$451,0)),0)-$AJ1133)</f>
        <v/>
      </c>
      <c r="AL1133" s="32">
        <f>IF($A1133="","",IFERROR(INDEX('2_IMPORTAR_EJECUCION'!$F$9:$F$1208,MATCH($AU1133,'2_IMPORTAR_EJECUCION'!$J$9:$J$1208,0)),0))</f>
        <v/>
      </c>
      <c r="AM1133" s="32">
        <f>IF($A1133="","",MAX(0,IFERROR(INDEX('2_IMPORTAR_EJECUCION'!$H$9:$H$1208,MATCH($AU1133,'2_IMPORTAR_EJECUCION'!$J$9:$J$1208,0)),0)-$AL1133))</f>
        <v/>
      </c>
      <c r="AN1133" s="32">
        <f>IF($A1133="","",$AL1133+$AM1133)</f>
        <v/>
      </c>
      <c r="AO1133" s="24">
        <f>IF($A1133="","",IF(OR((IFERROR(INDEX('CAT_ACTIVIDADES'!$D$4:$D$26,MATCH($H1133,'CAT_ACTIVIDADES'!$A$4:$A$26,0)),""))=0,(IFERROR(INDEX('CAT_ACTIVIDADES'!$D$4:$D$26,MATCH($H1133,'CAT_ACTIVIDADES'!$A$4:$A$26,0)),""))=""),"SIN CLASIFICAR",IFERROR(INDEX('CAT_ACTIVIDADES'!$D$4:$D$26,MATCH($H1133,'CAT_ACTIVIDADES'!$A$4:$A$26,0)),"")))</f>
        <v/>
      </c>
      <c r="AP1133" s="4" t="n"/>
      <c r="AQ1133" s="4" t="n"/>
      <c r="AR1133" s="4" t="n"/>
      <c r="AS1133" s="24">
        <f>IF($AR1133="","",HYPERLINK(p_ruta_base_checklists&amp;$AR1133,"abrir"))</f>
        <v/>
      </c>
      <c r="AT1133" s="4" t="n"/>
      <c r="AU1133" s="24">
        <f>IF($A1133="","",$A1133&amp;IF($B1133="","0010",$B1133))</f>
        <v/>
      </c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41" t="n"/>
      <c r="K1134" s="5" t="n"/>
      <c r="L1134" s="18" t="n"/>
      <c r="M1134" s="24">
        <f>IF($A1134="","",IFERROR(INDEX('AJUSTES'!$B$4:$B$303,MATCH($AU1134,'AJUSTES'!$A$4:$A$303,0)),IF($K1134="","",$K1134)))</f>
        <v/>
      </c>
      <c r="N1134" s="24">
        <f>IF($A1134="","",IFERROR(INDEX('CAT_ESTADOS_ERP'!$B$4:$B$22,MATCH(IFERROR(INDEX('2_IMPORTAR_EJECUCION'!$C$9:$C$1208,MATCH($AU1134,'2_IMPORTAR_EJECUCION'!$J$9:$J$1208,0)),""),'CAT_ESTADOS_ERP'!$A$4:$A$22,0)),"Pendiente"))</f>
        <v/>
      </c>
      <c r="O1134" s="24">
        <f>IF($J1134="","",YEAR($J1134+4-WEEKDAY($J1134,2))&amp;"-S"&amp;TEXT(_xlfn.ISOWEEKNUM($J1134),"00"))</f>
        <v/>
      </c>
      <c r="P1134" s="24">
        <f>IF($J1134="","",YEAR($J1134))</f>
        <v/>
      </c>
      <c r="Q1134" s="24">
        <f>IF($J1134="","",MONTH($J1134))</f>
        <v/>
      </c>
      <c r="R1134" s="24">
        <f>IF($J1134="","",$P1134&amp;"-"&amp;TEXT($Q1134,"00"))</f>
        <v/>
      </c>
      <c r="S1134" s="24">
        <f>IF($J1134="","",INDEX(lista_dias,WEEKDAY($J1134,2)))</f>
        <v/>
      </c>
      <c r="T1134" s="24">
        <f>IF($J1134="","",IFERROR(INDEX('CALENDARIO'!$C$15:$C$214,MATCH(TEXT($J1134,"yyyy-mm-dd")&amp;"|"&amp;$Y1134&amp;"|"&amp;$Z1134,'CALENDARIO'!$G$15:$G$214,0)),IFERROR(INDEX('CALENDARIO'!$C$15:$C$214,MATCH(TEXT($J1134,"yyyy-mm-dd")&amp;"|"&amp;$Y1134&amp;"|",'CALENDARIO'!$G$15:$G$214,0)),IFERROR(INDEX('CALENDARIO'!$C$15:$C$214,MATCH(TEXT($J1134,"yyyy-mm-dd")&amp;"||",'CALENDARIO'!$G$15:$G$214,0)),INDEX(patronHabil,WEEKDAY($J1134,2))))))</f>
        <v/>
      </c>
      <c r="U1134" s="24">
        <f>IF($I1134="","",IFERROR(INDEX('CAT_TIPOS_OT'!$C$4:$C$23,MATCH($I1134,'CAT_TIPOS_OT'!$A$4:$A$23,0)),"sin_clasificar"))</f>
        <v/>
      </c>
      <c r="V1134" s="24">
        <f>IF($I1134="","",IF(IFERROR(INDEX('CAT_TIPOS_OT'!$D$4:$D$23,MATCH($I1134,'CAT_TIPOS_OT'!$A$4:$A$23,0)),"SIN CLASIFICAR")="","SIN CLASIFICAR",IFERROR(INDEX('CAT_TIPOS_OT'!$D$4:$D$23,MATCH($I1134,'CAT_TIPOS_OT'!$A$4:$A$23,0)),"SIN CLASIFICAR")))</f>
        <v/>
      </c>
      <c r="W1134" s="24">
        <f>IF($H1134="","",IF(IFERROR(INDEX('CAT_ACTIVIDADES'!$F$4:$F$26,MATCH($H1134,'CAT_ACTIVIDADES'!$A$4:$A$26,0)),"")=0,"",IFERROR(INDEX('CAT_ACTIVIDADES'!$F$4:$F$26,MATCH($H1134,'CAT_ACTIVIDADES'!$A$4:$A$26,0)),"")))</f>
        <v/>
      </c>
      <c r="X1134" s="24">
        <f>IF($F1134="","",IFERROR(INDEX('CAT_CENTROS_COSTO'!$F$4:$F$28,MATCH($F1134,'CAT_CENTROS_COSTO'!$A$4:$A$28,0)),"(sin catálogo)"))</f>
        <v/>
      </c>
      <c r="Y1134" s="24">
        <f>IF($F1134="","",IFERROR(INDEX('CAT_CENTROS_COSTO'!$D$4:$D$28,MATCH($F1134,'CAT_CENTROS_COSTO'!$A$4:$A$28,0)),"(sin catálogo)"))</f>
        <v/>
      </c>
      <c r="Z1134" s="24">
        <f>IF($F1134="","",IF((IFERROR(INDEX('CAT_CENTROS_COSTO'!$E$4:$E$28,MATCH($F1134,'CAT_CENTROS_COSTO'!$A$4:$A$28,0)),""))&lt;&gt;"",IFERROR(INDEX('CAT_CENTROS_COSTO'!$E$4:$E$28,MATCH($F1134,'CAT_CENTROS_COSTO'!$A$4:$A$28,0)),""),$Y1134))</f>
        <v/>
      </c>
      <c r="AA1134" s="24">
        <f>IF($F1134="","",IFERROR(INDEX('CAT_CENTROS_COSTO'!$G$4:$G$28,MATCH($F1134,'CAT_CENTROS_COSTO'!$A$4:$A$28,0)),"(sin catálogo)"))</f>
        <v/>
      </c>
      <c r="AB1134" s="24">
        <f>IF($G1134="","",IFERROR(INDEX('CAT_PUESTOS'!$B$4:$B$23,MATCH($G1134,'CAT_PUESTOS'!$A$4:$A$23,0)),"(sin catálogo)"))</f>
        <v/>
      </c>
      <c r="AC1134" s="24">
        <f>IF($H1134="","",IFERROR(INDEX('CAT_ACTIVIDADES'!$B$4:$B$26,MATCH($H1134,'CAT_ACTIVIDADES'!$A$4:$A$26,0)),"(sin catálogo)"))</f>
        <v/>
      </c>
      <c r="AD1134" s="26">
        <f>IF($J1134="","",TODAY()-$J1134)</f>
        <v/>
      </c>
      <c r="AE1134" s="26">
        <f>IF($J1134="","",IF($J1134&lt;=TODAY(),COUNTIFS(cal_fechas,"&gt;="&amp;$J1134,cal_fechas,"&lt;"&amp;TODAY(),cal_habil,"sí"),-COUNTIFS(cal_fechas,"&gt;="&amp;TODAY(),cal_fechas,"&lt;"&amp;$J1134,cal_habil,"sí")))</f>
        <v/>
      </c>
      <c r="AF1134" s="24">
        <f>IF($AE1134="","",IF($AE1134&lt;0,"FUTURO",IF($AE1134&gt;p_dias_backlog_max,"BACKLOG","MES CORRIENTE")))</f>
        <v/>
      </c>
      <c r="AG1134" s="24">
        <f>IF($AE1134="",FALSE,AND($AE1134&gt;p_dias_backlog_min,$AE1134&lt;=p_dias_backlog_max))</f>
        <v/>
      </c>
      <c r="AH1134" s="4" t="n"/>
      <c r="AI1134" s="24">
        <f>IF($AH1134="","",IF((IFERROR(INDEX('ASIGNACIONES'!$J$4:$J$451,MATCH($O1134&amp;"|"&amp;$S1134&amp;"|"&amp;$AH1134,'ASIGNACIONES'!$N$4:$N$451,0)),""))=0,"",IFERROR(INDEX('ASIGNACIONES'!$J$4:$J$451,MATCH($O1134&amp;"|"&amp;$S1134&amp;"|"&amp;$AH1134,'ASIGNACIONES'!$N$4:$N$451,0)),"")))</f>
        <v/>
      </c>
      <c r="AJ1134" s="42">
        <f>IF($AH1134="","",SUMIFS('ORDENES'!$M$4:$M$1203,'ORDENES'!$AH$4:$AH$1203,$AH1134,'ORDENES'!$O$4:$O$1203,$O1134,'ORDENES'!$S$4:$S$1203,$S1134))</f>
        <v/>
      </c>
      <c r="AK1134" s="42">
        <f>IF($AJ1134="","",p_factor_productividad*IFERROR(INDEX('ASIGNACIONES'!$M$4:$M$451,MATCH($O1134&amp;"|"&amp;$S1134&amp;"|"&amp;$AH1134,'ASIGNACIONES'!$N$4:$N$451,0)),0)-$AJ1134)</f>
        <v/>
      </c>
      <c r="AL1134" s="32">
        <f>IF($A1134="","",IFERROR(INDEX('2_IMPORTAR_EJECUCION'!$F$9:$F$1208,MATCH($AU1134,'2_IMPORTAR_EJECUCION'!$J$9:$J$1208,0)),0))</f>
        <v/>
      </c>
      <c r="AM1134" s="32">
        <f>IF($A1134="","",MAX(0,IFERROR(INDEX('2_IMPORTAR_EJECUCION'!$H$9:$H$1208,MATCH($AU1134,'2_IMPORTAR_EJECUCION'!$J$9:$J$1208,0)),0)-$AL1134))</f>
        <v/>
      </c>
      <c r="AN1134" s="32">
        <f>IF($A1134="","",$AL1134+$AM1134)</f>
        <v/>
      </c>
      <c r="AO1134" s="24">
        <f>IF($A1134="","",IF(OR((IFERROR(INDEX('CAT_ACTIVIDADES'!$D$4:$D$26,MATCH($H1134,'CAT_ACTIVIDADES'!$A$4:$A$26,0)),""))=0,(IFERROR(INDEX('CAT_ACTIVIDADES'!$D$4:$D$26,MATCH($H1134,'CAT_ACTIVIDADES'!$A$4:$A$26,0)),""))=""),"SIN CLASIFICAR",IFERROR(INDEX('CAT_ACTIVIDADES'!$D$4:$D$26,MATCH($H1134,'CAT_ACTIVIDADES'!$A$4:$A$26,0)),"")))</f>
        <v/>
      </c>
      <c r="AP1134" s="4" t="n"/>
      <c r="AQ1134" s="4" t="n"/>
      <c r="AR1134" s="4" t="n"/>
      <c r="AS1134" s="24">
        <f>IF($AR1134="","",HYPERLINK(p_ruta_base_checklists&amp;$AR1134,"abrir"))</f>
        <v/>
      </c>
      <c r="AT1134" s="4" t="n"/>
      <c r="AU1134" s="24">
        <f>IF($A1134="","",$A1134&amp;IF($B1134="","0010",$B1134))</f>
        <v/>
      </c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41" t="n"/>
      <c r="K1135" s="5" t="n"/>
      <c r="L1135" s="18" t="n"/>
      <c r="M1135" s="24">
        <f>IF($A1135="","",IFERROR(INDEX('AJUSTES'!$B$4:$B$303,MATCH($AU1135,'AJUSTES'!$A$4:$A$303,0)),IF($K1135="","",$K1135)))</f>
        <v/>
      </c>
      <c r="N1135" s="24">
        <f>IF($A1135="","",IFERROR(INDEX('CAT_ESTADOS_ERP'!$B$4:$B$22,MATCH(IFERROR(INDEX('2_IMPORTAR_EJECUCION'!$C$9:$C$1208,MATCH($AU1135,'2_IMPORTAR_EJECUCION'!$J$9:$J$1208,0)),""),'CAT_ESTADOS_ERP'!$A$4:$A$22,0)),"Pendiente"))</f>
        <v/>
      </c>
      <c r="O1135" s="24">
        <f>IF($J1135="","",YEAR($J1135+4-WEEKDAY($J1135,2))&amp;"-S"&amp;TEXT(_xlfn.ISOWEEKNUM($J1135),"00"))</f>
        <v/>
      </c>
      <c r="P1135" s="24">
        <f>IF($J1135="","",YEAR($J1135))</f>
        <v/>
      </c>
      <c r="Q1135" s="24">
        <f>IF($J1135="","",MONTH($J1135))</f>
        <v/>
      </c>
      <c r="R1135" s="24">
        <f>IF($J1135="","",$P1135&amp;"-"&amp;TEXT($Q1135,"00"))</f>
        <v/>
      </c>
      <c r="S1135" s="24">
        <f>IF($J1135="","",INDEX(lista_dias,WEEKDAY($J1135,2)))</f>
        <v/>
      </c>
      <c r="T1135" s="24">
        <f>IF($J1135="","",IFERROR(INDEX('CALENDARIO'!$C$15:$C$214,MATCH(TEXT($J1135,"yyyy-mm-dd")&amp;"|"&amp;$Y1135&amp;"|"&amp;$Z1135,'CALENDARIO'!$G$15:$G$214,0)),IFERROR(INDEX('CALENDARIO'!$C$15:$C$214,MATCH(TEXT($J1135,"yyyy-mm-dd")&amp;"|"&amp;$Y1135&amp;"|",'CALENDARIO'!$G$15:$G$214,0)),IFERROR(INDEX('CALENDARIO'!$C$15:$C$214,MATCH(TEXT($J1135,"yyyy-mm-dd")&amp;"||",'CALENDARIO'!$G$15:$G$214,0)),INDEX(patronHabil,WEEKDAY($J1135,2))))))</f>
        <v/>
      </c>
      <c r="U1135" s="24">
        <f>IF($I1135="","",IFERROR(INDEX('CAT_TIPOS_OT'!$C$4:$C$23,MATCH($I1135,'CAT_TIPOS_OT'!$A$4:$A$23,0)),"sin_clasificar"))</f>
        <v/>
      </c>
      <c r="V1135" s="24">
        <f>IF($I1135="","",IF(IFERROR(INDEX('CAT_TIPOS_OT'!$D$4:$D$23,MATCH($I1135,'CAT_TIPOS_OT'!$A$4:$A$23,0)),"SIN CLASIFICAR")="","SIN CLASIFICAR",IFERROR(INDEX('CAT_TIPOS_OT'!$D$4:$D$23,MATCH($I1135,'CAT_TIPOS_OT'!$A$4:$A$23,0)),"SIN CLASIFICAR")))</f>
        <v/>
      </c>
      <c r="W1135" s="24">
        <f>IF($H1135="","",IF(IFERROR(INDEX('CAT_ACTIVIDADES'!$F$4:$F$26,MATCH($H1135,'CAT_ACTIVIDADES'!$A$4:$A$26,0)),"")=0,"",IFERROR(INDEX('CAT_ACTIVIDADES'!$F$4:$F$26,MATCH($H1135,'CAT_ACTIVIDADES'!$A$4:$A$26,0)),"")))</f>
        <v/>
      </c>
      <c r="X1135" s="24">
        <f>IF($F1135="","",IFERROR(INDEX('CAT_CENTROS_COSTO'!$F$4:$F$28,MATCH($F1135,'CAT_CENTROS_COSTO'!$A$4:$A$28,0)),"(sin catálogo)"))</f>
        <v/>
      </c>
      <c r="Y1135" s="24">
        <f>IF($F1135="","",IFERROR(INDEX('CAT_CENTROS_COSTO'!$D$4:$D$28,MATCH($F1135,'CAT_CENTROS_COSTO'!$A$4:$A$28,0)),"(sin catálogo)"))</f>
        <v/>
      </c>
      <c r="Z1135" s="24">
        <f>IF($F1135="","",IF((IFERROR(INDEX('CAT_CENTROS_COSTO'!$E$4:$E$28,MATCH($F1135,'CAT_CENTROS_COSTO'!$A$4:$A$28,0)),""))&lt;&gt;"",IFERROR(INDEX('CAT_CENTROS_COSTO'!$E$4:$E$28,MATCH($F1135,'CAT_CENTROS_COSTO'!$A$4:$A$28,0)),""),$Y1135))</f>
        <v/>
      </c>
      <c r="AA1135" s="24">
        <f>IF($F1135="","",IFERROR(INDEX('CAT_CENTROS_COSTO'!$G$4:$G$28,MATCH($F1135,'CAT_CENTROS_COSTO'!$A$4:$A$28,0)),"(sin catálogo)"))</f>
        <v/>
      </c>
      <c r="AB1135" s="24">
        <f>IF($G1135="","",IFERROR(INDEX('CAT_PUESTOS'!$B$4:$B$23,MATCH($G1135,'CAT_PUESTOS'!$A$4:$A$23,0)),"(sin catálogo)"))</f>
        <v/>
      </c>
      <c r="AC1135" s="24">
        <f>IF($H1135="","",IFERROR(INDEX('CAT_ACTIVIDADES'!$B$4:$B$26,MATCH($H1135,'CAT_ACTIVIDADES'!$A$4:$A$26,0)),"(sin catálogo)"))</f>
        <v/>
      </c>
      <c r="AD1135" s="26">
        <f>IF($J1135="","",TODAY()-$J1135)</f>
        <v/>
      </c>
      <c r="AE1135" s="26">
        <f>IF($J1135="","",IF($J1135&lt;=TODAY(),COUNTIFS(cal_fechas,"&gt;="&amp;$J1135,cal_fechas,"&lt;"&amp;TODAY(),cal_habil,"sí"),-COUNTIFS(cal_fechas,"&gt;="&amp;TODAY(),cal_fechas,"&lt;"&amp;$J1135,cal_habil,"sí")))</f>
        <v/>
      </c>
      <c r="AF1135" s="24">
        <f>IF($AE1135="","",IF($AE1135&lt;0,"FUTURO",IF($AE1135&gt;p_dias_backlog_max,"BACKLOG","MES CORRIENTE")))</f>
        <v/>
      </c>
      <c r="AG1135" s="24">
        <f>IF($AE1135="",FALSE,AND($AE1135&gt;p_dias_backlog_min,$AE1135&lt;=p_dias_backlog_max))</f>
        <v/>
      </c>
      <c r="AH1135" s="4" t="n"/>
      <c r="AI1135" s="24">
        <f>IF($AH1135="","",IF((IFERROR(INDEX('ASIGNACIONES'!$J$4:$J$451,MATCH($O1135&amp;"|"&amp;$S1135&amp;"|"&amp;$AH1135,'ASIGNACIONES'!$N$4:$N$451,0)),""))=0,"",IFERROR(INDEX('ASIGNACIONES'!$J$4:$J$451,MATCH($O1135&amp;"|"&amp;$S1135&amp;"|"&amp;$AH1135,'ASIGNACIONES'!$N$4:$N$451,0)),"")))</f>
        <v/>
      </c>
      <c r="AJ1135" s="42">
        <f>IF($AH1135="","",SUMIFS('ORDENES'!$M$4:$M$1203,'ORDENES'!$AH$4:$AH$1203,$AH1135,'ORDENES'!$O$4:$O$1203,$O1135,'ORDENES'!$S$4:$S$1203,$S1135))</f>
        <v/>
      </c>
      <c r="AK1135" s="42">
        <f>IF($AJ1135="","",p_factor_productividad*IFERROR(INDEX('ASIGNACIONES'!$M$4:$M$451,MATCH($O1135&amp;"|"&amp;$S1135&amp;"|"&amp;$AH1135,'ASIGNACIONES'!$N$4:$N$451,0)),0)-$AJ1135)</f>
        <v/>
      </c>
      <c r="AL1135" s="32">
        <f>IF($A1135="","",IFERROR(INDEX('2_IMPORTAR_EJECUCION'!$F$9:$F$1208,MATCH($AU1135,'2_IMPORTAR_EJECUCION'!$J$9:$J$1208,0)),0))</f>
        <v/>
      </c>
      <c r="AM1135" s="32">
        <f>IF($A1135="","",MAX(0,IFERROR(INDEX('2_IMPORTAR_EJECUCION'!$H$9:$H$1208,MATCH($AU1135,'2_IMPORTAR_EJECUCION'!$J$9:$J$1208,0)),0)-$AL1135))</f>
        <v/>
      </c>
      <c r="AN1135" s="32">
        <f>IF($A1135="","",$AL1135+$AM1135)</f>
        <v/>
      </c>
      <c r="AO1135" s="24">
        <f>IF($A1135="","",IF(OR((IFERROR(INDEX('CAT_ACTIVIDADES'!$D$4:$D$26,MATCH($H1135,'CAT_ACTIVIDADES'!$A$4:$A$26,0)),""))=0,(IFERROR(INDEX('CAT_ACTIVIDADES'!$D$4:$D$26,MATCH($H1135,'CAT_ACTIVIDADES'!$A$4:$A$26,0)),""))=""),"SIN CLASIFICAR",IFERROR(INDEX('CAT_ACTIVIDADES'!$D$4:$D$26,MATCH($H1135,'CAT_ACTIVIDADES'!$A$4:$A$26,0)),"")))</f>
        <v/>
      </c>
      <c r="AP1135" s="4" t="n"/>
      <c r="AQ1135" s="4" t="n"/>
      <c r="AR1135" s="4" t="n"/>
      <c r="AS1135" s="24">
        <f>IF($AR1135="","",HYPERLINK(p_ruta_base_checklists&amp;$AR1135,"abrir"))</f>
        <v/>
      </c>
      <c r="AT1135" s="4" t="n"/>
      <c r="AU1135" s="24">
        <f>IF($A1135="","",$A1135&amp;IF($B1135="","0010",$B1135))</f>
        <v/>
      </c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41" t="n"/>
      <c r="K1136" s="5" t="n"/>
      <c r="L1136" s="18" t="n"/>
      <c r="M1136" s="24">
        <f>IF($A1136="","",IFERROR(INDEX('AJUSTES'!$B$4:$B$303,MATCH($AU1136,'AJUSTES'!$A$4:$A$303,0)),IF($K1136="","",$K1136)))</f>
        <v/>
      </c>
      <c r="N1136" s="24">
        <f>IF($A1136="","",IFERROR(INDEX('CAT_ESTADOS_ERP'!$B$4:$B$22,MATCH(IFERROR(INDEX('2_IMPORTAR_EJECUCION'!$C$9:$C$1208,MATCH($AU1136,'2_IMPORTAR_EJECUCION'!$J$9:$J$1208,0)),""),'CAT_ESTADOS_ERP'!$A$4:$A$22,0)),"Pendiente"))</f>
        <v/>
      </c>
      <c r="O1136" s="24">
        <f>IF($J1136="","",YEAR($J1136+4-WEEKDAY($J1136,2))&amp;"-S"&amp;TEXT(_xlfn.ISOWEEKNUM($J1136),"00"))</f>
        <v/>
      </c>
      <c r="P1136" s="24">
        <f>IF($J1136="","",YEAR($J1136))</f>
        <v/>
      </c>
      <c r="Q1136" s="24">
        <f>IF($J1136="","",MONTH($J1136))</f>
        <v/>
      </c>
      <c r="R1136" s="24">
        <f>IF($J1136="","",$P1136&amp;"-"&amp;TEXT($Q1136,"00"))</f>
        <v/>
      </c>
      <c r="S1136" s="24">
        <f>IF($J1136="","",INDEX(lista_dias,WEEKDAY($J1136,2)))</f>
        <v/>
      </c>
      <c r="T1136" s="24">
        <f>IF($J1136="","",IFERROR(INDEX('CALENDARIO'!$C$15:$C$214,MATCH(TEXT($J1136,"yyyy-mm-dd")&amp;"|"&amp;$Y1136&amp;"|"&amp;$Z1136,'CALENDARIO'!$G$15:$G$214,0)),IFERROR(INDEX('CALENDARIO'!$C$15:$C$214,MATCH(TEXT($J1136,"yyyy-mm-dd")&amp;"|"&amp;$Y1136&amp;"|",'CALENDARIO'!$G$15:$G$214,0)),IFERROR(INDEX('CALENDARIO'!$C$15:$C$214,MATCH(TEXT($J1136,"yyyy-mm-dd")&amp;"||",'CALENDARIO'!$G$15:$G$214,0)),INDEX(patronHabil,WEEKDAY($J1136,2))))))</f>
        <v/>
      </c>
      <c r="U1136" s="24">
        <f>IF($I1136="","",IFERROR(INDEX('CAT_TIPOS_OT'!$C$4:$C$23,MATCH($I1136,'CAT_TIPOS_OT'!$A$4:$A$23,0)),"sin_clasificar"))</f>
        <v/>
      </c>
      <c r="V1136" s="24">
        <f>IF($I1136="","",IF(IFERROR(INDEX('CAT_TIPOS_OT'!$D$4:$D$23,MATCH($I1136,'CAT_TIPOS_OT'!$A$4:$A$23,0)),"SIN CLASIFICAR")="","SIN CLASIFICAR",IFERROR(INDEX('CAT_TIPOS_OT'!$D$4:$D$23,MATCH($I1136,'CAT_TIPOS_OT'!$A$4:$A$23,0)),"SIN CLASIFICAR")))</f>
        <v/>
      </c>
      <c r="W1136" s="24">
        <f>IF($H1136="","",IF(IFERROR(INDEX('CAT_ACTIVIDADES'!$F$4:$F$26,MATCH($H1136,'CAT_ACTIVIDADES'!$A$4:$A$26,0)),"")=0,"",IFERROR(INDEX('CAT_ACTIVIDADES'!$F$4:$F$26,MATCH($H1136,'CAT_ACTIVIDADES'!$A$4:$A$26,0)),"")))</f>
        <v/>
      </c>
      <c r="X1136" s="24">
        <f>IF($F1136="","",IFERROR(INDEX('CAT_CENTROS_COSTO'!$F$4:$F$28,MATCH($F1136,'CAT_CENTROS_COSTO'!$A$4:$A$28,0)),"(sin catálogo)"))</f>
        <v/>
      </c>
      <c r="Y1136" s="24">
        <f>IF($F1136="","",IFERROR(INDEX('CAT_CENTROS_COSTO'!$D$4:$D$28,MATCH($F1136,'CAT_CENTROS_COSTO'!$A$4:$A$28,0)),"(sin catálogo)"))</f>
        <v/>
      </c>
      <c r="Z1136" s="24">
        <f>IF($F1136="","",IF((IFERROR(INDEX('CAT_CENTROS_COSTO'!$E$4:$E$28,MATCH($F1136,'CAT_CENTROS_COSTO'!$A$4:$A$28,0)),""))&lt;&gt;"",IFERROR(INDEX('CAT_CENTROS_COSTO'!$E$4:$E$28,MATCH($F1136,'CAT_CENTROS_COSTO'!$A$4:$A$28,0)),""),$Y1136))</f>
        <v/>
      </c>
      <c r="AA1136" s="24">
        <f>IF($F1136="","",IFERROR(INDEX('CAT_CENTROS_COSTO'!$G$4:$G$28,MATCH($F1136,'CAT_CENTROS_COSTO'!$A$4:$A$28,0)),"(sin catálogo)"))</f>
        <v/>
      </c>
      <c r="AB1136" s="24">
        <f>IF($G1136="","",IFERROR(INDEX('CAT_PUESTOS'!$B$4:$B$23,MATCH($G1136,'CAT_PUESTOS'!$A$4:$A$23,0)),"(sin catálogo)"))</f>
        <v/>
      </c>
      <c r="AC1136" s="24">
        <f>IF($H1136="","",IFERROR(INDEX('CAT_ACTIVIDADES'!$B$4:$B$26,MATCH($H1136,'CAT_ACTIVIDADES'!$A$4:$A$26,0)),"(sin catálogo)"))</f>
        <v/>
      </c>
      <c r="AD1136" s="26">
        <f>IF($J1136="","",TODAY()-$J1136)</f>
        <v/>
      </c>
      <c r="AE1136" s="26">
        <f>IF($J1136="","",IF($J1136&lt;=TODAY(),COUNTIFS(cal_fechas,"&gt;="&amp;$J1136,cal_fechas,"&lt;"&amp;TODAY(),cal_habil,"sí"),-COUNTIFS(cal_fechas,"&gt;="&amp;TODAY(),cal_fechas,"&lt;"&amp;$J1136,cal_habil,"sí")))</f>
        <v/>
      </c>
      <c r="AF1136" s="24">
        <f>IF($AE1136="","",IF($AE1136&lt;0,"FUTURO",IF($AE1136&gt;p_dias_backlog_max,"BACKLOG","MES CORRIENTE")))</f>
        <v/>
      </c>
      <c r="AG1136" s="24">
        <f>IF($AE1136="",FALSE,AND($AE1136&gt;p_dias_backlog_min,$AE1136&lt;=p_dias_backlog_max))</f>
        <v/>
      </c>
      <c r="AH1136" s="4" t="n"/>
      <c r="AI1136" s="24">
        <f>IF($AH1136="","",IF((IFERROR(INDEX('ASIGNACIONES'!$J$4:$J$451,MATCH($O1136&amp;"|"&amp;$S1136&amp;"|"&amp;$AH1136,'ASIGNACIONES'!$N$4:$N$451,0)),""))=0,"",IFERROR(INDEX('ASIGNACIONES'!$J$4:$J$451,MATCH($O1136&amp;"|"&amp;$S1136&amp;"|"&amp;$AH1136,'ASIGNACIONES'!$N$4:$N$451,0)),"")))</f>
        <v/>
      </c>
      <c r="AJ1136" s="42">
        <f>IF($AH1136="","",SUMIFS('ORDENES'!$M$4:$M$1203,'ORDENES'!$AH$4:$AH$1203,$AH1136,'ORDENES'!$O$4:$O$1203,$O1136,'ORDENES'!$S$4:$S$1203,$S1136))</f>
        <v/>
      </c>
      <c r="AK1136" s="42">
        <f>IF($AJ1136="","",p_factor_productividad*IFERROR(INDEX('ASIGNACIONES'!$M$4:$M$451,MATCH($O1136&amp;"|"&amp;$S1136&amp;"|"&amp;$AH1136,'ASIGNACIONES'!$N$4:$N$451,0)),0)-$AJ1136)</f>
        <v/>
      </c>
      <c r="AL1136" s="32">
        <f>IF($A1136="","",IFERROR(INDEX('2_IMPORTAR_EJECUCION'!$F$9:$F$1208,MATCH($AU1136,'2_IMPORTAR_EJECUCION'!$J$9:$J$1208,0)),0))</f>
        <v/>
      </c>
      <c r="AM1136" s="32">
        <f>IF($A1136="","",MAX(0,IFERROR(INDEX('2_IMPORTAR_EJECUCION'!$H$9:$H$1208,MATCH($AU1136,'2_IMPORTAR_EJECUCION'!$J$9:$J$1208,0)),0)-$AL1136))</f>
        <v/>
      </c>
      <c r="AN1136" s="32">
        <f>IF($A1136="","",$AL1136+$AM1136)</f>
        <v/>
      </c>
      <c r="AO1136" s="24">
        <f>IF($A1136="","",IF(OR((IFERROR(INDEX('CAT_ACTIVIDADES'!$D$4:$D$26,MATCH($H1136,'CAT_ACTIVIDADES'!$A$4:$A$26,0)),""))=0,(IFERROR(INDEX('CAT_ACTIVIDADES'!$D$4:$D$26,MATCH($H1136,'CAT_ACTIVIDADES'!$A$4:$A$26,0)),""))=""),"SIN CLASIFICAR",IFERROR(INDEX('CAT_ACTIVIDADES'!$D$4:$D$26,MATCH($H1136,'CAT_ACTIVIDADES'!$A$4:$A$26,0)),"")))</f>
        <v/>
      </c>
      <c r="AP1136" s="4" t="n"/>
      <c r="AQ1136" s="4" t="n"/>
      <c r="AR1136" s="4" t="n"/>
      <c r="AS1136" s="24">
        <f>IF($AR1136="","",HYPERLINK(p_ruta_base_checklists&amp;$AR1136,"abrir"))</f>
        <v/>
      </c>
      <c r="AT1136" s="4" t="n"/>
      <c r="AU1136" s="24">
        <f>IF($A1136="","",$A1136&amp;IF($B1136="","0010",$B1136))</f>
        <v/>
      </c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41" t="n"/>
      <c r="K1137" s="5" t="n"/>
      <c r="L1137" s="18" t="n"/>
      <c r="M1137" s="24">
        <f>IF($A1137="","",IFERROR(INDEX('AJUSTES'!$B$4:$B$303,MATCH($AU1137,'AJUSTES'!$A$4:$A$303,0)),IF($K1137="","",$K1137)))</f>
        <v/>
      </c>
      <c r="N1137" s="24">
        <f>IF($A1137="","",IFERROR(INDEX('CAT_ESTADOS_ERP'!$B$4:$B$22,MATCH(IFERROR(INDEX('2_IMPORTAR_EJECUCION'!$C$9:$C$1208,MATCH($AU1137,'2_IMPORTAR_EJECUCION'!$J$9:$J$1208,0)),""),'CAT_ESTADOS_ERP'!$A$4:$A$22,0)),"Pendiente"))</f>
        <v/>
      </c>
      <c r="O1137" s="24">
        <f>IF($J1137="","",YEAR($J1137+4-WEEKDAY($J1137,2))&amp;"-S"&amp;TEXT(_xlfn.ISOWEEKNUM($J1137),"00"))</f>
        <v/>
      </c>
      <c r="P1137" s="24">
        <f>IF($J1137="","",YEAR($J1137))</f>
        <v/>
      </c>
      <c r="Q1137" s="24">
        <f>IF($J1137="","",MONTH($J1137))</f>
        <v/>
      </c>
      <c r="R1137" s="24">
        <f>IF($J1137="","",$P1137&amp;"-"&amp;TEXT($Q1137,"00"))</f>
        <v/>
      </c>
      <c r="S1137" s="24">
        <f>IF($J1137="","",INDEX(lista_dias,WEEKDAY($J1137,2)))</f>
        <v/>
      </c>
      <c r="T1137" s="24">
        <f>IF($J1137="","",IFERROR(INDEX('CALENDARIO'!$C$15:$C$214,MATCH(TEXT($J1137,"yyyy-mm-dd")&amp;"|"&amp;$Y1137&amp;"|"&amp;$Z1137,'CALENDARIO'!$G$15:$G$214,0)),IFERROR(INDEX('CALENDARIO'!$C$15:$C$214,MATCH(TEXT($J1137,"yyyy-mm-dd")&amp;"|"&amp;$Y1137&amp;"|",'CALENDARIO'!$G$15:$G$214,0)),IFERROR(INDEX('CALENDARIO'!$C$15:$C$214,MATCH(TEXT($J1137,"yyyy-mm-dd")&amp;"||",'CALENDARIO'!$G$15:$G$214,0)),INDEX(patronHabil,WEEKDAY($J1137,2))))))</f>
        <v/>
      </c>
      <c r="U1137" s="24">
        <f>IF($I1137="","",IFERROR(INDEX('CAT_TIPOS_OT'!$C$4:$C$23,MATCH($I1137,'CAT_TIPOS_OT'!$A$4:$A$23,0)),"sin_clasificar"))</f>
        <v/>
      </c>
      <c r="V1137" s="24">
        <f>IF($I1137="","",IF(IFERROR(INDEX('CAT_TIPOS_OT'!$D$4:$D$23,MATCH($I1137,'CAT_TIPOS_OT'!$A$4:$A$23,0)),"SIN CLASIFICAR")="","SIN CLASIFICAR",IFERROR(INDEX('CAT_TIPOS_OT'!$D$4:$D$23,MATCH($I1137,'CAT_TIPOS_OT'!$A$4:$A$23,0)),"SIN CLASIFICAR")))</f>
        <v/>
      </c>
      <c r="W1137" s="24">
        <f>IF($H1137="","",IF(IFERROR(INDEX('CAT_ACTIVIDADES'!$F$4:$F$26,MATCH($H1137,'CAT_ACTIVIDADES'!$A$4:$A$26,0)),"")=0,"",IFERROR(INDEX('CAT_ACTIVIDADES'!$F$4:$F$26,MATCH($H1137,'CAT_ACTIVIDADES'!$A$4:$A$26,0)),"")))</f>
        <v/>
      </c>
      <c r="X1137" s="24">
        <f>IF($F1137="","",IFERROR(INDEX('CAT_CENTROS_COSTO'!$F$4:$F$28,MATCH($F1137,'CAT_CENTROS_COSTO'!$A$4:$A$28,0)),"(sin catálogo)"))</f>
        <v/>
      </c>
      <c r="Y1137" s="24">
        <f>IF($F1137="","",IFERROR(INDEX('CAT_CENTROS_COSTO'!$D$4:$D$28,MATCH($F1137,'CAT_CENTROS_COSTO'!$A$4:$A$28,0)),"(sin catálogo)"))</f>
        <v/>
      </c>
      <c r="Z1137" s="24">
        <f>IF($F1137="","",IF((IFERROR(INDEX('CAT_CENTROS_COSTO'!$E$4:$E$28,MATCH($F1137,'CAT_CENTROS_COSTO'!$A$4:$A$28,0)),""))&lt;&gt;"",IFERROR(INDEX('CAT_CENTROS_COSTO'!$E$4:$E$28,MATCH($F1137,'CAT_CENTROS_COSTO'!$A$4:$A$28,0)),""),$Y1137))</f>
        <v/>
      </c>
      <c r="AA1137" s="24">
        <f>IF($F1137="","",IFERROR(INDEX('CAT_CENTROS_COSTO'!$G$4:$G$28,MATCH($F1137,'CAT_CENTROS_COSTO'!$A$4:$A$28,0)),"(sin catálogo)"))</f>
        <v/>
      </c>
      <c r="AB1137" s="24">
        <f>IF($G1137="","",IFERROR(INDEX('CAT_PUESTOS'!$B$4:$B$23,MATCH($G1137,'CAT_PUESTOS'!$A$4:$A$23,0)),"(sin catálogo)"))</f>
        <v/>
      </c>
      <c r="AC1137" s="24">
        <f>IF($H1137="","",IFERROR(INDEX('CAT_ACTIVIDADES'!$B$4:$B$26,MATCH($H1137,'CAT_ACTIVIDADES'!$A$4:$A$26,0)),"(sin catálogo)"))</f>
        <v/>
      </c>
      <c r="AD1137" s="26">
        <f>IF($J1137="","",TODAY()-$J1137)</f>
        <v/>
      </c>
      <c r="AE1137" s="26">
        <f>IF($J1137="","",IF($J1137&lt;=TODAY(),COUNTIFS(cal_fechas,"&gt;="&amp;$J1137,cal_fechas,"&lt;"&amp;TODAY(),cal_habil,"sí"),-COUNTIFS(cal_fechas,"&gt;="&amp;TODAY(),cal_fechas,"&lt;"&amp;$J1137,cal_habil,"sí")))</f>
        <v/>
      </c>
      <c r="AF1137" s="24">
        <f>IF($AE1137="","",IF($AE1137&lt;0,"FUTURO",IF($AE1137&gt;p_dias_backlog_max,"BACKLOG","MES CORRIENTE")))</f>
        <v/>
      </c>
      <c r="AG1137" s="24">
        <f>IF($AE1137="",FALSE,AND($AE1137&gt;p_dias_backlog_min,$AE1137&lt;=p_dias_backlog_max))</f>
        <v/>
      </c>
      <c r="AH1137" s="4" t="n"/>
      <c r="AI1137" s="24">
        <f>IF($AH1137="","",IF((IFERROR(INDEX('ASIGNACIONES'!$J$4:$J$451,MATCH($O1137&amp;"|"&amp;$S1137&amp;"|"&amp;$AH1137,'ASIGNACIONES'!$N$4:$N$451,0)),""))=0,"",IFERROR(INDEX('ASIGNACIONES'!$J$4:$J$451,MATCH($O1137&amp;"|"&amp;$S1137&amp;"|"&amp;$AH1137,'ASIGNACIONES'!$N$4:$N$451,0)),"")))</f>
        <v/>
      </c>
      <c r="AJ1137" s="42">
        <f>IF($AH1137="","",SUMIFS('ORDENES'!$M$4:$M$1203,'ORDENES'!$AH$4:$AH$1203,$AH1137,'ORDENES'!$O$4:$O$1203,$O1137,'ORDENES'!$S$4:$S$1203,$S1137))</f>
        <v/>
      </c>
      <c r="AK1137" s="42">
        <f>IF($AJ1137="","",p_factor_productividad*IFERROR(INDEX('ASIGNACIONES'!$M$4:$M$451,MATCH($O1137&amp;"|"&amp;$S1137&amp;"|"&amp;$AH1137,'ASIGNACIONES'!$N$4:$N$451,0)),0)-$AJ1137)</f>
        <v/>
      </c>
      <c r="AL1137" s="32">
        <f>IF($A1137="","",IFERROR(INDEX('2_IMPORTAR_EJECUCION'!$F$9:$F$1208,MATCH($AU1137,'2_IMPORTAR_EJECUCION'!$J$9:$J$1208,0)),0))</f>
        <v/>
      </c>
      <c r="AM1137" s="32">
        <f>IF($A1137="","",MAX(0,IFERROR(INDEX('2_IMPORTAR_EJECUCION'!$H$9:$H$1208,MATCH($AU1137,'2_IMPORTAR_EJECUCION'!$J$9:$J$1208,0)),0)-$AL1137))</f>
        <v/>
      </c>
      <c r="AN1137" s="32">
        <f>IF($A1137="","",$AL1137+$AM1137)</f>
        <v/>
      </c>
      <c r="AO1137" s="24">
        <f>IF($A1137="","",IF(OR((IFERROR(INDEX('CAT_ACTIVIDADES'!$D$4:$D$26,MATCH($H1137,'CAT_ACTIVIDADES'!$A$4:$A$26,0)),""))=0,(IFERROR(INDEX('CAT_ACTIVIDADES'!$D$4:$D$26,MATCH($H1137,'CAT_ACTIVIDADES'!$A$4:$A$26,0)),""))=""),"SIN CLASIFICAR",IFERROR(INDEX('CAT_ACTIVIDADES'!$D$4:$D$26,MATCH($H1137,'CAT_ACTIVIDADES'!$A$4:$A$26,0)),"")))</f>
        <v/>
      </c>
      <c r="AP1137" s="4" t="n"/>
      <c r="AQ1137" s="4" t="n"/>
      <c r="AR1137" s="4" t="n"/>
      <c r="AS1137" s="24">
        <f>IF($AR1137="","",HYPERLINK(p_ruta_base_checklists&amp;$AR1137,"abrir"))</f>
        <v/>
      </c>
      <c r="AT1137" s="4" t="n"/>
      <c r="AU1137" s="24">
        <f>IF($A1137="","",$A1137&amp;IF($B1137="","0010",$B1137))</f>
        <v/>
      </c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41" t="n"/>
      <c r="K1138" s="5" t="n"/>
      <c r="L1138" s="18" t="n"/>
      <c r="M1138" s="24">
        <f>IF($A1138="","",IFERROR(INDEX('AJUSTES'!$B$4:$B$303,MATCH($AU1138,'AJUSTES'!$A$4:$A$303,0)),IF($K1138="","",$K1138)))</f>
        <v/>
      </c>
      <c r="N1138" s="24">
        <f>IF($A1138="","",IFERROR(INDEX('CAT_ESTADOS_ERP'!$B$4:$B$22,MATCH(IFERROR(INDEX('2_IMPORTAR_EJECUCION'!$C$9:$C$1208,MATCH($AU1138,'2_IMPORTAR_EJECUCION'!$J$9:$J$1208,0)),""),'CAT_ESTADOS_ERP'!$A$4:$A$22,0)),"Pendiente"))</f>
        <v/>
      </c>
      <c r="O1138" s="24">
        <f>IF($J1138="","",YEAR($J1138+4-WEEKDAY($J1138,2))&amp;"-S"&amp;TEXT(_xlfn.ISOWEEKNUM($J1138),"00"))</f>
        <v/>
      </c>
      <c r="P1138" s="24">
        <f>IF($J1138="","",YEAR($J1138))</f>
        <v/>
      </c>
      <c r="Q1138" s="24">
        <f>IF($J1138="","",MONTH($J1138))</f>
        <v/>
      </c>
      <c r="R1138" s="24">
        <f>IF($J1138="","",$P1138&amp;"-"&amp;TEXT($Q1138,"00"))</f>
        <v/>
      </c>
      <c r="S1138" s="24">
        <f>IF($J1138="","",INDEX(lista_dias,WEEKDAY($J1138,2)))</f>
        <v/>
      </c>
      <c r="T1138" s="24">
        <f>IF($J1138="","",IFERROR(INDEX('CALENDARIO'!$C$15:$C$214,MATCH(TEXT($J1138,"yyyy-mm-dd")&amp;"|"&amp;$Y1138&amp;"|"&amp;$Z1138,'CALENDARIO'!$G$15:$G$214,0)),IFERROR(INDEX('CALENDARIO'!$C$15:$C$214,MATCH(TEXT($J1138,"yyyy-mm-dd")&amp;"|"&amp;$Y1138&amp;"|",'CALENDARIO'!$G$15:$G$214,0)),IFERROR(INDEX('CALENDARIO'!$C$15:$C$214,MATCH(TEXT($J1138,"yyyy-mm-dd")&amp;"||",'CALENDARIO'!$G$15:$G$214,0)),INDEX(patronHabil,WEEKDAY($J1138,2))))))</f>
        <v/>
      </c>
      <c r="U1138" s="24">
        <f>IF($I1138="","",IFERROR(INDEX('CAT_TIPOS_OT'!$C$4:$C$23,MATCH($I1138,'CAT_TIPOS_OT'!$A$4:$A$23,0)),"sin_clasificar"))</f>
        <v/>
      </c>
      <c r="V1138" s="24">
        <f>IF($I1138="","",IF(IFERROR(INDEX('CAT_TIPOS_OT'!$D$4:$D$23,MATCH($I1138,'CAT_TIPOS_OT'!$A$4:$A$23,0)),"SIN CLASIFICAR")="","SIN CLASIFICAR",IFERROR(INDEX('CAT_TIPOS_OT'!$D$4:$D$23,MATCH($I1138,'CAT_TIPOS_OT'!$A$4:$A$23,0)),"SIN CLASIFICAR")))</f>
        <v/>
      </c>
      <c r="W1138" s="24">
        <f>IF($H1138="","",IF(IFERROR(INDEX('CAT_ACTIVIDADES'!$F$4:$F$26,MATCH($H1138,'CAT_ACTIVIDADES'!$A$4:$A$26,0)),"")=0,"",IFERROR(INDEX('CAT_ACTIVIDADES'!$F$4:$F$26,MATCH($H1138,'CAT_ACTIVIDADES'!$A$4:$A$26,0)),"")))</f>
        <v/>
      </c>
      <c r="X1138" s="24">
        <f>IF($F1138="","",IFERROR(INDEX('CAT_CENTROS_COSTO'!$F$4:$F$28,MATCH($F1138,'CAT_CENTROS_COSTO'!$A$4:$A$28,0)),"(sin catálogo)"))</f>
        <v/>
      </c>
      <c r="Y1138" s="24">
        <f>IF($F1138="","",IFERROR(INDEX('CAT_CENTROS_COSTO'!$D$4:$D$28,MATCH($F1138,'CAT_CENTROS_COSTO'!$A$4:$A$28,0)),"(sin catálogo)"))</f>
        <v/>
      </c>
      <c r="Z1138" s="24">
        <f>IF($F1138="","",IF((IFERROR(INDEX('CAT_CENTROS_COSTO'!$E$4:$E$28,MATCH($F1138,'CAT_CENTROS_COSTO'!$A$4:$A$28,0)),""))&lt;&gt;"",IFERROR(INDEX('CAT_CENTROS_COSTO'!$E$4:$E$28,MATCH($F1138,'CAT_CENTROS_COSTO'!$A$4:$A$28,0)),""),$Y1138))</f>
        <v/>
      </c>
      <c r="AA1138" s="24">
        <f>IF($F1138="","",IFERROR(INDEX('CAT_CENTROS_COSTO'!$G$4:$G$28,MATCH($F1138,'CAT_CENTROS_COSTO'!$A$4:$A$28,0)),"(sin catálogo)"))</f>
        <v/>
      </c>
      <c r="AB1138" s="24">
        <f>IF($G1138="","",IFERROR(INDEX('CAT_PUESTOS'!$B$4:$B$23,MATCH($G1138,'CAT_PUESTOS'!$A$4:$A$23,0)),"(sin catálogo)"))</f>
        <v/>
      </c>
      <c r="AC1138" s="24">
        <f>IF($H1138="","",IFERROR(INDEX('CAT_ACTIVIDADES'!$B$4:$B$26,MATCH($H1138,'CAT_ACTIVIDADES'!$A$4:$A$26,0)),"(sin catálogo)"))</f>
        <v/>
      </c>
      <c r="AD1138" s="26">
        <f>IF($J1138="","",TODAY()-$J1138)</f>
        <v/>
      </c>
      <c r="AE1138" s="26">
        <f>IF($J1138="","",IF($J1138&lt;=TODAY(),COUNTIFS(cal_fechas,"&gt;="&amp;$J1138,cal_fechas,"&lt;"&amp;TODAY(),cal_habil,"sí"),-COUNTIFS(cal_fechas,"&gt;="&amp;TODAY(),cal_fechas,"&lt;"&amp;$J1138,cal_habil,"sí")))</f>
        <v/>
      </c>
      <c r="AF1138" s="24">
        <f>IF($AE1138="","",IF($AE1138&lt;0,"FUTURO",IF($AE1138&gt;p_dias_backlog_max,"BACKLOG","MES CORRIENTE")))</f>
        <v/>
      </c>
      <c r="AG1138" s="24">
        <f>IF($AE1138="",FALSE,AND($AE1138&gt;p_dias_backlog_min,$AE1138&lt;=p_dias_backlog_max))</f>
        <v/>
      </c>
      <c r="AH1138" s="4" t="n"/>
      <c r="AI1138" s="24">
        <f>IF($AH1138="","",IF((IFERROR(INDEX('ASIGNACIONES'!$J$4:$J$451,MATCH($O1138&amp;"|"&amp;$S1138&amp;"|"&amp;$AH1138,'ASIGNACIONES'!$N$4:$N$451,0)),""))=0,"",IFERROR(INDEX('ASIGNACIONES'!$J$4:$J$451,MATCH($O1138&amp;"|"&amp;$S1138&amp;"|"&amp;$AH1138,'ASIGNACIONES'!$N$4:$N$451,0)),"")))</f>
        <v/>
      </c>
      <c r="AJ1138" s="42">
        <f>IF($AH1138="","",SUMIFS('ORDENES'!$M$4:$M$1203,'ORDENES'!$AH$4:$AH$1203,$AH1138,'ORDENES'!$O$4:$O$1203,$O1138,'ORDENES'!$S$4:$S$1203,$S1138))</f>
        <v/>
      </c>
      <c r="AK1138" s="42">
        <f>IF($AJ1138="","",p_factor_productividad*IFERROR(INDEX('ASIGNACIONES'!$M$4:$M$451,MATCH($O1138&amp;"|"&amp;$S1138&amp;"|"&amp;$AH1138,'ASIGNACIONES'!$N$4:$N$451,0)),0)-$AJ1138)</f>
        <v/>
      </c>
      <c r="AL1138" s="32">
        <f>IF($A1138="","",IFERROR(INDEX('2_IMPORTAR_EJECUCION'!$F$9:$F$1208,MATCH($AU1138,'2_IMPORTAR_EJECUCION'!$J$9:$J$1208,0)),0))</f>
        <v/>
      </c>
      <c r="AM1138" s="32">
        <f>IF($A1138="","",MAX(0,IFERROR(INDEX('2_IMPORTAR_EJECUCION'!$H$9:$H$1208,MATCH($AU1138,'2_IMPORTAR_EJECUCION'!$J$9:$J$1208,0)),0)-$AL1138))</f>
        <v/>
      </c>
      <c r="AN1138" s="32">
        <f>IF($A1138="","",$AL1138+$AM1138)</f>
        <v/>
      </c>
      <c r="AO1138" s="24">
        <f>IF($A1138="","",IF(OR((IFERROR(INDEX('CAT_ACTIVIDADES'!$D$4:$D$26,MATCH($H1138,'CAT_ACTIVIDADES'!$A$4:$A$26,0)),""))=0,(IFERROR(INDEX('CAT_ACTIVIDADES'!$D$4:$D$26,MATCH($H1138,'CAT_ACTIVIDADES'!$A$4:$A$26,0)),""))=""),"SIN CLASIFICAR",IFERROR(INDEX('CAT_ACTIVIDADES'!$D$4:$D$26,MATCH($H1138,'CAT_ACTIVIDADES'!$A$4:$A$26,0)),"")))</f>
        <v/>
      </c>
      <c r="AP1138" s="4" t="n"/>
      <c r="AQ1138" s="4" t="n"/>
      <c r="AR1138" s="4" t="n"/>
      <c r="AS1138" s="24">
        <f>IF($AR1138="","",HYPERLINK(p_ruta_base_checklists&amp;$AR1138,"abrir"))</f>
        <v/>
      </c>
      <c r="AT1138" s="4" t="n"/>
      <c r="AU1138" s="24">
        <f>IF($A1138="","",$A1138&amp;IF($B1138="","0010",$B1138))</f>
        <v/>
      </c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41" t="n"/>
      <c r="K1139" s="5" t="n"/>
      <c r="L1139" s="18" t="n"/>
      <c r="M1139" s="24">
        <f>IF($A1139="","",IFERROR(INDEX('AJUSTES'!$B$4:$B$303,MATCH($AU1139,'AJUSTES'!$A$4:$A$303,0)),IF($K1139="","",$K1139)))</f>
        <v/>
      </c>
      <c r="N1139" s="24">
        <f>IF($A1139="","",IFERROR(INDEX('CAT_ESTADOS_ERP'!$B$4:$B$22,MATCH(IFERROR(INDEX('2_IMPORTAR_EJECUCION'!$C$9:$C$1208,MATCH($AU1139,'2_IMPORTAR_EJECUCION'!$J$9:$J$1208,0)),""),'CAT_ESTADOS_ERP'!$A$4:$A$22,0)),"Pendiente"))</f>
        <v/>
      </c>
      <c r="O1139" s="24">
        <f>IF($J1139="","",YEAR($J1139+4-WEEKDAY($J1139,2))&amp;"-S"&amp;TEXT(_xlfn.ISOWEEKNUM($J1139),"00"))</f>
        <v/>
      </c>
      <c r="P1139" s="24">
        <f>IF($J1139="","",YEAR($J1139))</f>
        <v/>
      </c>
      <c r="Q1139" s="24">
        <f>IF($J1139="","",MONTH($J1139))</f>
        <v/>
      </c>
      <c r="R1139" s="24">
        <f>IF($J1139="","",$P1139&amp;"-"&amp;TEXT($Q1139,"00"))</f>
        <v/>
      </c>
      <c r="S1139" s="24">
        <f>IF($J1139="","",INDEX(lista_dias,WEEKDAY($J1139,2)))</f>
        <v/>
      </c>
      <c r="T1139" s="24">
        <f>IF($J1139="","",IFERROR(INDEX('CALENDARIO'!$C$15:$C$214,MATCH(TEXT($J1139,"yyyy-mm-dd")&amp;"|"&amp;$Y1139&amp;"|"&amp;$Z1139,'CALENDARIO'!$G$15:$G$214,0)),IFERROR(INDEX('CALENDARIO'!$C$15:$C$214,MATCH(TEXT($J1139,"yyyy-mm-dd")&amp;"|"&amp;$Y1139&amp;"|",'CALENDARIO'!$G$15:$G$214,0)),IFERROR(INDEX('CALENDARIO'!$C$15:$C$214,MATCH(TEXT($J1139,"yyyy-mm-dd")&amp;"||",'CALENDARIO'!$G$15:$G$214,0)),INDEX(patronHabil,WEEKDAY($J1139,2))))))</f>
        <v/>
      </c>
      <c r="U1139" s="24">
        <f>IF($I1139="","",IFERROR(INDEX('CAT_TIPOS_OT'!$C$4:$C$23,MATCH($I1139,'CAT_TIPOS_OT'!$A$4:$A$23,0)),"sin_clasificar"))</f>
        <v/>
      </c>
      <c r="V1139" s="24">
        <f>IF($I1139="","",IF(IFERROR(INDEX('CAT_TIPOS_OT'!$D$4:$D$23,MATCH($I1139,'CAT_TIPOS_OT'!$A$4:$A$23,0)),"SIN CLASIFICAR")="","SIN CLASIFICAR",IFERROR(INDEX('CAT_TIPOS_OT'!$D$4:$D$23,MATCH($I1139,'CAT_TIPOS_OT'!$A$4:$A$23,0)),"SIN CLASIFICAR")))</f>
        <v/>
      </c>
      <c r="W1139" s="24">
        <f>IF($H1139="","",IF(IFERROR(INDEX('CAT_ACTIVIDADES'!$F$4:$F$26,MATCH($H1139,'CAT_ACTIVIDADES'!$A$4:$A$26,0)),"")=0,"",IFERROR(INDEX('CAT_ACTIVIDADES'!$F$4:$F$26,MATCH($H1139,'CAT_ACTIVIDADES'!$A$4:$A$26,0)),"")))</f>
        <v/>
      </c>
      <c r="X1139" s="24">
        <f>IF($F1139="","",IFERROR(INDEX('CAT_CENTROS_COSTO'!$F$4:$F$28,MATCH($F1139,'CAT_CENTROS_COSTO'!$A$4:$A$28,0)),"(sin catálogo)"))</f>
        <v/>
      </c>
      <c r="Y1139" s="24">
        <f>IF($F1139="","",IFERROR(INDEX('CAT_CENTROS_COSTO'!$D$4:$D$28,MATCH($F1139,'CAT_CENTROS_COSTO'!$A$4:$A$28,0)),"(sin catálogo)"))</f>
        <v/>
      </c>
      <c r="Z1139" s="24">
        <f>IF($F1139="","",IF((IFERROR(INDEX('CAT_CENTROS_COSTO'!$E$4:$E$28,MATCH($F1139,'CAT_CENTROS_COSTO'!$A$4:$A$28,0)),""))&lt;&gt;"",IFERROR(INDEX('CAT_CENTROS_COSTO'!$E$4:$E$28,MATCH($F1139,'CAT_CENTROS_COSTO'!$A$4:$A$28,0)),""),$Y1139))</f>
        <v/>
      </c>
      <c r="AA1139" s="24">
        <f>IF($F1139="","",IFERROR(INDEX('CAT_CENTROS_COSTO'!$G$4:$G$28,MATCH($F1139,'CAT_CENTROS_COSTO'!$A$4:$A$28,0)),"(sin catálogo)"))</f>
        <v/>
      </c>
      <c r="AB1139" s="24">
        <f>IF($G1139="","",IFERROR(INDEX('CAT_PUESTOS'!$B$4:$B$23,MATCH($G1139,'CAT_PUESTOS'!$A$4:$A$23,0)),"(sin catálogo)"))</f>
        <v/>
      </c>
      <c r="AC1139" s="24">
        <f>IF($H1139="","",IFERROR(INDEX('CAT_ACTIVIDADES'!$B$4:$B$26,MATCH($H1139,'CAT_ACTIVIDADES'!$A$4:$A$26,0)),"(sin catálogo)"))</f>
        <v/>
      </c>
      <c r="AD1139" s="26">
        <f>IF($J1139="","",TODAY()-$J1139)</f>
        <v/>
      </c>
      <c r="AE1139" s="26">
        <f>IF($J1139="","",IF($J1139&lt;=TODAY(),COUNTIFS(cal_fechas,"&gt;="&amp;$J1139,cal_fechas,"&lt;"&amp;TODAY(),cal_habil,"sí"),-COUNTIFS(cal_fechas,"&gt;="&amp;TODAY(),cal_fechas,"&lt;"&amp;$J1139,cal_habil,"sí")))</f>
        <v/>
      </c>
      <c r="AF1139" s="24">
        <f>IF($AE1139="","",IF($AE1139&lt;0,"FUTURO",IF($AE1139&gt;p_dias_backlog_max,"BACKLOG","MES CORRIENTE")))</f>
        <v/>
      </c>
      <c r="AG1139" s="24">
        <f>IF($AE1139="",FALSE,AND($AE1139&gt;p_dias_backlog_min,$AE1139&lt;=p_dias_backlog_max))</f>
        <v/>
      </c>
      <c r="AH1139" s="4" t="n"/>
      <c r="AI1139" s="24">
        <f>IF($AH1139="","",IF((IFERROR(INDEX('ASIGNACIONES'!$J$4:$J$451,MATCH($O1139&amp;"|"&amp;$S1139&amp;"|"&amp;$AH1139,'ASIGNACIONES'!$N$4:$N$451,0)),""))=0,"",IFERROR(INDEX('ASIGNACIONES'!$J$4:$J$451,MATCH($O1139&amp;"|"&amp;$S1139&amp;"|"&amp;$AH1139,'ASIGNACIONES'!$N$4:$N$451,0)),"")))</f>
        <v/>
      </c>
      <c r="AJ1139" s="42">
        <f>IF($AH1139="","",SUMIFS('ORDENES'!$M$4:$M$1203,'ORDENES'!$AH$4:$AH$1203,$AH1139,'ORDENES'!$O$4:$O$1203,$O1139,'ORDENES'!$S$4:$S$1203,$S1139))</f>
        <v/>
      </c>
      <c r="AK1139" s="42">
        <f>IF($AJ1139="","",p_factor_productividad*IFERROR(INDEX('ASIGNACIONES'!$M$4:$M$451,MATCH($O1139&amp;"|"&amp;$S1139&amp;"|"&amp;$AH1139,'ASIGNACIONES'!$N$4:$N$451,0)),0)-$AJ1139)</f>
        <v/>
      </c>
      <c r="AL1139" s="32">
        <f>IF($A1139="","",IFERROR(INDEX('2_IMPORTAR_EJECUCION'!$F$9:$F$1208,MATCH($AU1139,'2_IMPORTAR_EJECUCION'!$J$9:$J$1208,0)),0))</f>
        <v/>
      </c>
      <c r="AM1139" s="32">
        <f>IF($A1139="","",MAX(0,IFERROR(INDEX('2_IMPORTAR_EJECUCION'!$H$9:$H$1208,MATCH($AU1139,'2_IMPORTAR_EJECUCION'!$J$9:$J$1208,0)),0)-$AL1139))</f>
        <v/>
      </c>
      <c r="AN1139" s="32">
        <f>IF($A1139="","",$AL1139+$AM1139)</f>
        <v/>
      </c>
      <c r="AO1139" s="24">
        <f>IF($A1139="","",IF(OR((IFERROR(INDEX('CAT_ACTIVIDADES'!$D$4:$D$26,MATCH($H1139,'CAT_ACTIVIDADES'!$A$4:$A$26,0)),""))=0,(IFERROR(INDEX('CAT_ACTIVIDADES'!$D$4:$D$26,MATCH($H1139,'CAT_ACTIVIDADES'!$A$4:$A$26,0)),""))=""),"SIN CLASIFICAR",IFERROR(INDEX('CAT_ACTIVIDADES'!$D$4:$D$26,MATCH($H1139,'CAT_ACTIVIDADES'!$A$4:$A$26,0)),"")))</f>
        <v/>
      </c>
      <c r="AP1139" s="4" t="n"/>
      <c r="AQ1139" s="4" t="n"/>
      <c r="AR1139" s="4" t="n"/>
      <c r="AS1139" s="24">
        <f>IF($AR1139="","",HYPERLINK(p_ruta_base_checklists&amp;$AR1139,"abrir"))</f>
        <v/>
      </c>
      <c r="AT1139" s="4" t="n"/>
      <c r="AU1139" s="24">
        <f>IF($A1139="","",$A1139&amp;IF($B1139="","0010",$B1139))</f>
        <v/>
      </c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41" t="n"/>
      <c r="K1140" s="5" t="n"/>
      <c r="L1140" s="18" t="n"/>
      <c r="M1140" s="24">
        <f>IF($A1140="","",IFERROR(INDEX('AJUSTES'!$B$4:$B$303,MATCH($AU1140,'AJUSTES'!$A$4:$A$303,0)),IF($K1140="","",$K1140)))</f>
        <v/>
      </c>
      <c r="N1140" s="24">
        <f>IF($A1140="","",IFERROR(INDEX('CAT_ESTADOS_ERP'!$B$4:$B$22,MATCH(IFERROR(INDEX('2_IMPORTAR_EJECUCION'!$C$9:$C$1208,MATCH($AU1140,'2_IMPORTAR_EJECUCION'!$J$9:$J$1208,0)),""),'CAT_ESTADOS_ERP'!$A$4:$A$22,0)),"Pendiente"))</f>
        <v/>
      </c>
      <c r="O1140" s="24">
        <f>IF($J1140="","",YEAR($J1140+4-WEEKDAY($J1140,2))&amp;"-S"&amp;TEXT(_xlfn.ISOWEEKNUM($J1140),"00"))</f>
        <v/>
      </c>
      <c r="P1140" s="24">
        <f>IF($J1140="","",YEAR($J1140))</f>
        <v/>
      </c>
      <c r="Q1140" s="24">
        <f>IF($J1140="","",MONTH($J1140))</f>
        <v/>
      </c>
      <c r="R1140" s="24">
        <f>IF($J1140="","",$P1140&amp;"-"&amp;TEXT($Q1140,"00"))</f>
        <v/>
      </c>
      <c r="S1140" s="24">
        <f>IF($J1140="","",INDEX(lista_dias,WEEKDAY($J1140,2)))</f>
        <v/>
      </c>
      <c r="T1140" s="24">
        <f>IF($J1140="","",IFERROR(INDEX('CALENDARIO'!$C$15:$C$214,MATCH(TEXT($J1140,"yyyy-mm-dd")&amp;"|"&amp;$Y1140&amp;"|"&amp;$Z1140,'CALENDARIO'!$G$15:$G$214,0)),IFERROR(INDEX('CALENDARIO'!$C$15:$C$214,MATCH(TEXT($J1140,"yyyy-mm-dd")&amp;"|"&amp;$Y1140&amp;"|",'CALENDARIO'!$G$15:$G$214,0)),IFERROR(INDEX('CALENDARIO'!$C$15:$C$214,MATCH(TEXT($J1140,"yyyy-mm-dd")&amp;"||",'CALENDARIO'!$G$15:$G$214,0)),INDEX(patronHabil,WEEKDAY($J1140,2))))))</f>
        <v/>
      </c>
      <c r="U1140" s="24">
        <f>IF($I1140="","",IFERROR(INDEX('CAT_TIPOS_OT'!$C$4:$C$23,MATCH($I1140,'CAT_TIPOS_OT'!$A$4:$A$23,0)),"sin_clasificar"))</f>
        <v/>
      </c>
      <c r="V1140" s="24">
        <f>IF($I1140="","",IF(IFERROR(INDEX('CAT_TIPOS_OT'!$D$4:$D$23,MATCH($I1140,'CAT_TIPOS_OT'!$A$4:$A$23,0)),"SIN CLASIFICAR")="","SIN CLASIFICAR",IFERROR(INDEX('CAT_TIPOS_OT'!$D$4:$D$23,MATCH($I1140,'CAT_TIPOS_OT'!$A$4:$A$23,0)),"SIN CLASIFICAR")))</f>
        <v/>
      </c>
      <c r="W1140" s="24">
        <f>IF($H1140="","",IF(IFERROR(INDEX('CAT_ACTIVIDADES'!$F$4:$F$26,MATCH($H1140,'CAT_ACTIVIDADES'!$A$4:$A$26,0)),"")=0,"",IFERROR(INDEX('CAT_ACTIVIDADES'!$F$4:$F$26,MATCH($H1140,'CAT_ACTIVIDADES'!$A$4:$A$26,0)),"")))</f>
        <v/>
      </c>
      <c r="X1140" s="24">
        <f>IF($F1140="","",IFERROR(INDEX('CAT_CENTROS_COSTO'!$F$4:$F$28,MATCH($F1140,'CAT_CENTROS_COSTO'!$A$4:$A$28,0)),"(sin catálogo)"))</f>
        <v/>
      </c>
      <c r="Y1140" s="24">
        <f>IF($F1140="","",IFERROR(INDEX('CAT_CENTROS_COSTO'!$D$4:$D$28,MATCH($F1140,'CAT_CENTROS_COSTO'!$A$4:$A$28,0)),"(sin catálogo)"))</f>
        <v/>
      </c>
      <c r="Z1140" s="24">
        <f>IF($F1140="","",IF((IFERROR(INDEX('CAT_CENTROS_COSTO'!$E$4:$E$28,MATCH($F1140,'CAT_CENTROS_COSTO'!$A$4:$A$28,0)),""))&lt;&gt;"",IFERROR(INDEX('CAT_CENTROS_COSTO'!$E$4:$E$28,MATCH($F1140,'CAT_CENTROS_COSTO'!$A$4:$A$28,0)),""),$Y1140))</f>
        <v/>
      </c>
      <c r="AA1140" s="24">
        <f>IF($F1140="","",IFERROR(INDEX('CAT_CENTROS_COSTO'!$G$4:$G$28,MATCH($F1140,'CAT_CENTROS_COSTO'!$A$4:$A$28,0)),"(sin catálogo)"))</f>
        <v/>
      </c>
      <c r="AB1140" s="24">
        <f>IF($G1140="","",IFERROR(INDEX('CAT_PUESTOS'!$B$4:$B$23,MATCH($G1140,'CAT_PUESTOS'!$A$4:$A$23,0)),"(sin catálogo)"))</f>
        <v/>
      </c>
      <c r="AC1140" s="24">
        <f>IF($H1140="","",IFERROR(INDEX('CAT_ACTIVIDADES'!$B$4:$B$26,MATCH($H1140,'CAT_ACTIVIDADES'!$A$4:$A$26,0)),"(sin catálogo)"))</f>
        <v/>
      </c>
      <c r="AD1140" s="26">
        <f>IF($J1140="","",TODAY()-$J1140)</f>
        <v/>
      </c>
      <c r="AE1140" s="26">
        <f>IF($J1140="","",IF($J1140&lt;=TODAY(),COUNTIFS(cal_fechas,"&gt;="&amp;$J1140,cal_fechas,"&lt;"&amp;TODAY(),cal_habil,"sí"),-COUNTIFS(cal_fechas,"&gt;="&amp;TODAY(),cal_fechas,"&lt;"&amp;$J1140,cal_habil,"sí")))</f>
        <v/>
      </c>
      <c r="AF1140" s="24">
        <f>IF($AE1140="","",IF($AE1140&lt;0,"FUTURO",IF($AE1140&gt;p_dias_backlog_max,"BACKLOG","MES CORRIENTE")))</f>
        <v/>
      </c>
      <c r="AG1140" s="24">
        <f>IF($AE1140="",FALSE,AND($AE1140&gt;p_dias_backlog_min,$AE1140&lt;=p_dias_backlog_max))</f>
        <v/>
      </c>
      <c r="AH1140" s="4" t="n"/>
      <c r="AI1140" s="24">
        <f>IF($AH1140="","",IF((IFERROR(INDEX('ASIGNACIONES'!$J$4:$J$451,MATCH($O1140&amp;"|"&amp;$S1140&amp;"|"&amp;$AH1140,'ASIGNACIONES'!$N$4:$N$451,0)),""))=0,"",IFERROR(INDEX('ASIGNACIONES'!$J$4:$J$451,MATCH($O1140&amp;"|"&amp;$S1140&amp;"|"&amp;$AH1140,'ASIGNACIONES'!$N$4:$N$451,0)),"")))</f>
        <v/>
      </c>
      <c r="AJ1140" s="42">
        <f>IF($AH1140="","",SUMIFS('ORDENES'!$M$4:$M$1203,'ORDENES'!$AH$4:$AH$1203,$AH1140,'ORDENES'!$O$4:$O$1203,$O1140,'ORDENES'!$S$4:$S$1203,$S1140))</f>
        <v/>
      </c>
      <c r="AK1140" s="42">
        <f>IF($AJ1140="","",p_factor_productividad*IFERROR(INDEX('ASIGNACIONES'!$M$4:$M$451,MATCH($O1140&amp;"|"&amp;$S1140&amp;"|"&amp;$AH1140,'ASIGNACIONES'!$N$4:$N$451,0)),0)-$AJ1140)</f>
        <v/>
      </c>
      <c r="AL1140" s="32">
        <f>IF($A1140="","",IFERROR(INDEX('2_IMPORTAR_EJECUCION'!$F$9:$F$1208,MATCH($AU1140,'2_IMPORTAR_EJECUCION'!$J$9:$J$1208,0)),0))</f>
        <v/>
      </c>
      <c r="AM1140" s="32">
        <f>IF($A1140="","",MAX(0,IFERROR(INDEX('2_IMPORTAR_EJECUCION'!$H$9:$H$1208,MATCH($AU1140,'2_IMPORTAR_EJECUCION'!$J$9:$J$1208,0)),0)-$AL1140))</f>
        <v/>
      </c>
      <c r="AN1140" s="32">
        <f>IF($A1140="","",$AL1140+$AM1140)</f>
        <v/>
      </c>
      <c r="AO1140" s="24">
        <f>IF($A1140="","",IF(OR((IFERROR(INDEX('CAT_ACTIVIDADES'!$D$4:$D$26,MATCH($H1140,'CAT_ACTIVIDADES'!$A$4:$A$26,0)),""))=0,(IFERROR(INDEX('CAT_ACTIVIDADES'!$D$4:$D$26,MATCH($H1140,'CAT_ACTIVIDADES'!$A$4:$A$26,0)),""))=""),"SIN CLASIFICAR",IFERROR(INDEX('CAT_ACTIVIDADES'!$D$4:$D$26,MATCH($H1140,'CAT_ACTIVIDADES'!$A$4:$A$26,0)),"")))</f>
        <v/>
      </c>
      <c r="AP1140" s="4" t="n"/>
      <c r="AQ1140" s="4" t="n"/>
      <c r="AR1140" s="4" t="n"/>
      <c r="AS1140" s="24">
        <f>IF($AR1140="","",HYPERLINK(p_ruta_base_checklists&amp;$AR1140,"abrir"))</f>
        <v/>
      </c>
      <c r="AT1140" s="4" t="n"/>
      <c r="AU1140" s="24">
        <f>IF($A1140="","",$A1140&amp;IF($B1140="","0010",$B1140))</f>
        <v/>
      </c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41" t="n"/>
      <c r="K1141" s="5" t="n"/>
      <c r="L1141" s="18" t="n"/>
      <c r="M1141" s="24">
        <f>IF($A1141="","",IFERROR(INDEX('AJUSTES'!$B$4:$B$303,MATCH($AU1141,'AJUSTES'!$A$4:$A$303,0)),IF($K1141="","",$K1141)))</f>
        <v/>
      </c>
      <c r="N1141" s="24">
        <f>IF($A1141="","",IFERROR(INDEX('CAT_ESTADOS_ERP'!$B$4:$B$22,MATCH(IFERROR(INDEX('2_IMPORTAR_EJECUCION'!$C$9:$C$1208,MATCH($AU1141,'2_IMPORTAR_EJECUCION'!$J$9:$J$1208,0)),""),'CAT_ESTADOS_ERP'!$A$4:$A$22,0)),"Pendiente"))</f>
        <v/>
      </c>
      <c r="O1141" s="24">
        <f>IF($J1141="","",YEAR($J1141+4-WEEKDAY($J1141,2))&amp;"-S"&amp;TEXT(_xlfn.ISOWEEKNUM($J1141),"00"))</f>
        <v/>
      </c>
      <c r="P1141" s="24">
        <f>IF($J1141="","",YEAR($J1141))</f>
        <v/>
      </c>
      <c r="Q1141" s="24">
        <f>IF($J1141="","",MONTH($J1141))</f>
        <v/>
      </c>
      <c r="R1141" s="24">
        <f>IF($J1141="","",$P1141&amp;"-"&amp;TEXT($Q1141,"00"))</f>
        <v/>
      </c>
      <c r="S1141" s="24">
        <f>IF($J1141="","",INDEX(lista_dias,WEEKDAY($J1141,2)))</f>
        <v/>
      </c>
      <c r="T1141" s="24">
        <f>IF($J1141="","",IFERROR(INDEX('CALENDARIO'!$C$15:$C$214,MATCH(TEXT($J1141,"yyyy-mm-dd")&amp;"|"&amp;$Y1141&amp;"|"&amp;$Z1141,'CALENDARIO'!$G$15:$G$214,0)),IFERROR(INDEX('CALENDARIO'!$C$15:$C$214,MATCH(TEXT($J1141,"yyyy-mm-dd")&amp;"|"&amp;$Y1141&amp;"|",'CALENDARIO'!$G$15:$G$214,0)),IFERROR(INDEX('CALENDARIO'!$C$15:$C$214,MATCH(TEXT($J1141,"yyyy-mm-dd")&amp;"||",'CALENDARIO'!$G$15:$G$214,0)),INDEX(patronHabil,WEEKDAY($J1141,2))))))</f>
        <v/>
      </c>
      <c r="U1141" s="24">
        <f>IF($I1141="","",IFERROR(INDEX('CAT_TIPOS_OT'!$C$4:$C$23,MATCH($I1141,'CAT_TIPOS_OT'!$A$4:$A$23,0)),"sin_clasificar"))</f>
        <v/>
      </c>
      <c r="V1141" s="24">
        <f>IF($I1141="","",IF(IFERROR(INDEX('CAT_TIPOS_OT'!$D$4:$D$23,MATCH($I1141,'CAT_TIPOS_OT'!$A$4:$A$23,0)),"SIN CLASIFICAR")="","SIN CLASIFICAR",IFERROR(INDEX('CAT_TIPOS_OT'!$D$4:$D$23,MATCH($I1141,'CAT_TIPOS_OT'!$A$4:$A$23,0)),"SIN CLASIFICAR")))</f>
        <v/>
      </c>
      <c r="W1141" s="24">
        <f>IF($H1141="","",IF(IFERROR(INDEX('CAT_ACTIVIDADES'!$F$4:$F$26,MATCH($H1141,'CAT_ACTIVIDADES'!$A$4:$A$26,0)),"")=0,"",IFERROR(INDEX('CAT_ACTIVIDADES'!$F$4:$F$26,MATCH($H1141,'CAT_ACTIVIDADES'!$A$4:$A$26,0)),"")))</f>
        <v/>
      </c>
      <c r="X1141" s="24">
        <f>IF($F1141="","",IFERROR(INDEX('CAT_CENTROS_COSTO'!$F$4:$F$28,MATCH($F1141,'CAT_CENTROS_COSTO'!$A$4:$A$28,0)),"(sin catálogo)"))</f>
        <v/>
      </c>
      <c r="Y1141" s="24">
        <f>IF($F1141="","",IFERROR(INDEX('CAT_CENTROS_COSTO'!$D$4:$D$28,MATCH($F1141,'CAT_CENTROS_COSTO'!$A$4:$A$28,0)),"(sin catálogo)"))</f>
        <v/>
      </c>
      <c r="Z1141" s="24">
        <f>IF($F1141="","",IF((IFERROR(INDEX('CAT_CENTROS_COSTO'!$E$4:$E$28,MATCH($F1141,'CAT_CENTROS_COSTO'!$A$4:$A$28,0)),""))&lt;&gt;"",IFERROR(INDEX('CAT_CENTROS_COSTO'!$E$4:$E$28,MATCH($F1141,'CAT_CENTROS_COSTO'!$A$4:$A$28,0)),""),$Y1141))</f>
        <v/>
      </c>
      <c r="AA1141" s="24">
        <f>IF($F1141="","",IFERROR(INDEX('CAT_CENTROS_COSTO'!$G$4:$G$28,MATCH($F1141,'CAT_CENTROS_COSTO'!$A$4:$A$28,0)),"(sin catálogo)"))</f>
        <v/>
      </c>
      <c r="AB1141" s="24">
        <f>IF($G1141="","",IFERROR(INDEX('CAT_PUESTOS'!$B$4:$B$23,MATCH($G1141,'CAT_PUESTOS'!$A$4:$A$23,0)),"(sin catálogo)"))</f>
        <v/>
      </c>
      <c r="AC1141" s="24">
        <f>IF($H1141="","",IFERROR(INDEX('CAT_ACTIVIDADES'!$B$4:$B$26,MATCH($H1141,'CAT_ACTIVIDADES'!$A$4:$A$26,0)),"(sin catálogo)"))</f>
        <v/>
      </c>
      <c r="AD1141" s="26">
        <f>IF($J1141="","",TODAY()-$J1141)</f>
        <v/>
      </c>
      <c r="AE1141" s="26">
        <f>IF($J1141="","",IF($J1141&lt;=TODAY(),COUNTIFS(cal_fechas,"&gt;="&amp;$J1141,cal_fechas,"&lt;"&amp;TODAY(),cal_habil,"sí"),-COUNTIFS(cal_fechas,"&gt;="&amp;TODAY(),cal_fechas,"&lt;"&amp;$J1141,cal_habil,"sí")))</f>
        <v/>
      </c>
      <c r="AF1141" s="24">
        <f>IF($AE1141="","",IF($AE1141&lt;0,"FUTURO",IF($AE1141&gt;p_dias_backlog_max,"BACKLOG","MES CORRIENTE")))</f>
        <v/>
      </c>
      <c r="AG1141" s="24">
        <f>IF($AE1141="",FALSE,AND($AE1141&gt;p_dias_backlog_min,$AE1141&lt;=p_dias_backlog_max))</f>
        <v/>
      </c>
      <c r="AH1141" s="4" t="n"/>
      <c r="AI1141" s="24">
        <f>IF($AH1141="","",IF((IFERROR(INDEX('ASIGNACIONES'!$J$4:$J$451,MATCH($O1141&amp;"|"&amp;$S1141&amp;"|"&amp;$AH1141,'ASIGNACIONES'!$N$4:$N$451,0)),""))=0,"",IFERROR(INDEX('ASIGNACIONES'!$J$4:$J$451,MATCH($O1141&amp;"|"&amp;$S1141&amp;"|"&amp;$AH1141,'ASIGNACIONES'!$N$4:$N$451,0)),"")))</f>
        <v/>
      </c>
      <c r="AJ1141" s="42">
        <f>IF($AH1141="","",SUMIFS('ORDENES'!$M$4:$M$1203,'ORDENES'!$AH$4:$AH$1203,$AH1141,'ORDENES'!$O$4:$O$1203,$O1141,'ORDENES'!$S$4:$S$1203,$S1141))</f>
        <v/>
      </c>
      <c r="AK1141" s="42">
        <f>IF($AJ1141="","",p_factor_productividad*IFERROR(INDEX('ASIGNACIONES'!$M$4:$M$451,MATCH($O1141&amp;"|"&amp;$S1141&amp;"|"&amp;$AH1141,'ASIGNACIONES'!$N$4:$N$451,0)),0)-$AJ1141)</f>
        <v/>
      </c>
      <c r="AL1141" s="32">
        <f>IF($A1141="","",IFERROR(INDEX('2_IMPORTAR_EJECUCION'!$F$9:$F$1208,MATCH($AU1141,'2_IMPORTAR_EJECUCION'!$J$9:$J$1208,0)),0))</f>
        <v/>
      </c>
      <c r="AM1141" s="32">
        <f>IF($A1141="","",MAX(0,IFERROR(INDEX('2_IMPORTAR_EJECUCION'!$H$9:$H$1208,MATCH($AU1141,'2_IMPORTAR_EJECUCION'!$J$9:$J$1208,0)),0)-$AL1141))</f>
        <v/>
      </c>
      <c r="AN1141" s="32">
        <f>IF($A1141="","",$AL1141+$AM1141)</f>
        <v/>
      </c>
      <c r="AO1141" s="24">
        <f>IF($A1141="","",IF(OR((IFERROR(INDEX('CAT_ACTIVIDADES'!$D$4:$D$26,MATCH($H1141,'CAT_ACTIVIDADES'!$A$4:$A$26,0)),""))=0,(IFERROR(INDEX('CAT_ACTIVIDADES'!$D$4:$D$26,MATCH($H1141,'CAT_ACTIVIDADES'!$A$4:$A$26,0)),""))=""),"SIN CLASIFICAR",IFERROR(INDEX('CAT_ACTIVIDADES'!$D$4:$D$26,MATCH($H1141,'CAT_ACTIVIDADES'!$A$4:$A$26,0)),"")))</f>
        <v/>
      </c>
      <c r="AP1141" s="4" t="n"/>
      <c r="AQ1141" s="4" t="n"/>
      <c r="AR1141" s="4" t="n"/>
      <c r="AS1141" s="24">
        <f>IF($AR1141="","",HYPERLINK(p_ruta_base_checklists&amp;$AR1141,"abrir"))</f>
        <v/>
      </c>
      <c r="AT1141" s="4" t="n"/>
      <c r="AU1141" s="24">
        <f>IF($A1141="","",$A1141&amp;IF($B1141="","0010",$B1141))</f>
        <v/>
      </c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41" t="n"/>
      <c r="K1142" s="5" t="n"/>
      <c r="L1142" s="18" t="n"/>
      <c r="M1142" s="24">
        <f>IF($A1142="","",IFERROR(INDEX('AJUSTES'!$B$4:$B$303,MATCH($AU1142,'AJUSTES'!$A$4:$A$303,0)),IF($K1142="","",$K1142)))</f>
        <v/>
      </c>
      <c r="N1142" s="24">
        <f>IF($A1142="","",IFERROR(INDEX('CAT_ESTADOS_ERP'!$B$4:$B$22,MATCH(IFERROR(INDEX('2_IMPORTAR_EJECUCION'!$C$9:$C$1208,MATCH($AU1142,'2_IMPORTAR_EJECUCION'!$J$9:$J$1208,0)),""),'CAT_ESTADOS_ERP'!$A$4:$A$22,0)),"Pendiente"))</f>
        <v/>
      </c>
      <c r="O1142" s="24">
        <f>IF($J1142="","",YEAR($J1142+4-WEEKDAY($J1142,2))&amp;"-S"&amp;TEXT(_xlfn.ISOWEEKNUM($J1142),"00"))</f>
        <v/>
      </c>
      <c r="P1142" s="24">
        <f>IF($J1142="","",YEAR($J1142))</f>
        <v/>
      </c>
      <c r="Q1142" s="24">
        <f>IF($J1142="","",MONTH($J1142))</f>
        <v/>
      </c>
      <c r="R1142" s="24">
        <f>IF($J1142="","",$P1142&amp;"-"&amp;TEXT($Q1142,"00"))</f>
        <v/>
      </c>
      <c r="S1142" s="24">
        <f>IF($J1142="","",INDEX(lista_dias,WEEKDAY($J1142,2)))</f>
        <v/>
      </c>
      <c r="T1142" s="24">
        <f>IF($J1142="","",IFERROR(INDEX('CALENDARIO'!$C$15:$C$214,MATCH(TEXT($J1142,"yyyy-mm-dd")&amp;"|"&amp;$Y1142&amp;"|"&amp;$Z1142,'CALENDARIO'!$G$15:$G$214,0)),IFERROR(INDEX('CALENDARIO'!$C$15:$C$214,MATCH(TEXT($J1142,"yyyy-mm-dd")&amp;"|"&amp;$Y1142&amp;"|",'CALENDARIO'!$G$15:$G$214,0)),IFERROR(INDEX('CALENDARIO'!$C$15:$C$214,MATCH(TEXT($J1142,"yyyy-mm-dd")&amp;"||",'CALENDARIO'!$G$15:$G$214,0)),INDEX(patronHabil,WEEKDAY($J1142,2))))))</f>
        <v/>
      </c>
      <c r="U1142" s="24">
        <f>IF($I1142="","",IFERROR(INDEX('CAT_TIPOS_OT'!$C$4:$C$23,MATCH($I1142,'CAT_TIPOS_OT'!$A$4:$A$23,0)),"sin_clasificar"))</f>
        <v/>
      </c>
      <c r="V1142" s="24">
        <f>IF($I1142="","",IF(IFERROR(INDEX('CAT_TIPOS_OT'!$D$4:$D$23,MATCH($I1142,'CAT_TIPOS_OT'!$A$4:$A$23,0)),"SIN CLASIFICAR")="","SIN CLASIFICAR",IFERROR(INDEX('CAT_TIPOS_OT'!$D$4:$D$23,MATCH($I1142,'CAT_TIPOS_OT'!$A$4:$A$23,0)),"SIN CLASIFICAR")))</f>
        <v/>
      </c>
      <c r="W1142" s="24">
        <f>IF($H1142="","",IF(IFERROR(INDEX('CAT_ACTIVIDADES'!$F$4:$F$26,MATCH($H1142,'CAT_ACTIVIDADES'!$A$4:$A$26,0)),"")=0,"",IFERROR(INDEX('CAT_ACTIVIDADES'!$F$4:$F$26,MATCH($H1142,'CAT_ACTIVIDADES'!$A$4:$A$26,0)),"")))</f>
        <v/>
      </c>
      <c r="X1142" s="24">
        <f>IF($F1142="","",IFERROR(INDEX('CAT_CENTROS_COSTO'!$F$4:$F$28,MATCH($F1142,'CAT_CENTROS_COSTO'!$A$4:$A$28,0)),"(sin catálogo)"))</f>
        <v/>
      </c>
      <c r="Y1142" s="24">
        <f>IF($F1142="","",IFERROR(INDEX('CAT_CENTROS_COSTO'!$D$4:$D$28,MATCH($F1142,'CAT_CENTROS_COSTO'!$A$4:$A$28,0)),"(sin catálogo)"))</f>
        <v/>
      </c>
      <c r="Z1142" s="24">
        <f>IF($F1142="","",IF((IFERROR(INDEX('CAT_CENTROS_COSTO'!$E$4:$E$28,MATCH($F1142,'CAT_CENTROS_COSTO'!$A$4:$A$28,0)),""))&lt;&gt;"",IFERROR(INDEX('CAT_CENTROS_COSTO'!$E$4:$E$28,MATCH($F1142,'CAT_CENTROS_COSTO'!$A$4:$A$28,0)),""),$Y1142))</f>
        <v/>
      </c>
      <c r="AA1142" s="24">
        <f>IF($F1142="","",IFERROR(INDEX('CAT_CENTROS_COSTO'!$G$4:$G$28,MATCH($F1142,'CAT_CENTROS_COSTO'!$A$4:$A$28,0)),"(sin catálogo)"))</f>
        <v/>
      </c>
      <c r="AB1142" s="24">
        <f>IF($G1142="","",IFERROR(INDEX('CAT_PUESTOS'!$B$4:$B$23,MATCH($G1142,'CAT_PUESTOS'!$A$4:$A$23,0)),"(sin catálogo)"))</f>
        <v/>
      </c>
      <c r="AC1142" s="24">
        <f>IF($H1142="","",IFERROR(INDEX('CAT_ACTIVIDADES'!$B$4:$B$26,MATCH($H1142,'CAT_ACTIVIDADES'!$A$4:$A$26,0)),"(sin catálogo)"))</f>
        <v/>
      </c>
      <c r="AD1142" s="26">
        <f>IF($J1142="","",TODAY()-$J1142)</f>
        <v/>
      </c>
      <c r="AE1142" s="26">
        <f>IF($J1142="","",IF($J1142&lt;=TODAY(),COUNTIFS(cal_fechas,"&gt;="&amp;$J1142,cal_fechas,"&lt;"&amp;TODAY(),cal_habil,"sí"),-COUNTIFS(cal_fechas,"&gt;="&amp;TODAY(),cal_fechas,"&lt;"&amp;$J1142,cal_habil,"sí")))</f>
        <v/>
      </c>
      <c r="AF1142" s="24">
        <f>IF($AE1142="","",IF($AE1142&lt;0,"FUTURO",IF($AE1142&gt;p_dias_backlog_max,"BACKLOG","MES CORRIENTE")))</f>
        <v/>
      </c>
      <c r="AG1142" s="24">
        <f>IF($AE1142="",FALSE,AND($AE1142&gt;p_dias_backlog_min,$AE1142&lt;=p_dias_backlog_max))</f>
        <v/>
      </c>
      <c r="AH1142" s="4" t="n"/>
      <c r="AI1142" s="24">
        <f>IF($AH1142="","",IF((IFERROR(INDEX('ASIGNACIONES'!$J$4:$J$451,MATCH($O1142&amp;"|"&amp;$S1142&amp;"|"&amp;$AH1142,'ASIGNACIONES'!$N$4:$N$451,0)),""))=0,"",IFERROR(INDEX('ASIGNACIONES'!$J$4:$J$451,MATCH($O1142&amp;"|"&amp;$S1142&amp;"|"&amp;$AH1142,'ASIGNACIONES'!$N$4:$N$451,0)),"")))</f>
        <v/>
      </c>
      <c r="AJ1142" s="42">
        <f>IF($AH1142="","",SUMIFS('ORDENES'!$M$4:$M$1203,'ORDENES'!$AH$4:$AH$1203,$AH1142,'ORDENES'!$O$4:$O$1203,$O1142,'ORDENES'!$S$4:$S$1203,$S1142))</f>
        <v/>
      </c>
      <c r="AK1142" s="42">
        <f>IF($AJ1142="","",p_factor_productividad*IFERROR(INDEX('ASIGNACIONES'!$M$4:$M$451,MATCH($O1142&amp;"|"&amp;$S1142&amp;"|"&amp;$AH1142,'ASIGNACIONES'!$N$4:$N$451,0)),0)-$AJ1142)</f>
        <v/>
      </c>
      <c r="AL1142" s="32">
        <f>IF($A1142="","",IFERROR(INDEX('2_IMPORTAR_EJECUCION'!$F$9:$F$1208,MATCH($AU1142,'2_IMPORTAR_EJECUCION'!$J$9:$J$1208,0)),0))</f>
        <v/>
      </c>
      <c r="AM1142" s="32">
        <f>IF($A1142="","",MAX(0,IFERROR(INDEX('2_IMPORTAR_EJECUCION'!$H$9:$H$1208,MATCH($AU1142,'2_IMPORTAR_EJECUCION'!$J$9:$J$1208,0)),0)-$AL1142))</f>
        <v/>
      </c>
      <c r="AN1142" s="32">
        <f>IF($A1142="","",$AL1142+$AM1142)</f>
        <v/>
      </c>
      <c r="AO1142" s="24">
        <f>IF($A1142="","",IF(OR((IFERROR(INDEX('CAT_ACTIVIDADES'!$D$4:$D$26,MATCH($H1142,'CAT_ACTIVIDADES'!$A$4:$A$26,0)),""))=0,(IFERROR(INDEX('CAT_ACTIVIDADES'!$D$4:$D$26,MATCH($H1142,'CAT_ACTIVIDADES'!$A$4:$A$26,0)),""))=""),"SIN CLASIFICAR",IFERROR(INDEX('CAT_ACTIVIDADES'!$D$4:$D$26,MATCH($H1142,'CAT_ACTIVIDADES'!$A$4:$A$26,0)),"")))</f>
        <v/>
      </c>
      <c r="AP1142" s="4" t="n"/>
      <c r="AQ1142" s="4" t="n"/>
      <c r="AR1142" s="4" t="n"/>
      <c r="AS1142" s="24">
        <f>IF($AR1142="","",HYPERLINK(p_ruta_base_checklists&amp;$AR1142,"abrir"))</f>
        <v/>
      </c>
      <c r="AT1142" s="4" t="n"/>
      <c r="AU1142" s="24">
        <f>IF($A1142="","",$A1142&amp;IF($B1142="","0010",$B1142))</f>
        <v/>
      </c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41" t="n"/>
      <c r="K1143" s="5" t="n"/>
      <c r="L1143" s="18" t="n"/>
      <c r="M1143" s="24">
        <f>IF($A1143="","",IFERROR(INDEX('AJUSTES'!$B$4:$B$303,MATCH($AU1143,'AJUSTES'!$A$4:$A$303,0)),IF($K1143="","",$K1143)))</f>
        <v/>
      </c>
      <c r="N1143" s="24">
        <f>IF($A1143="","",IFERROR(INDEX('CAT_ESTADOS_ERP'!$B$4:$B$22,MATCH(IFERROR(INDEX('2_IMPORTAR_EJECUCION'!$C$9:$C$1208,MATCH($AU1143,'2_IMPORTAR_EJECUCION'!$J$9:$J$1208,0)),""),'CAT_ESTADOS_ERP'!$A$4:$A$22,0)),"Pendiente"))</f>
        <v/>
      </c>
      <c r="O1143" s="24">
        <f>IF($J1143="","",YEAR($J1143+4-WEEKDAY($J1143,2))&amp;"-S"&amp;TEXT(_xlfn.ISOWEEKNUM($J1143),"00"))</f>
        <v/>
      </c>
      <c r="P1143" s="24">
        <f>IF($J1143="","",YEAR($J1143))</f>
        <v/>
      </c>
      <c r="Q1143" s="24">
        <f>IF($J1143="","",MONTH($J1143))</f>
        <v/>
      </c>
      <c r="R1143" s="24">
        <f>IF($J1143="","",$P1143&amp;"-"&amp;TEXT($Q1143,"00"))</f>
        <v/>
      </c>
      <c r="S1143" s="24">
        <f>IF($J1143="","",INDEX(lista_dias,WEEKDAY($J1143,2)))</f>
        <v/>
      </c>
      <c r="T1143" s="24">
        <f>IF($J1143="","",IFERROR(INDEX('CALENDARIO'!$C$15:$C$214,MATCH(TEXT($J1143,"yyyy-mm-dd")&amp;"|"&amp;$Y1143&amp;"|"&amp;$Z1143,'CALENDARIO'!$G$15:$G$214,0)),IFERROR(INDEX('CALENDARIO'!$C$15:$C$214,MATCH(TEXT($J1143,"yyyy-mm-dd")&amp;"|"&amp;$Y1143&amp;"|",'CALENDARIO'!$G$15:$G$214,0)),IFERROR(INDEX('CALENDARIO'!$C$15:$C$214,MATCH(TEXT($J1143,"yyyy-mm-dd")&amp;"||",'CALENDARIO'!$G$15:$G$214,0)),INDEX(patronHabil,WEEKDAY($J1143,2))))))</f>
        <v/>
      </c>
      <c r="U1143" s="24">
        <f>IF($I1143="","",IFERROR(INDEX('CAT_TIPOS_OT'!$C$4:$C$23,MATCH($I1143,'CAT_TIPOS_OT'!$A$4:$A$23,0)),"sin_clasificar"))</f>
        <v/>
      </c>
      <c r="V1143" s="24">
        <f>IF($I1143="","",IF(IFERROR(INDEX('CAT_TIPOS_OT'!$D$4:$D$23,MATCH($I1143,'CAT_TIPOS_OT'!$A$4:$A$23,0)),"SIN CLASIFICAR")="","SIN CLASIFICAR",IFERROR(INDEX('CAT_TIPOS_OT'!$D$4:$D$23,MATCH($I1143,'CAT_TIPOS_OT'!$A$4:$A$23,0)),"SIN CLASIFICAR")))</f>
        <v/>
      </c>
      <c r="W1143" s="24">
        <f>IF($H1143="","",IF(IFERROR(INDEX('CAT_ACTIVIDADES'!$F$4:$F$26,MATCH($H1143,'CAT_ACTIVIDADES'!$A$4:$A$26,0)),"")=0,"",IFERROR(INDEX('CAT_ACTIVIDADES'!$F$4:$F$26,MATCH($H1143,'CAT_ACTIVIDADES'!$A$4:$A$26,0)),"")))</f>
        <v/>
      </c>
      <c r="X1143" s="24">
        <f>IF($F1143="","",IFERROR(INDEX('CAT_CENTROS_COSTO'!$F$4:$F$28,MATCH($F1143,'CAT_CENTROS_COSTO'!$A$4:$A$28,0)),"(sin catálogo)"))</f>
        <v/>
      </c>
      <c r="Y1143" s="24">
        <f>IF($F1143="","",IFERROR(INDEX('CAT_CENTROS_COSTO'!$D$4:$D$28,MATCH($F1143,'CAT_CENTROS_COSTO'!$A$4:$A$28,0)),"(sin catálogo)"))</f>
        <v/>
      </c>
      <c r="Z1143" s="24">
        <f>IF($F1143="","",IF((IFERROR(INDEX('CAT_CENTROS_COSTO'!$E$4:$E$28,MATCH($F1143,'CAT_CENTROS_COSTO'!$A$4:$A$28,0)),""))&lt;&gt;"",IFERROR(INDEX('CAT_CENTROS_COSTO'!$E$4:$E$28,MATCH($F1143,'CAT_CENTROS_COSTO'!$A$4:$A$28,0)),""),$Y1143))</f>
        <v/>
      </c>
      <c r="AA1143" s="24">
        <f>IF($F1143="","",IFERROR(INDEX('CAT_CENTROS_COSTO'!$G$4:$G$28,MATCH($F1143,'CAT_CENTROS_COSTO'!$A$4:$A$28,0)),"(sin catálogo)"))</f>
        <v/>
      </c>
      <c r="AB1143" s="24">
        <f>IF($G1143="","",IFERROR(INDEX('CAT_PUESTOS'!$B$4:$B$23,MATCH($G1143,'CAT_PUESTOS'!$A$4:$A$23,0)),"(sin catálogo)"))</f>
        <v/>
      </c>
      <c r="AC1143" s="24">
        <f>IF($H1143="","",IFERROR(INDEX('CAT_ACTIVIDADES'!$B$4:$B$26,MATCH($H1143,'CAT_ACTIVIDADES'!$A$4:$A$26,0)),"(sin catálogo)"))</f>
        <v/>
      </c>
      <c r="AD1143" s="26">
        <f>IF($J1143="","",TODAY()-$J1143)</f>
        <v/>
      </c>
      <c r="AE1143" s="26">
        <f>IF($J1143="","",IF($J1143&lt;=TODAY(),COUNTIFS(cal_fechas,"&gt;="&amp;$J1143,cal_fechas,"&lt;"&amp;TODAY(),cal_habil,"sí"),-COUNTIFS(cal_fechas,"&gt;="&amp;TODAY(),cal_fechas,"&lt;"&amp;$J1143,cal_habil,"sí")))</f>
        <v/>
      </c>
      <c r="AF1143" s="24">
        <f>IF($AE1143="","",IF($AE1143&lt;0,"FUTURO",IF($AE1143&gt;p_dias_backlog_max,"BACKLOG","MES CORRIENTE")))</f>
        <v/>
      </c>
      <c r="AG1143" s="24">
        <f>IF($AE1143="",FALSE,AND($AE1143&gt;p_dias_backlog_min,$AE1143&lt;=p_dias_backlog_max))</f>
        <v/>
      </c>
      <c r="AH1143" s="4" t="n"/>
      <c r="AI1143" s="24">
        <f>IF($AH1143="","",IF((IFERROR(INDEX('ASIGNACIONES'!$J$4:$J$451,MATCH($O1143&amp;"|"&amp;$S1143&amp;"|"&amp;$AH1143,'ASIGNACIONES'!$N$4:$N$451,0)),""))=0,"",IFERROR(INDEX('ASIGNACIONES'!$J$4:$J$451,MATCH($O1143&amp;"|"&amp;$S1143&amp;"|"&amp;$AH1143,'ASIGNACIONES'!$N$4:$N$451,0)),"")))</f>
        <v/>
      </c>
      <c r="AJ1143" s="42">
        <f>IF($AH1143="","",SUMIFS('ORDENES'!$M$4:$M$1203,'ORDENES'!$AH$4:$AH$1203,$AH1143,'ORDENES'!$O$4:$O$1203,$O1143,'ORDENES'!$S$4:$S$1203,$S1143))</f>
        <v/>
      </c>
      <c r="AK1143" s="42">
        <f>IF($AJ1143="","",p_factor_productividad*IFERROR(INDEX('ASIGNACIONES'!$M$4:$M$451,MATCH($O1143&amp;"|"&amp;$S1143&amp;"|"&amp;$AH1143,'ASIGNACIONES'!$N$4:$N$451,0)),0)-$AJ1143)</f>
        <v/>
      </c>
      <c r="AL1143" s="32">
        <f>IF($A1143="","",IFERROR(INDEX('2_IMPORTAR_EJECUCION'!$F$9:$F$1208,MATCH($AU1143,'2_IMPORTAR_EJECUCION'!$J$9:$J$1208,0)),0))</f>
        <v/>
      </c>
      <c r="AM1143" s="32">
        <f>IF($A1143="","",MAX(0,IFERROR(INDEX('2_IMPORTAR_EJECUCION'!$H$9:$H$1208,MATCH($AU1143,'2_IMPORTAR_EJECUCION'!$J$9:$J$1208,0)),0)-$AL1143))</f>
        <v/>
      </c>
      <c r="AN1143" s="32">
        <f>IF($A1143="","",$AL1143+$AM1143)</f>
        <v/>
      </c>
      <c r="AO1143" s="24">
        <f>IF($A1143="","",IF(OR((IFERROR(INDEX('CAT_ACTIVIDADES'!$D$4:$D$26,MATCH($H1143,'CAT_ACTIVIDADES'!$A$4:$A$26,0)),""))=0,(IFERROR(INDEX('CAT_ACTIVIDADES'!$D$4:$D$26,MATCH($H1143,'CAT_ACTIVIDADES'!$A$4:$A$26,0)),""))=""),"SIN CLASIFICAR",IFERROR(INDEX('CAT_ACTIVIDADES'!$D$4:$D$26,MATCH($H1143,'CAT_ACTIVIDADES'!$A$4:$A$26,0)),"")))</f>
        <v/>
      </c>
      <c r="AP1143" s="4" t="n"/>
      <c r="AQ1143" s="4" t="n"/>
      <c r="AR1143" s="4" t="n"/>
      <c r="AS1143" s="24">
        <f>IF($AR1143="","",HYPERLINK(p_ruta_base_checklists&amp;$AR1143,"abrir"))</f>
        <v/>
      </c>
      <c r="AT1143" s="4" t="n"/>
      <c r="AU1143" s="24">
        <f>IF($A1143="","",$A1143&amp;IF($B1143="","0010",$B1143))</f>
        <v/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41" t="n"/>
      <c r="K1144" s="5" t="n"/>
      <c r="L1144" s="18" t="n"/>
      <c r="M1144" s="24">
        <f>IF($A1144="","",IFERROR(INDEX('AJUSTES'!$B$4:$B$303,MATCH($AU1144,'AJUSTES'!$A$4:$A$303,0)),IF($K1144="","",$K1144)))</f>
        <v/>
      </c>
      <c r="N1144" s="24">
        <f>IF($A1144="","",IFERROR(INDEX('CAT_ESTADOS_ERP'!$B$4:$B$22,MATCH(IFERROR(INDEX('2_IMPORTAR_EJECUCION'!$C$9:$C$1208,MATCH($AU1144,'2_IMPORTAR_EJECUCION'!$J$9:$J$1208,0)),""),'CAT_ESTADOS_ERP'!$A$4:$A$22,0)),"Pendiente"))</f>
        <v/>
      </c>
      <c r="O1144" s="24">
        <f>IF($J1144="","",YEAR($J1144+4-WEEKDAY($J1144,2))&amp;"-S"&amp;TEXT(_xlfn.ISOWEEKNUM($J1144),"00"))</f>
        <v/>
      </c>
      <c r="P1144" s="24">
        <f>IF($J1144="","",YEAR($J1144))</f>
        <v/>
      </c>
      <c r="Q1144" s="24">
        <f>IF($J1144="","",MONTH($J1144))</f>
        <v/>
      </c>
      <c r="R1144" s="24">
        <f>IF($J1144="","",$P1144&amp;"-"&amp;TEXT($Q1144,"00"))</f>
        <v/>
      </c>
      <c r="S1144" s="24">
        <f>IF($J1144="","",INDEX(lista_dias,WEEKDAY($J1144,2)))</f>
        <v/>
      </c>
      <c r="T1144" s="24">
        <f>IF($J1144="","",IFERROR(INDEX('CALENDARIO'!$C$15:$C$214,MATCH(TEXT($J1144,"yyyy-mm-dd")&amp;"|"&amp;$Y1144&amp;"|"&amp;$Z1144,'CALENDARIO'!$G$15:$G$214,0)),IFERROR(INDEX('CALENDARIO'!$C$15:$C$214,MATCH(TEXT($J1144,"yyyy-mm-dd")&amp;"|"&amp;$Y1144&amp;"|",'CALENDARIO'!$G$15:$G$214,0)),IFERROR(INDEX('CALENDARIO'!$C$15:$C$214,MATCH(TEXT($J1144,"yyyy-mm-dd")&amp;"||",'CALENDARIO'!$G$15:$G$214,0)),INDEX(patronHabil,WEEKDAY($J1144,2))))))</f>
        <v/>
      </c>
      <c r="U1144" s="24">
        <f>IF($I1144="","",IFERROR(INDEX('CAT_TIPOS_OT'!$C$4:$C$23,MATCH($I1144,'CAT_TIPOS_OT'!$A$4:$A$23,0)),"sin_clasificar"))</f>
        <v/>
      </c>
      <c r="V1144" s="24">
        <f>IF($I1144="","",IF(IFERROR(INDEX('CAT_TIPOS_OT'!$D$4:$D$23,MATCH($I1144,'CAT_TIPOS_OT'!$A$4:$A$23,0)),"SIN CLASIFICAR")="","SIN CLASIFICAR",IFERROR(INDEX('CAT_TIPOS_OT'!$D$4:$D$23,MATCH($I1144,'CAT_TIPOS_OT'!$A$4:$A$23,0)),"SIN CLASIFICAR")))</f>
        <v/>
      </c>
      <c r="W1144" s="24">
        <f>IF($H1144="","",IF(IFERROR(INDEX('CAT_ACTIVIDADES'!$F$4:$F$26,MATCH($H1144,'CAT_ACTIVIDADES'!$A$4:$A$26,0)),"")=0,"",IFERROR(INDEX('CAT_ACTIVIDADES'!$F$4:$F$26,MATCH($H1144,'CAT_ACTIVIDADES'!$A$4:$A$26,0)),"")))</f>
        <v/>
      </c>
      <c r="X1144" s="24">
        <f>IF($F1144="","",IFERROR(INDEX('CAT_CENTROS_COSTO'!$F$4:$F$28,MATCH($F1144,'CAT_CENTROS_COSTO'!$A$4:$A$28,0)),"(sin catálogo)"))</f>
        <v/>
      </c>
      <c r="Y1144" s="24">
        <f>IF($F1144="","",IFERROR(INDEX('CAT_CENTROS_COSTO'!$D$4:$D$28,MATCH($F1144,'CAT_CENTROS_COSTO'!$A$4:$A$28,0)),"(sin catálogo)"))</f>
        <v/>
      </c>
      <c r="Z1144" s="24">
        <f>IF($F1144="","",IF((IFERROR(INDEX('CAT_CENTROS_COSTO'!$E$4:$E$28,MATCH($F1144,'CAT_CENTROS_COSTO'!$A$4:$A$28,0)),""))&lt;&gt;"",IFERROR(INDEX('CAT_CENTROS_COSTO'!$E$4:$E$28,MATCH($F1144,'CAT_CENTROS_COSTO'!$A$4:$A$28,0)),""),$Y1144))</f>
        <v/>
      </c>
      <c r="AA1144" s="24">
        <f>IF($F1144="","",IFERROR(INDEX('CAT_CENTROS_COSTO'!$G$4:$G$28,MATCH($F1144,'CAT_CENTROS_COSTO'!$A$4:$A$28,0)),"(sin catálogo)"))</f>
        <v/>
      </c>
      <c r="AB1144" s="24">
        <f>IF($G1144="","",IFERROR(INDEX('CAT_PUESTOS'!$B$4:$B$23,MATCH($G1144,'CAT_PUESTOS'!$A$4:$A$23,0)),"(sin catálogo)"))</f>
        <v/>
      </c>
      <c r="AC1144" s="24">
        <f>IF($H1144="","",IFERROR(INDEX('CAT_ACTIVIDADES'!$B$4:$B$26,MATCH($H1144,'CAT_ACTIVIDADES'!$A$4:$A$26,0)),"(sin catálogo)"))</f>
        <v/>
      </c>
      <c r="AD1144" s="26">
        <f>IF($J1144="","",TODAY()-$J1144)</f>
        <v/>
      </c>
      <c r="AE1144" s="26">
        <f>IF($J1144="","",IF($J1144&lt;=TODAY(),COUNTIFS(cal_fechas,"&gt;="&amp;$J1144,cal_fechas,"&lt;"&amp;TODAY(),cal_habil,"sí"),-COUNTIFS(cal_fechas,"&gt;="&amp;TODAY(),cal_fechas,"&lt;"&amp;$J1144,cal_habil,"sí")))</f>
        <v/>
      </c>
      <c r="AF1144" s="24">
        <f>IF($AE1144="","",IF($AE1144&lt;0,"FUTURO",IF($AE1144&gt;p_dias_backlog_max,"BACKLOG","MES CORRIENTE")))</f>
        <v/>
      </c>
      <c r="AG1144" s="24">
        <f>IF($AE1144="",FALSE,AND($AE1144&gt;p_dias_backlog_min,$AE1144&lt;=p_dias_backlog_max))</f>
        <v/>
      </c>
      <c r="AH1144" s="4" t="n"/>
      <c r="AI1144" s="24">
        <f>IF($AH1144="","",IF((IFERROR(INDEX('ASIGNACIONES'!$J$4:$J$451,MATCH($O1144&amp;"|"&amp;$S1144&amp;"|"&amp;$AH1144,'ASIGNACIONES'!$N$4:$N$451,0)),""))=0,"",IFERROR(INDEX('ASIGNACIONES'!$J$4:$J$451,MATCH($O1144&amp;"|"&amp;$S1144&amp;"|"&amp;$AH1144,'ASIGNACIONES'!$N$4:$N$451,0)),"")))</f>
        <v/>
      </c>
      <c r="AJ1144" s="42">
        <f>IF($AH1144="","",SUMIFS('ORDENES'!$M$4:$M$1203,'ORDENES'!$AH$4:$AH$1203,$AH1144,'ORDENES'!$O$4:$O$1203,$O1144,'ORDENES'!$S$4:$S$1203,$S1144))</f>
        <v/>
      </c>
      <c r="AK1144" s="42">
        <f>IF($AJ1144="","",p_factor_productividad*IFERROR(INDEX('ASIGNACIONES'!$M$4:$M$451,MATCH($O1144&amp;"|"&amp;$S1144&amp;"|"&amp;$AH1144,'ASIGNACIONES'!$N$4:$N$451,0)),0)-$AJ1144)</f>
        <v/>
      </c>
      <c r="AL1144" s="32">
        <f>IF($A1144="","",IFERROR(INDEX('2_IMPORTAR_EJECUCION'!$F$9:$F$1208,MATCH($AU1144,'2_IMPORTAR_EJECUCION'!$J$9:$J$1208,0)),0))</f>
        <v/>
      </c>
      <c r="AM1144" s="32">
        <f>IF($A1144="","",MAX(0,IFERROR(INDEX('2_IMPORTAR_EJECUCION'!$H$9:$H$1208,MATCH($AU1144,'2_IMPORTAR_EJECUCION'!$J$9:$J$1208,0)),0)-$AL1144))</f>
        <v/>
      </c>
      <c r="AN1144" s="32">
        <f>IF($A1144="","",$AL1144+$AM1144)</f>
        <v/>
      </c>
      <c r="AO1144" s="24">
        <f>IF($A1144="","",IF(OR((IFERROR(INDEX('CAT_ACTIVIDADES'!$D$4:$D$26,MATCH($H1144,'CAT_ACTIVIDADES'!$A$4:$A$26,0)),""))=0,(IFERROR(INDEX('CAT_ACTIVIDADES'!$D$4:$D$26,MATCH($H1144,'CAT_ACTIVIDADES'!$A$4:$A$26,0)),""))=""),"SIN CLASIFICAR",IFERROR(INDEX('CAT_ACTIVIDADES'!$D$4:$D$26,MATCH($H1144,'CAT_ACTIVIDADES'!$A$4:$A$26,0)),"")))</f>
        <v/>
      </c>
      <c r="AP1144" s="4" t="n"/>
      <c r="AQ1144" s="4" t="n"/>
      <c r="AR1144" s="4" t="n"/>
      <c r="AS1144" s="24">
        <f>IF($AR1144="","",HYPERLINK(p_ruta_base_checklists&amp;$AR1144,"abrir"))</f>
        <v/>
      </c>
      <c r="AT1144" s="4" t="n"/>
      <c r="AU1144" s="24">
        <f>IF($A1144="","",$A1144&amp;IF($B1144="","0010",$B1144))</f>
        <v/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41" t="n"/>
      <c r="K1145" s="5" t="n"/>
      <c r="L1145" s="18" t="n"/>
      <c r="M1145" s="24">
        <f>IF($A1145="","",IFERROR(INDEX('AJUSTES'!$B$4:$B$303,MATCH($AU1145,'AJUSTES'!$A$4:$A$303,0)),IF($K1145="","",$K1145)))</f>
        <v/>
      </c>
      <c r="N1145" s="24">
        <f>IF($A1145="","",IFERROR(INDEX('CAT_ESTADOS_ERP'!$B$4:$B$22,MATCH(IFERROR(INDEX('2_IMPORTAR_EJECUCION'!$C$9:$C$1208,MATCH($AU1145,'2_IMPORTAR_EJECUCION'!$J$9:$J$1208,0)),""),'CAT_ESTADOS_ERP'!$A$4:$A$22,0)),"Pendiente"))</f>
        <v/>
      </c>
      <c r="O1145" s="24">
        <f>IF($J1145="","",YEAR($J1145+4-WEEKDAY($J1145,2))&amp;"-S"&amp;TEXT(_xlfn.ISOWEEKNUM($J1145),"00"))</f>
        <v/>
      </c>
      <c r="P1145" s="24">
        <f>IF($J1145="","",YEAR($J1145))</f>
        <v/>
      </c>
      <c r="Q1145" s="24">
        <f>IF($J1145="","",MONTH($J1145))</f>
        <v/>
      </c>
      <c r="R1145" s="24">
        <f>IF($J1145="","",$P1145&amp;"-"&amp;TEXT($Q1145,"00"))</f>
        <v/>
      </c>
      <c r="S1145" s="24">
        <f>IF($J1145="","",INDEX(lista_dias,WEEKDAY($J1145,2)))</f>
        <v/>
      </c>
      <c r="T1145" s="24">
        <f>IF($J1145="","",IFERROR(INDEX('CALENDARIO'!$C$15:$C$214,MATCH(TEXT($J1145,"yyyy-mm-dd")&amp;"|"&amp;$Y1145&amp;"|"&amp;$Z1145,'CALENDARIO'!$G$15:$G$214,0)),IFERROR(INDEX('CALENDARIO'!$C$15:$C$214,MATCH(TEXT($J1145,"yyyy-mm-dd")&amp;"|"&amp;$Y1145&amp;"|",'CALENDARIO'!$G$15:$G$214,0)),IFERROR(INDEX('CALENDARIO'!$C$15:$C$214,MATCH(TEXT($J1145,"yyyy-mm-dd")&amp;"||",'CALENDARIO'!$G$15:$G$214,0)),INDEX(patronHabil,WEEKDAY($J1145,2))))))</f>
        <v/>
      </c>
      <c r="U1145" s="24">
        <f>IF($I1145="","",IFERROR(INDEX('CAT_TIPOS_OT'!$C$4:$C$23,MATCH($I1145,'CAT_TIPOS_OT'!$A$4:$A$23,0)),"sin_clasificar"))</f>
        <v/>
      </c>
      <c r="V1145" s="24">
        <f>IF($I1145="","",IF(IFERROR(INDEX('CAT_TIPOS_OT'!$D$4:$D$23,MATCH($I1145,'CAT_TIPOS_OT'!$A$4:$A$23,0)),"SIN CLASIFICAR")="","SIN CLASIFICAR",IFERROR(INDEX('CAT_TIPOS_OT'!$D$4:$D$23,MATCH($I1145,'CAT_TIPOS_OT'!$A$4:$A$23,0)),"SIN CLASIFICAR")))</f>
        <v/>
      </c>
      <c r="W1145" s="24">
        <f>IF($H1145="","",IF(IFERROR(INDEX('CAT_ACTIVIDADES'!$F$4:$F$26,MATCH($H1145,'CAT_ACTIVIDADES'!$A$4:$A$26,0)),"")=0,"",IFERROR(INDEX('CAT_ACTIVIDADES'!$F$4:$F$26,MATCH($H1145,'CAT_ACTIVIDADES'!$A$4:$A$26,0)),"")))</f>
        <v/>
      </c>
      <c r="X1145" s="24">
        <f>IF($F1145="","",IFERROR(INDEX('CAT_CENTROS_COSTO'!$F$4:$F$28,MATCH($F1145,'CAT_CENTROS_COSTO'!$A$4:$A$28,0)),"(sin catálogo)"))</f>
        <v/>
      </c>
      <c r="Y1145" s="24">
        <f>IF($F1145="","",IFERROR(INDEX('CAT_CENTROS_COSTO'!$D$4:$D$28,MATCH($F1145,'CAT_CENTROS_COSTO'!$A$4:$A$28,0)),"(sin catálogo)"))</f>
        <v/>
      </c>
      <c r="Z1145" s="24">
        <f>IF($F1145="","",IF((IFERROR(INDEX('CAT_CENTROS_COSTO'!$E$4:$E$28,MATCH($F1145,'CAT_CENTROS_COSTO'!$A$4:$A$28,0)),""))&lt;&gt;"",IFERROR(INDEX('CAT_CENTROS_COSTO'!$E$4:$E$28,MATCH($F1145,'CAT_CENTROS_COSTO'!$A$4:$A$28,0)),""),$Y1145))</f>
        <v/>
      </c>
      <c r="AA1145" s="24">
        <f>IF($F1145="","",IFERROR(INDEX('CAT_CENTROS_COSTO'!$G$4:$G$28,MATCH($F1145,'CAT_CENTROS_COSTO'!$A$4:$A$28,0)),"(sin catálogo)"))</f>
        <v/>
      </c>
      <c r="AB1145" s="24">
        <f>IF($G1145="","",IFERROR(INDEX('CAT_PUESTOS'!$B$4:$B$23,MATCH($G1145,'CAT_PUESTOS'!$A$4:$A$23,0)),"(sin catálogo)"))</f>
        <v/>
      </c>
      <c r="AC1145" s="24">
        <f>IF($H1145="","",IFERROR(INDEX('CAT_ACTIVIDADES'!$B$4:$B$26,MATCH($H1145,'CAT_ACTIVIDADES'!$A$4:$A$26,0)),"(sin catálogo)"))</f>
        <v/>
      </c>
      <c r="AD1145" s="26">
        <f>IF($J1145="","",TODAY()-$J1145)</f>
        <v/>
      </c>
      <c r="AE1145" s="26">
        <f>IF($J1145="","",IF($J1145&lt;=TODAY(),COUNTIFS(cal_fechas,"&gt;="&amp;$J1145,cal_fechas,"&lt;"&amp;TODAY(),cal_habil,"sí"),-COUNTIFS(cal_fechas,"&gt;="&amp;TODAY(),cal_fechas,"&lt;"&amp;$J1145,cal_habil,"sí")))</f>
        <v/>
      </c>
      <c r="AF1145" s="24">
        <f>IF($AE1145="","",IF($AE1145&lt;0,"FUTURO",IF($AE1145&gt;p_dias_backlog_max,"BACKLOG","MES CORRIENTE")))</f>
        <v/>
      </c>
      <c r="AG1145" s="24">
        <f>IF($AE1145="",FALSE,AND($AE1145&gt;p_dias_backlog_min,$AE1145&lt;=p_dias_backlog_max))</f>
        <v/>
      </c>
      <c r="AH1145" s="4" t="n"/>
      <c r="AI1145" s="24">
        <f>IF($AH1145="","",IF((IFERROR(INDEX('ASIGNACIONES'!$J$4:$J$451,MATCH($O1145&amp;"|"&amp;$S1145&amp;"|"&amp;$AH1145,'ASIGNACIONES'!$N$4:$N$451,0)),""))=0,"",IFERROR(INDEX('ASIGNACIONES'!$J$4:$J$451,MATCH($O1145&amp;"|"&amp;$S1145&amp;"|"&amp;$AH1145,'ASIGNACIONES'!$N$4:$N$451,0)),"")))</f>
        <v/>
      </c>
      <c r="AJ1145" s="42">
        <f>IF($AH1145="","",SUMIFS('ORDENES'!$M$4:$M$1203,'ORDENES'!$AH$4:$AH$1203,$AH1145,'ORDENES'!$O$4:$O$1203,$O1145,'ORDENES'!$S$4:$S$1203,$S1145))</f>
        <v/>
      </c>
      <c r="AK1145" s="42">
        <f>IF($AJ1145="","",p_factor_productividad*IFERROR(INDEX('ASIGNACIONES'!$M$4:$M$451,MATCH($O1145&amp;"|"&amp;$S1145&amp;"|"&amp;$AH1145,'ASIGNACIONES'!$N$4:$N$451,0)),0)-$AJ1145)</f>
        <v/>
      </c>
      <c r="AL1145" s="32">
        <f>IF($A1145="","",IFERROR(INDEX('2_IMPORTAR_EJECUCION'!$F$9:$F$1208,MATCH($AU1145,'2_IMPORTAR_EJECUCION'!$J$9:$J$1208,0)),0))</f>
        <v/>
      </c>
      <c r="AM1145" s="32">
        <f>IF($A1145="","",MAX(0,IFERROR(INDEX('2_IMPORTAR_EJECUCION'!$H$9:$H$1208,MATCH($AU1145,'2_IMPORTAR_EJECUCION'!$J$9:$J$1208,0)),0)-$AL1145))</f>
        <v/>
      </c>
      <c r="AN1145" s="32">
        <f>IF($A1145="","",$AL1145+$AM1145)</f>
        <v/>
      </c>
      <c r="AO1145" s="24">
        <f>IF($A1145="","",IF(OR((IFERROR(INDEX('CAT_ACTIVIDADES'!$D$4:$D$26,MATCH($H1145,'CAT_ACTIVIDADES'!$A$4:$A$26,0)),""))=0,(IFERROR(INDEX('CAT_ACTIVIDADES'!$D$4:$D$26,MATCH($H1145,'CAT_ACTIVIDADES'!$A$4:$A$26,0)),""))=""),"SIN CLASIFICAR",IFERROR(INDEX('CAT_ACTIVIDADES'!$D$4:$D$26,MATCH($H1145,'CAT_ACTIVIDADES'!$A$4:$A$26,0)),"")))</f>
        <v/>
      </c>
      <c r="AP1145" s="4" t="n"/>
      <c r="AQ1145" s="4" t="n"/>
      <c r="AR1145" s="4" t="n"/>
      <c r="AS1145" s="24">
        <f>IF($AR1145="","",HYPERLINK(p_ruta_base_checklists&amp;$AR1145,"abrir"))</f>
        <v/>
      </c>
      <c r="AT1145" s="4" t="n"/>
      <c r="AU1145" s="24">
        <f>IF($A1145="","",$A1145&amp;IF($B1145="","0010",$B1145))</f>
        <v/>
      </c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41" t="n"/>
      <c r="K1146" s="5" t="n"/>
      <c r="L1146" s="18" t="n"/>
      <c r="M1146" s="24">
        <f>IF($A1146="","",IFERROR(INDEX('AJUSTES'!$B$4:$B$303,MATCH($AU1146,'AJUSTES'!$A$4:$A$303,0)),IF($K1146="","",$K1146)))</f>
        <v/>
      </c>
      <c r="N1146" s="24">
        <f>IF($A1146="","",IFERROR(INDEX('CAT_ESTADOS_ERP'!$B$4:$B$22,MATCH(IFERROR(INDEX('2_IMPORTAR_EJECUCION'!$C$9:$C$1208,MATCH($AU1146,'2_IMPORTAR_EJECUCION'!$J$9:$J$1208,0)),""),'CAT_ESTADOS_ERP'!$A$4:$A$22,0)),"Pendiente"))</f>
        <v/>
      </c>
      <c r="O1146" s="24">
        <f>IF($J1146="","",YEAR($J1146+4-WEEKDAY($J1146,2))&amp;"-S"&amp;TEXT(_xlfn.ISOWEEKNUM($J1146),"00"))</f>
        <v/>
      </c>
      <c r="P1146" s="24">
        <f>IF($J1146="","",YEAR($J1146))</f>
        <v/>
      </c>
      <c r="Q1146" s="24">
        <f>IF($J1146="","",MONTH($J1146))</f>
        <v/>
      </c>
      <c r="R1146" s="24">
        <f>IF($J1146="","",$P1146&amp;"-"&amp;TEXT($Q1146,"00"))</f>
        <v/>
      </c>
      <c r="S1146" s="24">
        <f>IF($J1146="","",INDEX(lista_dias,WEEKDAY($J1146,2)))</f>
        <v/>
      </c>
      <c r="T1146" s="24">
        <f>IF($J1146="","",IFERROR(INDEX('CALENDARIO'!$C$15:$C$214,MATCH(TEXT($J1146,"yyyy-mm-dd")&amp;"|"&amp;$Y1146&amp;"|"&amp;$Z1146,'CALENDARIO'!$G$15:$G$214,0)),IFERROR(INDEX('CALENDARIO'!$C$15:$C$214,MATCH(TEXT($J1146,"yyyy-mm-dd")&amp;"|"&amp;$Y1146&amp;"|",'CALENDARIO'!$G$15:$G$214,0)),IFERROR(INDEX('CALENDARIO'!$C$15:$C$214,MATCH(TEXT($J1146,"yyyy-mm-dd")&amp;"||",'CALENDARIO'!$G$15:$G$214,0)),INDEX(patronHabil,WEEKDAY($J1146,2))))))</f>
        <v/>
      </c>
      <c r="U1146" s="24">
        <f>IF($I1146="","",IFERROR(INDEX('CAT_TIPOS_OT'!$C$4:$C$23,MATCH($I1146,'CAT_TIPOS_OT'!$A$4:$A$23,0)),"sin_clasificar"))</f>
        <v/>
      </c>
      <c r="V1146" s="24">
        <f>IF($I1146="","",IF(IFERROR(INDEX('CAT_TIPOS_OT'!$D$4:$D$23,MATCH($I1146,'CAT_TIPOS_OT'!$A$4:$A$23,0)),"SIN CLASIFICAR")="","SIN CLASIFICAR",IFERROR(INDEX('CAT_TIPOS_OT'!$D$4:$D$23,MATCH($I1146,'CAT_TIPOS_OT'!$A$4:$A$23,0)),"SIN CLASIFICAR")))</f>
        <v/>
      </c>
      <c r="W1146" s="24">
        <f>IF($H1146="","",IF(IFERROR(INDEX('CAT_ACTIVIDADES'!$F$4:$F$26,MATCH($H1146,'CAT_ACTIVIDADES'!$A$4:$A$26,0)),"")=0,"",IFERROR(INDEX('CAT_ACTIVIDADES'!$F$4:$F$26,MATCH($H1146,'CAT_ACTIVIDADES'!$A$4:$A$26,0)),"")))</f>
        <v/>
      </c>
      <c r="X1146" s="24">
        <f>IF($F1146="","",IFERROR(INDEX('CAT_CENTROS_COSTO'!$F$4:$F$28,MATCH($F1146,'CAT_CENTROS_COSTO'!$A$4:$A$28,0)),"(sin catálogo)"))</f>
        <v/>
      </c>
      <c r="Y1146" s="24">
        <f>IF($F1146="","",IFERROR(INDEX('CAT_CENTROS_COSTO'!$D$4:$D$28,MATCH($F1146,'CAT_CENTROS_COSTO'!$A$4:$A$28,0)),"(sin catálogo)"))</f>
        <v/>
      </c>
      <c r="Z1146" s="24">
        <f>IF($F1146="","",IF((IFERROR(INDEX('CAT_CENTROS_COSTO'!$E$4:$E$28,MATCH($F1146,'CAT_CENTROS_COSTO'!$A$4:$A$28,0)),""))&lt;&gt;"",IFERROR(INDEX('CAT_CENTROS_COSTO'!$E$4:$E$28,MATCH($F1146,'CAT_CENTROS_COSTO'!$A$4:$A$28,0)),""),$Y1146))</f>
        <v/>
      </c>
      <c r="AA1146" s="24">
        <f>IF($F1146="","",IFERROR(INDEX('CAT_CENTROS_COSTO'!$G$4:$G$28,MATCH($F1146,'CAT_CENTROS_COSTO'!$A$4:$A$28,0)),"(sin catálogo)"))</f>
        <v/>
      </c>
      <c r="AB1146" s="24">
        <f>IF($G1146="","",IFERROR(INDEX('CAT_PUESTOS'!$B$4:$B$23,MATCH($G1146,'CAT_PUESTOS'!$A$4:$A$23,0)),"(sin catálogo)"))</f>
        <v/>
      </c>
      <c r="AC1146" s="24">
        <f>IF($H1146="","",IFERROR(INDEX('CAT_ACTIVIDADES'!$B$4:$B$26,MATCH($H1146,'CAT_ACTIVIDADES'!$A$4:$A$26,0)),"(sin catálogo)"))</f>
        <v/>
      </c>
      <c r="AD1146" s="26">
        <f>IF($J1146="","",TODAY()-$J1146)</f>
        <v/>
      </c>
      <c r="AE1146" s="26">
        <f>IF($J1146="","",IF($J1146&lt;=TODAY(),COUNTIFS(cal_fechas,"&gt;="&amp;$J1146,cal_fechas,"&lt;"&amp;TODAY(),cal_habil,"sí"),-COUNTIFS(cal_fechas,"&gt;="&amp;TODAY(),cal_fechas,"&lt;"&amp;$J1146,cal_habil,"sí")))</f>
        <v/>
      </c>
      <c r="AF1146" s="24">
        <f>IF($AE1146="","",IF($AE1146&lt;0,"FUTURO",IF($AE1146&gt;p_dias_backlog_max,"BACKLOG","MES CORRIENTE")))</f>
        <v/>
      </c>
      <c r="AG1146" s="24">
        <f>IF($AE1146="",FALSE,AND($AE1146&gt;p_dias_backlog_min,$AE1146&lt;=p_dias_backlog_max))</f>
        <v/>
      </c>
      <c r="AH1146" s="4" t="n"/>
      <c r="AI1146" s="24">
        <f>IF($AH1146="","",IF((IFERROR(INDEX('ASIGNACIONES'!$J$4:$J$451,MATCH($O1146&amp;"|"&amp;$S1146&amp;"|"&amp;$AH1146,'ASIGNACIONES'!$N$4:$N$451,0)),""))=0,"",IFERROR(INDEX('ASIGNACIONES'!$J$4:$J$451,MATCH($O1146&amp;"|"&amp;$S1146&amp;"|"&amp;$AH1146,'ASIGNACIONES'!$N$4:$N$451,0)),"")))</f>
        <v/>
      </c>
      <c r="AJ1146" s="42">
        <f>IF($AH1146="","",SUMIFS('ORDENES'!$M$4:$M$1203,'ORDENES'!$AH$4:$AH$1203,$AH1146,'ORDENES'!$O$4:$O$1203,$O1146,'ORDENES'!$S$4:$S$1203,$S1146))</f>
        <v/>
      </c>
      <c r="AK1146" s="42">
        <f>IF($AJ1146="","",p_factor_productividad*IFERROR(INDEX('ASIGNACIONES'!$M$4:$M$451,MATCH($O1146&amp;"|"&amp;$S1146&amp;"|"&amp;$AH1146,'ASIGNACIONES'!$N$4:$N$451,0)),0)-$AJ1146)</f>
        <v/>
      </c>
      <c r="AL1146" s="32">
        <f>IF($A1146="","",IFERROR(INDEX('2_IMPORTAR_EJECUCION'!$F$9:$F$1208,MATCH($AU1146,'2_IMPORTAR_EJECUCION'!$J$9:$J$1208,0)),0))</f>
        <v/>
      </c>
      <c r="AM1146" s="32">
        <f>IF($A1146="","",MAX(0,IFERROR(INDEX('2_IMPORTAR_EJECUCION'!$H$9:$H$1208,MATCH($AU1146,'2_IMPORTAR_EJECUCION'!$J$9:$J$1208,0)),0)-$AL1146))</f>
        <v/>
      </c>
      <c r="AN1146" s="32">
        <f>IF($A1146="","",$AL1146+$AM1146)</f>
        <v/>
      </c>
      <c r="AO1146" s="24">
        <f>IF($A1146="","",IF(OR((IFERROR(INDEX('CAT_ACTIVIDADES'!$D$4:$D$26,MATCH($H1146,'CAT_ACTIVIDADES'!$A$4:$A$26,0)),""))=0,(IFERROR(INDEX('CAT_ACTIVIDADES'!$D$4:$D$26,MATCH($H1146,'CAT_ACTIVIDADES'!$A$4:$A$26,0)),""))=""),"SIN CLASIFICAR",IFERROR(INDEX('CAT_ACTIVIDADES'!$D$4:$D$26,MATCH($H1146,'CAT_ACTIVIDADES'!$A$4:$A$26,0)),"")))</f>
        <v/>
      </c>
      <c r="AP1146" s="4" t="n"/>
      <c r="AQ1146" s="4" t="n"/>
      <c r="AR1146" s="4" t="n"/>
      <c r="AS1146" s="24">
        <f>IF($AR1146="","",HYPERLINK(p_ruta_base_checklists&amp;$AR1146,"abrir"))</f>
        <v/>
      </c>
      <c r="AT1146" s="4" t="n"/>
      <c r="AU1146" s="24">
        <f>IF($A1146="","",$A1146&amp;IF($B1146="","0010",$B1146))</f>
        <v/>
      </c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41" t="n"/>
      <c r="K1147" s="5" t="n"/>
      <c r="L1147" s="18" t="n"/>
      <c r="M1147" s="24">
        <f>IF($A1147="","",IFERROR(INDEX('AJUSTES'!$B$4:$B$303,MATCH($AU1147,'AJUSTES'!$A$4:$A$303,0)),IF($K1147="","",$K1147)))</f>
        <v/>
      </c>
      <c r="N1147" s="24">
        <f>IF($A1147="","",IFERROR(INDEX('CAT_ESTADOS_ERP'!$B$4:$B$22,MATCH(IFERROR(INDEX('2_IMPORTAR_EJECUCION'!$C$9:$C$1208,MATCH($AU1147,'2_IMPORTAR_EJECUCION'!$J$9:$J$1208,0)),""),'CAT_ESTADOS_ERP'!$A$4:$A$22,0)),"Pendiente"))</f>
        <v/>
      </c>
      <c r="O1147" s="24">
        <f>IF($J1147="","",YEAR($J1147+4-WEEKDAY($J1147,2))&amp;"-S"&amp;TEXT(_xlfn.ISOWEEKNUM($J1147),"00"))</f>
        <v/>
      </c>
      <c r="P1147" s="24">
        <f>IF($J1147="","",YEAR($J1147))</f>
        <v/>
      </c>
      <c r="Q1147" s="24">
        <f>IF($J1147="","",MONTH($J1147))</f>
        <v/>
      </c>
      <c r="R1147" s="24">
        <f>IF($J1147="","",$P1147&amp;"-"&amp;TEXT($Q1147,"00"))</f>
        <v/>
      </c>
      <c r="S1147" s="24">
        <f>IF($J1147="","",INDEX(lista_dias,WEEKDAY($J1147,2)))</f>
        <v/>
      </c>
      <c r="T1147" s="24">
        <f>IF($J1147="","",IFERROR(INDEX('CALENDARIO'!$C$15:$C$214,MATCH(TEXT($J1147,"yyyy-mm-dd")&amp;"|"&amp;$Y1147&amp;"|"&amp;$Z1147,'CALENDARIO'!$G$15:$G$214,0)),IFERROR(INDEX('CALENDARIO'!$C$15:$C$214,MATCH(TEXT($J1147,"yyyy-mm-dd")&amp;"|"&amp;$Y1147&amp;"|",'CALENDARIO'!$G$15:$G$214,0)),IFERROR(INDEX('CALENDARIO'!$C$15:$C$214,MATCH(TEXT($J1147,"yyyy-mm-dd")&amp;"||",'CALENDARIO'!$G$15:$G$214,0)),INDEX(patronHabil,WEEKDAY($J1147,2))))))</f>
        <v/>
      </c>
      <c r="U1147" s="24">
        <f>IF($I1147="","",IFERROR(INDEX('CAT_TIPOS_OT'!$C$4:$C$23,MATCH($I1147,'CAT_TIPOS_OT'!$A$4:$A$23,0)),"sin_clasificar"))</f>
        <v/>
      </c>
      <c r="V1147" s="24">
        <f>IF($I1147="","",IF(IFERROR(INDEX('CAT_TIPOS_OT'!$D$4:$D$23,MATCH($I1147,'CAT_TIPOS_OT'!$A$4:$A$23,0)),"SIN CLASIFICAR")="","SIN CLASIFICAR",IFERROR(INDEX('CAT_TIPOS_OT'!$D$4:$D$23,MATCH($I1147,'CAT_TIPOS_OT'!$A$4:$A$23,0)),"SIN CLASIFICAR")))</f>
        <v/>
      </c>
      <c r="W1147" s="24">
        <f>IF($H1147="","",IF(IFERROR(INDEX('CAT_ACTIVIDADES'!$F$4:$F$26,MATCH($H1147,'CAT_ACTIVIDADES'!$A$4:$A$26,0)),"")=0,"",IFERROR(INDEX('CAT_ACTIVIDADES'!$F$4:$F$26,MATCH($H1147,'CAT_ACTIVIDADES'!$A$4:$A$26,0)),"")))</f>
        <v/>
      </c>
      <c r="X1147" s="24">
        <f>IF($F1147="","",IFERROR(INDEX('CAT_CENTROS_COSTO'!$F$4:$F$28,MATCH($F1147,'CAT_CENTROS_COSTO'!$A$4:$A$28,0)),"(sin catálogo)"))</f>
        <v/>
      </c>
      <c r="Y1147" s="24">
        <f>IF($F1147="","",IFERROR(INDEX('CAT_CENTROS_COSTO'!$D$4:$D$28,MATCH($F1147,'CAT_CENTROS_COSTO'!$A$4:$A$28,0)),"(sin catálogo)"))</f>
        <v/>
      </c>
      <c r="Z1147" s="24">
        <f>IF($F1147="","",IF((IFERROR(INDEX('CAT_CENTROS_COSTO'!$E$4:$E$28,MATCH($F1147,'CAT_CENTROS_COSTO'!$A$4:$A$28,0)),""))&lt;&gt;"",IFERROR(INDEX('CAT_CENTROS_COSTO'!$E$4:$E$28,MATCH($F1147,'CAT_CENTROS_COSTO'!$A$4:$A$28,0)),""),$Y1147))</f>
        <v/>
      </c>
      <c r="AA1147" s="24">
        <f>IF($F1147="","",IFERROR(INDEX('CAT_CENTROS_COSTO'!$G$4:$G$28,MATCH($F1147,'CAT_CENTROS_COSTO'!$A$4:$A$28,0)),"(sin catálogo)"))</f>
        <v/>
      </c>
      <c r="AB1147" s="24">
        <f>IF($G1147="","",IFERROR(INDEX('CAT_PUESTOS'!$B$4:$B$23,MATCH($G1147,'CAT_PUESTOS'!$A$4:$A$23,0)),"(sin catálogo)"))</f>
        <v/>
      </c>
      <c r="AC1147" s="24">
        <f>IF($H1147="","",IFERROR(INDEX('CAT_ACTIVIDADES'!$B$4:$B$26,MATCH($H1147,'CAT_ACTIVIDADES'!$A$4:$A$26,0)),"(sin catálogo)"))</f>
        <v/>
      </c>
      <c r="AD1147" s="26">
        <f>IF($J1147="","",TODAY()-$J1147)</f>
        <v/>
      </c>
      <c r="AE1147" s="26">
        <f>IF($J1147="","",IF($J1147&lt;=TODAY(),COUNTIFS(cal_fechas,"&gt;="&amp;$J1147,cal_fechas,"&lt;"&amp;TODAY(),cal_habil,"sí"),-COUNTIFS(cal_fechas,"&gt;="&amp;TODAY(),cal_fechas,"&lt;"&amp;$J1147,cal_habil,"sí")))</f>
        <v/>
      </c>
      <c r="AF1147" s="24">
        <f>IF($AE1147="","",IF($AE1147&lt;0,"FUTURO",IF($AE1147&gt;p_dias_backlog_max,"BACKLOG","MES CORRIENTE")))</f>
        <v/>
      </c>
      <c r="AG1147" s="24">
        <f>IF($AE1147="",FALSE,AND($AE1147&gt;p_dias_backlog_min,$AE1147&lt;=p_dias_backlog_max))</f>
        <v/>
      </c>
      <c r="AH1147" s="4" t="n"/>
      <c r="AI1147" s="24">
        <f>IF($AH1147="","",IF((IFERROR(INDEX('ASIGNACIONES'!$J$4:$J$451,MATCH($O1147&amp;"|"&amp;$S1147&amp;"|"&amp;$AH1147,'ASIGNACIONES'!$N$4:$N$451,0)),""))=0,"",IFERROR(INDEX('ASIGNACIONES'!$J$4:$J$451,MATCH($O1147&amp;"|"&amp;$S1147&amp;"|"&amp;$AH1147,'ASIGNACIONES'!$N$4:$N$451,0)),"")))</f>
        <v/>
      </c>
      <c r="AJ1147" s="42">
        <f>IF($AH1147="","",SUMIFS('ORDENES'!$M$4:$M$1203,'ORDENES'!$AH$4:$AH$1203,$AH1147,'ORDENES'!$O$4:$O$1203,$O1147,'ORDENES'!$S$4:$S$1203,$S1147))</f>
        <v/>
      </c>
      <c r="AK1147" s="42">
        <f>IF($AJ1147="","",p_factor_productividad*IFERROR(INDEX('ASIGNACIONES'!$M$4:$M$451,MATCH($O1147&amp;"|"&amp;$S1147&amp;"|"&amp;$AH1147,'ASIGNACIONES'!$N$4:$N$451,0)),0)-$AJ1147)</f>
        <v/>
      </c>
      <c r="AL1147" s="32">
        <f>IF($A1147="","",IFERROR(INDEX('2_IMPORTAR_EJECUCION'!$F$9:$F$1208,MATCH($AU1147,'2_IMPORTAR_EJECUCION'!$J$9:$J$1208,0)),0))</f>
        <v/>
      </c>
      <c r="AM1147" s="32">
        <f>IF($A1147="","",MAX(0,IFERROR(INDEX('2_IMPORTAR_EJECUCION'!$H$9:$H$1208,MATCH($AU1147,'2_IMPORTAR_EJECUCION'!$J$9:$J$1208,0)),0)-$AL1147))</f>
        <v/>
      </c>
      <c r="AN1147" s="32">
        <f>IF($A1147="","",$AL1147+$AM1147)</f>
        <v/>
      </c>
      <c r="AO1147" s="24">
        <f>IF($A1147="","",IF(OR((IFERROR(INDEX('CAT_ACTIVIDADES'!$D$4:$D$26,MATCH($H1147,'CAT_ACTIVIDADES'!$A$4:$A$26,0)),""))=0,(IFERROR(INDEX('CAT_ACTIVIDADES'!$D$4:$D$26,MATCH($H1147,'CAT_ACTIVIDADES'!$A$4:$A$26,0)),""))=""),"SIN CLASIFICAR",IFERROR(INDEX('CAT_ACTIVIDADES'!$D$4:$D$26,MATCH($H1147,'CAT_ACTIVIDADES'!$A$4:$A$26,0)),"")))</f>
        <v/>
      </c>
      <c r="AP1147" s="4" t="n"/>
      <c r="AQ1147" s="4" t="n"/>
      <c r="AR1147" s="4" t="n"/>
      <c r="AS1147" s="24">
        <f>IF($AR1147="","",HYPERLINK(p_ruta_base_checklists&amp;$AR1147,"abrir"))</f>
        <v/>
      </c>
      <c r="AT1147" s="4" t="n"/>
      <c r="AU1147" s="24">
        <f>IF($A1147="","",$A1147&amp;IF($B1147="","0010",$B1147))</f>
        <v/>
      </c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41" t="n"/>
      <c r="K1148" s="5" t="n"/>
      <c r="L1148" s="18" t="n"/>
      <c r="M1148" s="24">
        <f>IF($A1148="","",IFERROR(INDEX('AJUSTES'!$B$4:$B$303,MATCH($AU1148,'AJUSTES'!$A$4:$A$303,0)),IF($K1148="","",$K1148)))</f>
        <v/>
      </c>
      <c r="N1148" s="24">
        <f>IF($A1148="","",IFERROR(INDEX('CAT_ESTADOS_ERP'!$B$4:$B$22,MATCH(IFERROR(INDEX('2_IMPORTAR_EJECUCION'!$C$9:$C$1208,MATCH($AU1148,'2_IMPORTAR_EJECUCION'!$J$9:$J$1208,0)),""),'CAT_ESTADOS_ERP'!$A$4:$A$22,0)),"Pendiente"))</f>
        <v/>
      </c>
      <c r="O1148" s="24">
        <f>IF($J1148="","",YEAR($J1148+4-WEEKDAY($J1148,2))&amp;"-S"&amp;TEXT(_xlfn.ISOWEEKNUM($J1148),"00"))</f>
        <v/>
      </c>
      <c r="P1148" s="24">
        <f>IF($J1148="","",YEAR($J1148))</f>
        <v/>
      </c>
      <c r="Q1148" s="24">
        <f>IF($J1148="","",MONTH($J1148))</f>
        <v/>
      </c>
      <c r="R1148" s="24">
        <f>IF($J1148="","",$P1148&amp;"-"&amp;TEXT($Q1148,"00"))</f>
        <v/>
      </c>
      <c r="S1148" s="24">
        <f>IF($J1148="","",INDEX(lista_dias,WEEKDAY($J1148,2)))</f>
        <v/>
      </c>
      <c r="T1148" s="24">
        <f>IF($J1148="","",IFERROR(INDEX('CALENDARIO'!$C$15:$C$214,MATCH(TEXT($J1148,"yyyy-mm-dd")&amp;"|"&amp;$Y1148&amp;"|"&amp;$Z1148,'CALENDARIO'!$G$15:$G$214,0)),IFERROR(INDEX('CALENDARIO'!$C$15:$C$214,MATCH(TEXT($J1148,"yyyy-mm-dd")&amp;"|"&amp;$Y1148&amp;"|",'CALENDARIO'!$G$15:$G$214,0)),IFERROR(INDEX('CALENDARIO'!$C$15:$C$214,MATCH(TEXT($J1148,"yyyy-mm-dd")&amp;"||",'CALENDARIO'!$G$15:$G$214,0)),INDEX(patronHabil,WEEKDAY($J1148,2))))))</f>
        <v/>
      </c>
      <c r="U1148" s="24">
        <f>IF($I1148="","",IFERROR(INDEX('CAT_TIPOS_OT'!$C$4:$C$23,MATCH($I1148,'CAT_TIPOS_OT'!$A$4:$A$23,0)),"sin_clasificar"))</f>
        <v/>
      </c>
      <c r="V1148" s="24">
        <f>IF($I1148="","",IF(IFERROR(INDEX('CAT_TIPOS_OT'!$D$4:$D$23,MATCH($I1148,'CAT_TIPOS_OT'!$A$4:$A$23,0)),"SIN CLASIFICAR")="","SIN CLASIFICAR",IFERROR(INDEX('CAT_TIPOS_OT'!$D$4:$D$23,MATCH($I1148,'CAT_TIPOS_OT'!$A$4:$A$23,0)),"SIN CLASIFICAR")))</f>
        <v/>
      </c>
      <c r="W1148" s="24">
        <f>IF($H1148="","",IF(IFERROR(INDEX('CAT_ACTIVIDADES'!$F$4:$F$26,MATCH($H1148,'CAT_ACTIVIDADES'!$A$4:$A$26,0)),"")=0,"",IFERROR(INDEX('CAT_ACTIVIDADES'!$F$4:$F$26,MATCH($H1148,'CAT_ACTIVIDADES'!$A$4:$A$26,0)),"")))</f>
        <v/>
      </c>
      <c r="X1148" s="24">
        <f>IF($F1148="","",IFERROR(INDEX('CAT_CENTROS_COSTO'!$F$4:$F$28,MATCH($F1148,'CAT_CENTROS_COSTO'!$A$4:$A$28,0)),"(sin catálogo)"))</f>
        <v/>
      </c>
      <c r="Y1148" s="24">
        <f>IF($F1148="","",IFERROR(INDEX('CAT_CENTROS_COSTO'!$D$4:$D$28,MATCH($F1148,'CAT_CENTROS_COSTO'!$A$4:$A$28,0)),"(sin catálogo)"))</f>
        <v/>
      </c>
      <c r="Z1148" s="24">
        <f>IF($F1148="","",IF((IFERROR(INDEX('CAT_CENTROS_COSTO'!$E$4:$E$28,MATCH($F1148,'CAT_CENTROS_COSTO'!$A$4:$A$28,0)),""))&lt;&gt;"",IFERROR(INDEX('CAT_CENTROS_COSTO'!$E$4:$E$28,MATCH($F1148,'CAT_CENTROS_COSTO'!$A$4:$A$28,0)),""),$Y1148))</f>
        <v/>
      </c>
      <c r="AA1148" s="24">
        <f>IF($F1148="","",IFERROR(INDEX('CAT_CENTROS_COSTO'!$G$4:$G$28,MATCH($F1148,'CAT_CENTROS_COSTO'!$A$4:$A$28,0)),"(sin catálogo)"))</f>
        <v/>
      </c>
      <c r="AB1148" s="24">
        <f>IF($G1148="","",IFERROR(INDEX('CAT_PUESTOS'!$B$4:$B$23,MATCH($G1148,'CAT_PUESTOS'!$A$4:$A$23,0)),"(sin catálogo)"))</f>
        <v/>
      </c>
      <c r="AC1148" s="24">
        <f>IF($H1148="","",IFERROR(INDEX('CAT_ACTIVIDADES'!$B$4:$B$26,MATCH($H1148,'CAT_ACTIVIDADES'!$A$4:$A$26,0)),"(sin catálogo)"))</f>
        <v/>
      </c>
      <c r="AD1148" s="26">
        <f>IF($J1148="","",TODAY()-$J1148)</f>
        <v/>
      </c>
      <c r="AE1148" s="26">
        <f>IF($J1148="","",IF($J1148&lt;=TODAY(),COUNTIFS(cal_fechas,"&gt;="&amp;$J1148,cal_fechas,"&lt;"&amp;TODAY(),cal_habil,"sí"),-COUNTIFS(cal_fechas,"&gt;="&amp;TODAY(),cal_fechas,"&lt;"&amp;$J1148,cal_habil,"sí")))</f>
        <v/>
      </c>
      <c r="AF1148" s="24">
        <f>IF($AE1148="","",IF($AE1148&lt;0,"FUTURO",IF($AE1148&gt;p_dias_backlog_max,"BACKLOG","MES CORRIENTE")))</f>
        <v/>
      </c>
      <c r="AG1148" s="24">
        <f>IF($AE1148="",FALSE,AND($AE1148&gt;p_dias_backlog_min,$AE1148&lt;=p_dias_backlog_max))</f>
        <v/>
      </c>
      <c r="AH1148" s="4" t="n"/>
      <c r="AI1148" s="24">
        <f>IF($AH1148="","",IF((IFERROR(INDEX('ASIGNACIONES'!$J$4:$J$451,MATCH($O1148&amp;"|"&amp;$S1148&amp;"|"&amp;$AH1148,'ASIGNACIONES'!$N$4:$N$451,0)),""))=0,"",IFERROR(INDEX('ASIGNACIONES'!$J$4:$J$451,MATCH($O1148&amp;"|"&amp;$S1148&amp;"|"&amp;$AH1148,'ASIGNACIONES'!$N$4:$N$451,0)),"")))</f>
        <v/>
      </c>
      <c r="AJ1148" s="42">
        <f>IF($AH1148="","",SUMIFS('ORDENES'!$M$4:$M$1203,'ORDENES'!$AH$4:$AH$1203,$AH1148,'ORDENES'!$O$4:$O$1203,$O1148,'ORDENES'!$S$4:$S$1203,$S1148))</f>
        <v/>
      </c>
      <c r="AK1148" s="42">
        <f>IF($AJ1148="","",p_factor_productividad*IFERROR(INDEX('ASIGNACIONES'!$M$4:$M$451,MATCH($O1148&amp;"|"&amp;$S1148&amp;"|"&amp;$AH1148,'ASIGNACIONES'!$N$4:$N$451,0)),0)-$AJ1148)</f>
        <v/>
      </c>
      <c r="AL1148" s="32">
        <f>IF($A1148="","",IFERROR(INDEX('2_IMPORTAR_EJECUCION'!$F$9:$F$1208,MATCH($AU1148,'2_IMPORTAR_EJECUCION'!$J$9:$J$1208,0)),0))</f>
        <v/>
      </c>
      <c r="AM1148" s="32">
        <f>IF($A1148="","",MAX(0,IFERROR(INDEX('2_IMPORTAR_EJECUCION'!$H$9:$H$1208,MATCH($AU1148,'2_IMPORTAR_EJECUCION'!$J$9:$J$1208,0)),0)-$AL1148))</f>
        <v/>
      </c>
      <c r="AN1148" s="32">
        <f>IF($A1148="","",$AL1148+$AM1148)</f>
        <v/>
      </c>
      <c r="AO1148" s="24">
        <f>IF($A1148="","",IF(OR((IFERROR(INDEX('CAT_ACTIVIDADES'!$D$4:$D$26,MATCH($H1148,'CAT_ACTIVIDADES'!$A$4:$A$26,0)),""))=0,(IFERROR(INDEX('CAT_ACTIVIDADES'!$D$4:$D$26,MATCH($H1148,'CAT_ACTIVIDADES'!$A$4:$A$26,0)),""))=""),"SIN CLASIFICAR",IFERROR(INDEX('CAT_ACTIVIDADES'!$D$4:$D$26,MATCH($H1148,'CAT_ACTIVIDADES'!$A$4:$A$26,0)),"")))</f>
        <v/>
      </c>
      <c r="AP1148" s="4" t="n"/>
      <c r="AQ1148" s="4" t="n"/>
      <c r="AR1148" s="4" t="n"/>
      <c r="AS1148" s="24">
        <f>IF($AR1148="","",HYPERLINK(p_ruta_base_checklists&amp;$AR1148,"abrir"))</f>
        <v/>
      </c>
      <c r="AT1148" s="4" t="n"/>
      <c r="AU1148" s="24">
        <f>IF($A1148="","",$A1148&amp;IF($B1148="","0010",$B1148))</f>
        <v/>
      </c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41" t="n"/>
      <c r="K1149" s="5" t="n"/>
      <c r="L1149" s="18" t="n"/>
      <c r="M1149" s="24">
        <f>IF($A1149="","",IFERROR(INDEX('AJUSTES'!$B$4:$B$303,MATCH($AU1149,'AJUSTES'!$A$4:$A$303,0)),IF($K1149="","",$K1149)))</f>
        <v/>
      </c>
      <c r="N1149" s="24">
        <f>IF($A1149="","",IFERROR(INDEX('CAT_ESTADOS_ERP'!$B$4:$B$22,MATCH(IFERROR(INDEX('2_IMPORTAR_EJECUCION'!$C$9:$C$1208,MATCH($AU1149,'2_IMPORTAR_EJECUCION'!$J$9:$J$1208,0)),""),'CAT_ESTADOS_ERP'!$A$4:$A$22,0)),"Pendiente"))</f>
        <v/>
      </c>
      <c r="O1149" s="24">
        <f>IF($J1149="","",YEAR($J1149+4-WEEKDAY($J1149,2))&amp;"-S"&amp;TEXT(_xlfn.ISOWEEKNUM($J1149),"00"))</f>
        <v/>
      </c>
      <c r="P1149" s="24">
        <f>IF($J1149="","",YEAR($J1149))</f>
        <v/>
      </c>
      <c r="Q1149" s="24">
        <f>IF($J1149="","",MONTH($J1149))</f>
        <v/>
      </c>
      <c r="R1149" s="24">
        <f>IF($J1149="","",$P1149&amp;"-"&amp;TEXT($Q1149,"00"))</f>
        <v/>
      </c>
      <c r="S1149" s="24">
        <f>IF($J1149="","",INDEX(lista_dias,WEEKDAY($J1149,2)))</f>
        <v/>
      </c>
      <c r="T1149" s="24">
        <f>IF($J1149="","",IFERROR(INDEX('CALENDARIO'!$C$15:$C$214,MATCH(TEXT($J1149,"yyyy-mm-dd")&amp;"|"&amp;$Y1149&amp;"|"&amp;$Z1149,'CALENDARIO'!$G$15:$G$214,0)),IFERROR(INDEX('CALENDARIO'!$C$15:$C$214,MATCH(TEXT($J1149,"yyyy-mm-dd")&amp;"|"&amp;$Y1149&amp;"|",'CALENDARIO'!$G$15:$G$214,0)),IFERROR(INDEX('CALENDARIO'!$C$15:$C$214,MATCH(TEXT($J1149,"yyyy-mm-dd")&amp;"||",'CALENDARIO'!$G$15:$G$214,0)),INDEX(patronHabil,WEEKDAY($J1149,2))))))</f>
        <v/>
      </c>
      <c r="U1149" s="24">
        <f>IF($I1149="","",IFERROR(INDEX('CAT_TIPOS_OT'!$C$4:$C$23,MATCH($I1149,'CAT_TIPOS_OT'!$A$4:$A$23,0)),"sin_clasificar"))</f>
        <v/>
      </c>
      <c r="V1149" s="24">
        <f>IF($I1149="","",IF(IFERROR(INDEX('CAT_TIPOS_OT'!$D$4:$D$23,MATCH($I1149,'CAT_TIPOS_OT'!$A$4:$A$23,0)),"SIN CLASIFICAR")="","SIN CLASIFICAR",IFERROR(INDEX('CAT_TIPOS_OT'!$D$4:$D$23,MATCH($I1149,'CAT_TIPOS_OT'!$A$4:$A$23,0)),"SIN CLASIFICAR")))</f>
        <v/>
      </c>
      <c r="W1149" s="24">
        <f>IF($H1149="","",IF(IFERROR(INDEX('CAT_ACTIVIDADES'!$F$4:$F$26,MATCH($H1149,'CAT_ACTIVIDADES'!$A$4:$A$26,0)),"")=0,"",IFERROR(INDEX('CAT_ACTIVIDADES'!$F$4:$F$26,MATCH($H1149,'CAT_ACTIVIDADES'!$A$4:$A$26,0)),"")))</f>
        <v/>
      </c>
      <c r="X1149" s="24">
        <f>IF($F1149="","",IFERROR(INDEX('CAT_CENTROS_COSTO'!$F$4:$F$28,MATCH($F1149,'CAT_CENTROS_COSTO'!$A$4:$A$28,0)),"(sin catálogo)"))</f>
        <v/>
      </c>
      <c r="Y1149" s="24">
        <f>IF($F1149="","",IFERROR(INDEX('CAT_CENTROS_COSTO'!$D$4:$D$28,MATCH($F1149,'CAT_CENTROS_COSTO'!$A$4:$A$28,0)),"(sin catálogo)"))</f>
        <v/>
      </c>
      <c r="Z1149" s="24">
        <f>IF($F1149="","",IF((IFERROR(INDEX('CAT_CENTROS_COSTO'!$E$4:$E$28,MATCH($F1149,'CAT_CENTROS_COSTO'!$A$4:$A$28,0)),""))&lt;&gt;"",IFERROR(INDEX('CAT_CENTROS_COSTO'!$E$4:$E$28,MATCH($F1149,'CAT_CENTROS_COSTO'!$A$4:$A$28,0)),""),$Y1149))</f>
        <v/>
      </c>
      <c r="AA1149" s="24">
        <f>IF($F1149="","",IFERROR(INDEX('CAT_CENTROS_COSTO'!$G$4:$G$28,MATCH($F1149,'CAT_CENTROS_COSTO'!$A$4:$A$28,0)),"(sin catálogo)"))</f>
        <v/>
      </c>
      <c r="AB1149" s="24">
        <f>IF($G1149="","",IFERROR(INDEX('CAT_PUESTOS'!$B$4:$B$23,MATCH($G1149,'CAT_PUESTOS'!$A$4:$A$23,0)),"(sin catálogo)"))</f>
        <v/>
      </c>
      <c r="AC1149" s="24">
        <f>IF($H1149="","",IFERROR(INDEX('CAT_ACTIVIDADES'!$B$4:$B$26,MATCH($H1149,'CAT_ACTIVIDADES'!$A$4:$A$26,0)),"(sin catálogo)"))</f>
        <v/>
      </c>
      <c r="AD1149" s="26">
        <f>IF($J1149="","",TODAY()-$J1149)</f>
        <v/>
      </c>
      <c r="AE1149" s="26">
        <f>IF($J1149="","",IF($J1149&lt;=TODAY(),COUNTIFS(cal_fechas,"&gt;="&amp;$J1149,cal_fechas,"&lt;"&amp;TODAY(),cal_habil,"sí"),-COUNTIFS(cal_fechas,"&gt;="&amp;TODAY(),cal_fechas,"&lt;"&amp;$J1149,cal_habil,"sí")))</f>
        <v/>
      </c>
      <c r="AF1149" s="24">
        <f>IF($AE1149="","",IF($AE1149&lt;0,"FUTURO",IF($AE1149&gt;p_dias_backlog_max,"BACKLOG","MES CORRIENTE")))</f>
        <v/>
      </c>
      <c r="AG1149" s="24">
        <f>IF($AE1149="",FALSE,AND($AE1149&gt;p_dias_backlog_min,$AE1149&lt;=p_dias_backlog_max))</f>
        <v/>
      </c>
      <c r="AH1149" s="4" t="n"/>
      <c r="AI1149" s="24">
        <f>IF($AH1149="","",IF((IFERROR(INDEX('ASIGNACIONES'!$J$4:$J$451,MATCH($O1149&amp;"|"&amp;$S1149&amp;"|"&amp;$AH1149,'ASIGNACIONES'!$N$4:$N$451,0)),""))=0,"",IFERROR(INDEX('ASIGNACIONES'!$J$4:$J$451,MATCH($O1149&amp;"|"&amp;$S1149&amp;"|"&amp;$AH1149,'ASIGNACIONES'!$N$4:$N$451,0)),"")))</f>
        <v/>
      </c>
      <c r="AJ1149" s="42">
        <f>IF($AH1149="","",SUMIFS('ORDENES'!$M$4:$M$1203,'ORDENES'!$AH$4:$AH$1203,$AH1149,'ORDENES'!$O$4:$O$1203,$O1149,'ORDENES'!$S$4:$S$1203,$S1149))</f>
        <v/>
      </c>
      <c r="AK1149" s="42">
        <f>IF($AJ1149="","",p_factor_productividad*IFERROR(INDEX('ASIGNACIONES'!$M$4:$M$451,MATCH($O1149&amp;"|"&amp;$S1149&amp;"|"&amp;$AH1149,'ASIGNACIONES'!$N$4:$N$451,0)),0)-$AJ1149)</f>
        <v/>
      </c>
      <c r="AL1149" s="32">
        <f>IF($A1149="","",IFERROR(INDEX('2_IMPORTAR_EJECUCION'!$F$9:$F$1208,MATCH($AU1149,'2_IMPORTAR_EJECUCION'!$J$9:$J$1208,0)),0))</f>
        <v/>
      </c>
      <c r="AM1149" s="32">
        <f>IF($A1149="","",MAX(0,IFERROR(INDEX('2_IMPORTAR_EJECUCION'!$H$9:$H$1208,MATCH($AU1149,'2_IMPORTAR_EJECUCION'!$J$9:$J$1208,0)),0)-$AL1149))</f>
        <v/>
      </c>
      <c r="AN1149" s="32">
        <f>IF($A1149="","",$AL1149+$AM1149)</f>
        <v/>
      </c>
      <c r="AO1149" s="24">
        <f>IF($A1149="","",IF(OR((IFERROR(INDEX('CAT_ACTIVIDADES'!$D$4:$D$26,MATCH($H1149,'CAT_ACTIVIDADES'!$A$4:$A$26,0)),""))=0,(IFERROR(INDEX('CAT_ACTIVIDADES'!$D$4:$D$26,MATCH($H1149,'CAT_ACTIVIDADES'!$A$4:$A$26,0)),""))=""),"SIN CLASIFICAR",IFERROR(INDEX('CAT_ACTIVIDADES'!$D$4:$D$26,MATCH($H1149,'CAT_ACTIVIDADES'!$A$4:$A$26,0)),"")))</f>
        <v/>
      </c>
      <c r="AP1149" s="4" t="n"/>
      <c r="AQ1149" s="4" t="n"/>
      <c r="AR1149" s="4" t="n"/>
      <c r="AS1149" s="24">
        <f>IF($AR1149="","",HYPERLINK(p_ruta_base_checklists&amp;$AR1149,"abrir"))</f>
        <v/>
      </c>
      <c r="AT1149" s="4" t="n"/>
      <c r="AU1149" s="24">
        <f>IF($A1149="","",$A1149&amp;IF($B1149="","0010",$B1149))</f>
        <v/>
      </c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41" t="n"/>
      <c r="K1150" s="5" t="n"/>
      <c r="L1150" s="18" t="n"/>
      <c r="M1150" s="24">
        <f>IF($A1150="","",IFERROR(INDEX('AJUSTES'!$B$4:$B$303,MATCH($AU1150,'AJUSTES'!$A$4:$A$303,0)),IF($K1150="","",$K1150)))</f>
        <v/>
      </c>
      <c r="N1150" s="24">
        <f>IF($A1150="","",IFERROR(INDEX('CAT_ESTADOS_ERP'!$B$4:$B$22,MATCH(IFERROR(INDEX('2_IMPORTAR_EJECUCION'!$C$9:$C$1208,MATCH($AU1150,'2_IMPORTAR_EJECUCION'!$J$9:$J$1208,0)),""),'CAT_ESTADOS_ERP'!$A$4:$A$22,0)),"Pendiente"))</f>
        <v/>
      </c>
      <c r="O1150" s="24">
        <f>IF($J1150="","",YEAR($J1150+4-WEEKDAY($J1150,2))&amp;"-S"&amp;TEXT(_xlfn.ISOWEEKNUM($J1150),"00"))</f>
        <v/>
      </c>
      <c r="P1150" s="24">
        <f>IF($J1150="","",YEAR($J1150))</f>
        <v/>
      </c>
      <c r="Q1150" s="24">
        <f>IF($J1150="","",MONTH($J1150))</f>
        <v/>
      </c>
      <c r="R1150" s="24">
        <f>IF($J1150="","",$P1150&amp;"-"&amp;TEXT($Q1150,"00"))</f>
        <v/>
      </c>
      <c r="S1150" s="24">
        <f>IF($J1150="","",INDEX(lista_dias,WEEKDAY($J1150,2)))</f>
        <v/>
      </c>
      <c r="T1150" s="24">
        <f>IF($J1150="","",IFERROR(INDEX('CALENDARIO'!$C$15:$C$214,MATCH(TEXT($J1150,"yyyy-mm-dd")&amp;"|"&amp;$Y1150&amp;"|"&amp;$Z1150,'CALENDARIO'!$G$15:$G$214,0)),IFERROR(INDEX('CALENDARIO'!$C$15:$C$214,MATCH(TEXT($J1150,"yyyy-mm-dd")&amp;"|"&amp;$Y1150&amp;"|",'CALENDARIO'!$G$15:$G$214,0)),IFERROR(INDEX('CALENDARIO'!$C$15:$C$214,MATCH(TEXT($J1150,"yyyy-mm-dd")&amp;"||",'CALENDARIO'!$G$15:$G$214,0)),INDEX(patronHabil,WEEKDAY($J1150,2))))))</f>
        <v/>
      </c>
      <c r="U1150" s="24">
        <f>IF($I1150="","",IFERROR(INDEX('CAT_TIPOS_OT'!$C$4:$C$23,MATCH($I1150,'CAT_TIPOS_OT'!$A$4:$A$23,0)),"sin_clasificar"))</f>
        <v/>
      </c>
      <c r="V1150" s="24">
        <f>IF($I1150="","",IF(IFERROR(INDEX('CAT_TIPOS_OT'!$D$4:$D$23,MATCH($I1150,'CAT_TIPOS_OT'!$A$4:$A$23,0)),"SIN CLASIFICAR")="","SIN CLASIFICAR",IFERROR(INDEX('CAT_TIPOS_OT'!$D$4:$D$23,MATCH($I1150,'CAT_TIPOS_OT'!$A$4:$A$23,0)),"SIN CLASIFICAR")))</f>
        <v/>
      </c>
      <c r="W1150" s="24">
        <f>IF($H1150="","",IF(IFERROR(INDEX('CAT_ACTIVIDADES'!$F$4:$F$26,MATCH($H1150,'CAT_ACTIVIDADES'!$A$4:$A$26,0)),"")=0,"",IFERROR(INDEX('CAT_ACTIVIDADES'!$F$4:$F$26,MATCH($H1150,'CAT_ACTIVIDADES'!$A$4:$A$26,0)),"")))</f>
        <v/>
      </c>
      <c r="X1150" s="24">
        <f>IF($F1150="","",IFERROR(INDEX('CAT_CENTROS_COSTO'!$F$4:$F$28,MATCH($F1150,'CAT_CENTROS_COSTO'!$A$4:$A$28,0)),"(sin catálogo)"))</f>
        <v/>
      </c>
      <c r="Y1150" s="24">
        <f>IF($F1150="","",IFERROR(INDEX('CAT_CENTROS_COSTO'!$D$4:$D$28,MATCH($F1150,'CAT_CENTROS_COSTO'!$A$4:$A$28,0)),"(sin catálogo)"))</f>
        <v/>
      </c>
      <c r="Z1150" s="24">
        <f>IF($F1150="","",IF((IFERROR(INDEX('CAT_CENTROS_COSTO'!$E$4:$E$28,MATCH($F1150,'CAT_CENTROS_COSTO'!$A$4:$A$28,0)),""))&lt;&gt;"",IFERROR(INDEX('CAT_CENTROS_COSTO'!$E$4:$E$28,MATCH($F1150,'CAT_CENTROS_COSTO'!$A$4:$A$28,0)),""),$Y1150))</f>
        <v/>
      </c>
      <c r="AA1150" s="24">
        <f>IF($F1150="","",IFERROR(INDEX('CAT_CENTROS_COSTO'!$G$4:$G$28,MATCH($F1150,'CAT_CENTROS_COSTO'!$A$4:$A$28,0)),"(sin catálogo)"))</f>
        <v/>
      </c>
      <c r="AB1150" s="24">
        <f>IF($G1150="","",IFERROR(INDEX('CAT_PUESTOS'!$B$4:$B$23,MATCH($G1150,'CAT_PUESTOS'!$A$4:$A$23,0)),"(sin catálogo)"))</f>
        <v/>
      </c>
      <c r="AC1150" s="24">
        <f>IF($H1150="","",IFERROR(INDEX('CAT_ACTIVIDADES'!$B$4:$B$26,MATCH($H1150,'CAT_ACTIVIDADES'!$A$4:$A$26,0)),"(sin catálogo)"))</f>
        <v/>
      </c>
      <c r="AD1150" s="26">
        <f>IF($J1150="","",TODAY()-$J1150)</f>
        <v/>
      </c>
      <c r="AE1150" s="26">
        <f>IF($J1150="","",IF($J1150&lt;=TODAY(),COUNTIFS(cal_fechas,"&gt;="&amp;$J1150,cal_fechas,"&lt;"&amp;TODAY(),cal_habil,"sí"),-COUNTIFS(cal_fechas,"&gt;="&amp;TODAY(),cal_fechas,"&lt;"&amp;$J1150,cal_habil,"sí")))</f>
        <v/>
      </c>
      <c r="AF1150" s="24">
        <f>IF($AE1150="","",IF($AE1150&lt;0,"FUTURO",IF($AE1150&gt;p_dias_backlog_max,"BACKLOG","MES CORRIENTE")))</f>
        <v/>
      </c>
      <c r="AG1150" s="24">
        <f>IF($AE1150="",FALSE,AND($AE1150&gt;p_dias_backlog_min,$AE1150&lt;=p_dias_backlog_max))</f>
        <v/>
      </c>
      <c r="AH1150" s="4" t="n"/>
      <c r="AI1150" s="24">
        <f>IF($AH1150="","",IF((IFERROR(INDEX('ASIGNACIONES'!$J$4:$J$451,MATCH($O1150&amp;"|"&amp;$S1150&amp;"|"&amp;$AH1150,'ASIGNACIONES'!$N$4:$N$451,0)),""))=0,"",IFERROR(INDEX('ASIGNACIONES'!$J$4:$J$451,MATCH($O1150&amp;"|"&amp;$S1150&amp;"|"&amp;$AH1150,'ASIGNACIONES'!$N$4:$N$451,0)),"")))</f>
        <v/>
      </c>
      <c r="AJ1150" s="42">
        <f>IF($AH1150="","",SUMIFS('ORDENES'!$M$4:$M$1203,'ORDENES'!$AH$4:$AH$1203,$AH1150,'ORDENES'!$O$4:$O$1203,$O1150,'ORDENES'!$S$4:$S$1203,$S1150))</f>
        <v/>
      </c>
      <c r="AK1150" s="42">
        <f>IF($AJ1150="","",p_factor_productividad*IFERROR(INDEX('ASIGNACIONES'!$M$4:$M$451,MATCH($O1150&amp;"|"&amp;$S1150&amp;"|"&amp;$AH1150,'ASIGNACIONES'!$N$4:$N$451,0)),0)-$AJ1150)</f>
        <v/>
      </c>
      <c r="AL1150" s="32">
        <f>IF($A1150="","",IFERROR(INDEX('2_IMPORTAR_EJECUCION'!$F$9:$F$1208,MATCH($AU1150,'2_IMPORTAR_EJECUCION'!$J$9:$J$1208,0)),0))</f>
        <v/>
      </c>
      <c r="AM1150" s="32">
        <f>IF($A1150="","",MAX(0,IFERROR(INDEX('2_IMPORTAR_EJECUCION'!$H$9:$H$1208,MATCH($AU1150,'2_IMPORTAR_EJECUCION'!$J$9:$J$1208,0)),0)-$AL1150))</f>
        <v/>
      </c>
      <c r="AN1150" s="32">
        <f>IF($A1150="","",$AL1150+$AM1150)</f>
        <v/>
      </c>
      <c r="AO1150" s="24">
        <f>IF($A1150="","",IF(OR((IFERROR(INDEX('CAT_ACTIVIDADES'!$D$4:$D$26,MATCH($H1150,'CAT_ACTIVIDADES'!$A$4:$A$26,0)),""))=0,(IFERROR(INDEX('CAT_ACTIVIDADES'!$D$4:$D$26,MATCH($H1150,'CAT_ACTIVIDADES'!$A$4:$A$26,0)),""))=""),"SIN CLASIFICAR",IFERROR(INDEX('CAT_ACTIVIDADES'!$D$4:$D$26,MATCH($H1150,'CAT_ACTIVIDADES'!$A$4:$A$26,0)),"")))</f>
        <v/>
      </c>
      <c r="AP1150" s="4" t="n"/>
      <c r="AQ1150" s="4" t="n"/>
      <c r="AR1150" s="4" t="n"/>
      <c r="AS1150" s="24">
        <f>IF($AR1150="","",HYPERLINK(p_ruta_base_checklists&amp;$AR1150,"abrir"))</f>
        <v/>
      </c>
      <c r="AT1150" s="4" t="n"/>
      <c r="AU1150" s="24">
        <f>IF($A1150="","",$A1150&amp;IF($B1150="","0010",$B1150))</f>
        <v/>
      </c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41" t="n"/>
      <c r="K1151" s="5" t="n"/>
      <c r="L1151" s="18" t="n"/>
      <c r="M1151" s="24">
        <f>IF($A1151="","",IFERROR(INDEX('AJUSTES'!$B$4:$B$303,MATCH($AU1151,'AJUSTES'!$A$4:$A$303,0)),IF($K1151="","",$K1151)))</f>
        <v/>
      </c>
      <c r="N1151" s="24">
        <f>IF($A1151="","",IFERROR(INDEX('CAT_ESTADOS_ERP'!$B$4:$B$22,MATCH(IFERROR(INDEX('2_IMPORTAR_EJECUCION'!$C$9:$C$1208,MATCH($AU1151,'2_IMPORTAR_EJECUCION'!$J$9:$J$1208,0)),""),'CAT_ESTADOS_ERP'!$A$4:$A$22,0)),"Pendiente"))</f>
        <v/>
      </c>
      <c r="O1151" s="24">
        <f>IF($J1151="","",YEAR($J1151+4-WEEKDAY($J1151,2))&amp;"-S"&amp;TEXT(_xlfn.ISOWEEKNUM($J1151),"00"))</f>
        <v/>
      </c>
      <c r="P1151" s="24">
        <f>IF($J1151="","",YEAR($J1151))</f>
        <v/>
      </c>
      <c r="Q1151" s="24">
        <f>IF($J1151="","",MONTH($J1151))</f>
        <v/>
      </c>
      <c r="R1151" s="24">
        <f>IF($J1151="","",$P1151&amp;"-"&amp;TEXT($Q1151,"00"))</f>
        <v/>
      </c>
      <c r="S1151" s="24">
        <f>IF($J1151="","",INDEX(lista_dias,WEEKDAY($J1151,2)))</f>
        <v/>
      </c>
      <c r="T1151" s="24">
        <f>IF($J1151="","",IFERROR(INDEX('CALENDARIO'!$C$15:$C$214,MATCH(TEXT($J1151,"yyyy-mm-dd")&amp;"|"&amp;$Y1151&amp;"|"&amp;$Z1151,'CALENDARIO'!$G$15:$G$214,0)),IFERROR(INDEX('CALENDARIO'!$C$15:$C$214,MATCH(TEXT($J1151,"yyyy-mm-dd")&amp;"|"&amp;$Y1151&amp;"|",'CALENDARIO'!$G$15:$G$214,0)),IFERROR(INDEX('CALENDARIO'!$C$15:$C$214,MATCH(TEXT($J1151,"yyyy-mm-dd")&amp;"||",'CALENDARIO'!$G$15:$G$214,0)),INDEX(patronHabil,WEEKDAY($J1151,2))))))</f>
        <v/>
      </c>
      <c r="U1151" s="24">
        <f>IF($I1151="","",IFERROR(INDEX('CAT_TIPOS_OT'!$C$4:$C$23,MATCH($I1151,'CAT_TIPOS_OT'!$A$4:$A$23,0)),"sin_clasificar"))</f>
        <v/>
      </c>
      <c r="V1151" s="24">
        <f>IF($I1151="","",IF(IFERROR(INDEX('CAT_TIPOS_OT'!$D$4:$D$23,MATCH($I1151,'CAT_TIPOS_OT'!$A$4:$A$23,0)),"SIN CLASIFICAR")="","SIN CLASIFICAR",IFERROR(INDEX('CAT_TIPOS_OT'!$D$4:$D$23,MATCH($I1151,'CAT_TIPOS_OT'!$A$4:$A$23,0)),"SIN CLASIFICAR")))</f>
        <v/>
      </c>
      <c r="W1151" s="24">
        <f>IF($H1151="","",IF(IFERROR(INDEX('CAT_ACTIVIDADES'!$F$4:$F$26,MATCH($H1151,'CAT_ACTIVIDADES'!$A$4:$A$26,0)),"")=0,"",IFERROR(INDEX('CAT_ACTIVIDADES'!$F$4:$F$26,MATCH($H1151,'CAT_ACTIVIDADES'!$A$4:$A$26,0)),"")))</f>
        <v/>
      </c>
      <c r="X1151" s="24">
        <f>IF($F1151="","",IFERROR(INDEX('CAT_CENTROS_COSTO'!$F$4:$F$28,MATCH($F1151,'CAT_CENTROS_COSTO'!$A$4:$A$28,0)),"(sin catálogo)"))</f>
        <v/>
      </c>
      <c r="Y1151" s="24">
        <f>IF($F1151="","",IFERROR(INDEX('CAT_CENTROS_COSTO'!$D$4:$D$28,MATCH($F1151,'CAT_CENTROS_COSTO'!$A$4:$A$28,0)),"(sin catálogo)"))</f>
        <v/>
      </c>
      <c r="Z1151" s="24">
        <f>IF($F1151="","",IF((IFERROR(INDEX('CAT_CENTROS_COSTO'!$E$4:$E$28,MATCH($F1151,'CAT_CENTROS_COSTO'!$A$4:$A$28,0)),""))&lt;&gt;"",IFERROR(INDEX('CAT_CENTROS_COSTO'!$E$4:$E$28,MATCH($F1151,'CAT_CENTROS_COSTO'!$A$4:$A$28,0)),""),$Y1151))</f>
        <v/>
      </c>
      <c r="AA1151" s="24">
        <f>IF($F1151="","",IFERROR(INDEX('CAT_CENTROS_COSTO'!$G$4:$G$28,MATCH($F1151,'CAT_CENTROS_COSTO'!$A$4:$A$28,0)),"(sin catálogo)"))</f>
        <v/>
      </c>
      <c r="AB1151" s="24">
        <f>IF($G1151="","",IFERROR(INDEX('CAT_PUESTOS'!$B$4:$B$23,MATCH($G1151,'CAT_PUESTOS'!$A$4:$A$23,0)),"(sin catálogo)"))</f>
        <v/>
      </c>
      <c r="AC1151" s="24">
        <f>IF($H1151="","",IFERROR(INDEX('CAT_ACTIVIDADES'!$B$4:$B$26,MATCH($H1151,'CAT_ACTIVIDADES'!$A$4:$A$26,0)),"(sin catálogo)"))</f>
        <v/>
      </c>
      <c r="AD1151" s="26">
        <f>IF($J1151="","",TODAY()-$J1151)</f>
        <v/>
      </c>
      <c r="AE1151" s="26">
        <f>IF($J1151="","",IF($J1151&lt;=TODAY(),COUNTIFS(cal_fechas,"&gt;="&amp;$J1151,cal_fechas,"&lt;"&amp;TODAY(),cal_habil,"sí"),-COUNTIFS(cal_fechas,"&gt;="&amp;TODAY(),cal_fechas,"&lt;"&amp;$J1151,cal_habil,"sí")))</f>
        <v/>
      </c>
      <c r="AF1151" s="24">
        <f>IF($AE1151="","",IF($AE1151&lt;0,"FUTURO",IF($AE1151&gt;p_dias_backlog_max,"BACKLOG","MES CORRIENTE")))</f>
        <v/>
      </c>
      <c r="AG1151" s="24">
        <f>IF($AE1151="",FALSE,AND($AE1151&gt;p_dias_backlog_min,$AE1151&lt;=p_dias_backlog_max))</f>
        <v/>
      </c>
      <c r="AH1151" s="4" t="n"/>
      <c r="AI1151" s="24">
        <f>IF($AH1151="","",IF((IFERROR(INDEX('ASIGNACIONES'!$J$4:$J$451,MATCH($O1151&amp;"|"&amp;$S1151&amp;"|"&amp;$AH1151,'ASIGNACIONES'!$N$4:$N$451,0)),""))=0,"",IFERROR(INDEX('ASIGNACIONES'!$J$4:$J$451,MATCH($O1151&amp;"|"&amp;$S1151&amp;"|"&amp;$AH1151,'ASIGNACIONES'!$N$4:$N$451,0)),"")))</f>
        <v/>
      </c>
      <c r="AJ1151" s="42">
        <f>IF($AH1151="","",SUMIFS('ORDENES'!$M$4:$M$1203,'ORDENES'!$AH$4:$AH$1203,$AH1151,'ORDENES'!$O$4:$O$1203,$O1151,'ORDENES'!$S$4:$S$1203,$S1151))</f>
        <v/>
      </c>
      <c r="AK1151" s="42">
        <f>IF($AJ1151="","",p_factor_productividad*IFERROR(INDEX('ASIGNACIONES'!$M$4:$M$451,MATCH($O1151&amp;"|"&amp;$S1151&amp;"|"&amp;$AH1151,'ASIGNACIONES'!$N$4:$N$451,0)),0)-$AJ1151)</f>
        <v/>
      </c>
      <c r="AL1151" s="32">
        <f>IF($A1151="","",IFERROR(INDEX('2_IMPORTAR_EJECUCION'!$F$9:$F$1208,MATCH($AU1151,'2_IMPORTAR_EJECUCION'!$J$9:$J$1208,0)),0))</f>
        <v/>
      </c>
      <c r="AM1151" s="32">
        <f>IF($A1151="","",MAX(0,IFERROR(INDEX('2_IMPORTAR_EJECUCION'!$H$9:$H$1208,MATCH($AU1151,'2_IMPORTAR_EJECUCION'!$J$9:$J$1208,0)),0)-$AL1151))</f>
        <v/>
      </c>
      <c r="AN1151" s="32">
        <f>IF($A1151="","",$AL1151+$AM1151)</f>
        <v/>
      </c>
      <c r="AO1151" s="24">
        <f>IF($A1151="","",IF(OR((IFERROR(INDEX('CAT_ACTIVIDADES'!$D$4:$D$26,MATCH($H1151,'CAT_ACTIVIDADES'!$A$4:$A$26,0)),""))=0,(IFERROR(INDEX('CAT_ACTIVIDADES'!$D$4:$D$26,MATCH($H1151,'CAT_ACTIVIDADES'!$A$4:$A$26,0)),""))=""),"SIN CLASIFICAR",IFERROR(INDEX('CAT_ACTIVIDADES'!$D$4:$D$26,MATCH($H1151,'CAT_ACTIVIDADES'!$A$4:$A$26,0)),"")))</f>
        <v/>
      </c>
      <c r="AP1151" s="4" t="n"/>
      <c r="AQ1151" s="4" t="n"/>
      <c r="AR1151" s="4" t="n"/>
      <c r="AS1151" s="24">
        <f>IF($AR1151="","",HYPERLINK(p_ruta_base_checklists&amp;$AR1151,"abrir"))</f>
        <v/>
      </c>
      <c r="AT1151" s="4" t="n"/>
      <c r="AU1151" s="24">
        <f>IF($A1151="","",$A1151&amp;IF($B1151="","0010",$B1151))</f>
        <v/>
      </c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41" t="n"/>
      <c r="K1152" s="5" t="n"/>
      <c r="L1152" s="18" t="n"/>
      <c r="M1152" s="24">
        <f>IF($A1152="","",IFERROR(INDEX('AJUSTES'!$B$4:$B$303,MATCH($AU1152,'AJUSTES'!$A$4:$A$303,0)),IF($K1152="","",$K1152)))</f>
        <v/>
      </c>
      <c r="N1152" s="24">
        <f>IF($A1152="","",IFERROR(INDEX('CAT_ESTADOS_ERP'!$B$4:$B$22,MATCH(IFERROR(INDEX('2_IMPORTAR_EJECUCION'!$C$9:$C$1208,MATCH($AU1152,'2_IMPORTAR_EJECUCION'!$J$9:$J$1208,0)),""),'CAT_ESTADOS_ERP'!$A$4:$A$22,0)),"Pendiente"))</f>
        <v/>
      </c>
      <c r="O1152" s="24">
        <f>IF($J1152="","",YEAR($J1152+4-WEEKDAY($J1152,2))&amp;"-S"&amp;TEXT(_xlfn.ISOWEEKNUM($J1152),"00"))</f>
        <v/>
      </c>
      <c r="P1152" s="24">
        <f>IF($J1152="","",YEAR($J1152))</f>
        <v/>
      </c>
      <c r="Q1152" s="24">
        <f>IF($J1152="","",MONTH($J1152))</f>
        <v/>
      </c>
      <c r="R1152" s="24">
        <f>IF($J1152="","",$P1152&amp;"-"&amp;TEXT($Q1152,"00"))</f>
        <v/>
      </c>
      <c r="S1152" s="24">
        <f>IF($J1152="","",INDEX(lista_dias,WEEKDAY($J1152,2)))</f>
        <v/>
      </c>
      <c r="T1152" s="24">
        <f>IF($J1152="","",IFERROR(INDEX('CALENDARIO'!$C$15:$C$214,MATCH(TEXT($J1152,"yyyy-mm-dd")&amp;"|"&amp;$Y1152&amp;"|"&amp;$Z1152,'CALENDARIO'!$G$15:$G$214,0)),IFERROR(INDEX('CALENDARIO'!$C$15:$C$214,MATCH(TEXT($J1152,"yyyy-mm-dd")&amp;"|"&amp;$Y1152&amp;"|",'CALENDARIO'!$G$15:$G$214,0)),IFERROR(INDEX('CALENDARIO'!$C$15:$C$214,MATCH(TEXT($J1152,"yyyy-mm-dd")&amp;"||",'CALENDARIO'!$G$15:$G$214,0)),INDEX(patronHabil,WEEKDAY($J1152,2))))))</f>
        <v/>
      </c>
      <c r="U1152" s="24">
        <f>IF($I1152="","",IFERROR(INDEX('CAT_TIPOS_OT'!$C$4:$C$23,MATCH($I1152,'CAT_TIPOS_OT'!$A$4:$A$23,0)),"sin_clasificar"))</f>
        <v/>
      </c>
      <c r="V1152" s="24">
        <f>IF($I1152="","",IF(IFERROR(INDEX('CAT_TIPOS_OT'!$D$4:$D$23,MATCH($I1152,'CAT_TIPOS_OT'!$A$4:$A$23,0)),"SIN CLASIFICAR")="","SIN CLASIFICAR",IFERROR(INDEX('CAT_TIPOS_OT'!$D$4:$D$23,MATCH($I1152,'CAT_TIPOS_OT'!$A$4:$A$23,0)),"SIN CLASIFICAR")))</f>
        <v/>
      </c>
      <c r="W1152" s="24">
        <f>IF($H1152="","",IF(IFERROR(INDEX('CAT_ACTIVIDADES'!$F$4:$F$26,MATCH($H1152,'CAT_ACTIVIDADES'!$A$4:$A$26,0)),"")=0,"",IFERROR(INDEX('CAT_ACTIVIDADES'!$F$4:$F$26,MATCH($H1152,'CAT_ACTIVIDADES'!$A$4:$A$26,0)),"")))</f>
        <v/>
      </c>
      <c r="X1152" s="24">
        <f>IF($F1152="","",IFERROR(INDEX('CAT_CENTROS_COSTO'!$F$4:$F$28,MATCH($F1152,'CAT_CENTROS_COSTO'!$A$4:$A$28,0)),"(sin catálogo)"))</f>
        <v/>
      </c>
      <c r="Y1152" s="24">
        <f>IF($F1152="","",IFERROR(INDEX('CAT_CENTROS_COSTO'!$D$4:$D$28,MATCH($F1152,'CAT_CENTROS_COSTO'!$A$4:$A$28,0)),"(sin catálogo)"))</f>
        <v/>
      </c>
      <c r="Z1152" s="24">
        <f>IF($F1152="","",IF((IFERROR(INDEX('CAT_CENTROS_COSTO'!$E$4:$E$28,MATCH($F1152,'CAT_CENTROS_COSTO'!$A$4:$A$28,0)),""))&lt;&gt;"",IFERROR(INDEX('CAT_CENTROS_COSTO'!$E$4:$E$28,MATCH($F1152,'CAT_CENTROS_COSTO'!$A$4:$A$28,0)),""),$Y1152))</f>
        <v/>
      </c>
      <c r="AA1152" s="24">
        <f>IF($F1152="","",IFERROR(INDEX('CAT_CENTROS_COSTO'!$G$4:$G$28,MATCH($F1152,'CAT_CENTROS_COSTO'!$A$4:$A$28,0)),"(sin catálogo)"))</f>
        <v/>
      </c>
      <c r="AB1152" s="24">
        <f>IF($G1152="","",IFERROR(INDEX('CAT_PUESTOS'!$B$4:$B$23,MATCH($G1152,'CAT_PUESTOS'!$A$4:$A$23,0)),"(sin catálogo)"))</f>
        <v/>
      </c>
      <c r="AC1152" s="24">
        <f>IF($H1152="","",IFERROR(INDEX('CAT_ACTIVIDADES'!$B$4:$B$26,MATCH($H1152,'CAT_ACTIVIDADES'!$A$4:$A$26,0)),"(sin catálogo)"))</f>
        <v/>
      </c>
      <c r="AD1152" s="26">
        <f>IF($J1152="","",TODAY()-$J1152)</f>
        <v/>
      </c>
      <c r="AE1152" s="26">
        <f>IF($J1152="","",IF($J1152&lt;=TODAY(),COUNTIFS(cal_fechas,"&gt;="&amp;$J1152,cal_fechas,"&lt;"&amp;TODAY(),cal_habil,"sí"),-COUNTIFS(cal_fechas,"&gt;="&amp;TODAY(),cal_fechas,"&lt;"&amp;$J1152,cal_habil,"sí")))</f>
        <v/>
      </c>
      <c r="AF1152" s="24">
        <f>IF($AE1152="","",IF($AE1152&lt;0,"FUTURO",IF($AE1152&gt;p_dias_backlog_max,"BACKLOG","MES CORRIENTE")))</f>
        <v/>
      </c>
      <c r="AG1152" s="24">
        <f>IF($AE1152="",FALSE,AND($AE1152&gt;p_dias_backlog_min,$AE1152&lt;=p_dias_backlog_max))</f>
        <v/>
      </c>
      <c r="AH1152" s="4" t="n"/>
      <c r="AI1152" s="24">
        <f>IF($AH1152="","",IF((IFERROR(INDEX('ASIGNACIONES'!$J$4:$J$451,MATCH($O1152&amp;"|"&amp;$S1152&amp;"|"&amp;$AH1152,'ASIGNACIONES'!$N$4:$N$451,0)),""))=0,"",IFERROR(INDEX('ASIGNACIONES'!$J$4:$J$451,MATCH($O1152&amp;"|"&amp;$S1152&amp;"|"&amp;$AH1152,'ASIGNACIONES'!$N$4:$N$451,0)),"")))</f>
        <v/>
      </c>
      <c r="AJ1152" s="42">
        <f>IF($AH1152="","",SUMIFS('ORDENES'!$M$4:$M$1203,'ORDENES'!$AH$4:$AH$1203,$AH1152,'ORDENES'!$O$4:$O$1203,$O1152,'ORDENES'!$S$4:$S$1203,$S1152))</f>
        <v/>
      </c>
      <c r="AK1152" s="42">
        <f>IF($AJ1152="","",p_factor_productividad*IFERROR(INDEX('ASIGNACIONES'!$M$4:$M$451,MATCH($O1152&amp;"|"&amp;$S1152&amp;"|"&amp;$AH1152,'ASIGNACIONES'!$N$4:$N$451,0)),0)-$AJ1152)</f>
        <v/>
      </c>
      <c r="AL1152" s="32">
        <f>IF($A1152="","",IFERROR(INDEX('2_IMPORTAR_EJECUCION'!$F$9:$F$1208,MATCH($AU1152,'2_IMPORTAR_EJECUCION'!$J$9:$J$1208,0)),0))</f>
        <v/>
      </c>
      <c r="AM1152" s="32">
        <f>IF($A1152="","",MAX(0,IFERROR(INDEX('2_IMPORTAR_EJECUCION'!$H$9:$H$1208,MATCH($AU1152,'2_IMPORTAR_EJECUCION'!$J$9:$J$1208,0)),0)-$AL1152))</f>
        <v/>
      </c>
      <c r="AN1152" s="32">
        <f>IF($A1152="","",$AL1152+$AM1152)</f>
        <v/>
      </c>
      <c r="AO1152" s="24">
        <f>IF($A1152="","",IF(OR((IFERROR(INDEX('CAT_ACTIVIDADES'!$D$4:$D$26,MATCH($H1152,'CAT_ACTIVIDADES'!$A$4:$A$26,0)),""))=0,(IFERROR(INDEX('CAT_ACTIVIDADES'!$D$4:$D$26,MATCH($H1152,'CAT_ACTIVIDADES'!$A$4:$A$26,0)),""))=""),"SIN CLASIFICAR",IFERROR(INDEX('CAT_ACTIVIDADES'!$D$4:$D$26,MATCH($H1152,'CAT_ACTIVIDADES'!$A$4:$A$26,0)),"")))</f>
        <v/>
      </c>
      <c r="AP1152" s="4" t="n"/>
      <c r="AQ1152" s="4" t="n"/>
      <c r="AR1152" s="4" t="n"/>
      <c r="AS1152" s="24">
        <f>IF($AR1152="","",HYPERLINK(p_ruta_base_checklists&amp;$AR1152,"abrir"))</f>
        <v/>
      </c>
      <c r="AT1152" s="4" t="n"/>
      <c r="AU1152" s="24">
        <f>IF($A1152="","",$A1152&amp;IF($B1152="","0010",$B1152))</f>
        <v/>
      </c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41" t="n"/>
      <c r="K1153" s="5" t="n"/>
      <c r="L1153" s="18" t="n"/>
      <c r="M1153" s="24">
        <f>IF($A1153="","",IFERROR(INDEX('AJUSTES'!$B$4:$B$303,MATCH($AU1153,'AJUSTES'!$A$4:$A$303,0)),IF($K1153="","",$K1153)))</f>
        <v/>
      </c>
      <c r="N1153" s="24">
        <f>IF($A1153="","",IFERROR(INDEX('CAT_ESTADOS_ERP'!$B$4:$B$22,MATCH(IFERROR(INDEX('2_IMPORTAR_EJECUCION'!$C$9:$C$1208,MATCH($AU1153,'2_IMPORTAR_EJECUCION'!$J$9:$J$1208,0)),""),'CAT_ESTADOS_ERP'!$A$4:$A$22,0)),"Pendiente"))</f>
        <v/>
      </c>
      <c r="O1153" s="24">
        <f>IF($J1153="","",YEAR($J1153+4-WEEKDAY($J1153,2))&amp;"-S"&amp;TEXT(_xlfn.ISOWEEKNUM($J1153),"00"))</f>
        <v/>
      </c>
      <c r="P1153" s="24">
        <f>IF($J1153="","",YEAR($J1153))</f>
        <v/>
      </c>
      <c r="Q1153" s="24">
        <f>IF($J1153="","",MONTH($J1153))</f>
        <v/>
      </c>
      <c r="R1153" s="24">
        <f>IF($J1153="","",$P1153&amp;"-"&amp;TEXT($Q1153,"00"))</f>
        <v/>
      </c>
      <c r="S1153" s="24">
        <f>IF($J1153="","",INDEX(lista_dias,WEEKDAY($J1153,2)))</f>
        <v/>
      </c>
      <c r="T1153" s="24">
        <f>IF($J1153="","",IFERROR(INDEX('CALENDARIO'!$C$15:$C$214,MATCH(TEXT($J1153,"yyyy-mm-dd")&amp;"|"&amp;$Y1153&amp;"|"&amp;$Z1153,'CALENDARIO'!$G$15:$G$214,0)),IFERROR(INDEX('CALENDARIO'!$C$15:$C$214,MATCH(TEXT($J1153,"yyyy-mm-dd")&amp;"|"&amp;$Y1153&amp;"|",'CALENDARIO'!$G$15:$G$214,0)),IFERROR(INDEX('CALENDARIO'!$C$15:$C$214,MATCH(TEXT($J1153,"yyyy-mm-dd")&amp;"||",'CALENDARIO'!$G$15:$G$214,0)),INDEX(patronHabil,WEEKDAY($J1153,2))))))</f>
        <v/>
      </c>
      <c r="U1153" s="24">
        <f>IF($I1153="","",IFERROR(INDEX('CAT_TIPOS_OT'!$C$4:$C$23,MATCH($I1153,'CAT_TIPOS_OT'!$A$4:$A$23,0)),"sin_clasificar"))</f>
        <v/>
      </c>
      <c r="V1153" s="24">
        <f>IF($I1153="","",IF(IFERROR(INDEX('CAT_TIPOS_OT'!$D$4:$D$23,MATCH($I1153,'CAT_TIPOS_OT'!$A$4:$A$23,0)),"SIN CLASIFICAR")="","SIN CLASIFICAR",IFERROR(INDEX('CAT_TIPOS_OT'!$D$4:$D$23,MATCH($I1153,'CAT_TIPOS_OT'!$A$4:$A$23,0)),"SIN CLASIFICAR")))</f>
        <v/>
      </c>
      <c r="W1153" s="24">
        <f>IF($H1153="","",IF(IFERROR(INDEX('CAT_ACTIVIDADES'!$F$4:$F$26,MATCH($H1153,'CAT_ACTIVIDADES'!$A$4:$A$26,0)),"")=0,"",IFERROR(INDEX('CAT_ACTIVIDADES'!$F$4:$F$26,MATCH($H1153,'CAT_ACTIVIDADES'!$A$4:$A$26,0)),"")))</f>
        <v/>
      </c>
      <c r="X1153" s="24">
        <f>IF($F1153="","",IFERROR(INDEX('CAT_CENTROS_COSTO'!$F$4:$F$28,MATCH($F1153,'CAT_CENTROS_COSTO'!$A$4:$A$28,0)),"(sin catálogo)"))</f>
        <v/>
      </c>
      <c r="Y1153" s="24">
        <f>IF($F1153="","",IFERROR(INDEX('CAT_CENTROS_COSTO'!$D$4:$D$28,MATCH($F1153,'CAT_CENTROS_COSTO'!$A$4:$A$28,0)),"(sin catálogo)"))</f>
        <v/>
      </c>
      <c r="Z1153" s="24">
        <f>IF($F1153="","",IF((IFERROR(INDEX('CAT_CENTROS_COSTO'!$E$4:$E$28,MATCH($F1153,'CAT_CENTROS_COSTO'!$A$4:$A$28,0)),""))&lt;&gt;"",IFERROR(INDEX('CAT_CENTROS_COSTO'!$E$4:$E$28,MATCH($F1153,'CAT_CENTROS_COSTO'!$A$4:$A$28,0)),""),$Y1153))</f>
        <v/>
      </c>
      <c r="AA1153" s="24">
        <f>IF($F1153="","",IFERROR(INDEX('CAT_CENTROS_COSTO'!$G$4:$G$28,MATCH($F1153,'CAT_CENTROS_COSTO'!$A$4:$A$28,0)),"(sin catálogo)"))</f>
        <v/>
      </c>
      <c r="AB1153" s="24">
        <f>IF($G1153="","",IFERROR(INDEX('CAT_PUESTOS'!$B$4:$B$23,MATCH($G1153,'CAT_PUESTOS'!$A$4:$A$23,0)),"(sin catálogo)"))</f>
        <v/>
      </c>
      <c r="AC1153" s="24">
        <f>IF($H1153="","",IFERROR(INDEX('CAT_ACTIVIDADES'!$B$4:$B$26,MATCH($H1153,'CAT_ACTIVIDADES'!$A$4:$A$26,0)),"(sin catálogo)"))</f>
        <v/>
      </c>
      <c r="AD1153" s="26">
        <f>IF($J1153="","",TODAY()-$J1153)</f>
        <v/>
      </c>
      <c r="AE1153" s="26">
        <f>IF($J1153="","",IF($J1153&lt;=TODAY(),COUNTIFS(cal_fechas,"&gt;="&amp;$J1153,cal_fechas,"&lt;"&amp;TODAY(),cal_habil,"sí"),-COUNTIFS(cal_fechas,"&gt;="&amp;TODAY(),cal_fechas,"&lt;"&amp;$J1153,cal_habil,"sí")))</f>
        <v/>
      </c>
      <c r="AF1153" s="24">
        <f>IF($AE1153="","",IF($AE1153&lt;0,"FUTURO",IF($AE1153&gt;p_dias_backlog_max,"BACKLOG","MES CORRIENTE")))</f>
        <v/>
      </c>
      <c r="AG1153" s="24">
        <f>IF($AE1153="",FALSE,AND($AE1153&gt;p_dias_backlog_min,$AE1153&lt;=p_dias_backlog_max))</f>
        <v/>
      </c>
      <c r="AH1153" s="4" t="n"/>
      <c r="AI1153" s="24">
        <f>IF($AH1153="","",IF((IFERROR(INDEX('ASIGNACIONES'!$J$4:$J$451,MATCH($O1153&amp;"|"&amp;$S1153&amp;"|"&amp;$AH1153,'ASIGNACIONES'!$N$4:$N$451,0)),""))=0,"",IFERROR(INDEX('ASIGNACIONES'!$J$4:$J$451,MATCH($O1153&amp;"|"&amp;$S1153&amp;"|"&amp;$AH1153,'ASIGNACIONES'!$N$4:$N$451,0)),"")))</f>
        <v/>
      </c>
      <c r="AJ1153" s="42">
        <f>IF($AH1153="","",SUMIFS('ORDENES'!$M$4:$M$1203,'ORDENES'!$AH$4:$AH$1203,$AH1153,'ORDENES'!$O$4:$O$1203,$O1153,'ORDENES'!$S$4:$S$1203,$S1153))</f>
        <v/>
      </c>
      <c r="AK1153" s="42">
        <f>IF($AJ1153="","",p_factor_productividad*IFERROR(INDEX('ASIGNACIONES'!$M$4:$M$451,MATCH($O1153&amp;"|"&amp;$S1153&amp;"|"&amp;$AH1153,'ASIGNACIONES'!$N$4:$N$451,0)),0)-$AJ1153)</f>
        <v/>
      </c>
      <c r="AL1153" s="32">
        <f>IF($A1153="","",IFERROR(INDEX('2_IMPORTAR_EJECUCION'!$F$9:$F$1208,MATCH($AU1153,'2_IMPORTAR_EJECUCION'!$J$9:$J$1208,0)),0))</f>
        <v/>
      </c>
      <c r="AM1153" s="32">
        <f>IF($A1153="","",MAX(0,IFERROR(INDEX('2_IMPORTAR_EJECUCION'!$H$9:$H$1208,MATCH($AU1153,'2_IMPORTAR_EJECUCION'!$J$9:$J$1208,0)),0)-$AL1153))</f>
        <v/>
      </c>
      <c r="AN1153" s="32">
        <f>IF($A1153="","",$AL1153+$AM1153)</f>
        <v/>
      </c>
      <c r="AO1153" s="24">
        <f>IF($A1153="","",IF(OR((IFERROR(INDEX('CAT_ACTIVIDADES'!$D$4:$D$26,MATCH($H1153,'CAT_ACTIVIDADES'!$A$4:$A$26,0)),""))=0,(IFERROR(INDEX('CAT_ACTIVIDADES'!$D$4:$D$26,MATCH($H1153,'CAT_ACTIVIDADES'!$A$4:$A$26,0)),""))=""),"SIN CLASIFICAR",IFERROR(INDEX('CAT_ACTIVIDADES'!$D$4:$D$26,MATCH($H1153,'CAT_ACTIVIDADES'!$A$4:$A$26,0)),"")))</f>
        <v/>
      </c>
      <c r="AP1153" s="4" t="n"/>
      <c r="AQ1153" s="4" t="n"/>
      <c r="AR1153" s="4" t="n"/>
      <c r="AS1153" s="24">
        <f>IF($AR1153="","",HYPERLINK(p_ruta_base_checklists&amp;$AR1153,"abrir"))</f>
        <v/>
      </c>
      <c r="AT1153" s="4" t="n"/>
      <c r="AU1153" s="24">
        <f>IF($A1153="","",$A1153&amp;IF($B1153="","0010",$B1153))</f>
        <v/>
      </c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41" t="n"/>
      <c r="K1154" s="5" t="n"/>
      <c r="L1154" s="18" t="n"/>
      <c r="M1154" s="24">
        <f>IF($A1154="","",IFERROR(INDEX('AJUSTES'!$B$4:$B$303,MATCH($AU1154,'AJUSTES'!$A$4:$A$303,0)),IF($K1154="","",$K1154)))</f>
        <v/>
      </c>
      <c r="N1154" s="24">
        <f>IF($A1154="","",IFERROR(INDEX('CAT_ESTADOS_ERP'!$B$4:$B$22,MATCH(IFERROR(INDEX('2_IMPORTAR_EJECUCION'!$C$9:$C$1208,MATCH($AU1154,'2_IMPORTAR_EJECUCION'!$J$9:$J$1208,0)),""),'CAT_ESTADOS_ERP'!$A$4:$A$22,0)),"Pendiente"))</f>
        <v/>
      </c>
      <c r="O1154" s="24">
        <f>IF($J1154="","",YEAR($J1154+4-WEEKDAY($J1154,2))&amp;"-S"&amp;TEXT(_xlfn.ISOWEEKNUM($J1154),"00"))</f>
        <v/>
      </c>
      <c r="P1154" s="24">
        <f>IF($J1154="","",YEAR($J1154))</f>
        <v/>
      </c>
      <c r="Q1154" s="24">
        <f>IF($J1154="","",MONTH($J1154))</f>
        <v/>
      </c>
      <c r="R1154" s="24">
        <f>IF($J1154="","",$P1154&amp;"-"&amp;TEXT($Q1154,"00"))</f>
        <v/>
      </c>
      <c r="S1154" s="24">
        <f>IF($J1154="","",INDEX(lista_dias,WEEKDAY($J1154,2)))</f>
        <v/>
      </c>
      <c r="T1154" s="24">
        <f>IF($J1154="","",IFERROR(INDEX('CALENDARIO'!$C$15:$C$214,MATCH(TEXT($J1154,"yyyy-mm-dd")&amp;"|"&amp;$Y1154&amp;"|"&amp;$Z1154,'CALENDARIO'!$G$15:$G$214,0)),IFERROR(INDEX('CALENDARIO'!$C$15:$C$214,MATCH(TEXT($J1154,"yyyy-mm-dd")&amp;"|"&amp;$Y1154&amp;"|",'CALENDARIO'!$G$15:$G$214,0)),IFERROR(INDEX('CALENDARIO'!$C$15:$C$214,MATCH(TEXT($J1154,"yyyy-mm-dd")&amp;"||",'CALENDARIO'!$G$15:$G$214,0)),INDEX(patronHabil,WEEKDAY($J1154,2))))))</f>
        <v/>
      </c>
      <c r="U1154" s="24">
        <f>IF($I1154="","",IFERROR(INDEX('CAT_TIPOS_OT'!$C$4:$C$23,MATCH($I1154,'CAT_TIPOS_OT'!$A$4:$A$23,0)),"sin_clasificar"))</f>
        <v/>
      </c>
      <c r="V1154" s="24">
        <f>IF($I1154="","",IF(IFERROR(INDEX('CAT_TIPOS_OT'!$D$4:$D$23,MATCH($I1154,'CAT_TIPOS_OT'!$A$4:$A$23,0)),"SIN CLASIFICAR")="","SIN CLASIFICAR",IFERROR(INDEX('CAT_TIPOS_OT'!$D$4:$D$23,MATCH($I1154,'CAT_TIPOS_OT'!$A$4:$A$23,0)),"SIN CLASIFICAR")))</f>
        <v/>
      </c>
      <c r="W1154" s="24">
        <f>IF($H1154="","",IF(IFERROR(INDEX('CAT_ACTIVIDADES'!$F$4:$F$26,MATCH($H1154,'CAT_ACTIVIDADES'!$A$4:$A$26,0)),"")=0,"",IFERROR(INDEX('CAT_ACTIVIDADES'!$F$4:$F$26,MATCH($H1154,'CAT_ACTIVIDADES'!$A$4:$A$26,0)),"")))</f>
        <v/>
      </c>
      <c r="X1154" s="24">
        <f>IF($F1154="","",IFERROR(INDEX('CAT_CENTROS_COSTO'!$F$4:$F$28,MATCH($F1154,'CAT_CENTROS_COSTO'!$A$4:$A$28,0)),"(sin catálogo)"))</f>
        <v/>
      </c>
      <c r="Y1154" s="24">
        <f>IF($F1154="","",IFERROR(INDEX('CAT_CENTROS_COSTO'!$D$4:$D$28,MATCH($F1154,'CAT_CENTROS_COSTO'!$A$4:$A$28,0)),"(sin catálogo)"))</f>
        <v/>
      </c>
      <c r="Z1154" s="24">
        <f>IF($F1154="","",IF((IFERROR(INDEX('CAT_CENTROS_COSTO'!$E$4:$E$28,MATCH($F1154,'CAT_CENTROS_COSTO'!$A$4:$A$28,0)),""))&lt;&gt;"",IFERROR(INDEX('CAT_CENTROS_COSTO'!$E$4:$E$28,MATCH($F1154,'CAT_CENTROS_COSTO'!$A$4:$A$28,0)),""),$Y1154))</f>
        <v/>
      </c>
      <c r="AA1154" s="24">
        <f>IF($F1154="","",IFERROR(INDEX('CAT_CENTROS_COSTO'!$G$4:$G$28,MATCH($F1154,'CAT_CENTROS_COSTO'!$A$4:$A$28,0)),"(sin catálogo)"))</f>
        <v/>
      </c>
      <c r="AB1154" s="24">
        <f>IF($G1154="","",IFERROR(INDEX('CAT_PUESTOS'!$B$4:$B$23,MATCH($G1154,'CAT_PUESTOS'!$A$4:$A$23,0)),"(sin catálogo)"))</f>
        <v/>
      </c>
      <c r="AC1154" s="24">
        <f>IF($H1154="","",IFERROR(INDEX('CAT_ACTIVIDADES'!$B$4:$B$26,MATCH($H1154,'CAT_ACTIVIDADES'!$A$4:$A$26,0)),"(sin catálogo)"))</f>
        <v/>
      </c>
      <c r="AD1154" s="26">
        <f>IF($J1154="","",TODAY()-$J1154)</f>
        <v/>
      </c>
      <c r="AE1154" s="26">
        <f>IF($J1154="","",IF($J1154&lt;=TODAY(),COUNTIFS(cal_fechas,"&gt;="&amp;$J1154,cal_fechas,"&lt;"&amp;TODAY(),cal_habil,"sí"),-COUNTIFS(cal_fechas,"&gt;="&amp;TODAY(),cal_fechas,"&lt;"&amp;$J1154,cal_habil,"sí")))</f>
        <v/>
      </c>
      <c r="AF1154" s="24">
        <f>IF($AE1154="","",IF($AE1154&lt;0,"FUTURO",IF($AE1154&gt;p_dias_backlog_max,"BACKLOG","MES CORRIENTE")))</f>
        <v/>
      </c>
      <c r="AG1154" s="24">
        <f>IF($AE1154="",FALSE,AND($AE1154&gt;p_dias_backlog_min,$AE1154&lt;=p_dias_backlog_max))</f>
        <v/>
      </c>
      <c r="AH1154" s="4" t="n"/>
      <c r="AI1154" s="24">
        <f>IF($AH1154="","",IF((IFERROR(INDEX('ASIGNACIONES'!$J$4:$J$451,MATCH($O1154&amp;"|"&amp;$S1154&amp;"|"&amp;$AH1154,'ASIGNACIONES'!$N$4:$N$451,0)),""))=0,"",IFERROR(INDEX('ASIGNACIONES'!$J$4:$J$451,MATCH($O1154&amp;"|"&amp;$S1154&amp;"|"&amp;$AH1154,'ASIGNACIONES'!$N$4:$N$451,0)),"")))</f>
        <v/>
      </c>
      <c r="AJ1154" s="42">
        <f>IF($AH1154="","",SUMIFS('ORDENES'!$M$4:$M$1203,'ORDENES'!$AH$4:$AH$1203,$AH1154,'ORDENES'!$O$4:$O$1203,$O1154,'ORDENES'!$S$4:$S$1203,$S1154))</f>
        <v/>
      </c>
      <c r="AK1154" s="42">
        <f>IF($AJ1154="","",p_factor_productividad*IFERROR(INDEX('ASIGNACIONES'!$M$4:$M$451,MATCH($O1154&amp;"|"&amp;$S1154&amp;"|"&amp;$AH1154,'ASIGNACIONES'!$N$4:$N$451,0)),0)-$AJ1154)</f>
        <v/>
      </c>
      <c r="AL1154" s="32">
        <f>IF($A1154="","",IFERROR(INDEX('2_IMPORTAR_EJECUCION'!$F$9:$F$1208,MATCH($AU1154,'2_IMPORTAR_EJECUCION'!$J$9:$J$1208,0)),0))</f>
        <v/>
      </c>
      <c r="AM1154" s="32">
        <f>IF($A1154="","",MAX(0,IFERROR(INDEX('2_IMPORTAR_EJECUCION'!$H$9:$H$1208,MATCH($AU1154,'2_IMPORTAR_EJECUCION'!$J$9:$J$1208,0)),0)-$AL1154))</f>
        <v/>
      </c>
      <c r="AN1154" s="32">
        <f>IF($A1154="","",$AL1154+$AM1154)</f>
        <v/>
      </c>
      <c r="AO1154" s="24">
        <f>IF($A1154="","",IF(OR((IFERROR(INDEX('CAT_ACTIVIDADES'!$D$4:$D$26,MATCH($H1154,'CAT_ACTIVIDADES'!$A$4:$A$26,0)),""))=0,(IFERROR(INDEX('CAT_ACTIVIDADES'!$D$4:$D$26,MATCH($H1154,'CAT_ACTIVIDADES'!$A$4:$A$26,0)),""))=""),"SIN CLASIFICAR",IFERROR(INDEX('CAT_ACTIVIDADES'!$D$4:$D$26,MATCH($H1154,'CAT_ACTIVIDADES'!$A$4:$A$26,0)),"")))</f>
        <v/>
      </c>
      <c r="AP1154" s="4" t="n"/>
      <c r="AQ1154" s="4" t="n"/>
      <c r="AR1154" s="4" t="n"/>
      <c r="AS1154" s="24">
        <f>IF($AR1154="","",HYPERLINK(p_ruta_base_checklists&amp;$AR1154,"abrir"))</f>
        <v/>
      </c>
      <c r="AT1154" s="4" t="n"/>
      <c r="AU1154" s="24">
        <f>IF($A1154="","",$A1154&amp;IF($B1154="","0010",$B1154))</f>
        <v/>
      </c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41" t="n"/>
      <c r="K1155" s="5" t="n"/>
      <c r="L1155" s="18" t="n"/>
      <c r="M1155" s="24">
        <f>IF($A1155="","",IFERROR(INDEX('AJUSTES'!$B$4:$B$303,MATCH($AU1155,'AJUSTES'!$A$4:$A$303,0)),IF($K1155="","",$K1155)))</f>
        <v/>
      </c>
      <c r="N1155" s="24">
        <f>IF($A1155="","",IFERROR(INDEX('CAT_ESTADOS_ERP'!$B$4:$B$22,MATCH(IFERROR(INDEX('2_IMPORTAR_EJECUCION'!$C$9:$C$1208,MATCH($AU1155,'2_IMPORTAR_EJECUCION'!$J$9:$J$1208,0)),""),'CAT_ESTADOS_ERP'!$A$4:$A$22,0)),"Pendiente"))</f>
        <v/>
      </c>
      <c r="O1155" s="24">
        <f>IF($J1155="","",YEAR($J1155+4-WEEKDAY($J1155,2))&amp;"-S"&amp;TEXT(_xlfn.ISOWEEKNUM($J1155),"00"))</f>
        <v/>
      </c>
      <c r="P1155" s="24">
        <f>IF($J1155="","",YEAR($J1155))</f>
        <v/>
      </c>
      <c r="Q1155" s="24">
        <f>IF($J1155="","",MONTH($J1155))</f>
        <v/>
      </c>
      <c r="R1155" s="24">
        <f>IF($J1155="","",$P1155&amp;"-"&amp;TEXT($Q1155,"00"))</f>
        <v/>
      </c>
      <c r="S1155" s="24">
        <f>IF($J1155="","",INDEX(lista_dias,WEEKDAY($J1155,2)))</f>
        <v/>
      </c>
      <c r="T1155" s="24">
        <f>IF($J1155="","",IFERROR(INDEX('CALENDARIO'!$C$15:$C$214,MATCH(TEXT($J1155,"yyyy-mm-dd")&amp;"|"&amp;$Y1155&amp;"|"&amp;$Z1155,'CALENDARIO'!$G$15:$G$214,0)),IFERROR(INDEX('CALENDARIO'!$C$15:$C$214,MATCH(TEXT($J1155,"yyyy-mm-dd")&amp;"|"&amp;$Y1155&amp;"|",'CALENDARIO'!$G$15:$G$214,0)),IFERROR(INDEX('CALENDARIO'!$C$15:$C$214,MATCH(TEXT($J1155,"yyyy-mm-dd")&amp;"||",'CALENDARIO'!$G$15:$G$214,0)),INDEX(patronHabil,WEEKDAY($J1155,2))))))</f>
        <v/>
      </c>
      <c r="U1155" s="24">
        <f>IF($I1155="","",IFERROR(INDEX('CAT_TIPOS_OT'!$C$4:$C$23,MATCH($I1155,'CAT_TIPOS_OT'!$A$4:$A$23,0)),"sin_clasificar"))</f>
        <v/>
      </c>
      <c r="V1155" s="24">
        <f>IF($I1155="","",IF(IFERROR(INDEX('CAT_TIPOS_OT'!$D$4:$D$23,MATCH($I1155,'CAT_TIPOS_OT'!$A$4:$A$23,0)),"SIN CLASIFICAR")="","SIN CLASIFICAR",IFERROR(INDEX('CAT_TIPOS_OT'!$D$4:$D$23,MATCH($I1155,'CAT_TIPOS_OT'!$A$4:$A$23,0)),"SIN CLASIFICAR")))</f>
        <v/>
      </c>
      <c r="W1155" s="24">
        <f>IF($H1155="","",IF(IFERROR(INDEX('CAT_ACTIVIDADES'!$F$4:$F$26,MATCH($H1155,'CAT_ACTIVIDADES'!$A$4:$A$26,0)),"")=0,"",IFERROR(INDEX('CAT_ACTIVIDADES'!$F$4:$F$26,MATCH($H1155,'CAT_ACTIVIDADES'!$A$4:$A$26,0)),"")))</f>
        <v/>
      </c>
      <c r="X1155" s="24">
        <f>IF($F1155="","",IFERROR(INDEX('CAT_CENTROS_COSTO'!$F$4:$F$28,MATCH($F1155,'CAT_CENTROS_COSTO'!$A$4:$A$28,0)),"(sin catálogo)"))</f>
        <v/>
      </c>
      <c r="Y1155" s="24">
        <f>IF($F1155="","",IFERROR(INDEX('CAT_CENTROS_COSTO'!$D$4:$D$28,MATCH($F1155,'CAT_CENTROS_COSTO'!$A$4:$A$28,0)),"(sin catálogo)"))</f>
        <v/>
      </c>
      <c r="Z1155" s="24">
        <f>IF($F1155="","",IF((IFERROR(INDEX('CAT_CENTROS_COSTO'!$E$4:$E$28,MATCH($F1155,'CAT_CENTROS_COSTO'!$A$4:$A$28,0)),""))&lt;&gt;"",IFERROR(INDEX('CAT_CENTROS_COSTO'!$E$4:$E$28,MATCH($F1155,'CAT_CENTROS_COSTO'!$A$4:$A$28,0)),""),$Y1155))</f>
        <v/>
      </c>
      <c r="AA1155" s="24">
        <f>IF($F1155="","",IFERROR(INDEX('CAT_CENTROS_COSTO'!$G$4:$G$28,MATCH($F1155,'CAT_CENTROS_COSTO'!$A$4:$A$28,0)),"(sin catálogo)"))</f>
        <v/>
      </c>
      <c r="AB1155" s="24">
        <f>IF($G1155="","",IFERROR(INDEX('CAT_PUESTOS'!$B$4:$B$23,MATCH($G1155,'CAT_PUESTOS'!$A$4:$A$23,0)),"(sin catálogo)"))</f>
        <v/>
      </c>
      <c r="AC1155" s="24">
        <f>IF($H1155="","",IFERROR(INDEX('CAT_ACTIVIDADES'!$B$4:$B$26,MATCH($H1155,'CAT_ACTIVIDADES'!$A$4:$A$26,0)),"(sin catálogo)"))</f>
        <v/>
      </c>
      <c r="AD1155" s="26">
        <f>IF($J1155="","",TODAY()-$J1155)</f>
        <v/>
      </c>
      <c r="AE1155" s="26">
        <f>IF($J1155="","",IF($J1155&lt;=TODAY(),COUNTIFS(cal_fechas,"&gt;="&amp;$J1155,cal_fechas,"&lt;"&amp;TODAY(),cal_habil,"sí"),-COUNTIFS(cal_fechas,"&gt;="&amp;TODAY(),cal_fechas,"&lt;"&amp;$J1155,cal_habil,"sí")))</f>
        <v/>
      </c>
      <c r="AF1155" s="24">
        <f>IF($AE1155="","",IF($AE1155&lt;0,"FUTURO",IF($AE1155&gt;p_dias_backlog_max,"BACKLOG","MES CORRIENTE")))</f>
        <v/>
      </c>
      <c r="AG1155" s="24">
        <f>IF($AE1155="",FALSE,AND($AE1155&gt;p_dias_backlog_min,$AE1155&lt;=p_dias_backlog_max))</f>
        <v/>
      </c>
      <c r="AH1155" s="4" t="n"/>
      <c r="AI1155" s="24">
        <f>IF($AH1155="","",IF((IFERROR(INDEX('ASIGNACIONES'!$J$4:$J$451,MATCH($O1155&amp;"|"&amp;$S1155&amp;"|"&amp;$AH1155,'ASIGNACIONES'!$N$4:$N$451,0)),""))=0,"",IFERROR(INDEX('ASIGNACIONES'!$J$4:$J$451,MATCH($O1155&amp;"|"&amp;$S1155&amp;"|"&amp;$AH1155,'ASIGNACIONES'!$N$4:$N$451,0)),"")))</f>
        <v/>
      </c>
      <c r="AJ1155" s="42">
        <f>IF($AH1155="","",SUMIFS('ORDENES'!$M$4:$M$1203,'ORDENES'!$AH$4:$AH$1203,$AH1155,'ORDENES'!$O$4:$O$1203,$O1155,'ORDENES'!$S$4:$S$1203,$S1155))</f>
        <v/>
      </c>
      <c r="AK1155" s="42">
        <f>IF($AJ1155="","",p_factor_productividad*IFERROR(INDEX('ASIGNACIONES'!$M$4:$M$451,MATCH($O1155&amp;"|"&amp;$S1155&amp;"|"&amp;$AH1155,'ASIGNACIONES'!$N$4:$N$451,0)),0)-$AJ1155)</f>
        <v/>
      </c>
      <c r="AL1155" s="32">
        <f>IF($A1155="","",IFERROR(INDEX('2_IMPORTAR_EJECUCION'!$F$9:$F$1208,MATCH($AU1155,'2_IMPORTAR_EJECUCION'!$J$9:$J$1208,0)),0))</f>
        <v/>
      </c>
      <c r="AM1155" s="32">
        <f>IF($A1155="","",MAX(0,IFERROR(INDEX('2_IMPORTAR_EJECUCION'!$H$9:$H$1208,MATCH($AU1155,'2_IMPORTAR_EJECUCION'!$J$9:$J$1208,0)),0)-$AL1155))</f>
        <v/>
      </c>
      <c r="AN1155" s="32">
        <f>IF($A1155="","",$AL1155+$AM1155)</f>
        <v/>
      </c>
      <c r="AO1155" s="24">
        <f>IF($A1155="","",IF(OR((IFERROR(INDEX('CAT_ACTIVIDADES'!$D$4:$D$26,MATCH($H1155,'CAT_ACTIVIDADES'!$A$4:$A$26,0)),""))=0,(IFERROR(INDEX('CAT_ACTIVIDADES'!$D$4:$D$26,MATCH($H1155,'CAT_ACTIVIDADES'!$A$4:$A$26,0)),""))=""),"SIN CLASIFICAR",IFERROR(INDEX('CAT_ACTIVIDADES'!$D$4:$D$26,MATCH($H1155,'CAT_ACTIVIDADES'!$A$4:$A$26,0)),"")))</f>
        <v/>
      </c>
      <c r="AP1155" s="4" t="n"/>
      <c r="AQ1155" s="4" t="n"/>
      <c r="AR1155" s="4" t="n"/>
      <c r="AS1155" s="24">
        <f>IF($AR1155="","",HYPERLINK(p_ruta_base_checklists&amp;$AR1155,"abrir"))</f>
        <v/>
      </c>
      <c r="AT1155" s="4" t="n"/>
      <c r="AU1155" s="24">
        <f>IF($A1155="","",$A1155&amp;IF($B1155="","0010",$B1155))</f>
        <v/>
      </c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41" t="n"/>
      <c r="K1156" s="5" t="n"/>
      <c r="L1156" s="18" t="n"/>
      <c r="M1156" s="24">
        <f>IF($A1156="","",IFERROR(INDEX('AJUSTES'!$B$4:$B$303,MATCH($AU1156,'AJUSTES'!$A$4:$A$303,0)),IF($K1156="","",$K1156)))</f>
        <v/>
      </c>
      <c r="N1156" s="24">
        <f>IF($A1156="","",IFERROR(INDEX('CAT_ESTADOS_ERP'!$B$4:$B$22,MATCH(IFERROR(INDEX('2_IMPORTAR_EJECUCION'!$C$9:$C$1208,MATCH($AU1156,'2_IMPORTAR_EJECUCION'!$J$9:$J$1208,0)),""),'CAT_ESTADOS_ERP'!$A$4:$A$22,0)),"Pendiente"))</f>
        <v/>
      </c>
      <c r="O1156" s="24">
        <f>IF($J1156="","",YEAR($J1156+4-WEEKDAY($J1156,2))&amp;"-S"&amp;TEXT(_xlfn.ISOWEEKNUM($J1156),"00"))</f>
        <v/>
      </c>
      <c r="P1156" s="24">
        <f>IF($J1156="","",YEAR($J1156))</f>
        <v/>
      </c>
      <c r="Q1156" s="24">
        <f>IF($J1156="","",MONTH($J1156))</f>
        <v/>
      </c>
      <c r="R1156" s="24">
        <f>IF($J1156="","",$P1156&amp;"-"&amp;TEXT($Q1156,"00"))</f>
        <v/>
      </c>
      <c r="S1156" s="24">
        <f>IF($J1156="","",INDEX(lista_dias,WEEKDAY($J1156,2)))</f>
        <v/>
      </c>
      <c r="T1156" s="24">
        <f>IF($J1156="","",IFERROR(INDEX('CALENDARIO'!$C$15:$C$214,MATCH(TEXT($J1156,"yyyy-mm-dd")&amp;"|"&amp;$Y1156&amp;"|"&amp;$Z1156,'CALENDARIO'!$G$15:$G$214,0)),IFERROR(INDEX('CALENDARIO'!$C$15:$C$214,MATCH(TEXT($J1156,"yyyy-mm-dd")&amp;"|"&amp;$Y1156&amp;"|",'CALENDARIO'!$G$15:$G$214,0)),IFERROR(INDEX('CALENDARIO'!$C$15:$C$214,MATCH(TEXT($J1156,"yyyy-mm-dd")&amp;"||",'CALENDARIO'!$G$15:$G$214,0)),INDEX(patronHabil,WEEKDAY($J1156,2))))))</f>
        <v/>
      </c>
      <c r="U1156" s="24">
        <f>IF($I1156="","",IFERROR(INDEX('CAT_TIPOS_OT'!$C$4:$C$23,MATCH($I1156,'CAT_TIPOS_OT'!$A$4:$A$23,0)),"sin_clasificar"))</f>
        <v/>
      </c>
      <c r="V1156" s="24">
        <f>IF($I1156="","",IF(IFERROR(INDEX('CAT_TIPOS_OT'!$D$4:$D$23,MATCH($I1156,'CAT_TIPOS_OT'!$A$4:$A$23,0)),"SIN CLASIFICAR")="","SIN CLASIFICAR",IFERROR(INDEX('CAT_TIPOS_OT'!$D$4:$D$23,MATCH($I1156,'CAT_TIPOS_OT'!$A$4:$A$23,0)),"SIN CLASIFICAR")))</f>
        <v/>
      </c>
      <c r="W1156" s="24">
        <f>IF($H1156="","",IF(IFERROR(INDEX('CAT_ACTIVIDADES'!$F$4:$F$26,MATCH($H1156,'CAT_ACTIVIDADES'!$A$4:$A$26,0)),"")=0,"",IFERROR(INDEX('CAT_ACTIVIDADES'!$F$4:$F$26,MATCH($H1156,'CAT_ACTIVIDADES'!$A$4:$A$26,0)),"")))</f>
        <v/>
      </c>
      <c r="X1156" s="24">
        <f>IF($F1156="","",IFERROR(INDEX('CAT_CENTROS_COSTO'!$F$4:$F$28,MATCH($F1156,'CAT_CENTROS_COSTO'!$A$4:$A$28,0)),"(sin catálogo)"))</f>
        <v/>
      </c>
      <c r="Y1156" s="24">
        <f>IF($F1156="","",IFERROR(INDEX('CAT_CENTROS_COSTO'!$D$4:$D$28,MATCH($F1156,'CAT_CENTROS_COSTO'!$A$4:$A$28,0)),"(sin catálogo)"))</f>
        <v/>
      </c>
      <c r="Z1156" s="24">
        <f>IF($F1156="","",IF((IFERROR(INDEX('CAT_CENTROS_COSTO'!$E$4:$E$28,MATCH($F1156,'CAT_CENTROS_COSTO'!$A$4:$A$28,0)),""))&lt;&gt;"",IFERROR(INDEX('CAT_CENTROS_COSTO'!$E$4:$E$28,MATCH($F1156,'CAT_CENTROS_COSTO'!$A$4:$A$28,0)),""),$Y1156))</f>
        <v/>
      </c>
      <c r="AA1156" s="24">
        <f>IF($F1156="","",IFERROR(INDEX('CAT_CENTROS_COSTO'!$G$4:$G$28,MATCH($F1156,'CAT_CENTROS_COSTO'!$A$4:$A$28,0)),"(sin catálogo)"))</f>
        <v/>
      </c>
      <c r="AB1156" s="24">
        <f>IF($G1156="","",IFERROR(INDEX('CAT_PUESTOS'!$B$4:$B$23,MATCH($G1156,'CAT_PUESTOS'!$A$4:$A$23,0)),"(sin catálogo)"))</f>
        <v/>
      </c>
      <c r="AC1156" s="24">
        <f>IF($H1156="","",IFERROR(INDEX('CAT_ACTIVIDADES'!$B$4:$B$26,MATCH($H1156,'CAT_ACTIVIDADES'!$A$4:$A$26,0)),"(sin catálogo)"))</f>
        <v/>
      </c>
      <c r="AD1156" s="26">
        <f>IF($J1156="","",TODAY()-$J1156)</f>
        <v/>
      </c>
      <c r="AE1156" s="26">
        <f>IF($J1156="","",IF($J1156&lt;=TODAY(),COUNTIFS(cal_fechas,"&gt;="&amp;$J1156,cal_fechas,"&lt;"&amp;TODAY(),cal_habil,"sí"),-COUNTIFS(cal_fechas,"&gt;="&amp;TODAY(),cal_fechas,"&lt;"&amp;$J1156,cal_habil,"sí")))</f>
        <v/>
      </c>
      <c r="AF1156" s="24">
        <f>IF($AE1156="","",IF($AE1156&lt;0,"FUTURO",IF($AE1156&gt;p_dias_backlog_max,"BACKLOG","MES CORRIENTE")))</f>
        <v/>
      </c>
      <c r="AG1156" s="24">
        <f>IF($AE1156="",FALSE,AND($AE1156&gt;p_dias_backlog_min,$AE1156&lt;=p_dias_backlog_max))</f>
        <v/>
      </c>
      <c r="AH1156" s="4" t="n"/>
      <c r="AI1156" s="24">
        <f>IF($AH1156="","",IF((IFERROR(INDEX('ASIGNACIONES'!$J$4:$J$451,MATCH($O1156&amp;"|"&amp;$S1156&amp;"|"&amp;$AH1156,'ASIGNACIONES'!$N$4:$N$451,0)),""))=0,"",IFERROR(INDEX('ASIGNACIONES'!$J$4:$J$451,MATCH($O1156&amp;"|"&amp;$S1156&amp;"|"&amp;$AH1156,'ASIGNACIONES'!$N$4:$N$451,0)),"")))</f>
        <v/>
      </c>
      <c r="AJ1156" s="42">
        <f>IF($AH1156="","",SUMIFS('ORDENES'!$M$4:$M$1203,'ORDENES'!$AH$4:$AH$1203,$AH1156,'ORDENES'!$O$4:$O$1203,$O1156,'ORDENES'!$S$4:$S$1203,$S1156))</f>
        <v/>
      </c>
      <c r="AK1156" s="42">
        <f>IF($AJ1156="","",p_factor_productividad*IFERROR(INDEX('ASIGNACIONES'!$M$4:$M$451,MATCH($O1156&amp;"|"&amp;$S1156&amp;"|"&amp;$AH1156,'ASIGNACIONES'!$N$4:$N$451,0)),0)-$AJ1156)</f>
        <v/>
      </c>
      <c r="AL1156" s="32">
        <f>IF($A1156="","",IFERROR(INDEX('2_IMPORTAR_EJECUCION'!$F$9:$F$1208,MATCH($AU1156,'2_IMPORTAR_EJECUCION'!$J$9:$J$1208,0)),0))</f>
        <v/>
      </c>
      <c r="AM1156" s="32">
        <f>IF($A1156="","",MAX(0,IFERROR(INDEX('2_IMPORTAR_EJECUCION'!$H$9:$H$1208,MATCH($AU1156,'2_IMPORTAR_EJECUCION'!$J$9:$J$1208,0)),0)-$AL1156))</f>
        <v/>
      </c>
      <c r="AN1156" s="32">
        <f>IF($A1156="","",$AL1156+$AM1156)</f>
        <v/>
      </c>
      <c r="AO1156" s="24">
        <f>IF($A1156="","",IF(OR((IFERROR(INDEX('CAT_ACTIVIDADES'!$D$4:$D$26,MATCH($H1156,'CAT_ACTIVIDADES'!$A$4:$A$26,0)),""))=0,(IFERROR(INDEX('CAT_ACTIVIDADES'!$D$4:$D$26,MATCH($H1156,'CAT_ACTIVIDADES'!$A$4:$A$26,0)),""))=""),"SIN CLASIFICAR",IFERROR(INDEX('CAT_ACTIVIDADES'!$D$4:$D$26,MATCH($H1156,'CAT_ACTIVIDADES'!$A$4:$A$26,0)),"")))</f>
        <v/>
      </c>
      <c r="AP1156" s="4" t="n"/>
      <c r="AQ1156" s="4" t="n"/>
      <c r="AR1156" s="4" t="n"/>
      <c r="AS1156" s="24">
        <f>IF($AR1156="","",HYPERLINK(p_ruta_base_checklists&amp;$AR1156,"abrir"))</f>
        <v/>
      </c>
      <c r="AT1156" s="4" t="n"/>
      <c r="AU1156" s="24">
        <f>IF($A1156="","",$A1156&amp;IF($B1156="","0010",$B1156))</f>
        <v/>
      </c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41" t="n"/>
      <c r="K1157" s="5" t="n"/>
      <c r="L1157" s="18" t="n"/>
      <c r="M1157" s="24">
        <f>IF($A1157="","",IFERROR(INDEX('AJUSTES'!$B$4:$B$303,MATCH($AU1157,'AJUSTES'!$A$4:$A$303,0)),IF($K1157="","",$K1157)))</f>
        <v/>
      </c>
      <c r="N1157" s="24">
        <f>IF($A1157="","",IFERROR(INDEX('CAT_ESTADOS_ERP'!$B$4:$B$22,MATCH(IFERROR(INDEX('2_IMPORTAR_EJECUCION'!$C$9:$C$1208,MATCH($AU1157,'2_IMPORTAR_EJECUCION'!$J$9:$J$1208,0)),""),'CAT_ESTADOS_ERP'!$A$4:$A$22,0)),"Pendiente"))</f>
        <v/>
      </c>
      <c r="O1157" s="24">
        <f>IF($J1157="","",YEAR($J1157+4-WEEKDAY($J1157,2))&amp;"-S"&amp;TEXT(_xlfn.ISOWEEKNUM($J1157),"00"))</f>
        <v/>
      </c>
      <c r="P1157" s="24">
        <f>IF($J1157="","",YEAR($J1157))</f>
        <v/>
      </c>
      <c r="Q1157" s="24">
        <f>IF($J1157="","",MONTH($J1157))</f>
        <v/>
      </c>
      <c r="R1157" s="24">
        <f>IF($J1157="","",$P1157&amp;"-"&amp;TEXT($Q1157,"00"))</f>
        <v/>
      </c>
      <c r="S1157" s="24">
        <f>IF($J1157="","",INDEX(lista_dias,WEEKDAY($J1157,2)))</f>
        <v/>
      </c>
      <c r="T1157" s="24">
        <f>IF($J1157="","",IFERROR(INDEX('CALENDARIO'!$C$15:$C$214,MATCH(TEXT($J1157,"yyyy-mm-dd")&amp;"|"&amp;$Y1157&amp;"|"&amp;$Z1157,'CALENDARIO'!$G$15:$G$214,0)),IFERROR(INDEX('CALENDARIO'!$C$15:$C$214,MATCH(TEXT($J1157,"yyyy-mm-dd")&amp;"|"&amp;$Y1157&amp;"|",'CALENDARIO'!$G$15:$G$214,0)),IFERROR(INDEX('CALENDARIO'!$C$15:$C$214,MATCH(TEXT($J1157,"yyyy-mm-dd")&amp;"||",'CALENDARIO'!$G$15:$G$214,0)),INDEX(patronHabil,WEEKDAY($J1157,2))))))</f>
        <v/>
      </c>
      <c r="U1157" s="24">
        <f>IF($I1157="","",IFERROR(INDEX('CAT_TIPOS_OT'!$C$4:$C$23,MATCH($I1157,'CAT_TIPOS_OT'!$A$4:$A$23,0)),"sin_clasificar"))</f>
        <v/>
      </c>
      <c r="V1157" s="24">
        <f>IF($I1157="","",IF(IFERROR(INDEX('CAT_TIPOS_OT'!$D$4:$D$23,MATCH($I1157,'CAT_TIPOS_OT'!$A$4:$A$23,0)),"SIN CLASIFICAR")="","SIN CLASIFICAR",IFERROR(INDEX('CAT_TIPOS_OT'!$D$4:$D$23,MATCH($I1157,'CAT_TIPOS_OT'!$A$4:$A$23,0)),"SIN CLASIFICAR")))</f>
        <v/>
      </c>
      <c r="W1157" s="24">
        <f>IF($H1157="","",IF(IFERROR(INDEX('CAT_ACTIVIDADES'!$F$4:$F$26,MATCH($H1157,'CAT_ACTIVIDADES'!$A$4:$A$26,0)),"")=0,"",IFERROR(INDEX('CAT_ACTIVIDADES'!$F$4:$F$26,MATCH($H1157,'CAT_ACTIVIDADES'!$A$4:$A$26,0)),"")))</f>
        <v/>
      </c>
      <c r="X1157" s="24">
        <f>IF($F1157="","",IFERROR(INDEX('CAT_CENTROS_COSTO'!$F$4:$F$28,MATCH($F1157,'CAT_CENTROS_COSTO'!$A$4:$A$28,0)),"(sin catálogo)"))</f>
        <v/>
      </c>
      <c r="Y1157" s="24">
        <f>IF($F1157="","",IFERROR(INDEX('CAT_CENTROS_COSTO'!$D$4:$D$28,MATCH($F1157,'CAT_CENTROS_COSTO'!$A$4:$A$28,0)),"(sin catálogo)"))</f>
        <v/>
      </c>
      <c r="Z1157" s="24">
        <f>IF($F1157="","",IF((IFERROR(INDEX('CAT_CENTROS_COSTO'!$E$4:$E$28,MATCH($F1157,'CAT_CENTROS_COSTO'!$A$4:$A$28,0)),""))&lt;&gt;"",IFERROR(INDEX('CAT_CENTROS_COSTO'!$E$4:$E$28,MATCH($F1157,'CAT_CENTROS_COSTO'!$A$4:$A$28,0)),""),$Y1157))</f>
        <v/>
      </c>
      <c r="AA1157" s="24">
        <f>IF($F1157="","",IFERROR(INDEX('CAT_CENTROS_COSTO'!$G$4:$G$28,MATCH($F1157,'CAT_CENTROS_COSTO'!$A$4:$A$28,0)),"(sin catálogo)"))</f>
        <v/>
      </c>
      <c r="AB1157" s="24">
        <f>IF($G1157="","",IFERROR(INDEX('CAT_PUESTOS'!$B$4:$B$23,MATCH($G1157,'CAT_PUESTOS'!$A$4:$A$23,0)),"(sin catálogo)"))</f>
        <v/>
      </c>
      <c r="AC1157" s="24">
        <f>IF($H1157="","",IFERROR(INDEX('CAT_ACTIVIDADES'!$B$4:$B$26,MATCH($H1157,'CAT_ACTIVIDADES'!$A$4:$A$26,0)),"(sin catálogo)"))</f>
        <v/>
      </c>
      <c r="AD1157" s="26">
        <f>IF($J1157="","",TODAY()-$J1157)</f>
        <v/>
      </c>
      <c r="AE1157" s="26">
        <f>IF($J1157="","",IF($J1157&lt;=TODAY(),COUNTIFS(cal_fechas,"&gt;="&amp;$J1157,cal_fechas,"&lt;"&amp;TODAY(),cal_habil,"sí"),-COUNTIFS(cal_fechas,"&gt;="&amp;TODAY(),cal_fechas,"&lt;"&amp;$J1157,cal_habil,"sí")))</f>
        <v/>
      </c>
      <c r="AF1157" s="24">
        <f>IF($AE1157="","",IF($AE1157&lt;0,"FUTURO",IF($AE1157&gt;p_dias_backlog_max,"BACKLOG","MES CORRIENTE")))</f>
        <v/>
      </c>
      <c r="AG1157" s="24">
        <f>IF($AE1157="",FALSE,AND($AE1157&gt;p_dias_backlog_min,$AE1157&lt;=p_dias_backlog_max))</f>
        <v/>
      </c>
      <c r="AH1157" s="4" t="n"/>
      <c r="AI1157" s="24">
        <f>IF($AH1157="","",IF((IFERROR(INDEX('ASIGNACIONES'!$J$4:$J$451,MATCH($O1157&amp;"|"&amp;$S1157&amp;"|"&amp;$AH1157,'ASIGNACIONES'!$N$4:$N$451,0)),""))=0,"",IFERROR(INDEX('ASIGNACIONES'!$J$4:$J$451,MATCH($O1157&amp;"|"&amp;$S1157&amp;"|"&amp;$AH1157,'ASIGNACIONES'!$N$4:$N$451,0)),"")))</f>
        <v/>
      </c>
      <c r="AJ1157" s="42">
        <f>IF($AH1157="","",SUMIFS('ORDENES'!$M$4:$M$1203,'ORDENES'!$AH$4:$AH$1203,$AH1157,'ORDENES'!$O$4:$O$1203,$O1157,'ORDENES'!$S$4:$S$1203,$S1157))</f>
        <v/>
      </c>
      <c r="AK1157" s="42">
        <f>IF($AJ1157="","",p_factor_productividad*IFERROR(INDEX('ASIGNACIONES'!$M$4:$M$451,MATCH($O1157&amp;"|"&amp;$S1157&amp;"|"&amp;$AH1157,'ASIGNACIONES'!$N$4:$N$451,0)),0)-$AJ1157)</f>
        <v/>
      </c>
      <c r="AL1157" s="32">
        <f>IF($A1157="","",IFERROR(INDEX('2_IMPORTAR_EJECUCION'!$F$9:$F$1208,MATCH($AU1157,'2_IMPORTAR_EJECUCION'!$J$9:$J$1208,0)),0))</f>
        <v/>
      </c>
      <c r="AM1157" s="32">
        <f>IF($A1157="","",MAX(0,IFERROR(INDEX('2_IMPORTAR_EJECUCION'!$H$9:$H$1208,MATCH($AU1157,'2_IMPORTAR_EJECUCION'!$J$9:$J$1208,0)),0)-$AL1157))</f>
        <v/>
      </c>
      <c r="AN1157" s="32">
        <f>IF($A1157="","",$AL1157+$AM1157)</f>
        <v/>
      </c>
      <c r="AO1157" s="24">
        <f>IF($A1157="","",IF(OR((IFERROR(INDEX('CAT_ACTIVIDADES'!$D$4:$D$26,MATCH($H1157,'CAT_ACTIVIDADES'!$A$4:$A$26,0)),""))=0,(IFERROR(INDEX('CAT_ACTIVIDADES'!$D$4:$D$26,MATCH($H1157,'CAT_ACTIVIDADES'!$A$4:$A$26,0)),""))=""),"SIN CLASIFICAR",IFERROR(INDEX('CAT_ACTIVIDADES'!$D$4:$D$26,MATCH($H1157,'CAT_ACTIVIDADES'!$A$4:$A$26,0)),"")))</f>
        <v/>
      </c>
      <c r="AP1157" s="4" t="n"/>
      <c r="AQ1157" s="4" t="n"/>
      <c r="AR1157" s="4" t="n"/>
      <c r="AS1157" s="24">
        <f>IF($AR1157="","",HYPERLINK(p_ruta_base_checklists&amp;$AR1157,"abrir"))</f>
        <v/>
      </c>
      <c r="AT1157" s="4" t="n"/>
      <c r="AU1157" s="24">
        <f>IF($A1157="","",$A1157&amp;IF($B1157="","0010",$B1157))</f>
        <v/>
      </c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41" t="n"/>
      <c r="K1158" s="5" t="n"/>
      <c r="L1158" s="18" t="n"/>
      <c r="M1158" s="24">
        <f>IF($A1158="","",IFERROR(INDEX('AJUSTES'!$B$4:$B$303,MATCH($AU1158,'AJUSTES'!$A$4:$A$303,0)),IF($K1158="","",$K1158)))</f>
        <v/>
      </c>
      <c r="N1158" s="24">
        <f>IF($A1158="","",IFERROR(INDEX('CAT_ESTADOS_ERP'!$B$4:$B$22,MATCH(IFERROR(INDEX('2_IMPORTAR_EJECUCION'!$C$9:$C$1208,MATCH($AU1158,'2_IMPORTAR_EJECUCION'!$J$9:$J$1208,0)),""),'CAT_ESTADOS_ERP'!$A$4:$A$22,0)),"Pendiente"))</f>
        <v/>
      </c>
      <c r="O1158" s="24">
        <f>IF($J1158="","",YEAR($J1158+4-WEEKDAY($J1158,2))&amp;"-S"&amp;TEXT(_xlfn.ISOWEEKNUM($J1158),"00"))</f>
        <v/>
      </c>
      <c r="P1158" s="24">
        <f>IF($J1158="","",YEAR($J1158))</f>
        <v/>
      </c>
      <c r="Q1158" s="24">
        <f>IF($J1158="","",MONTH($J1158))</f>
        <v/>
      </c>
      <c r="R1158" s="24">
        <f>IF($J1158="","",$P1158&amp;"-"&amp;TEXT($Q1158,"00"))</f>
        <v/>
      </c>
      <c r="S1158" s="24">
        <f>IF($J1158="","",INDEX(lista_dias,WEEKDAY($J1158,2)))</f>
        <v/>
      </c>
      <c r="T1158" s="24">
        <f>IF($J1158="","",IFERROR(INDEX('CALENDARIO'!$C$15:$C$214,MATCH(TEXT($J1158,"yyyy-mm-dd")&amp;"|"&amp;$Y1158&amp;"|"&amp;$Z1158,'CALENDARIO'!$G$15:$G$214,0)),IFERROR(INDEX('CALENDARIO'!$C$15:$C$214,MATCH(TEXT($J1158,"yyyy-mm-dd")&amp;"|"&amp;$Y1158&amp;"|",'CALENDARIO'!$G$15:$G$214,0)),IFERROR(INDEX('CALENDARIO'!$C$15:$C$214,MATCH(TEXT($J1158,"yyyy-mm-dd")&amp;"||",'CALENDARIO'!$G$15:$G$214,0)),INDEX(patronHabil,WEEKDAY($J1158,2))))))</f>
        <v/>
      </c>
      <c r="U1158" s="24">
        <f>IF($I1158="","",IFERROR(INDEX('CAT_TIPOS_OT'!$C$4:$C$23,MATCH($I1158,'CAT_TIPOS_OT'!$A$4:$A$23,0)),"sin_clasificar"))</f>
        <v/>
      </c>
      <c r="V1158" s="24">
        <f>IF($I1158="","",IF(IFERROR(INDEX('CAT_TIPOS_OT'!$D$4:$D$23,MATCH($I1158,'CAT_TIPOS_OT'!$A$4:$A$23,0)),"SIN CLASIFICAR")="","SIN CLASIFICAR",IFERROR(INDEX('CAT_TIPOS_OT'!$D$4:$D$23,MATCH($I1158,'CAT_TIPOS_OT'!$A$4:$A$23,0)),"SIN CLASIFICAR")))</f>
        <v/>
      </c>
      <c r="W1158" s="24">
        <f>IF($H1158="","",IF(IFERROR(INDEX('CAT_ACTIVIDADES'!$F$4:$F$26,MATCH($H1158,'CAT_ACTIVIDADES'!$A$4:$A$26,0)),"")=0,"",IFERROR(INDEX('CAT_ACTIVIDADES'!$F$4:$F$26,MATCH($H1158,'CAT_ACTIVIDADES'!$A$4:$A$26,0)),"")))</f>
        <v/>
      </c>
      <c r="X1158" s="24">
        <f>IF($F1158="","",IFERROR(INDEX('CAT_CENTROS_COSTO'!$F$4:$F$28,MATCH($F1158,'CAT_CENTROS_COSTO'!$A$4:$A$28,0)),"(sin catálogo)"))</f>
        <v/>
      </c>
      <c r="Y1158" s="24">
        <f>IF($F1158="","",IFERROR(INDEX('CAT_CENTROS_COSTO'!$D$4:$D$28,MATCH($F1158,'CAT_CENTROS_COSTO'!$A$4:$A$28,0)),"(sin catálogo)"))</f>
        <v/>
      </c>
      <c r="Z1158" s="24">
        <f>IF($F1158="","",IF((IFERROR(INDEX('CAT_CENTROS_COSTO'!$E$4:$E$28,MATCH($F1158,'CAT_CENTROS_COSTO'!$A$4:$A$28,0)),""))&lt;&gt;"",IFERROR(INDEX('CAT_CENTROS_COSTO'!$E$4:$E$28,MATCH($F1158,'CAT_CENTROS_COSTO'!$A$4:$A$28,0)),""),$Y1158))</f>
        <v/>
      </c>
      <c r="AA1158" s="24">
        <f>IF($F1158="","",IFERROR(INDEX('CAT_CENTROS_COSTO'!$G$4:$G$28,MATCH($F1158,'CAT_CENTROS_COSTO'!$A$4:$A$28,0)),"(sin catálogo)"))</f>
        <v/>
      </c>
      <c r="AB1158" s="24">
        <f>IF($G1158="","",IFERROR(INDEX('CAT_PUESTOS'!$B$4:$B$23,MATCH($G1158,'CAT_PUESTOS'!$A$4:$A$23,0)),"(sin catálogo)"))</f>
        <v/>
      </c>
      <c r="AC1158" s="24">
        <f>IF($H1158="","",IFERROR(INDEX('CAT_ACTIVIDADES'!$B$4:$B$26,MATCH($H1158,'CAT_ACTIVIDADES'!$A$4:$A$26,0)),"(sin catálogo)"))</f>
        <v/>
      </c>
      <c r="AD1158" s="26">
        <f>IF($J1158="","",TODAY()-$J1158)</f>
        <v/>
      </c>
      <c r="AE1158" s="26">
        <f>IF($J1158="","",IF($J1158&lt;=TODAY(),COUNTIFS(cal_fechas,"&gt;="&amp;$J1158,cal_fechas,"&lt;"&amp;TODAY(),cal_habil,"sí"),-COUNTIFS(cal_fechas,"&gt;="&amp;TODAY(),cal_fechas,"&lt;"&amp;$J1158,cal_habil,"sí")))</f>
        <v/>
      </c>
      <c r="AF1158" s="24">
        <f>IF($AE1158="","",IF($AE1158&lt;0,"FUTURO",IF($AE1158&gt;p_dias_backlog_max,"BACKLOG","MES CORRIENTE")))</f>
        <v/>
      </c>
      <c r="AG1158" s="24">
        <f>IF($AE1158="",FALSE,AND($AE1158&gt;p_dias_backlog_min,$AE1158&lt;=p_dias_backlog_max))</f>
        <v/>
      </c>
      <c r="AH1158" s="4" t="n"/>
      <c r="AI1158" s="24">
        <f>IF($AH1158="","",IF((IFERROR(INDEX('ASIGNACIONES'!$J$4:$J$451,MATCH($O1158&amp;"|"&amp;$S1158&amp;"|"&amp;$AH1158,'ASIGNACIONES'!$N$4:$N$451,0)),""))=0,"",IFERROR(INDEX('ASIGNACIONES'!$J$4:$J$451,MATCH($O1158&amp;"|"&amp;$S1158&amp;"|"&amp;$AH1158,'ASIGNACIONES'!$N$4:$N$451,0)),"")))</f>
        <v/>
      </c>
      <c r="AJ1158" s="42">
        <f>IF($AH1158="","",SUMIFS('ORDENES'!$M$4:$M$1203,'ORDENES'!$AH$4:$AH$1203,$AH1158,'ORDENES'!$O$4:$O$1203,$O1158,'ORDENES'!$S$4:$S$1203,$S1158))</f>
        <v/>
      </c>
      <c r="AK1158" s="42">
        <f>IF($AJ1158="","",p_factor_productividad*IFERROR(INDEX('ASIGNACIONES'!$M$4:$M$451,MATCH($O1158&amp;"|"&amp;$S1158&amp;"|"&amp;$AH1158,'ASIGNACIONES'!$N$4:$N$451,0)),0)-$AJ1158)</f>
        <v/>
      </c>
      <c r="AL1158" s="32">
        <f>IF($A1158="","",IFERROR(INDEX('2_IMPORTAR_EJECUCION'!$F$9:$F$1208,MATCH($AU1158,'2_IMPORTAR_EJECUCION'!$J$9:$J$1208,0)),0))</f>
        <v/>
      </c>
      <c r="AM1158" s="32">
        <f>IF($A1158="","",MAX(0,IFERROR(INDEX('2_IMPORTAR_EJECUCION'!$H$9:$H$1208,MATCH($AU1158,'2_IMPORTAR_EJECUCION'!$J$9:$J$1208,0)),0)-$AL1158))</f>
        <v/>
      </c>
      <c r="AN1158" s="32">
        <f>IF($A1158="","",$AL1158+$AM1158)</f>
        <v/>
      </c>
      <c r="AO1158" s="24">
        <f>IF($A1158="","",IF(OR((IFERROR(INDEX('CAT_ACTIVIDADES'!$D$4:$D$26,MATCH($H1158,'CAT_ACTIVIDADES'!$A$4:$A$26,0)),""))=0,(IFERROR(INDEX('CAT_ACTIVIDADES'!$D$4:$D$26,MATCH($H1158,'CAT_ACTIVIDADES'!$A$4:$A$26,0)),""))=""),"SIN CLASIFICAR",IFERROR(INDEX('CAT_ACTIVIDADES'!$D$4:$D$26,MATCH($H1158,'CAT_ACTIVIDADES'!$A$4:$A$26,0)),"")))</f>
        <v/>
      </c>
      <c r="AP1158" s="4" t="n"/>
      <c r="AQ1158" s="4" t="n"/>
      <c r="AR1158" s="4" t="n"/>
      <c r="AS1158" s="24">
        <f>IF($AR1158="","",HYPERLINK(p_ruta_base_checklists&amp;$AR1158,"abrir"))</f>
        <v/>
      </c>
      <c r="AT1158" s="4" t="n"/>
      <c r="AU1158" s="24">
        <f>IF($A1158="","",$A1158&amp;IF($B1158="","0010",$B1158))</f>
        <v/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41" t="n"/>
      <c r="K1159" s="5" t="n"/>
      <c r="L1159" s="18" t="n"/>
      <c r="M1159" s="24">
        <f>IF($A1159="","",IFERROR(INDEX('AJUSTES'!$B$4:$B$303,MATCH($AU1159,'AJUSTES'!$A$4:$A$303,0)),IF($K1159="","",$K1159)))</f>
        <v/>
      </c>
      <c r="N1159" s="24">
        <f>IF($A1159="","",IFERROR(INDEX('CAT_ESTADOS_ERP'!$B$4:$B$22,MATCH(IFERROR(INDEX('2_IMPORTAR_EJECUCION'!$C$9:$C$1208,MATCH($AU1159,'2_IMPORTAR_EJECUCION'!$J$9:$J$1208,0)),""),'CAT_ESTADOS_ERP'!$A$4:$A$22,0)),"Pendiente"))</f>
        <v/>
      </c>
      <c r="O1159" s="24">
        <f>IF($J1159="","",YEAR($J1159+4-WEEKDAY($J1159,2))&amp;"-S"&amp;TEXT(_xlfn.ISOWEEKNUM($J1159),"00"))</f>
        <v/>
      </c>
      <c r="P1159" s="24">
        <f>IF($J1159="","",YEAR($J1159))</f>
        <v/>
      </c>
      <c r="Q1159" s="24">
        <f>IF($J1159="","",MONTH($J1159))</f>
        <v/>
      </c>
      <c r="R1159" s="24">
        <f>IF($J1159="","",$P1159&amp;"-"&amp;TEXT($Q1159,"00"))</f>
        <v/>
      </c>
      <c r="S1159" s="24">
        <f>IF($J1159="","",INDEX(lista_dias,WEEKDAY($J1159,2)))</f>
        <v/>
      </c>
      <c r="T1159" s="24">
        <f>IF($J1159="","",IFERROR(INDEX('CALENDARIO'!$C$15:$C$214,MATCH(TEXT($J1159,"yyyy-mm-dd")&amp;"|"&amp;$Y1159&amp;"|"&amp;$Z1159,'CALENDARIO'!$G$15:$G$214,0)),IFERROR(INDEX('CALENDARIO'!$C$15:$C$214,MATCH(TEXT($J1159,"yyyy-mm-dd")&amp;"|"&amp;$Y1159&amp;"|",'CALENDARIO'!$G$15:$G$214,0)),IFERROR(INDEX('CALENDARIO'!$C$15:$C$214,MATCH(TEXT($J1159,"yyyy-mm-dd")&amp;"||",'CALENDARIO'!$G$15:$G$214,0)),INDEX(patronHabil,WEEKDAY($J1159,2))))))</f>
        <v/>
      </c>
      <c r="U1159" s="24">
        <f>IF($I1159="","",IFERROR(INDEX('CAT_TIPOS_OT'!$C$4:$C$23,MATCH($I1159,'CAT_TIPOS_OT'!$A$4:$A$23,0)),"sin_clasificar"))</f>
        <v/>
      </c>
      <c r="V1159" s="24">
        <f>IF($I1159="","",IF(IFERROR(INDEX('CAT_TIPOS_OT'!$D$4:$D$23,MATCH($I1159,'CAT_TIPOS_OT'!$A$4:$A$23,0)),"SIN CLASIFICAR")="","SIN CLASIFICAR",IFERROR(INDEX('CAT_TIPOS_OT'!$D$4:$D$23,MATCH($I1159,'CAT_TIPOS_OT'!$A$4:$A$23,0)),"SIN CLASIFICAR")))</f>
        <v/>
      </c>
      <c r="W1159" s="24">
        <f>IF($H1159="","",IF(IFERROR(INDEX('CAT_ACTIVIDADES'!$F$4:$F$26,MATCH($H1159,'CAT_ACTIVIDADES'!$A$4:$A$26,0)),"")=0,"",IFERROR(INDEX('CAT_ACTIVIDADES'!$F$4:$F$26,MATCH($H1159,'CAT_ACTIVIDADES'!$A$4:$A$26,0)),"")))</f>
        <v/>
      </c>
      <c r="X1159" s="24">
        <f>IF($F1159="","",IFERROR(INDEX('CAT_CENTROS_COSTO'!$F$4:$F$28,MATCH($F1159,'CAT_CENTROS_COSTO'!$A$4:$A$28,0)),"(sin catálogo)"))</f>
        <v/>
      </c>
      <c r="Y1159" s="24">
        <f>IF($F1159="","",IFERROR(INDEX('CAT_CENTROS_COSTO'!$D$4:$D$28,MATCH($F1159,'CAT_CENTROS_COSTO'!$A$4:$A$28,0)),"(sin catálogo)"))</f>
        <v/>
      </c>
      <c r="Z1159" s="24">
        <f>IF($F1159="","",IF((IFERROR(INDEX('CAT_CENTROS_COSTO'!$E$4:$E$28,MATCH($F1159,'CAT_CENTROS_COSTO'!$A$4:$A$28,0)),""))&lt;&gt;"",IFERROR(INDEX('CAT_CENTROS_COSTO'!$E$4:$E$28,MATCH($F1159,'CAT_CENTROS_COSTO'!$A$4:$A$28,0)),""),$Y1159))</f>
        <v/>
      </c>
      <c r="AA1159" s="24">
        <f>IF($F1159="","",IFERROR(INDEX('CAT_CENTROS_COSTO'!$G$4:$G$28,MATCH($F1159,'CAT_CENTROS_COSTO'!$A$4:$A$28,0)),"(sin catálogo)"))</f>
        <v/>
      </c>
      <c r="AB1159" s="24">
        <f>IF($G1159="","",IFERROR(INDEX('CAT_PUESTOS'!$B$4:$B$23,MATCH($G1159,'CAT_PUESTOS'!$A$4:$A$23,0)),"(sin catálogo)"))</f>
        <v/>
      </c>
      <c r="AC1159" s="24">
        <f>IF($H1159="","",IFERROR(INDEX('CAT_ACTIVIDADES'!$B$4:$B$26,MATCH($H1159,'CAT_ACTIVIDADES'!$A$4:$A$26,0)),"(sin catálogo)"))</f>
        <v/>
      </c>
      <c r="AD1159" s="26">
        <f>IF($J1159="","",TODAY()-$J1159)</f>
        <v/>
      </c>
      <c r="AE1159" s="26">
        <f>IF($J1159="","",IF($J1159&lt;=TODAY(),COUNTIFS(cal_fechas,"&gt;="&amp;$J1159,cal_fechas,"&lt;"&amp;TODAY(),cal_habil,"sí"),-COUNTIFS(cal_fechas,"&gt;="&amp;TODAY(),cal_fechas,"&lt;"&amp;$J1159,cal_habil,"sí")))</f>
        <v/>
      </c>
      <c r="AF1159" s="24">
        <f>IF($AE1159="","",IF($AE1159&lt;0,"FUTURO",IF($AE1159&gt;p_dias_backlog_max,"BACKLOG","MES CORRIENTE")))</f>
        <v/>
      </c>
      <c r="AG1159" s="24">
        <f>IF($AE1159="",FALSE,AND($AE1159&gt;p_dias_backlog_min,$AE1159&lt;=p_dias_backlog_max))</f>
        <v/>
      </c>
      <c r="AH1159" s="4" t="n"/>
      <c r="AI1159" s="24">
        <f>IF($AH1159="","",IF((IFERROR(INDEX('ASIGNACIONES'!$J$4:$J$451,MATCH($O1159&amp;"|"&amp;$S1159&amp;"|"&amp;$AH1159,'ASIGNACIONES'!$N$4:$N$451,0)),""))=0,"",IFERROR(INDEX('ASIGNACIONES'!$J$4:$J$451,MATCH($O1159&amp;"|"&amp;$S1159&amp;"|"&amp;$AH1159,'ASIGNACIONES'!$N$4:$N$451,0)),"")))</f>
        <v/>
      </c>
      <c r="AJ1159" s="42">
        <f>IF($AH1159="","",SUMIFS('ORDENES'!$M$4:$M$1203,'ORDENES'!$AH$4:$AH$1203,$AH1159,'ORDENES'!$O$4:$O$1203,$O1159,'ORDENES'!$S$4:$S$1203,$S1159))</f>
        <v/>
      </c>
      <c r="AK1159" s="42">
        <f>IF($AJ1159="","",p_factor_productividad*IFERROR(INDEX('ASIGNACIONES'!$M$4:$M$451,MATCH($O1159&amp;"|"&amp;$S1159&amp;"|"&amp;$AH1159,'ASIGNACIONES'!$N$4:$N$451,0)),0)-$AJ1159)</f>
        <v/>
      </c>
      <c r="AL1159" s="32">
        <f>IF($A1159="","",IFERROR(INDEX('2_IMPORTAR_EJECUCION'!$F$9:$F$1208,MATCH($AU1159,'2_IMPORTAR_EJECUCION'!$J$9:$J$1208,0)),0))</f>
        <v/>
      </c>
      <c r="AM1159" s="32">
        <f>IF($A1159="","",MAX(0,IFERROR(INDEX('2_IMPORTAR_EJECUCION'!$H$9:$H$1208,MATCH($AU1159,'2_IMPORTAR_EJECUCION'!$J$9:$J$1208,0)),0)-$AL1159))</f>
        <v/>
      </c>
      <c r="AN1159" s="32">
        <f>IF($A1159="","",$AL1159+$AM1159)</f>
        <v/>
      </c>
      <c r="AO1159" s="24">
        <f>IF($A1159="","",IF(OR((IFERROR(INDEX('CAT_ACTIVIDADES'!$D$4:$D$26,MATCH($H1159,'CAT_ACTIVIDADES'!$A$4:$A$26,0)),""))=0,(IFERROR(INDEX('CAT_ACTIVIDADES'!$D$4:$D$26,MATCH($H1159,'CAT_ACTIVIDADES'!$A$4:$A$26,0)),""))=""),"SIN CLASIFICAR",IFERROR(INDEX('CAT_ACTIVIDADES'!$D$4:$D$26,MATCH($H1159,'CAT_ACTIVIDADES'!$A$4:$A$26,0)),"")))</f>
        <v/>
      </c>
      <c r="AP1159" s="4" t="n"/>
      <c r="AQ1159" s="4" t="n"/>
      <c r="AR1159" s="4" t="n"/>
      <c r="AS1159" s="24">
        <f>IF($AR1159="","",HYPERLINK(p_ruta_base_checklists&amp;$AR1159,"abrir"))</f>
        <v/>
      </c>
      <c r="AT1159" s="4" t="n"/>
      <c r="AU1159" s="24">
        <f>IF($A1159="","",$A1159&amp;IF($B1159="","0010",$B1159))</f>
        <v/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41" t="n"/>
      <c r="K1160" s="5" t="n"/>
      <c r="L1160" s="18" t="n"/>
      <c r="M1160" s="24">
        <f>IF($A1160="","",IFERROR(INDEX('AJUSTES'!$B$4:$B$303,MATCH($AU1160,'AJUSTES'!$A$4:$A$303,0)),IF($K1160="","",$K1160)))</f>
        <v/>
      </c>
      <c r="N1160" s="24">
        <f>IF($A1160="","",IFERROR(INDEX('CAT_ESTADOS_ERP'!$B$4:$B$22,MATCH(IFERROR(INDEX('2_IMPORTAR_EJECUCION'!$C$9:$C$1208,MATCH($AU1160,'2_IMPORTAR_EJECUCION'!$J$9:$J$1208,0)),""),'CAT_ESTADOS_ERP'!$A$4:$A$22,0)),"Pendiente"))</f>
        <v/>
      </c>
      <c r="O1160" s="24">
        <f>IF($J1160="","",YEAR($J1160+4-WEEKDAY($J1160,2))&amp;"-S"&amp;TEXT(_xlfn.ISOWEEKNUM($J1160),"00"))</f>
        <v/>
      </c>
      <c r="P1160" s="24">
        <f>IF($J1160="","",YEAR($J1160))</f>
        <v/>
      </c>
      <c r="Q1160" s="24">
        <f>IF($J1160="","",MONTH($J1160))</f>
        <v/>
      </c>
      <c r="R1160" s="24">
        <f>IF($J1160="","",$P1160&amp;"-"&amp;TEXT($Q1160,"00"))</f>
        <v/>
      </c>
      <c r="S1160" s="24">
        <f>IF($J1160="","",INDEX(lista_dias,WEEKDAY($J1160,2)))</f>
        <v/>
      </c>
      <c r="T1160" s="24">
        <f>IF($J1160="","",IFERROR(INDEX('CALENDARIO'!$C$15:$C$214,MATCH(TEXT($J1160,"yyyy-mm-dd")&amp;"|"&amp;$Y1160&amp;"|"&amp;$Z1160,'CALENDARIO'!$G$15:$G$214,0)),IFERROR(INDEX('CALENDARIO'!$C$15:$C$214,MATCH(TEXT($J1160,"yyyy-mm-dd")&amp;"|"&amp;$Y1160&amp;"|",'CALENDARIO'!$G$15:$G$214,0)),IFERROR(INDEX('CALENDARIO'!$C$15:$C$214,MATCH(TEXT($J1160,"yyyy-mm-dd")&amp;"||",'CALENDARIO'!$G$15:$G$214,0)),INDEX(patronHabil,WEEKDAY($J1160,2))))))</f>
        <v/>
      </c>
      <c r="U1160" s="24">
        <f>IF($I1160="","",IFERROR(INDEX('CAT_TIPOS_OT'!$C$4:$C$23,MATCH($I1160,'CAT_TIPOS_OT'!$A$4:$A$23,0)),"sin_clasificar"))</f>
        <v/>
      </c>
      <c r="V1160" s="24">
        <f>IF($I1160="","",IF(IFERROR(INDEX('CAT_TIPOS_OT'!$D$4:$D$23,MATCH($I1160,'CAT_TIPOS_OT'!$A$4:$A$23,0)),"SIN CLASIFICAR")="","SIN CLASIFICAR",IFERROR(INDEX('CAT_TIPOS_OT'!$D$4:$D$23,MATCH($I1160,'CAT_TIPOS_OT'!$A$4:$A$23,0)),"SIN CLASIFICAR")))</f>
        <v/>
      </c>
      <c r="W1160" s="24">
        <f>IF($H1160="","",IF(IFERROR(INDEX('CAT_ACTIVIDADES'!$F$4:$F$26,MATCH($H1160,'CAT_ACTIVIDADES'!$A$4:$A$26,0)),"")=0,"",IFERROR(INDEX('CAT_ACTIVIDADES'!$F$4:$F$26,MATCH($H1160,'CAT_ACTIVIDADES'!$A$4:$A$26,0)),"")))</f>
        <v/>
      </c>
      <c r="X1160" s="24">
        <f>IF($F1160="","",IFERROR(INDEX('CAT_CENTROS_COSTO'!$F$4:$F$28,MATCH($F1160,'CAT_CENTROS_COSTO'!$A$4:$A$28,0)),"(sin catálogo)"))</f>
        <v/>
      </c>
      <c r="Y1160" s="24">
        <f>IF($F1160="","",IFERROR(INDEX('CAT_CENTROS_COSTO'!$D$4:$D$28,MATCH($F1160,'CAT_CENTROS_COSTO'!$A$4:$A$28,0)),"(sin catálogo)"))</f>
        <v/>
      </c>
      <c r="Z1160" s="24">
        <f>IF($F1160="","",IF((IFERROR(INDEX('CAT_CENTROS_COSTO'!$E$4:$E$28,MATCH($F1160,'CAT_CENTROS_COSTO'!$A$4:$A$28,0)),""))&lt;&gt;"",IFERROR(INDEX('CAT_CENTROS_COSTO'!$E$4:$E$28,MATCH($F1160,'CAT_CENTROS_COSTO'!$A$4:$A$28,0)),""),$Y1160))</f>
        <v/>
      </c>
      <c r="AA1160" s="24">
        <f>IF($F1160="","",IFERROR(INDEX('CAT_CENTROS_COSTO'!$G$4:$G$28,MATCH($F1160,'CAT_CENTROS_COSTO'!$A$4:$A$28,0)),"(sin catálogo)"))</f>
        <v/>
      </c>
      <c r="AB1160" s="24">
        <f>IF($G1160="","",IFERROR(INDEX('CAT_PUESTOS'!$B$4:$B$23,MATCH($G1160,'CAT_PUESTOS'!$A$4:$A$23,0)),"(sin catálogo)"))</f>
        <v/>
      </c>
      <c r="AC1160" s="24">
        <f>IF($H1160="","",IFERROR(INDEX('CAT_ACTIVIDADES'!$B$4:$B$26,MATCH($H1160,'CAT_ACTIVIDADES'!$A$4:$A$26,0)),"(sin catálogo)"))</f>
        <v/>
      </c>
      <c r="AD1160" s="26">
        <f>IF($J1160="","",TODAY()-$J1160)</f>
        <v/>
      </c>
      <c r="AE1160" s="26">
        <f>IF($J1160="","",IF($J1160&lt;=TODAY(),COUNTIFS(cal_fechas,"&gt;="&amp;$J1160,cal_fechas,"&lt;"&amp;TODAY(),cal_habil,"sí"),-COUNTIFS(cal_fechas,"&gt;="&amp;TODAY(),cal_fechas,"&lt;"&amp;$J1160,cal_habil,"sí")))</f>
        <v/>
      </c>
      <c r="AF1160" s="24">
        <f>IF($AE1160="","",IF($AE1160&lt;0,"FUTURO",IF($AE1160&gt;p_dias_backlog_max,"BACKLOG","MES CORRIENTE")))</f>
        <v/>
      </c>
      <c r="AG1160" s="24">
        <f>IF($AE1160="",FALSE,AND($AE1160&gt;p_dias_backlog_min,$AE1160&lt;=p_dias_backlog_max))</f>
        <v/>
      </c>
      <c r="AH1160" s="4" t="n"/>
      <c r="AI1160" s="24">
        <f>IF($AH1160="","",IF((IFERROR(INDEX('ASIGNACIONES'!$J$4:$J$451,MATCH($O1160&amp;"|"&amp;$S1160&amp;"|"&amp;$AH1160,'ASIGNACIONES'!$N$4:$N$451,0)),""))=0,"",IFERROR(INDEX('ASIGNACIONES'!$J$4:$J$451,MATCH($O1160&amp;"|"&amp;$S1160&amp;"|"&amp;$AH1160,'ASIGNACIONES'!$N$4:$N$451,0)),"")))</f>
        <v/>
      </c>
      <c r="AJ1160" s="42">
        <f>IF($AH1160="","",SUMIFS('ORDENES'!$M$4:$M$1203,'ORDENES'!$AH$4:$AH$1203,$AH1160,'ORDENES'!$O$4:$O$1203,$O1160,'ORDENES'!$S$4:$S$1203,$S1160))</f>
        <v/>
      </c>
      <c r="AK1160" s="42">
        <f>IF($AJ1160="","",p_factor_productividad*IFERROR(INDEX('ASIGNACIONES'!$M$4:$M$451,MATCH($O1160&amp;"|"&amp;$S1160&amp;"|"&amp;$AH1160,'ASIGNACIONES'!$N$4:$N$451,0)),0)-$AJ1160)</f>
        <v/>
      </c>
      <c r="AL1160" s="32">
        <f>IF($A1160="","",IFERROR(INDEX('2_IMPORTAR_EJECUCION'!$F$9:$F$1208,MATCH($AU1160,'2_IMPORTAR_EJECUCION'!$J$9:$J$1208,0)),0))</f>
        <v/>
      </c>
      <c r="AM1160" s="32">
        <f>IF($A1160="","",MAX(0,IFERROR(INDEX('2_IMPORTAR_EJECUCION'!$H$9:$H$1208,MATCH($AU1160,'2_IMPORTAR_EJECUCION'!$J$9:$J$1208,0)),0)-$AL1160))</f>
        <v/>
      </c>
      <c r="AN1160" s="32">
        <f>IF($A1160="","",$AL1160+$AM1160)</f>
        <v/>
      </c>
      <c r="AO1160" s="24">
        <f>IF($A1160="","",IF(OR((IFERROR(INDEX('CAT_ACTIVIDADES'!$D$4:$D$26,MATCH($H1160,'CAT_ACTIVIDADES'!$A$4:$A$26,0)),""))=0,(IFERROR(INDEX('CAT_ACTIVIDADES'!$D$4:$D$26,MATCH($H1160,'CAT_ACTIVIDADES'!$A$4:$A$26,0)),""))=""),"SIN CLASIFICAR",IFERROR(INDEX('CAT_ACTIVIDADES'!$D$4:$D$26,MATCH($H1160,'CAT_ACTIVIDADES'!$A$4:$A$26,0)),"")))</f>
        <v/>
      </c>
      <c r="AP1160" s="4" t="n"/>
      <c r="AQ1160" s="4" t="n"/>
      <c r="AR1160" s="4" t="n"/>
      <c r="AS1160" s="24">
        <f>IF($AR1160="","",HYPERLINK(p_ruta_base_checklists&amp;$AR1160,"abrir"))</f>
        <v/>
      </c>
      <c r="AT1160" s="4" t="n"/>
      <c r="AU1160" s="24">
        <f>IF($A1160="","",$A1160&amp;IF($B1160="","0010",$B1160))</f>
        <v/>
      </c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41" t="n"/>
      <c r="K1161" s="5" t="n"/>
      <c r="L1161" s="18" t="n"/>
      <c r="M1161" s="24">
        <f>IF($A1161="","",IFERROR(INDEX('AJUSTES'!$B$4:$B$303,MATCH($AU1161,'AJUSTES'!$A$4:$A$303,0)),IF($K1161="","",$K1161)))</f>
        <v/>
      </c>
      <c r="N1161" s="24">
        <f>IF($A1161="","",IFERROR(INDEX('CAT_ESTADOS_ERP'!$B$4:$B$22,MATCH(IFERROR(INDEX('2_IMPORTAR_EJECUCION'!$C$9:$C$1208,MATCH($AU1161,'2_IMPORTAR_EJECUCION'!$J$9:$J$1208,0)),""),'CAT_ESTADOS_ERP'!$A$4:$A$22,0)),"Pendiente"))</f>
        <v/>
      </c>
      <c r="O1161" s="24">
        <f>IF($J1161="","",YEAR($J1161+4-WEEKDAY($J1161,2))&amp;"-S"&amp;TEXT(_xlfn.ISOWEEKNUM($J1161),"00"))</f>
        <v/>
      </c>
      <c r="P1161" s="24">
        <f>IF($J1161="","",YEAR($J1161))</f>
        <v/>
      </c>
      <c r="Q1161" s="24">
        <f>IF($J1161="","",MONTH($J1161))</f>
        <v/>
      </c>
      <c r="R1161" s="24">
        <f>IF($J1161="","",$P1161&amp;"-"&amp;TEXT($Q1161,"00"))</f>
        <v/>
      </c>
      <c r="S1161" s="24">
        <f>IF($J1161="","",INDEX(lista_dias,WEEKDAY($J1161,2)))</f>
        <v/>
      </c>
      <c r="T1161" s="24">
        <f>IF($J1161="","",IFERROR(INDEX('CALENDARIO'!$C$15:$C$214,MATCH(TEXT($J1161,"yyyy-mm-dd")&amp;"|"&amp;$Y1161&amp;"|"&amp;$Z1161,'CALENDARIO'!$G$15:$G$214,0)),IFERROR(INDEX('CALENDARIO'!$C$15:$C$214,MATCH(TEXT($J1161,"yyyy-mm-dd")&amp;"|"&amp;$Y1161&amp;"|",'CALENDARIO'!$G$15:$G$214,0)),IFERROR(INDEX('CALENDARIO'!$C$15:$C$214,MATCH(TEXT($J1161,"yyyy-mm-dd")&amp;"||",'CALENDARIO'!$G$15:$G$214,0)),INDEX(patronHabil,WEEKDAY($J1161,2))))))</f>
        <v/>
      </c>
      <c r="U1161" s="24">
        <f>IF($I1161="","",IFERROR(INDEX('CAT_TIPOS_OT'!$C$4:$C$23,MATCH($I1161,'CAT_TIPOS_OT'!$A$4:$A$23,0)),"sin_clasificar"))</f>
        <v/>
      </c>
      <c r="V1161" s="24">
        <f>IF($I1161="","",IF(IFERROR(INDEX('CAT_TIPOS_OT'!$D$4:$D$23,MATCH($I1161,'CAT_TIPOS_OT'!$A$4:$A$23,0)),"SIN CLASIFICAR")="","SIN CLASIFICAR",IFERROR(INDEX('CAT_TIPOS_OT'!$D$4:$D$23,MATCH($I1161,'CAT_TIPOS_OT'!$A$4:$A$23,0)),"SIN CLASIFICAR")))</f>
        <v/>
      </c>
      <c r="W1161" s="24">
        <f>IF($H1161="","",IF(IFERROR(INDEX('CAT_ACTIVIDADES'!$F$4:$F$26,MATCH($H1161,'CAT_ACTIVIDADES'!$A$4:$A$26,0)),"")=0,"",IFERROR(INDEX('CAT_ACTIVIDADES'!$F$4:$F$26,MATCH($H1161,'CAT_ACTIVIDADES'!$A$4:$A$26,0)),"")))</f>
        <v/>
      </c>
      <c r="X1161" s="24">
        <f>IF($F1161="","",IFERROR(INDEX('CAT_CENTROS_COSTO'!$F$4:$F$28,MATCH($F1161,'CAT_CENTROS_COSTO'!$A$4:$A$28,0)),"(sin catálogo)"))</f>
        <v/>
      </c>
      <c r="Y1161" s="24">
        <f>IF($F1161="","",IFERROR(INDEX('CAT_CENTROS_COSTO'!$D$4:$D$28,MATCH($F1161,'CAT_CENTROS_COSTO'!$A$4:$A$28,0)),"(sin catálogo)"))</f>
        <v/>
      </c>
      <c r="Z1161" s="24">
        <f>IF($F1161="","",IF((IFERROR(INDEX('CAT_CENTROS_COSTO'!$E$4:$E$28,MATCH($F1161,'CAT_CENTROS_COSTO'!$A$4:$A$28,0)),""))&lt;&gt;"",IFERROR(INDEX('CAT_CENTROS_COSTO'!$E$4:$E$28,MATCH($F1161,'CAT_CENTROS_COSTO'!$A$4:$A$28,0)),""),$Y1161))</f>
        <v/>
      </c>
      <c r="AA1161" s="24">
        <f>IF($F1161="","",IFERROR(INDEX('CAT_CENTROS_COSTO'!$G$4:$G$28,MATCH($F1161,'CAT_CENTROS_COSTO'!$A$4:$A$28,0)),"(sin catálogo)"))</f>
        <v/>
      </c>
      <c r="AB1161" s="24">
        <f>IF($G1161="","",IFERROR(INDEX('CAT_PUESTOS'!$B$4:$B$23,MATCH($G1161,'CAT_PUESTOS'!$A$4:$A$23,0)),"(sin catálogo)"))</f>
        <v/>
      </c>
      <c r="AC1161" s="24">
        <f>IF($H1161="","",IFERROR(INDEX('CAT_ACTIVIDADES'!$B$4:$B$26,MATCH($H1161,'CAT_ACTIVIDADES'!$A$4:$A$26,0)),"(sin catálogo)"))</f>
        <v/>
      </c>
      <c r="AD1161" s="26">
        <f>IF($J1161="","",TODAY()-$J1161)</f>
        <v/>
      </c>
      <c r="AE1161" s="26">
        <f>IF($J1161="","",IF($J1161&lt;=TODAY(),COUNTIFS(cal_fechas,"&gt;="&amp;$J1161,cal_fechas,"&lt;"&amp;TODAY(),cal_habil,"sí"),-COUNTIFS(cal_fechas,"&gt;="&amp;TODAY(),cal_fechas,"&lt;"&amp;$J1161,cal_habil,"sí")))</f>
        <v/>
      </c>
      <c r="AF1161" s="24">
        <f>IF($AE1161="","",IF($AE1161&lt;0,"FUTURO",IF($AE1161&gt;p_dias_backlog_max,"BACKLOG","MES CORRIENTE")))</f>
        <v/>
      </c>
      <c r="AG1161" s="24">
        <f>IF($AE1161="",FALSE,AND($AE1161&gt;p_dias_backlog_min,$AE1161&lt;=p_dias_backlog_max))</f>
        <v/>
      </c>
      <c r="AH1161" s="4" t="n"/>
      <c r="AI1161" s="24">
        <f>IF($AH1161="","",IF((IFERROR(INDEX('ASIGNACIONES'!$J$4:$J$451,MATCH($O1161&amp;"|"&amp;$S1161&amp;"|"&amp;$AH1161,'ASIGNACIONES'!$N$4:$N$451,0)),""))=0,"",IFERROR(INDEX('ASIGNACIONES'!$J$4:$J$451,MATCH($O1161&amp;"|"&amp;$S1161&amp;"|"&amp;$AH1161,'ASIGNACIONES'!$N$4:$N$451,0)),"")))</f>
        <v/>
      </c>
      <c r="AJ1161" s="42">
        <f>IF($AH1161="","",SUMIFS('ORDENES'!$M$4:$M$1203,'ORDENES'!$AH$4:$AH$1203,$AH1161,'ORDENES'!$O$4:$O$1203,$O1161,'ORDENES'!$S$4:$S$1203,$S1161))</f>
        <v/>
      </c>
      <c r="AK1161" s="42">
        <f>IF($AJ1161="","",p_factor_productividad*IFERROR(INDEX('ASIGNACIONES'!$M$4:$M$451,MATCH($O1161&amp;"|"&amp;$S1161&amp;"|"&amp;$AH1161,'ASIGNACIONES'!$N$4:$N$451,0)),0)-$AJ1161)</f>
        <v/>
      </c>
      <c r="AL1161" s="32">
        <f>IF($A1161="","",IFERROR(INDEX('2_IMPORTAR_EJECUCION'!$F$9:$F$1208,MATCH($AU1161,'2_IMPORTAR_EJECUCION'!$J$9:$J$1208,0)),0))</f>
        <v/>
      </c>
      <c r="AM1161" s="32">
        <f>IF($A1161="","",MAX(0,IFERROR(INDEX('2_IMPORTAR_EJECUCION'!$H$9:$H$1208,MATCH($AU1161,'2_IMPORTAR_EJECUCION'!$J$9:$J$1208,0)),0)-$AL1161))</f>
        <v/>
      </c>
      <c r="AN1161" s="32">
        <f>IF($A1161="","",$AL1161+$AM1161)</f>
        <v/>
      </c>
      <c r="AO1161" s="24">
        <f>IF($A1161="","",IF(OR((IFERROR(INDEX('CAT_ACTIVIDADES'!$D$4:$D$26,MATCH($H1161,'CAT_ACTIVIDADES'!$A$4:$A$26,0)),""))=0,(IFERROR(INDEX('CAT_ACTIVIDADES'!$D$4:$D$26,MATCH($H1161,'CAT_ACTIVIDADES'!$A$4:$A$26,0)),""))=""),"SIN CLASIFICAR",IFERROR(INDEX('CAT_ACTIVIDADES'!$D$4:$D$26,MATCH($H1161,'CAT_ACTIVIDADES'!$A$4:$A$26,0)),"")))</f>
        <v/>
      </c>
      <c r="AP1161" s="4" t="n"/>
      <c r="AQ1161" s="4" t="n"/>
      <c r="AR1161" s="4" t="n"/>
      <c r="AS1161" s="24">
        <f>IF($AR1161="","",HYPERLINK(p_ruta_base_checklists&amp;$AR1161,"abrir"))</f>
        <v/>
      </c>
      <c r="AT1161" s="4" t="n"/>
      <c r="AU1161" s="24">
        <f>IF($A1161="","",$A1161&amp;IF($B1161="","0010",$B1161))</f>
        <v/>
      </c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41" t="n"/>
      <c r="K1162" s="5" t="n"/>
      <c r="L1162" s="18" t="n"/>
      <c r="M1162" s="24">
        <f>IF($A1162="","",IFERROR(INDEX('AJUSTES'!$B$4:$B$303,MATCH($AU1162,'AJUSTES'!$A$4:$A$303,0)),IF($K1162="","",$K1162)))</f>
        <v/>
      </c>
      <c r="N1162" s="24">
        <f>IF($A1162="","",IFERROR(INDEX('CAT_ESTADOS_ERP'!$B$4:$B$22,MATCH(IFERROR(INDEX('2_IMPORTAR_EJECUCION'!$C$9:$C$1208,MATCH($AU1162,'2_IMPORTAR_EJECUCION'!$J$9:$J$1208,0)),""),'CAT_ESTADOS_ERP'!$A$4:$A$22,0)),"Pendiente"))</f>
        <v/>
      </c>
      <c r="O1162" s="24">
        <f>IF($J1162="","",YEAR($J1162+4-WEEKDAY($J1162,2))&amp;"-S"&amp;TEXT(_xlfn.ISOWEEKNUM($J1162),"00"))</f>
        <v/>
      </c>
      <c r="P1162" s="24">
        <f>IF($J1162="","",YEAR($J1162))</f>
        <v/>
      </c>
      <c r="Q1162" s="24">
        <f>IF($J1162="","",MONTH($J1162))</f>
        <v/>
      </c>
      <c r="R1162" s="24">
        <f>IF($J1162="","",$P1162&amp;"-"&amp;TEXT($Q1162,"00"))</f>
        <v/>
      </c>
      <c r="S1162" s="24">
        <f>IF($J1162="","",INDEX(lista_dias,WEEKDAY($J1162,2)))</f>
        <v/>
      </c>
      <c r="T1162" s="24">
        <f>IF($J1162="","",IFERROR(INDEX('CALENDARIO'!$C$15:$C$214,MATCH(TEXT($J1162,"yyyy-mm-dd")&amp;"|"&amp;$Y1162&amp;"|"&amp;$Z1162,'CALENDARIO'!$G$15:$G$214,0)),IFERROR(INDEX('CALENDARIO'!$C$15:$C$214,MATCH(TEXT($J1162,"yyyy-mm-dd")&amp;"|"&amp;$Y1162&amp;"|",'CALENDARIO'!$G$15:$G$214,0)),IFERROR(INDEX('CALENDARIO'!$C$15:$C$214,MATCH(TEXT($J1162,"yyyy-mm-dd")&amp;"||",'CALENDARIO'!$G$15:$G$214,0)),INDEX(patronHabil,WEEKDAY($J1162,2))))))</f>
        <v/>
      </c>
      <c r="U1162" s="24">
        <f>IF($I1162="","",IFERROR(INDEX('CAT_TIPOS_OT'!$C$4:$C$23,MATCH($I1162,'CAT_TIPOS_OT'!$A$4:$A$23,0)),"sin_clasificar"))</f>
        <v/>
      </c>
      <c r="V1162" s="24">
        <f>IF($I1162="","",IF(IFERROR(INDEX('CAT_TIPOS_OT'!$D$4:$D$23,MATCH($I1162,'CAT_TIPOS_OT'!$A$4:$A$23,0)),"SIN CLASIFICAR")="","SIN CLASIFICAR",IFERROR(INDEX('CAT_TIPOS_OT'!$D$4:$D$23,MATCH($I1162,'CAT_TIPOS_OT'!$A$4:$A$23,0)),"SIN CLASIFICAR")))</f>
        <v/>
      </c>
      <c r="W1162" s="24">
        <f>IF($H1162="","",IF(IFERROR(INDEX('CAT_ACTIVIDADES'!$F$4:$F$26,MATCH($H1162,'CAT_ACTIVIDADES'!$A$4:$A$26,0)),"")=0,"",IFERROR(INDEX('CAT_ACTIVIDADES'!$F$4:$F$26,MATCH($H1162,'CAT_ACTIVIDADES'!$A$4:$A$26,0)),"")))</f>
        <v/>
      </c>
      <c r="X1162" s="24">
        <f>IF($F1162="","",IFERROR(INDEX('CAT_CENTROS_COSTO'!$F$4:$F$28,MATCH($F1162,'CAT_CENTROS_COSTO'!$A$4:$A$28,0)),"(sin catálogo)"))</f>
        <v/>
      </c>
      <c r="Y1162" s="24">
        <f>IF($F1162="","",IFERROR(INDEX('CAT_CENTROS_COSTO'!$D$4:$D$28,MATCH($F1162,'CAT_CENTROS_COSTO'!$A$4:$A$28,0)),"(sin catálogo)"))</f>
        <v/>
      </c>
      <c r="Z1162" s="24">
        <f>IF($F1162="","",IF((IFERROR(INDEX('CAT_CENTROS_COSTO'!$E$4:$E$28,MATCH($F1162,'CAT_CENTROS_COSTO'!$A$4:$A$28,0)),""))&lt;&gt;"",IFERROR(INDEX('CAT_CENTROS_COSTO'!$E$4:$E$28,MATCH($F1162,'CAT_CENTROS_COSTO'!$A$4:$A$28,0)),""),$Y1162))</f>
        <v/>
      </c>
      <c r="AA1162" s="24">
        <f>IF($F1162="","",IFERROR(INDEX('CAT_CENTROS_COSTO'!$G$4:$G$28,MATCH($F1162,'CAT_CENTROS_COSTO'!$A$4:$A$28,0)),"(sin catálogo)"))</f>
        <v/>
      </c>
      <c r="AB1162" s="24">
        <f>IF($G1162="","",IFERROR(INDEX('CAT_PUESTOS'!$B$4:$B$23,MATCH($G1162,'CAT_PUESTOS'!$A$4:$A$23,0)),"(sin catálogo)"))</f>
        <v/>
      </c>
      <c r="AC1162" s="24">
        <f>IF($H1162="","",IFERROR(INDEX('CAT_ACTIVIDADES'!$B$4:$B$26,MATCH($H1162,'CAT_ACTIVIDADES'!$A$4:$A$26,0)),"(sin catálogo)"))</f>
        <v/>
      </c>
      <c r="AD1162" s="26">
        <f>IF($J1162="","",TODAY()-$J1162)</f>
        <v/>
      </c>
      <c r="AE1162" s="26">
        <f>IF($J1162="","",IF($J1162&lt;=TODAY(),COUNTIFS(cal_fechas,"&gt;="&amp;$J1162,cal_fechas,"&lt;"&amp;TODAY(),cal_habil,"sí"),-COUNTIFS(cal_fechas,"&gt;="&amp;TODAY(),cal_fechas,"&lt;"&amp;$J1162,cal_habil,"sí")))</f>
        <v/>
      </c>
      <c r="AF1162" s="24">
        <f>IF($AE1162="","",IF($AE1162&lt;0,"FUTURO",IF($AE1162&gt;p_dias_backlog_max,"BACKLOG","MES CORRIENTE")))</f>
        <v/>
      </c>
      <c r="AG1162" s="24">
        <f>IF($AE1162="",FALSE,AND($AE1162&gt;p_dias_backlog_min,$AE1162&lt;=p_dias_backlog_max))</f>
        <v/>
      </c>
      <c r="AH1162" s="4" t="n"/>
      <c r="AI1162" s="24">
        <f>IF($AH1162="","",IF((IFERROR(INDEX('ASIGNACIONES'!$J$4:$J$451,MATCH($O1162&amp;"|"&amp;$S1162&amp;"|"&amp;$AH1162,'ASIGNACIONES'!$N$4:$N$451,0)),""))=0,"",IFERROR(INDEX('ASIGNACIONES'!$J$4:$J$451,MATCH($O1162&amp;"|"&amp;$S1162&amp;"|"&amp;$AH1162,'ASIGNACIONES'!$N$4:$N$451,0)),"")))</f>
        <v/>
      </c>
      <c r="AJ1162" s="42">
        <f>IF($AH1162="","",SUMIFS('ORDENES'!$M$4:$M$1203,'ORDENES'!$AH$4:$AH$1203,$AH1162,'ORDENES'!$O$4:$O$1203,$O1162,'ORDENES'!$S$4:$S$1203,$S1162))</f>
        <v/>
      </c>
      <c r="AK1162" s="42">
        <f>IF($AJ1162="","",p_factor_productividad*IFERROR(INDEX('ASIGNACIONES'!$M$4:$M$451,MATCH($O1162&amp;"|"&amp;$S1162&amp;"|"&amp;$AH1162,'ASIGNACIONES'!$N$4:$N$451,0)),0)-$AJ1162)</f>
        <v/>
      </c>
      <c r="AL1162" s="32">
        <f>IF($A1162="","",IFERROR(INDEX('2_IMPORTAR_EJECUCION'!$F$9:$F$1208,MATCH($AU1162,'2_IMPORTAR_EJECUCION'!$J$9:$J$1208,0)),0))</f>
        <v/>
      </c>
      <c r="AM1162" s="32">
        <f>IF($A1162="","",MAX(0,IFERROR(INDEX('2_IMPORTAR_EJECUCION'!$H$9:$H$1208,MATCH($AU1162,'2_IMPORTAR_EJECUCION'!$J$9:$J$1208,0)),0)-$AL1162))</f>
        <v/>
      </c>
      <c r="AN1162" s="32">
        <f>IF($A1162="","",$AL1162+$AM1162)</f>
        <v/>
      </c>
      <c r="AO1162" s="24">
        <f>IF($A1162="","",IF(OR((IFERROR(INDEX('CAT_ACTIVIDADES'!$D$4:$D$26,MATCH($H1162,'CAT_ACTIVIDADES'!$A$4:$A$26,0)),""))=0,(IFERROR(INDEX('CAT_ACTIVIDADES'!$D$4:$D$26,MATCH($H1162,'CAT_ACTIVIDADES'!$A$4:$A$26,0)),""))=""),"SIN CLASIFICAR",IFERROR(INDEX('CAT_ACTIVIDADES'!$D$4:$D$26,MATCH($H1162,'CAT_ACTIVIDADES'!$A$4:$A$26,0)),"")))</f>
        <v/>
      </c>
      <c r="AP1162" s="4" t="n"/>
      <c r="AQ1162" s="4" t="n"/>
      <c r="AR1162" s="4" t="n"/>
      <c r="AS1162" s="24">
        <f>IF($AR1162="","",HYPERLINK(p_ruta_base_checklists&amp;$AR1162,"abrir"))</f>
        <v/>
      </c>
      <c r="AT1162" s="4" t="n"/>
      <c r="AU1162" s="24">
        <f>IF($A1162="","",$A1162&amp;IF($B1162="","0010",$B1162))</f>
        <v/>
      </c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41" t="n"/>
      <c r="K1163" s="5" t="n"/>
      <c r="L1163" s="18" t="n"/>
      <c r="M1163" s="24">
        <f>IF($A1163="","",IFERROR(INDEX('AJUSTES'!$B$4:$B$303,MATCH($AU1163,'AJUSTES'!$A$4:$A$303,0)),IF($K1163="","",$K1163)))</f>
        <v/>
      </c>
      <c r="N1163" s="24">
        <f>IF($A1163="","",IFERROR(INDEX('CAT_ESTADOS_ERP'!$B$4:$B$22,MATCH(IFERROR(INDEX('2_IMPORTAR_EJECUCION'!$C$9:$C$1208,MATCH($AU1163,'2_IMPORTAR_EJECUCION'!$J$9:$J$1208,0)),""),'CAT_ESTADOS_ERP'!$A$4:$A$22,0)),"Pendiente"))</f>
        <v/>
      </c>
      <c r="O1163" s="24">
        <f>IF($J1163="","",YEAR($J1163+4-WEEKDAY($J1163,2))&amp;"-S"&amp;TEXT(_xlfn.ISOWEEKNUM($J1163),"00"))</f>
        <v/>
      </c>
      <c r="P1163" s="24">
        <f>IF($J1163="","",YEAR($J1163))</f>
        <v/>
      </c>
      <c r="Q1163" s="24">
        <f>IF($J1163="","",MONTH($J1163))</f>
        <v/>
      </c>
      <c r="R1163" s="24">
        <f>IF($J1163="","",$P1163&amp;"-"&amp;TEXT($Q1163,"00"))</f>
        <v/>
      </c>
      <c r="S1163" s="24">
        <f>IF($J1163="","",INDEX(lista_dias,WEEKDAY($J1163,2)))</f>
        <v/>
      </c>
      <c r="T1163" s="24">
        <f>IF($J1163="","",IFERROR(INDEX('CALENDARIO'!$C$15:$C$214,MATCH(TEXT($J1163,"yyyy-mm-dd")&amp;"|"&amp;$Y1163&amp;"|"&amp;$Z1163,'CALENDARIO'!$G$15:$G$214,0)),IFERROR(INDEX('CALENDARIO'!$C$15:$C$214,MATCH(TEXT($J1163,"yyyy-mm-dd")&amp;"|"&amp;$Y1163&amp;"|",'CALENDARIO'!$G$15:$G$214,0)),IFERROR(INDEX('CALENDARIO'!$C$15:$C$214,MATCH(TEXT($J1163,"yyyy-mm-dd")&amp;"||",'CALENDARIO'!$G$15:$G$214,0)),INDEX(patronHabil,WEEKDAY($J1163,2))))))</f>
        <v/>
      </c>
      <c r="U1163" s="24">
        <f>IF($I1163="","",IFERROR(INDEX('CAT_TIPOS_OT'!$C$4:$C$23,MATCH($I1163,'CAT_TIPOS_OT'!$A$4:$A$23,0)),"sin_clasificar"))</f>
        <v/>
      </c>
      <c r="V1163" s="24">
        <f>IF($I1163="","",IF(IFERROR(INDEX('CAT_TIPOS_OT'!$D$4:$D$23,MATCH($I1163,'CAT_TIPOS_OT'!$A$4:$A$23,0)),"SIN CLASIFICAR")="","SIN CLASIFICAR",IFERROR(INDEX('CAT_TIPOS_OT'!$D$4:$D$23,MATCH($I1163,'CAT_TIPOS_OT'!$A$4:$A$23,0)),"SIN CLASIFICAR")))</f>
        <v/>
      </c>
      <c r="W1163" s="24">
        <f>IF($H1163="","",IF(IFERROR(INDEX('CAT_ACTIVIDADES'!$F$4:$F$26,MATCH($H1163,'CAT_ACTIVIDADES'!$A$4:$A$26,0)),"")=0,"",IFERROR(INDEX('CAT_ACTIVIDADES'!$F$4:$F$26,MATCH($H1163,'CAT_ACTIVIDADES'!$A$4:$A$26,0)),"")))</f>
        <v/>
      </c>
      <c r="X1163" s="24">
        <f>IF($F1163="","",IFERROR(INDEX('CAT_CENTROS_COSTO'!$F$4:$F$28,MATCH($F1163,'CAT_CENTROS_COSTO'!$A$4:$A$28,0)),"(sin catálogo)"))</f>
        <v/>
      </c>
      <c r="Y1163" s="24">
        <f>IF($F1163="","",IFERROR(INDEX('CAT_CENTROS_COSTO'!$D$4:$D$28,MATCH($F1163,'CAT_CENTROS_COSTO'!$A$4:$A$28,0)),"(sin catálogo)"))</f>
        <v/>
      </c>
      <c r="Z1163" s="24">
        <f>IF($F1163="","",IF((IFERROR(INDEX('CAT_CENTROS_COSTO'!$E$4:$E$28,MATCH($F1163,'CAT_CENTROS_COSTO'!$A$4:$A$28,0)),""))&lt;&gt;"",IFERROR(INDEX('CAT_CENTROS_COSTO'!$E$4:$E$28,MATCH($F1163,'CAT_CENTROS_COSTO'!$A$4:$A$28,0)),""),$Y1163))</f>
        <v/>
      </c>
      <c r="AA1163" s="24">
        <f>IF($F1163="","",IFERROR(INDEX('CAT_CENTROS_COSTO'!$G$4:$G$28,MATCH($F1163,'CAT_CENTROS_COSTO'!$A$4:$A$28,0)),"(sin catálogo)"))</f>
        <v/>
      </c>
      <c r="AB1163" s="24">
        <f>IF($G1163="","",IFERROR(INDEX('CAT_PUESTOS'!$B$4:$B$23,MATCH($G1163,'CAT_PUESTOS'!$A$4:$A$23,0)),"(sin catálogo)"))</f>
        <v/>
      </c>
      <c r="AC1163" s="24">
        <f>IF($H1163="","",IFERROR(INDEX('CAT_ACTIVIDADES'!$B$4:$B$26,MATCH($H1163,'CAT_ACTIVIDADES'!$A$4:$A$26,0)),"(sin catálogo)"))</f>
        <v/>
      </c>
      <c r="AD1163" s="26">
        <f>IF($J1163="","",TODAY()-$J1163)</f>
        <v/>
      </c>
      <c r="AE1163" s="26">
        <f>IF($J1163="","",IF($J1163&lt;=TODAY(),COUNTIFS(cal_fechas,"&gt;="&amp;$J1163,cal_fechas,"&lt;"&amp;TODAY(),cal_habil,"sí"),-COUNTIFS(cal_fechas,"&gt;="&amp;TODAY(),cal_fechas,"&lt;"&amp;$J1163,cal_habil,"sí")))</f>
        <v/>
      </c>
      <c r="AF1163" s="24">
        <f>IF($AE1163="","",IF($AE1163&lt;0,"FUTURO",IF($AE1163&gt;p_dias_backlog_max,"BACKLOG","MES CORRIENTE")))</f>
        <v/>
      </c>
      <c r="AG1163" s="24">
        <f>IF($AE1163="",FALSE,AND($AE1163&gt;p_dias_backlog_min,$AE1163&lt;=p_dias_backlog_max))</f>
        <v/>
      </c>
      <c r="AH1163" s="4" t="n"/>
      <c r="AI1163" s="24">
        <f>IF($AH1163="","",IF((IFERROR(INDEX('ASIGNACIONES'!$J$4:$J$451,MATCH($O1163&amp;"|"&amp;$S1163&amp;"|"&amp;$AH1163,'ASIGNACIONES'!$N$4:$N$451,0)),""))=0,"",IFERROR(INDEX('ASIGNACIONES'!$J$4:$J$451,MATCH($O1163&amp;"|"&amp;$S1163&amp;"|"&amp;$AH1163,'ASIGNACIONES'!$N$4:$N$451,0)),"")))</f>
        <v/>
      </c>
      <c r="AJ1163" s="42">
        <f>IF($AH1163="","",SUMIFS('ORDENES'!$M$4:$M$1203,'ORDENES'!$AH$4:$AH$1203,$AH1163,'ORDENES'!$O$4:$O$1203,$O1163,'ORDENES'!$S$4:$S$1203,$S1163))</f>
        <v/>
      </c>
      <c r="AK1163" s="42">
        <f>IF($AJ1163="","",p_factor_productividad*IFERROR(INDEX('ASIGNACIONES'!$M$4:$M$451,MATCH($O1163&amp;"|"&amp;$S1163&amp;"|"&amp;$AH1163,'ASIGNACIONES'!$N$4:$N$451,0)),0)-$AJ1163)</f>
        <v/>
      </c>
      <c r="AL1163" s="32">
        <f>IF($A1163="","",IFERROR(INDEX('2_IMPORTAR_EJECUCION'!$F$9:$F$1208,MATCH($AU1163,'2_IMPORTAR_EJECUCION'!$J$9:$J$1208,0)),0))</f>
        <v/>
      </c>
      <c r="AM1163" s="32">
        <f>IF($A1163="","",MAX(0,IFERROR(INDEX('2_IMPORTAR_EJECUCION'!$H$9:$H$1208,MATCH($AU1163,'2_IMPORTAR_EJECUCION'!$J$9:$J$1208,0)),0)-$AL1163))</f>
        <v/>
      </c>
      <c r="AN1163" s="32">
        <f>IF($A1163="","",$AL1163+$AM1163)</f>
        <v/>
      </c>
      <c r="AO1163" s="24">
        <f>IF($A1163="","",IF(OR((IFERROR(INDEX('CAT_ACTIVIDADES'!$D$4:$D$26,MATCH($H1163,'CAT_ACTIVIDADES'!$A$4:$A$26,0)),""))=0,(IFERROR(INDEX('CAT_ACTIVIDADES'!$D$4:$D$26,MATCH($H1163,'CAT_ACTIVIDADES'!$A$4:$A$26,0)),""))=""),"SIN CLASIFICAR",IFERROR(INDEX('CAT_ACTIVIDADES'!$D$4:$D$26,MATCH($H1163,'CAT_ACTIVIDADES'!$A$4:$A$26,0)),"")))</f>
        <v/>
      </c>
      <c r="AP1163" s="4" t="n"/>
      <c r="AQ1163" s="4" t="n"/>
      <c r="AR1163" s="4" t="n"/>
      <c r="AS1163" s="24">
        <f>IF($AR1163="","",HYPERLINK(p_ruta_base_checklists&amp;$AR1163,"abrir"))</f>
        <v/>
      </c>
      <c r="AT1163" s="4" t="n"/>
      <c r="AU1163" s="24">
        <f>IF($A1163="","",$A1163&amp;IF($B1163="","0010",$B1163))</f>
        <v/>
      </c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41" t="n"/>
      <c r="K1164" s="5" t="n"/>
      <c r="L1164" s="18" t="n"/>
      <c r="M1164" s="24">
        <f>IF($A1164="","",IFERROR(INDEX('AJUSTES'!$B$4:$B$303,MATCH($AU1164,'AJUSTES'!$A$4:$A$303,0)),IF($K1164="","",$K1164)))</f>
        <v/>
      </c>
      <c r="N1164" s="24">
        <f>IF($A1164="","",IFERROR(INDEX('CAT_ESTADOS_ERP'!$B$4:$B$22,MATCH(IFERROR(INDEX('2_IMPORTAR_EJECUCION'!$C$9:$C$1208,MATCH($AU1164,'2_IMPORTAR_EJECUCION'!$J$9:$J$1208,0)),""),'CAT_ESTADOS_ERP'!$A$4:$A$22,0)),"Pendiente"))</f>
        <v/>
      </c>
      <c r="O1164" s="24">
        <f>IF($J1164="","",YEAR($J1164+4-WEEKDAY($J1164,2))&amp;"-S"&amp;TEXT(_xlfn.ISOWEEKNUM($J1164),"00"))</f>
        <v/>
      </c>
      <c r="P1164" s="24">
        <f>IF($J1164="","",YEAR($J1164))</f>
        <v/>
      </c>
      <c r="Q1164" s="24">
        <f>IF($J1164="","",MONTH($J1164))</f>
        <v/>
      </c>
      <c r="R1164" s="24">
        <f>IF($J1164="","",$P1164&amp;"-"&amp;TEXT($Q1164,"00"))</f>
        <v/>
      </c>
      <c r="S1164" s="24">
        <f>IF($J1164="","",INDEX(lista_dias,WEEKDAY($J1164,2)))</f>
        <v/>
      </c>
      <c r="T1164" s="24">
        <f>IF($J1164="","",IFERROR(INDEX('CALENDARIO'!$C$15:$C$214,MATCH(TEXT($J1164,"yyyy-mm-dd")&amp;"|"&amp;$Y1164&amp;"|"&amp;$Z1164,'CALENDARIO'!$G$15:$G$214,0)),IFERROR(INDEX('CALENDARIO'!$C$15:$C$214,MATCH(TEXT($J1164,"yyyy-mm-dd")&amp;"|"&amp;$Y1164&amp;"|",'CALENDARIO'!$G$15:$G$214,0)),IFERROR(INDEX('CALENDARIO'!$C$15:$C$214,MATCH(TEXT($J1164,"yyyy-mm-dd")&amp;"||",'CALENDARIO'!$G$15:$G$214,0)),INDEX(patronHabil,WEEKDAY($J1164,2))))))</f>
        <v/>
      </c>
      <c r="U1164" s="24">
        <f>IF($I1164="","",IFERROR(INDEX('CAT_TIPOS_OT'!$C$4:$C$23,MATCH($I1164,'CAT_TIPOS_OT'!$A$4:$A$23,0)),"sin_clasificar"))</f>
        <v/>
      </c>
      <c r="V1164" s="24">
        <f>IF($I1164="","",IF(IFERROR(INDEX('CAT_TIPOS_OT'!$D$4:$D$23,MATCH($I1164,'CAT_TIPOS_OT'!$A$4:$A$23,0)),"SIN CLASIFICAR")="","SIN CLASIFICAR",IFERROR(INDEX('CAT_TIPOS_OT'!$D$4:$D$23,MATCH($I1164,'CAT_TIPOS_OT'!$A$4:$A$23,0)),"SIN CLASIFICAR")))</f>
        <v/>
      </c>
      <c r="W1164" s="24">
        <f>IF($H1164="","",IF(IFERROR(INDEX('CAT_ACTIVIDADES'!$F$4:$F$26,MATCH($H1164,'CAT_ACTIVIDADES'!$A$4:$A$26,0)),"")=0,"",IFERROR(INDEX('CAT_ACTIVIDADES'!$F$4:$F$26,MATCH($H1164,'CAT_ACTIVIDADES'!$A$4:$A$26,0)),"")))</f>
        <v/>
      </c>
      <c r="X1164" s="24">
        <f>IF($F1164="","",IFERROR(INDEX('CAT_CENTROS_COSTO'!$F$4:$F$28,MATCH($F1164,'CAT_CENTROS_COSTO'!$A$4:$A$28,0)),"(sin catálogo)"))</f>
        <v/>
      </c>
      <c r="Y1164" s="24">
        <f>IF($F1164="","",IFERROR(INDEX('CAT_CENTROS_COSTO'!$D$4:$D$28,MATCH($F1164,'CAT_CENTROS_COSTO'!$A$4:$A$28,0)),"(sin catálogo)"))</f>
        <v/>
      </c>
      <c r="Z1164" s="24">
        <f>IF($F1164="","",IF((IFERROR(INDEX('CAT_CENTROS_COSTO'!$E$4:$E$28,MATCH($F1164,'CAT_CENTROS_COSTO'!$A$4:$A$28,0)),""))&lt;&gt;"",IFERROR(INDEX('CAT_CENTROS_COSTO'!$E$4:$E$28,MATCH($F1164,'CAT_CENTROS_COSTO'!$A$4:$A$28,0)),""),$Y1164))</f>
        <v/>
      </c>
      <c r="AA1164" s="24">
        <f>IF($F1164="","",IFERROR(INDEX('CAT_CENTROS_COSTO'!$G$4:$G$28,MATCH($F1164,'CAT_CENTROS_COSTO'!$A$4:$A$28,0)),"(sin catálogo)"))</f>
        <v/>
      </c>
      <c r="AB1164" s="24">
        <f>IF($G1164="","",IFERROR(INDEX('CAT_PUESTOS'!$B$4:$B$23,MATCH($G1164,'CAT_PUESTOS'!$A$4:$A$23,0)),"(sin catálogo)"))</f>
        <v/>
      </c>
      <c r="AC1164" s="24">
        <f>IF($H1164="","",IFERROR(INDEX('CAT_ACTIVIDADES'!$B$4:$B$26,MATCH($H1164,'CAT_ACTIVIDADES'!$A$4:$A$26,0)),"(sin catálogo)"))</f>
        <v/>
      </c>
      <c r="AD1164" s="26">
        <f>IF($J1164="","",TODAY()-$J1164)</f>
        <v/>
      </c>
      <c r="AE1164" s="26">
        <f>IF($J1164="","",IF($J1164&lt;=TODAY(),COUNTIFS(cal_fechas,"&gt;="&amp;$J1164,cal_fechas,"&lt;"&amp;TODAY(),cal_habil,"sí"),-COUNTIFS(cal_fechas,"&gt;="&amp;TODAY(),cal_fechas,"&lt;"&amp;$J1164,cal_habil,"sí")))</f>
        <v/>
      </c>
      <c r="AF1164" s="24">
        <f>IF($AE1164="","",IF($AE1164&lt;0,"FUTURO",IF($AE1164&gt;p_dias_backlog_max,"BACKLOG","MES CORRIENTE")))</f>
        <v/>
      </c>
      <c r="AG1164" s="24">
        <f>IF($AE1164="",FALSE,AND($AE1164&gt;p_dias_backlog_min,$AE1164&lt;=p_dias_backlog_max))</f>
        <v/>
      </c>
      <c r="AH1164" s="4" t="n"/>
      <c r="AI1164" s="24">
        <f>IF($AH1164="","",IF((IFERROR(INDEX('ASIGNACIONES'!$J$4:$J$451,MATCH($O1164&amp;"|"&amp;$S1164&amp;"|"&amp;$AH1164,'ASIGNACIONES'!$N$4:$N$451,0)),""))=0,"",IFERROR(INDEX('ASIGNACIONES'!$J$4:$J$451,MATCH($O1164&amp;"|"&amp;$S1164&amp;"|"&amp;$AH1164,'ASIGNACIONES'!$N$4:$N$451,0)),"")))</f>
        <v/>
      </c>
      <c r="AJ1164" s="42">
        <f>IF($AH1164="","",SUMIFS('ORDENES'!$M$4:$M$1203,'ORDENES'!$AH$4:$AH$1203,$AH1164,'ORDENES'!$O$4:$O$1203,$O1164,'ORDENES'!$S$4:$S$1203,$S1164))</f>
        <v/>
      </c>
      <c r="AK1164" s="42">
        <f>IF($AJ1164="","",p_factor_productividad*IFERROR(INDEX('ASIGNACIONES'!$M$4:$M$451,MATCH($O1164&amp;"|"&amp;$S1164&amp;"|"&amp;$AH1164,'ASIGNACIONES'!$N$4:$N$451,0)),0)-$AJ1164)</f>
        <v/>
      </c>
      <c r="AL1164" s="32">
        <f>IF($A1164="","",IFERROR(INDEX('2_IMPORTAR_EJECUCION'!$F$9:$F$1208,MATCH($AU1164,'2_IMPORTAR_EJECUCION'!$J$9:$J$1208,0)),0))</f>
        <v/>
      </c>
      <c r="AM1164" s="32">
        <f>IF($A1164="","",MAX(0,IFERROR(INDEX('2_IMPORTAR_EJECUCION'!$H$9:$H$1208,MATCH($AU1164,'2_IMPORTAR_EJECUCION'!$J$9:$J$1208,0)),0)-$AL1164))</f>
        <v/>
      </c>
      <c r="AN1164" s="32">
        <f>IF($A1164="","",$AL1164+$AM1164)</f>
        <v/>
      </c>
      <c r="AO1164" s="24">
        <f>IF($A1164="","",IF(OR((IFERROR(INDEX('CAT_ACTIVIDADES'!$D$4:$D$26,MATCH($H1164,'CAT_ACTIVIDADES'!$A$4:$A$26,0)),""))=0,(IFERROR(INDEX('CAT_ACTIVIDADES'!$D$4:$D$26,MATCH($H1164,'CAT_ACTIVIDADES'!$A$4:$A$26,0)),""))=""),"SIN CLASIFICAR",IFERROR(INDEX('CAT_ACTIVIDADES'!$D$4:$D$26,MATCH($H1164,'CAT_ACTIVIDADES'!$A$4:$A$26,0)),"")))</f>
        <v/>
      </c>
      <c r="AP1164" s="4" t="n"/>
      <c r="AQ1164" s="4" t="n"/>
      <c r="AR1164" s="4" t="n"/>
      <c r="AS1164" s="24">
        <f>IF($AR1164="","",HYPERLINK(p_ruta_base_checklists&amp;$AR1164,"abrir"))</f>
        <v/>
      </c>
      <c r="AT1164" s="4" t="n"/>
      <c r="AU1164" s="24">
        <f>IF($A1164="","",$A1164&amp;IF($B1164="","0010",$B1164))</f>
        <v/>
      </c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41" t="n"/>
      <c r="K1165" s="5" t="n"/>
      <c r="L1165" s="18" t="n"/>
      <c r="M1165" s="24">
        <f>IF($A1165="","",IFERROR(INDEX('AJUSTES'!$B$4:$B$303,MATCH($AU1165,'AJUSTES'!$A$4:$A$303,0)),IF($K1165="","",$K1165)))</f>
        <v/>
      </c>
      <c r="N1165" s="24">
        <f>IF($A1165="","",IFERROR(INDEX('CAT_ESTADOS_ERP'!$B$4:$B$22,MATCH(IFERROR(INDEX('2_IMPORTAR_EJECUCION'!$C$9:$C$1208,MATCH($AU1165,'2_IMPORTAR_EJECUCION'!$J$9:$J$1208,0)),""),'CAT_ESTADOS_ERP'!$A$4:$A$22,0)),"Pendiente"))</f>
        <v/>
      </c>
      <c r="O1165" s="24">
        <f>IF($J1165="","",YEAR($J1165+4-WEEKDAY($J1165,2))&amp;"-S"&amp;TEXT(_xlfn.ISOWEEKNUM($J1165),"00"))</f>
        <v/>
      </c>
      <c r="P1165" s="24">
        <f>IF($J1165="","",YEAR($J1165))</f>
        <v/>
      </c>
      <c r="Q1165" s="24">
        <f>IF($J1165="","",MONTH($J1165))</f>
        <v/>
      </c>
      <c r="R1165" s="24">
        <f>IF($J1165="","",$P1165&amp;"-"&amp;TEXT($Q1165,"00"))</f>
        <v/>
      </c>
      <c r="S1165" s="24">
        <f>IF($J1165="","",INDEX(lista_dias,WEEKDAY($J1165,2)))</f>
        <v/>
      </c>
      <c r="T1165" s="24">
        <f>IF($J1165="","",IFERROR(INDEX('CALENDARIO'!$C$15:$C$214,MATCH(TEXT($J1165,"yyyy-mm-dd")&amp;"|"&amp;$Y1165&amp;"|"&amp;$Z1165,'CALENDARIO'!$G$15:$G$214,0)),IFERROR(INDEX('CALENDARIO'!$C$15:$C$214,MATCH(TEXT($J1165,"yyyy-mm-dd")&amp;"|"&amp;$Y1165&amp;"|",'CALENDARIO'!$G$15:$G$214,0)),IFERROR(INDEX('CALENDARIO'!$C$15:$C$214,MATCH(TEXT($J1165,"yyyy-mm-dd")&amp;"||",'CALENDARIO'!$G$15:$G$214,0)),INDEX(patronHabil,WEEKDAY($J1165,2))))))</f>
        <v/>
      </c>
      <c r="U1165" s="24">
        <f>IF($I1165="","",IFERROR(INDEX('CAT_TIPOS_OT'!$C$4:$C$23,MATCH($I1165,'CAT_TIPOS_OT'!$A$4:$A$23,0)),"sin_clasificar"))</f>
        <v/>
      </c>
      <c r="V1165" s="24">
        <f>IF($I1165="","",IF(IFERROR(INDEX('CAT_TIPOS_OT'!$D$4:$D$23,MATCH($I1165,'CAT_TIPOS_OT'!$A$4:$A$23,0)),"SIN CLASIFICAR")="","SIN CLASIFICAR",IFERROR(INDEX('CAT_TIPOS_OT'!$D$4:$D$23,MATCH($I1165,'CAT_TIPOS_OT'!$A$4:$A$23,0)),"SIN CLASIFICAR")))</f>
        <v/>
      </c>
      <c r="W1165" s="24">
        <f>IF($H1165="","",IF(IFERROR(INDEX('CAT_ACTIVIDADES'!$F$4:$F$26,MATCH($H1165,'CAT_ACTIVIDADES'!$A$4:$A$26,0)),"")=0,"",IFERROR(INDEX('CAT_ACTIVIDADES'!$F$4:$F$26,MATCH($H1165,'CAT_ACTIVIDADES'!$A$4:$A$26,0)),"")))</f>
        <v/>
      </c>
      <c r="X1165" s="24">
        <f>IF($F1165="","",IFERROR(INDEX('CAT_CENTROS_COSTO'!$F$4:$F$28,MATCH($F1165,'CAT_CENTROS_COSTO'!$A$4:$A$28,0)),"(sin catálogo)"))</f>
        <v/>
      </c>
      <c r="Y1165" s="24">
        <f>IF($F1165="","",IFERROR(INDEX('CAT_CENTROS_COSTO'!$D$4:$D$28,MATCH($F1165,'CAT_CENTROS_COSTO'!$A$4:$A$28,0)),"(sin catálogo)"))</f>
        <v/>
      </c>
      <c r="Z1165" s="24">
        <f>IF($F1165="","",IF((IFERROR(INDEX('CAT_CENTROS_COSTO'!$E$4:$E$28,MATCH($F1165,'CAT_CENTROS_COSTO'!$A$4:$A$28,0)),""))&lt;&gt;"",IFERROR(INDEX('CAT_CENTROS_COSTO'!$E$4:$E$28,MATCH($F1165,'CAT_CENTROS_COSTO'!$A$4:$A$28,0)),""),$Y1165))</f>
        <v/>
      </c>
      <c r="AA1165" s="24">
        <f>IF($F1165="","",IFERROR(INDEX('CAT_CENTROS_COSTO'!$G$4:$G$28,MATCH($F1165,'CAT_CENTROS_COSTO'!$A$4:$A$28,0)),"(sin catálogo)"))</f>
        <v/>
      </c>
      <c r="AB1165" s="24">
        <f>IF($G1165="","",IFERROR(INDEX('CAT_PUESTOS'!$B$4:$B$23,MATCH($G1165,'CAT_PUESTOS'!$A$4:$A$23,0)),"(sin catálogo)"))</f>
        <v/>
      </c>
      <c r="AC1165" s="24">
        <f>IF($H1165="","",IFERROR(INDEX('CAT_ACTIVIDADES'!$B$4:$B$26,MATCH($H1165,'CAT_ACTIVIDADES'!$A$4:$A$26,0)),"(sin catálogo)"))</f>
        <v/>
      </c>
      <c r="AD1165" s="26">
        <f>IF($J1165="","",TODAY()-$J1165)</f>
        <v/>
      </c>
      <c r="AE1165" s="26">
        <f>IF($J1165="","",IF($J1165&lt;=TODAY(),COUNTIFS(cal_fechas,"&gt;="&amp;$J1165,cal_fechas,"&lt;"&amp;TODAY(),cal_habil,"sí"),-COUNTIFS(cal_fechas,"&gt;="&amp;TODAY(),cal_fechas,"&lt;"&amp;$J1165,cal_habil,"sí")))</f>
        <v/>
      </c>
      <c r="AF1165" s="24">
        <f>IF($AE1165="","",IF($AE1165&lt;0,"FUTURO",IF($AE1165&gt;p_dias_backlog_max,"BACKLOG","MES CORRIENTE")))</f>
        <v/>
      </c>
      <c r="AG1165" s="24">
        <f>IF($AE1165="",FALSE,AND($AE1165&gt;p_dias_backlog_min,$AE1165&lt;=p_dias_backlog_max))</f>
        <v/>
      </c>
      <c r="AH1165" s="4" t="n"/>
      <c r="AI1165" s="24">
        <f>IF($AH1165="","",IF((IFERROR(INDEX('ASIGNACIONES'!$J$4:$J$451,MATCH($O1165&amp;"|"&amp;$S1165&amp;"|"&amp;$AH1165,'ASIGNACIONES'!$N$4:$N$451,0)),""))=0,"",IFERROR(INDEX('ASIGNACIONES'!$J$4:$J$451,MATCH($O1165&amp;"|"&amp;$S1165&amp;"|"&amp;$AH1165,'ASIGNACIONES'!$N$4:$N$451,0)),"")))</f>
        <v/>
      </c>
      <c r="AJ1165" s="42">
        <f>IF($AH1165="","",SUMIFS('ORDENES'!$M$4:$M$1203,'ORDENES'!$AH$4:$AH$1203,$AH1165,'ORDENES'!$O$4:$O$1203,$O1165,'ORDENES'!$S$4:$S$1203,$S1165))</f>
        <v/>
      </c>
      <c r="AK1165" s="42">
        <f>IF($AJ1165="","",p_factor_productividad*IFERROR(INDEX('ASIGNACIONES'!$M$4:$M$451,MATCH($O1165&amp;"|"&amp;$S1165&amp;"|"&amp;$AH1165,'ASIGNACIONES'!$N$4:$N$451,0)),0)-$AJ1165)</f>
        <v/>
      </c>
      <c r="AL1165" s="32">
        <f>IF($A1165="","",IFERROR(INDEX('2_IMPORTAR_EJECUCION'!$F$9:$F$1208,MATCH($AU1165,'2_IMPORTAR_EJECUCION'!$J$9:$J$1208,0)),0))</f>
        <v/>
      </c>
      <c r="AM1165" s="32">
        <f>IF($A1165="","",MAX(0,IFERROR(INDEX('2_IMPORTAR_EJECUCION'!$H$9:$H$1208,MATCH($AU1165,'2_IMPORTAR_EJECUCION'!$J$9:$J$1208,0)),0)-$AL1165))</f>
        <v/>
      </c>
      <c r="AN1165" s="32">
        <f>IF($A1165="","",$AL1165+$AM1165)</f>
        <v/>
      </c>
      <c r="AO1165" s="24">
        <f>IF($A1165="","",IF(OR((IFERROR(INDEX('CAT_ACTIVIDADES'!$D$4:$D$26,MATCH($H1165,'CAT_ACTIVIDADES'!$A$4:$A$26,0)),""))=0,(IFERROR(INDEX('CAT_ACTIVIDADES'!$D$4:$D$26,MATCH($H1165,'CAT_ACTIVIDADES'!$A$4:$A$26,0)),""))=""),"SIN CLASIFICAR",IFERROR(INDEX('CAT_ACTIVIDADES'!$D$4:$D$26,MATCH($H1165,'CAT_ACTIVIDADES'!$A$4:$A$26,0)),"")))</f>
        <v/>
      </c>
      <c r="AP1165" s="4" t="n"/>
      <c r="AQ1165" s="4" t="n"/>
      <c r="AR1165" s="4" t="n"/>
      <c r="AS1165" s="24">
        <f>IF($AR1165="","",HYPERLINK(p_ruta_base_checklists&amp;$AR1165,"abrir"))</f>
        <v/>
      </c>
      <c r="AT1165" s="4" t="n"/>
      <c r="AU1165" s="24">
        <f>IF($A1165="","",$A1165&amp;IF($B1165="","0010",$B1165))</f>
        <v/>
      </c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41" t="n"/>
      <c r="K1166" s="5" t="n"/>
      <c r="L1166" s="18" t="n"/>
      <c r="M1166" s="24">
        <f>IF($A1166="","",IFERROR(INDEX('AJUSTES'!$B$4:$B$303,MATCH($AU1166,'AJUSTES'!$A$4:$A$303,0)),IF($K1166="","",$K1166)))</f>
        <v/>
      </c>
      <c r="N1166" s="24">
        <f>IF($A1166="","",IFERROR(INDEX('CAT_ESTADOS_ERP'!$B$4:$B$22,MATCH(IFERROR(INDEX('2_IMPORTAR_EJECUCION'!$C$9:$C$1208,MATCH($AU1166,'2_IMPORTAR_EJECUCION'!$J$9:$J$1208,0)),""),'CAT_ESTADOS_ERP'!$A$4:$A$22,0)),"Pendiente"))</f>
        <v/>
      </c>
      <c r="O1166" s="24">
        <f>IF($J1166="","",YEAR($J1166+4-WEEKDAY($J1166,2))&amp;"-S"&amp;TEXT(_xlfn.ISOWEEKNUM($J1166),"00"))</f>
        <v/>
      </c>
      <c r="P1166" s="24">
        <f>IF($J1166="","",YEAR($J1166))</f>
        <v/>
      </c>
      <c r="Q1166" s="24">
        <f>IF($J1166="","",MONTH($J1166))</f>
        <v/>
      </c>
      <c r="R1166" s="24">
        <f>IF($J1166="","",$P1166&amp;"-"&amp;TEXT($Q1166,"00"))</f>
        <v/>
      </c>
      <c r="S1166" s="24">
        <f>IF($J1166="","",INDEX(lista_dias,WEEKDAY($J1166,2)))</f>
        <v/>
      </c>
      <c r="T1166" s="24">
        <f>IF($J1166="","",IFERROR(INDEX('CALENDARIO'!$C$15:$C$214,MATCH(TEXT($J1166,"yyyy-mm-dd")&amp;"|"&amp;$Y1166&amp;"|"&amp;$Z1166,'CALENDARIO'!$G$15:$G$214,0)),IFERROR(INDEX('CALENDARIO'!$C$15:$C$214,MATCH(TEXT($J1166,"yyyy-mm-dd")&amp;"|"&amp;$Y1166&amp;"|",'CALENDARIO'!$G$15:$G$214,0)),IFERROR(INDEX('CALENDARIO'!$C$15:$C$214,MATCH(TEXT($J1166,"yyyy-mm-dd")&amp;"||",'CALENDARIO'!$G$15:$G$214,0)),INDEX(patronHabil,WEEKDAY($J1166,2))))))</f>
        <v/>
      </c>
      <c r="U1166" s="24">
        <f>IF($I1166="","",IFERROR(INDEX('CAT_TIPOS_OT'!$C$4:$C$23,MATCH($I1166,'CAT_TIPOS_OT'!$A$4:$A$23,0)),"sin_clasificar"))</f>
        <v/>
      </c>
      <c r="V1166" s="24">
        <f>IF($I1166="","",IF(IFERROR(INDEX('CAT_TIPOS_OT'!$D$4:$D$23,MATCH($I1166,'CAT_TIPOS_OT'!$A$4:$A$23,0)),"SIN CLASIFICAR")="","SIN CLASIFICAR",IFERROR(INDEX('CAT_TIPOS_OT'!$D$4:$D$23,MATCH($I1166,'CAT_TIPOS_OT'!$A$4:$A$23,0)),"SIN CLASIFICAR")))</f>
        <v/>
      </c>
      <c r="W1166" s="24">
        <f>IF($H1166="","",IF(IFERROR(INDEX('CAT_ACTIVIDADES'!$F$4:$F$26,MATCH($H1166,'CAT_ACTIVIDADES'!$A$4:$A$26,0)),"")=0,"",IFERROR(INDEX('CAT_ACTIVIDADES'!$F$4:$F$26,MATCH($H1166,'CAT_ACTIVIDADES'!$A$4:$A$26,0)),"")))</f>
        <v/>
      </c>
      <c r="X1166" s="24">
        <f>IF($F1166="","",IFERROR(INDEX('CAT_CENTROS_COSTO'!$F$4:$F$28,MATCH($F1166,'CAT_CENTROS_COSTO'!$A$4:$A$28,0)),"(sin catálogo)"))</f>
        <v/>
      </c>
      <c r="Y1166" s="24">
        <f>IF($F1166="","",IFERROR(INDEX('CAT_CENTROS_COSTO'!$D$4:$D$28,MATCH($F1166,'CAT_CENTROS_COSTO'!$A$4:$A$28,0)),"(sin catálogo)"))</f>
        <v/>
      </c>
      <c r="Z1166" s="24">
        <f>IF($F1166="","",IF((IFERROR(INDEX('CAT_CENTROS_COSTO'!$E$4:$E$28,MATCH($F1166,'CAT_CENTROS_COSTO'!$A$4:$A$28,0)),""))&lt;&gt;"",IFERROR(INDEX('CAT_CENTROS_COSTO'!$E$4:$E$28,MATCH($F1166,'CAT_CENTROS_COSTO'!$A$4:$A$28,0)),""),$Y1166))</f>
        <v/>
      </c>
      <c r="AA1166" s="24">
        <f>IF($F1166="","",IFERROR(INDEX('CAT_CENTROS_COSTO'!$G$4:$G$28,MATCH($F1166,'CAT_CENTROS_COSTO'!$A$4:$A$28,0)),"(sin catálogo)"))</f>
        <v/>
      </c>
      <c r="AB1166" s="24">
        <f>IF($G1166="","",IFERROR(INDEX('CAT_PUESTOS'!$B$4:$B$23,MATCH($G1166,'CAT_PUESTOS'!$A$4:$A$23,0)),"(sin catálogo)"))</f>
        <v/>
      </c>
      <c r="AC1166" s="24">
        <f>IF($H1166="","",IFERROR(INDEX('CAT_ACTIVIDADES'!$B$4:$B$26,MATCH($H1166,'CAT_ACTIVIDADES'!$A$4:$A$26,0)),"(sin catálogo)"))</f>
        <v/>
      </c>
      <c r="AD1166" s="26">
        <f>IF($J1166="","",TODAY()-$J1166)</f>
        <v/>
      </c>
      <c r="AE1166" s="26">
        <f>IF($J1166="","",IF($J1166&lt;=TODAY(),COUNTIFS(cal_fechas,"&gt;="&amp;$J1166,cal_fechas,"&lt;"&amp;TODAY(),cal_habil,"sí"),-COUNTIFS(cal_fechas,"&gt;="&amp;TODAY(),cal_fechas,"&lt;"&amp;$J1166,cal_habil,"sí")))</f>
        <v/>
      </c>
      <c r="AF1166" s="24">
        <f>IF($AE1166="","",IF($AE1166&lt;0,"FUTURO",IF($AE1166&gt;p_dias_backlog_max,"BACKLOG","MES CORRIENTE")))</f>
        <v/>
      </c>
      <c r="AG1166" s="24">
        <f>IF($AE1166="",FALSE,AND($AE1166&gt;p_dias_backlog_min,$AE1166&lt;=p_dias_backlog_max))</f>
        <v/>
      </c>
      <c r="AH1166" s="4" t="n"/>
      <c r="AI1166" s="24">
        <f>IF($AH1166="","",IF((IFERROR(INDEX('ASIGNACIONES'!$J$4:$J$451,MATCH($O1166&amp;"|"&amp;$S1166&amp;"|"&amp;$AH1166,'ASIGNACIONES'!$N$4:$N$451,0)),""))=0,"",IFERROR(INDEX('ASIGNACIONES'!$J$4:$J$451,MATCH($O1166&amp;"|"&amp;$S1166&amp;"|"&amp;$AH1166,'ASIGNACIONES'!$N$4:$N$451,0)),"")))</f>
        <v/>
      </c>
      <c r="AJ1166" s="42">
        <f>IF($AH1166="","",SUMIFS('ORDENES'!$M$4:$M$1203,'ORDENES'!$AH$4:$AH$1203,$AH1166,'ORDENES'!$O$4:$O$1203,$O1166,'ORDENES'!$S$4:$S$1203,$S1166))</f>
        <v/>
      </c>
      <c r="AK1166" s="42">
        <f>IF($AJ1166="","",p_factor_productividad*IFERROR(INDEX('ASIGNACIONES'!$M$4:$M$451,MATCH($O1166&amp;"|"&amp;$S1166&amp;"|"&amp;$AH1166,'ASIGNACIONES'!$N$4:$N$451,0)),0)-$AJ1166)</f>
        <v/>
      </c>
      <c r="AL1166" s="32">
        <f>IF($A1166="","",IFERROR(INDEX('2_IMPORTAR_EJECUCION'!$F$9:$F$1208,MATCH($AU1166,'2_IMPORTAR_EJECUCION'!$J$9:$J$1208,0)),0))</f>
        <v/>
      </c>
      <c r="AM1166" s="32">
        <f>IF($A1166="","",MAX(0,IFERROR(INDEX('2_IMPORTAR_EJECUCION'!$H$9:$H$1208,MATCH($AU1166,'2_IMPORTAR_EJECUCION'!$J$9:$J$1208,0)),0)-$AL1166))</f>
        <v/>
      </c>
      <c r="AN1166" s="32">
        <f>IF($A1166="","",$AL1166+$AM1166)</f>
        <v/>
      </c>
      <c r="AO1166" s="24">
        <f>IF($A1166="","",IF(OR((IFERROR(INDEX('CAT_ACTIVIDADES'!$D$4:$D$26,MATCH($H1166,'CAT_ACTIVIDADES'!$A$4:$A$26,0)),""))=0,(IFERROR(INDEX('CAT_ACTIVIDADES'!$D$4:$D$26,MATCH($H1166,'CAT_ACTIVIDADES'!$A$4:$A$26,0)),""))=""),"SIN CLASIFICAR",IFERROR(INDEX('CAT_ACTIVIDADES'!$D$4:$D$26,MATCH($H1166,'CAT_ACTIVIDADES'!$A$4:$A$26,0)),"")))</f>
        <v/>
      </c>
      <c r="AP1166" s="4" t="n"/>
      <c r="AQ1166" s="4" t="n"/>
      <c r="AR1166" s="4" t="n"/>
      <c r="AS1166" s="24">
        <f>IF($AR1166="","",HYPERLINK(p_ruta_base_checklists&amp;$AR1166,"abrir"))</f>
        <v/>
      </c>
      <c r="AT1166" s="4" t="n"/>
      <c r="AU1166" s="24">
        <f>IF($A1166="","",$A1166&amp;IF($B1166="","0010",$B1166))</f>
        <v/>
      </c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41" t="n"/>
      <c r="K1167" s="5" t="n"/>
      <c r="L1167" s="18" t="n"/>
      <c r="M1167" s="24">
        <f>IF($A1167="","",IFERROR(INDEX('AJUSTES'!$B$4:$B$303,MATCH($AU1167,'AJUSTES'!$A$4:$A$303,0)),IF($K1167="","",$K1167)))</f>
        <v/>
      </c>
      <c r="N1167" s="24">
        <f>IF($A1167="","",IFERROR(INDEX('CAT_ESTADOS_ERP'!$B$4:$B$22,MATCH(IFERROR(INDEX('2_IMPORTAR_EJECUCION'!$C$9:$C$1208,MATCH($AU1167,'2_IMPORTAR_EJECUCION'!$J$9:$J$1208,0)),""),'CAT_ESTADOS_ERP'!$A$4:$A$22,0)),"Pendiente"))</f>
        <v/>
      </c>
      <c r="O1167" s="24">
        <f>IF($J1167="","",YEAR($J1167+4-WEEKDAY($J1167,2))&amp;"-S"&amp;TEXT(_xlfn.ISOWEEKNUM($J1167),"00"))</f>
        <v/>
      </c>
      <c r="P1167" s="24">
        <f>IF($J1167="","",YEAR($J1167))</f>
        <v/>
      </c>
      <c r="Q1167" s="24">
        <f>IF($J1167="","",MONTH($J1167))</f>
        <v/>
      </c>
      <c r="R1167" s="24">
        <f>IF($J1167="","",$P1167&amp;"-"&amp;TEXT($Q1167,"00"))</f>
        <v/>
      </c>
      <c r="S1167" s="24">
        <f>IF($J1167="","",INDEX(lista_dias,WEEKDAY($J1167,2)))</f>
        <v/>
      </c>
      <c r="T1167" s="24">
        <f>IF($J1167="","",IFERROR(INDEX('CALENDARIO'!$C$15:$C$214,MATCH(TEXT($J1167,"yyyy-mm-dd")&amp;"|"&amp;$Y1167&amp;"|"&amp;$Z1167,'CALENDARIO'!$G$15:$G$214,0)),IFERROR(INDEX('CALENDARIO'!$C$15:$C$214,MATCH(TEXT($J1167,"yyyy-mm-dd")&amp;"|"&amp;$Y1167&amp;"|",'CALENDARIO'!$G$15:$G$214,0)),IFERROR(INDEX('CALENDARIO'!$C$15:$C$214,MATCH(TEXT($J1167,"yyyy-mm-dd")&amp;"||",'CALENDARIO'!$G$15:$G$214,0)),INDEX(patronHabil,WEEKDAY($J1167,2))))))</f>
        <v/>
      </c>
      <c r="U1167" s="24">
        <f>IF($I1167="","",IFERROR(INDEX('CAT_TIPOS_OT'!$C$4:$C$23,MATCH($I1167,'CAT_TIPOS_OT'!$A$4:$A$23,0)),"sin_clasificar"))</f>
        <v/>
      </c>
      <c r="V1167" s="24">
        <f>IF($I1167="","",IF(IFERROR(INDEX('CAT_TIPOS_OT'!$D$4:$D$23,MATCH($I1167,'CAT_TIPOS_OT'!$A$4:$A$23,0)),"SIN CLASIFICAR")="","SIN CLASIFICAR",IFERROR(INDEX('CAT_TIPOS_OT'!$D$4:$D$23,MATCH($I1167,'CAT_TIPOS_OT'!$A$4:$A$23,0)),"SIN CLASIFICAR")))</f>
        <v/>
      </c>
      <c r="W1167" s="24">
        <f>IF($H1167="","",IF(IFERROR(INDEX('CAT_ACTIVIDADES'!$F$4:$F$26,MATCH($H1167,'CAT_ACTIVIDADES'!$A$4:$A$26,0)),"")=0,"",IFERROR(INDEX('CAT_ACTIVIDADES'!$F$4:$F$26,MATCH($H1167,'CAT_ACTIVIDADES'!$A$4:$A$26,0)),"")))</f>
        <v/>
      </c>
      <c r="X1167" s="24">
        <f>IF($F1167="","",IFERROR(INDEX('CAT_CENTROS_COSTO'!$F$4:$F$28,MATCH($F1167,'CAT_CENTROS_COSTO'!$A$4:$A$28,0)),"(sin catálogo)"))</f>
        <v/>
      </c>
      <c r="Y1167" s="24">
        <f>IF($F1167="","",IFERROR(INDEX('CAT_CENTROS_COSTO'!$D$4:$D$28,MATCH($F1167,'CAT_CENTROS_COSTO'!$A$4:$A$28,0)),"(sin catálogo)"))</f>
        <v/>
      </c>
      <c r="Z1167" s="24">
        <f>IF($F1167="","",IF((IFERROR(INDEX('CAT_CENTROS_COSTO'!$E$4:$E$28,MATCH($F1167,'CAT_CENTROS_COSTO'!$A$4:$A$28,0)),""))&lt;&gt;"",IFERROR(INDEX('CAT_CENTROS_COSTO'!$E$4:$E$28,MATCH($F1167,'CAT_CENTROS_COSTO'!$A$4:$A$28,0)),""),$Y1167))</f>
        <v/>
      </c>
      <c r="AA1167" s="24">
        <f>IF($F1167="","",IFERROR(INDEX('CAT_CENTROS_COSTO'!$G$4:$G$28,MATCH($F1167,'CAT_CENTROS_COSTO'!$A$4:$A$28,0)),"(sin catálogo)"))</f>
        <v/>
      </c>
      <c r="AB1167" s="24">
        <f>IF($G1167="","",IFERROR(INDEX('CAT_PUESTOS'!$B$4:$B$23,MATCH($G1167,'CAT_PUESTOS'!$A$4:$A$23,0)),"(sin catálogo)"))</f>
        <v/>
      </c>
      <c r="AC1167" s="24">
        <f>IF($H1167="","",IFERROR(INDEX('CAT_ACTIVIDADES'!$B$4:$B$26,MATCH($H1167,'CAT_ACTIVIDADES'!$A$4:$A$26,0)),"(sin catálogo)"))</f>
        <v/>
      </c>
      <c r="AD1167" s="26">
        <f>IF($J1167="","",TODAY()-$J1167)</f>
        <v/>
      </c>
      <c r="AE1167" s="26">
        <f>IF($J1167="","",IF($J1167&lt;=TODAY(),COUNTIFS(cal_fechas,"&gt;="&amp;$J1167,cal_fechas,"&lt;"&amp;TODAY(),cal_habil,"sí"),-COUNTIFS(cal_fechas,"&gt;="&amp;TODAY(),cal_fechas,"&lt;"&amp;$J1167,cal_habil,"sí")))</f>
        <v/>
      </c>
      <c r="AF1167" s="24">
        <f>IF($AE1167="","",IF($AE1167&lt;0,"FUTURO",IF($AE1167&gt;p_dias_backlog_max,"BACKLOG","MES CORRIENTE")))</f>
        <v/>
      </c>
      <c r="AG1167" s="24">
        <f>IF($AE1167="",FALSE,AND($AE1167&gt;p_dias_backlog_min,$AE1167&lt;=p_dias_backlog_max))</f>
        <v/>
      </c>
      <c r="AH1167" s="4" t="n"/>
      <c r="AI1167" s="24">
        <f>IF($AH1167="","",IF((IFERROR(INDEX('ASIGNACIONES'!$J$4:$J$451,MATCH($O1167&amp;"|"&amp;$S1167&amp;"|"&amp;$AH1167,'ASIGNACIONES'!$N$4:$N$451,0)),""))=0,"",IFERROR(INDEX('ASIGNACIONES'!$J$4:$J$451,MATCH($O1167&amp;"|"&amp;$S1167&amp;"|"&amp;$AH1167,'ASIGNACIONES'!$N$4:$N$451,0)),"")))</f>
        <v/>
      </c>
      <c r="AJ1167" s="42">
        <f>IF($AH1167="","",SUMIFS('ORDENES'!$M$4:$M$1203,'ORDENES'!$AH$4:$AH$1203,$AH1167,'ORDENES'!$O$4:$O$1203,$O1167,'ORDENES'!$S$4:$S$1203,$S1167))</f>
        <v/>
      </c>
      <c r="AK1167" s="42">
        <f>IF($AJ1167="","",p_factor_productividad*IFERROR(INDEX('ASIGNACIONES'!$M$4:$M$451,MATCH($O1167&amp;"|"&amp;$S1167&amp;"|"&amp;$AH1167,'ASIGNACIONES'!$N$4:$N$451,0)),0)-$AJ1167)</f>
        <v/>
      </c>
      <c r="AL1167" s="32">
        <f>IF($A1167="","",IFERROR(INDEX('2_IMPORTAR_EJECUCION'!$F$9:$F$1208,MATCH($AU1167,'2_IMPORTAR_EJECUCION'!$J$9:$J$1208,0)),0))</f>
        <v/>
      </c>
      <c r="AM1167" s="32">
        <f>IF($A1167="","",MAX(0,IFERROR(INDEX('2_IMPORTAR_EJECUCION'!$H$9:$H$1208,MATCH($AU1167,'2_IMPORTAR_EJECUCION'!$J$9:$J$1208,0)),0)-$AL1167))</f>
        <v/>
      </c>
      <c r="AN1167" s="32">
        <f>IF($A1167="","",$AL1167+$AM1167)</f>
        <v/>
      </c>
      <c r="AO1167" s="24">
        <f>IF($A1167="","",IF(OR((IFERROR(INDEX('CAT_ACTIVIDADES'!$D$4:$D$26,MATCH($H1167,'CAT_ACTIVIDADES'!$A$4:$A$26,0)),""))=0,(IFERROR(INDEX('CAT_ACTIVIDADES'!$D$4:$D$26,MATCH($H1167,'CAT_ACTIVIDADES'!$A$4:$A$26,0)),""))=""),"SIN CLASIFICAR",IFERROR(INDEX('CAT_ACTIVIDADES'!$D$4:$D$26,MATCH($H1167,'CAT_ACTIVIDADES'!$A$4:$A$26,0)),"")))</f>
        <v/>
      </c>
      <c r="AP1167" s="4" t="n"/>
      <c r="AQ1167" s="4" t="n"/>
      <c r="AR1167" s="4" t="n"/>
      <c r="AS1167" s="24">
        <f>IF($AR1167="","",HYPERLINK(p_ruta_base_checklists&amp;$AR1167,"abrir"))</f>
        <v/>
      </c>
      <c r="AT1167" s="4" t="n"/>
      <c r="AU1167" s="24">
        <f>IF($A1167="","",$A1167&amp;IF($B1167="","0010",$B1167))</f>
        <v/>
      </c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41" t="n"/>
      <c r="K1168" s="5" t="n"/>
      <c r="L1168" s="18" t="n"/>
      <c r="M1168" s="24">
        <f>IF($A1168="","",IFERROR(INDEX('AJUSTES'!$B$4:$B$303,MATCH($AU1168,'AJUSTES'!$A$4:$A$303,0)),IF($K1168="","",$K1168)))</f>
        <v/>
      </c>
      <c r="N1168" s="24">
        <f>IF($A1168="","",IFERROR(INDEX('CAT_ESTADOS_ERP'!$B$4:$B$22,MATCH(IFERROR(INDEX('2_IMPORTAR_EJECUCION'!$C$9:$C$1208,MATCH($AU1168,'2_IMPORTAR_EJECUCION'!$J$9:$J$1208,0)),""),'CAT_ESTADOS_ERP'!$A$4:$A$22,0)),"Pendiente"))</f>
        <v/>
      </c>
      <c r="O1168" s="24">
        <f>IF($J1168="","",YEAR($J1168+4-WEEKDAY($J1168,2))&amp;"-S"&amp;TEXT(_xlfn.ISOWEEKNUM($J1168),"00"))</f>
        <v/>
      </c>
      <c r="P1168" s="24">
        <f>IF($J1168="","",YEAR($J1168))</f>
        <v/>
      </c>
      <c r="Q1168" s="24">
        <f>IF($J1168="","",MONTH($J1168))</f>
        <v/>
      </c>
      <c r="R1168" s="24">
        <f>IF($J1168="","",$P1168&amp;"-"&amp;TEXT($Q1168,"00"))</f>
        <v/>
      </c>
      <c r="S1168" s="24">
        <f>IF($J1168="","",INDEX(lista_dias,WEEKDAY($J1168,2)))</f>
        <v/>
      </c>
      <c r="T1168" s="24">
        <f>IF($J1168="","",IFERROR(INDEX('CALENDARIO'!$C$15:$C$214,MATCH(TEXT($J1168,"yyyy-mm-dd")&amp;"|"&amp;$Y1168&amp;"|"&amp;$Z1168,'CALENDARIO'!$G$15:$G$214,0)),IFERROR(INDEX('CALENDARIO'!$C$15:$C$214,MATCH(TEXT($J1168,"yyyy-mm-dd")&amp;"|"&amp;$Y1168&amp;"|",'CALENDARIO'!$G$15:$G$214,0)),IFERROR(INDEX('CALENDARIO'!$C$15:$C$214,MATCH(TEXT($J1168,"yyyy-mm-dd")&amp;"||",'CALENDARIO'!$G$15:$G$214,0)),INDEX(patronHabil,WEEKDAY($J1168,2))))))</f>
        <v/>
      </c>
      <c r="U1168" s="24">
        <f>IF($I1168="","",IFERROR(INDEX('CAT_TIPOS_OT'!$C$4:$C$23,MATCH($I1168,'CAT_TIPOS_OT'!$A$4:$A$23,0)),"sin_clasificar"))</f>
        <v/>
      </c>
      <c r="V1168" s="24">
        <f>IF($I1168="","",IF(IFERROR(INDEX('CAT_TIPOS_OT'!$D$4:$D$23,MATCH($I1168,'CAT_TIPOS_OT'!$A$4:$A$23,0)),"SIN CLASIFICAR")="","SIN CLASIFICAR",IFERROR(INDEX('CAT_TIPOS_OT'!$D$4:$D$23,MATCH($I1168,'CAT_TIPOS_OT'!$A$4:$A$23,0)),"SIN CLASIFICAR")))</f>
        <v/>
      </c>
      <c r="W1168" s="24">
        <f>IF($H1168="","",IF(IFERROR(INDEX('CAT_ACTIVIDADES'!$F$4:$F$26,MATCH($H1168,'CAT_ACTIVIDADES'!$A$4:$A$26,0)),"")=0,"",IFERROR(INDEX('CAT_ACTIVIDADES'!$F$4:$F$26,MATCH($H1168,'CAT_ACTIVIDADES'!$A$4:$A$26,0)),"")))</f>
        <v/>
      </c>
      <c r="X1168" s="24">
        <f>IF($F1168="","",IFERROR(INDEX('CAT_CENTROS_COSTO'!$F$4:$F$28,MATCH($F1168,'CAT_CENTROS_COSTO'!$A$4:$A$28,0)),"(sin catálogo)"))</f>
        <v/>
      </c>
      <c r="Y1168" s="24">
        <f>IF($F1168="","",IFERROR(INDEX('CAT_CENTROS_COSTO'!$D$4:$D$28,MATCH($F1168,'CAT_CENTROS_COSTO'!$A$4:$A$28,0)),"(sin catálogo)"))</f>
        <v/>
      </c>
      <c r="Z1168" s="24">
        <f>IF($F1168="","",IF((IFERROR(INDEX('CAT_CENTROS_COSTO'!$E$4:$E$28,MATCH($F1168,'CAT_CENTROS_COSTO'!$A$4:$A$28,0)),""))&lt;&gt;"",IFERROR(INDEX('CAT_CENTROS_COSTO'!$E$4:$E$28,MATCH($F1168,'CAT_CENTROS_COSTO'!$A$4:$A$28,0)),""),$Y1168))</f>
        <v/>
      </c>
      <c r="AA1168" s="24">
        <f>IF($F1168="","",IFERROR(INDEX('CAT_CENTROS_COSTO'!$G$4:$G$28,MATCH($F1168,'CAT_CENTROS_COSTO'!$A$4:$A$28,0)),"(sin catálogo)"))</f>
        <v/>
      </c>
      <c r="AB1168" s="24">
        <f>IF($G1168="","",IFERROR(INDEX('CAT_PUESTOS'!$B$4:$B$23,MATCH($G1168,'CAT_PUESTOS'!$A$4:$A$23,0)),"(sin catálogo)"))</f>
        <v/>
      </c>
      <c r="AC1168" s="24">
        <f>IF($H1168="","",IFERROR(INDEX('CAT_ACTIVIDADES'!$B$4:$B$26,MATCH($H1168,'CAT_ACTIVIDADES'!$A$4:$A$26,0)),"(sin catálogo)"))</f>
        <v/>
      </c>
      <c r="AD1168" s="26">
        <f>IF($J1168="","",TODAY()-$J1168)</f>
        <v/>
      </c>
      <c r="AE1168" s="26">
        <f>IF($J1168="","",IF($J1168&lt;=TODAY(),COUNTIFS(cal_fechas,"&gt;="&amp;$J1168,cal_fechas,"&lt;"&amp;TODAY(),cal_habil,"sí"),-COUNTIFS(cal_fechas,"&gt;="&amp;TODAY(),cal_fechas,"&lt;"&amp;$J1168,cal_habil,"sí")))</f>
        <v/>
      </c>
      <c r="AF1168" s="24">
        <f>IF($AE1168="","",IF($AE1168&lt;0,"FUTURO",IF($AE1168&gt;p_dias_backlog_max,"BACKLOG","MES CORRIENTE")))</f>
        <v/>
      </c>
      <c r="AG1168" s="24">
        <f>IF($AE1168="",FALSE,AND($AE1168&gt;p_dias_backlog_min,$AE1168&lt;=p_dias_backlog_max))</f>
        <v/>
      </c>
      <c r="AH1168" s="4" t="n"/>
      <c r="AI1168" s="24">
        <f>IF($AH1168="","",IF((IFERROR(INDEX('ASIGNACIONES'!$J$4:$J$451,MATCH($O1168&amp;"|"&amp;$S1168&amp;"|"&amp;$AH1168,'ASIGNACIONES'!$N$4:$N$451,0)),""))=0,"",IFERROR(INDEX('ASIGNACIONES'!$J$4:$J$451,MATCH($O1168&amp;"|"&amp;$S1168&amp;"|"&amp;$AH1168,'ASIGNACIONES'!$N$4:$N$451,0)),"")))</f>
        <v/>
      </c>
      <c r="AJ1168" s="42">
        <f>IF($AH1168="","",SUMIFS('ORDENES'!$M$4:$M$1203,'ORDENES'!$AH$4:$AH$1203,$AH1168,'ORDENES'!$O$4:$O$1203,$O1168,'ORDENES'!$S$4:$S$1203,$S1168))</f>
        <v/>
      </c>
      <c r="AK1168" s="42">
        <f>IF($AJ1168="","",p_factor_productividad*IFERROR(INDEX('ASIGNACIONES'!$M$4:$M$451,MATCH($O1168&amp;"|"&amp;$S1168&amp;"|"&amp;$AH1168,'ASIGNACIONES'!$N$4:$N$451,0)),0)-$AJ1168)</f>
        <v/>
      </c>
      <c r="AL1168" s="32">
        <f>IF($A1168="","",IFERROR(INDEX('2_IMPORTAR_EJECUCION'!$F$9:$F$1208,MATCH($AU1168,'2_IMPORTAR_EJECUCION'!$J$9:$J$1208,0)),0))</f>
        <v/>
      </c>
      <c r="AM1168" s="32">
        <f>IF($A1168="","",MAX(0,IFERROR(INDEX('2_IMPORTAR_EJECUCION'!$H$9:$H$1208,MATCH($AU1168,'2_IMPORTAR_EJECUCION'!$J$9:$J$1208,0)),0)-$AL1168))</f>
        <v/>
      </c>
      <c r="AN1168" s="32">
        <f>IF($A1168="","",$AL1168+$AM1168)</f>
        <v/>
      </c>
      <c r="AO1168" s="24">
        <f>IF($A1168="","",IF(OR((IFERROR(INDEX('CAT_ACTIVIDADES'!$D$4:$D$26,MATCH($H1168,'CAT_ACTIVIDADES'!$A$4:$A$26,0)),""))=0,(IFERROR(INDEX('CAT_ACTIVIDADES'!$D$4:$D$26,MATCH($H1168,'CAT_ACTIVIDADES'!$A$4:$A$26,0)),""))=""),"SIN CLASIFICAR",IFERROR(INDEX('CAT_ACTIVIDADES'!$D$4:$D$26,MATCH($H1168,'CAT_ACTIVIDADES'!$A$4:$A$26,0)),"")))</f>
        <v/>
      </c>
      <c r="AP1168" s="4" t="n"/>
      <c r="AQ1168" s="4" t="n"/>
      <c r="AR1168" s="4" t="n"/>
      <c r="AS1168" s="24">
        <f>IF($AR1168="","",HYPERLINK(p_ruta_base_checklists&amp;$AR1168,"abrir"))</f>
        <v/>
      </c>
      <c r="AT1168" s="4" t="n"/>
      <c r="AU1168" s="24">
        <f>IF($A1168="","",$A1168&amp;IF($B1168="","0010",$B1168))</f>
        <v/>
      </c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41" t="n"/>
      <c r="K1169" s="5" t="n"/>
      <c r="L1169" s="18" t="n"/>
      <c r="M1169" s="24">
        <f>IF($A1169="","",IFERROR(INDEX('AJUSTES'!$B$4:$B$303,MATCH($AU1169,'AJUSTES'!$A$4:$A$303,0)),IF($K1169="","",$K1169)))</f>
        <v/>
      </c>
      <c r="N1169" s="24">
        <f>IF($A1169="","",IFERROR(INDEX('CAT_ESTADOS_ERP'!$B$4:$B$22,MATCH(IFERROR(INDEX('2_IMPORTAR_EJECUCION'!$C$9:$C$1208,MATCH($AU1169,'2_IMPORTAR_EJECUCION'!$J$9:$J$1208,0)),""),'CAT_ESTADOS_ERP'!$A$4:$A$22,0)),"Pendiente"))</f>
        <v/>
      </c>
      <c r="O1169" s="24">
        <f>IF($J1169="","",YEAR($J1169+4-WEEKDAY($J1169,2))&amp;"-S"&amp;TEXT(_xlfn.ISOWEEKNUM($J1169),"00"))</f>
        <v/>
      </c>
      <c r="P1169" s="24">
        <f>IF($J1169="","",YEAR($J1169))</f>
        <v/>
      </c>
      <c r="Q1169" s="24">
        <f>IF($J1169="","",MONTH($J1169))</f>
        <v/>
      </c>
      <c r="R1169" s="24">
        <f>IF($J1169="","",$P1169&amp;"-"&amp;TEXT($Q1169,"00"))</f>
        <v/>
      </c>
      <c r="S1169" s="24">
        <f>IF($J1169="","",INDEX(lista_dias,WEEKDAY($J1169,2)))</f>
        <v/>
      </c>
      <c r="T1169" s="24">
        <f>IF($J1169="","",IFERROR(INDEX('CALENDARIO'!$C$15:$C$214,MATCH(TEXT($J1169,"yyyy-mm-dd")&amp;"|"&amp;$Y1169&amp;"|"&amp;$Z1169,'CALENDARIO'!$G$15:$G$214,0)),IFERROR(INDEX('CALENDARIO'!$C$15:$C$214,MATCH(TEXT($J1169,"yyyy-mm-dd")&amp;"|"&amp;$Y1169&amp;"|",'CALENDARIO'!$G$15:$G$214,0)),IFERROR(INDEX('CALENDARIO'!$C$15:$C$214,MATCH(TEXT($J1169,"yyyy-mm-dd")&amp;"||",'CALENDARIO'!$G$15:$G$214,0)),INDEX(patronHabil,WEEKDAY($J1169,2))))))</f>
        <v/>
      </c>
      <c r="U1169" s="24">
        <f>IF($I1169="","",IFERROR(INDEX('CAT_TIPOS_OT'!$C$4:$C$23,MATCH($I1169,'CAT_TIPOS_OT'!$A$4:$A$23,0)),"sin_clasificar"))</f>
        <v/>
      </c>
      <c r="V1169" s="24">
        <f>IF($I1169="","",IF(IFERROR(INDEX('CAT_TIPOS_OT'!$D$4:$D$23,MATCH($I1169,'CAT_TIPOS_OT'!$A$4:$A$23,0)),"SIN CLASIFICAR")="","SIN CLASIFICAR",IFERROR(INDEX('CAT_TIPOS_OT'!$D$4:$D$23,MATCH($I1169,'CAT_TIPOS_OT'!$A$4:$A$23,0)),"SIN CLASIFICAR")))</f>
        <v/>
      </c>
      <c r="W1169" s="24">
        <f>IF($H1169="","",IF(IFERROR(INDEX('CAT_ACTIVIDADES'!$F$4:$F$26,MATCH($H1169,'CAT_ACTIVIDADES'!$A$4:$A$26,0)),"")=0,"",IFERROR(INDEX('CAT_ACTIVIDADES'!$F$4:$F$26,MATCH($H1169,'CAT_ACTIVIDADES'!$A$4:$A$26,0)),"")))</f>
        <v/>
      </c>
      <c r="X1169" s="24">
        <f>IF($F1169="","",IFERROR(INDEX('CAT_CENTROS_COSTO'!$F$4:$F$28,MATCH($F1169,'CAT_CENTROS_COSTO'!$A$4:$A$28,0)),"(sin catálogo)"))</f>
        <v/>
      </c>
      <c r="Y1169" s="24">
        <f>IF($F1169="","",IFERROR(INDEX('CAT_CENTROS_COSTO'!$D$4:$D$28,MATCH($F1169,'CAT_CENTROS_COSTO'!$A$4:$A$28,0)),"(sin catálogo)"))</f>
        <v/>
      </c>
      <c r="Z1169" s="24">
        <f>IF($F1169="","",IF((IFERROR(INDEX('CAT_CENTROS_COSTO'!$E$4:$E$28,MATCH($F1169,'CAT_CENTROS_COSTO'!$A$4:$A$28,0)),""))&lt;&gt;"",IFERROR(INDEX('CAT_CENTROS_COSTO'!$E$4:$E$28,MATCH($F1169,'CAT_CENTROS_COSTO'!$A$4:$A$28,0)),""),$Y1169))</f>
        <v/>
      </c>
      <c r="AA1169" s="24">
        <f>IF($F1169="","",IFERROR(INDEX('CAT_CENTROS_COSTO'!$G$4:$G$28,MATCH($F1169,'CAT_CENTROS_COSTO'!$A$4:$A$28,0)),"(sin catálogo)"))</f>
        <v/>
      </c>
      <c r="AB1169" s="24">
        <f>IF($G1169="","",IFERROR(INDEX('CAT_PUESTOS'!$B$4:$B$23,MATCH($G1169,'CAT_PUESTOS'!$A$4:$A$23,0)),"(sin catálogo)"))</f>
        <v/>
      </c>
      <c r="AC1169" s="24">
        <f>IF($H1169="","",IFERROR(INDEX('CAT_ACTIVIDADES'!$B$4:$B$26,MATCH($H1169,'CAT_ACTIVIDADES'!$A$4:$A$26,0)),"(sin catálogo)"))</f>
        <v/>
      </c>
      <c r="AD1169" s="26">
        <f>IF($J1169="","",TODAY()-$J1169)</f>
        <v/>
      </c>
      <c r="AE1169" s="26">
        <f>IF($J1169="","",IF($J1169&lt;=TODAY(),COUNTIFS(cal_fechas,"&gt;="&amp;$J1169,cal_fechas,"&lt;"&amp;TODAY(),cal_habil,"sí"),-COUNTIFS(cal_fechas,"&gt;="&amp;TODAY(),cal_fechas,"&lt;"&amp;$J1169,cal_habil,"sí")))</f>
        <v/>
      </c>
      <c r="AF1169" s="24">
        <f>IF($AE1169="","",IF($AE1169&lt;0,"FUTURO",IF($AE1169&gt;p_dias_backlog_max,"BACKLOG","MES CORRIENTE")))</f>
        <v/>
      </c>
      <c r="AG1169" s="24">
        <f>IF($AE1169="",FALSE,AND($AE1169&gt;p_dias_backlog_min,$AE1169&lt;=p_dias_backlog_max))</f>
        <v/>
      </c>
      <c r="AH1169" s="4" t="n"/>
      <c r="AI1169" s="24">
        <f>IF($AH1169="","",IF((IFERROR(INDEX('ASIGNACIONES'!$J$4:$J$451,MATCH($O1169&amp;"|"&amp;$S1169&amp;"|"&amp;$AH1169,'ASIGNACIONES'!$N$4:$N$451,0)),""))=0,"",IFERROR(INDEX('ASIGNACIONES'!$J$4:$J$451,MATCH($O1169&amp;"|"&amp;$S1169&amp;"|"&amp;$AH1169,'ASIGNACIONES'!$N$4:$N$451,0)),"")))</f>
        <v/>
      </c>
      <c r="AJ1169" s="42">
        <f>IF($AH1169="","",SUMIFS('ORDENES'!$M$4:$M$1203,'ORDENES'!$AH$4:$AH$1203,$AH1169,'ORDENES'!$O$4:$O$1203,$O1169,'ORDENES'!$S$4:$S$1203,$S1169))</f>
        <v/>
      </c>
      <c r="AK1169" s="42">
        <f>IF($AJ1169="","",p_factor_productividad*IFERROR(INDEX('ASIGNACIONES'!$M$4:$M$451,MATCH($O1169&amp;"|"&amp;$S1169&amp;"|"&amp;$AH1169,'ASIGNACIONES'!$N$4:$N$451,0)),0)-$AJ1169)</f>
        <v/>
      </c>
      <c r="AL1169" s="32">
        <f>IF($A1169="","",IFERROR(INDEX('2_IMPORTAR_EJECUCION'!$F$9:$F$1208,MATCH($AU1169,'2_IMPORTAR_EJECUCION'!$J$9:$J$1208,0)),0))</f>
        <v/>
      </c>
      <c r="AM1169" s="32">
        <f>IF($A1169="","",MAX(0,IFERROR(INDEX('2_IMPORTAR_EJECUCION'!$H$9:$H$1208,MATCH($AU1169,'2_IMPORTAR_EJECUCION'!$J$9:$J$1208,0)),0)-$AL1169))</f>
        <v/>
      </c>
      <c r="AN1169" s="32">
        <f>IF($A1169="","",$AL1169+$AM1169)</f>
        <v/>
      </c>
      <c r="AO1169" s="24">
        <f>IF($A1169="","",IF(OR((IFERROR(INDEX('CAT_ACTIVIDADES'!$D$4:$D$26,MATCH($H1169,'CAT_ACTIVIDADES'!$A$4:$A$26,0)),""))=0,(IFERROR(INDEX('CAT_ACTIVIDADES'!$D$4:$D$26,MATCH($H1169,'CAT_ACTIVIDADES'!$A$4:$A$26,0)),""))=""),"SIN CLASIFICAR",IFERROR(INDEX('CAT_ACTIVIDADES'!$D$4:$D$26,MATCH($H1169,'CAT_ACTIVIDADES'!$A$4:$A$26,0)),"")))</f>
        <v/>
      </c>
      <c r="AP1169" s="4" t="n"/>
      <c r="AQ1169" s="4" t="n"/>
      <c r="AR1169" s="4" t="n"/>
      <c r="AS1169" s="24">
        <f>IF($AR1169="","",HYPERLINK(p_ruta_base_checklists&amp;$AR1169,"abrir"))</f>
        <v/>
      </c>
      <c r="AT1169" s="4" t="n"/>
      <c r="AU1169" s="24">
        <f>IF($A1169="","",$A1169&amp;IF($B1169="","0010",$B1169))</f>
        <v/>
      </c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41" t="n"/>
      <c r="K1170" s="5" t="n"/>
      <c r="L1170" s="18" t="n"/>
      <c r="M1170" s="24">
        <f>IF($A1170="","",IFERROR(INDEX('AJUSTES'!$B$4:$B$303,MATCH($AU1170,'AJUSTES'!$A$4:$A$303,0)),IF($K1170="","",$K1170)))</f>
        <v/>
      </c>
      <c r="N1170" s="24">
        <f>IF($A1170="","",IFERROR(INDEX('CAT_ESTADOS_ERP'!$B$4:$B$22,MATCH(IFERROR(INDEX('2_IMPORTAR_EJECUCION'!$C$9:$C$1208,MATCH($AU1170,'2_IMPORTAR_EJECUCION'!$J$9:$J$1208,0)),""),'CAT_ESTADOS_ERP'!$A$4:$A$22,0)),"Pendiente"))</f>
        <v/>
      </c>
      <c r="O1170" s="24">
        <f>IF($J1170="","",YEAR($J1170+4-WEEKDAY($J1170,2))&amp;"-S"&amp;TEXT(_xlfn.ISOWEEKNUM($J1170),"00"))</f>
        <v/>
      </c>
      <c r="P1170" s="24">
        <f>IF($J1170="","",YEAR($J1170))</f>
        <v/>
      </c>
      <c r="Q1170" s="24">
        <f>IF($J1170="","",MONTH($J1170))</f>
        <v/>
      </c>
      <c r="R1170" s="24">
        <f>IF($J1170="","",$P1170&amp;"-"&amp;TEXT($Q1170,"00"))</f>
        <v/>
      </c>
      <c r="S1170" s="24">
        <f>IF($J1170="","",INDEX(lista_dias,WEEKDAY($J1170,2)))</f>
        <v/>
      </c>
      <c r="T1170" s="24">
        <f>IF($J1170="","",IFERROR(INDEX('CALENDARIO'!$C$15:$C$214,MATCH(TEXT($J1170,"yyyy-mm-dd")&amp;"|"&amp;$Y1170&amp;"|"&amp;$Z1170,'CALENDARIO'!$G$15:$G$214,0)),IFERROR(INDEX('CALENDARIO'!$C$15:$C$214,MATCH(TEXT($J1170,"yyyy-mm-dd")&amp;"|"&amp;$Y1170&amp;"|",'CALENDARIO'!$G$15:$G$214,0)),IFERROR(INDEX('CALENDARIO'!$C$15:$C$214,MATCH(TEXT($J1170,"yyyy-mm-dd")&amp;"||",'CALENDARIO'!$G$15:$G$214,0)),INDEX(patronHabil,WEEKDAY($J1170,2))))))</f>
        <v/>
      </c>
      <c r="U1170" s="24">
        <f>IF($I1170="","",IFERROR(INDEX('CAT_TIPOS_OT'!$C$4:$C$23,MATCH($I1170,'CAT_TIPOS_OT'!$A$4:$A$23,0)),"sin_clasificar"))</f>
        <v/>
      </c>
      <c r="V1170" s="24">
        <f>IF($I1170="","",IF(IFERROR(INDEX('CAT_TIPOS_OT'!$D$4:$D$23,MATCH($I1170,'CAT_TIPOS_OT'!$A$4:$A$23,0)),"SIN CLASIFICAR")="","SIN CLASIFICAR",IFERROR(INDEX('CAT_TIPOS_OT'!$D$4:$D$23,MATCH($I1170,'CAT_TIPOS_OT'!$A$4:$A$23,0)),"SIN CLASIFICAR")))</f>
        <v/>
      </c>
      <c r="W1170" s="24">
        <f>IF($H1170="","",IF(IFERROR(INDEX('CAT_ACTIVIDADES'!$F$4:$F$26,MATCH($H1170,'CAT_ACTIVIDADES'!$A$4:$A$26,0)),"")=0,"",IFERROR(INDEX('CAT_ACTIVIDADES'!$F$4:$F$26,MATCH($H1170,'CAT_ACTIVIDADES'!$A$4:$A$26,0)),"")))</f>
        <v/>
      </c>
      <c r="X1170" s="24">
        <f>IF($F1170="","",IFERROR(INDEX('CAT_CENTROS_COSTO'!$F$4:$F$28,MATCH($F1170,'CAT_CENTROS_COSTO'!$A$4:$A$28,0)),"(sin catálogo)"))</f>
        <v/>
      </c>
      <c r="Y1170" s="24">
        <f>IF($F1170="","",IFERROR(INDEX('CAT_CENTROS_COSTO'!$D$4:$D$28,MATCH($F1170,'CAT_CENTROS_COSTO'!$A$4:$A$28,0)),"(sin catálogo)"))</f>
        <v/>
      </c>
      <c r="Z1170" s="24">
        <f>IF($F1170="","",IF((IFERROR(INDEX('CAT_CENTROS_COSTO'!$E$4:$E$28,MATCH($F1170,'CAT_CENTROS_COSTO'!$A$4:$A$28,0)),""))&lt;&gt;"",IFERROR(INDEX('CAT_CENTROS_COSTO'!$E$4:$E$28,MATCH($F1170,'CAT_CENTROS_COSTO'!$A$4:$A$28,0)),""),$Y1170))</f>
        <v/>
      </c>
      <c r="AA1170" s="24">
        <f>IF($F1170="","",IFERROR(INDEX('CAT_CENTROS_COSTO'!$G$4:$G$28,MATCH($F1170,'CAT_CENTROS_COSTO'!$A$4:$A$28,0)),"(sin catálogo)"))</f>
        <v/>
      </c>
      <c r="AB1170" s="24">
        <f>IF($G1170="","",IFERROR(INDEX('CAT_PUESTOS'!$B$4:$B$23,MATCH($G1170,'CAT_PUESTOS'!$A$4:$A$23,0)),"(sin catálogo)"))</f>
        <v/>
      </c>
      <c r="AC1170" s="24">
        <f>IF($H1170="","",IFERROR(INDEX('CAT_ACTIVIDADES'!$B$4:$B$26,MATCH($H1170,'CAT_ACTIVIDADES'!$A$4:$A$26,0)),"(sin catálogo)"))</f>
        <v/>
      </c>
      <c r="AD1170" s="26">
        <f>IF($J1170="","",TODAY()-$J1170)</f>
        <v/>
      </c>
      <c r="AE1170" s="26">
        <f>IF($J1170="","",IF($J1170&lt;=TODAY(),COUNTIFS(cal_fechas,"&gt;="&amp;$J1170,cal_fechas,"&lt;"&amp;TODAY(),cal_habil,"sí"),-COUNTIFS(cal_fechas,"&gt;="&amp;TODAY(),cal_fechas,"&lt;"&amp;$J1170,cal_habil,"sí")))</f>
        <v/>
      </c>
      <c r="AF1170" s="24">
        <f>IF($AE1170="","",IF($AE1170&lt;0,"FUTURO",IF($AE1170&gt;p_dias_backlog_max,"BACKLOG","MES CORRIENTE")))</f>
        <v/>
      </c>
      <c r="AG1170" s="24">
        <f>IF($AE1170="",FALSE,AND($AE1170&gt;p_dias_backlog_min,$AE1170&lt;=p_dias_backlog_max))</f>
        <v/>
      </c>
      <c r="AH1170" s="4" t="n"/>
      <c r="AI1170" s="24">
        <f>IF($AH1170="","",IF((IFERROR(INDEX('ASIGNACIONES'!$J$4:$J$451,MATCH($O1170&amp;"|"&amp;$S1170&amp;"|"&amp;$AH1170,'ASIGNACIONES'!$N$4:$N$451,0)),""))=0,"",IFERROR(INDEX('ASIGNACIONES'!$J$4:$J$451,MATCH($O1170&amp;"|"&amp;$S1170&amp;"|"&amp;$AH1170,'ASIGNACIONES'!$N$4:$N$451,0)),"")))</f>
        <v/>
      </c>
      <c r="AJ1170" s="42">
        <f>IF($AH1170="","",SUMIFS('ORDENES'!$M$4:$M$1203,'ORDENES'!$AH$4:$AH$1203,$AH1170,'ORDENES'!$O$4:$O$1203,$O1170,'ORDENES'!$S$4:$S$1203,$S1170))</f>
        <v/>
      </c>
      <c r="AK1170" s="42">
        <f>IF($AJ1170="","",p_factor_productividad*IFERROR(INDEX('ASIGNACIONES'!$M$4:$M$451,MATCH($O1170&amp;"|"&amp;$S1170&amp;"|"&amp;$AH1170,'ASIGNACIONES'!$N$4:$N$451,0)),0)-$AJ1170)</f>
        <v/>
      </c>
      <c r="AL1170" s="32">
        <f>IF($A1170="","",IFERROR(INDEX('2_IMPORTAR_EJECUCION'!$F$9:$F$1208,MATCH($AU1170,'2_IMPORTAR_EJECUCION'!$J$9:$J$1208,0)),0))</f>
        <v/>
      </c>
      <c r="AM1170" s="32">
        <f>IF($A1170="","",MAX(0,IFERROR(INDEX('2_IMPORTAR_EJECUCION'!$H$9:$H$1208,MATCH($AU1170,'2_IMPORTAR_EJECUCION'!$J$9:$J$1208,0)),0)-$AL1170))</f>
        <v/>
      </c>
      <c r="AN1170" s="32">
        <f>IF($A1170="","",$AL1170+$AM1170)</f>
        <v/>
      </c>
      <c r="AO1170" s="24">
        <f>IF($A1170="","",IF(OR((IFERROR(INDEX('CAT_ACTIVIDADES'!$D$4:$D$26,MATCH($H1170,'CAT_ACTIVIDADES'!$A$4:$A$26,0)),""))=0,(IFERROR(INDEX('CAT_ACTIVIDADES'!$D$4:$D$26,MATCH($H1170,'CAT_ACTIVIDADES'!$A$4:$A$26,0)),""))=""),"SIN CLASIFICAR",IFERROR(INDEX('CAT_ACTIVIDADES'!$D$4:$D$26,MATCH($H1170,'CAT_ACTIVIDADES'!$A$4:$A$26,0)),"")))</f>
        <v/>
      </c>
      <c r="AP1170" s="4" t="n"/>
      <c r="AQ1170" s="4" t="n"/>
      <c r="AR1170" s="4" t="n"/>
      <c r="AS1170" s="24">
        <f>IF($AR1170="","",HYPERLINK(p_ruta_base_checklists&amp;$AR1170,"abrir"))</f>
        <v/>
      </c>
      <c r="AT1170" s="4" t="n"/>
      <c r="AU1170" s="24">
        <f>IF($A1170="","",$A1170&amp;IF($B1170="","0010",$B1170))</f>
        <v/>
      </c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41" t="n"/>
      <c r="K1171" s="5" t="n"/>
      <c r="L1171" s="18" t="n"/>
      <c r="M1171" s="24">
        <f>IF($A1171="","",IFERROR(INDEX('AJUSTES'!$B$4:$B$303,MATCH($AU1171,'AJUSTES'!$A$4:$A$303,0)),IF($K1171="","",$K1171)))</f>
        <v/>
      </c>
      <c r="N1171" s="24">
        <f>IF($A1171="","",IFERROR(INDEX('CAT_ESTADOS_ERP'!$B$4:$B$22,MATCH(IFERROR(INDEX('2_IMPORTAR_EJECUCION'!$C$9:$C$1208,MATCH($AU1171,'2_IMPORTAR_EJECUCION'!$J$9:$J$1208,0)),""),'CAT_ESTADOS_ERP'!$A$4:$A$22,0)),"Pendiente"))</f>
        <v/>
      </c>
      <c r="O1171" s="24">
        <f>IF($J1171="","",YEAR($J1171+4-WEEKDAY($J1171,2))&amp;"-S"&amp;TEXT(_xlfn.ISOWEEKNUM($J1171),"00"))</f>
        <v/>
      </c>
      <c r="P1171" s="24">
        <f>IF($J1171="","",YEAR($J1171))</f>
        <v/>
      </c>
      <c r="Q1171" s="24">
        <f>IF($J1171="","",MONTH($J1171))</f>
        <v/>
      </c>
      <c r="R1171" s="24">
        <f>IF($J1171="","",$P1171&amp;"-"&amp;TEXT($Q1171,"00"))</f>
        <v/>
      </c>
      <c r="S1171" s="24">
        <f>IF($J1171="","",INDEX(lista_dias,WEEKDAY($J1171,2)))</f>
        <v/>
      </c>
      <c r="T1171" s="24">
        <f>IF($J1171="","",IFERROR(INDEX('CALENDARIO'!$C$15:$C$214,MATCH(TEXT($J1171,"yyyy-mm-dd")&amp;"|"&amp;$Y1171&amp;"|"&amp;$Z1171,'CALENDARIO'!$G$15:$G$214,0)),IFERROR(INDEX('CALENDARIO'!$C$15:$C$214,MATCH(TEXT($J1171,"yyyy-mm-dd")&amp;"|"&amp;$Y1171&amp;"|",'CALENDARIO'!$G$15:$G$214,0)),IFERROR(INDEX('CALENDARIO'!$C$15:$C$214,MATCH(TEXT($J1171,"yyyy-mm-dd")&amp;"||",'CALENDARIO'!$G$15:$G$214,0)),INDEX(patronHabil,WEEKDAY($J1171,2))))))</f>
        <v/>
      </c>
      <c r="U1171" s="24">
        <f>IF($I1171="","",IFERROR(INDEX('CAT_TIPOS_OT'!$C$4:$C$23,MATCH($I1171,'CAT_TIPOS_OT'!$A$4:$A$23,0)),"sin_clasificar"))</f>
        <v/>
      </c>
      <c r="V1171" s="24">
        <f>IF($I1171="","",IF(IFERROR(INDEX('CAT_TIPOS_OT'!$D$4:$D$23,MATCH($I1171,'CAT_TIPOS_OT'!$A$4:$A$23,0)),"SIN CLASIFICAR")="","SIN CLASIFICAR",IFERROR(INDEX('CAT_TIPOS_OT'!$D$4:$D$23,MATCH($I1171,'CAT_TIPOS_OT'!$A$4:$A$23,0)),"SIN CLASIFICAR")))</f>
        <v/>
      </c>
      <c r="W1171" s="24">
        <f>IF($H1171="","",IF(IFERROR(INDEX('CAT_ACTIVIDADES'!$F$4:$F$26,MATCH($H1171,'CAT_ACTIVIDADES'!$A$4:$A$26,0)),"")=0,"",IFERROR(INDEX('CAT_ACTIVIDADES'!$F$4:$F$26,MATCH($H1171,'CAT_ACTIVIDADES'!$A$4:$A$26,0)),"")))</f>
        <v/>
      </c>
      <c r="X1171" s="24">
        <f>IF($F1171="","",IFERROR(INDEX('CAT_CENTROS_COSTO'!$F$4:$F$28,MATCH($F1171,'CAT_CENTROS_COSTO'!$A$4:$A$28,0)),"(sin catálogo)"))</f>
        <v/>
      </c>
      <c r="Y1171" s="24">
        <f>IF($F1171="","",IFERROR(INDEX('CAT_CENTROS_COSTO'!$D$4:$D$28,MATCH($F1171,'CAT_CENTROS_COSTO'!$A$4:$A$28,0)),"(sin catálogo)"))</f>
        <v/>
      </c>
      <c r="Z1171" s="24">
        <f>IF($F1171="","",IF((IFERROR(INDEX('CAT_CENTROS_COSTO'!$E$4:$E$28,MATCH($F1171,'CAT_CENTROS_COSTO'!$A$4:$A$28,0)),""))&lt;&gt;"",IFERROR(INDEX('CAT_CENTROS_COSTO'!$E$4:$E$28,MATCH($F1171,'CAT_CENTROS_COSTO'!$A$4:$A$28,0)),""),$Y1171))</f>
        <v/>
      </c>
      <c r="AA1171" s="24">
        <f>IF($F1171="","",IFERROR(INDEX('CAT_CENTROS_COSTO'!$G$4:$G$28,MATCH($F1171,'CAT_CENTROS_COSTO'!$A$4:$A$28,0)),"(sin catálogo)"))</f>
        <v/>
      </c>
      <c r="AB1171" s="24">
        <f>IF($G1171="","",IFERROR(INDEX('CAT_PUESTOS'!$B$4:$B$23,MATCH($G1171,'CAT_PUESTOS'!$A$4:$A$23,0)),"(sin catálogo)"))</f>
        <v/>
      </c>
      <c r="AC1171" s="24">
        <f>IF($H1171="","",IFERROR(INDEX('CAT_ACTIVIDADES'!$B$4:$B$26,MATCH($H1171,'CAT_ACTIVIDADES'!$A$4:$A$26,0)),"(sin catálogo)"))</f>
        <v/>
      </c>
      <c r="AD1171" s="26">
        <f>IF($J1171="","",TODAY()-$J1171)</f>
        <v/>
      </c>
      <c r="AE1171" s="26">
        <f>IF($J1171="","",IF($J1171&lt;=TODAY(),COUNTIFS(cal_fechas,"&gt;="&amp;$J1171,cal_fechas,"&lt;"&amp;TODAY(),cal_habil,"sí"),-COUNTIFS(cal_fechas,"&gt;="&amp;TODAY(),cal_fechas,"&lt;"&amp;$J1171,cal_habil,"sí")))</f>
        <v/>
      </c>
      <c r="AF1171" s="24">
        <f>IF($AE1171="","",IF($AE1171&lt;0,"FUTURO",IF($AE1171&gt;p_dias_backlog_max,"BACKLOG","MES CORRIENTE")))</f>
        <v/>
      </c>
      <c r="AG1171" s="24">
        <f>IF($AE1171="",FALSE,AND($AE1171&gt;p_dias_backlog_min,$AE1171&lt;=p_dias_backlog_max))</f>
        <v/>
      </c>
      <c r="AH1171" s="4" t="n"/>
      <c r="AI1171" s="24">
        <f>IF($AH1171="","",IF((IFERROR(INDEX('ASIGNACIONES'!$J$4:$J$451,MATCH($O1171&amp;"|"&amp;$S1171&amp;"|"&amp;$AH1171,'ASIGNACIONES'!$N$4:$N$451,0)),""))=0,"",IFERROR(INDEX('ASIGNACIONES'!$J$4:$J$451,MATCH($O1171&amp;"|"&amp;$S1171&amp;"|"&amp;$AH1171,'ASIGNACIONES'!$N$4:$N$451,0)),"")))</f>
        <v/>
      </c>
      <c r="AJ1171" s="42">
        <f>IF($AH1171="","",SUMIFS('ORDENES'!$M$4:$M$1203,'ORDENES'!$AH$4:$AH$1203,$AH1171,'ORDENES'!$O$4:$O$1203,$O1171,'ORDENES'!$S$4:$S$1203,$S1171))</f>
        <v/>
      </c>
      <c r="AK1171" s="42">
        <f>IF($AJ1171="","",p_factor_productividad*IFERROR(INDEX('ASIGNACIONES'!$M$4:$M$451,MATCH($O1171&amp;"|"&amp;$S1171&amp;"|"&amp;$AH1171,'ASIGNACIONES'!$N$4:$N$451,0)),0)-$AJ1171)</f>
        <v/>
      </c>
      <c r="AL1171" s="32">
        <f>IF($A1171="","",IFERROR(INDEX('2_IMPORTAR_EJECUCION'!$F$9:$F$1208,MATCH($AU1171,'2_IMPORTAR_EJECUCION'!$J$9:$J$1208,0)),0))</f>
        <v/>
      </c>
      <c r="AM1171" s="32">
        <f>IF($A1171="","",MAX(0,IFERROR(INDEX('2_IMPORTAR_EJECUCION'!$H$9:$H$1208,MATCH($AU1171,'2_IMPORTAR_EJECUCION'!$J$9:$J$1208,0)),0)-$AL1171))</f>
        <v/>
      </c>
      <c r="AN1171" s="32">
        <f>IF($A1171="","",$AL1171+$AM1171)</f>
        <v/>
      </c>
      <c r="AO1171" s="24">
        <f>IF($A1171="","",IF(OR((IFERROR(INDEX('CAT_ACTIVIDADES'!$D$4:$D$26,MATCH($H1171,'CAT_ACTIVIDADES'!$A$4:$A$26,0)),""))=0,(IFERROR(INDEX('CAT_ACTIVIDADES'!$D$4:$D$26,MATCH($H1171,'CAT_ACTIVIDADES'!$A$4:$A$26,0)),""))=""),"SIN CLASIFICAR",IFERROR(INDEX('CAT_ACTIVIDADES'!$D$4:$D$26,MATCH($H1171,'CAT_ACTIVIDADES'!$A$4:$A$26,0)),"")))</f>
        <v/>
      </c>
      <c r="AP1171" s="4" t="n"/>
      <c r="AQ1171" s="4" t="n"/>
      <c r="AR1171" s="4" t="n"/>
      <c r="AS1171" s="24">
        <f>IF($AR1171="","",HYPERLINK(p_ruta_base_checklists&amp;$AR1171,"abrir"))</f>
        <v/>
      </c>
      <c r="AT1171" s="4" t="n"/>
      <c r="AU1171" s="24">
        <f>IF($A1171="","",$A1171&amp;IF($B1171="","0010",$B1171))</f>
        <v/>
      </c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41" t="n"/>
      <c r="K1172" s="5" t="n"/>
      <c r="L1172" s="18" t="n"/>
      <c r="M1172" s="24">
        <f>IF($A1172="","",IFERROR(INDEX('AJUSTES'!$B$4:$B$303,MATCH($AU1172,'AJUSTES'!$A$4:$A$303,0)),IF($K1172="","",$K1172)))</f>
        <v/>
      </c>
      <c r="N1172" s="24">
        <f>IF($A1172="","",IFERROR(INDEX('CAT_ESTADOS_ERP'!$B$4:$B$22,MATCH(IFERROR(INDEX('2_IMPORTAR_EJECUCION'!$C$9:$C$1208,MATCH($AU1172,'2_IMPORTAR_EJECUCION'!$J$9:$J$1208,0)),""),'CAT_ESTADOS_ERP'!$A$4:$A$22,0)),"Pendiente"))</f>
        <v/>
      </c>
      <c r="O1172" s="24">
        <f>IF($J1172="","",YEAR($J1172+4-WEEKDAY($J1172,2))&amp;"-S"&amp;TEXT(_xlfn.ISOWEEKNUM($J1172),"00"))</f>
        <v/>
      </c>
      <c r="P1172" s="24">
        <f>IF($J1172="","",YEAR($J1172))</f>
        <v/>
      </c>
      <c r="Q1172" s="24">
        <f>IF($J1172="","",MONTH($J1172))</f>
        <v/>
      </c>
      <c r="R1172" s="24">
        <f>IF($J1172="","",$P1172&amp;"-"&amp;TEXT($Q1172,"00"))</f>
        <v/>
      </c>
      <c r="S1172" s="24">
        <f>IF($J1172="","",INDEX(lista_dias,WEEKDAY($J1172,2)))</f>
        <v/>
      </c>
      <c r="T1172" s="24">
        <f>IF($J1172="","",IFERROR(INDEX('CALENDARIO'!$C$15:$C$214,MATCH(TEXT($J1172,"yyyy-mm-dd")&amp;"|"&amp;$Y1172&amp;"|"&amp;$Z1172,'CALENDARIO'!$G$15:$G$214,0)),IFERROR(INDEX('CALENDARIO'!$C$15:$C$214,MATCH(TEXT($J1172,"yyyy-mm-dd")&amp;"|"&amp;$Y1172&amp;"|",'CALENDARIO'!$G$15:$G$214,0)),IFERROR(INDEX('CALENDARIO'!$C$15:$C$214,MATCH(TEXT($J1172,"yyyy-mm-dd")&amp;"||",'CALENDARIO'!$G$15:$G$214,0)),INDEX(patronHabil,WEEKDAY($J1172,2))))))</f>
        <v/>
      </c>
      <c r="U1172" s="24">
        <f>IF($I1172="","",IFERROR(INDEX('CAT_TIPOS_OT'!$C$4:$C$23,MATCH($I1172,'CAT_TIPOS_OT'!$A$4:$A$23,0)),"sin_clasificar"))</f>
        <v/>
      </c>
      <c r="V1172" s="24">
        <f>IF($I1172="","",IF(IFERROR(INDEX('CAT_TIPOS_OT'!$D$4:$D$23,MATCH($I1172,'CAT_TIPOS_OT'!$A$4:$A$23,0)),"SIN CLASIFICAR")="","SIN CLASIFICAR",IFERROR(INDEX('CAT_TIPOS_OT'!$D$4:$D$23,MATCH($I1172,'CAT_TIPOS_OT'!$A$4:$A$23,0)),"SIN CLASIFICAR")))</f>
        <v/>
      </c>
      <c r="W1172" s="24">
        <f>IF($H1172="","",IF(IFERROR(INDEX('CAT_ACTIVIDADES'!$F$4:$F$26,MATCH($H1172,'CAT_ACTIVIDADES'!$A$4:$A$26,0)),"")=0,"",IFERROR(INDEX('CAT_ACTIVIDADES'!$F$4:$F$26,MATCH($H1172,'CAT_ACTIVIDADES'!$A$4:$A$26,0)),"")))</f>
        <v/>
      </c>
      <c r="X1172" s="24">
        <f>IF($F1172="","",IFERROR(INDEX('CAT_CENTROS_COSTO'!$F$4:$F$28,MATCH($F1172,'CAT_CENTROS_COSTO'!$A$4:$A$28,0)),"(sin catálogo)"))</f>
        <v/>
      </c>
      <c r="Y1172" s="24">
        <f>IF($F1172="","",IFERROR(INDEX('CAT_CENTROS_COSTO'!$D$4:$D$28,MATCH($F1172,'CAT_CENTROS_COSTO'!$A$4:$A$28,0)),"(sin catálogo)"))</f>
        <v/>
      </c>
      <c r="Z1172" s="24">
        <f>IF($F1172="","",IF((IFERROR(INDEX('CAT_CENTROS_COSTO'!$E$4:$E$28,MATCH($F1172,'CAT_CENTROS_COSTO'!$A$4:$A$28,0)),""))&lt;&gt;"",IFERROR(INDEX('CAT_CENTROS_COSTO'!$E$4:$E$28,MATCH($F1172,'CAT_CENTROS_COSTO'!$A$4:$A$28,0)),""),$Y1172))</f>
        <v/>
      </c>
      <c r="AA1172" s="24">
        <f>IF($F1172="","",IFERROR(INDEX('CAT_CENTROS_COSTO'!$G$4:$G$28,MATCH($F1172,'CAT_CENTROS_COSTO'!$A$4:$A$28,0)),"(sin catálogo)"))</f>
        <v/>
      </c>
      <c r="AB1172" s="24">
        <f>IF($G1172="","",IFERROR(INDEX('CAT_PUESTOS'!$B$4:$B$23,MATCH($G1172,'CAT_PUESTOS'!$A$4:$A$23,0)),"(sin catálogo)"))</f>
        <v/>
      </c>
      <c r="AC1172" s="24">
        <f>IF($H1172="","",IFERROR(INDEX('CAT_ACTIVIDADES'!$B$4:$B$26,MATCH($H1172,'CAT_ACTIVIDADES'!$A$4:$A$26,0)),"(sin catálogo)"))</f>
        <v/>
      </c>
      <c r="AD1172" s="26">
        <f>IF($J1172="","",TODAY()-$J1172)</f>
        <v/>
      </c>
      <c r="AE1172" s="26">
        <f>IF($J1172="","",IF($J1172&lt;=TODAY(),COUNTIFS(cal_fechas,"&gt;="&amp;$J1172,cal_fechas,"&lt;"&amp;TODAY(),cal_habil,"sí"),-COUNTIFS(cal_fechas,"&gt;="&amp;TODAY(),cal_fechas,"&lt;"&amp;$J1172,cal_habil,"sí")))</f>
        <v/>
      </c>
      <c r="AF1172" s="24">
        <f>IF($AE1172="","",IF($AE1172&lt;0,"FUTURO",IF($AE1172&gt;p_dias_backlog_max,"BACKLOG","MES CORRIENTE")))</f>
        <v/>
      </c>
      <c r="AG1172" s="24">
        <f>IF($AE1172="",FALSE,AND($AE1172&gt;p_dias_backlog_min,$AE1172&lt;=p_dias_backlog_max))</f>
        <v/>
      </c>
      <c r="AH1172" s="4" t="n"/>
      <c r="AI1172" s="24">
        <f>IF($AH1172="","",IF((IFERROR(INDEX('ASIGNACIONES'!$J$4:$J$451,MATCH($O1172&amp;"|"&amp;$S1172&amp;"|"&amp;$AH1172,'ASIGNACIONES'!$N$4:$N$451,0)),""))=0,"",IFERROR(INDEX('ASIGNACIONES'!$J$4:$J$451,MATCH($O1172&amp;"|"&amp;$S1172&amp;"|"&amp;$AH1172,'ASIGNACIONES'!$N$4:$N$451,0)),"")))</f>
        <v/>
      </c>
      <c r="AJ1172" s="42">
        <f>IF($AH1172="","",SUMIFS('ORDENES'!$M$4:$M$1203,'ORDENES'!$AH$4:$AH$1203,$AH1172,'ORDENES'!$O$4:$O$1203,$O1172,'ORDENES'!$S$4:$S$1203,$S1172))</f>
        <v/>
      </c>
      <c r="AK1172" s="42">
        <f>IF($AJ1172="","",p_factor_productividad*IFERROR(INDEX('ASIGNACIONES'!$M$4:$M$451,MATCH($O1172&amp;"|"&amp;$S1172&amp;"|"&amp;$AH1172,'ASIGNACIONES'!$N$4:$N$451,0)),0)-$AJ1172)</f>
        <v/>
      </c>
      <c r="AL1172" s="32">
        <f>IF($A1172="","",IFERROR(INDEX('2_IMPORTAR_EJECUCION'!$F$9:$F$1208,MATCH($AU1172,'2_IMPORTAR_EJECUCION'!$J$9:$J$1208,0)),0))</f>
        <v/>
      </c>
      <c r="AM1172" s="32">
        <f>IF($A1172="","",MAX(0,IFERROR(INDEX('2_IMPORTAR_EJECUCION'!$H$9:$H$1208,MATCH($AU1172,'2_IMPORTAR_EJECUCION'!$J$9:$J$1208,0)),0)-$AL1172))</f>
        <v/>
      </c>
      <c r="AN1172" s="32">
        <f>IF($A1172="","",$AL1172+$AM1172)</f>
        <v/>
      </c>
      <c r="AO1172" s="24">
        <f>IF($A1172="","",IF(OR((IFERROR(INDEX('CAT_ACTIVIDADES'!$D$4:$D$26,MATCH($H1172,'CAT_ACTIVIDADES'!$A$4:$A$26,0)),""))=0,(IFERROR(INDEX('CAT_ACTIVIDADES'!$D$4:$D$26,MATCH($H1172,'CAT_ACTIVIDADES'!$A$4:$A$26,0)),""))=""),"SIN CLASIFICAR",IFERROR(INDEX('CAT_ACTIVIDADES'!$D$4:$D$26,MATCH($H1172,'CAT_ACTIVIDADES'!$A$4:$A$26,0)),"")))</f>
        <v/>
      </c>
      <c r="AP1172" s="4" t="n"/>
      <c r="AQ1172" s="4" t="n"/>
      <c r="AR1172" s="4" t="n"/>
      <c r="AS1172" s="24">
        <f>IF($AR1172="","",HYPERLINK(p_ruta_base_checklists&amp;$AR1172,"abrir"))</f>
        <v/>
      </c>
      <c r="AT1172" s="4" t="n"/>
      <c r="AU1172" s="24">
        <f>IF($A1172="","",$A1172&amp;IF($B1172="","0010",$B1172))</f>
        <v/>
      </c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41" t="n"/>
      <c r="K1173" s="5" t="n"/>
      <c r="L1173" s="18" t="n"/>
      <c r="M1173" s="24">
        <f>IF($A1173="","",IFERROR(INDEX('AJUSTES'!$B$4:$B$303,MATCH($AU1173,'AJUSTES'!$A$4:$A$303,0)),IF($K1173="","",$K1173)))</f>
        <v/>
      </c>
      <c r="N1173" s="24">
        <f>IF($A1173="","",IFERROR(INDEX('CAT_ESTADOS_ERP'!$B$4:$B$22,MATCH(IFERROR(INDEX('2_IMPORTAR_EJECUCION'!$C$9:$C$1208,MATCH($AU1173,'2_IMPORTAR_EJECUCION'!$J$9:$J$1208,0)),""),'CAT_ESTADOS_ERP'!$A$4:$A$22,0)),"Pendiente"))</f>
        <v/>
      </c>
      <c r="O1173" s="24">
        <f>IF($J1173="","",YEAR($J1173+4-WEEKDAY($J1173,2))&amp;"-S"&amp;TEXT(_xlfn.ISOWEEKNUM($J1173),"00"))</f>
        <v/>
      </c>
      <c r="P1173" s="24">
        <f>IF($J1173="","",YEAR($J1173))</f>
        <v/>
      </c>
      <c r="Q1173" s="24">
        <f>IF($J1173="","",MONTH($J1173))</f>
        <v/>
      </c>
      <c r="R1173" s="24">
        <f>IF($J1173="","",$P1173&amp;"-"&amp;TEXT($Q1173,"00"))</f>
        <v/>
      </c>
      <c r="S1173" s="24">
        <f>IF($J1173="","",INDEX(lista_dias,WEEKDAY($J1173,2)))</f>
        <v/>
      </c>
      <c r="T1173" s="24">
        <f>IF($J1173="","",IFERROR(INDEX('CALENDARIO'!$C$15:$C$214,MATCH(TEXT($J1173,"yyyy-mm-dd")&amp;"|"&amp;$Y1173&amp;"|"&amp;$Z1173,'CALENDARIO'!$G$15:$G$214,0)),IFERROR(INDEX('CALENDARIO'!$C$15:$C$214,MATCH(TEXT($J1173,"yyyy-mm-dd")&amp;"|"&amp;$Y1173&amp;"|",'CALENDARIO'!$G$15:$G$214,0)),IFERROR(INDEX('CALENDARIO'!$C$15:$C$214,MATCH(TEXT($J1173,"yyyy-mm-dd")&amp;"||",'CALENDARIO'!$G$15:$G$214,0)),INDEX(patronHabil,WEEKDAY($J1173,2))))))</f>
        <v/>
      </c>
      <c r="U1173" s="24">
        <f>IF($I1173="","",IFERROR(INDEX('CAT_TIPOS_OT'!$C$4:$C$23,MATCH($I1173,'CAT_TIPOS_OT'!$A$4:$A$23,0)),"sin_clasificar"))</f>
        <v/>
      </c>
      <c r="V1173" s="24">
        <f>IF($I1173="","",IF(IFERROR(INDEX('CAT_TIPOS_OT'!$D$4:$D$23,MATCH($I1173,'CAT_TIPOS_OT'!$A$4:$A$23,0)),"SIN CLASIFICAR")="","SIN CLASIFICAR",IFERROR(INDEX('CAT_TIPOS_OT'!$D$4:$D$23,MATCH($I1173,'CAT_TIPOS_OT'!$A$4:$A$23,0)),"SIN CLASIFICAR")))</f>
        <v/>
      </c>
      <c r="W1173" s="24">
        <f>IF($H1173="","",IF(IFERROR(INDEX('CAT_ACTIVIDADES'!$F$4:$F$26,MATCH($H1173,'CAT_ACTIVIDADES'!$A$4:$A$26,0)),"")=0,"",IFERROR(INDEX('CAT_ACTIVIDADES'!$F$4:$F$26,MATCH($H1173,'CAT_ACTIVIDADES'!$A$4:$A$26,0)),"")))</f>
        <v/>
      </c>
      <c r="X1173" s="24">
        <f>IF($F1173="","",IFERROR(INDEX('CAT_CENTROS_COSTO'!$F$4:$F$28,MATCH($F1173,'CAT_CENTROS_COSTO'!$A$4:$A$28,0)),"(sin catálogo)"))</f>
        <v/>
      </c>
      <c r="Y1173" s="24">
        <f>IF($F1173="","",IFERROR(INDEX('CAT_CENTROS_COSTO'!$D$4:$D$28,MATCH($F1173,'CAT_CENTROS_COSTO'!$A$4:$A$28,0)),"(sin catálogo)"))</f>
        <v/>
      </c>
      <c r="Z1173" s="24">
        <f>IF($F1173="","",IF((IFERROR(INDEX('CAT_CENTROS_COSTO'!$E$4:$E$28,MATCH($F1173,'CAT_CENTROS_COSTO'!$A$4:$A$28,0)),""))&lt;&gt;"",IFERROR(INDEX('CAT_CENTROS_COSTO'!$E$4:$E$28,MATCH($F1173,'CAT_CENTROS_COSTO'!$A$4:$A$28,0)),""),$Y1173))</f>
        <v/>
      </c>
      <c r="AA1173" s="24">
        <f>IF($F1173="","",IFERROR(INDEX('CAT_CENTROS_COSTO'!$G$4:$G$28,MATCH($F1173,'CAT_CENTROS_COSTO'!$A$4:$A$28,0)),"(sin catálogo)"))</f>
        <v/>
      </c>
      <c r="AB1173" s="24">
        <f>IF($G1173="","",IFERROR(INDEX('CAT_PUESTOS'!$B$4:$B$23,MATCH($G1173,'CAT_PUESTOS'!$A$4:$A$23,0)),"(sin catálogo)"))</f>
        <v/>
      </c>
      <c r="AC1173" s="24">
        <f>IF($H1173="","",IFERROR(INDEX('CAT_ACTIVIDADES'!$B$4:$B$26,MATCH($H1173,'CAT_ACTIVIDADES'!$A$4:$A$26,0)),"(sin catálogo)"))</f>
        <v/>
      </c>
      <c r="AD1173" s="26">
        <f>IF($J1173="","",TODAY()-$J1173)</f>
        <v/>
      </c>
      <c r="AE1173" s="26">
        <f>IF($J1173="","",IF($J1173&lt;=TODAY(),COUNTIFS(cal_fechas,"&gt;="&amp;$J1173,cal_fechas,"&lt;"&amp;TODAY(),cal_habil,"sí"),-COUNTIFS(cal_fechas,"&gt;="&amp;TODAY(),cal_fechas,"&lt;"&amp;$J1173,cal_habil,"sí")))</f>
        <v/>
      </c>
      <c r="AF1173" s="24">
        <f>IF($AE1173="","",IF($AE1173&lt;0,"FUTURO",IF($AE1173&gt;p_dias_backlog_max,"BACKLOG","MES CORRIENTE")))</f>
        <v/>
      </c>
      <c r="AG1173" s="24">
        <f>IF($AE1173="",FALSE,AND($AE1173&gt;p_dias_backlog_min,$AE1173&lt;=p_dias_backlog_max))</f>
        <v/>
      </c>
      <c r="AH1173" s="4" t="n"/>
      <c r="AI1173" s="24">
        <f>IF($AH1173="","",IF((IFERROR(INDEX('ASIGNACIONES'!$J$4:$J$451,MATCH($O1173&amp;"|"&amp;$S1173&amp;"|"&amp;$AH1173,'ASIGNACIONES'!$N$4:$N$451,0)),""))=0,"",IFERROR(INDEX('ASIGNACIONES'!$J$4:$J$451,MATCH($O1173&amp;"|"&amp;$S1173&amp;"|"&amp;$AH1173,'ASIGNACIONES'!$N$4:$N$451,0)),"")))</f>
        <v/>
      </c>
      <c r="AJ1173" s="42">
        <f>IF($AH1173="","",SUMIFS('ORDENES'!$M$4:$M$1203,'ORDENES'!$AH$4:$AH$1203,$AH1173,'ORDENES'!$O$4:$O$1203,$O1173,'ORDENES'!$S$4:$S$1203,$S1173))</f>
        <v/>
      </c>
      <c r="AK1173" s="42">
        <f>IF($AJ1173="","",p_factor_productividad*IFERROR(INDEX('ASIGNACIONES'!$M$4:$M$451,MATCH($O1173&amp;"|"&amp;$S1173&amp;"|"&amp;$AH1173,'ASIGNACIONES'!$N$4:$N$451,0)),0)-$AJ1173)</f>
        <v/>
      </c>
      <c r="AL1173" s="32">
        <f>IF($A1173="","",IFERROR(INDEX('2_IMPORTAR_EJECUCION'!$F$9:$F$1208,MATCH($AU1173,'2_IMPORTAR_EJECUCION'!$J$9:$J$1208,0)),0))</f>
        <v/>
      </c>
      <c r="AM1173" s="32">
        <f>IF($A1173="","",MAX(0,IFERROR(INDEX('2_IMPORTAR_EJECUCION'!$H$9:$H$1208,MATCH($AU1173,'2_IMPORTAR_EJECUCION'!$J$9:$J$1208,0)),0)-$AL1173))</f>
        <v/>
      </c>
      <c r="AN1173" s="32">
        <f>IF($A1173="","",$AL1173+$AM1173)</f>
        <v/>
      </c>
      <c r="AO1173" s="24">
        <f>IF($A1173="","",IF(OR((IFERROR(INDEX('CAT_ACTIVIDADES'!$D$4:$D$26,MATCH($H1173,'CAT_ACTIVIDADES'!$A$4:$A$26,0)),""))=0,(IFERROR(INDEX('CAT_ACTIVIDADES'!$D$4:$D$26,MATCH($H1173,'CAT_ACTIVIDADES'!$A$4:$A$26,0)),""))=""),"SIN CLASIFICAR",IFERROR(INDEX('CAT_ACTIVIDADES'!$D$4:$D$26,MATCH($H1173,'CAT_ACTIVIDADES'!$A$4:$A$26,0)),"")))</f>
        <v/>
      </c>
      <c r="AP1173" s="4" t="n"/>
      <c r="AQ1173" s="4" t="n"/>
      <c r="AR1173" s="4" t="n"/>
      <c r="AS1173" s="24">
        <f>IF($AR1173="","",HYPERLINK(p_ruta_base_checklists&amp;$AR1173,"abrir"))</f>
        <v/>
      </c>
      <c r="AT1173" s="4" t="n"/>
      <c r="AU1173" s="24">
        <f>IF($A1173="","",$A1173&amp;IF($B1173="","0010",$B1173))</f>
        <v/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41" t="n"/>
      <c r="K1174" s="5" t="n"/>
      <c r="L1174" s="18" t="n"/>
      <c r="M1174" s="24">
        <f>IF($A1174="","",IFERROR(INDEX('AJUSTES'!$B$4:$B$303,MATCH($AU1174,'AJUSTES'!$A$4:$A$303,0)),IF($K1174="","",$K1174)))</f>
        <v/>
      </c>
      <c r="N1174" s="24">
        <f>IF($A1174="","",IFERROR(INDEX('CAT_ESTADOS_ERP'!$B$4:$B$22,MATCH(IFERROR(INDEX('2_IMPORTAR_EJECUCION'!$C$9:$C$1208,MATCH($AU1174,'2_IMPORTAR_EJECUCION'!$J$9:$J$1208,0)),""),'CAT_ESTADOS_ERP'!$A$4:$A$22,0)),"Pendiente"))</f>
        <v/>
      </c>
      <c r="O1174" s="24">
        <f>IF($J1174="","",YEAR($J1174+4-WEEKDAY($J1174,2))&amp;"-S"&amp;TEXT(_xlfn.ISOWEEKNUM($J1174),"00"))</f>
        <v/>
      </c>
      <c r="P1174" s="24">
        <f>IF($J1174="","",YEAR($J1174))</f>
        <v/>
      </c>
      <c r="Q1174" s="24">
        <f>IF($J1174="","",MONTH($J1174))</f>
        <v/>
      </c>
      <c r="R1174" s="24">
        <f>IF($J1174="","",$P1174&amp;"-"&amp;TEXT($Q1174,"00"))</f>
        <v/>
      </c>
      <c r="S1174" s="24">
        <f>IF($J1174="","",INDEX(lista_dias,WEEKDAY($J1174,2)))</f>
        <v/>
      </c>
      <c r="T1174" s="24">
        <f>IF($J1174="","",IFERROR(INDEX('CALENDARIO'!$C$15:$C$214,MATCH(TEXT($J1174,"yyyy-mm-dd")&amp;"|"&amp;$Y1174&amp;"|"&amp;$Z1174,'CALENDARIO'!$G$15:$G$214,0)),IFERROR(INDEX('CALENDARIO'!$C$15:$C$214,MATCH(TEXT($J1174,"yyyy-mm-dd")&amp;"|"&amp;$Y1174&amp;"|",'CALENDARIO'!$G$15:$G$214,0)),IFERROR(INDEX('CALENDARIO'!$C$15:$C$214,MATCH(TEXT($J1174,"yyyy-mm-dd")&amp;"||",'CALENDARIO'!$G$15:$G$214,0)),INDEX(patronHabil,WEEKDAY($J1174,2))))))</f>
        <v/>
      </c>
      <c r="U1174" s="24">
        <f>IF($I1174="","",IFERROR(INDEX('CAT_TIPOS_OT'!$C$4:$C$23,MATCH($I1174,'CAT_TIPOS_OT'!$A$4:$A$23,0)),"sin_clasificar"))</f>
        <v/>
      </c>
      <c r="V1174" s="24">
        <f>IF($I1174="","",IF(IFERROR(INDEX('CAT_TIPOS_OT'!$D$4:$D$23,MATCH($I1174,'CAT_TIPOS_OT'!$A$4:$A$23,0)),"SIN CLASIFICAR")="","SIN CLASIFICAR",IFERROR(INDEX('CAT_TIPOS_OT'!$D$4:$D$23,MATCH($I1174,'CAT_TIPOS_OT'!$A$4:$A$23,0)),"SIN CLASIFICAR")))</f>
        <v/>
      </c>
      <c r="W1174" s="24">
        <f>IF($H1174="","",IF(IFERROR(INDEX('CAT_ACTIVIDADES'!$F$4:$F$26,MATCH($H1174,'CAT_ACTIVIDADES'!$A$4:$A$26,0)),"")=0,"",IFERROR(INDEX('CAT_ACTIVIDADES'!$F$4:$F$26,MATCH($H1174,'CAT_ACTIVIDADES'!$A$4:$A$26,0)),"")))</f>
        <v/>
      </c>
      <c r="X1174" s="24">
        <f>IF($F1174="","",IFERROR(INDEX('CAT_CENTROS_COSTO'!$F$4:$F$28,MATCH($F1174,'CAT_CENTROS_COSTO'!$A$4:$A$28,0)),"(sin catálogo)"))</f>
        <v/>
      </c>
      <c r="Y1174" s="24">
        <f>IF($F1174="","",IFERROR(INDEX('CAT_CENTROS_COSTO'!$D$4:$D$28,MATCH($F1174,'CAT_CENTROS_COSTO'!$A$4:$A$28,0)),"(sin catálogo)"))</f>
        <v/>
      </c>
      <c r="Z1174" s="24">
        <f>IF($F1174="","",IF((IFERROR(INDEX('CAT_CENTROS_COSTO'!$E$4:$E$28,MATCH($F1174,'CAT_CENTROS_COSTO'!$A$4:$A$28,0)),""))&lt;&gt;"",IFERROR(INDEX('CAT_CENTROS_COSTO'!$E$4:$E$28,MATCH($F1174,'CAT_CENTROS_COSTO'!$A$4:$A$28,0)),""),$Y1174))</f>
        <v/>
      </c>
      <c r="AA1174" s="24">
        <f>IF($F1174="","",IFERROR(INDEX('CAT_CENTROS_COSTO'!$G$4:$G$28,MATCH($F1174,'CAT_CENTROS_COSTO'!$A$4:$A$28,0)),"(sin catálogo)"))</f>
        <v/>
      </c>
      <c r="AB1174" s="24">
        <f>IF($G1174="","",IFERROR(INDEX('CAT_PUESTOS'!$B$4:$B$23,MATCH($G1174,'CAT_PUESTOS'!$A$4:$A$23,0)),"(sin catálogo)"))</f>
        <v/>
      </c>
      <c r="AC1174" s="24">
        <f>IF($H1174="","",IFERROR(INDEX('CAT_ACTIVIDADES'!$B$4:$B$26,MATCH($H1174,'CAT_ACTIVIDADES'!$A$4:$A$26,0)),"(sin catálogo)"))</f>
        <v/>
      </c>
      <c r="AD1174" s="26">
        <f>IF($J1174="","",TODAY()-$J1174)</f>
        <v/>
      </c>
      <c r="AE1174" s="26">
        <f>IF($J1174="","",IF($J1174&lt;=TODAY(),COUNTIFS(cal_fechas,"&gt;="&amp;$J1174,cal_fechas,"&lt;"&amp;TODAY(),cal_habil,"sí"),-COUNTIFS(cal_fechas,"&gt;="&amp;TODAY(),cal_fechas,"&lt;"&amp;$J1174,cal_habil,"sí")))</f>
        <v/>
      </c>
      <c r="AF1174" s="24">
        <f>IF($AE1174="","",IF($AE1174&lt;0,"FUTURO",IF($AE1174&gt;p_dias_backlog_max,"BACKLOG","MES CORRIENTE")))</f>
        <v/>
      </c>
      <c r="AG1174" s="24">
        <f>IF($AE1174="",FALSE,AND($AE1174&gt;p_dias_backlog_min,$AE1174&lt;=p_dias_backlog_max))</f>
        <v/>
      </c>
      <c r="AH1174" s="4" t="n"/>
      <c r="AI1174" s="24">
        <f>IF($AH1174="","",IF((IFERROR(INDEX('ASIGNACIONES'!$J$4:$J$451,MATCH($O1174&amp;"|"&amp;$S1174&amp;"|"&amp;$AH1174,'ASIGNACIONES'!$N$4:$N$451,0)),""))=0,"",IFERROR(INDEX('ASIGNACIONES'!$J$4:$J$451,MATCH($O1174&amp;"|"&amp;$S1174&amp;"|"&amp;$AH1174,'ASIGNACIONES'!$N$4:$N$451,0)),"")))</f>
        <v/>
      </c>
      <c r="AJ1174" s="42">
        <f>IF($AH1174="","",SUMIFS('ORDENES'!$M$4:$M$1203,'ORDENES'!$AH$4:$AH$1203,$AH1174,'ORDENES'!$O$4:$O$1203,$O1174,'ORDENES'!$S$4:$S$1203,$S1174))</f>
        <v/>
      </c>
      <c r="AK1174" s="42">
        <f>IF($AJ1174="","",p_factor_productividad*IFERROR(INDEX('ASIGNACIONES'!$M$4:$M$451,MATCH($O1174&amp;"|"&amp;$S1174&amp;"|"&amp;$AH1174,'ASIGNACIONES'!$N$4:$N$451,0)),0)-$AJ1174)</f>
        <v/>
      </c>
      <c r="AL1174" s="32">
        <f>IF($A1174="","",IFERROR(INDEX('2_IMPORTAR_EJECUCION'!$F$9:$F$1208,MATCH($AU1174,'2_IMPORTAR_EJECUCION'!$J$9:$J$1208,0)),0))</f>
        <v/>
      </c>
      <c r="AM1174" s="32">
        <f>IF($A1174="","",MAX(0,IFERROR(INDEX('2_IMPORTAR_EJECUCION'!$H$9:$H$1208,MATCH($AU1174,'2_IMPORTAR_EJECUCION'!$J$9:$J$1208,0)),0)-$AL1174))</f>
        <v/>
      </c>
      <c r="AN1174" s="32">
        <f>IF($A1174="","",$AL1174+$AM1174)</f>
        <v/>
      </c>
      <c r="AO1174" s="24">
        <f>IF($A1174="","",IF(OR((IFERROR(INDEX('CAT_ACTIVIDADES'!$D$4:$D$26,MATCH($H1174,'CAT_ACTIVIDADES'!$A$4:$A$26,0)),""))=0,(IFERROR(INDEX('CAT_ACTIVIDADES'!$D$4:$D$26,MATCH($H1174,'CAT_ACTIVIDADES'!$A$4:$A$26,0)),""))=""),"SIN CLASIFICAR",IFERROR(INDEX('CAT_ACTIVIDADES'!$D$4:$D$26,MATCH($H1174,'CAT_ACTIVIDADES'!$A$4:$A$26,0)),"")))</f>
        <v/>
      </c>
      <c r="AP1174" s="4" t="n"/>
      <c r="AQ1174" s="4" t="n"/>
      <c r="AR1174" s="4" t="n"/>
      <c r="AS1174" s="24">
        <f>IF($AR1174="","",HYPERLINK(p_ruta_base_checklists&amp;$AR1174,"abrir"))</f>
        <v/>
      </c>
      <c r="AT1174" s="4" t="n"/>
      <c r="AU1174" s="24">
        <f>IF($A1174="","",$A1174&amp;IF($B1174="","0010",$B1174))</f>
        <v/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41" t="n"/>
      <c r="K1175" s="5" t="n"/>
      <c r="L1175" s="18" t="n"/>
      <c r="M1175" s="24">
        <f>IF($A1175="","",IFERROR(INDEX('AJUSTES'!$B$4:$B$303,MATCH($AU1175,'AJUSTES'!$A$4:$A$303,0)),IF($K1175="","",$K1175)))</f>
        <v/>
      </c>
      <c r="N1175" s="24">
        <f>IF($A1175="","",IFERROR(INDEX('CAT_ESTADOS_ERP'!$B$4:$B$22,MATCH(IFERROR(INDEX('2_IMPORTAR_EJECUCION'!$C$9:$C$1208,MATCH($AU1175,'2_IMPORTAR_EJECUCION'!$J$9:$J$1208,0)),""),'CAT_ESTADOS_ERP'!$A$4:$A$22,0)),"Pendiente"))</f>
        <v/>
      </c>
      <c r="O1175" s="24">
        <f>IF($J1175="","",YEAR($J1175+4-WEEKDAY($J1175,2))&amp;"-S"&amp;TEXT(_xlfn.ISOWEEKNUM($J1175),"00"))</f>
        <v/>
      </c>
      <c r="P1175" s="24">
        <f>IF($J1175="","",YEAR($J1175))</f>
        <v/>
      </c>
      <c r="Q1175" s="24">
        <f>IF($J1175="","",MONTH($J1175))</f>
        <v/>
      </c>
      <c r="R1175" s="24">
        <f>IF($J1175="","",$P1175&amp;"-"&amp;TEXT($Q1175,"00"))</f>
        <v/>
      </c>
      <c r="S1175" s="24">
        <f>IF($J1175="","",INDEX(lista_dias,WEEKDAY($J1175,2)))</f>
        <v/>
      </c>
      <c r="T1175" s="24">
        <f>IF($J1175="","",IFERROR(INDEX('CALENDARIO'!$C$15:$C$214,MATCH(TEXT($J1175,"yyyy-mm-dd")&amp;"|"&amp;$Y1175&amp;"|"&amp;$Z1175,'CALENDARIO'!$G$15:$G$214,0)),IFERROR(INDEX('CALENDARIO'!$C$15:$C$214,MATCH(TEXT($J1175,"yyyy-mm-dd")&amp;"|"&amp;$Y1175&amp;"|",'CALENDARIO'!$G$15:$G$214,0)),IFERROR(INDEX('CALENDARIO'!$C$15:$C$214,MATCH(TEXT($J1175,"yyyy-mm-dd")&amp;"||",'CALENDARIO'!$G$15:$G$214,0)),INDEX(patronHabil,WEEKDAY($J1175,2))))))</f>
        <v/>
      </c>
      <c r="U1175" s="24">
        <f>IF($I1175="","",IFERROR(INDEX('CAT_TIPOS_OT'!$C$4:$C$23,MATCH($I1175,'CAT_TIPOS_OT'!$A$4:$A$23,0)),"sin_clasificar"))</f>
        <v/>
      </c>
      <c r="V1175" s="24">
        <f>IF($I1175="","",IF(IFERROR(INDEX('CAT_TIPOS_OT'!$D$4:$D$23,MATCH($I1175,'CAT_TIPOS_OT'!$A$4:$A$23,0)),"SIN CLASIFICAR")="","SIN CLASIFICAR",IFERROR(INDEX('CAT_TIPOS_OT'!$D$4:$D$23,MATCH($I1175,'CAT_TIPOS_OT'!$A$4:$A$23,0)),"SIN CLASIFICAR")))</f>
        <v/>
      </c>
      <c r="W1175" s="24">
        <f>IF($H1175="","",IF(IFERROR(INDEX('CAT_ACTIVIDADES'!$F$4:$F$26,MATCH($H1175,'CAT_ACTIVIDADES'!$A$4:$A$26,0)),"")=0,"",IFERROR(INDEX('CAT_ACTIVIDADES'!$F$4:$F$26,MATCH($H1175,'CAT_ACTIVIDADES'!$A$4:$A$26,0)),"")))</f>
        <v/>
      </c>
      <c r="X1175" s="24">
        <f>IF($F1175="","",IFERROR(INDEX('CAT_CENTROS_COSTO'!$F$4:$F$28,MATCH($F1175,'CAT_CENTROS_COSTO'!$A$4:$A$28,0)),"(sin catálogo)"))</f>
        <v/>
      </c>
      <c r="Y1175" s="24">
        <f>IF($F1175="","",IFERROR(INDEX('CAT_CENTROS_COSTO'!$D$4:$D$28,MATCH($F1175,'CAT_CENTROS_COSTO'!$A$4:$A$28,0)),"(sin catálogo)"))</f>
        <v/>
      </c>
      <c r="Z1175" s="24">
        <f>IF($F1175="","",IF((IFERROR(INDEX('CAT_CENTROS_COSTO'!$E$4:$E$28,MATCH($F1175,'CAT_CENTROS_COSTO'!$A$4:$A$28,0)),""))&lt;&gt;"",IFERROR(INDEX('CAT_CENTROS_COSTO'!$E$4:$E$28,MATCH($F1175,'CAT_CENTROS_COSTO'!$A$4:$A$28,0)),""),$Y1175))</f>
        <v/>
      </c>
      <c r="AA1175" s="24">
        <f>IF($F1175="","",IFERROR(INDEX('CAT_CENTROS_COSTO'!$G$4:$G$28,MATCH($F1175,'CAT_CENTROS_COSTO'!$A$4:$A$28,0)),"(sin catálogo)"))</f>
        <v/>
      </c>
      <c r="AB1175" s="24">
        <f>IF($G1175="","",IFERROR(INDEX('CAT_PUESTOS'!$B$4:$B$23,MATCH($G1175,'CAT_PUESTOS'!$A$4:$A$23,0)),"(sin catálogo)"))</f>
        <v/>
      </c>
      <c r="AC1175" s="24">
        <f>IF($H1175="","",IFERROR(INDEX('CAT_ACTIVIDADES'!$B$4:$B$26,MATCH($H1175,'CAT_ACTIVIDADES'!$A$4:$A$26,0)),"(sin catálogo)"))</f>
        <v/>
      </c>
      <c r="AD1175" s="26">
        <f>IF($J1175="","",TODAY()-$J1175)</f>
        <v/>
      </c>
      <c r="AE1175" s="26">
        <f>IF($J1175="","",IF($J1175&lt;=TODAY(),COUNTIFS(cal_fechas,"&gt;="&amp;$J1175,cal_fechas,"&lt;"&amp;TODAY(),cal_habil,"sí"),-COUNTIFS(cal_fechas,"&gt;="&amp;TODAY(),cal_fechas,"&lt;"&amp;$J1175,cal_habil,"sí")))</f>
        <v/>
      </c>
      <c r="AF1175" s="24">
        <f>IF($AE1175="","",IF($AE1175&lt;0,"FUTURO",IF($AE1175&gt;p_dias_backlog_max,"BACKLOG","MES CORRIENTE")))</f>
        <v/>
      </c>
      <c r="AG1175" s="24">
        <f>IF($AE1175="",FALSE,AND($AE1175&gt;p_dias_backlog_min,$AE1175&lt;=p_dias_backlog_max))</f>
        <v/>
      </c>
      <c r="AH1175" s="4" t="n"/>
      <c r="AI1175" s="24">
        <f>IF($AH1175="","",IF((IFERROR(INDEX('ASIGNACIONES'!$J$4:$J$451,MATCH($O1175&amp;"|"&amp;$S1175&amp;"|"&amp;$AH1175,'ASIGNACIONES'!$N$4:$N$451,0)),""))=0,"",IFERROR(INDEX('ASIGNACIONES'!$J$4:$J$451,MATCH($O1175&amp;"|"&amp;$S1175&amp;"|"&amp;$AH1175,'ASIGNACIONES'!$N$4:$N$451,0)),"")))</f>
        <v/>
      </c>
      <c r="AJ1175" s="42">
        <f>IF($AH1175="","",SUMIFS('ORDENES'!$M$4:$M$1203,'ORDENES'!$AH$4:$AH$1203,$AH1175,'ORDENES'!$O$4:$O$1203,$O1175,'ORDENES'!$S$4:$S$1203,$S1175))</f>
        <v/>
      </c>
      <c r="AK1175" s="42">
        <f>IF($AJ1175="","",p_factor_productividad*IFERROR(INDEX('ASIGNACIONES'!$M$4:$M$451,MATCH($O1175&amp;"|"&amp;$S1175&amp;"|"&amp;$AH1175,'ASIGNACIONES'!$N$4:$N$451,0)),0)-$AJ1175)</f>
        <v/>
      </c>
      <c r="AL1175" s="32">
        <f>IF($A1175="","",IFERROR(INDEX('2_IMPORTAR_EJECUCION'!$F$9:$F$1208,MATCH($AU1175,'2_IMPORTAR_EJECUCION'!$J$9:$J$1208,0)),0))</f>
        <v/>
      </c>
      <c r="AM1175" s="32">
        <f>IF($A1175="","",MAX(0,IFERROR(INDEX('2_IMPORTAR_EJECUCION'!$H$9:$H$1208,MATCH($AU1175,'2_IMPORTAR_EJECUCION'!$J$9:$J$1208,0)),0)-$AL1175))</f>
        <v/>
      </c>
      <c r="AN1175" s="32">
        <f>IF($A1175="","",$AL1175+$AM1175)</f>
        <v/>
      </c>
      <c r="AO1175" s="24">
        <f>IF($A1175="","",IF(OR((IFERROR(INDEX('CAT_ACTIVIDADES'!$D$4:$D$26,MATCH($H1175,'CAT_ACTIVIDADES'!$A$4:$A$26,0)),""))=0,(IFERROR(INDEX('CAT_ACTIVIDADES'!$D$4:$D$26,MATCH($H1175,'CAT_ACTIVIDADES'!$A$4:$A$26,0)),""))=""),"SIN CLASIFICAR",IFERROR(INDEX('CAT_ACTIVIDADES'!$D$4:$D$26,MATCH($H1175,'CAT_ACTIVIDADES'!$A$4:$A$26,0)),"")))</f>
        <v/>
      </c>
      <c r="AP1175" s="4" t="n"/>
      <c r="AQ1175" s="4" t="n"/>
      <c r="AR1175" s="4" t="n"/>
      <c r="AS1175" s="24">
        <f>IF($AR1175="","",HYPERLINK(p_ruta_base_checklists&amp;$AR1175,"abrir"))</f>
        <v/>
      </c>
      <c r="AT1175" s="4" t="n"/>
      <c r="AU1175" s="24">
        <f>IF($A1175="","",$A1175&amp;IF($B1175="","0010",$B1175))</f>
        <v/>
      </c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41" t="n"/>
      <c r="K1176" s="5" t="n"/>
      <c r="L1176" s="18" t="n"/>
      <c r="M1176" s="24">
        <f>IF($A1176="","",IFERROR(INDEX('AJUSTES'!$B$4:$B$303,MATCH($AU1176,'AJUSTES'!$A$4:$A$303,0)),IF($K1176="","",$K1176)))</f>
        <v/>
      </c>
      <c r="N1176" s="24">
        <f>IF($A1176="","",IFERROR(INDEX('CAT_ESTADOS_ERP'!$B$4:$B$22,MATCH(IFERROR(INDEX('2_IMPORTAR_EJECUCION'!$C$9:$C$1208,MATCH($AU1176,'2_IMPORTAR_EJECUCION'!$J$9:$J$1208,0)),""),'CAT_ESTADOS_ERP'!$A$4:$A$22,0)),"Pendiente"))</f>
        <v/>
      </c>
      <c r="O1176" s="24">
        <f>IF($J1176="","",YEAR($J1176+4-WEEKDAY($J1176,2))&amp;"-S"&amp;TEXT(_xlfn.ISOWEEKNUM($J1176),"00"))</f>
        <v/>
      </c>
      <c r="P1176" s="24">
        <f>IF($J1176="","",YEAR($J1176))</f>
        <v/>
      </c>
      <c r="Q1176" s="24">
        <f>IF($J1176="","",MONTH($J1176))</f>
        <v/>
      </c>
      <c r="R1176" s="24">
        <f>IF($J1176="","",$P1176&amp;"-"&amp;TEXT($Q1176,"00"))</f>
        <v/>
      </c>
      <c r="S1176" s="24">
        <f>IF($J1176="","",INDEX(lista_dias,WEEKDAY($J1176,2)))</f>
        <v/>
      </c>
      <c r="T1176" s="24">
        <f>IF($J1176="","",IFERROR(INDEX('CALENDARIO'!$C$15:$C$214,MATCH(TEXT($J1176,"yyyy-mm-dd")&amp;"|"&amp;$Y1176&amp;"|"&amp;$Z1176,'CALENDARIO'!$G$15:$G$214,0)),IFERROR(INDEX('CALENDARIO'!$C$15:$C$214,MATCH(TEXT($J1176,"yyyy-mm-dd")&amp;"|"&amp;$Y1176&amp;"|",'CALENDARIO'!$G$15:$G$214,0)),IFERROR(INDEX('CALENDARIO'!$C$15:$C$214,MATCH(TEXT($J1176,"yyyy-mm-dd")&amp;"||",'CALENDARIO'!$G$15:$G$214,0)),INDEX(patronHabil,WEEKDAY($J1176,2))))))</f>
        <v/>
      </c>
      <c r="U1176" s="24">
        <f>IF($I1176="","",IFERROR(INDEX('CAT_TIPOS_OT'!$C$4:$C$23,MATCH($I1176,'CAT_TIPOS_OT'!$A$4:$A$23,0)),"sin_clasificar"))</f>
        <v/>
      </c>
      <c r="V1176" s="24">
        <f>IF($I1176="","",IF(IFERROR(INDEX('CAT_TIPOS_OT'!$D$4:$D$23,MATCH($I1176,'CAT_TIPOS_OT'!$A$4:$A$23,0)),"SIN CLASIFICAR")="","SIN CLASIFICAR",IFERROR(INDEX('CAT_TIPOS_OT'!$D$4:$D$23,MATCH($I1176,'CAT_TIPOS_OT'!$A$4:$A$23,0)),"SIN CLASIFICAR")))</f>
        <v/>
      </c>
      <c r="W1176" s="24">
        <f>IF($H1176="","",IF(IFERROR(INDEX('CAT_ACTIVIDADES'!$F$4:$F$26,MATCH($H1176,'CAT_ACTIVIDADES'!$A$4:$A$26,0)),"")=0,"",IFERROR(INDEX('CAT_ACTIVIDADES'!$F$4:$F$26,MATCH($H1176,'CAT_ACTIVIDADES'!$A$4:$A$26,0)),"")))</f>
        <v/>
      </c>
      <c r="X1176" s="24">
        <f>IF($F1176="","",IFERROR(INDEX('CAT_CENTROS_COSTO'!$F$4:$F$28,MATCH($F1176,'CAT_CENTROS_COSTO'!$A$4:$A$28,0)),"(sin catálogo)"))</f>
        <v/>
      </c>
      <c r="Y1176" s="24">
        <f>IF($F1176="","",IFERROR(INDEX('CAT_CENTROS_COSTO'!$D$4:$D$28,MATCH($F1176,'CAT_CENTROS_COSTO'!$A$4:$A$28,0)),"(sin catálogo)"))</f>
        <v/>
      </c>
      <c r="Z1176" s="24">
        <f>IF($F1176="","",IF((IFERROR(INDEX('CAT_CENTROS_COSTO'!$E$4:$E$28,MATCH($F1176,'CAT_CENTROS_COSTO'!$A$4:$A$28,0)),""))&lt;&gt;"",IFERROR(INDEX('CAT_CENTROS_COSTO'!$E$4:$E$28,MATCH($F1176,'CAT_CENTROS_COSTO'!$A$4:$A$28,0)),""),$Y1176))</f>
        <v/>
      </c>
      <c r="AA1176" s="24">
        <f>IF($F1176="","",IFERROR(INDEX('CAT_CENTROS_COSTO'!$G$4:$G$28,MATCH($F1176,'CAT_CENTROS_COSTO'!$A$4:$A$28,0)),"(sin catálogo)"))</f>
        <v/>
      </c>
      <c r="AB1176" s="24">
        <f>IF($G1176="","",IFERROR(INDEX('CAT_PUESTOS'!$B$4:$B$23,MATCH($G1176,'CAT_PUESTOS'!$A$4:$A$23,0)),"(sin catálogo)"))</f>
        <v/>
      </c>
      <c r="AC1176" s="24">
        <f>IF($H1176="","",IFERROR(INDEX('CAT_ACTIVIDADES'!$B$4:$B$26,MATCH($H1176,'CAT_ACTIVIDADES'!$A$4:$A$26,0)),"(sin catálogo)"))</f>
        <v/>
      </c>
      <c r="AD1176" s="26">
        <f>IF($J1176="","",TODAY()-$J1176)</f>
        <v/>
      </c>
      <c r="AE1176" s="26">
        <f>IF($J1176="","",IF($J1176&lt;=TODAY(),COUNTIFS(cal_fechas,"&gt;="&amp;$J1176,cal_fechas,"&lt;"&amp;TODAY(),cal_habil,"sí"),-COUNTIFS(cal_fechas,"&gt;="&amp;TODAY(),cal_fechas,"&lt;"&amp;$J1176,cal_habil,"sí")))</f>
        <v/>
      </c>
      <c r="AF1176" s="24">
        <f>IF($AE1176="","",IF($AE1176&lt;0,"FUTURO",IF($AE1176&gt;p_dias_backlog_max,"BACKLOG","MES CORRIENTE")))</f>
        <v/>
      </c>
      <c r="AG1176" s="24">
        <f>IF($AE1176="",FALSE,AND($AE1176&gt;p_dias_backlog_min,$AE1176&lt;=p_dias_backlog_max))</f>
        <v/>
      </c>
      <c r="AH1176" s="4" t="n"/>
      <c r="AI1176" s="24">
        <f>IF($AH1176="","",IF((IFERROR(INDEX('ASIGNACIONES'!$J$4:$J$451,MATCH($O1176&amp;"|"&amp;$S1176&amp;"|"&amp;$AH1176,'ASIGNACIONES'!$N$4:$N$451,0)),""))=0,"",IFERROR(INDEX('ASIGNACIONES'!$J$4:$J$451,MATCH($O1176&amp;"|"&amp;$S1176&amp;"|"&amp;$AH1176,'ASIGNACIONES'!$N$4:$N$451,0)),"")))</f>
        <v/>
      </c>
      <c r="AJ1176" s="42">
        <f>IF($AH1176="","",SUMIFS('ORDENES'!$M$4:$M$1203,'ORDENES'!$AH$4:$AH$1203,$AH1176,'ORDENES'!$O$4:$O$1203,$O1176,'ORDENES'!$S$4:$S$1203,$S1176))</f>
        <v/>
      </c>
      <c r="AK1176" s="42">
        <f>IF($AJ1176="","",p_factor_productividad*IFERROR(INDEX('ASIGNACIONES'!$M$4:$M$451,MATCH($O1176&amp;"|"&amp;$S1176&amp;"|"&amp;$AH1176,'ASIGNACIONES'!$N$4:$N$451,0)),0)-$AJ1176)</f>
        <v/>
      </c>
      <c r="AL1176" s="32">
        <f>IF($A1176="","",IFERROR(INDEX('2_IMPORTAR_EJECUCION'!$F$9:$F$1208,MATCH($AU1176,'2_IMPORTAR_EJECUCION'!$J$9:$J$1208,0)),0))</f>
        <v/>
      </c>
      <c r="AM1176" s="32">
        <f>IF($A1176="","",MAX(0,IFERROR(INDEX('2_IMPORTAR_EJECUCION'!$H$9:$H$1208,MATCH($AU1176,'2_IMPORTAR_EJECUCION'!$J$9:$J$1208,0)),0)-$AL1176))</f>
        <v/>
      </c>
      <c r="AN1176" s="32">
        <f>IF($A1176="","",$AL1176+$AM1176)</f>
        <v/>
      </c>
      <c r="AO1176" s="24">
        <f>IF($A1176="","",IF(OR((IFERROR(INDEX('CAT_ACTIVIDADES'!$D$4:$D$26,MATCH($H1176,'CAT_ACTIVIDADES'!$A$4:$A$26,0)),""))=0,(IFERROR(INDEX('CAT_ACTIVIDADES'!$D$4:$D$26,MATCH($H1176,'CAT_ACTIVIDADES'!$A$4:$A$26,0)),""))=""),"SIN CLASIFICAR",IFERROR(INDEX('CAT_ACTIVIDADES'!$D$4:$D$26,MATCH($H1176,'CAT_ACTIVIDADES'!$A$4:$A$26,0)),"")))</f>
        <v/>
      </c>
      <c r="AP1176" s="4" t="n"/>
      <c r="AQ1176" s="4" t="n"/>
      <c r="AR1176" s="4" t="n"/>
      <c r="AS1176" s="24">
        <f>IF($AR1176="","",HYPERLINK(p_ruta_base_checklists&amp;$AR1176,"abrir"))</f>
        <v/>
      </c>
      <c r="AT1176" s="4" t="n"/>
      <c r="AU1176" s="24">
        <f>IF($A1176="","",$A1176&amp;IF($B1176="","0010",$B1176))</f>
        <v/>
      </c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41" t="n"/>
      <c r="K1177" s="5" t="n"/>
      <c r="L1177" s="18" t="n"/>
      <c r="M1177" s="24">
        <f>IF($A1177="","",IFERROR(INDEX('AJUSTES'!$B$4:$B$303,MATCH($AU1177,'AJUSTES'!$A$4:$A$303,0)),IF($K1177="","",$K1177)))</f>
        <v/>
      </c>
      <c r="N1177" s="24">
        <f>IF($A1177="","",IFERROR(INDEX('CAT_ESTADOS_ERP'!$B$4:$B$22,MATCH(IFERROR(INDEX('2_IMPORTAR_EJECUCION'!$C$9:$C$1208,MATCH($AU1177,'2_IMPORTAR_EJECUCION'!$J$9:$J$1208,0)),""),'CAT_ESTADOS_ERP'!$A$4:$A$22,0)),"Pendiente"))</f>
        <v/>
      </c>
      <c r="O1177" s="24">
        <f>IF($J1177="","",YEAR($J1177+4-WEEKDAY($J1177,2))&amp;"-S"&amp;TEXT(_xlfn.ISOWEEKNUM($J1177),"00"))</f>
        <v/>
      </c>
      <c r="P1177" s="24">
        <f>IF($J1177="","",YEAR($J1177))</f>
        <v/>
      </c>
      <c r="Q1177" s="24">
        <f>IF($J1177="","",MONTH($J1177))</f>
        <v/>
      </c>
      <c r="R1177" s="24">
        <f>IF($J1177="","",$P1177&amp;"-"&amp;TEXT($Q1177,"00"))</f>
        <v/>
      </c>
      <c r="S1177" s="24">
        <f>IF($J1177="","",INDEX(lista_dias,WEEKDAY($J1177,2)))</f>
        <v/>
      </c>
      <c r="T1177" s="24">
        <f>IF($J1177="","",IFERROR(INDEX('CALENDARIO'!$C$15:$C$214,MATCH(TEXT($J1177,"yyyy-mm-dd")&amp;"|"&amp;$Y1177&amp;"|"&amp;$Z1177,'CALENDARIO'!$G$15:$G$214,0)),IFERROR(INDEX('CALENDARIO'!$C$15:$C$214,MATCH(TEXT($J1177,"yyyy-mm-dd")&amp;"|"&amp;$Y1177&amp;"|",'CALENDARIO'!$G$15:$G$214,0)),IFERROR(INDEX('CALENDARIO'!$C$15:$C$214,MATCH(TEXT($J1177,"yyyy-mm-dd")&amp;"||",'CALENDARIO'!$G$15:$G$214,0)),INDEX(patronHabil,WEEKDAY($J1177,2))))))</f>
        <v/>
      </c>
      <c r="U1177" s="24">
        <f>IF($I1177="","",IFERROR(INDEX('CAT_TIPOS_OT'!$C$4:$C$23,MATCH($I1177,'CAT_TIPOS_OT'!$A$4:$A$23,0)),"sin_clasificar"))</f>
        <v/>
      </c>
      <c r="V1177" s="24">
        <f>IF($I1177="","",IF(IFERROR(INDEX('CAT_TIPOS_OT'!$D$4:$D$23,MATCH($I1177,'CAT_TIPOS_OT'!$A$4:$A$23,0)),"SIN CLASIFICAR")="","SIN CLASIFICAR",IFERROR(INDEX('CAT_TIPOS_OT'!$D$4:$D$23,MATCH($I1177,'CAT_TIPOS_OT'!$A$4:$A$23,0)),"SIN CLASIFICAR")))</f>
        <v/>
      </c>
      <c r="W1177" s="24">
        <f>IF($H1177="","",IF(IFERROR(INDEX('CAT_ACTIVIDADES'!$F$4:$F$26,MATCH($H1177,'CAT_ACTIVIDADES'!$A$4:$A$26,0)),"")=0,"",IFERROR(INDEX('CAT_ACTIVIDADES'!$F$4:$F$26,MATCH($H1177,'CAT_ACTIVIDADES'!$A$4:$A$26,0)),"")))</f>
        <v/>
      </c>
      <c r="X1177" s="24">
        <f>IF($F1177="","",IFERROR(INDEX('CAT_CENTROS_COSTO'!$F$4:$F$28,MATCH($F1177,'CAT_CENTROS_COSTO'!$A$4:$A$28,0)),"(sin catálogo)"))</f>
        <v/>
      </c>
      <c r="Y1177" s="24">
        <f>IF($F1177="","",IFERROR(INDEX('CAT_CENTROS_COSTO'!$D$4:$D$28,MATCH($F1177,'CAT_CENTROS_COSTO'!$A$4:$A$28,0)),"(sin catálogo)"))</f>
        <v/>
      </c>
      <c r="Z1177" s="24">
        <f>IF($F1177="","",IF((IFERROR(INDEX('CAT_CENTROS_COSTO'!$E$4:$E$28,MATCH($F1177,'CAT_CENTROS_COSTO'!$A$4:$A$28,0)),""))&lt;&gt;"",IFERROR(INDEX('CAT_CENTROS_COSTO'!$E$4:$E$28,MATCH($F1177,'CAT_CENTROS_COSTO'!$A$4:$A$28,0)),""),$Y1177))</f>
        <v/>
      </c>
      <c r="AA1177" s="24">
        <f>IF($F1177="","",IFERROR(INDEX('CAT_CENTROS_COSTO'!$G$4:$G$28,MATCH($F1177,'CAT_CENTROS_COSTO'!$A$4:$A$28,0)),"(sin catálogo)"))</f>
        <v/>
      </c>
      <c r="AB1177" s="24">
        <f>IF($G1177="","",IFERROR(INDEX('CAT_PUESTOS'!$B$4:$B$23,MATCH($G1177,'CAT_PUESTOS'!$A$4:$A$23,0)),"(sin catálogo)"))</f>
        <v/>
      </c>
      <c r="AC1177" s="24">
        <f>IF($H1177="","",IFERROR(INDEX('CAT_ACTIVIDADES'!$B$4:$B$26,MATCH($H1177,'CAT_ACTIVIDADES'!$A$4:$A$26,0)),"(sin catálogo)"))</f>
        <v/>
      </c>
      <c r="AD1177" s="26">
        <f>IF($J1177="","",TODAY()-$J1177)</f>
        <v/>
      </c>
      <c r="AE1177" s="26">
        <f>IF($J1177="","",IF($J1177&lt;=TODAY(),COUNTIFS(cal_fechas,"&gt;="&amp;$J1177,cal_fechas,"&lt;"&amp;TODAY(),cal_habil,"sí"),-COUNTIFS(cal_fechas,"&gt;="&amp;TODAY(),cal_fechas,"&lt;"&amp;$J1177,cal_habil,"sí")))</f>
        <v/>
      </c>
      <c r="AF1177" s="24">
        <f>IF($AE1177="","",IF($AE1177&lt;0,"FUTURO",IF($AE1177&gt;p_dias_backlog_max,"BACKLOG","MES CORRIENTE")))</f>
        <v/>
      </c>
      <c r="AG1177" s="24">
        <f>IF($AE1177="",FALSE,AND($AE1177&gt;p_dias_backlog_min,$AE1177&lt;=p_dias_backlog_max))</f>
        <v/>
      </c>
      <c r="AH1177" s="4" t="n"/>
      <c r="AI1177" s="24">
        <f>IF($AH1177="","",IF((IFERROR(INDEX('ASIGNACIONES'!$J$4:$J$451,MATCH($O1177&amp;"|"&amp;$S1177&amp;"|"&amp;$AH1177,'ASIGNACIONES'!$N$4:$N$451,0)),""))=0,"",IFERROR(INDEX('ASIGNACIONES'!$J$4:$J$451,MATCH($O1177&amp;"|"&amp;$S1177&amp;"|"&amp;$AH1177,'ASIGNACIONES'!$N$4:$N$451,0)),"")))</f>
        <v/>
      </c>
      <c r="AJ1177" s="42">
        <f>IF($AH1177="","",SUMIFS('ORDENES'!$M$4:$M$1203,'ORDENES'!$AH$4:$AH$1203,$AH1177,'ORDENES'!$O$4:$O$1203,$O1177,'ORDENES'!$S$4:$S$1203,$S1177))</f>
        <v/>
      </c>
      <c r="AK1177" s="42">
        <f>IF($AJ1177="","",p_factor_productividad*IFERROR(INDEX('ASIGNACIONES'!$M$4:$M$451,MATCH($O1177&amp;"|"&amp;$S1177&amp;"|"&amp;$AH1177,'ASIGNACIONES'!$N$4:$N$451,0)),0)-$AJ1177)</f>
        <v/>
      </c>
      <c r="AL1177" s="32">
        <f>IF($A1177="","",IFERROR(INDEX('2_IMPORTAR_EJECUCION'!$F$9:$F$1208,MATCH($AU1177,'2_IMPORTAR_EJECUCION'!$J$9:$J$1208,0)),0))</f>
        <v/>
      </c>
      <c r="AM1177" s="32">
        <f>IF($A1177="","",MAX(0,IFERROR(INDEX('2_IMPORTAR_EJECUCION'!$H$9:$H$1208,MATCH($AU1177,'2_IMPORTAR_EJECUCION'!$J$9:$J$1208,0)),0)-$AL1177))</f>
        <v/>
      </c>
      <c r="AN1177" s="32">
        <f>IF($A1177="","",$AL1177+$AM1177)</f>
        <v/>
      </c>
      <c r="AO1177" s="24">
        <f>IF($A1177="","",IF(OR((IFERROR(INDEX('CAT_ACTIVIDADES'!$D$4:$D$26,MATCH($H1177,'CAT_ACTIVIDADES'!$A$4:$A$26,0)),""))=0,(IFERROR(INDEX('CAT_ACTIVIDADES'!$D$4:$D$26,MATCH($H1177,'CAT_ACTIVIDADES'!$A$4:$A$26,0)),""))=""),"SIN CLASIFICAR",IFERROR(INDEX('CAT_ACTIVIDADES'!$D$4:$D$26,MATCH($H1177,'CAT_ACTIVIDADES'!$A$4:$A$26,0)),"")))</f>
        <v/>
      </c>
      <c r="AP1177" s="4" t="n"/>
      <c r="AQ1177" s="4" t="n"/>
      <c r="AR1177" s="4" t="n"/>
      <c r="AS1177" s="24">
        <f>IF($AR1177="","",HYPERLINK(p_ruta_base_checklists&amp;$AR1177,"abrir"))</f>
        <v/>
      </c>
      <c r="AT1177" s="4" t="n"/>
      <c r="AU1177" s="24">
        <f>IF($A1177="","",$A1177&amp;IF($B1177="","0010",$B1177))</f>
        <v/>
      </c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41" t="n"/>
      <c r="K1178" s="5" t="n"/>
      <c r="L1178" s="18" t="n"/>
      <c r="M1178" s="24">
        <f>IF($A1178="","",IFERROR(INDEX('AJUSTES'!$B$4:$B$303,MATCH($AU1178,'AJUSTES'!$A$4:$A$303,0)),IF($K1178="","",$K1178)))</f>
        <v/>
      </c>
      <c r="N1178" s="24">
        <f>IF($A1178="","",IFERROR(INDEX('CAT_ESTADOS_ERP'!$B$4:$B$22,MATCH(IFERROR(INDEX('2_IMPORTAR_EJECUCION'!$C$9:$C$1208,MATCH($AU1178,'2_IMPORTAR_EJECUCION'!$J$9:$J$1208,0)),""),'CAT_ESTADOS_ERP'!$A$4:$A$22,0)),"Pendiente"))</f>
        <v/>
      </c>
      <c r="O1178" s="24">
        <f>IF($J1178="","",YEAR($J1178+4-WEEKDAY($J1178,2))&amp;"-S"&amp;TEXT(_xlfn.ISOWEEKNUM($J1178),"00"))</f>
        <v/>
      </c>
      <c r="P1178" s="24">
        <f>IF($J1178="","",YEAR($J1178))</f>
        <v/>
      </c>
      <c r="Q1178" s="24">
        <f>IF($J1178="","",MONTH($J1178))</f>
        <v/>
      </c>
      <c r="R1178" s="24">
        <f>IF($J1178="","",$P1178&amp;"-"&amp;TEXT($Q1178,"00"))</f>
        <v/>
      </c>
      <c r="S1178" s="24">
        <f>IF($J1178="","",INDEX(lista_dias,WEEKDAY($J1178,2)))</f>
        <v/>
      </c>
      <c r="T1178" s="24">
        <f>IF($J1178="","",IFERROR(INDEX('CALENDARIO'!$C$15:$C$214,MATCH(TEXT($J1178,"yyyy-mm-dd")&amp;"|"&amp;$Y1178&amp;"|"&amp;$Z1178,'CALENDARIO'!$G$15:$G$214,0)),IFERROR(INDEX('CALENDARIO'!$C$15:$C$214,MATCH(TEXT($J1178,"yyyy-mm-dd")&amp;"|"&amp;$Y1178&amp;"|",'CALENDARIO'!$G$15:$G$214,0)),IFERROR(INDEX('CALENDARIO'!$C$15:$C$214,MATCH(TEXT($J1178,"yyyy-mm-dd")&amp;"||",'CALENDARIO'!$G$15:$G$214,0)),INDEX(patronHabil,WEEKDAY($J1178,2))))))</f>
        <v/>
      </c>
      <c r="U1178" s="24">
        <f>IF($I1178="","",IFERROR(INDEX('CAT_TIPOS_OT'!$C$4:$C$23,MATCH($I1178,'CAT_TIPOS_OT'!$A$4:$A$23,0)),"sin_clasificar"))</f>
        <v/>
      </c>
      <c r="V1178" s="24">
        <f>IF($I1178="","",IF(IFERROR(INDEX('CAT_TIPOS_OT'!$D$4:$D$23,MATCH($I1178,'CAT_TIPOS_OT'!$A$4:$A$23,0)),"SIN CLASIFICAR")="","SIN CLASIFICAR",IFERROR(INDEX('CAT_TIPOS_OT'!$D$4:$D$23,MATCH($I1178,'CAT_TIPOS_OT'!$A$4:$A$23,0)),"SIN CLASIFICAR")))</f>
        <v/>
      </c>
      <c r="W1178" s="24">
        <f>IF($H1178="","",IF(IFERROR(INDEX('CAT_ACTIVIDADES'!$F$4:$F$26,MATCH($H1178,'CAT_ACTIVIDADES'!$A$4:$A$26,0)),"")=0,"",IFERROR(INDEX('CAT_ACTIVIDADES'!$F$4:$F$26,MATCH($H1178,'CAT_ACTIVIDADES'!$A$4:$A$26,0)),"")))</f>
        <v/>
      </c>
      <c r="X1178" s="24">
        <f>IF($F1178="","",IFERROR(INDEX('CAT_CENTROS_COSTO'!$F$4:$F$28,MATCH($F1178,'CAT_CENTROS_COSTO'!$A$4:$A$28,0)),"(sin catálogo)"))</f>
        <v/>
      </c>
      <c r="Y1178" s="24">
        <f>IF($F1178="","",IFERROR(INDEX('CAT_CENTROS_COSTO'!$D$4:$D$28,MATCH($F1178,'CAT_CENTROS_COSTO'!$A$4:$A$28,0)),"(sin catálogo)"))</f>
        <v/>
      </c>
      <c r="Z1178" s="24">
        <f>IF($F1178="","",IF((IFERROR(INDEX('CAT_CENTROS_COSTO'!$E$4:$E$28,MATCH($F1178,'CAT_CENTROS_COSTO'!$A$4:$A$28,0)),""))&lt;&gt;"",IFERROR(INDEX('CAT_CENTROS_COSTO'!$E$4:$E$28,MATCH($F1178,'CAT_CENTROS_COSTO'!$A$4:$A$28,0)),""),$Y1178))</f>
        <v/>
      </c>
      <c r="AA1178" s="24">
        <f>IF($F1178="","",IFERROR(INDEX('CAT_CENTROS_COSTO'!$G$4:$G$28,MATCH($F1178,'CAT_CENTROS_COSTO'!$A$4:$A$28,0)),"(sin catálogo)"))</f>
        <v/>
      </c>
      <c r="AB1178" s="24">
        <f>IF($G1178="","",IFERROR(INDEX('CAT_PUESTOS'!$B$4:$B$23,MATCH($G1178,'CAT_PUESTOS'!$A$4:$A$23,0)),"(sin catálogo)"))</f>
        <v/>
      </c>
      <c r="AC1178" s="24">
        <f>IF($H1178="","",IFERROR(INDEX('CAT_ACTIVIDADES'!$B$4:$B$26,MATCH($H1178,'CAT_ACTIVIDADES'!$A$4:$A$26,0)),"(sin catálogo)"))</f>
        <v/>
      </c>
      <c r="AD1178" s="26">
        <f>IF($J1178="","",TODAY()-$J1178)</f>
        <v/>
      </c>
      <c r="AE1178" s="26">
        <f>IF($J1178="","",IF($J1178&lt;=TODAY(),COUNTIFS(cal_fechas,"&gt;="&amp;$J1178,cal_fechas,"&lt;"&amp;TODAY(),cal_habil,"sí"),-COUNTIFS(cal_fechas,"&gt;="&amp;TODAY(),cal_fechas,"&lt;"&amp;$J1178,cal_habil,"sí")))</f>
        <v/>
      </c>
      <c r="AF1178" s="24">
        <f>IF($AE1178="","",IF($AE1178&lt;0,"FUTURO",IF($AE1178&gt;p_dias_backlog_max,"BACKLOG","MES CORRIENTE")))</f>
        <v/>
      </c>
      <c r="AG1178" s="24">
        <f>IF($AE1178="",FALSE,AND($AE1178&gt;p_dias_backlog_min,$AE1178&lt;=p_dias_backlog_max))</f>
        <v/>
      </c>
      <c r="AH1178" s="4" t="n"/>
      <c r="AI1178" s="24">
        <f>IF($AH1178="","",IF((IFERROR(INDEX('ASIGNACIONES'!$J$4:$J$451,MATCH($O1178&amp;"|"&amp;$S1178&amp;"|"&amp;$AH1178,'ASIGNACIONES'!$N$4:$N$451,0)),""))=0,"",IFERROR(INDEX('ASIGNACIONES'!$J$4:$J$451,MATCH($O1178&amp;"|"&amp;$S1178&amp;"|"&amp;$AH1178,'ASIGNACIONES'!$N$4:$N$451,0)),"")))</f>
        <v/>
      </c>
      <c r="AJ1178" s="42">
        <f>IF($AH1178="","",SUMIFS('ORDENES'!$M$4:$M$1203,'ORDENES'!$AH$4:$AH$1203,$AH1178,'ORDENES'!$O$4:$O$1203,$O1178,'ORDENES'!$S$4:$S$1203,$S1178))</f>
        <v/>
      </c>
      <c r="AK1178" s="42">
        <f>IF($AJ1178="","",p_factor_productividad*IFERROR(INDEX('ASIGNACIONES'!$M$4:$M$451,MATCH($O1178&amp;"|"&amp;$S1178&amp;"|"&amp;$AH1178,'ASIGNACIONES'!$N$4:$N$451,0)),0)-$AJ1178)</f>
        <v/>
      </c>
      <c r="AL1178" s="32">
        <f>IF($A1178="","",IFERROR(INDEX('2_IMPORTAR_EJECUCION'!$F$9:$F$1208,MATCH($AU1178,'2_IMPORTAR_EJECUCION'!$J$9:$J$1208,0)),0))</f>
        <v/>
      </c>
      <c r="AM1178" s="32">
        <f>IF($A1178="","",MAX(0,IFERROR(INDEX('2_IMPORTAR_EJECUCION'!$H$9:$H$1208,MATCH($AU1178,'2_IMPORTAR_EJECUCION'!$J$9:$J$1208,0)),0)-$AL1178))</f>
        <v/>
      </c>
      <c r="AN1178" s="32">
        <f>IF($A1178="","",$AL1178+$AM1178)</f>
        <v/>
      </c>
      <c r="AO1178" s="24">
        <f>IF($A1178="","",IF(OR((IFERROR(INDEX('CAT_ACTIVIDADES'!$D$4:$D$26,MATCH($H1178,'CAT_ACTIVIDADES'!$A$4:$A$26,0)),""))=0,(IFERROR(INDEX('CAT_ACTIVIDADES'!$D$4:$D$26,MATCH($H1178,'CAT_ACTIVIDADES'!$A$4:$A$26,0)),""))=""),"SIN CLASIFICAR",IFERROR(INDEX('CAT_ACTIVIDADES'!$D$4:$D$26,MATCH($H1178,'CAT_ACTIVIDADES'!$A$4:$A$26,0)),"")))</f>
        <v/>
      </c>
      <c r="AP1178" s="4" t="n"/>
      <c r="AQ1178" s="4" t="n"/>
      <c r="AR1178" s="4" t="n"/>
      <c r="AS1178" s="24">
        <f>IF($AR1178="","",HYPERLINK(p_ruta_base_checklists&amp;$AR1178,"abrir"))</f>
        <v/>
      </c>
      <c r="AT1178" s="4" t="n"/>
      <c r="AU1178" s="24">
        <f>IF($A1178="","",$A1178&amp;IF($B1178="","0010",$B1178))</f>
        <v/>
      </c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41" t="n"/>
      <c r="K1179" s="5" t="n"/>
      <c r="L1179" s="18" t="n"/>
      <c r="M1179" s="24">
        <f>IF($A1179="","",IFERROR(INDEX('AJUSTES'!$B$4:$B$303,MATCH($AU1179,'AJUSTES'!$A$4:$A$303,0)),IF($K1179="","",$K1179)))</f>
        <v/>
      </c>
      <c r="N1179" s="24">
        <f>IF($A1179="","",IFERROR(INDEX('CAT_ESTADOS_ERP'!$B$4:$B$22,MATCH(IFERROR(INDEX('2_IMPORTAR_EJECUCION'!$C$9:$C$1208,MATCH($AU1179,'2_IMPORTAR_EJECUCION'!$J$9:$J$1208,0)),""),'CAT_ESTADOS_ERP'!$A$4:$A$22,0)),"Pendiente"))</f>
        <v/>
      </c>
      <c r="O1179" s="24">
        <f>IF($J1179="","",YEAR($J1179+4-WEEKDAY($J1179,2))&amp;"-S"&amp;TEXT(_xlfn.ISOWEEKNUM($J1179),"00"))</f>
        <v/>
      </c>
      <c r="P1179" s="24">
        <f>IF($J1179="","",YEAR($J1179))</f>
        <v/>
      </c>
      <c r="Q1179" s="24">
        <f>IF($J1179="","",MONTH($J1179))</f>
        <v/>
      </c>
      <c r="R1179" s="24">
        <f>IF($J1179="","",$P1179&amp;"-"&amp;TEXT($Q1179,"00"))</f>
        <v/>
      </c>
      <c r="S1179" s="24">
        <f>IF($J1179="","",INDEX(lista_dias,WEEKDAY($J1179,2)))</f>
        <v/>
      </c>
      <c r="T1179" s="24">
        <f>IF($J1179="","",IFERROR(INDEX('CALENDARIO'!$C$15:$C$214,MATCH(TEXT($J1179,"yyyy-mm-dd")&amp;"|"&amp;$Y1179&amp;"|"&amp;$Z1179,'CALENDARIO'!$G$15:$G$214,0)),IFERROR(INDEX('CALENDARIO'!$C$15:$C$214,MATCH(TEXT($J1179,"yyyy-mm-dd")&amp;"|"&amp;$Y1179&amp;"|",'CALENDARIO'!$G$15:$G$214,0)),IFERROR(INDEX('CALENDARIO'!$C$15:$C$214,MATCH(TEXT($J1179,"yyyy-mm-dd")&amp;"||",'CALENDARIO'!$G$15:$G$214,0)),INDEX(patronHabil,WEEKDAY($J1179,2))))))</f>
        <v/>
      </c>
      <c r="U1179" s="24">
        <f>IF($I1179="","",IFERROR(INDEX('CAT_TIPOS_OT'!$C$4:$C$23,MATCH($I1179,'CAT_TIPOS_OT'!$A$4:$A$23,0)),"sin_clasificar"))</f>
        <v/>
      </c>
      <c r="V1179" s="24">
        <f>IF($I1179="","",IF(IFERROR(INDEX('CAT_TIPOS_OT'!$D$4:$D$23,MATCH($I1179,'CAT_TIPOS_OT'!$A$4:$A$23,0)),"SIN CLASIFICAR")="","SIN CLASIFICAR",IFERROR(INDEX('CAT_TIPOS_OT'!$D$4:$D$23,MATCH($I1179,'CAT_TIPOS_OT'!$A$4:$A$23,0)),"SIN CLASIFICAR")))</f>
        <v/>
      </c>
      <c r="W1179" s="24">
        <f>IF($H1179="","",IF(IFERROR(INDEX('CAT_ACTIVIDADES'!$F$4:$F$26,MATCH($H1179,'CAT_ACTIVIDADES'!$A$4:$A$26,0)),"")=0,"",IFERROR(INDEX('CAT_ACTIVIDADES'!$F$4:$F$26,MATCH($H1179,'CAT_ACTIVIDADES'!$A$4:$A$26,0)),"")))</f>
        <v/>
      </c>
      <c r="X1179" s="24">
        <f>IF($F1179="","",IFERROR(INDEX('CAT_CENTROS_COSTO'!$F$4:$F$28,MATCH($F1179,'CAT_CENTROS_COSTO'!$A$4:$A$28,0)),"(sin catálogo)"))</f>
        <v/>
      </c>
      <c r="Y1179" s="24">
        <f>IF($F1179="","",IFERROR(INDEX('CAT_CENTROS_COSTO'!$D$4:$D$28,MATCH($F1179,'CAT_CENTROS_COSTO'!$A$4:$A$28,0)),"(sin catálogo)"))</f>
        <v/>
      </c>
      <c r="Z1179" s="24">
        <f>IF($F1179="","",IF((IFERROR(INDEX('CAT_CENTROS_COSTO'!$E$4:$E$28,MATCH($F1179,'CAT_CENTROS_COSTO'!$A$4:$A$28,0)),""))&lt;&gt;"",IFERROR(INDEX('CAT_CENTROS_COSTO'!$E$4:$E$28,MATCH($F1179,'CAT_CENTROS_COSTO'!$A$4:$A$28,0)),""),$Y1179))</f>
        <v/>
      </c>
      <c r="AA1179" s="24">
        <f>IF($F1179="","",IFERROR(INDEX('CAT_CENTROS_COSTO'!$G$4:$G$28,MATCH($F1179,'CAT_CENTROS_COSTO'!$A$4:$A$28,0)),"(sin catálogo)"))</f>
        <v/>
      </c>
      <c r="AB1179" s="24">
        <f>IF($G1179="","",IFERROR(INDEX('CAT_PUESTOS'!$B$4:$B$23,MATCH($G1179,'CAT_PUESTOS'!$A$4:$A$23,0)),"(sin catálogo)"))</f>
        <v/>
      </c>
      <c r="AC1179" s="24">
        <f>IF($H1179="","",IFERROR(INDEX('CAT_ACTIVIDADES'!$B$4:$B$26,MATCH($H1179,'CAT_ACTIVIDADES'!$A$4:$A$26,0)),"(sin catálogo)"))</f>
        <v/>
      </c>
      <c r="AD1179" s="26">
        <f>IF($J1179="","",TODAY()-$J1179)</f>
        <v/>
      </c>
      <c r="AE1179" s="26">
        <f>IF($J1179="","",IF($J1179&lt;=TODAY(),COUNTIFS(cal_fechas,"&gt;="&amp;$J1179,cal_fechas,"&lt;"&amp;TODAY(),cal_habil,"sí"),-COUNTIFS(cal_fechas,"&gt;="&amp;TODAY(),cal_fechas,"&lt;"&amp;$J1179,cal_habil,"sí")))</f>
        <v/>
      </c>
      <c r="AF1179" s="24">
        <f>IF($AE1179="","",IF($AE1179&lt;0,"FUTURO",IF($AE1179&gt;p_dias_backlog_max,"BACKLOG","MES CORRIENTE")))</f>
        <v/>
      </c>
      <c r="AG1179" s="24">
        <f>IF($AE1179="",FALSE,AND($AE1179&gt;p_dias_backlog_min,$AE1179&lt;=p_dias_backlog_max))</f>
        <v/>
      </c>
      <c r="AH1179" s="4" t="n"/>
      <c r="AI1179" s="24">
        <f>IF($AH1179="","",IF((IFERROR(INDEX('ASIGNACIONES'!$J$4:$J$451,MATCH($O1179&amp;"|"&amp;$S1179&amp;"|"&amp;$AH1179,'ASIGNACIONES'!$N$4:$N$451,0)),""))=0,"",IFERROR(INDEX('ASIGNACIONES'!$J$4:$J$451,MATCH($O1179&amp;"|"&amp;$S1179&amp;"|"&amp;$AH1179,'ASIGNACIONES'!$N$4:$N$451,0)),"")))</f>
        <v/>
      </c>
      <c r="AJ1179" s="42">
        <f>IF($AH1179="","",SUMIFS('ORDENES'!$M$4:$M$1203,'ORDENES'!$AH$4:$AH$1203,$AH1179,'ORDENES'!$O$4:$O$1203,$O1179,'ORDENES'!$S$4:$S$1203,$S1179))</f>
        <v/>
      </c>
      <c r="AK1179" s="42">
        <f>IF($AJ1179="","",p_factor_productividad*IFERROR(INDEX('ASIGNACIONES'!$M$4:$M$451,MATCH($O1179&amp;"|"&amp;$S1179&amp;"|"&amp;$AH1179,'ASIGNACIONES'!$N$4:$N$451,0)),0)-$AJ1179)</f>
        <v/>
      </c>
      <c r="AL1179" s="32">
        <f>IF($A1179="","",IFERROR(INDEX('2_IMPORTAR_EJECUCION'!$F$9:$F$1208,MATCH($AU1179,'2_IMPORTAR_EJECUCION'!$J$9:$J$1208,0)),0))</f>
        <v/>
      </c>
      <c r="AM1179" s="32">
        <f>IF($A1179="","",MAX(0,IFERROR(INDEX('2_IMPORTAR_EJECUCION'!$H$9:$H$1208,MATCH($AU1179,'2_IMPORTAR_EJECUCION'!$J$9:$J$1208,0)),0)-$AL1179))</f>
        <v/>
      </c>
      <c r="AN1179" s="32">
        <f>IF($A1179="","",$AL1179+$AM1179)</f>
        <v/>
      </c>
      <c r="AO1179" s="24">
        <f>IF($A1179="","",IF(OR((IFERROR(INDEX('CAT_ACTIVIDADES'!$D$4:$D$26,MATCH($H1179,'CAT_ACTIVIDADES'!$A$4:$A$26,0)),""))=0,(IFERROR(INDEX('CAT_ACTIVIDADES'!$D$4:$D$26,MATCH($H1179,'CAT_ACTIVIDADES'!$A$4:$A$26,0)),""))=""),"SIN CLASIFICAR",IFERROR(INDEX('CAT_ACTIVIDADES'!$D$4:$D$26,MATCH($H1179,'CAT_ACTIVIDADES'!$A$4:$A$26,0)),"")))</f>
        <v/>
      </c>
      <c r="AP1179" s="4" t="n"/>
      <c r="AQ1179" s="4" t="n"/>
      <c r="AR1179" s="4" t="n"/>
      <c r="AS1179" s="24">
        <f>IF($AR1179="","",HYPERLINK(p_ruta_base_checklists&amp;$AR1179,"abrir"))</f>
        <v/>
      </c>
      <c r="AT1179" s="4" t="n"/>
      <c r="AU1179" s="24">
        <f>IF($A1179="","",$A1179&amp;IF($B1179="","0010",$B1179))</f>
        <v/>
      </c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41" t="n"/>
      <c r="K1180" s="5" t="n"/>
      <c r="L1180" s="18" t="n"/>
      <c r="M1180" s="24">
        <f>IF($A1180="","",IFERROR(INDEX('AJUSTES'!$B$4:$B$303,MATCH($AU1180,'AJUSTES'!$A$4:$A$303,0)),IF($K1180="","",$K1180)))</f>
        <v/>
      </c>
      <c r="N1180" s="24">
        <f>IF($A1180="","",IFERROR(INDEX('CAT_ESTADOS_ERP'!$B$4:$B$22,MATCH(IFERROR(INDEX('2_IMPORTAR_EJECUCION'!$C$9:$C$1208,MATCH($AU1180,'2_IMPORTAR_EJECUCION'!$J$9:$J$1208,0)),""),'CAT_ESTADOS_ERP'!$A$4:$A$22,0)),"Pendiente"))</f>
        <v/>
      </c>
      <c r="O1180" s="24">
        <f>IF($J1180="","",YEAR($J1180+4-WEEKDAY($J1180,2))&amp;"-S"&amp;TEXT(_xlfn.ISOWEEKNUM($J1180),"00"))</f>
        <v/>
      </c>
      <c r="P1180" s="24">
        <f>IF($J1180="","",YEAR($J1180))</f>
        <v/>
      </c>
      <c r="Q1180" s="24">
        <f>IF($J1180="","",MONTH($J1180))</f>
        <v/>
      </c>
      <c r="R1180" s="24">
        <f>IF($J1180="","",$P1180&amp;"-"&amp;TEXT($Q1180,"00"))</f>
        <v/>
      </c>
      <c r="S1180" s="24">
        <f>IF($J1180="","",INDEX(lista_dias,WEEKDAY($J1180,2)))</f>
        <v/>
      </c>
      <c r="T1180" s="24">
        <f>IF($J1180="","",IFERROR(INDEX('CALENDARIO'!$C$15:$C$214,MATCH(TEXT($J1180,"yyyy-mm-dd")&amp;"|"&amp;$Y1180&amp;"|"&amp;$Z1180,'CALENDARIO'!$G$15:$G$214,0)),IFERROR(INDEX('CALENDARIO'!$C$15:$C$214,MATCH(TEXT($J1180,"yyyy-mm-dd")&amp;"|"&amp;$Y1180&amp;"|",'CALENDARIO'!$G$15:$G$214,0)),IFERROR(INDEX('CALENDARIO'!$C$15:$C$214,MATCH(TEXT($J1180,"yyyy-mm-dd")&amp;"||",'CALENDARIO'!$G$15:$G$214,0)),INDEX(patronHabil,WEEKDAY($J1180,2))))))</f>
        <v/>
      </c>
      <c r="U1180" s="24">
        <f>IF($I1180="","",IFERROR(INDEX('CAT_TIPOS_OT'!$C$4:$C$23,MATCH($I1180,'CAT_TIPOS_OT'!$A$4:$A$23,0)),"sin_clasificar"))</f>
        <v/>
      </c>
      <c r="V1180" s="24">
        <f>IF($I1180="","",IF(IFERROR(INDEX('CAT_TIPOS_OT'!$D$4:$D$23,MATCH($I1180,'CAT_TIPOS_OT'!$A$4:$A$23,0)),"SIN CLASIFICAR")="","SIN CLASIFICAR",IFERROR(INDEX('CAT_TIPOS_OT'!$D$4:$D$23,MATCH($I1180,'CAT_TIPOS_OT'!$A$4:$A$23,0)),"SIN CLASIFICAR")))</f>
        <v/>
      </c>
      <c r="W1180" s="24">
        <f>IF($H1180="","",IF(IFERROR(INDEX('CAT_ACTIVIDADES'!$F$4:$F$26,MATCH($H1180,'CAT_ACTIVIDADES'!$A$4:$A$26,0)),"")=0,"",IFERROR(INDEX('CAT_ACTIVIDADES'!$F$4:$F$26,MATCH($H1180,'CAT_ACTIVIDADES'!$A$4:$A$26,0)),"")))</f>
        <v/>
      </c>
      <c r="X1180" s="24">
        <f>IF($F1180="","",IFERROR(INDEX('CAT_CENTROS_COSTO'!$F$4:$F$28,MATCH($F1180,'CAT_CENTROS_COSTO'!$A$4:$A$28,0)),"(sin catálogo)"))</f>
        <v/>
      </c>
      <c r="Y1180" s="24">
        <f>IF($F1180="","",IFERROR(INDEX('CAT_CENTROS_COSTO'!$D$4:$D$28,MATCH($F1180,'CAT_CENTROS_COSTO'!$A$4:$A$28,0)),"(sin catálogo)"))</f>
        <v/>
      </c>
      <c r="Z1180" s="24">
        <f>IF($F1180="","",IF((IFERROR(INDEX('CAT_CENTROS_COSTO'!$E$4:$E$28,MATCH($F1180,'CAT_CENTROS_COSTO'!$A$4:$A$28,0)),""))&lt;&gt;"",IFERROR(INDEX('CAT_CENTROS_COSTO'!$E$4:$E$28,MATCH($F1180,'CAT_CENTROS_COSTO'!$A$4:$A$28,0)),""),$Y1180))</f>
        <v/>
      </c>
      <c r="AA1180" s="24">
        <f>IF($F1180="","",IFERROR(INDEX('CAT_CENTROS_COSTO'!$G$4:$G$28,MATCH($F1180,'CAT_CENTROS_COSTO'!$A$4:$A$28,0)),"(sin catálogo)"))</f>
        <v/>
      </c>
      <c r="AB1180" s="24">
        <f>IF($G1180="","",IFERROR(INDEX('CAT_PUESTOS'!$B$4:$B$23,MATCH($G1180,'CAT_PUESTOS'!$A$4:$A$23,0)),"(sin catálogo)"))</f>
        <v/>
      </c>
      <c r="AC1180" s="24">
        <f>IF($H1180="","",IFERROR(INDEX('CAT_ACTIVIDADES'!$B$4:$B$26,MATCH($H1180,'CAT_ACTIVIDADES'!$A$4:$A$26,0)),"(sin catálogo)"))</f>
        <v/>
      </c>
      <c r="AD1180" s="26">
        <f>IF($J1180="","",TODAY()-$J1180)</f>
        <v/>
      </c>
      <c r="AE1180" s="26">
        <f>IF($J1180="","",IF($J1180&lt;=TODAY(),COUNTIFS(cal_fechas,"&gt;="&amp;$J1180,cal_fechas,"&lt;"&amp;TODAY(),cal_habil,"sí"),-COUNTIFS(cal_fechas,"&gt;="&amp;TODAY(),cal_fechas,"&lt;"&amp;$J1180,cal_habil,"sí")))</f>
        <v/>
      </c>
      <c r="AF1180" s="24">
        <f>IF($AE1180="","",IF($AE1180&lt;0,"FUTURO",IF($AE1180&gt;p_dias_backlog_max,"BACKLOG","MES CORRIENTE")))</f>
        <v/>
      </c>
      <c r="AG1180" s="24">
        <f>IF($AE1180="",FALSE,AND($AE1180&gt;p_dias_backlog_min,$AE1180&lt;=p_dias_backlog_max))</f>
        <v/>
      </c>
      <c r="AH1180" s="4" t="n"/>
      <c r="AI1180" s="24">
        <f>IF($AH1180="","",IF((IFERROR(INDEX('ASIGNACIONES'!$J$4:$J$451,MATCH($O1180&amp;"|"&amp;$S1180&amp;"|"&amp;$AH1180,'ASIGNACIONES'!$N$4:$N$451,0)),""))=0,"",IFERROR(INDEX('ASIGNACIONES'!$J$4:$J$451,MATCH($O1180&amp;"|"&amp;$S1180&amp;"|"&amp;$AH1180,'ASIGNACIONES'!$N$4:$N$451,0)),"")))</f>
        <v/>
      </c>
      <c r="AJ1180" s="42">
        <f>IF($AH1180="","",SUMIFS('ORDENES'!$M$4:$M$1203,'ORDENES'!$AH$4:$AH$1203,$AH1180,'ORDENES'!$O$4:$O$1203,$O1180,'ORDENES'!$S$4:$S$1203,$S1180))</f>
        <v/>
      </c>
      <c r="AK1180" s="42">
        <f>IF($AJ1180="","",p_factor_productividad*IFERROR(INDEX('ASIGNACIONES'!$M$4:$M$451,MATCH($O1180&amp;"|"&amp;$S1180&amp;"|"&amp;$AH1180,'ASIGNACIONES'!$N$4:$N$451,0)),0)-$AJ1180)</f>
        <v/>
      </c>
      <c r="AL1180" s="32">
        <f>IF($A1180="","",IFERROR(INDEX('2_IMPORTAR_EJECUCION'!$F$9:$F$1208,MATCH($AU1180,'2_IMPORTAR_EJECUCION'!$J$9:$J$1208,0)),0))</f>
        <v/>
      </c>
      <c r="AM1180" s="32">
        <f>IF($A1180="","",MAX(0,IFERROR(INDEX('2_IMPORTAR_EJECUCION'!$H$9:$H$1208,MATCH($AU1180,'2_IMPORTAR_EJECUCION'!$J$9:$J$1208,0)),0)-$AL1180))</f>
        <v/>
      </c>
      <c r="AN1180" s="32">
        <f>IF($A1180="","",$AL1180+$AM1180)</f>
        <v/>
      </c>
      <c r="AO1180" s="24">
        <f>IF($A1180="","",IF(OR((IFERROR(INDEX('CAT_ACTIVIDADES'!$D$4:$D$26,MATCH($H1180,'CAT_ACTIVIDADES'!$A$4:$A$26,0)),""))=0,(IFERROR(INDEX('CAT_ACTIVIDADES'!$D$4:$D$26,MATCH($H1180,'CAT_ACTIVIDADES'!$A$4:$A$26,0)),""))=""),"SIN CLASIFICAR",IFERROR(INDEX('CAT_ACTIVIDADES'!$D$4:$D$26,MATCH($H1180,'CAT_ACTIVIDADES'!$A$4:$A$26,0)),"")))</f>
        <v/>
      </c>
      <c r="AP1180" s="4" t="n"/>
      <c r="AQ1180" s="4" t="n"/>
      <c r="AR1180" s="4" t="n"/>
      <c r="AS1180" s="24">
        <f>IF($AR1180="","",HYPERLINK(p_ruta_base_checklists&amp;$AR1180,"abrir"))</f>
        <v/>
      </c>
      <c r="AT1180" s="4" t="n"/>
      <c r="AU1180" s="24">
        <f>IF($A1180="","",$A1180&amp;IF($B1180="","0010",$B1180))</f>
        <v/>
      </c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41" t="n"/>
      <c r="K1181" s="5" t="n"/>
      <c r="L1181" s="18" t="n"/>
      <c r="M1181" s="24">
        <f>IF($A1181="","",IFERROR(INDEX('AJUSTES'!$B$4:$B$303,MATCH($AU1181,'AJUSTES'!$A$4:$A$303,0)),IF($K1181="","",$K1181)))</f>
        <v/>
      </c>
      <c r="N1181" s="24">
        <f>IF($A1181="","",IFERROR(INDEX('CAT_ESTADOS_ERP'!$B$4:$B$22,MATCH(IFERROR(INDEX('2_IMPORTAR_EJECUCION'!$C$9:$C$1208,MATCH($AU1181,'2_IMPORTAR_EJECUCION'!$J$9:$J$1208,0)),""),'CAT_ESTADOS_ERP'!$A$4:$A$22,0)),"Pendiente"))</f>
        <v/>
      </c>
      <c r="O1181" s="24">
        <f>IF($J1181="","",YEAR($J1181+4-WEEKDAY($J1181,2))&amp;"-S"&amp;TEXT(_xlfn.ISOWEEKNUM($J1181),"00"))</f>
        <v/>
      </c>
      <c r="P1181" s="24">
        <f>IF($J1181="","",YEAR($J1181))</f>
        <v/>
      </c>
      <c r="Q1181" s="24">
        <f>IF($J1181="","",MONTH($J1181))</f>
        <v/>
      </c>
      <c r="R1181" s="24">
        <f>IF($J1181="","",$P1181&amp;"-"&amp;TEXT($Q1181,"00"))</f>
        <v/>
      </c>
      <c r="S1181" s="24">
        <f>IF($J1181="","",INDEX(lista_dias,WEEKDAY($J1181,2)))</f>
        <v/>
      </c>
      <c r="T1181" s="24">
        <f>IF($J1181="","",IFERROR(INDEX('CALENDARIO'!$C$15:$C$214,MATCH(TEXT($J1181,"yyyy-mm-dd")&amp;"|"&amp;$Y1181&amp;"|"&amp;$Z1181,'CALENDARIO'!$G$15:$G$214,0)),IFERROR(INDEX('CALENDARIO'!$C$15:$C$214,MATCH(TEXT($J1181,"yyyy-mm-dd")&amp;"|"&amp;$Y1181&amp;"|",'CALENDARIO'!$G$15:$G$214,0)),IFERROR(INDEX('CALENDARIO'!$C$15:$C$214,MATCH(TEXT($J1181,"yyyy-mm-dd")&amp;"||",'CALENDARIO'!$G$15:$G$214,0)),INDEX(patronHabil,WEEKDAY($J1181,2))))))</f>
        <v/>
      </c>
      <c r="U1181" s="24">
        <f>IF($I1181="","",IFERROR(INDEX('CAT_TIPOS_OT'!$C$4:$C$23,MATCH($I1181,'CAT_TIPOS_OT'!$A$4:$A$23,0)),"sin_clasificar"))</f>
        <v/>
      </c>
      <c r="V1181" s="24">
        <f>IF($I1181="","",IF(IFERROR(INDEX('CAT_TIPOS_OT'!$D$4:$D$23,MATCH($I1181,'CAT_TIPOS_OT'!$A$4:$A$23,0)),"SIN CLASIFICAR")="","SIN CLASIFICAR",IFERROR(INDEX('CAT_TIPOS_OT'!$D$4:$D$23,MATCH($I1181,'CAT_TIPOS_OT'!$A$4:$A$23,0)),"SIN CLASIFICAR")))</f>
        <v/>
      </c>
      <c r="W1181" s="24">
        <f>IF($H1181="","",IF(IFERROR(INDEX('CAT_ACTIVIDADES'!$F$4:$F$26,MATCH($H1181,'CAT_ACTIVIDADES'!$A$4:$A$26,0)),"")=0,"",IFERROR(INDEX('CAT_ACTIVIDADES'!$F$4:$F$26,MATCH($H1181,'CAT_ACTIVIDADES'!$A$4:$A$26,0)),"")))</f>
        <v/>
      </c>
      <c r="X1181" s="24">
        <f>IF($F1181="","",IFERROR(INDEX('CAT_CENTROS_COSTO'!$F$4:$F$28,MATCH($F1181,'CAT_CENTROS_COSTO'!$A$4:$A$28,0)),"(sin catálogo)"))</f>
        <v/>
      </c>
      <c r="Y1181" s="24">
        <f>IF($F1181="","",IFERROR(INDEX('CAT_CENTROS_COSTO'!$D$4:$D$28,MATCH($F1181,'CAT_CENTROS_COSTO'!$A$4:$A$28,0)),"(sin catálogo)"))</f>
        <v/>
      </c>
      <c r="Z1181" s="24">
        <f>IF($F1181="","",IF((IFERROR(INDEX('CAT_CENTROS_COSTO'!$E$4:$E$28,MATCH($F1181,'CAT_CENTROS_COSTO'!$A$4:$A$28,0)),""))&lt;&gt;"",IFERROR(INDEX('CAT_CENTROS_COSTO'!$E$4:$E$28,MATCH($F1181,'CAT_CENTROS_COSTO'!$A$4:$A$28,0)),""),$Y1181))</f>
        <v/>
      </c>
      <c r="AA1181" s="24">
        <f>IF($F1181="","",IFERROR(INDEX('CAT_CENTROS_COSTO'!$G$4:$G$28,MATCH($F1181,'CAT_CENTROS_COSTO'!$A$4:$A$28,0)),"(sin catálogo)"))</f>
        <v/>
      </c>
      <c r="AB1181" s="24">
        <f>IF($G1181="","",IFERROR(INDEX('CAT_PUESTOS'!$B$4:$B$23,MATCH($G1181,'CAT_PUESTOS'!$A$4:$A$23,0)),"(sin catálogo)"))</f>
        <v/>
      </c>
      <c r="AC1181" s="24">
        <f>IF($H1181="","",IFERROR(INDEX('CAT_ACTIVIDADES'!$B$4:$B$26,MATCH($H1181,'CAT_ACTIVIDADES'!$A$4:$A$26,0)),"(sin catálogo)"))</f>
        <v/>
      </c>
      <c r="AD1181" s="26">
        <f>IF($J1181="","",TODAY()-$J1181)</f>
        <v/>
      </c>
      <c r="AE1181" s="26">
        <f>IF($J1181="","",IF($J1181&lt;=TODAY(),COUNTIFS(cal_fechas,"&gt;="&amp;$J1181,cal_fechas,"&lt;"&amp;TODAY(),cal_habil,"sí"),-COUNTIFS(cal_fechas,"&gt;="&amp;TODAY(),cal_fechas,"&lt;"&amp;$J1181,cal_habil,"sí")))</f>
        <v/>
      </c>
      <c r="AF1181" s="24">
        <f>IF($AE1181="","",IF($AE1181&lt;0,"FUTURO",IF($AE1181&gt;p_dias_backlog_max,"BACKLOG","MES CORRIENTE")))</f>
        <v/>
      </c>
      <c r="AG1181" s="24">
        <f>IF($AE1181="",FALSE,AND($AE1181&gt;p_dias_backlog_min,$AE1181&lt;=p_dias_backlog_max))</f>
        <v/>
      </c>
      <c r="AH1181" s="4" t="n"/>
      <c r="AI1181" s="24">
        <f>IF($AH1181="","",IF((IFERROR(INDEX('ASIGNACIONES'!$J$4:$J$451,MATCH($O1181&amp;"|"&amp;$S1181&amp;"|"&amp;$AH1181,'ASIGNACIONES'!$N$4:$N$451,0)),""))=0,"",IFERROR(INDEX('ASIGNACIONES'!$J$4:$J$451,MATCH($O1181&amp;"|"&amp;$S1181&amp;"|"&amp;$AH1181,'ASIGNACIONES'!$N$4:$N$451,0)),"")))</f>
        <v/>
      </c>
      <c r="AJ1181" s="42">
        <f>IF($AH1181="","",SUMIFS('ORDENES'!$M$4:$M$1203,'ORDENES'!$AH$4:$AH$1203,$AH1181,'ORDENES'!$O$4:$O$1203,$O1181,'ORDENES'!$S$4:$S$1203,$S1181))</f>
        <v/>
      </c>
      <c r="AK1181" s="42">
        <f>IF($AJ1181="","",p_factor_productividad*IFERROR(INDEX('ASIGNACIONES'!$M$4:$M$451,MATCH($O1181&amp;"|"&amp;$S1181&amp;"|"&amp;$AH1181,'ASIGNACIONES'!$N$4:$N$451,0)),0)-$AJ1181)</f>
        <v/>
      </c>
      <c r="AL1181" s="32">
        <f>IF($A1181="","",IFERROR(INDEX('2_IMPORTAR_EJECUCION'!$F$9:$F$1208,MATCH($AU1181,'2_IMPORTAR_EJECUCION'!$J$9:$J$1208,0)),0))</f>
        <v/>
      </c>
      <c r="AM1181" s="32">
        <f>IF($A1181="","",MAX(0,IFERROR(INDEX('2_IMPORTAR_EJECUCION'!$H$9:$H$1208,MATCH($AU1181,'2_IMPORTAR_EJECUCION'!$J$9:$J$1208,0)),0)-$AL1181))</f>
        <v/>
      </c>
      <c r="AN1181" s="32">
        <f>IF($A1181="","",$AL1181+$AM1181)</f>
        <v/>
      </c>
      <c r="AO1181" s="24">
        <f>IF($A1181="","",IF(OR((IFERROR(INDEX('CAT_ACTIVIDADES'!$D$4:$D$26,MATCH($H1181,'CAT_ACTIVIDADES'!$A$4:$A$26,0)),""))=0,(IFERROR(INDEX('CAT_ACTIVIDADES'!$D$4:$D$26,MATCH($H1181,'CAT_ACTIVIDADES'!$A$4:$A$26,0)),""))=""),"SIN CLASIFICAR",IFERROR(INDEX('CAT_ACTIVIDADES'!$D$4:$D$26,MATCH($H1181,'CAT_ACTIVIDADES'!$A$4:$A$26,0)),"")))</f>
        <v/>
      </c>
      <c r="AP1181" s="4" t="n"/>
      <c r="AQ1181" s="4" t="n"/>
      <c r="AR1181" s="4" t="n"/>
      <c r="AS1181" s="24">
        <f>IF($AR1181="","",HYPERLINK(p_ruta_base_checklists&amp;$AR1181,"abrir"))</f>
        <v/>
      </c>
      <c r="AT1181" s="4" t="n"/>
      <c r="AU1181" s="24">
        <f>IF($A1181="","",$A1181&amp;IF($B1181="","0010",$B1181))</f>
        <v/>
      </c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41" t="n"/>
      <c r="K1182" s="5" t="n"/>
      <c r="L1182" s="18" t="n"/>
      <c r="M1182" s="24">
        <f>IF($A1182="","",IFERROR(INDEX('AJUSTES'!$B$4:$B$303,MATCH($AU1182,'AJUSTES'!$A$4:$A$303,0)),IF($K1182="","",$K1182)))</f>
        <v/>
      </c>
      <c r="N1182" s="24">
        <f>IF($A1182="","",IFERROR(INDEX('CAT_ESTADOS_ERP'!$B$4:$B$22,MATCH(IFERROR(INDEX('2_IMPORTAR_EJECUCION'!$C$9:$C$1208,MATCH($AU1182,'2_IMPORTAR_EJECUCION'!$J$9:$J$1208,0)),""),'CAT_ESTADOS_ERP'!$A$4:$A$22,0)),"Pendiente"))</f>
        <v/>
      </c>
      <c r="O1182" s="24">
        <f>IF($J1182="","",YEAR($J1182+4-WEEKDAY($J1182,2))&amp;"-S"&amp;TEXT(_xlfn.ISOWEEKNUM($J1182),"00"))</f>
        <v/>
      </c>
      <c r="P1182" s="24">
        <f>IF($J1182="","",YEAR($J1182))</f>
        <v/>
      </c>
      <c r="Q1182" s="24">
        <f>IF($J1182="","",MONTH($J1182))</f>
        <v/>
      </c>
      <c r="R1182" s="24">
        <f>IF($J1182="","",$P1182&amp;"-"&amp;TEXT($Q1182,"00"))</f>
        <v/>
      </c>
      <c r="S1182" s="24">
        <f>IF($J1182="","",INDEX(lista_dias,WEEKDAY($J1182,2)))</f>
        <v/>
      </c>
      <c r="T1182" s="24">
        <f>IF($J1182="","",IFERROR(INDEX('CALENDARIO'!$C$15:$C$214,MATCH(TEXT($J1182,"yyyy-mm-dd")&amp;"|"&amp;$Y1182&amp;"|"&amp;$Z1182,'CALENDARIO'!$G$15:$G$214,0)),IFERROR(INDEX('CALENDARIO'!$C$15:$C$214,MATCH(TEXT($J1182,"yyyy-mm-dd")&amp;"|"&amp;$Y1182&amp;"|",'CALENDARIO'!$G$15:$G$214,0)),IFERROR(INDEX('CALENDARIO'!$C$15:$C$214,MATCH(TEXT($J1182,"yyyy-mm-dd")&amp;"||",'CALENDARIO'!$G$15:$G$214,0)),INDEX(patronHabil,WEEKDAY($J1182,2))))))</f>
        <v/>
      </c>
      <c r="U1182" s="24">
        <f>IF($I1182="","",IFERROR(INDEX('CAT_TIPOS_OT'!$C$4:$C$23,MATCH($I1182,'CAT_TIPOS_OT'!$A$4:$A$23,0)),"sin_clasificar"))</f>
        <v/>
      </c>
      <c r="V1182" s="24">
        <f>IF($I1182="","",IF(IFERROR(INDEX('CAT_TIPOS_OT'!$D$4:$D$23,MATCH($I1182,'CAT_TIPOS_OT'!$A$4:$A$23,0)),"SIN CLASIFICAR")="","SIN CLASIFICAR",IFERROR(INDEX('CAT_TIPOS_OT'!$D$4:$D$23,MATCH($I1182,'CAT_TIPOS_OT'!$A$4:$A$23,0)),"SIN CLASIFICAR")))</f>
        <v/>
      </c>
      <c r="W1182" s="24">
        <f>IF($H1182="","",IF(IFERROR(INDEX('CAT_ACTIVIDADES'!$F$4:$F$26,MATCH($H1182,'CAT_ACTIVIDADES'!$A$4:$A$26,0)),"")=0,"",IFERROR(INDEX('CAT_ACTIVIDADES'!$F$4:$F$26,MATCH($H1182,'CAT_ACTIVIDADES'!$A$4:$A$26,0)),"")))</f>
        <v/>
      </c>
      <c r="X1182" s="24">
        <f>IF($F1182="","",IFERROR(INDEX('CAT_CENTROS_COSTO'!$F$4:$F$28,MATCH($F1182,'CAT_CENTROS_COSTO'!$A$4:$A$28,0)),"(sin catálogo)"))</f>
        <v/>
      </c>
      <c r="Y1182" s="24">
        <f>IF($F1182="","",IFERROR(INDEX('CAT_CENTROS_COSTO'!$D$4:$D$28,MATCH($F1182,'CAT_CENTROS_COSTO'!$A$4:$A$28,0)),"(sin catálogo)"))</f>
        <v/>
      </c>
      <c r="Z1182" s="24">
        <f>IF($F1182="","",IF((IFERROR(INDEX('CAT_CENTROS_COSTO'!$E$4:$E$28,MATCH($F1182,'CAT_CENTROS_COSTO'!$A$4:$A$28,0)),""))&lt;&gt;"",IFERROR(INDEX('CAT_CENTROS_COSTO'!$E$4:$E$28,MATCH($F1182,'CAT_CENTROS_COSTO'!$A$4:$A$28,0)),""),$Y1182))</f>
        <v/>
      </c>
      <c r="AA1182" s="24">
        <f>IF($F1182="","",IFERROR(INDEX('CAT_CENTROS_COSTO'!$G$4:$G$28,MATCH($F1182,'CAT_CENTROS_COSTO'!$A$4:$A$28,0)),"(sin catálogo)"))</f>
        <v/>
      </c>
      <c r="AB1182" s="24">
        <f>IF($G1182="","",IFERROR(INDEX('CAT_PUESTOS'!$B$4:$B$23,MATCH($G1182,'CAT_PUESTOS'!$A$4:$A$23,0)),"(sin catálogo)"))</f>
        <v/>
      </c>
      <c r="AC1182" s="24">
        <f>IF($H1182="","",IFERROR(INDEX('CAT_ACTIVIDADES'!$B$4:$B$26,MATCH($H1182,'CAT_ACTIVIDADES'!$A$4:$A$26,0)),"(sin catálogo)"))</f>
        <v/>
      </c>
      <c r="AD1182" s="26">
        <f>IF($J1182="","",TODAY()-$J1182)</f>
        <v/>
      </c>
      <c r="AE1182" s="26">
        <f>IF($J1182="","",IF($J1182&lt;=TODAY(),COUNTIFS(cal_fechas,"&gt;="&amp;$J1182,cal_fechas,"&lt;"&amp;TODAY(),cal_habil,"sí"),-COUNTIFS(cal_fechas,"&gt;="&amp;TODAY(),cal_fechas,"&lt;"&amp;$J1182,cal_habil,"sí")))</f>
        <v/>
      </c>
      <c r="AF1182" s="24">
        <f>IF($AE1182="","",IF($AE1182&lt;0,"FUTURO",IF($AE1182&gt;p_dias_backlog_max,"BACKLOG","MES CORRIENTE")))</f>
        <v/>
      </c>
      <c r="AG1182" s="24">
        <f>IF($AE1182="",FALSE,AND($AE1182&gt;p_dias_backlog_min,$AE1182&lt;=p_dias_backlog_max))</f>
        <v/>
      </c>
      <c r="AH1182" s="4" t="n"/>
      <c r="AI1182" s="24">
        <f>IF($AH1182="","",IF((IFERROR(INDEX('ASIGNACIONES'!$J$4:$J$451,MATCH($O1182&amp;"|"&amp;$S1182&amp;"|"&amp;$AH1182,'ASIGNACIONES'!$N$4:$N$451,0)),""))=0,"",IFERROR(INDEX('ASIGNACIONES'!$J$4:$J$451,MATCH($O1182&amp;"|"&amp;$S1182&amp;"|"&amp;$AH1182,'ASIGNACIONES'!$N$4:$N$451,0)),"")))</f>
        <v/>
      </c>
      <c r="AJ1182" s="42">
        <f>IF($AH1182="","",SUMIFS('ORDENES'!$M$4:$M$1203,'ORDENES'!$AH$4:$AH$1203,$AH1182,'ORDENES'!$O$4:$O$1203,$O1182,'ORDENES'!$S$4:$S$1203,$S1182))</f>
        <v/>
      </c>
      <c r="AK1182" s="42">
        <f>IF($AJ1182="","",p_factor_productividad*IFERROR(INDEX('ASIGNACIONES'!$M$4:$M$451,MATCH($O1182&amp;"|"&amp;$S1182&amp;"|"&amp;$AH1182,'ASIGNACIONES'!$N$4:$N$451,0)),0)-$AJ1182)</f>
        <v/>
      </c>
      <c r="AL1182" s="32">
        <f>IF($A1182="","",IFERROR(INDEX('2_IMPORTAR_EJECUCION'!$F$9:$F$1208,MATCH($AU1182,'2_IMPORTAR_EJECUCION'!$J$9:$J$1208,0)),0))</f>
        <v/>
      </c>
      <c r="AM1182" s="32">
        <f>IF($A1182="","",MAX(0,IFERROR(INDEX('2_IMPORTAR_EJECUCION'!$H$9:$H$1208,MATCH($AU1182,'2_IMPORTAR_EJECUCION'!$J$9:$J$1208,0)),0)-$AL1182))</f>
        <v/>
      </c>
      <c r="AN1182" s="32">
        <f>IF($A1182="","",$AL1182+$AM1182)</f>
        <v/>
      </c>
      <c r="AO1182" s="24">
        <f>IF($A1182="","",IF(OR((IFERROR(INDEX('CAT_ACTIVIDADES'!$D$4:$D$26,MATCH($H1182,'CAT_ACTIVIDADES'!$A$4:$A$26,0)),""))=0,(IFERROR(INDEX('CAT_ACTIVIDADES'!$D$4:$D$26,MATCH($H1182,'CAT_ACTIVIDADES'!$A$4:$A$26,0)),""))=""),"SIN CLASIFICAR",IFERROR(INDEX('CAT_ACTIVIDADES'!$D$4:$D$26,MATCH($H1182,'CAT_ACTIVIDADES'!$A$4:$A$26,0)),"")))</f>
        <v/>
      </c>
      <c r="AP1182" s="4" t="n"/>
      <c r="AQ1182" s="4" t="n"/>
      <c r="AR1182" s="4" t="n"/>
      <c r="AS1182" s="24">
        <f>IF($AR1182="","",HYPERLINK(p_ruta_base_checklists&amp;$AR1182,"abrir"))</f>
        <v/>
      </c>
      <c r="AT1182" s="4" t="n"/>
      <c r="AU1182" s="24">
        <f>IF($A1182="","",$A1182&amp;IF($B1182="","0010",$B1182))</f>
        <v/>
      </c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41" t="n"/>
      <c r="K1183" s="5" t="n"/>
      <c r="L1183" s="18" t="n"/>
      <c r="M1183" s="24">
        <f>IF($A1183="","",IFERROR(INDEX('AJUSTES'!$B$4:$B$303,MATCH($AU1183,'AJUSTES'!$A$4:$A$303,0)),IF($K1183="","",$K1183)))</f>
        <v/>
      </c>
      <c r="N1183" s="24">
        <f>IF($A1183="","",IFERROR(INDEX('CAT_ESTADOS_ERP'!$B$4:$B$22,MATCH(IFERROR(INDEX('2_IMPORTAR_EJECUCION'!$C$9:$C$1208,MATCH($AU1183,'2_IMPORTAR_EJECUCION'!$J$9:$J$1208,0)),""),'CAT_ESTADOS_ERP'!$A$4:$A$22,0)),"Pendiente"))</f>
        <v/>
      </c>
      <c r="O1183" s="24">
        <f>IF($J1183="","",YEAR($J1183+4-WEEKDAY($J1183,2))&amp;"-S"&amp;TEXT(_xlfn.ISOWEEKNUM($J1183),"00"))</f>
        <v/>
      </c>
      <c r="P1183" s="24">
        <f>IF($J1183="","",YEAR($J1183))</f>
        <v/>
      </c>
      <c r="Q1183" s="24">
        <f>IF($J1183="","",MONTH($J1183))</f>
        <v/>
      </c>
      <c r="R1183" s="24">
        <f>IF($J1183="","",$P1183&amp;"-"&amp;TEXT($Q1183,"00"))</f>
        <v/>
      </c>
      <c r="S1183" s="24">
        <f>IF($J1183="","",INDEX(lista_dias,WEEKDAY($J1183,2)))</f>
        <v/>
      </c>
      <c r="T1183" s="24">
        <f>IF($J1183="","",IFERROR(INDEX('CALENDARIO'!$C$15:$C$214,MATCH(TEXT($J1183,"yyyy-mm-dd")&amp;"|"&amp;$Y1183&amp;"|"&amp;$Z1183,'CALENDARIO'!$G$15:$G$214,0)),IFERROR(INDEX('CALENDARIO'!$C$15:$C$214,MATCH(TEXT($J1183,"yyyy-mm-dd")&amp;"|"&amp;$Y1183&amp;"|",'CALENDARIO'!$G$15:$G$214,0)),IFERROR(INDEX('CALENDARIO'!$C$15:$C$214,MATCH(TEXT($J1183,"yyyy-mm-dd")&amp;"||",'CALENDARIO'!$G$15:$G$214,0)),INDEX(patronHabil,WEEKDAY($J1183,2))))))</f>
        <v/>
      </c>
      <c r="U1183" s="24">
        <f>IF($I1183="","",IFERROR(INDEX('CAT_TIPOS_OT'!$C$4:$C$23,MATCH($I1183,'CAT_TIPOS_OT'!$A$4:$A$23,0)),"sin_clasificar"))</f>
        <v/>
      </c>
      <c r="V1183" s="24">
        <f>IF($I1183="","",IF(IFERROR(INDEX('CAT_TIPOS_OT'!$D$4:$D$23,MATCH($I1183,'CAT_TIPOS_OT'!$A$4:$A$23,0)),"SIN CLASIFICAR")="","SIN CLASIFICAR",IFERROR(INDEX('CAT_TIPOS_OT'!$D$4:$D$23,MATCH($I1183,'CAT_TIPOS_OT'!$A$4:$A$23,0)),"SIN CLASIFICAR")))</f>
        <v/>
      </c>
      <c r="W1183" s="24">
        <f>IF($H1183="","",IF(IFERROR(INDEX('CAT_ACTIVIDADES'!$F$4:$F$26,MATCH($H1183,'CAT_ACTIVIDADES'!$A$4:$A$26,0)),"")=0,"",IFERROR(INDEX('CAT_ACTIVIDADES'!$F$4:$F$26,MATCH($H1183,'CAT_ACTIVIDADES'!$A$4:$A$26,0)),"")))</f>
        <v/>
      </c>
      <c r="X1183" s="24">
        <f>IF($F1183="","",IFERROR(INDEX('CAT_CENTROS_COSTO'!$F$4:$F$28,MATCH($F1183,'CAT_CENTROS_COSTO'!$A$4:$A$28,0)),"(sin catálogo)"))</f>
        <v/>
      </c>
      <c r="Y1183" s="24">
        <f>IF($F1183="","",IFERROR(INDEX('CAT_CENTROS_COSTO'!$D$4:$D$28,MATCH($F1183,'CAT_CENTROS_COSTO'!$A$4:$A$28,0)),"(sin catálogo)"))</f>
        <v/>
      </c>
      <c r="Z1183" s="24">
        <f>IF($F1183="","",IF((IFERROR(INDEX('CAT_CENTROS_COSTO'!$E$4:$E$28,MATCH($F1183,'CAT_CENTROS_COSTO'!$A$4:$A$28,0)),""))&lt;&gt;"",IFERROR(INDEX('CAT_CENTROS_COSTO'!$E$4:$E$28,MATCH($F1183,'CAT_CENTROS_COSTO'!$A$4:$A$28,0)),""),$Y1183))</f>
        <v/>
      </c>
      <c r="AA1183" s="24">
        <f>IF($F1183="","",IFERROR(INDEX('CAT_CENTROS_COSTO'!$G$4:$G$28,MATCH($F1183,'CAT_CENTROS_COSTO'!$A$4:$A$28,0)),"(sin catálogo)"))</f>
        <v/>
      </c>
      <c r="AB1183" s="24">
        <f>IF($G1183="","",IFERROR(INDEX('CAT_PUESTOS'!$B$4:$B$23,MATCH($G1183,'CAT_PUESTOS'!$A$4:$A$23,0)),"(sin catálogo)"))</f>
        <v/>
      </c>
      <c r="AC1183" s="24">
        <f>IF($H1183="","",IFERROR(INDEX('CAT_ACTIVIDADES'!$B$4:$B$26,MATCH($H1183,'CAT_ACTIVIDADES'!$A$4:$A$26,0)),"(sin catálogo)"))</f>
        <v/>
      </c>
      <c r="AD1183" s="26">
        <f>IF($J1183="","",TODAY()-$J1183)</f>
        <v/>
      </c>
      <c r="AE1183" s="26">
        <f>IF($J1183="","",IF($J1183&lt;=TODAY(),COUNTIFS(cal_fechas,"&gt;="&amp;$J1183,cal_fechas,"&lt;"&amp;TODAY(),cal_habil,"sí"),-COUNTIFS(cal_fechas,"&gt;="&amp;TODAY(),cal_fechas,"&lt;"&amp;$J1183,cal_habil,"sí")))</f>
        <v/>
      </c>
      <c r="AF1183" s="24">
        <f>IF($AE1183="","",IF($AE1183&lt;0,"FUTURO",IF($AE1183&gt;p_dias_backlog_max,"BACKLOG","MES CORRIENTE")))</f>
        <v/>
      </c>
      <c r="AG1183" s="24">
        <f>IF($AE1183="",FALSE,AND($AE1183&gt;p_dias_backlog_min,$AE1183&lt;=p_dias_backlog_max))</f>
        <v/>
      </c>
      <c r="AH1183" s="4" t="n"/>
      <c r="AI1183" s="24">
        <f>IF($AH1183="","",IF((IFERROR(INDEX('ASIGNACIONES'!$J$4:$J$451,MATCH($O1183&amp;"|"&amp;$S1183&amp;"|"&amp;$AH1183,'ASIGNACIONES'!$N$4:$N$451,0)),""))=0,"",IFERROR(INDEX('ASIGNACIONES'!$J$4:$J$451,MATCH($O1183&amp;"|"&amp;$S1183&amp;"|"&amp;$AH1183,'ASIGNACIONES'!$N$4:$N$451,0)),"")))</f>
        <v/>
      </c>
      <c r="AJ1183" s="42">
        <f>IF($AH1183="","",SUMIFS('ORDENES'!$M$4:$M$1203,'ORDENES'!$AH$4:$AH$1203,$AH1183,'ORDENES'!$O$4:$O$1203,$O1183,'ORDENES'!$S$4:$S$1203,$S1183))</f>
        <v/>
      </c>
      <c r="AK1183" s="42">
        <f>IF($AJ1183="","",p_factor_productividad*IFERROR(INDEX('ASIGNACIONES'!$M$4:$M$451,MATCH($O1183&amp;"|"&amp;$S1183&amp;"|"&amp;$AH1183,'ASIGNACIONES'!$N$4:$N$451,0)),0)-$AJ1183)</f>
        <v/>
      </c>
      <c r="AL1183" s="32">
        <f>IF($A1183="","",IFERROR(INDEX('2_IMPORTAR_EJECUCION'!$F$9:$F$1208,MATCH($AU1183,'2_IMPORTAR_EJECUCION'!$J$9:$J$1208,0)),0))</f>
        <v/>
      </c>
      <c r="AM1183" s="32">
        <f>IF($A1183="","",MAX(0,IFERROR(INDEX('2_IMPORTAR_EJECUCION'!$H$9:$H$1208,MATCH($AU1183,'2_IMPORTAR_EJECUCION'!$J$9:$J$1208,0)),0)-$AL1183))</f>
        <v/>
      </c>
      <c r="AN1183" s="32">
        <f>IF($A1183="","",$AL1183+$AM1183)</f>
        <v/>
      </c>
      <c r="AO1183" s="24">
        <f>IF($A1183="","",IF(OR((IFERROR(INDEX('CAT_ACTIVIDADES'!$D$4:$D$26,MATCH($H1183,'CAT_ACTIVIDADES'!$A$4:$A$26,0)),""))=0,(IFERROR(INDEX('CAT_ACTIVIDADES'!$D$4:$D$26,MATCH($H1183,'CAT_ACTIVIDADES'!$A$4:$A$26,0)),""))=""),"SIN CLASIFICAR",IFERROR(INDEX('CAT_ACTIVIDADES'!$D$4:$D$26,MATCH($H1183,'CAT_ACTIVIDADES'!$A$4:$A$26,0)),"")))</f>
        <v/>
      </c>
      <c r="AP1183" s="4" t="n"/>
      <c r="AQ1183" s="4" t="n"/>
      <c r="AR1183" s="4" t="n"/>
      <c r="AS1183" s="24">
        <f>IF($AR1183="","",HYPERLINK(p_ruta_base_checklists&amp;$AR1183,"abrir"))</f>
        <v/>
      </c>
      <c r="AT1183" s="4" t="n"/>
      <c r="AU1183" s="24">
        <f>IF($A1183="","",$A1183&amp;IF($B1183="","0010",$B1183))</f>
        <v/>
      </c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41" t="n"/>
      <c r="K1184" s="5" t="n"/>
      <c r="L1184" s="18" t="n"/>
      <c r="M1184" s="24">
        <f>IF($A1184="","",IFERROR(INDEX('AJUSTES'!$B$4:$B$303,MATCH($AU1184,'AJUSTES'!$A$4:$A$303,0)),IF($K1184="","",$K1184)))</f>
        <v/>
      </c>
      <c r="N1184" s="24">
        <f>IF($A1184="","",IFERROR(INDEX('CAT_ESTADOS_ERP'!$B$4:$B$22,MATCH(IFERROR(INDEX('2_IMPORTAR_EJECUCION'!$C$9:$C$1208,MATCH($AU1184,'2_IMPORTAR_EJECUCION'!$J$9:$J$1208,0)),""),'CAT_ESTADOS_ERP'!$A$4:$A$22,0)),"Pendiente"))</f>
        <v/>
      </c>
      <c r="O1184" s="24">
        <f>IF($J1184="","",YEAR($J1184+4-WEEKDAY($J1184,2))&amp;"-S"&amp;TEXT(_xlfn.ISOWEEKNUM($J1184),"00"))</f>
        <v/>
      </c>
      <c r="P1184" s="24">
        <f>IF($J1184="","",YEAR($J1184))</f>
        <v/>
      </c>
      <c r="Q1184" s="24">
        <f>IF($J1184="","",MONTH($J1184))</f>
        <v/>
      </c>
      <c r="R1184" s="24">
        <f>IF($J1184="","",$P1184&amp;"-"&amp;TEXT($Q1184,"00"))</f>
        <v/>
      </c>
      <c r="S1184" s="24">
        <f>IF($J1184="","",INDEX(lista_dias,WEEKDAY($J1184,2)))</f>
        <v/>
      </c>
      <c r="T1184" s="24">
        <f>IF($J1184="","",IFERROR(INDEX('CALENDARIO'!$C$15:$C$214,MATCH(TEXT($J1184,"yyyy-mm-dd")&amp;"|"&amp;$Y1184&amp;"|"&amp;$Z1184,'CALENDARIO'!$G$15:$G$214,0)),IFERROR(INDEX('CALENDARIO'!$C$15:$C$214,MATCH(TEXT($J1184,"yyyy-mm-dd")&amp;"|"&amp;$Y1184&amp;"|",'CALENDARIO'!$G$15:$G$214,0)),IFERROR(INDEX('CALENDARIO'!$C$15:$C$214,MATCH(TEXT($J1184,"yyyy-mm-dd")&amp;"||",'CALENDARIO'!$G$15:$G$214,0)),INDEX(patronHabil,WEEKDAY($J1184,2))))))</f>
        <v/>
      </c>
      <c r="U1184" s="24">
        <f>IF($I1184="","",IFERROR(INDEX('CAT_TIPOS_OT'!$C$4:$C$23,MATCH($I1184,'CAT_TIPOS_OT'!$A$4:$A$23,0)),"sin_clasificar"))</f>
        <v/>
      </c>
      <c r="V1184" s="24">
        <f>IF($I1184="","",IF(IFERROR(INDEX('CAT_TIPOS_OT'!$D$4:$D$23,MATCH($I1184,'CAT_TIPOS_OT'!$A$4:$A$23,0)),"SIN CLASIFICAR")="","SIN CLASIFICAR",IFERROR(INDEX('CAT_TIPOS_OT'!$D$4:$D$23,MATCH($I1184,'CAT_TIPOS_OT'!$A$4:$A$23,0)),"SIN CLASIFICAR")))</f>
        <v/>
      </c>
      <c r="W1184" s="24">
        <f>IF($H1184="","",IF(IFERROR(INDEX('CAT_ACTIVIDADES'!$F$4:$F$26,MATCH($H1184,'CAT_ACTIVIDADES'!$A$4:$A$26,0)),"")=0,"",IFERROR(INDEX('CAT_ACTIVIDADES'!$F$4:$F$26,MATCH($H1184,'CAT_ACTIVIDADES'!$A$4:$A$26,0)),"")))</f>
        <v/>
      </c>
      <c r="X1184" s="24">
        <f>IF($F1184="","",IFERROR(INDEX('CAT_CENTROS_COSTO'!$F$4:$F$28,MATCH($F1184,'CAT_CENTROS_COSTO'!$A$4:$A$28,0)),"(sin catálogo)"))</f>
        <v/>
      </c>
      <c r="Y1184" s="24">
        <f>IF($F1184="","",IFERROR(INDEX('CAT_CENTROS_COSTO'!$D$4:$D$28,MATCH($F1184,'CAT_CENTROS_COSTO'!$A$4:$A$28,0)),"(sin catálogo)"))</f>
        <v/>
      </c>
      <c r="Z1184" s="24">
        <f>IF($F1184="","",IF((IFERROR(INDEX('CAT_CENTROS_COSTO'!$E$4:$E$28,MATCH($F1184,'CAT_CENTROS_COSTO'!$A$4:$A$28,0)),""))&lt;&gt;"",IFERROR(INDEX('CAT_CENTROS_COSTO'!$E$4:$E$28,MATCH($F1184,'CAT_CENTROS_COSTO'!$A$4:$A$28,0)),""),$Y1184))</f>
        <v/>
      </c>
      <c r="AA1184" s="24">
        <f>IF($F1184="","",IFERROR(INDEX('CAT_CENTROS_COSTO'!$G$4:$G$28,MATCH($F1184,'CAT_CENTROS_COSTO'!$A$4:$A$28,0)),"(sin catálogo)"))</f>
        <v/>
      </c>
      <c r="AB1184" s="24">
        <f>IF($G1184="","",IFERROR(INDEX('CAT_PUESTOS'!$B$4:$B$23,MATCH($G1184,'CAT_PUESTOS'!$A$4:$A$23,0)),"(sin catálogo)"))</f>
        <v/>
      </c>
      <c r="AC1184" s="24">
        <f>IF($H1184="","",IFERROR(INDEX('CAT_ACTIVIDADES'!$B$4:$B$26,MATCH($H1184,'CAT_ACTIVIDADES'!$A$4:$A$26,0)),"(sin catálogo)"))</f>
        <v/>
      </c>
      <c r="AD1184" s="26">
        <f>IF($J1184="","",TODAY()-$J1184)</f>
        <v/>
      </c>
      <c r="AE1184" s="26">
        <f>IF($J1184="","",IF($J1184&lt;=TODAY(),COUNTIFS(cal_fechas,"&gt;="&amp;$J1184,cal_fechas,"&lt;"&amp;TODAY(),cal_habil,"sí"),-COUNTIFS(cal_fechas,"&gt;="&amp;TODAY(),cal_fechas,"&lt;"&amp;$J1184,cal_habil,"sí")))</f>
        <v/>
      </c>
      <c r="AF1184" s="24">
        <f>IF($AE1184="","",IF($AE1184&lt;0,"FUTURO",IF($AE1184&gt;p_dias_backlog_max,"BACKLOG","MES CORRIENTE")))</f>
        <v/>
      </c>
      <c r="AG1184" s="24">
        <f>IF($AE1184="",FALSE,AND($AE1184&gt;p_dias_backlog_min,$AE1184&lt;=p_dias_backlog_max))</f>
        <v/>
      </c>
      <c r="AH1184" s="4" t="n"/>
      <c r="AI1184" s="24">
        <f>IF($AH1184="","",IF((IFERROR(INDEX('ASIGNACIONES'!$J$4:$J$451,MATCH($O1184&amp;"|"&amp;$S1184&amp;"|"&amp;$AH1184,'ASIGNACIONES'!$N$4:$N$451,0)),""))=0,"",IFERROR(INDEX('ASIGNACIONES'!$J$4:$J$451,MATCH($O1184&amp;"|"&amp;$S1184&amp;"|"&amp;$AH1184,'ASIGNACIONES'!$N$4:$N$451,0)),"")))</f>
        <v/>
      </c>
      <c r="AJ1184" s="42">
        <f>IF($AH1184="","",SUMIFS('ORDENES'!$M$4:$M$1203,'ORDENES'!$AH$4:$AH$1203,$AH1184,'ORDENES'!$O$4:$O$1203,$O1184,'ORDENES'!$S$4:$S$1203,$S1184))</f>
        <v/>
      </c>
      <c r="AK1184" s="42">
        <f>IF($AJ1184="","",p_factor_productividad*IFERROR(INDEX('ASIGNACIONES'!$M$4:$M$451,MATCH($O1184&amp;"|"&amp;$S1184&amp;"|"&amp;$AH1184,'ASIGNACIONES'!$N$4:$N$451,0)),0)-$AJ1184)</f>
        <v/>
      </c>
      <c r="AL1184" s="32">
        <f>IF($A1184="","",IFERROR(INDEX('2_IMPORTAR_EJECUCION'!$F$9:$F$1208,MATCH($AU1184,'2_IMPORTAR_EJECUCION'!$J$9:$J$1208,0)),0))</f>
        <v/>
      </c>
      <c r="AM1184" s="32">
        <f>IF($A1184="","",MAX(0,IFERROR(INDEX('2_IMPORTAR_EJECUCION'!$H$9:$H$1208,MATCH($AU1184,'2_IMPORTAR_EJECUCION'!$J$9:$J$1208,0)),0)-$AL1184))</f>
        <v/>
      </c>
      <c r="AN1184" s="32">
        <f>IF($A1184="","",$AL1184+$AM1184)</f>
        <v/>
      </c>
      <c r="AO1184" s="24">
        <f>IF($A1184="","",IF(OR((IFERROR(INDEX('CAT_ACTIVIDADES'!$D$4:$D$26,MATCH($H1184,'CAT_ACTIVIDADES'!$A$4:$A$26,0)),""))=0,(IFERROR(INDEX('CAT_ACTIVIDADES'!$D$4:$D$26,MATCH($H1184,'CAT_ACTIVIDADES'!$A$4:$A$26,0)),""))=""),"SIN CLASIFICAR",IFERROR(INDEX('CAT_ACTIVIDADES'!$D$4:$D$26,MATCH($H1184,'CAT_ACTIVIDADES'!$A$4:$A$26,0)),"")))</f>
        <v/>
      </c>
      <c r="AP1184" s="4" t="n"/>
      <c r="AQ1184" s="4" t="n"/>
      <c r="AR1184" s="4" t="n"/>
      <c r="AS1184" s="24">
        <f>IF($AR1184="","",HYPERLINK(p_ruta_base_checklists&amp;$AR1184,"abrir"))</f>
        <v/>
      </c>
      <c r="AT1184" s="4" t="n"/>
      <c r="AU1184" s="24">
        <f>IF($A1184="","",$A1184&amp;IF($B1184="","0010",$B1184))</f>
        <v/>
      </c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41" t="n"/>
      <c r="K1185" s="5" t="n"/>
      <c r="L1185" s="18" t="n"/>
      <c r="M1185" s="24">
        <f>IF($A1185="","",IFERROR(INDEX('AJUSTES'!$B$4:$B$303,MATCH($AU1185,'AJUSTES'!$A$4:$A$303,0)),IF($K1185="","",$K1185)))</f>
        <v/>
      </c>
      <c r="N1185" s="24">
        <f>IF($A1185="","",IFERROR(INDEX('CAT_ESTADOS_ERP'!$B$4:$B$22,MATCH(IFERROR(INDEX('2_IMPORTAR_EJECUCION'!$C$9:$C$1208,MATCH($AU1185,'2_IMPORTAR_EJECUCION'!$J$9:$J$1208,0)),""),'CAT_ESTADOS_ERP'!$A$4:$A$22,0)),"Pendiente"))</f>
        <v/>
      </c>
      <c r="O1185" s="24">
        <f>IF($J1185="","",YEAR($J1185+4-WEEKDAY($J1185,2))&amp;"-S"&amp;TEXT(_xlfn.ISOWEEKNUM($J1185),"00"))</f>
        <v/>
      </c>
      <c r="P1185" s="24">
        <f>IF($J1185="","",YEAR($J1185))</f>
        <v/>
      </c>
      <c r="Q1185" s="24">
        <f>IF($J1185="","",MONTH($J1185))</f>
        <v/>
      </c>
      <c r="R1185" s="24">
        <f>IF($J1185="","",$P1185&amp;"-"&amp;TEXT($Q1185,"00"))</f>
        <v/>
      </c>
      <c r="S1185" s="24">
        <f>IF($J1185="","",INDEX(lista_dias,WEEKDAY($J1185,2)))</f>
        <v/>
      </c>
      <c r="T1185" s="24">
        <f>IF($J1185="","",IFERROR(INDEX('CALENDARIO'!$C$15:$C$214,MATCH(TEXT($J1185,"yyyy-mm-dd")&amp;"|"&amp;$Y1185&amp;"|"&amp;$Z1185,'CALENDARIO'!$G$15:$G$214,0)),IFERROR(INDEX('CALENDARIO'!$C$15:$C$214,MATCH(TEXT($J1185,"yyyy-mm-dd")&amp;"|"&amp;$Y1185&amp;"|",'CALENDARIO'!$G$15:$G$214,0)),IFERROR(INDEX('CALENDARIO'!$C$15:$C$214,MATCH(TEXT($J1185,"yyyy-mm-dd")&amp;"||",'CALENDARIO'!$G$15:$G$214,0)),INDEX(patronHabil,WEEKDAY($J1185,2))))))</f>
        <v/>
      </c>
      <c r="U1185" s="24">
        <f>IF($I1185="","",IFERROR(INDEX('CAT_TIPOS_OT'!$C$4:$C$23,MATCH($I1185,'CAT_TIPOS_OT'!$A$4:$A$23,0)),"sin_clasificar"))</f>
        <v/>
      </c>
      <c r="V1185" s="24">
        <f>IF($I1185="","",IF(IFERROR(INDEX('CAT_TIPOS_OT'!$D$4:$D$23,MATCH($I1185,'CAT_TIPOS_OT'!$A$4:$A$23,0)),"SIN CLASIFICAR")="","SIN CLASIFICAR",IFERROR(INDEX('CAT_TIPOS_OT'!$D$4:$D$23,MATCH($I1185,'CAT_TIPOS_OT'!$A$4:$A$23,0)),"SIN CLASIFICAR")))</f>
        <v/>
      </c>
      <c r="W1185" s="24">
        <f>IF($H1185="","",IF(IFERROR(INDEX('CAT_ACTIVIDADES'!$F$4:$F$26,MATCH($H1185,'CAT_ACTIVIDADES'!$A$4:$A$26,0)),"")=0,"",IFERROR(INDEX('CAT_ACTIVIDADES'!$F$4:$F$26,MATCH($H1185,'CAT_ACTIVIDADES'!$A$4:$A$26,0)),"")))</f>
        <v/>
      </c>
      <c r="X1185" s="24">
        <f>IF($F1185="","",IFERROR(INDEX('CAT_CENTROS_COSTO'!$F$4:$F$28,MATCH($F1185,'CAT_CENTROS_COSTO'!$A$4:$A$28,0)),"(sin catálogo)"))</f>
        <v/>
      </c>
      <c r="Y1185" s="24">
        <f>IF($F1185="","",IFERROR(INDEX('CAT_CENTROS_COSTO'!$D$4:$D$28,MATCH($F1185,'CAT_CENTROS_COSTO'!$A$4:$A$28,0)),"(sin catálogo)"))</f>
        <v/>
      </c>
      <c r="Z1185" s="24">
        <f>IF($F1185="","",IF((IFERROR(INDEX('CAT_CENTROS_COSTO'!$E$4:$E$28,MATCH($F1185,'CAT_CENTROS_COSTO'!$A$4:$A$28,0)),""))&lt;&gt;"",IFERROR(INDEX('CAT_CENTROS_COSTO'!$E$4:$E$28,MATCH($F1185,'CAT_CENTROS_COSTO'!$A$4:$A$28,0)),""),$Y1185))</f>
        <v/>
      </c>
      <c r="AA1185" s="24">
        <f>IF($F1185="","",IFERROR(INDEX('CAT_CENTROS_COSTO'!$G$4:$G$28,MATCH($F1185,'CAT_CENTROS_COSTO'!$A$4:$A$28,0)),"(sin catálogo)"))</f>
        <v/>
      </c>
      <c r="AB1185" s="24">
        <f>IF($G1185="","",IFERROR(INDEX('CAT_PUESTOS'!$B$4:$B$23,MATCH($G1185,'CAT_PUESTOS'!$A$4:$A$23,0)),"(sin catálogo)"))</f>
        <v/>
      </c>
      <c r="AC1185" s="24">
        <f>IF($H1185="","",IFERROR(INDEX('CAT_ACTIVIDADES'!$B$4:$B$26,MATCH($H1185,'CAT_ACTIVIDADES'!$A$4:$A$26,0)),"(sin catálogo)"))</f>
        <v/>
      </c>
      <c r="AD1185" s="26">
        <f>IF($J1185="","",TODAY()-$J1185)</f>
        <v/>
      </c>
      <c r="AE1185" s="26">
        <f>IF($J1185="","",IF($J1185&lt;=TODAY(),COUNTIFS(cal_fechas,"&gt;="&amp;$J1185,cal_fechas,"&lt;"&amp;TODAY(),cal_habil,"sí"),-COUNTIFS(cal_fechas,"&gt;="&amp;TODAY(),cal_fechas,"&lt;"&amp;$J1185,cal_habil,"sí")))</f>
        <v/>
      </c>
      <c r="AF1185" s="24">
        <f>IF($AE1185="","",IF($AE1185&lt;0,"FUTURO",IF($AE1185&gt;p_dias_backlog_max,"BACKLOG","MES CORRIENTE")))</f>
        <v/>
      </c>
      <c r="AG1185" s="24">
        <f>IF($AE1185="",FALSE,AND($AE1185&gt;p_dias_backlog_min,$AE1185&lt;=p_dias_backlog_max))</f>
        <v/>
      </c>
      <c r="AH1185" s="4" t="n"/>
      <c r="AI1185" s="24">
        <f>IF($AH1185="","",IF((IFERROR(INDEX('ASIGNACIONES'!$J$4:$J$451,MATCH($O1185&amp;"|"&amp;$S1185&amp;"|"&amp;$AH1185,'ASIGNACIONES'!$N$4:$N$451,0)),""))=0,"",IFERROR(INDEX('ASIGNACIONES'!$J$4:$J$451,MATCH($O1185&amp;"|"&amp;$S1185&amp;"|"&amp;$AH1185,'ASIGNACIONES'!$N$4:$N$451,0)),"")))</f>
        <v/>
      </c>
      <c r="AJ1185" s="42">
        <f>IF($AH1185="","",SUMIFS('ORDENES'!$M$4:$M$1203,'ORDENES'!$AH$4:$AH$1203,$AH1185,'ORDENES'!$O$4:$O$1203,$O1185,'ORDENES'!$S$4:$S$1203,$S1185))</f>
        <v/>
      </c>
      <c r="AK1185" s="42">
        <f>IF($AJ1185="","",p_factor_productividad*IFERROR(INDEX('ASIGNACIONES'!$M$4:$M$451,MATCH($O1185&amp;"|"&amp;$S1185&amp;"|"&amp;$AH1185,'ASIGNACIONES'!$N$4:$N$451,0)),0)-$AJ1185)</f>
        <v/>
      </c>
      <c r="AL1185" s="32">
        <f>IF($A1185="","",IFERROR(INDEX('2_IMPORTAR_EJECUCION'!$F$9:$F$1208,MATCH($AU1185,'2_IMPORTAR_EJECUCION'!$J$9:$J$1208,0)),0))</f>
        <v/>
      </c>
      <c r="AM1185" s="32">
        <f>IF($A1185="","",MAX(0,IFERROR(INDEX('2_IMPORTAR_EJECUCION'!$H$9:$H$1208,MATCH($AU1185,'2_IMPORTAR_EJECUCION'!$J$9:$J$1208,0)),0)-$AL1185))</f>
        <v/>
      </c>
      <c r="AN1185" s="32">
        <f>IF($A1185="","",$AL1185+$AM1185)</f>
        <v/>
      </c>
      <c r="AO1185" s="24">
        <f>IF($A1185="","",IF(OR((IFERROR(INDEX('CAT_ACTIVIDADES'!$D$4:$D$26,MATCH($H1185,'CAT_ACTIVIDADES'!$A$4:$A$26,0)),""))=0,(IFERROR(INDEX('CAT_ACTIVIDADES'!$D$4:$D$26,MATCH($H1185,'CAT_ACTIVIDADES'!$A$4:$A$26,0)),""))=""),"SIN CLASIFICAR",IFERROR(INDEX('CAT_ACTIVIDADES'!$D$4:$D$26,MATCH($H1185,'CAT_ACTIVIDADES'!$A$4:$A$26,0)),"")))</f>
        <v/>
      </c>
      <c r="AP1185" s="4" t="n"/>
      <c r="AQ1185" s="4" t="n"/>
      <c r="AR1185" s="4" t="n"/>
      <c r="AS1185" s="24">
        <f>IF($AR1185="","",HYPERLINK(p_ruta_base_checklists&amp;$AR1185,"abrir"))</f>
        <v/>
      </c>
      <c r="AT1185" s="4" t="n"/>
      <c r="AU1185" s="24">
        <f>IF($A1185="","",$A1185&amp;IF($B1185="","0010",$B1185))</f>
        <v/>
      </c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41" t="n"/>
      <c r="K1186" s="5" t="n"/>
      <c r="L1186" s="18" t="n"/>
      <c r="M1186" s="24">
        <f>IF($A1186="","",IFERROR(INDEX('AJUSTES'!$B$4:$B$303,MATCH($AU1186,'AJUSTES'!$A$4:$A$303,0)),IF($K1186="","",$K1186)))</f>
        <v/>
      </c>
      <c r="N1186" s="24">
        <f>IF($A1186="","",IFERROR(INDEX('CAT_ESTADOS_ERP'!$B$4:$B$22,MATCH(IFERROR(INDEX('2_IMPORTAR_EJECUCION'!$C$9:$C$1208,MATCH($AU1186,'2_IMPORTAR_EJECUCION'!$J$9:$J$1208,0)),""),'CAT_ESTADOS_ERP'!$A$4:$A$22,0)),"Pendiente"))</f>
        <v/>
      </c>
      <c r="O1186" s="24">
        <f>IF($J1186="","",YEAR($J1186+4-WEEKDAY($J1186,2))&amp;"-S"&amp;TEXT(_xlfn.ISOWEEKNUM($J1186),"00"))</f>
        <v/>
      </c>
      <c r="P1186" s="24">
        <f>IF($J1186="","",YEAR($J1186))</f>
        <v/>
      </c>
      <c r="Q1186" s="24">
        <f>IF($J1186="","",MONTH($J1186))</f>
        <v/>
      </c>
      <c r="R1186" s="24">
        <f>IF($J1186="","",$P1186&amp;"-"&amp;TEXT($Q1186,"00"))</f>
        <v/>
      </c>
      <c r="S1186" s="24">
        <f>IF($J1186="","",INDEX(lista_dias,WEEKDAY($J1186,2)))</f>
        <v/>
      </c>
      <c r="T1186" s="24">
        <f>IF($J1186="","",IFERROR(INDEX('CALENDARIO'!$C$15:$C$214,MATCH(TEXT($J1186,"yyyy-mm-dd")&amp;"|"&amp;$Y1186&amp;"|"&amp;$Z1186,'CALENDARIO'!$G$15:$G$214,0)),IFERROR(INDEX('CALENDARIO'!$C$15:$C$214,MATCH(TEXT($J1186,"yyyy-mm-dd")&amp;"|"&amp;$Y1186&amp;"|",'CALENDARIO'!$G$15:$G$214,0)),IFERROR(INDEX('CALENDARIO'!$C$15:$C$214,MATCH(TEXT($J1186,"yyyy-mm-dd")&amp;"||",'CALENDARIO'!$G$15:$G$214,0)),INDEX(patronHabil,WEEKDAY($J1186,2))))))</f>
        <v/>
      </c>
      <c r="U1186" s="24">
        <f>IF($I1186="","",IFERROR(INDEX('CAT_TIPOS_OT'!$C$4:$C$23,MATCH($I1186,'CAT_TIPOS_OT'!$A$4:$A$23,0)),"sin_clasificar"))</f>
        <v/>
      </c>
      <c r="V1186" s="24">
        <f>IF($I1186="","",IF(IFERROR(INDEX('CAT_TIPOS_OT'!$D$4:$D$23,MATCH($I1186,'CAT_TIPOS_OT'!$A$4:$A$23,0)),"SIN CLASIFICAR")="","SIN CLASIFICAR",IFERROR(INDEX('CAT_TIPOS_OT'!$D$4:$D$23,MATCH($I1186,'CAT_TIPOS_OT'!$A$4:$A$23,0)),"SIN CLASIFICAR")))</f>
        <v/>
      </c>
      <c r="W1186" s="24">
        <f>IF($H1186="","",IF(IFERROR(INDEX('CAT_ACTIVIDADES'!$F$4:$F$26,MATCH($H1186,'CAT_ACTIVIDADES'!$A$4:$A$26,0)),"")=0,"",IFERROR(INDEX('CAT_ACTIVIDADES'!$F$4:$F$26,MATCH($H1186,'CAT_ACTIVIDADES'!$A$4:$A$26,0)),"")))</f>
        <v/>
      </c>
      <c r="X1186" s="24">
        <f>IF($F1186="","",IFERROR(INDEX('CAT_CENTROS_COSTO'!$F$4:$F$28,MATCH($F1186,'CAT_CENTROS_COSTO'!$A$4:$A$28,0)),"(sin catálogo)"))</f>
        <v/>
      </c>
      <c r="Y1186" s="24">
        <f>IF($F1186="","",IFERROR(INDEX('CAT_CENTROS_COSTO'!$D$4:$D$28,MATCH($F1186,'CAT_CENTROS_COSTO'!$A$4:$A$28,0)),"(sin catálogo)"))</f>
        <v/>
      </c>
      <c r="Z1186" s="24">
        <f>IF($F1186="","",IF((IFERROR(INDEX('CAT_CENTROS_COSTO'!$E$4:$E$28,MATCH($F1186,'CAT_CENTROS_COSTO'!$A$4:$A$28,0)),""))&lt;&gt;"",IFERROR(INDEX('CAT_CENTROS_COSTO'!$E$4:$E$28,MATCH($F1186,'CAT_CENTROS_COSTO'!$A$4:$A$28,0)),""),$Y1186))</f>
        <v/>
      </c>
      <c r="AA1186" s="24">
        <f>IF($F1186="","",IFERROR(INDEX('CAT_CENTROS_COSTO'!$G$4:$G$28,MATCH($F1186,'CAT_CENTROS_COSTO'!$A$4:$A$28,0)),"(sin catálogo)"))</f>
        <v/>
      </c>
      <c r="AB1186" s="24">
        <f>IF($G1186="","",IFERROR(INDEX('CAT_PUESTOS'!$B$4:$B$23,MATCH($G1186,'CAT_PUESTOS'!$A$4:$A$23,0)),"(sin catálogo)"))</f>
        <v/>
      </c>
      <c r="AC1186" s="24">
        <f>IF($H1186="","",IFERROR(INDEX('CAT_ACTIVIDADES'!$B$4:$B$26,MATCH($H1186,'CAT_ACTIVIDADES'!$A$4:$A$26,0)),"(sin catálogo)"))</f>
        <v/>
      </c>
      <c r="AD1186" s="26">
        <f>IF($J1186="","",TODAY()-$J1186)</f>
        <v/>
      </c>
      <c r="AE1186" s="26">
        <f>IF($J1186="","",IF($J1186&lt;=TODAY(),COUNTIFS(cal_fechas,"&gt;="&amp;$J1186,cal_fechas,"&lt;"&amp;TODAY(),cal_habil,"sí"),-COUNTIFS(cal_fechas,"&gt;="&amp;TODAY(),cal_fechas,"&lt;"&amp;$J1186,cal_habil,"sí")))</f>
        <v/>
      </c>
      <c r="AF1186" s="24">
        <f>IF($AE1186="","",IF($AE1186&lt;0,"FUTURO",IF($AE1186&gt;p_dias_backlog_max,"BACKLOG","MES CORRIENTE")))</f>
        <v/>
      </c>
      <c r="AG1186" s="24">
        <f>IF($AE1186="",FALSE,AND($AE1186&gt;p_dias_backlog_min,$AE1186&lt;=p_dias_backlog_max))</f>
        <v/>
      </c>
      <c r="AH1186" s="4" t="n"/>
      <c r="AI1186" s="24">
        <f>IF($AH1186="","",IF((IFERROR(INDEX('ASIGNACIONES'!$J$4:$J$451,MATCH($O1186&amp;"|"&amp;$S1186&amp;"|"&amp;$AH1186,'ASIGNACIONES'!$N$4:$N$451,0)),""))=0,"",IFERROR(INDEX('ASIGNACIONES'!$J$4:$J$451,MATCH($O1186&amp;"|"&amp;$S1186&amp;"|"&amp;$AH1186,'ASIGNACIONES'!$N$4:$N$451,0)),"")))</f>
        <v/>
      </c>
      <c r="AJ1186" s="42">
        <f>IF($AH1186="","",SUMIFS('ORDENES'!$M$4:$M$1203,'ORDENES'!$AH$4:$AH$1203,$AH1186,'ORDENES'!$O$4:$O$1203,$O1186,'ORDENES'!$S$4:$S$1203,$S1186))</f>
        <v/>
      </c>
      <c r="AK1186" s="42">
        <f>IF($AJ1186="","",p_factor_productividad*IFERROR(INDEX('ASIGNACIONES'!$M$4:$M$451,MATCH($O1186&amp;"|"&amp;$S1186&amp;"|"&amp;$AH1186,'ASIGNACIONES'!$N$4:$N$451,0)),0)-$AJ1186)</f>
        <v/>
      </c>
      <c r="AL1186" s="32">
        <f>IF($A1186="","",IFERROR(INDEX('2_IMPORTAR_EJECUCION'!$F$9:$F$1208,MATCH($AU1186,'2_IMPORTAR_EJECUCION'!$J$9:$J$1208,0)),0))</f>
        <v/>
      </c>
      <c r="AM1186" s="32">
        <f>IF($A1186="","",MAX(0,IFERROR(INDEX('2_IMPORTAR_EJECUCION'!$H$9:$H$1208,MATCH($AU1186,'2_IMPORTAR_EJECUCION'!$J$9:$J$1208,0)),0)-$AL1186))</f>
        <v/>
      </c>
      <c r="AN1186" s="32">
        <f>IF($A1186="","",$AL1186+$AM1186)</f>
        <v/>
      </c>
      <c r="AO1186" s="24">
        <f>IF($A1186="","",IF(OR((IFERROR(INDEX('CAT_ACTIVIDADES'!$D$4:$D$26,MATCH($H1186,'CAT_ACTIVIDADES'!$A$4:$A$26,0)),""))=0,(IFERROR(INDEX('CAT_ACTIVIDADES'!$D$4:$D$26,MATCH($H1186,'CAT_ACTIVIDADES'!$A$4:$A$26,0)),""))=""),"SIN CLASIFICAR",IFERROR(INDEX('CAT_ACTIVIDADES'!$D$4:$D$26,MATCH($H1186,'CAT_ACTIVIDADES'!$A$4:$A$26,0)),"")))</f>
        <v/>
      </c>
      <c r="AP1186" s="4" t="n"/>
      <c r="AQ1186" s="4" t="n"/>
      <c r="AR1186" s="4" t="n"/>
      <c r="AS1186" s="24">
        <f>IF($AR1186="","",HYPERLINK(p_ruta_base_checklists&amp;$AR1186,"abrir"))</f>
        <v/>
      </c>
      <c r="AT1186" s="4" t="n"/>
      <c r="AU1186" s="24">
        <f>IF($A1186="","",$A1186&amp;IF($B1186="","0010",$B1186))</f>
        <v/>
      </c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41" t="n"/>
      <c r="K1187" s="5" t="n"/>
      <c r="L1187" s="18" t="n"/>
      <c r="M1187" s="24">
        <f>IF($A1187="","",IFERROR(INDEX('AJUSTES'!$B$4:$B$303,MATCH($AU1187,'AJUSTES'!$A$4:$A$303,0)),IF($K1187="","",$K1187)))</f>
        <v/>
      </c>
      <c r="N1187" s="24">
        <f>IF($A1187="","",IFERROR(INDEX('CAT_ESTADOS_ERP'!$B$4:$B$22,MATCH(IFERROR(INDEX('2_IMPORTAR_EJECUCION'!$C$9:$C$1208,MATCH($AU1187,'2_IMPORTAR_EJECUCION'!$J$9:$J$1208,0)),""),'CAT_ESTADOS_ERP'!$A$4:$A$22,0)),"Pendiente"))</f>
        <v/>
      </c>
      <c r="O1187" s="24">
        <f>IF($J1187="","",YEAR($J1187+4-WEEKDAY($J1187,2))&amp;"-S"&amp;TEXT(_xlfn.ISOWEEKNUM($J1187),"00"))</f>
        <v/>
      </c>
      <c r="P1187" s="24">
        <f>IF($J1187="","",YEAR($J1187))</f>
        <v/>
      </c>
      <c r="Q1187" s="24">
        <f>IF($J1187="","",MONTH($J1187))</f>
        <v/>
      </c>
      <c r="R1187" s="24">
        <f>IF($J1187="","",$P1187&amp;"-"&amp;TEXT($Q1187,"00"))</f>
        <v/>
      </c>
      <c r="S1187" s="24">
        <f>IF($J1187="","",INDEX(lista_dias,WEEKDAY($J1187,2)))</f>
        <v/>
      </c>
      <c r="T1187" s="24">
        <f>IF($J1187="","",IFERROR(INDEX('CALENDARIO'!$C$15:$C$214,MATCH(TEXT($J1187,"yyyy-mm-dd")&amp;"|"&amp;$Y1187&amp;"|"&amp;$Z1187,'CALENDARIO'!$G$15:$G$214,0)),IFERROR(INDEX('CALENDARIO'!$C$15:$C$214,MATCH(TEXT($J1187,"yyyy-mm-dd")&amp;"|"&amp;$Y1187&amp;"|",'CALENDARIO'!$G$15:$G$214,0)),IFERROR(INDEX('CALENDARIO'!$C$15:$C$214,MATCH(TEXT($J1187,"yyyy-mm-dd")&amp;"||",'CALENDARIO'!$G$15:$G$214,0)),INDEX(patronHabil,WEEKDAY($J1187,2))))))</f>
        <v/>
      </c>
      <c r="U1187" s="24">
        <f>IF($I1187="","",IFERROR(INDEX('CAT_TIPOS_OT'!$C$4:$C$23,MATCH($I1187,'CAT_TIPOS_OT'!$A$4:$A$23,0)),"sin_clasificar"))</f>
        <v/>
      </c>
      <c r="V1187" s="24">
        <f>IF($I1187="","",IF(IFERROR(INDEX('CAT_TIPOS_OT'!$D$4:$D$23,MATCH($I1187,'CAT_TIPOS_OT'!$A$4:$A$23,0)),"SIN CLASIFICAR")="","SIN CLASIFICAR",IFERROR(INDEX('CAT_TIPOS_OT'!$D$4:$D$23,MATCH($I1187,'CAT_TIPOS_OT'!$A$4:$A$23,0)),"SIN CLASIFICAR")))</f>
        <v/>
      </c>
      <c r="W1187" s="24">
        <f>IF($H1187="","",IF(IFERROR(INDEX('CAT_ACTIVIDADES'!$F$4:$F$26,MATCH($H1187,'CAT_ACTIVIDADES'!$A$4:$A$26,0)),"")=0,"",IFERROR(INDEX('CAT_ACTIVIDADES'!$F$4:$F$26,MATCH($H1187,'CAT_ACTIVIDADES'!$A$4:$A$26,0)),"")))</f>
        <v/>
      </c>
      <c r="X1187" s="24">
        <f>IF($F1187="","",IFERROR(INDEX('CAT_CENTROS_COSTO'!$F$4:$F$28,MATCH($F1187,'CAT_CENTROS_COSTO'!$A$4:$A$28,0)),"(sin catálogo)"))</f>
        <v/>
      </c>
      <c r="Y1187" s="24">
        <f>IF($F1187="","",IFERROR(INDEX('CAT_CENTROS_COSTO'!$D$4:$D$28,MATCH($F1187,'CAT_CENTROS_COSTO'!$A$4:$A$28,0)),"(sin catálogo)"))</f>
        <v/>
      </c>
      <c r="Z1187" s="24">
        <f>IF($F1187="","",IF((IFERROR(INDEX('CAT_CENTROS_COSTO'!$E$4:$E$28,MATCH($F1187,'CAT_CENTROS_COSTO'!$A$4:$A$28,0)),""))&lt;&gt;"",IFERROR(INDEX('CAT_CENTROS_COSTO'!$E$4:$E$28,MATCH($F1187,'CAT_CENTROS_COSTO'!$A$4:$A$28,0)),""),$Y1187))</f>
        <v/>
      </c>
      <c r="AA1187" s="24">
        <f>IF($F1187="","",IFERROR(INDEX('CAT_CENTROS_COSTO'!$G$4:$G$28,MATCH($F1187,'CAT_CENTROS_COSTO'!$A$4:$A$28,0)),"(sin catálogo)"))</f>
        <v/>
      </c>
      <c r="AB1187" s="24">
        <f>IF($G1187="","",IFERROR(INDEX('CAT_PUESTOS'!$B$4:$B$23,MATCH($G1187,'CAT_PUESTOS'!$A$4:$A$23,0)),"(sin catálogo)"))</f>
        <v/>
      </c>
      <c r="AC1187" s="24">
        <f>IF($H1187="","",IFERROR(INDEX('CAT_ACTIVIDADES'!$B$4:$B$26,MATCH($H1187,'CAT_ACTIVIDADES'!$A$4:$A$26,0)),"(sin catálogo)"))</f>
        <v/>
      </c>
      <c r="AD1187" s="26">
        <f>IF($J1187="","",TODAY()-$J1187)</f>
        <v/>
      </c>
      <c r="AE1187" s="26">
        <f>IF($J1187="","",IF($J1187&lt;=TODAY(),COUNTIFS(cal_fechas,"&gt;="&amp;$J1187,cal_fechas,"&lt;"&amp;TODAY(),cal_habil,"sí"),-COUNTIFS(cal_fechas,"&gt;="&amp;TODAY(),cal_fechas,"&lt;"&amp;$J1187,cal_habil,"sí")))</f>
        <v/>
      </c>
      <c r="AF1187" s="24">
        <f>IF($AE1187="","",IF($AE1187&lt;0,"FUTURO",IF($AE1187&gt;p_dias_backlog_max,"BACKLOG","MES CORRIENTE")))</f>
        <v/>
      </c>
      <c r="AG1187" s="24">
        <f>IF($AE1187="",FALSE,AND($AE1187&gt;p_dias_backlog_min,$AE1187&lt;=p_dias_backlog_max))</f>
        <v/>
      </c>
      <c r="AH1187" s="4" t="n"/>
      <c r="AI1187" s="24">
        <f>IF($AH1187="","",IF((IFERROR(INDEX('ASIGNACIONES'!$J$4:$J$451,MATCH($O1187&amp;"|"&amp;$S1187&amp;"|"&amp;$AH1187,'ASIGNACIONES'!$N$4:$N$451,0)),""))=0,"",IFERROR(INDEX('ASIGNACIONES'!$J$4:$J$451,MATCH($O1187&amp;"|"&amp;$S1187&amp;"|"&amp;$AH1187,'ASIGNACIONES'!$N$4:$N$451,0)),"")))</f>
        <v/>
      </c>
      <c r="AJ1187" s="42">
        <f>IF($AH1187="","",SUMIFS('ORDENES'!$M$4:$M$1203,'ORDENES'!$AH$4:$AH$1203,$AH1187,'ORDENES'!$O$4:$O$1203,$O1187,'ORDENES'!$S$4:$S$1203,$S1187))</f>
        <v/>
      </c>
      <c r="AK1187" s="42">
        <f>IF($AJ1187="","",p_factor_productividad*IFERROR(INDEX('ASIGNACIONES'!$M$4:$M$451,MATCH($O1187&amp;"|"&amp;$S1187&amp;"|"&amp;$AH1187,'ASIGNACIONES'!$N$4:$N$451,0)),0)-$AJ1187)</f>
        <v/>
      </c>
      <c r="AL1187" s="32">
        <f>IF($A1187="","",IFERROR(INDEX('2_IMPORTAR_EJECUCION'!$F$9:$F$1208,MATCH($AU1187,'2_IMPORTAR_EJECUCION'!$J$9:$J$1208,0)),0))</f>
        <v/>
      </c>
      <c r="AM1187" s="32">
        <f>IF($A1187="","",MAX(0,IFERROR(INDEX('2_IMPORTAR_EJECUCION'!$H$9:$H$1208,MATCH($AU1187,'2_IMPORTAR_EJECUCION'!$J$9:$J$1208,0)),0)-$AL1187))</f>
        <v/>
      </c>
      <c r="AN1187" s="32">
        <f>IF($A1187="","",$AL1187+$AM1187)</f>
        <v/>
      </c>
      <c r="AO1187" s="24">
        <f>IF($A1187="","",IF(OR((IFERROR(INDEX('CAT_ACTIVIDADES'!$D$4:$D$26,MATCH($H1187,'CAT_ACTIVIDADES'!$A$4:$A$26,0)),""))=0,(IFERROR(INDEX('CAT_ACTIVIDADES'!$D$4:$D$26,MATCH($H1187,'CAT_ACTIVIDADES'!$A$4:$A$26,0)),""))=""),"SIN CLASIFICAR",IFERROR(INDEX('CAT_ACTIVIDADES'!$D$4:$D$26,MATCH($H1187,'CAT_ACTIVIDADES'!$A$4:$A$26,0)),"")))</f>
        <v/>
      </c>
      <c r="AP1187" s="4" t="n"/>
      <c r="AQ1187" s="4" t="n"/>
      <c r="AR1187" s="4" t="n"/>
      <c r="AS1187" s="24">
        <f>IF($AR1187="","",HYPERLINK(p_ruta_base_checklists&amp;$AR1187,"abrir"))</f>
        <v/>
      </c>
      <c r="AT1187" s="4" t="n"/>
      <c r="AU1187" s="24">
        <f>IF($A1187="","",$A1187&amp;IF($B1187="","0010",$B1187))</f>
        <v/>
      </c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41" t="n"/>
      <c r="K1188" s="5" t="n"/>
      <c r="L1188" s="18" t="n"/>
      <c r="M1188" s="24">
        <f>IF($A1188="","",IFERROR(INDEX('AJUSTES'!$B$4:$B$303,MATCH($AU1188,'AJUSTES'!$A$4:$A$303,0)),IF($K1188="","",$K1188)))</f>
        <v/>
      </c>
      <c r="N1188" s="24">
        <f>IF($A1188="","",IFERROR(INDEX('CAT_ESTADOS_ERP'!$B$4:$B$22,MATCH(IFERROR(INDEX('2_IMPORTAR_EJECUCION'!$C$9:$C$1208,MATCH($AU1188,'2_IMPORTAR_EJECUCION'!$J$9:$J$1208,0)),""),'CAT_ESTADOS_ERP'!$A$4:$A$22,0)),"Pendiente"))</f>
        <v/>
      </c>
      <c r="O1188" s="24">
        <f>IF($J1188="","",YEAR($J1188+4-WEEKDAY($J1188,2))&amp;"-S"&amp;TEXT(_xlfn.ISOWEEKNUM($J1188),"00"))</f>
        <v/>
      </c>
      <c r="P1188" s="24">
        <f>IF($J1188="","",YEAR($J1188))</f>
        <v/>
      </c>
      <c r="Q1188" s="24">
        <f>IF($J1188="","",MONTH($J1188))</f>
        <v/>
      </c>
      <c r="R1188" s="24">
        <f>IF($J1188="","",$P1188&amp;"-"&amp;TEXT($Q1188,"00"))</f>
        <v/>
      </c>
      <c r="S1188" s="24">
        <f>IF($J1188="","",INDEX(lista_dias,WEEKDAY($J1188,2)))</f>
        <v/>
      </c>
      <c r="T1188" s="24">
        <f>IF($J1188="","",IFERROR(INDEX('CALENDARIO'!$C$15:$C$214,MATCH(TEXT($J1188,"yyyy-mm-dd")&amp;"|"&amp;$Y1188&amp;"|"&amp;$Z1188,'CALENDARIO'!$G$15:$G$214,0)),IFERROR(INDEX('CALENDARIO'!$C$15:$C$214,MATCH(TEXT($J1188,"yyyy-mm-dd")&amp;"|"&amp;$Y1188&amp;"|",'CALENDARIO'!$G$15:$G$214,0)),IFERROR(INDEX('CALENDARIO'!$C$15:$C$214,MATCH(TEXT($J1188,"yyyy-mm-dd")&amp;"||",'CALENDARIO'!$G$15:$G$214,0)),INDEX(patronHabil,WEEKDAY($J1188,2))))))</f>
        <v/>
      </c>
      <c r="U1188" s="24">
        <f>IF($I1188="","",IFERROR(INDEX('CAT_TIPOS_OT'!$C$4:$C$23,MATCH($I1188,'CAT_TIPOS_OT'!$A$4:$A$23,0)),"sin_clasificar"))</f>
        <v/>
      </c>
      <c r="V1188" s="24">
        <f>IF($I1188="","",IF(IFERROR(INDEX('CAT_TIPOS_OT'!$D$4:$D$23,MATCH($I1188,'CAT_TIPOS_OT'!$A$4:$A$23,0)),"SIN CLASIFICAR")="","SIN CLASIFICAR",IFERROR(INDEX('CAT_TIPOS_OT'!$D$4:$D$23,MATCH($I1188,'CAT_TIPOS_OT'!$A$4:$A$23,0)),"SIN CLASIFICAR")))</f>
        <v/>
      </c>
      <c r="W1188" s="24">
        <f>IF($H1188="","",IF(IFERROR(INDEX('CAT_ACTIVIDADES'!$F$4:$F$26,MATCH($H1188,'CAT_ACTIVIDADES'!$A$4:$A$26,0)),"")=0,"",IFERROR(INDEX('CAT_ACTIVIDADES'!$F$4:$F$26,MATCH($H1188,'CAT_ACTIVIDADES'!$A$4:$A$26,0)),"")))</f>
        <v/>
      </c>
      <c r="X1188" s="24">
        <f>IF($F1188="","",IFERROR(INDEX('CAT_CENTROS_COSTO'!$F$4:$F$28,MATCH($F1188,'CAT_CENTROS_COSTO'!$A$4:$A$28,0)),"(sin catálogo)"))</f>
        <v/>
      </c>
      <c r="Y1188" s="24">
        <f>IF($F1188="","",IFERROR(INDEX('CAT_CENTROS_COSTO'!$D$4:$D$28,MATCH($F1188,'CAT_CENTROS_COSTO'!$A$4:$A$28,0)),"(sin catálogo)"))</f>
        <v/>
      </c>
      <c r="Z1188" s="24">
        <f>IF($F1188="","",IF((IFERROR(INDEX('CAT_CENTROS_COSTO'!$E$4:$E$28,MATCH($F1188,'CAT_CENTROS_COSTO'!$A$4:$A$28,0)),""))&lt;&gt;"",IFERROR(INDEX('CAT_CENTROS_COSTO'!$E$4:$E$28,MATCH($F1188,'CAT_CENTROS_COSTO'!$A$4:$A$28,0)),""),$Y1188))</f>
        <v/>
      </c>
      <c r="AA1188" s="24">
        <f>IF($F1188="","",IFERROR(INDEX('CAT_CENTROS_COSTO'!$G$4:$G$28,MATCH($F1188,'CAT_CENTROS_COSTO'!$A$4:$A$28,0)),"(sin catálogo)"))</f>
        <v/>
      </c>
      <c r="AB1188" s="24">
        <f>IF($G1188="","",IFERROR(INDEX('CAT_PUESTOS'!$B$4:$B$23,MATCH($G1188,'CAT_PUESTOS'!$A$4:$A$23,0)),"(sin catálogo)"))</f>
        <v/>
      </c>
      <c r="AC1188" s="24">
        <f>IF($H1188="","",IFERROR(INDEX('CAT_ACTIVIDADES'!$B$4:$B$26,MATCH($H1188,'CAT_ACTIVIDADES'!$A$4:$A$26,0)),"(sin catálogo)"))</f>
        <v/>
      </c>
      <c r="AD1188" s="26">
        <f>IF($J1188="","",TODAY()-$J1188)</f>
        <v/>
      </c>
      <c r="AE1188" s="26">
        <f>IF($J1188="","",IF($J1188&lt;=TODAY(),COUNTIFS(cal_fechas,"&gt;="&amp;$J1188,cal_fechas,"&lt;"&amp;TODAY(),cal_habil,"sí"),-COUNTIFS(cal_fechas,"&gt;="&amp;TODAY(),cal_fechas,"&lt;"&amp;$J1188,cal_habil,"sí")))</f>
        <v/>
      </c>
      <c r="AF1188" s="24">
        <f>IF($AE1188="","",IF($AE1188&lt;0,"FUTURO",IF($AE1188&gt;p_dias_backlog_max,"BACKLOG","MES CORRIENTE")))</f>
        <v/>
      </c>
      <c r="AG1188" s="24">
        <f>IF($AE1188="",FALSE,AND($AE1188&gt;p_dias_backlog_min,$AE1188&lt;=p_dias_backlog_max))</f>
        <v/>
      </c>
      <c r="AH1188" s="4" t="n"/>
      <c r="AI1188" s="24">
        <f>IF($AH1188="","",IF((IFERROR(INDEX('ASIGNACIONES'!$J$4:$J$451,MATCH($O1188&amp;"|"&amp;$S1188&amp;"|"&amp;$AH1188,'ASIGNACIONES'!$N$4:$N$451,0)),""))=0,"",IFERROR(INDEX('ASIGNACIONES'!$J$4:$J$451,MATCH($O1188&amp;"|"&amp;$S1188&amp;"|"&amp;$AH1188,'ASIGNACIONES'!$N$4:$N$451,0)),"")))</f>
        <v/>
      </c>
      <c r="AJ1188" s="42">
        <f>IF($AH1188="","",SUMIFS('ORDENES'!$M$4:$M$1203,'ORDENES'!$AH$4:$AH$1203,$AH1188,'ORDENES'!$O$4:$O$1203,$O1188,'ORDENES'!$S$4:$S$1203,$S1188))</f>
        <v/>
      </c>
      <c r="AK1188" s="42">
        <f>IF($AJ1188="","",p_factor_productividad*IFERROR(INDEX('ASIGNACIONES'!$M$4:$M$451,MATCH($O1188&amp;"|"&amp;$S1188&amp;"|"&amp;$AH1188,'ASIGNACIONES'!$N$4:$N$451,0)),0)-$AJ1188)</f>
        <v/>
      </c>
      <c r="AL1188" s="32">
        <f>IF($A1188="","",IFERROR(INDEX('2_IMPORTAR_EJECUCION'!$F$9:$F$1208,MATCH($AU1188,'2_IMPORTAR_EJECUCION'!$J$9:$J$1208,0)),0))</f>
        <v/>
      </c>
      <c r="AM1188" s="32">
        <f>IF($A1188="","",MAX(0,IFERROR(INDEX('2_IMPORTAR_EJECUCION'!$H$9:$H$1208,MATCH($AU1188,'2_IMPORTAR_EJECUCION'!$J$9:$J$1208,0)),0)-$AL1188))</f>
        <v/>
      </c>
      <c r="AN1188" s="32">
        <f>IF($A1188="","",$AL1188+$AM1188)</f>
        <v/>
      </c>
      <c r="AO1188" s="24">
        <f>IF($A1188="","",IF(OR((IFERROR(INDEX('CAT_ACTIVIDADES'!$D$4:$D$26,MATCH($H1188,'CAT_ACTIVIDADES'!$A$4:$A$26,0)),""))=0,(IFERROR(INDEX('CAT_ACTIVIDADES'!$D$4:$D$26,MATCH($H1188,'CAT_ACTIVIDADES'!$A$4:$A$26,0)),""))=""),"SIN CLASIFICAR",IFERROR(INDEX('CAT_ACTIVIDADES'!$D$4:$D$26,MATCH($H1188,'CAT_ACTIVIDADES'!$A$4:$A$26,0)),"")))</f>
        <v/>
      </c>
      <c r="AP1188" s="4" t="n"/>
      <c r="AQ1188" s="4" t="n"/>
      <c r="AR1188" s="4" t="n"/>
      <c r="AS1188" s="24">
        <f>IF($AR1188="","",HYPERLINK(p_ruta_base_checklists&amp;$AR1188,"abrir"))</f>
        <v/>
      </c>
      <c r="AT1188" s="4" t="n"/>
      <c r="AU1188" s="24">
        <f>IF($A1188="","",$A1188&amp;IF($B1188="","0010",$B1188))</f>
        <v/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41" t="n"/>
      <c r="K1189" s="5" t="n"/>
      <c r="L1189" s="18" t="n"/>
      <c r="M1189" s="24">
        <f>IF($A1189="","",IFERROR(INDEX('AJUSTES'!$B$4:$B$303,MATCH($AU1189,'AJUSTES'!$A$4:$A$303,0)),IF($K1189="","",$K1189)))</f>
        <v/>
      </c>
      <c r="N1189" s="24">
        <f>IF($A1189="","",IFERROR(INDEX('CAT_ESTADOS_ERP'!$B$4:$B$22,MATCH(IFERROR(INDEX('2_IMPORTAR_EJECUCION'!$C$9:$C$1208,MATCH($AU1189,'2_IMPORTAR_EJECUCION'!$J$9:$J$1208,0)),""),'CAT_ESTADOS_ERP'!$A$4:$A$22,0)),"Pendiente"))</f>
        <v/>
      </c>
      <c r="O1189" s="24">
        <f>IF($J1189="","",YEAR($J1189+4-WEEKDAY($J1189,2))&amp;"-S"&amp;TEXT(_xlfn.ISOWEEKNUM($J1189),"00"))</f>
        <v/>
      </c>
      <c r="P1189" s="24">
        <f>IF($J1189="","",YEAR($J1189))</f>
        <v/>
      </c>
      <c r="Q1189" s="24">
        <f>IF($J1189="","",MONTH($J1189))</f>
        <v/>
      </c>
      <c r="R1189" s="24">
        <f>IF($J1189="","",$P1189&amp;"-"&amp;TEXT($Q1189,"00"))</f>
        <v/>
      </c>
      <c r="S1189" s="24">
        <f>IF($J1189="","",INDEX(lista_dias,WEEKDAY($J1189,2)))</f>
        <v/>
      </c>
      <c r="T1189" s="24">
        <f>IF($J1189="","",IFERROR(INDEX('CALENDARIO'!$C$15:$C$214,MATCH(TEXT($J1189,"yyyy-mm-dd")&amp;"|"&amp;$Y1189&amp;"|"&amp;$Z1189,'CALENDARIO'!$G$15:$G$214,0)),IFERROR(INDEX('CALENDARIO'!$C$15:$C$214,MATCH(TEXT($J1189,"yyyy-mm-dd")&amp;"|"&amp;$Y1189&amp;"|",'CALENDARIO'!$G$15:$G$214,0)),IFERROR(INDEX('CALENDARIO'!$C$15:$C$214,MATCH(TEXT($J1189,"yyyy-mm-dd")&amp;"||",'CALENDARIO'!$G$15:$G$214,0)),INDEX(patronHabil,WEEKDAY($J1189,2))))))</f>
        <v/>
      </c>
      <c r="U1189" s="24">
        <f>IF($I1189="","",IFERROR(INDEX('CAT_TIPOS_OT'!$C$4:$C$23,MATCH($I1189,'CAT_TIPOS_OT'!$A$4:$A$23,0)),"sin_clasificar"))</f>
        <v/>
      </c>
      <c r="V1189" s="24">
        <f>IF($I1189="","",IF(IFERROR(INDEX('CAT_TIPOS_OT'!$D$4:$D$23,MATCH($I1189,'CAT_TIPOS_OT'!$A$4:$A$23,0)),"SIN CLASIFICAR")="","SIN CLASIFICAR",IFERROR(INDEX('CAT_TIPOS_OT'!$D$4:$D$23,MATCH($I1189,'CAT_TIPOS_OT'!$A$4:$A$23,0)),"SIN CLASIFICAR")))</f>
        <v/>
      </c>
      <c r="W1189" s="24">
        <f>IF($H1189="","",IF(IFERROR(INDEX('CAT_ACTIVIDADES'!$F$4:$F$26,MATCH($H1189,'CAT_ACTIVIDADES'!$A$4:$A$26,0)),"")=0,"",IFERROR(INDEX('CAT_ACTIVIDADES'!$F$4:$F$26,MATCH($H1189,'CAT_ACTIVIDADES'!$A$4:$A$26,0)),"")))</f>
        <v/>
      </c>
      <c r="X1189" s="24">
        <f>IF($F1189="","",IFERROR(INDEX('CAT_CENTROS_COSTO'!$F$4:$F$28,MATCH($F1189,'CAT_CENTROS_COSTO'!$A$4:$A$28,0)),"(sin catálogo)"))</f>
        <v/>
      </c>
      <c r="Y1189" s="24">
        <f>IF($F1189="","",IFERROR(INDEX('CAT_CENTROS_COSTO'!$D$4:$D$28,MATCH($F1189,'CAT_CENTROS_COSTO'!$A$4:$A$28,0)),"(sin catálogo)"))</f>
        <v/>
      </c>
      <c r="Z1189" s="24">
        <f>IF($F1189="","",IF((IFERROR(INDEX('CAT_CENTROS_COSTO'!$E$4:$E$28,MATCH($F1189,'CAT_CENTROS_COSTO'!$A$4:$A$28,0)),""))&lt;&gt;"",IFERROR(INDEX('CAT_CENTROS_COSTO'!$E$4:$E$28,MATCH($F1189,'CAT_CENTROS_COSTO'!$A$4:$A$28,0)),""),$Y1189))</f>
        <v/>
      </c>
      <c r="AA1189" s="24">
        <f>IF($F1189="","",IFERROR(INDEX('CAT_CENTROS_COSTO'!$G$4:$G$28,MATCH($F1189,'CAT_CENTROS_COSTO'!$A$4:$A$28,0)),"(sin catálogo)"))</f>
        <v/>
      </c>
      <c r="AB1189" s="24">
        <f>IF($G1189="","",IFERROR(INDEX('CAT_PUESTOS'!$B$4:$B$23,MATCH($G1189,'CAT_PUESTOS'!$A$4:$A$23,0)),"(sin catálogo)"))</f>
        <v/>
      </c>
      <c r="AC1189" s="24">
        <f>IF($H1189="","",IFERROR(INDEX('CAT_ACTIVIDADES'!$B$4:$B$26,MATCH($H1189,'CAT_ACTIVIDADES'!$A$4:$A$26,0)),"(sin catálogo)"))</f>
        <v/>
      </c>
      <c r="AD1189" s="26">
        <f>IF($J1189="","",TODAY()-$J1189)</f>
        <v/>
      </c>
      <c r="AE1189" s="26">
        <f>IF($J1189="","",IF($J1189&lt;=TODAY(),COUNTIFS(cal_fechas,"&gt;="&amp;$J1189,cal_fechas,"&lt;"&amp;TODAY(),cal_habil,"sí"),-COUNTIFS(cal_fechas,"&gt;="&amp;TODAY(),cal_fechas,"&lt;"&amp;$J1189,cal_habil,"sí")))</f>
        <v/>
      </c>
      <c r="AF1189" s="24">
        <f>IF($AE1189="","",IF($AE1189&lt;0,"FUTURO",IF($AE1189&gt;p_dias_backlog_max,"BACKLOG","MES CORRIENTE")))</f>
        <v/>
      </c>
      <c r="AG1189" s="24">
        <f>IF($AE1189="",FALSE,AND($AE1189&gt;p_dias_backlog_min,$AE1189&lt;=p_dias_backlog_max))</f>
        <v/>
      </c>
      <c r="AH1189" s="4" t="n"/>
      <c r="AI1189" s="24">
        <f>IF($AH1189="","",IF((IFERROR(INDEX('ASIGNACIONES'!$J$4:$J$451,MATCH($O1189&amp;"|"&amp;$S1189&amp;"|"&amp;$AH1189,'ASIGNACIONES'!$N$4:$N$451,0)),""))=0,"",IFERROR(INDEX('ASIGNACIONES'!$J$4:$J$451,MATCH($O1189&amp;"|"&amp;$S1189&amp;"|"&amp;$AH1189,'ASIGNACIONES'!$N$4:$N$451,0)),"")))</f>
        <v/>
      </c>
      <c r="AJ1189" s="42">
        <f>IF($AH1189="","",SUMIFS('ORDENES'!$M$4:$M$1203,'ORDENES'!$AH$4:$AH$1203,$AH1189,'ORDENES'!$O$4:$O$1203,$O1189,'ORDENES'!$S$4:$S$1203,$S1189))</f>
        <v/>
      </c>
      <c r="AK1189" s="42">
        <f>IF($AJ1189="","",p_factor_productividad*IFERROR(INDEX('ASIGNACIONES'!$M$4:$M$451,MATCH($O1189&amp;"|"&amp;$S1189&amp;"|"&amp;$AH1189,'ASIGNACIONES'!$N$4:$N$451,0)),0)-$AJ1189)</f>
        <v/>
      </c>
      <c r="AL1189" s="32">
        <f>IF($A1189="","",IFERROR(INDEX('2_IMPORTAR_EJECUCION'!$F$9:$F$1208,MATCH($AU1189,'2_IMPORTAR_EJECUCION'!$J$9:$J$1208,0)),0))</f>
        <v/>
      </c>
      <c r="AM1189" s="32">
        <f>IF($A1189="","",MAX(0,IFERROR(INDEX('2_IMPORTAR_EJECUCION'!$H$9:$H$1208,MATCH($AU1189,'2_IMPORTAR_EJECUCION'!$J$9:$J$1208,0)),0)-$AL1189))</f>
        <v/>
      </c>
      <c r="AN1189" s="32">
        <f>IF($A1189="","",$AL1189+$AM1189)</f>
        <v/>
      </c>
      <c r="AO1189" s="24">
        <f>IF($A1189="","",IF(OR((IFERROR(INDEX('CAT_ACTIVIDADES'!$D$4:$D$26,MATCH($H1189,'CAT_ACTIVIDADES'!$A$4:$A$26,0)),""))=0,(IFERROR(INDEX('CAT_ACTIVIDADES'!$D$4:$D$26,MATCH($H1189,'CAT_ACTIVIDADES'!$A$4:$A$26,0)),""))=""),"SIN CLASIFICAR",IFERROR(INDEX('CAT_ACTIVIDADES'!$D$4:$D$26,MATCH($H1189,'CAT_ACTIVIDADES'!$A$4:$A$26,0)),"")))</f>
        <v/>
      </c>
      <c r="AP1189" s="4" t="n"/>
      <c r="AQ1189" s="4" t="n"/>
      <c r="AR1189" s="4" t="n"/>
      <c r="AS1189" s="24">
        <f>IF($AR1189="","",HYPERLINK(p_ruta_base_checklists&amp;$AR1189,"abrir"))</f>
        <v/>
      </c>
      <c r="AT1189" s="4" t="n"/>
      <c r="AU1189" s="24">
        <f>IF($A1189="","",$A1189&amp;IF($B1189="","0010",$B1189))</f>
        <v/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41" t="n"/>
      <c r="K1190" s="5" t="n"/>
      <c r="L1190" s="18" t="n"/>
      <c r="M1190" s="24">
        <f>IF($A1190="","",IFERROR(INDEX('AJUSTES'!$B$4:$B$303,MATCH($AU1190,'AJUSTES'!$A$4:$A$303,0)),IF($K1190="","",$K1190)))</f>
        <v/>
      </c>
      <c r="N1190" s="24">
        <f>IF($A1190="","",IFERROR(INDEX('CAT_ESTADOS_ERP'!$B$4:$B$22,MATCH(IFERROR(INDEX('2_IMPORTAR_EJECUCION'!$C$9:$C$1208,MATCH($AU1190,'2_IMPORTAR_EJECUCION'!$J$9:$J$1208,0)),""),'CAT_ESTADOS_ERP'!$A$4:$A$22,0)),"Pendiente"))</f>
        <v/>
      </c>
      <c r="O1190" s="24">
        <f>IF($J1190="","",YEAR($J1190+4-WEEKDAY($J1190,2))&amp;"-S"&amp;TEXT(_xlfn.ISOWEEKNUM($J1190),"00"))</f>
        <v/>
      </c>
      <c r="P1190" s="24">
        <f>IF($J1190="","",YEAR($J1190))</f>
        <v/>
      </c>
      <c r="Q1190" s="24">
        <f>IF($J1190="","",MONTH($J1190))</f>
        <v/>
      </c>
      <c r="R1190" s="24">
        <f>IF($J1190="","",$P1190&amp;"-"&amp;TEXT($Q1190,"00"))</f>
        <v/>
      </c>
      <c r="S1190" s="24">
        <f>IF($J1190="","",INDEX(lista_dias,WEEKDAY($J1190,2)))</f>
        <v/>
      </c>
      <c r="T1190" s="24">
        <f>IF($J1190="","",IFERROR(INDEX('CALENDARIO'!$C$15:$C$214,MATCH(TEXT($J1190,"yyyy-mm-dd")&amp;"|"&amp;$Y1190&amp;"|"&amp;$Z1190,'CALENDARIO'!$G$15:$G$214,0)),IFERROR(INDEX('CALENDARIO'!$C$15:$C$214,MATCH(TEXT($J1190,"yyyy-mm-dd")&amp;"|"&amp;$Y1190&amp;"|",'CALENDARIO'!$G$15:$G$214,0)),IFERROR(INDEX('CALENDARIO'!$C$15:$C$214,MATCH(TEXT($J1190,"yyyy-mm-dd")&amp;"||",'CALENDARIO'!$G$15:$G$214,0)),INDEX(patronHabil,WEEKDAY($J1190,2))))))</f>
        <v/>
      </c>
      <c r="U1190" s="24">
        <f>IF($I1190="","",IFERROR(INDEX('CAT_TIPOS_OT'!$C$4:$C$23,MATCH($I1190,'CAT_TIPOS_OT'!$A$4:$A$23,0)),"sin_clasificar"))</f>
        <v/>
      </c>
      <c r="V1190" s="24">
        <f>IF($I1190="","",IF(IFERROR(INDEX('CAT_TIPOS_OT'!$D$4:$D$23,MATCH($I1190,'CAT_TIPOS_OT'!$A$4:$A$23,0)),"SIN CLASIFICAR")="","SIN CLASIFICAR",IFERROR(INDEX('CAT_TIPOS_OT'!$D$4:$D$23,MATCH($I1190,'CAT_TIPOS_OT'!$A$4:$A$23,0)),"SIN CLASIFICAR")))</f>
        <v/>
      </c>
      <c r="W1190" s="24">
        <f>IF($H1190="","",IF(IFERROR(INDEX('CAT_ACTIVIDADES'!$F$4:$F$26,MATCH($H1190,'CAT_ACTIVIDADES'!$A$4:$A$26,0)),"")=0,"",IFERROR(INDEX('CAT_ACTIVIDADES'!$F$4:$F$26,MATCH($H1190,'CAT_ACTIVIDADES'!$A$4:$A$26,0)),"")))</f>
        <v/>
      </c>
      <c r="X1190" s="24">
        <f>IF($F1190="","",IFERROR(INDEX('CAT_CENTROS_COSTO'!$F$4:$F$28,MATCH($F1190,'CAT_CENTROS_COSTO'!$A$4:$A$28,0)),"(sin catálogo)"))</f>
        <v/>
      </c>
      <c r="Y1190" s="24">
        <f>IF($F1190="","",IFERROR(INDEX('CAT_CENTROS_COSTO'!$D$4:$D$28,MATCH($F1190,'CAT_CENTROS_COSTO'!$A$4:$A$28,0)),"(sin catálogo)"))</f>
        <v/>
      </c>
      <c r="Z1190" s="24">
        <f>IF($F1190="","",IF((IFERROR(INDEX('CAT_CENTROS_COSTO'!$E$4:$E$28,MATCH($F1190,'CAT_CENTROS_COSTO'!$A$4:$A$28,0)),""))&lt;&gt;"",IFERROR(INDEX('CAT_CENTROS_COSTO'!$E$4:$E$28,MATCH($F1190,'CAT_CENTROS_COSTO'!$A$4:$A$28,0)),""),$Y1190))</f>
        <v/>
      </c>
      <c r="AA1190" s="24">
        <f>IF($F1190="","",IFERROR(INDEX('CAT_CENTROS_COSTO'!$G$4:$G$28,MATCH($F1190,'CAT_CENTROS_COSTO'!$A$4:$A$28,0)),"(sin catálogo)"))</f>
        <v/>
      </c>
      <c r="AB1190" s="24">
        <f>IF($G1190="","",IFERROR(INDEX('CAT_PUESTOS'!$B$4:$B$23,MATCH($G1190,'CAT_PUESTOS'!$A$4:$A$23,0)),"(sin catálogo)"))</f>
        <v/>
      </c>
      <c r="AC1190" s="24">
        <f>IF($H1190="","",IFERROR(INDEX('CAT_ACTIVIDADES'!$B$4:$B$26,MATCH($H1190,'CAT_ACTIVIDADES'!$A$4:$A$26,0)),"(sin catálogo)"))</f>
        <v/>
      </c>
      <c r="AD1190" s="26">
        <f>IF($J1190="","",TODAY()-$J1190)</f>
        <v/>
      </c>
      <c r="AE1190" s="26">
        <f>IF($J1190="","",IF($J1190&lt;=TODAY(),COUNTIFS(cal_fechas,"&gt;="&amp;$J1190,cal_fechas,"&lt;"&amp;TODAY(),cal_habil,"sí"),-COUNTIFS(cal_fechas,"&gt;="&amp;TODAY(),cal_fechas,"&lt;"&amp;$J1190,cal_habil,"sí")))</f>
        <v/>
      </c>
      <c r="AF1190" s="24">
        <f>IF($AE1190="","",IF($AE1190&lt;0,"FUTURO",IF($AE1190&gt;p_dias_backlog_max,"BACKLOG","MES CORRIENTE")))</f>
        <v/>
      </c>
      <c r="AG1190" s="24">
        <f>IF($AE1190="",FALSE,AND($AE1190&gt;p_dias_backlog_min,$AE1190&lt;=p_dias_backlog_max))</f>
        <v/>
      </c>
      <c r="AH1190" s="4" t="n"/>
      <c r="AI1190" s="24">
        <f>IF($AH1190="","",IF((IFERROR(INDEX('ASIGNACIONES'!$J$4:$J$451,MATCH($O1190&amp;"|"&amp;$S1190&amp;"|"&amp;$AH1190,'ASIGNACIONES'!$N$4:$N$451,0)),""))=0,"",IFERROR(INDEX('ASIGNACIONES'!$J$4:$J$451,MATCH($O1190&amp;"|"&amp;$S1190&amp;"|"&amp;$AH1190,'ASIGNACIONES'!$N$4:$N$451,0)),"")))</f>
        <v/>
      </c>
      <c r="AJ1190" s="42">
        <f>IF($AH1190="","",SUMIFS('ORDENES'!$M$4:$M$1203,'ORDENES'!$AH$4:$AH$1203,$AH1190,'ORDENES'!$O$4:$O$1203,$O1190,'ORDENES'!$S$4:$S$1203,$S1190))</f>
        <v/>
      </c>
      <c r="AK1190" s="42">
        <f>IF($AJ1190="","",p_factor_productividad*IFERROR(INDEX('ASIGNACIONES'!$M$4:$M$451,MATCH($O1190&amp;"|"&amp;$S1190&amp;"|"&amp;$AH1190,'ASIGNACIONES'!$N$4:$N$451,0)),0)-$AJ1190)</f>
        <v/>
      </c>
      <c r="AL1190" s="32">
        <f>IF($A1190="","",IFERROR(INDEX('2_IMPORTAR_EJECUCION'!$F$9:$F$1208,MATCH($AU1190,'2_IMPORTAR_EJECUCION'!$J$9:$J$1208,0)),0))</f>
        <v/>
      </c>
      <c r="AM1190" s="32">
        <f>IF($A1190="","",MAX(0,IFERROR(INDEX('2_IMPORTAR_EJECUCION'!$H$9:$H$1208,MATCH($AU1190,'2_IMPORTAR_EJECUCION'!$J$9:$J$1208,0)),0)-$AL1190))</f>
        <v/>
      </c>
      <c r="AN1190" s="32">
        <f>IF($A1190="","",$AL1190+$AM1190)</f>
        <v/>
      </c>
      <c r="AO1190" s="24">
        <f>IF($A1190="","",IF(OR((IFERROR(INDEX('CAT_ACTIVIDADES'!$D$4:$D$26,MATCH($H1190,'CAT_ACTIVIDADES'!$A$4:$A$26,0)),""))=0,(IFERROR(INDEX('CAT_ACTIVIDADES'!$D$4:$D$26,MATCH($H1190,'CAT_ACTIVIDADES'!$A$4:$A$26,0)),""))=""),"SIN CLASIFICAR",IFERROR(INDEX('CAT_ACTIVIDADES'!$D$4:$D$26,MATCH($H1190,'CAT_ACTIVIDADES'!$A$4:$A$26,0)),"")))</f>
        <v/>
      </c>
      <c r="AP1190" s="4" t="n"/>
      <c r="AQ1190" s="4" t="n"/>
      <c r="AR1190" s="4" t="n"/>
      <c r="AS1190" s="24">
        <f>IF($AR1190="","",HYPERLINK(p_ruta_base_checklists&amp;$AR1190,"abrir"))</f>
        <v/>
      </c>
      <c r="AT1190" s="4" t="n"/>
      <c r="AU1190" s="24">
        <f>IF($A1190="","",$A1190&amp;IF($B1190="","0010",$B1190))</f>
        <v/>
      </c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41" t="n"/>
      <c r="K1191" s="5" t="n"/>
      <c r="L1191" s="18" t="n"/>
      <c r="M1191" s="24">
        <f>IF($A1191="","",IFERROR(INDEX('AJUSTES'!$B$4:$B$303,MATCH($AU1191,'AJUSTES'!$A$4:$A$303,0)),IF($K1191="","",$K1191)))</f>
        <v/>
      </c>
      <c r="N1191" s="24">
        <f>IF($A1191="","",IFERROR(INDEX('CAT_ESTADOS_ERP'!$B$4:$B$22,MATCH(IFERROR(INDEX('2_IMPORTAR_EJECUCION'!$C$9:$C$1208,MATCH($AU1191,'2_IMPORTAR_EJECUCION'!$J$9:$J$1208,0)),""),'CAT_ESTADOS_ERP'!$A$4:$A$22,0)),"Pendiente"))</f>
        <v/>
      </c>
      <c r="O1191" s="24">
        <f>IF($J1191="","",YEAR($J1191+4-WEEKDAY($J1191,2))&amp;"-S"&amp;TEXT(_xlfn.ISOWEEKNUM($J1191),"00"))</f>
        <v/>
      </c>
      <c r="P1191" s="24">
        <f>IF($J1191="","",YEAR($J1191))</f>
        <v/>
      </c>
      <c r="Q1191" s="24">
        <f>IF($J1191="","",MONTH($J1191))</f>
        <v/>
      </c>
      <c r="R1191" s="24">
        <f>IF($J1191="","",$P1191&amp;"-"&amp;TEXT($Q1191,"00"))</f>
        <v/>
      </c>
      <c r="S1191" s="24">
        <f>IF($J1191="","",INDEX(lista_dias,WEEKDAY($J1191,2)))</f>
        <v/>
      </c>
      <c r="T1191" s="24">
        <f>IF($J1191="","",IFERROR(INDEX('CALENDARIO'!$C$15:$C$214,MATCH(TEXT($J1191,"yyyy-mm-dd")&amp;"|"&amp;$Y1191&amp;"|"&amp;$Z1191,'CALENDARIO'!$G$15:$G$214,0)),IFERROR(INDEX('CALENDARIO'!$C$15:$C$214,MATCH(TEXT($J1191,"yyyy-mm-dd")&amp;"|"&amp;$Y1191&amp;"|",'CALENDARIO'!$G$15:$G$214,0)),IFERROR(INDEX('CALENDARIO'!$C$15:$C$214,MATCH(TEXT($J1191,"yyyy-mm-dd")&amp;"||",'CALENDARIO'!$G$15:$G$214,0)),INDEX(patronHabil,WEEKDAY($J1191,2))))))</f>
        <v/>
      </c>
      <c r="U1191" s="24">
        <f>IF($I1191="","",IFERROR(INDEX('CAT_TIPOS_OT'!$C$4:$C$23,MATCH($I1191,'CAT_TIPOS_OT'!$A$4:$A$23,0)),"sin_clasificar"))</f>
        <v/>
      </c>
      <c r="V1191" s="24">
        <f>IF($I1191="","",IF(IFERROR(INDEX('CAT_TIPOS_OT'!$D$4:$D$23,MATCH($I1191,'CAT_TIPOS_OT'!$A$4:$A$23,0)),"SIN CLASIFICAR")="","SIN CLASIFICAR",IFERROR(INDEX('CAT_TIPOS_OT'!$D$4:$D$23,MATCH($I1191,'CAT_TIPOS_OT'!$A$4:$A$23,0)),"SIN CLASIFICAR")))</f>
        <v/>
      </c>
      <c r="W1191" s="24">
        <f>IF($H1191="","",IF(IFERROR(INDEX('CAT_ACTIVIDADES'!$F$4:$F$26,MATCH($H1191,'CAT_ACTIVIDADES'!$A$4:$A$26,0)),"")=0,"",IFERROR(INDEX('CAT_ACTIVIDADES'!$F$4:$F$26,MATCH($H1191,'CAT_ACTIVIDADES'!$A$4:$A$26,0)),"")))</f>
        <v/>
      </c>
      <c r="X1191" s="24">
        <f>IF($F1191="","",IFERROR(INDEX('CAT_CENTROS_COSTO'!$F$4:$F$28,MATCH($F1191,'CAT_CENTROS_COSTO'!$A$4:$A$28,0)),"(sin catálogo)"))</f>
        <v/>
      </c>
      <c r="Y1191" s="24">
        <f>IF($F1191="","",IFERROR(INDEX('CAT_CENTROS_COSTO'!$D$4:$D$28,MATCH($F1191,'CAT_CENTROS_COSTO'!$A$4:$A$28,0)),"(sin catálogo)"))</f>
        <v/>
      </c>
      <c r="Z1191" s="24">
        <f>IF($F1191="","",IF((IFERROR(INDEX('CAT_CENTROS_COSTO'!$E$4:$E$28,MATCH($F1191,'CAT_CENTROS_COSTO'!$A$4:$A$28,0)),""))&lt;&gt;"",IFERROR(INDEX('CAT_CENTROS_COSTO'!$E$4:$E$28,MATCH($F1191,'CAT_CENTROS_COSTO'!$A$4:$A$28,0)),""),$Y1191))</f>
        <v/>
      </c>
      <c r="AA1191" s="24">
        <f>IF($F1191="","",IFERROR(INDEX('CAT_CENTROS_COSTO'!$G$4:$G$28,MATCH($F1191,'CAT_CENTROS_COSTO'!$A$4:$A$28,0)),"(sin catálogo)"))</f>
        <v/>
      </c>
      <c r="AB1191" s="24">
        <f>IF($G1191="","",IFERROR(INDEX('CAT_PUESTOS'!$B$4:$B$23,MATCH($G1191,'CAT_PUESTOS'!$A$4:$A$23,0)),"(sin catálogo)"))</f>
        <v/>
      </c>
      <c r="AC1191" s="24">
        <f>IF($H1191="","",IFERROR(INDEX('CAT_ACTIVIDADES'!$B$4:$B$26,MATCH($H1191,'CAT_ACTIVIDADES'!$A$4:$A$26,0)),"(sin catálogo)"))</f>
        <v/>
      </c>
      <c r="AD1191" s="26">
        <f>IF($J1191="","",TODAY()-$J1191)</f>
        <v/>
      </c>
      <c r="AE1191" s="26">
        <f>IF($J1191="","",IF($J1191&lt;=TODAY(),COUNTIFS(cal_fechas,"&gt;="&amp;$J1191,cal_fechas,"&lt;"&amp;TODAY(),cal_habil,"sí"),-COUNTIFS(cal_fechas,"&gt;="&amp;TODAY(),cal_fechas,"&lt;"&amp;$J1191,cal_habil,"sí")))</f>
        <v/>
      </c>
      <c r="AF1191" s="24">
        <f>IF($AE1191="","",IF($AE1191&lt;0,"FUTURO",IF($AE1191&gt;p_dias_backlog_max,"BACKLOG","MES CORRIENTE")))</f>
        <v/>
      </c>
      <c r="AG1191" s="24">
        <f>IF($AE1191="",FALSE,AND($AE1191&gt;p_dias_backlog_min,$AE1191&lt;=p_dias_backlog_max))</f>
        <v/>
      </c>
      <c r="AH1191" s="4" t="n"/>
      <c r="AI1191" s="24">
        <f>IF($AH1191="","",IF((IFERROR(INDEX('ASIGNACIONES'!$J$4:$J$451,MATCH($O1191&amp;"|"&amp;$S1191&amp;"|"&amp;$AH1191,'ASIGNACIONES'!$N$4:$N$451,0)),""))=0,"",IFERROR(INDEX('ASIGNACIONES'!$J$4:$J$451,MATCH($O1191&amp;"|"&amp;$S1191&amp;"|"&amp;$AH1191,'ASIGNACIONES'!$N$4:$N$451,0)),"")))</f>
        <v/>
      </c>
      <c r="AJ1191" s="42">
        <f>IF($AH1191="","",SUMIFS('ORDENES'!$M$4:$M$1203,'ORDENES'!$AH$4:$AH$1203,$AH1191,'ORDENES'!$O$4:$O$1203,$O1191,'ORDENES'!$S$4:$S$1203,$S1191))</f>
        <v/>
      </c>
      <c r="AK1191" s="42">
        <f>IF($AJ1191="","",p_factor_productividad*IFERROR(INDEX('ASIGNACIONES'!$M$4:$M$451,MATCH($O1191&amp;"|"&amp;$S1191&amp;"|"&amp;$AH1191,'ASIGNACIONES'!$N$4:$N$451,0)),0)-$AJ1191)</f>
        <v/>
      </c>
      <c r="AL1191" s="32">
        <f>IF($A1191="","",IFERROR(INDEX('2_IMPORTAR_EJECUCION'!$F$9:$F$1208,MATCH($AU1191,'2_IMPORTAR_EJECUCION'!$J$9:$J$1208,0)),0))</f>
        <v/>
      </c>
      <c r="AM1191" s="32">
        <f>IF($A1191="","",MAX(0,IFERROR(INDEX('2_IMPORTAR_EJECUCION'!$H$9:$H$1208,MATCH($AU1191,'2_IMPORTAR_EJECUCION'!$J$9:$J$1208,0)),0)-$AL1191))</f>
        <v/>
      </c>
      <c r="AN1191" s="32">
        <f>IF($A1191="","",$AL1191+$AM1191)</f>
        <v/>
      </c>
      <c r="AO1191" s="24">
        <f>IF($A1191="","",IF(OR((IFERROR(INDEX('CAT_ACTIVIDADES'!$D$4:$D$26,MATCH($H1191,'CAT_ACTIVIDADES'!$A$4:$A$26,0)),""))=0,(IFERROR(INDEX('CAT_ACTIVIDADES'!$D$4:$D$26,MATCH($H1191,'CAT_ACTIVIDADES'!$A$4:$A$26,0)),""))=""),"SIN CLASIFICAR",IFERROR(INDEX('CAT_ACTIVIDADES'!$D$4:$D$26,MATCH($H1191,'CAT_ACTIVIDADES'!$A$4:$A$26,0)),"")))</f>
        <v/>
      </c>
      <c r="AP1191" s="4" t="n"/>
      <c r="AQ1191" s="4" t="n"/>
      <c r="AR1191" s="4" t="n"/>
      <c r="AS1191" s="24">
        <f>IF($AR1191="","",HYPERLINK(p_ruta_base_checklists&amp;$AR1191,"abrir"))</f>
        <v/>
      </c>
      <c r="AT1191" s="4" t="n"/>
      <c r="AU1191" s="24">
        <f>IF($A1191="","",$A1191&amp;IF($B1191="","0010",$B1191))</f>
        <v/>
      </c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41" t="n"/>
      <c r="K1192" s="5" t="n"/>
      <c r="L1192" s="18" t="n"/>
      <c r="M1192" s="24">
        <f>IF($A1192="","",IFERROR(INDEX('AJUSTES'!$B$4:$B$303,MATCH($AU1192,'AJUSTES'!$A$4:$A$303,0)),IF($K1192="","",$K1192)))</f>
        <v/>
      </c>
      <c r="N1192" s="24">
        <f>IF($A1192="","",IFERROR(INDEX('CAT_ESTADOS_ERP'!$B$4:$B$22,MATCH(IFERROR(INDEX('2_IMPORTAR_EJECUCION'!$C$9:$C$1208,MATCH($AU1192,'2_IMPORTAR_EJECUCION'!$J$9:$J$1208,0)),""),'CAT_ESTADOS_ERP'!$A$4:$A$22,0)),"Pendiente"))</f>
        <v/>
      </c>
      <c r="O1192" s="24">
        <f>IF($J1192="","",YEAR($J1192+4-WEEKDAY($J1192,2))&amp;"-S"&amp;TEXT(_xlfn.ISOWEEKNUM($J1192),"00"))</f>
        <v/>
      </c>
      <c r="P1192" s="24">
        <f>IF($J1192="","",YEAR($J1192))</f>
        <v/>
      </c>
      <c r="Q1192" s="24">
        <f>IF($J1192="","",MONTH($J1192))</f>
        <v/>
      </c>
      <c r="R1192" s="24">
        <f>IF($J1192="","",$P1192&amp;"-"&amp;TEXT($Q1192,"00"))</f>
        <v/>
      </c>
      <c r="S1192" s="24">
        <f>IF($J1192="","",INDEX(lista_dias,WEEKDAY($J1192,2)))</f>
        <v/>
      </c>
      <c r="T1192" s="24">
        <f>IF($J1192="","",IFERROR(INDEX('CALENDARIO'!$C$15:$C$214,MATCH(TEXT($J1192,"yyyy-mm-dd")&amp;"|"&amp;$Y1192&amp;"|"&amp;$Z1192,'CALENDARIO'!$G$15:$G$214,0)),IFERROR(INDEX('CALENDARIO'!$C$15:$C$214,MATCH(TEXT($J1192,"yyyy-mm-dd")&amp;"|"&amp;$Y1192&amp;"|",'CALENDARIO'!$G$15:$G$214,0)),IFERROR(INDEX('CALENDARIO'!$C$15:$C$214,MATCH(TEXT($J1192,"yyyy-mm-dd")&amp;"||",'CALENDARIO'!$G$15:$G$214,0)),INDEX(patronHabil,WEEKDAY($J1192,2))))))</f>
        <v/>
      </c>
      <c r="U1192" s="24">
        <f>IF($I1192="","",IFERROR(INDEX('CAT_TIPOS_OT'!$C$4:$C$23,MATCH($I1192,'CAT_TIPOS_OT'!$A$4:$A$23,0)),"sin_clasificar"))</f>
        <v/>
      </c>
      <c r="V1192" s="24">
        <f>IF($I1192="","",IF(IFERROR(INDEX('CAT_TIPOS_OT'!$D$4:$D$23,MATCH($I1192,'CAT_TIPOS_OT'!$A$4:$A$23,0)),"SIN CLASIFICAR")="","SIN CLASIFICAR",IFERROR(INDEX('CAT_TIPOS_OT'!$D$4:$D$23,MATCH($I1192,'CAT_TIPOS_OT'!$A$4:$A$23,0)),"SIN CLASIFICAR")))</f>
        <v/>
      </c>
      <c r="W1192" s="24">
        <f>IF($H1192="","",IF(IFERROR(INDEX('CAT_ACTIVIDADES'!$F$4:$F$26,MATCH($H1192,'CAT_ACTIVIDADES'!$A$4:$A$26,0)),"")=0,"",IFERROR(INDEX('CAT_ACTIVIDADES'!$F$4:$F$26,MATCH($H1192,'CAT_ACTIVIDADES'!$A$4:$A$26,0)),"")))</f>
        <v/>
      </c>
      <c r="X1192" s="24">
        <f>IF($F1192="","",IFERROR(INDEX('CAT_CENTROS_COSTO'!$F$4:$F$28,MATCH($F1192,'CAT_CENTROS_COSTO'!$A$4:$A$28,0)),"(sin catálogo)"))</f>
        <v/>
      </c>
      <c r="Y1192" s="24">
        <f>IF($F1192="","",IFERROR(INDEX('CAT_CENTROS_COSTO'!$D$4:$D$28,MATCH($F1192,'CAT_CENTROS_COSTO'!$A$4:$A$28,0)),"(sin catálogo)"))</f>
        <v/>
      </c>
      <c r="Z1192" s="24">
        <f>IF($F1192="","",IF((IFERROR(INDEX('CAT_CENTROS_COSTO'!$E$4:$E$28,MATCH($F1192,'CAT_CENTROS_COSTO'!$A$4:$A$28,0)),""))&lt;&gt;"",IFERROR(INDEX('CAT_CENTROS_COSTO'!$E$4:$E$28,MATCH($F1192,'CAT_CENTROS_COSTO'!$A$4:$A$28,0)),""),$Y1192))</f>
        <v/>
      </c>
      <c r="AA1192" s="24">
        <f>IF($F1192="","",IFERROR(INDEX('CAT_CENTROS_COSTO'!$G$4:$G$28,MATCH($F1192,'CAT_CENTROS_COSTO'!$A$4:$A$28,0)),"(sin catálogo)"))</f>
        <v/>
      </c>
      <c r="AB1192" s="24">
        <f>IF($G1192="","",IFERROR(INDEX('CAT_PUESTOS'!$B$4:$B$23,MATCH($G1192,'CAT_PUESTOS'!$A$4:$A$23,0)),"(sin catálogo)"))</f>
        <v/>
      </c>
      <c r="AC1192" s="24">
        <f>IF($H1192="","",IFERROR(INDEX('CAT_ACTIVIDADES'!$B$4:$B$26,MATCH($H1192,'CAT_ACTIVIDADES'!$A$4:$A$26,0)),"(sin catálogo)"))</f>
        <v/>
      </c>
      <c r="AD1192" s="26">
        <f>IF($J1192="","",TODAY()-$J1192)</f>
        <v/>
      </c>
      <c r="AE1192" s="26">
        <f>IF($J1192="","",IF($J1192&lt;=TODAY(),COUNTIFS(cal_fechas,"&gt;="&amp;$J1192,cal_fechas,"&lt;"&amp;TODAY(),cal_habil,"sí"),-COUNTIFS(cal_fechas,"&gt;="&amp;TODAY(),cal_fechas,"&lt;"&amp;$J1192,cal_habil,"sí")))</f>
        <v/>
      </c>
      <c r="AF1192" s="24">
        <f>IF($AE1192="","",IF($AE1192&lt;0,"FUTURO",IF($AE1192&gt;p_dias_backlog_max,"BACKLOG","MES CORRIENTE")))</f>
        <v/>
      </c>
      <c r="AG1192" s="24">
        <f>IF($AE1192="",FALSE,AND($AE1192&gt;p_dias_backlog_min,$AE1192&lt;=p_dias_backlog_max))</f>
        <v/>
      </c>
      <c r="AH1192" s="4" t="n"/>
      <c r="AI1192" s="24">
        <f>IF($AH1192="","",IF((IFERROR(INDEX('ASIGNACIONES'!$J$4:$J$451,MATCH($O1192&amp;"|"&amp;$S1192&amp;"|"&amp;$AH1192,'ASIGNACIONES'!$N$4:$N$451,0)),""))=0,"",IFERROR(INDEX('ASIGNACIONES'!$J$4:$J$451,MATCH($O1192&amp;"|"&amp;$S1192&amp;"|"&amp;$AH1192,'ASIGNACIONES'!$N$4:$N$451,0)),"")))</f>
        <v/>
      </c>
      <c r="AJ1192" s="42">
        <f>IF($AH1192="","",SUMIFS('ORDENES'!$M$4:$M$1203,'ORDENES'!$AH$4:$AH$1203,$AH1192,'ORDENES'!$O$4:$O$1203,$O1192,'ORDENES'!$S$4:$S$1203,$S1192))</f>
        <v/>
      </c>
      <c r="AK1192" s="42">
        <f>IF($AJ1192="","",p_factor_productividad*IFERROR(INDEX('ASIGNACIONES'!$M$4:$M$451,MATCH($O1192&amp;"|"&amp;$S1192&amp;"|"&amp;$AH1192,'ASIGNACIONES'!$N$4:$N$451,0)),0)-$AJ1192)</f>
        <v/>
      </c>
      <c r="AL1192" s="32">
        <f>IF($A1192="","",IFERROR(INDEX('2_IMPORTAR_EJECUCION'!$F$9:$F$1208,MATCH($AU1192,'2_IMPORTAR_EJECUCION'!$J$9:$J$1208,0)),0))</f>
        <v/>
      </c>
      <c r="AM1192" s="32">
        <f>IF($A1192="","",MAX(0,IFERROR(INDEX('2_IMPORTAR_EJECUCION'!$H$9:$H$1208,MATCH($AU1192,'2_IMPORTAR_EJECUCION'!$J$9:$J$1208,0)),0)-$AL1192))</f>
        <v/>
      </c>
      <c r="AN1192" s="32">
        <f>IF($A1192="","",$AL1192+$AM1192)</f>
        <v/>
      </c>
      <c r="AO1192" s="24">
        <f>IF($A1192="","",IF(OR((IFERROR(INDEX('CAT_ACTIVIDADES'!$D$4:$D$26,MATCH($H1192,'CAT_ACTIVIDADES'!$A$4:$A$26,0)),""))=0,(IFERROR(INDEX('CAT_ACTIVIDADES'!$D$4:$D$26,MATCH($H1192,'CAT_ACTIVIDADES'!$A$4:$A$26,0)),""))=""),"SIN CLASIFICAR",IFERROR(INDEX('CAT_ACTIVIDADES'!$D$4:$D$26,MATCH($H1192,'CAT_ACTIVIDADES'!$A$4:$A$26,0)),"")))</f>
        <v/>
      </c>
      <c r="AP1192" s="4" t="n"/>
      <c r="AQ1192" s="4" t="n"/>
      <c r="AR1192" s="4" t="n"/>
      <c r="AS1192" s="24">
        <f>IF($AR1192="","",HYPERLINK(p_ruta_base_checklists&amp;$AR1192,"abrir"))</f>
        <v/>
      </c>
      <c r="AT1192" s="4" t="n"/>
      <c r="AU1192" s="24">
        <f>IF($A1192="","",$A1192&amp;IF($B1192="","0010",$B1192))</f>
        <v/>
      </c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41" t="n"/>
      <c r="K1193" s="5" t="n"/>
      <c r="L1193" s="18" t="n"/>
      <c r="M1193" s="24">
        <f>IF($A1193="","",IFERROR(INDEX('AJUSTES'!$B$4:$B$303,MATCH($AU1193,'AJUSTES'!$A$4:$A$303,0)),IF($K1193="","",$K1193)))</f>
        <v/>
      </c>
      <c r="N1193" s="24">
        <f>IF($A1193="","",IFERROR(INDEX('CAT_ESTADOS_ERP'!$B$4:$B$22,MATCH(IFERROR(INDEX('2_IMPORTAR_EJECUCION'!$C$9:$C$1208,MATCH($AU1193,'2_IMPORTAR_EJECUCION'!$J$9:$J$1208,0)),""),'CAT_ESTADOS_ERP'!$A$4:$A$22,0)),"Pendiente"))</f>
        <v/>
      </c>
      <c r="O1193" s="24">
        <f>IF($J1193="","",YEAR($J1193+4-WEEKDAY($J1193,2))&amp;"-S"&amp;TEXT(_xlfn.ISOWEEKNUM($J1193),"00"))</f>
        <v/>
      </c>
      <c r="P1193" s="24">
        <f>IF($J1193="","",YEAR($J1193))</f>
        <v/>
      </c>
      <c r="Q1193" s="24">
        <f>IF($J1193="","",MONTH($J1193))</f>
        <v/>
      </c>
      <c r="R1193" s="24">
        <f>IF($J1193="","",$P1193&amp;"-"&amp;TEXT($Q1193,"00"))</f>
        <v/>
      </c>
      <c r="S1193" s="24">
        <f>IF($J1193="","",INDEX(lista_dias,WEEKDAY($J1193,2)))</f>
        <v/>
      </c>
      <c r="T1193" s="24">
        <f>IF($J1193="","",IFERROR(INDEX('CALENDARIO'!$C$15:$C$214,MATCH(TEXT($J1193,"yyyy-mm-dd")&amp;"|"&amp;$Y1193&amp;"|"&amp;$Z1193,'CALENDARIO'!$G$15:$G$214,0)),IFERROR(INDEX('CALENDARIO'!$C$15:$C$214,MATCH(TEXT($J1193,"yyyy-mm-dd")&amp;"|"&amp;$Y1193&amp;"|",'CALENDARIO'!$G$15:$G$214,0)),IFERROR(INDEX('CALENDARIO'!$C$15:$C$214,MATCH(TEXT($J1193,"yyyy-mm-dd")&amp;"||",'CALENDARIO'!$G$15:$G$214,0)),INDEX(patronHabil,WEEKDAY($J1193,2))))))</f>
        <v/>
      </c>
      <c r="U1193" s="24">
        <f>IF($I1193="","",IFERROR(INDEX('CAT_TIPOS_OT'!$C$4:$C$23,MATCH($I1193,'CAT_TIPOS_OT'!$A$4:$A$23,0)),"sin_clasificar"))</f>
        <v/>
      </c>
      <c r="V1193" s="24">
        <f>IF($I1193="","",IF(IFERROR(INDEX('CAT_TIPOS_OT'!$D$4:$D$23,MATCH($I1193,'CAT_TIPOS_OT'!$A$4:$A$23,0)),"SIN CLASIFICAR")="","SIN CLASIFICAR",IFERROR(INDEX('CAT_TIPOS_OT'!$D$4:$D$23,MATCH($I1193,'CAT_TIPOS_OT'!$A$4:$A$23,0)),"SIN CLASIFICAR")))</f>
        <v/>
      </c>
      <c r="W1193" s="24">
        <f>IF($H1193="","",IF(IFERROR(INDEX('CAT_ACTIVIDADES'!$F$4:$F$26,MATCH($H1193,'CAT_ACTIVIDADES'!$A$4:$A$26,0)),"")=0,"",IFERROR(INDEX('CAT_ACTIVIDADES'!$F$4:$F$26,MATCH($H1193,'CAT_ACTIVIDADES'!$A$4:$A$26,0)),"")))</f>
        <v/>
      </c>
      <c r="X1193" s="24">
        <f>IF($F1193="","",IFERROR(INDEX('CAT_CENTROS_COSTO'!$F$4:$F$28,MATCH($F1193,'CAT_CENTROS_COSTO'!$A$4:$A$28,0)),"(sin catálogo)"))</f>
        <v/>
      </c>
      <c r="Y1193" s="24">
        <f>IF($F1193="","",IFERROR(INDEX('CAT_CENTROS_COSTO'!$D$4:$D$28,MATCH($F1193,'CAT_CENTROS_COSTO'!$A$4:$A$28,0)),"(sin catálogo)"))</f>
        <v/>
      </c>
      <c r="Z1193" s="24">
        <f>IF($F1193="","",IF((IFERROR(INDEX('CAT_CENTROS_COSTO'!$E$4:$E$28,MATCH($F1193,'CAT_CENTROS_COSTO'!$A$4:$A$28,0)),""))&lt;&gt;"",IFERROR(INDEX('CAT_CENTROS_COSTO'!$E$4:$E$28,MATCH($F1193,'CAT_CENTROS_COSTO'!$A$4:$A$28,0)),""),$Y1193))</f>
        <v/>
      </c>
      <c r="AA1193" s="24">
        <f>IF($F1193="","",IFERROR(INDEX('CAT_CENTROS_COSTO'!$G$4:$G$28,MATCH($F1193,'CAT_CENTROS_COSTO'!$A$4:$A$28,0)),"(sin catálogo)"))</f>
        <v/>
      </c>
      <c r="AB1193" s="24">
        <f>IF($G1193="","",IFERROR(INDEX('CAT_PUESTOS'!$B$4:$B$23,MATCH($G1193,'CAT_PUESTOS'!$A$4:$A$23,0)),"(sin catálogo)"))</f>
        <v/>
      </c>
      <c r="AC1193" s="24">
        <f>IF($H1193="","",IFERROR(INDEX('CAT_ACTIVIDADES'!$B$4:$B$26,MATCH($H1193,'CAT_ACTIVIDADES'!$A$4:$A$26,0)),"(sin catálogo)"))</f>
        <v/>
      </c>
      <c r="AD1193" s="26">
        <f>IF($J1193="","",TODAY()-$J1193)</f>
        <v/>
      </c>
      <c r="AE1193" s="26">
        <f>IF($J1193="","",IF($J1193&lt;=TODAY(),COUNTIFS(cal_fechas,"&gt;="&amp;$J1193,cal_fechas,"&lt;"&amp;TODAY(),cal_habil,"sí"),-COUNTIFS(cal_fechas,"&gt;="&amp;TODAY(),cal_fechas,"&lt;"&amp;$J1193,cal_habil,"sí")))</f>
        <v/>
      </c>
      <c r="AF1193" s="24">
        <f>IF($AE1193="","",IF($AE1193&lt;0,"FUTURO",IF($AE1193&gt;p_dias_backlog_max,"BACKLOG","MES CORRIENTE")))</f>
        <v/>
      </c>
      <c r="AG1193" s="24">
        <f>IF($AE1193="",FALSE,AND($AE1193&gt;p_dias_backlog_min,$AE1193&lt;=p_dias_backlog_max))</f>
        <v/>
      </c>
      <c r="AH1193" s="4" t="n"/>
      <c r="AI1193" s="24">
        <f>IF($AH1193="","",IF((IFERROR(INDEX('ASIGNACIONES'!$J$4:$J$451,MATCH($O1193&amp;"|"&amp;$S1193&amp;"|"&amp;$AH1193,'ASIGNACIONES'!$N$4:$N$451,0)),""))=0,"",IFERROR(INDEX('ASIGNACIONES'!$J$4:$J$451,MATCH($O1193&amp;"|"&amp;$S1193&amp;"|"&amp;$AH1193,'ASIGNACIONES'!$N$4:$N$451,0)),"")))</f>
        <v/>
      </c>
      <c r="AJ1193" s="42">
        <f>IF($AH1193="","",SUMIFS('ORDENES'!$M$4:$M$1203,'ORDENES'!$AH$4:$AH$1203,$AH1193,'ORDENES'!$O$4:$O$1203,$O1193,'ORDENES'!$S$4:$S$1203,$S1193))</f>
        <v/>
      </c>
      <c r="AK1193" s="42">
        <f>IF($AJ1193="","",p_factor_productividad*IFERROR(INDEX('ASIGNACIONES'!$M$4:$M$451,MATCH($O1193&amp;"|"&amp;$S1193&amp;"|"&amp;$AH1193,'ASIGNACIONES'!$N$4:$N$451,0)),0)-$AJ1193)</f>
        <v/>
      </c>
      <c r="AL1193" s="32">
        <f>IF($A1193="","",IFERROR(INDEX('2_IMPORTAR_EJECUCION'!$F$9:$F$1208,MATCH($AU1193,'2_IMPORTAR_EJECUCION'!$J$9:$J$1208,0)),0))</f>
        <v/>
      </c>
      <c r="AM1193" s="32">
        <f>IF($A1193="","",MAX(0,IFERROR(INDEX('2_IMPORTAR_EJECUCION'!$H$9:$H$1208,MATCH($AU1193,'2_IMPORTAR_EJECUCION'!$J$9:$J$1208,0)),0)-$AL1193))</f>
        <v/>
      </c>
      <c r="AN1193" s="32">
        <f>IF($A1193="","",$AL1193+$AM1193)</f>
        <v/>
      </c>
      <c r="AO1193" s="24">
        <f>IF($A1193="","",IF(OR((IFERROR(INDEX('CAT_ACTIVIDADES'!$D$4:$D$26,MATCH($H1193,'CAT_ACTIVIDADES'!$A$4:$A$26,0)),""))=0,(IFERROR(INDEX('CAT_ACTIVIDADES'!$D$4:$D$26,MATCH($H1193,'CAT_ACTIVIDADES'!$A$4:$A$26,0)),""))=""),"SIN CLASIFICAR",IFERROR(INDEX('CAT_ACTIVIDADES'!$D$4:$D$26,MATCH($H1193,'CAT_ACTIVIDADES'!$A$4:$A$26,0)),"")))</f>
        <v/>
      </c>
      <c r="AP1193" s="4" t="n"/>
      <c r="AQ1193" s="4" t="n"/>
      <c r="AR1193" s="4" t="n"/>
      <c r="AS1193" s="24">
        <f>IF($AR1193="","",HYPERLINK(p_ruta_base_checklists&amp;$AR1193,"abrir"))</f>
        <v/>
      </c>
      <c r="AT1193" s="4" t="n"/>
      <c r="AU1193" s="24">
        <f>IF($A1193="","",$A1193&amp;IF($B1193="","0010",$B1193))</f>
        <v/>
      </c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41" t="n"/>
      <c r="K1194" s="5" t="n"/>
      <c r="L1194" s="18" t="n"/>
      <c r="M1194" s="24">
        <f>IF($A1194="","",IFERROR(INDEX('AJUSTES'!$B$4:$B$303,MATCH($AU1194,'AJUSTES'!$A$4:$A$303,0)),IF($K1194="","",$K1194)))</f>
        <v/>
      </c>
      <c r="N1194" s="24">
        <f>IF($A1194="","",IFERROR(INDEX('CAT_ESTADOS_ERP'!$B$4:$B$22,MATCH(IFERROR(INDEX('2_IMPORTAR_EJECUCION'!$C$9:$C$1208,MATCH($AU1194,'2_IMPORTAR_EJECUCION'!$J$9:$J$1208,0)),""),'CAT_ESTADOS_ERP'!$A$4:$A$22,0)),"Pendiente"))</f>
        <v/>
      </c>
      <c r="O1194" s="24">
        <f>IF($J1194="","",YEAR($J1194+4-WEEKDAY($J1194,2))&amp;"-S"&amp;TEXT(_xlfn.ISOWEEKNUM($J1194),"00"))</f>
        <v/>
      </c>
      <c r="P1194" s="24">
        <f>IF($J1194="","",YEAR($J1194))</f>
        <v/>
      </c>
      <c r="Q1194" s="24">
        <f>IF($J1194="","",MONTH($J1194))</f>
        <v/>
      </c>
      <c r="R1194" s="24">
        <f>IF($J1194="","",$P1194&amp;"-"&amp;TEXT($Q1194,"00"))</f>
        <v/>
      </c>
      <c r="S1194" s="24">
        <f>IF($J1194="","",INDEX(lista_dias,WEEKDAY($J1194,2)))</f>
        <v/>
      </c>
      <c r="T1194" s="24">
        <f>IF($J1194="","",IFERROR(INDEX('CALENDARIO'!$C$15:$C$214,MATCH(TEXT($J1194,"yyyy-mm-dd")&amp;"|"&amp;$Y1194&amp;"|"&amp;$Z1194,'CALENDARIO'!$G$15:$G$214,0)),IFERROR(INDEX('CALENDARIO'!$C$15:$C$214,MATCH(TEXT($J1194,"yyyy-mm-dd")&amp;"|"&amp;$Y1194&amp;"|",'CALENDARIO'!$G$15:$G$214,0)),IFERROR(INDEX('CALENDARIO'!$C$15:$C$214,MATCH(TEXT($J1194,"yyyy-mm-dd")&amp;"||",'CALENDARIO'!$G$15:$G$214,0)),INDEX(patronHabil,WEEKDAY($J1194,2))))))</f>
        <v/>
      </c>
      <c r="U1194" s="24">
        <f>IF($I1194="","",IFERROR(INDEX('CAT_TIPOS_OT'!$C$4:$C$23,MATCH($I1194,'CAT_TIPOS_OT'!$A$4:$A$23,0)),"sin_clasificar"))</f>
        <v/>
      </c>
      <c r="V1194" s="24">
        <f>IF($I1194="","",IF(IFERROR(INDEX('CAT_TIPOS_OT'!$D$4:$D$23,MATCH($I1194,'CAT_TIPOS_OT'!$A$4:$A$23,0)),"SIN CLASIFICAR")="","SIN CLASIFICAR",IFERROR(INDEX('CAT_TIPOS_OT'!$D$4:$D$23,MATCH($I1194,'CAT_TIPOS_OT'!$A$4:$A$23,0)),"SIN CLASIFICAR")))</f>
        <v/>
      </c>
      <c r="W1194" s="24">
        <f>IF($H1194="","",IF(IFERROR(INDEX('CAT_ACTIVIDADES'!$F$4:$F$26,MATCH($H1194,'CAT_ACTIVIDADES'!$A$4:$A$26,0)),"")=0,"",IFERROR(INDEX('CAT_ACTIVIDADES'!$F$4:$F$26,MATCH($H1194,'CAT_ACTIVIDADES'!$A$4:$A$26,0)),"")))</f>
        <v/>
      </c>
      <c r="X1194" s="24">
        <f>IF($F1194="","",IFERROR(INDEX('CAT_CENTROS_COSTO'!$F$4:$F$28,MATCH($F1194,'CAT_CENTROS_COSTO'!$A$4:$A$28,0)),"(sin catálogo)"))</f>
        <v/>
      </c>
      <c r="Y1194" s="24">
        <f>IF($F1194="","",IFERROR(INDEX('CAT_CENTROS_COSTO'!$D$4:$D$28,MATCH($F1194,'CAT_CENTROS_COSTO'!$A$4:$A$28,0)),"(sin catálogo)"))</f>
        <v/>
      </c>
      <c r="Z1194" s="24">
        <f>IF($F1194="","",IF((IFERROR(INDEX('CAT_CENTROS_COSTO'!$E$4:$E$28,MATCH($F1194,'CAT_CENTROS_COSTO'!$A$4:$A$28,0)),""))&lt;&gt;"",IFERROR(INDEX('CAT_CENTROS_COSTO'!$E$4:$E$28,MATCH($F1194,'CAT_CENTROS_COSTO'!$A$4:$A$28,0)),""),$Y1194))</f>
        <v/>
      </c>
      <c r="AA1194" s="24">
        <f>IF($F1194="","",IFERROR(INDEX('CAT_CENTROS_COSTO'!$G$4:$G$28,MATCH($F1194,'CAT_CENTROS_COSTO'!$A$4:$A$28,0)),"(sin catálogo)"))</f>
        <v/>
      </c>
      <c r="AB1194" s="24">
        <f>IF($G1194="","",IFERROR(INDEX('CAT_PUESTOS'!$B$4:$B$23,MATCH($G1194,'CAT_PUESTOS'!$A$4:$A$23,0)),"(sin catálogo)"))</f>
        <v/>
      </c>
      <c r="AC1194" s="24">
        <f>IF($H1194="","",IFERROR(INDEX('CAT_ACTIVIDADES'!$B$4:$B$26,MATCH($H1194,'CAT_ACTIVIDADES'!$A$4:$A$26,0)),"(sin catálogo)"))</f>
        <v/>
      </c>
      <c r="AD1194" s="26">
        <f>IF($J1194="","",TODAY()-$J1194)</f>
        <v/>
      </c>
      <c r="AE1194" s="26">
        <f>IF($J1194="","",IF($J1194&lt;=TODAY(),COUNTIFS(cal_fechas,"&gt;="&amp;$J1194,cal_fechas,"&lt;"&amp;TODAY(),cal_habil,"sí"),-COUNTIFS(cal_fechas,"&gt;="&amp;TODAY(),cal_fechas,"&lt;"&amp;$J1194,cal_habil,"sí")))</f>
        <v/>
      </c>
      <c r="AF1194" s="24">
        <f>IF($AE1194="","",IF($AE1194&lt;0,"FUTURO",IF($AE1194&gt;p_dias_backlog_max,"BACKLOG","MES CORRIENTE")))</f>
        <v/>
      </c>
      <c r="AG1194" s="24">
        <f>IF($AE1194="",FALSE,AND($AE1194&gt;p_dias_backlog_min,$AE1194&lt;=p_dias_backlog_max))</f>
        <v/>
      </c>
      <c r="AH1194" s="4" t="n"/>
      <c r="AI1194" s="24">
        <f>IF($AH1194="","",IF((IFERROR(INDEX('ASIGNACIONES'!$J$4:$J$451,MATCH($O1194&amp;"|"&amp;$S1194&amp;"|"&amp;$AH1194,'ASIGNACIONES'!$N$4:$N$451,0)),""))=0,"",IFERROR(INDEX('ASIGNACIONES'!$J$4:$J$451,MATCH($O1194&amp;"|"&amp;$S1194&amp;"|"&amp;$AH1194,'ASIGNACIONES'!$N$4:$N$451,0)),"")))</f>
        <v/>
      </c>
      <c r="AJ1194" s="42">
        <f>IF($AH1194="","",SUMIFS('ORDENES'!$M$4:$M$1203,'ORDENES'!$AH$4:$AH$1203,$AH1194,'ORDENES'!$O$4:$O$1203,$O1194,'ORDENES'!$S$4:$S$1203,$S1194))</f>
        <v/>
      </c>
      <c r="AK1194" s="42">
        <f>IF($AJ1194="","",p_factor_productividad*IFERROR(INDEX('ASIGNACIONES'!$M$4:$M$451,MATCH($O1194&amp;"|"&amp;$S1194&amp;"|"&amp;$AH1194,'ASIGNACIONES'!$N$4:$N$451,0)),0)-$AJ1194)</f>
        <v/>
      </c>
      <c r="AL1194" s="32">
        <f>IF($A1194="","",IFERROR(INDEX('2_IMPORTAR_EJECUCION'!$F$9:$F$1208,MATCH($AU1194,'2_IMPORTAR_EJECUCION'!$J$9:$J$1208,0)),0))</f>
        <v/>
      </c>
      <c r="AM1194" s="32">
        <f>IF($A1194="","",MAX(0,IFERROR(INDEX('2_IMPORTAR_EJECUCION'!$H$9:$H$1208,MATCH($AU1194,'2_IMPORTAR_EJECUCION'!$J$9:$J$1208,0)),0)-$AL1194))</f>
        <v/>
      </c>
      <c r="AN1194" s="32">
        <f>IF($A1194="","",$AL1194+$AM1194)</f>
        <v/>
      </c>
      <c r="AO1194" s="24">
        <f>IF($A1194="","",IF(OR((IFERROR(INDEX('CAT_ACTIVIDADES'!$D$4:$D$26,MATCH($H1194,'CAT_ACTIVIDADES'!$A$4:$A$26,0)),""))=0,(IFERROR(INDEX('CAT_ACTIVIDADES'!$D$4:$D$26,MATCH($H1194,'CAT_ACTIVIDADES'!$A$4:$A$26,0)),""))=""),"SIN CLASIFICAR",IFERROR(INDEX('CAT_ACTIVIDADES'!$D$4:$D$26,MATCH($H1194,'CAT_ACTIVIDADES'!$A$4:$A$26,0)),"")))</f>
        <v/>
      </c>
      <c r="AP1194" s="4" t="n"/>
      <c r="AQ1194" s="4" t="n"/>
      <c r="AR1194" s="4" t="n"/>
      <c r="AS1194" s="24">
        <f>IF($AR1194="","",HYPERLINK(p_ruta_base_checklists&amp;$AR1194,"abrir"))</f>
        <v/>
      </c>
      <c r="AT1194" s="4" t="n"/>
      <c r="AU1194" s="24">
        <f>IF($A1194="","",$A1194&amp;IF($B1194="","0010",$B1194))</f>
        <v/>
      </c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41" t="n"/>
      <c r="K1195" s="5" t="n"/>
      <c r="L1195" s="18" t="n"/>
      <c r="M1195" s="24">
        <f>IF($A1195="","",IFERROR(INDEX('AJUSTES'!$B$4:$B$303,MATCH($AU1195,'AJUSTES'!$A$4:$A$303,0)),IF($K1195="","",$K1195)))</f>
        <v/>
      </c>
      <c r="N1195" s="24">
        <f>IF($A1195="","",IFERROR(INDEX('CAT_ESTADOS_ERP'!$B$4:$B$22,MATCH(IFERROR(INDEX('2_IMPORTAR_EJECUCION'!$C$9:$C$1208,MATCH($AU1195,'2_IMPORTAR_EJECUCION'!$J$9:$J$1208,0)),""),'CAT_ESTADOS_ERP'!$A$4:$A$22,0)),"Pendiente"))</f>
        <v/>
      </c>
      <c r="O1195" s="24">
        <f>IF($J1195="","",YEAR($J1195+4-WEEKDAY($J1195,2))&amp;"-S"&amp;TEXT(_xlfn.ISOWEEKNUM($J1195),"00"))</f>
        <v/>
      </c>
      <c r="P1195" s="24">
        <f>IF($J1195="","",YEAR($J1195))</f>
        <v/>
      </c>
      <c r="Q1195" s="24">
        <f>IF($J1195="","",MONTH($J1195))</f>
        <v/>
      </c>
      <c r="R1195" s="24">
        <f>IF($J1195="","",$P1195&amp;"-"&amp;TEXT($Q1195,"00"))</f>
        <v/>
      </c>
      <c r="S1195" s="24">
        <f>IF($J1195="","",INDEX(lista_dias,WEEKDAY($J1195,2)))</f>
        <v/>
      </c>
      <c r="T1195" s="24">
        <f>IF($J1195="","",IFERROR(INDEX('CALENDARIO'!$C$15:$C$214,MATCH(TEXT($J1195,"yyyy-mm-dd")&amp;"|"&amp;$Y1195&amp;"|"&amp;$Z1195,'CALENDARIO'!$G$15:$G$214,0)),IFERROR(INDEX('CALENDARIO'!$C$15:$C$214,MATCH(TEXT($J1195,"yyyy-mm-dd")&amp;"|"&amp;$Y1195&amp;"|",'CALENDARIO'!$G$15:$G$214,0)),IFERROR(INDEX('CALENDARIO'!$C$15:$C$214,MATCH(TEXT($J1195,"yyyy-mm-dd")&amp;"||",'CALENDARIO'!$G$15:$G$214,0)),INDEX(patronHabil,WEEKDAY($J1195,2))))))</f>
        <v/>
      </c>
      <c r="U1195" s="24">
        <f>IF($I1195="","",IFERROR(INDEX('CAT_TIPOS_OT'!$C$4:$C$23,MATCH($I1195,'CAT_TIPOS_OT'!$A$4:$A$23,0)),"sin_clasificar"))</f>
        <v/>
      </c>
      <c r="V1195" s="24">
        <f>IF($I1195="","",IF(IFERROR(INDEX('CAT_TIPOS_OT'!$D$4:$D$23,MATCH($I1195,'CAT_TIPOS_OT'!$A$4:$A$23,0)),"SIN CLASIFICAR")="","SIN CLASIFICAR",IFERROR(INDEX('CAT_TIPOS_OT'!$D$4:$D$23,MATCH($I1195,'CAT_TIPOS_OT'!$A$4:$A$23,0)),"SIN CLASIFICAR")))</f>
        <v/>
      </c>
      <c r="W1195" s="24">
        <f>IF($H1195="","",IF(IFERROR(INDEX('CAT_ACTIVIDADES'!$F$4:$F$26,MATCH($H1195,'CAT_ACTIVIDADES'!$A$4:$A$26,0)),"")=0,"",IFERROR(INDEX('CAT_ACTIVIDADES'!$F$4:$F$26,MATCH($H1195,'CAT_ACTIVIDADES'!$A$4:$A$26,0)),"")))</f>
        <v/>
      </c>
      <c r="X1195" s="24">
        <f>IF($F1195="","",IFERROR(INDEX('CAT_CENTROS_COSTO'!$F$4:$F$28,MATCH($F1195,'CAT_CENTROS_COSTO'!$A$4:$A$28,0)),"(sin catálogo)"))</f>
        <v/>
      </c>
      <c r="Y1195" s="24">
        <f>IF($F1195="","",IFERROR(INDEX('CAT_CENTROS_COSTO'!$D$4:$D$28,MATCH($F1195,'CAT_CENTROS_COSTO'!$A$4:$A$28,0)),"(sin catálogo)"))</f>
        <v/>
      </c>
      <c r="Z1195" s="24">
        <f>IF($F1195="","",IF((IFERROR(INDEX('CAT_CENTROS_COSTO'!$E$4:$E$28,MATCH($F1195,'CAT_CENTROS_COSTO'!$A$4:$A$28,0)),""))&lt;&gt;"",IFERROR(INDEX('CAT_CENTROS_COSTO'!$E$4:$E$28,MATCH($F1195,'CAT_CENTROS_COSTO'!$A$4:$A$28,0)),""),$Y1195))</f>
        <v/>
      </c>
      <c r="AA1195" s="24">
        <f>IF($F1195="","",IFERROR(INDEX('CAT_CENTROS_COSTO'!$G$4:$G$28,MATCH($F1195,'CAT_CENTROS_COSTO'!$A$4:$A$28,0)),"(sin catálogo)"))</f>
        <v/>
      </c>
      <c r="AB1195" s="24">
        <f>IF($G1195="","",IFERROR(INDEX('CAT_PUESTOS'!$B$4:$B$23,MATCH($G1195,'CAT_PUESTOS'!$A$4:$A$23,0)),"(sin catálogo)"))</f>
        <v/>
      </c>
      <c r="AC1195" s="24">
        <f>IF($H1195="","",IFERROR(INDEX('CAT_ACTIVIDADES'!$B$4:$B$26,MATCH($H1195,'CAT_ACTIVIDADES'!$A$4:$A$26,0)),"(sin catálogo)"))</f>
        <v/>
      </c>
      <c r="AD1195" s="26">
        <f>IF($J1195="","",TODAY()-$J1195)</f>
        <v/>
      </c>
      <c r="AE1195" s="26">
        <f>IF($J1195="","",IF($J1195&lt;=TODAY(),COUNTIFS(cal_fechas,"&gt;="&amp;$J1195,cal_fechas,"&lt;"&amp;TODAY(),cal_habil,"sí"),-COUNTIFS(cal_fechas,"&gt;="&amp;TODAY(),cal_fechas,"&lt;"&amp;$J1195,cal_habil,"sí")))</f>
        <v/>
      </c>
      <c r="AF1195" s="24">
        <f>IF($AE1195="","",IF($AE1195&lt;0,"FUTURO",IF($AE1195&gt;p_dias_backlog_max,"BACKLOG","MES CORRIENTE")))</f>
        <v/>
      </c>
      <c r="AG1195" s="24">
        <f>IF($AE1195="",FALSE,AND($AE1195&gt;p_dias_backlog_min,$AE1195&lt;=p_dias_backlog_max))</f>
        <v/>
      </c>
      <c r="AH1195" s="4" t="n"/>
      <c r="AI1195" s="24">
        <f>IF($AH1195="","",IF((IFERROR(INDEX('ASIGNACIONES'!$J$4:$J$451,MATCH($O1195&amp;"|"&amp;$S1195&amp;"|"&amp;$AH1195,'ASIGNACIONES'!$N$4:$N$451,0)),""))=0,"",IFERROR(INDEX('ASIGNACIONES'!$J$4:$J$451,MATCH($O1195&amp;"|"&amp;$S1195&amp;"|"&amp;$AH1195,'ASIGNACIONES'!$N$4:$N$451,0)),"")))</f>
        <v/>
      </c>
      <c r="AJ1195" s="42">
        <f>IF($AH1195="","",SUMIFS('ORDENES'!$M$4:$M$1203,'ORDENES'!$AH$4:$AH$1203,$AH1195,'ORDENES'!$O$4:$O$1203,$O1195,'ORDENES'!$S$4:$S$1203,$S1195))</f>
        <v/>
      </c>
      <c r="AK1195" s="42">
        <f>IF($AJ1195="","",p_factor_productividad*IFERROR(INDEX('ASIGNACIONES'!$M$4:$M$451,MATCH($O1195&amp;"|"&amp;$S1195&amp;"|"&amp;$AH1195,'ASIGNACIONES'!$N$4:$N$451,0)),0)-$AJ1195)</f>
        <v/>
      </c>
      <c r="AL1195" s="32">
        <f>IF($A1195="","",IFERROR(INDEX('2_IMPORTAR_EJECUCION'!$F$9:$F$1208,MATCH($AU1195,'2_IMPORTAR_EJECUCION'!$J$9:$J$1208,0)),0))</f>
        <v/>
      </c>
      <c r="AM1195" s="32">
        <f>IF($A1195="","",MAX(0,IFERROR(INDEX('2_IMPORTAR_EJECUCION'!$H$9:$H$1208,MATCH($AU1195,'2_IMPORTAR_EJECUCION'!$J$9:$J$1208,0)),0)-$AL1195))</f>
        <v/>
      </c>
      <c r="AN1195" s="32">
        <f>IF($A1195="","",$AL1195+$AM1195)</f>
        <v/>
      </c>
      <c r="AO1195" s="24">
        <f>IF($A1195="","",IF(OR((IFERROR(INDEX('CAT_ACTIVIDADES'!$D$4:$D$26,MATCH($H1195,'CAT_ACTIVIDADES'!$A$4:$A$26,0)),""))=0,(IFERROR(INDEX('CAT_ACTIVIDADES'!$D$4:$D$26,MATCH($H1195,'CAT_ACTIVIDADES'!$A$4:$A$26,0)),""))=""),"SIN CLASIFICAR",IFERROR(INDEX('CAT_ACTIVIDADES'!$D$4:$D$26,MATCH($H1195,'CAT_ACTIVIDADES'!$A$4:$A$26,0)),"")))</f>
        <v/>
      </c>
      <c r="AP1195" s="4" t="n"/>
      <c r="AQ1195" s="4" t="n"/>
      <c r="AR1195" s="4" t="n"/>
      <c r="AS1195" s="24">
        <f>IF($AR1195="","",HYPERLINK(p_ruta_base_checklists&amp;$AR1195,"abrir"))</f>
        <v/>
      </c>
      <c r="AT1195" s="4" t="n"/>
      <c r="AU1195" s="24">
        <f>IF($A1195="","",$A1195&amp;IF($B1195="","0010",$B1195))</f>
        <v/>
      </c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41" t="n"/>
      <c r="K1196" s="5" t="n"/>
      <c r="L1196" s="18" t="n"/>
      <c r="M1196" s="24">
        <f>IF($A1196="","",IFERROR(INDEX('AJUSTES'!$B$4:$B$303,MATCH($AU1196,'AJUSTES'!$A$4:$A$303,0)),IF($K1196="","",$K1196)))</f>
        <v/>
      </c>
      <c r="N1196" s="24">
        <f>IF($A1196="","",IFERROR(INDEX('CAT_ESTADOS_ERP'!$B$4:$B$22,MATCH(IFERROR(INDEX('2_IMPORTAR_EJECUCION'!$C$9:$C$1208,MATCH($AU1196,'2_IMPORTAR_EJECUCION'!$J$9:$J$1208,0)),""),'CAT_ESTADOS_ERP'!$A$4:$A$22,0)),"Pendiente"))</f>
        <v/>
      </c>
      <c r="O1196" s="24">
        <f>IF($J1196="","",YEAR($J1196+4-WEEKDAY($J1196,2))&amp;"-S"&amp;TEXT(_xlfn.ISOWEEKNUM($J1196),"00"))</f>
        <v/>
      </c>
      <c r="P1196" s="24">
        <f>IF($J1196="","",YEAR($J1196))</f>
        <v/>
      </c>
      <c r="Q1196" s="24">
        <f>IF($J1196="","",MONTH($J1196))</f>
        <v/>
      </c>
      <c r="R1196" s="24">
        <f>IF($J1196="","",$P1196&amp;"-"&amp;TEXT($Q1196,"00"))</f>
        <v/>
      </c>
      <c r="S1196" s="24">
        <f>IF($J1196="","",INDEX(lista_dias,WEEKDAY($J1196,2)))</f>
        <v/>
      </c>
      <c r="T1196" s="24">
        <f>IF($J1196="","",IFERROR(INDEX('CALENDARIO'!$C$15:$C$214,MATCH(TEXT($J1196,"yyyy-mm-dd")&amp;"|"&amp;$Y1196&amp;"|"&amp;$Z1196,'CALENDARIO'!$G$15:$G$214,0)),IFERROR(INDEX('CALENDARIO'!$C$15:$C$214,MATCH(TEXT($J1196,"yyyy-mm-dd")&amp;"|"&amp;$Y1196&amp;"|",'CALENDARIO'!$G$15:$G$214,0)),IFERROR(INDEX('CALENDARIO'!$C$15:$C$214,MATCH(TEXT($J1196,"yyyy-mm-dd")&amp;"||",'CALENDARIO'!$G$15:$G$214,0)),INDEX(patronHabil,WEEKDAY($J1196,2))))))</f>
        <v/>
      </c>
      <c r="U1196" s="24">
        <f>IF($I1196="","",IFERROR(INDEX('CAT_TIPOS_OT'!$C$4:$C$23,MATCH($I1196,'CAT_TIPOS_OT'!$A$4:$A$23,0)),"sin_clasificar"))</f>
        <v/>
      </c>
      <c r="V1196" s="24">
        <f>IF($I1196="","",IF(IFERROR(INDEX('CAT_TIPOS_OT'!$D$4:$D$23,MATCH($I1196,'CAT_TIPOS_OT'!$A$4:$A$23,0)),"SIN CLASIFICAR")="","SIN CLASIFICAR",IFERROR(INDEX('CAT_TIPOS_OT'!$D$4:$D$23,MATCH($I1196,'CAT_TIPOS_OT'!$A$4:$A$23,0)),"SIN CLASIFICAR")))</f>
        <v/>
      </c>
      <c r="W1196" s="24">
        <f>IF($H1196="","",IF(IFERROR(INDEX('CAT_ACTIVIDADES'!$F$4:$F$26,MATCH($H1196,'CAT_ACTIVIDADES'!$A$4:$A$26,0)),"")=0,"",IFERROR(INDEX('CAT_ACTIVIDADES'!$F$4:$F$26,MATCH($H1196,'CAT_ACTIVIDADES'!$A$4:$A$26,0)),"")))</f>
        <v/>
      </c>
      <c r="X1196" s="24">
        <f>IF($F1196="","",IFERROR(INDEX('CAT_CENTROS_COSTO'!$F$4:$F$28,MATCH($F1196,'CAT_CENTROS_COSTO'!$A$4:$A$28,0)),"(sin catálogo)"))</f>
        <v/>
      </c>
      <c r="Y1196" s="24">
        <f>IF($F1196="","",IFERROR(INDEX('CAT_CENTROS_COSTO'!$D$4:$D$28,MATCH($F1196,'CAT_CENTROS_COSTO'!$A$4:$A$28,0)),"(sin catálogo)"))</f>
        <v/>
      </c>
      <c r="Z1196" s="24">
        <f>IF($F1196="","",IF((IFERROR(INDEX('CAT_CENTROS_COSTO'!$E$4:$E$28,MATCH($F1196,'CAT_CENTROS_COSTO'!$A$4:$A$28,0)),""))&lt;&gt;"",IFERROR(INDEX('CAT_CENTROS_COSTO'!$E$4:$E$28,MATCH($F1196,'CAT_CENTROS_COSTO'!$A$4:$A$28,0)),""),$Y1196))</f>
        <v/>
      </c>
      <c r="AA1196" s="24">
        <f>IF($F1196="","",IFERROR(INDEX('CAT_CENTROS_COSTO'!$G$4:$G$28,MATCH($F1196,'CAT_CENTROS_COSTO'!$A$4:$A$28,0)),"(sin catálogo)"))</f>
        <v/>
      </c>
      <c r="AB1196" s="24">
        <f>IF($G1196="","",IFERROR(INDEX('CAT_PUESTOS'!$B$4:$B$23,MATCH($G1196,'CAT_PUESTOS'!$A$4:$A$23,0)),"(sin catálogo)"))</f>
        <v/>
      </c>
      <c r="AC1196" s="24">
        <f>IF($H1196="","",IFERROR(INDEX('CAT_ACTIVIDADES'!$B$4:$B$26,MATCH($H1196,'CAT_ACTIVIDADES'!$A$4:$A$26,0)),"(sin catálogo)"))</f>
        <v/>
      </c>
      <c r="AD1196" s="26">
        <f>IF($J1196="","",TODAY()-$J1196)</f>
        <v/>
      </c>
      <c r="AE1196" s="26">
        <f>IF($J1196="","",IF($J1196&lt;=TODAY(),COUNTIFS(cal_fechas,"&gt;="&amp;$J1196,cal_fechas,"&lt;"&amp;TODAY(),cal_habil,"sí"),-COUNTIFS(cal_fechas,"&gt;="&amp;TODAY(),cal_fechas,"&lt;"&amp;$J1196,cal_habil,"sí")))</f>
        <v/>
      </c>
      <c r="AF1196" s="24">
        <f>IF($AE1196="","",IF($AE1196&lt;0,"FUTURO",IF($AE1196&gt;p_dias_backlog_max,"BACKLOG","MES CORRIENTE")))</f>
        <v/>
      </c>
      <c r="AG1196" s="24">
        <f>IF($AE1196="",FALSE,AND($AE1196&gt;p_dias_backlog_min,$AE1196&lt;=p_dias_backlog_max))</f>
        <v/>
      </c>
      <c r="AH1196" s="4" t="n"/>
      <c r="AI1196" s="24">
        <f>IF($AH1196="","",IF((IFERROR(INDEX('ASIGNACIONES'!$J$4:$J$451,MATCH($O1196&amp;"|"&amp;$S1196&amp;"|"&amp;$AH1196,'ASIGNACIONES'!$N$4:$N$451,0)),""))=0,"",IFERROR(INDEX('ASIGNACIONES'!$J$4:$J$451,MATCH($O1196&amp;"|"&amp;$S1196&amp;"|"&amp;$AH1196,'ASIGNACIONES'!$N$4:$N$451,0)),"")))</f>
        <v/>
      </c>
      <c r="AJ1196" s="42">
        <f>IF($AH1196="","",SUMIFS('ORDENES'!$M$4:$M$1203,'ORDENES'!$AH$4:$AH$1203,$AH1196,'ORDENES'!$O$4:$O$1203,$O1196,'ORDENES'!$S$4:$S$1203,$S1196))</f>
        <v/>
      </c>
      <c r="AK1196" s="42">
        <f>IF($AJ1196="","",p_factor_productividad*IFERROR(INDEX('ASIGNACIONES'!$M$4:$M$451,MATCH($O1196&amp;"|"&amp;$S1196&amp;"|"&amp;$AH1196,'ASIGNACIONES'!$N$4:$N$451,0)),0)-$AJ1196)</f>
        <v/>
      </c>
      <c r="AL1196" s="32">
        <f>IF($A1196="","",IFERROR(INDEX('2_IMPORTAR_EJECUCION'!$F$9:$F$1208,MATCH($AU1196,'2_IMPORTAR_EJECUCION'!$J$9:$J$1208,0)),0))</f>
        <v/>
      </c>
      <c r="AM1196" s="32">
        <f>IF($A1196="","",MAX(0,IFERROR(INDEX('2_IMPORTAR_EJECUCION'!$H$9:$H$1208,MATCH($AU1196,'2_IMPORTAR_EJECUCION'!$J$9:$J$1208,0)),0)-$AL1196))</f>
        <v/>
      </c>
      <c r="AN1196" s="32">
        <f>IF($A1196="","",$AL1196+$AM1196)</f>
        <v/>
      </c>
      <c r="AO1196" s="24">
        <f>IF($A1196="","",IF(OR((IFERROR(INDEX('CAT_ACTIVIDADES'!$D$4:$D$26,MATCH($H1196,'CAT_ACTIVIDADES'!$A$4:$A$26,0)),""))=0,(IFERROR(INDEX('CAT_ACTIVIDADES'!$D$4:$D$26,MATCH($H1196,'CAT_ACTIVIDADES'!$A$4:$A$26,0)),""))=""),"SIN CLASIFICAR",IFERROR(INDEX('CAT_ACTIVIDADES'!$D$4:$D$26,MATCH($H1196,'CAT_ACTIVIDADES'!$A$4:$A$26,0)),"")))</f>
        <v/>
      </c>
      <c r="AP1196" s="4" t="n"/>
      <c r="AQ1196" s="4" t="n"/>
      <c r="AR1196" s="4" t="n"/>
      <c r="AS1196" s="24">
        <f>IF($AR1196="","",HYPERLINK(p_ruta_base_checklists&amp;$AR1196,"abrir"))</f>
        <v/>
      </c>
      <c r="AT1196" s="4" t="n"/>
      <c r="AU1196" s="24">
        <f>IF($A1196="","",$A1196&amp;IF($B1196="","0010",$B1196))</f>
        <v/>
      </c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41" t="n"/>
      <c r="K1197" s="5" t="n"/>
      <c r="L1197" s="18" t="n"/>
      <c r="M1197" s="24">
        <f>IF($A1197="","",IFERROR(INDEX('AJUSTES'!$B$4:$B$303,MATCH($AU1197,'AJUSTES'!$A$4:$A$303,0)),IF($K1197="","",$K1197)))</f>
        <v/>
      </c>
      <c r="N1197" s="24">
        <f>IF($A1197="","",IFERROR(INDEX('CAT_ESTADOS_ERP'!$B$4:$B$22,MATCH(IFERROR(INDEX('2_IMPORTAR_EJECUCION'!$C$9:$C$1208,MATCH($AU1197,'2_IMPORTAR_EJECUCION'!$J$9:$J$1208,0)),""),'CAT_ESTADOS_ERP'!$A$4:$A$22,0)),"Pendiente"))</f>
        <v/>
      </c>
      <c r="O1197" s="24">
        <f>IF($J1197="","",YEAR($J1197+4-WEEKDAY($J1197,2))&amp;"-S"&amp;TEXT(_xlfn.ISOWEEKNUM($J1197),"00"))</f>
        <v/>
      </c>
      <c r="P1197" s="24">
        <f>IF($J1197="","",YEAR($J1197))</f>
        <v/>
      </c>
      <c r="Q1197" s="24">
        <f>IF($J1197="","",MONTH($J1197))</f>
        <v/>
      </c>
      <c r="R1197" s="24">
        <f>IF($J1197="","",$P1197&amp;"-"&amp;TEXT($Q1197,"00"))</f>
        <v/>
      </c>
      <c r="S1197" s="24">
        <f>IF($J1197="","",INDEX(lista_dias,WEEKDAY($J1197,2)))</f>
        <v/>
      </c>
      <c r="T1197" s="24">
        <f>IF($J1197="","",IFERROR(INDEX('CALENDARIO'!$C$15:$C$214,MATCH(TEXT($J1197,"yyyy-mm-dd")&amp;"|"&amp;$Y1197&amp;"|"&amp;$Z1197,'CALENDARIO'!$G$15:$G$214,0)),IFERROR(INDEX('CALENDARIO'!$C$15:$C$214,MATCH(TEXT($J1197,"yyyy-mm-dd")&amp;"|"&amp;$Y1197&amp;"|",'CALENDARIO'!$G$15:$G$214,0)),IFERROR(INDEX('CALENDARIO'!$C$15:$C$214,MATCH(TEXT($J1197,"yyyy-mm-dd")&amp;"||",'CALENDARIO'!$G$15:$G$214,0)),INDEX(patronHabil,WEEKDAY($J1197,2))))))</f>
        <v/>
      </c>
      <c r="U1197" s="24">
        <f>IF($I1197="","",IFERROR(INDEX('CAT_TIPOS_OT'!$C$4:$C$23,MATCH($I1197,'CAT_TIPOS_OT'!$A$4:$A$23,0)),"sin_clasificar"))</f>
        <v/>
      </c>
      <c r="V1197" s="24">
        <f>IF($I1197="","",IF(IFERROR(INDEX('CAT_TIPOS_OT'!$D$4:$D$23,MATCH($I1197,'CAT_TIPOS_OT'!$A$4:$A$23,0)),"SIN CLASIFICAR")="","SIN CLASIFICAR",IFERROR(INDEX('CAT_TIPOS_OT'!$D$4:$D$23,MATCH($I1197,'CAT_TIPOS_OT'!$A$4:$A$23,0)),"SIN CLASIFICAR")))</f>
        <v/>
      </c>
      <c r="W1197" s="24">
        <f>IF($H1197="","",IF(IFERROR(INDEX('CAT_ACTIVIDADES'!$F$4:$F$26,MATCH($H1197,'CAT_ACTIVIDADES'!$A$4:$A$26,0)),"")=0,"",IFERROR(INDEX('CAT_ACTIVIDADES'!$F$4:$F$26,MATCH($H1197,'CAT_ACTIVIDADES'!$A$4:$A$26,0)),"")))</f>
        <v/>
      </c>
      <c r="X1197" s="24">
        <f>IF($F1197="","",IFERROR(INDEX('CAT_CENTROS_COSTO'!$F$4:$F$28,MATCH($F1197,'CAT_CENTROS_COSTO'!$A$4:$A$28,0)),"(sin catálogo)"))</f>
        <v/>
      </c>
      <c r="Y1197" s="24">
        <f>IF($F1197="","",IFERROR(INDEX('CAT_CENTROS_COSTO'!$D$4:$D$28,MATCH($F1197,'CAT_CENTROS_COSTO'!$A$4:$A$28,0)),"(sin catálogo)"))</f>
        <v/>
      </c>
      <c r="Z1197" s="24">
        <f>IF($F1197="","",IF((IFERROR(INDEX('CAT_CENTROS_COSTO'!$E$4:$E$28,MATCH($F1197,'CAT_CENTROS_COSTO'!$A$4:$A$28,0)),""))&lt;&gt;"",IFERROR(INDEX('CAT_CENTROS_COSTO'!$E$4:$E$28,MATCH($F1197,'CAT_CENTROS_COSTO'!$A$4:$A$28,0)),""),$Y1197))</f>
        <v/>
      </c>
      <c r="AA1197" s="24">
        <f>IF($F1197="","",IFERROR(INDEX('CAT_CENTROS_COSTO'!$G$4:$G$28,MATCH($F1197,'CAT_CENTROS_COSTO'!$A$4:$A$28,0)),"(sin catálogo)"))</f>
        <v/>
      </c>
      <c r="AB1197" s="24">
        <f>IF($G1197="","",IFERROR(INDEX('CAT_PUESTOS'!$B$4:$B$23,MATCH($G1197,'CAT_PUESTOS'!$A$4:$A$23,0)),"(sin catálogo)"))</f>
        <v/>
      </c>
      <c r="AC1197" s="24">
        <f>IF($H1197="","",IFERROR(INDEX('CAT_ACTIVIDADES'!$B$4:$B$26,MATCH($H1197,'CAT_ACTIVIDADES'!$A$4:$A$26,0)),"(sin catálogo)"))</f>
        <v/>
      </c>
      <c r="AD1197" s="26">
        <f>IF($J1197="","",TODAY()-$J1197)</f>
        <v/>
      </c>
      <c r="AE1197" s="26">
        <f>IF($J1197="","",IF($J1197&lt;=TODAY(),COUNTIFS(cal_fechas,"&gt;="&amp;$J1197,cal_fechas,"&lt;"&amp;TODAY(),cal_habil,"sí"),-COUNTIFS(cal_fechas,"&gt;="&amp;TODAY(),cal_fechas,"&lt;"&amp;$J1197,cal_habil,"sí")))</f>
        <v/>
      </c>
      <c r="AF1197" s="24">
        <f>IF($AE1197="","",IF($AE1197&lt;0,"FUTURO",IF($AE1197&gt;p_dias_backlog_max,"BACKLOG","MES CORRIENTE")))</f>
        <v/>
      </c>
      <c r="AG1197" s="24">
        <f>IF($AE1197="",FALSE,AND($AE1197&gt;p_dias_backlog_min,$AE1197&lt;=p_dias_backlog_max))</f>
        <v/>
      </c>
      <c r="AH1197" s="4" t="n"/>
      <c r="AI1197" s="24">
        <f>IF($AH1197="","",IF((IFERROR(INDEX('ASIGNACIONES'!$J$4:$J$451,MATCH($O1197&amp;"|"&amp;$S1197&amp;"|"&amp;$AH1197,'ASIGNACIONES'!$N$4:$N$451,0)),""))=0,"",IFERROR(INDEX('ASIGNACIONES'!$J$4:$J$451,MATCH($O1197&amp;"|"&amp;$S1197&amp;"|"&amp;$AH1197,'ASIGNACIONES'!$N$4:$N$451,0)),"")))</f>
        <v/>
      </c>
      <c r="AJ1197" s="42">
        <f>IF($AH1197="","",SUMIFS('ORDENES'!$M$4:$M$1203,'ORDENES'!$AH$4:$AH$1203,$AH1197,'ORDENES'!$O$4:$O$1203,$O1197,'ORDENES'!$S$4:$S$1203,$S1197))</f>
        <v/>
      </c>
      <c r="AK1197" s="42">
        <f>IF($AJ1197="","",p_factor_productividad*IFERROR(INDEX('ASIGNACIONES'!$M$4:$M$451,MATCH($O1197&amp;"|"&amp;$S1197&amp;"|"&amp;$AH1197,'ASIGNACIONES'!$N$4:$N$451,0)),0)-$AJ1197)</f>
        <v/>
      </c>
      <c r="AL1197" s="32">
        <f>IF($A1197="","",IFERROR(INDEX('2_IMPORTAR_EJECUCION'!$F$9:$F$1208,MATCH($AU1197,'2_IMPORTAR_EJECUCION'!$J$9:$J$1208,0)),0))</f>
        <v/>
      </c>
      <c r="AM1197" s="32">
        <f>IF($A1197="","",MAX(0,IFERROR(INDEX('2_IMPORTAR_EJECUCION'!$H$9:$H$1208,MATCH($AU1197,'2_IMPORTAR_EJECUCION'!$J$9:$J$1208,0)),0)-$AL1197))</f>
        <v/>
      </c>
      <c r="AN1197" s="32">
        <f>IF($A1197="","",$AL1197+$AM1197)</f>
        <v/>
      </c>
      <c r="AO1197" s="24">
        <f>IF($A1197="","",IF(OR((IFERROR(INDEX('CAT_ACTIVIDADES'!$D$4:$D$26,MATCH($H1197,'CAT_ACTIVIDADES'!$A$4:$A$26,0)),""))=0,(IFERROR(INDEX('CAT_ACTIVIDADES'!$D$4:$D$26,MATCH($H1197,'CAT_ACTIVIDADES'!$A$4:$A$26,0)),""))=""),"SIN CLASIFICAR",IFERROR(INDEX('CAT_ACTIVIDADES'!$D$4:$D$26,MATCH($H1197,'CAT_ACTIVIDADES'!$A$4:$A$26,0)),"")))</f>
        <v/>
      </c>
      <c r="AP1197" s="4" t="n"/>
      <c r="AQ1197" s="4" t="n"/>
      <c r="AR1197" s="4" t="n"/>
      <c r="AS1197" s="24">
        <f>IF($AR1197="","",HYPERLINK(p_ruta_base_checklists&amp;$AR1197,"abrir"))</f>
        <v/>
      </c>
      <c r="AT1197" s="4" t="n"/>
      <c r="AU1197" s="24">
        <f>IF($A1197="","",$A1197&amp;IF($B1197="","0010",$B1197))</f>
        <v/>
      </c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41" t="n"/>
      <c r="K1198" s="5" t="n"/>
      <c r="L1198" s="18" t="n"/>
      <c r="M1198" s="24">
        <f>IF($A1198="","",IFERROR(INDEX('AJUSTES'!$B$4:$B$303,MATCH($AU1198,'AJUSTES'!$A$4:$A$303,0)),IF($K1198="","",$K1198)))</f>
        <v/>
      </c>
      <c r="N1198" s="24">
        <f>IF($A1198="","",IFERROR(INDEX('CAT_ESTADOS_ERP'!$B$4:$B$22,MATCH(IFERROR(INDEX('2_IMPORTAR_EJECUCION'!$C$9:$C$1208,MATCH($AU1198,'2_IMPORTAR_EJECUCION'!$J$9:$J$1208,0)),""),'CAT_ESTADOS_ERP'!$A$4:$A$22,0)),"Pendiente"))</f>
        <v/>
      </c>
      <c r="O1198" s="24">
        <f>IF($J1198="","",YEAR($J1198+4-WEEKDAY($J1198,2))&amp;"-S"&amp;TEXT(_xlfn.ISOWEEKNUM($J1198),"00"))</f>
        <v/>
      </c>
      <c r="P1198" s="24">
        <f>IF($J1198="","",YEAR($J1198))</f>
        <v/>
      </c>
      <c r="Q1198" s="24">
        <f>IF($J1198="","",MONTH($J1198))</f>
        <v/>
      </c>
      <c r="R1198" s="24">
        <f>IF($J1198="","",$P1198&amp;"-"&amp;TEXT($Q1198,"00"))</f>
        <v/>
      </c>
      <c r="S1198" s="24">
        <f>IF($J1198="","",INDEX(lista_dias,WEEKDAY($J1198,2)))</f>
        <v/>
      </c>
      <c r="T1198" s="24">
        <f>IF($J1198="","",IFERROR(INDEX('CALENDARIO'!$C$15:$C$214,MATCH(TEXT($J1198,"yyyy-mm-dd")&amp;"|"&amp;$Y1198&amp;"|"&amp;$Z1198,'CALENDARIO'!$G$15:$G$214,0)),IFERROR(INDEX('CALENDARIO'!$C$15:$C$214,MATCH(TEXT($J1198,"yyyy-mm-dd")&amp;"|"&amp;$Y1198&amp;"|",'CALENDARIO'!$G$15:$G$214,0)),IFERROR(INDEX('CALENDARIO'!$C$15:$C$214,MATCH(TEXT($J1198,"yyyy-mm-dd")&amp;"||",'CALENDARIO'!$G$15:$G$214,0)),INDEX(patronHabil,WEEKDAY($J1198,2))))))</f>
        <v/>
      </c>
      <c r="U1198" s="24">
        <f>IF($I1198="","",IFERROR(INDEX('CAT_TIPOS_OT'!$C$4:$C$23,MATCH($I1198,'CAT_TIPOS_OT'!$A$4:$A$23,0)),"sin_clasificar"))</f>
        <v/>
      </c>
      <c r="V1198" s="24">
        <f>IF($I1198="","",IF(IFERROR(INDEX('CAT_TIPOS_OT'!$D$4:$D$23,MATCH($I1198,'CAT_TIPOS_OT'!$A$4:$A$23,0)),"SIN CLASIFICAR")="","SIN CLASIFICAR",IFERROR(INDEX('CAT_TIPOS_OT'!$D$4:$D$23,MATCH($I1198,'CAT_TIPOS_OT'!$A$4:$A$23,0)),"SIN CLASIFICAR")))</f>
        <v/>
      </c>
      <c r="W1198" s="24">
        <f>IF($H1198="","",IF(IFERROR(INDEX('CAT_ACTIVIDADES'!$F$4:$F$26,MATCH($H1198,'CAT_ACTIVIDADES'!$A$4:$A$26,0)),"")=0,"",IFERROR(INDEX('CAT_ACTIVIDADES'!$F$4:$F$26,MATCH($H1198,'CAT_ACTIVIDADES'!$A$4:$A$26,0)),"")))</f>
        <v/>
      </c>
      <c r="X1198" s="24">
        <f>IF($F1198="","",IFERROR(INDEX('CAT_CENTROS_COSTO'!$F$4:$F$28,MATCH($F1198,'CAT_CENTROS_COSTO'!$A$4:$A$28,0)),"(sin catálogo)"))</f>
        <v/>
      </c>
      <c r="Y1198" s="24">
        <f>IF($F1198="","",IFERROR(INDEX('CAT_CENTROS_COSTO'!$D$4:$D$28,MATCH($F1198,'CAT_CENTROS_COSTO'!$A$4:$A$28,0)),"(sin catálogo)"))</f>
        <v/>
      </c>
      <c r="Z1198" s="24">
        <f>IF($F1198="","",IF((IFERROR(INDEX('CAT_CENTROS_COSTO'!$E$4:$E$28,MATCH($F1198,'CAT_CENTROS_COSTO'!$A$4:$A$28,0)),""))&lt;&gt;"",IFERROR(INDEX('CAT_CENTROS_COSTO'!$E$4:$E$28,MATCH($F1198,'CAT_CENTROS_COSTO'!$A$4:$A$28,0)),""),$Y1198))</f>
        <v/>
      </c>
      <c r="AA1198" s="24">
        <f>IF($F1198="","",IFERROR(INDEX('CAT_CENTROS_COSTO'!$G$4:$G$28,MATCH($F1198,'CAT_CENTROS_COSTO'!$A$4:$A$28,0)),"(sin catálogo)"))</f>
        <v/>
      </c>
      <c r="AB1198" s="24">
        <f>IF($G1198="","",IFERROR(INDEX('CAT_PUESTOS'!$B$4:$B$23,MATCH($G1198,'CAT_PUESTOS'!$A$4:$A$23,0)),"(sin catálogo)"))</f>
        <v/>
      </c>
      <c r="AC1198" s="24">
        <f>IF($H1198="","",IFERROR(INDEX('CAT_ACTIVIDADES'!$B$4:$B$26,MATCH($H1198,'CAT_ACTIVIDADES'!$A$4:$A$26,0)),"(sin catálogo)"))</f>
        <v/>
      </c>
      <c r="AD1198" s="26">
        <f>IF($J1198="","",TODAY()-$J1198)</f>
        <v/>
      </c>
      <c r="AE1198" s="26">
        <f>IF($J1198="","",IF($J1198&lt;=TODAY(),COUNTIFS(cal_fechas,"&gt;="&amp;$J1198,cal_fechas,"&lt;"&amp;TODAY(),cal_habil,"sí"),-COUNTIFS(cal_fechas,"&gt;="&amp;TODAY(),cal_fechas,"&lt;"&amp;$J1198,cal_habil,"sí")))</f>
        <v/>
      </c>
      <c r="AF1198" s="24">
        <f>IF($AE1198="","",IF($AE1198&lt;0,"FUTURO",IF($AE1198&gt;p_dias_backlog_max,"BACKLOG","MES CORRIENTE")))</f>
        <v/>
      </c>
      <c r="AG1198" s="24">
        <f>IF($AE1198="",FALSE,AND($AE1198&gt;p_dias_backlog_min,$AE1198&lt;=p_dias_backlog_max))</f>
        <v/>
      </c>
      <c r="AH1198" s="4" t="n"/>
      <c r="AI1198" s="24">
        <f>IF($AH1198="","",IF((IFERROR(INDEX('ASIGNACIONES'!$J$4:$J$451,MATCH($O1198&amp;"|"&amp;$S1198&amp;"|"&amp;$AH1198,'ASIGNACIONES'!$N$4:$N$451,0)),""))=0,"",IFERROR(INDEX('ASIGNACIONES'!$J$4:$J$451,MATCH($O1198&amp;"|"&amp;$S1198&amp;"|"&amp;$AH1198,'ASIGNACIONES'!$N$4:$N$451,0)),"")))</f>
        <v/>
      </c>
      <c r="AJ1198" s="42">
        <f>IF($AH1198="","",SUMIFS('ORDENES'!$M$4:$M$1203,'ORDENES'!$AH$4:$AH$1203,$AH1198,'ORDENES'!$O$4:$O$1203,$O1198,'ORDENES'!$S$4:$S$1203,$S1198))</f>
        <v/>
      </c>
      <c r="AK1198" s="42">
        <f>IF($AJ1198="","",p_factor_productividad*IFERROR(INDEX('ASIGNACIONES'!$M$4:$M$451,MATCH($O1198&amp;"|"&amp;$S1198&amp;"|"&amp;$AH1198,'ASIGNACIONES'!$N$4:$N$451,0)),0)-$AJ1198)</f>
        <v/>
      </c>
      <c r="AL1198" s="32">
        <f>IF($A1198="","",IFERROR(INDEX('2_IMPORTAR_EJECUCION'!$F$9:$F$1208,MATCH($AU1198,'2_IMPORTAR_EJECUCION'!$J$9:$J$1208,0)),0))</f>
        <v/>
      </c>
      <c r="AM1198" s="32">
        <f>IF($A1198="","",MAX(0,IFERROR(INDEX('2_IMPORTAR_EJECUCION'!$H$9:$H$1208,MATCH($AU1198,'2_IMPORTAR_EJECUCION'!$J$9:$J$1208,0)),0)-$AL1198))</f>
        <v/>
      </c>
      <c r="AN1198" s="32">
        <f>IF($A1198="","",$AL1198+$AM1198)</f>
        <v/>
      </c>
      <c r="AO1198" s="24">
        <f>IF($A1198="","",IF(OR((IFERROR(INDEX('CAT_ACTIVIDADES'!$D$4:$D$26,MATCH($H1198,'CAT_ACTIVIDADES'!$A$4:$A$26,0)),""))=0,(IFERROR(INDEX('CAT_ACTIVIDADES'!$D$4:$D$26,MATCH($H1198,'CAT_ACTIVIDADES'!$A$4:$A$26,0)),""))=""),"SIN CLASIFICAR",IFERROR(INDEX('CAT_ACTIVIDADES'!$D$4:$D$26,MATCH($H1198,'CAT_ACTIVIDADES'!$A$4:$A$26,0)),"")))</f>
        <v/>
      </c>
      <c r="AP1198" s="4" t="n"/>
      <c r="AQ1198" s="4" t="n"/>
      <c r="AR1198" s="4" t="n"/>
      <c r="AS1198" s="24">
        <f>IF($AR1198="","",HYPERLINK(p_ruta_base_checklists&amp;$AR1198,"abrir"))</f>
        <v/>
      </c>
      <c r="AT1198" s="4" t="n"/>
      <c r="AU1198" s="24">
        <f>IF($A1198="","",$A1198&amp;IF($B1198="","0010",$B1198))</f>
        <v/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41" t="n"/>
      <c r="K1199" s="5" t="n"/>
      <c r="L1199" s="18" t="n"/>
      <c r="M1199" s="24">
        <f>IF($A1199="","",IFERROR(INDEX('AJUSTES'!$B$4:$B$303,MATCH($AU1199,'AJUSTES'!$A$4:$A$303,0)),IF($K1199="","",$K1199)))</f>
        <v/>
      </c>
      <c r="N1199" s="24">
        <f>IF($A1199="","",IFERROR(INDEX('CAT_ESTADOS_ERP'!$B$4:$B$22,MATCH(IFERROR(INDEX('2_IMPORTAR_EJECUCION'!$C$9:$C$1208,MATCH($AU1199,'2_IMPORTAR_EJECUCION'!$J$9:$J$1208,0)),""),'CAT_ESTADOS_ERP'!$A$4:$A$22,0)),"Pendiente"))</f>
        <v/>
      </c>
      <c r="O1199" s="24">
        <f>IF($J1199="","",YEAR($J1199+4-WEEKDAY($J1199,2))&amp;"-S"&amp;TEXT(_xlfn.ISOWEEKNUM($J1199),"00"))</f>
        <v/>
      </c>
      <c r="P1199" s="24">
        <f>IF($J1199="","",YEAR($J1199))</f>
        <v/>
      </c>
      <c r="Q1199" s="24">
        <f>IF($J1199="","",MONTH($J1199))</f>
        <v/>
      </c>
      <c r="R1199" s="24">
        <f>IF($J1199="","",$P1199&amp;"-"&amp;TEXT($Q1199,"00"))</f>
        <v/>
      </c>
      <c r="S1199" s="24">
        <f>IF($J1199="","",INDEX(lista_dias,WEEKDAY($J1199,2)))</f>
        <v/>
      </c>
      <c r="T1199" s="24">
        <f>IF($J1199="","",IFERROR(INDEX('CALENDARIO'!$C$15:$C$214,MATCH(TEXT($J1199,"yyyy-mm-dd")&amp;"|"&amp;$Y1199&amp;"|"&amp;$Z1199,'CALENDARIO'!$G$15:$G$214,0)),IFERROR(INDEX('CALENDARIO'!$C$15:$C$214,MATCH(TEXT($J1199,"yyyy-mm-dd")&amp;"|"&amp;$Y1199&amp;"|",'CALENDARIO'!$G$15:$G$214,0)),IFERROR(INDEX('CALENDARIO'!$C$15:$C$214,MATCH(TEXT($J1199,"yyyy-mm-dd")&amp;"||",'CALENDARIO'!$G$15:$G$214,0)),INDEX(patronHabil,WEEKDAY($J1199,2))))))</f>
        <v/>
      </c>
      <c r="U1199" s="24">
        <f>IF($I1199="","",IFERROR(INDEX('CAT_TIPOS_OT'!$C$4:$C$23,MATCH($I1199,'CAT_TIPOS_OT'!$A$4:$A$23,0)),"sin_clasificar"))</f>
        <v/>
      </c>
      <c r="V1199" s="24">
        <f>IF($I1199="","",IF(IFERROR(INDEX('CAT_TIPOS_OT'!$D$4:$D$23,MATCH($I1199,'CAT_TIPOS_OT'!$A$4:$A$23,0)),"SIN CLASIFICAR")="","SIN CLASIFICAR",IFERROR(INDEX('CAT_TIPOS_OT'!$D$4:$D$23,MATCH($I1199,'CAT_TIPOS_OT'!$A$4:$A$23,0)),"SIN CLASIFICAR")))</f>
        <v/>
      </c>
      <c r="W1199" s="24">
        <f>IF($H1199="","",IF(IFERROR(INDEX('CAT_ACTIVIDADES'!$F$4:$F$26,MATCH($H1199,'CAT_ACTIVIDADES'!$A$4:$A$26,0)),"")=0,"",IFERROR(INDEX('CAT_ACTIVIDADES'!$F$4:$F$26,MATCH($H1199,'CAT_ACTIVIDADES'!$A$4:$A$26,0)),"")))</f>
        <v/>
      </c>
      <c r="X1199" s="24">
        <f>IF($F1199="","",IFERROR(INDEX('CAT_CENTROS_COSTO'!$F$4:$F$28,MATCH($F1199,'CAT_CENTROS_COSTO'!$A$4:$A$28,0)),"(sin catálogo)"))</f>
        <v/>
      </c>
      <c r="Y1199" s="24">
        <f>IF($F1199="","",IFERROR(INDEX('CAT_CENTROS_COSTO'!$D$4:$D$28,MATCH($F1199,'CAT_CENTROS_COSTO'!$A$4:$A$28,0)),"(sin catálogo)"))</f>
        <v/>
      </c>
      <c r="Z1199" s="24">
        <f>IF($F1199="","",IF((IFERROR(INDEX('CAT_CENTROS_COSTO'!$E$4:$E$28,MATCH($F1199,'CAT_CENTROS_COSTO'!$A$4:$A$28,0)),""))&lt;&gt;"",IFERROR(INDEX('CAT_CENTROS_COSTO'!$E$4:$E$28,MATCH($F1199,'CAT_CENTROS_COSTO'!$A$4:$A$28,0)),""),$Y1199))</f>
        <v/>
      </c>
      <c r="AA1199" s="24">
        <f>IF($F1199="","",IFERROR(INDEX('CAT_CENTROS_COSTO'!$G$4:$G$28,MATCH($F1199,'CAT_CENTROS_COSTO'!$A$4:$A$28,0)),"(sin catálogo)"))</f>
        <v/>
      </c>
      <c r="AB1199" s="24">
        <f>IF($G1199="","",IFERROR(INDEX('CAT_PUESTOS'!$B$4:$B$23,MATCH($G1199,'CAT_PUESTOS'!$A$4:$A$23,0)),"(sin catálogo)"))</f>
        <v/>
      </c>
      <c r="AC1199" s="24">
        <f>IF($H1199="","",IFERROR(INDEX('CAT_ACTIVIDADES'!$B$4:$B$26,MATCH($H1199,'CAT_ACTIVIDADES'!$A$4:$A$26,0)),"(sin catálogo)"))</f>
        <v/>
      </c>
      <c r="AD1199" s="26">
        <f>IF($J1199="","",TODAY()-$J1199)</f>
        <v/>
      </c>
      <c r="AE1199" s="26">
        <f>IF($J1199="","",IF($J1199&lt;=TODAY(),COUNTIFS(cal_fechas,"&gt;="&amp;$J1199,cal_fechas,"&lt;"&amp;TODAY(),cal_habil,"sí"),-COUNTIFS(cal_fechas,"&gt;="&amp;TODAY(),cal_fechas,"&lt;"&amp;$J1199,cal_habil,"sí")))</f>
        <v/>
      </c>
      <c r="AF1199" s="24">
        <f>IF($AE1199="","",IF($AE1199&lt;0,"FUTURO",IF($AE1199&gt;p_dias_backlog_max,"BACKLOG","MES CORRIENTE")))</f>
        <v/>
      </c>
      <c r="AG1199" s="24">
        <f>IF($AE1199="",FALSE,AND($AE1199&gt;p_dias_backlog_min,$AE1199&lt;=p_dias_backlog_max))</f>
        <v/>
      </c>
      <c r="AH1199" s="4" t="n"/>
      <c r="AI1199" s="24">
        <f>IF($AH1199="","",IF((IFERROR(INDEX('ASIGNACIONES'!$J$4:$J$451,MATCH($O1199&amp;"|"&amp;$S1199&amp;"|"&amp;$AH1199,'ASIGNACIONES'!$N$4:$N$451,0)),""))=0,"",IFERROR(INDEX('ASIGNACIONES'!$J$4:$J$451,MATCH($O1199&amp;"|"&amp;$S1199&amp;"|"&amp;$AH1199,'ASIGNACIONES'!$N$4:$N$451,0)),"")))</f>
        <v/>
      </c>
      <c r="AJ1199" s="42">
        <f>IF($AH1199="","",SUMIFS('ORDENES'!$M$4:$M$1203,'ORDENES'!$AH$4:$AH$1203,$AH1199,'ORDENES'!$O$4:$O$1203,$O1199,'ORDENES'!$S$4:$S$1203,$S1199))</f>
        <v/>
      </c>
      <c r="AK1199" s="42">
        <f>IF($AJ1199="","",p_factor_productividad*IFERROR(INDEX('ASIGNACIONES'!$M$4:$M$451,MATCH($O1199&amp;"|"&amp;$S1199&amp;"|"&amp;$AH1199,'ASIGNACIONES'!$N$4:$N$451,0)),0)-$AJ1199)</f>
        <v/>
      </c>
      <c r="AL1199" s="32">
        <f>IF($A1199="","",IFERROR(INDEX('2_IMPORTAR_EJECUCION'!$F$9:$F$1208,MATCH($AU1199,'2_IMPORTAR_EJECUCION'!$J$9:$J$1208,0)),0))</f>
        <v/>
      </c>
      <c r="AM1199" s="32">
        <f>IF($A1199="","",MAX(0,IFERROR(INDEX('2_IMPORTAR_EJECUCION'!$H$9:$H$1208,MATCH($AU1199,'2_IMPORTAR_EJECUCION'!$J$9:$J$1208,0)),0)-$AL1199))</f>
        <v/>
      </c>
      <c r="AN1199" s="32">
        <f>IF($A1199="","",$AL1199+$AM1199)</f>
        <v/>
      </c>
      <c r="AO1199" s="24">
        <f>IF($A1199="","",IF(OR((IFERROR(INDEX('CAT_ACTIVIDADES'!$D$4:$D$26,MATCH($H1199,'CAT_ACTIVIDADES'!$A$4:$A$26,0)),""))=0,(IFERROR(INDEX('CAT_ACTIVIDADES'!$D$4:$D$26,MATCH($H1199,'CAT_ACTIVIDADES'!$A$4:$A$26,0)),""))=""),"SIN CLASIFICAR",IFERROR(INDEX('CAT_ACTIVIDADES'!$D$4:$D$26,MATCH($H1199,'CAT_ACTIVIDADES'!$A$4:$A$26,0)),"")))</f>
        <v/>
      </c>
      <c r="AP1199" s="4" t="n"/>
      <c r="AQ1199" s="4" t="n"/>
      <c r="AR1199" s="4" t="n"/>
      <c r="AS1199" s="24">
        <f>IF($AR1199="","",HYPERLINK(p_ruta_base_checklists&amp;$AR1199,"abrir"))</f>
        <v/>
      </c>
      <c r="AT1199" s="4" t="n"/>
      <c r="AU1199" s="24">
        <f>IF($A1199="","",$A1199&amp;IF($B1199="","0010",$B1199))</f>
        <v/>
      </c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41" t="n"/>
      <c r="K1200" s="5" t="n"/>
      <c r="L1200" s="18" t="n"/>
      <c r="M1200" s="24">
        <f>IF($A1200="","",IFERROR(INDEX('AJUSTES'!$B$4:$B$303,MATCH($AU1200,'AJUSTES'!$A$4:$A$303,0)),IF($K1200="","",$K1200)))</f>
        <v/>
      </c>
      <c r="N1200" s="24">
        <f>IF($A1200="","",IFERROR(INDEX('CAT_ESTADOS_ERP'!$B$4:$B$22,MATCH(IFERROR(INDEX('2_IMPORTAR_EJECUCION'!$C$9:$C$1208,MATCH($AU1200,'2_IMPORTAR_EJECUCION'!$J$9:$J$1208,0)),""),'CAT_ESTADOS_ERP'!$A$4:$A$22,0)),"Pendiente"))</f>
        <v/>
      </c>
      <c r="O1200" s="24">
        <f>IF($J1200="","",YEAR($J1200+4-WEEKDAY($J1200,2))&amp;"-S"&amp;TEXT(_xlfn.ISOWEEKNUM($J1200),"00"))</f>
        <v/>
      </c>
      <c r="P1200" s="24">
        <f>IF($J1200="","",YEAR($J1200))</f>
        <v/>
      </c>
      <c r="Q1200" s="24">
        <f>IF($J1200="","",MONTH($J1200))</f>
        <v/>
      </c>
      <c r="R1200" s="24">
        <f>IF($J1200="","",$P1200&amp;"-"&amp;TEXT($Q1200,"00"))</f>
        <v/>
      </c>
      <c r="S1200" s="24">
        <f>IF($J1200="","",INDEX(lista_dias,WEEKDAY($J1200,2)))</f>
        <v/>
      </c>
      <c r="T1200" s="24">
        <f>IF($J1200="","",IFERROR(INDEX('CALENDARIO'!$C$15:$C$214,MATCH(TEXT($J1200,"yyyy-mm-dd")&amp;"|"&amp;$Y1200&amp;"|"&amp;$Z1200,'CALENDARIO'!$G$15:$G$214,0)),IFERROR(INDEX('CALENDARIO'!$C$15:$C$214,MATCH(TEXT($J1200,"yyyy-mm-dd")&amp;"|"&amp;$Y1200&amp;"|",'CALENDARIO'!$G$15:$G$214,0)),IFERROR(INDEX('CALENDARIO'!$C$15:$C$214,MATCH(TEXT($J1200,"yyyy-mm-dd")&amp;"||",'CALENDARIO'!$G$15:$G$214,0)),INDEX(patronHabil,WEEKDAY($J1200,2))))))</f>
        <v/>
      </c>
      <c r="U1200" s="24">
        <f>IF($I1200="","",IFERROR(INDEX('CAT_TIPOS_OT'!$C$4:$C$23,MATCH($I1200,'CAT_TIPOS_OT'!$A$4:$A$23,0)),"sin_clasificar"))</f>
        <v/>
      </c>
      <c r="V1200" s="24">
        <f>IF($I1200="","",IF(IFERROR(INDEX('CAT_TIPOS_OT'!$D$4:$D$23,MATCH($I1200,'CAT_TIPOS_OT'!$A$4:$A$23,0)),"SIN CLASIFICAR")="","SIN CLASIFICAR",IFERROR(INDEX('CAT_TIPOS_OT'!$D$4:$D$23,MATCH($I1200,'CAT_TIPOS_OT'!$A$4:$A$23,0)),"SIN CLASIFICAR")))</f>
        <v/>
      </c>
      <c r="W1200" s="24">
        <f>IF($H1200="","",IF(IFERROR(INDEX('CAT_ACTIVIDADES'!$F$4:$F$26,MATCH($H1200,'CAT_ACTIVIDADES'!$A$4:$A$26,0)),"")=0,"",IFERROR(INDEX('CAT_ACTIVIDADES'!$F$4:$F$26,MATCH($H1200,'CAT_ACTIVIDADES'!$A$4:$A$26,0)),"")))</f>
        <v/>
      </c>
      <c r="X1200" s="24">
        <f>IF($F1200="","",IFERROR(INDEX('CAT_CENTROS_COSTO'!$F$4:$F$28,MATCH($F1200,'CAT_CENTROS_COSTO'!$A$4:$A$28,0)),"(sin catálogo)"))</f>
        <v/>
      </c>
      <c r="Y1200" s="24">
        <f>IF($F1200="","",IFERROR(INDEX('CAT_CENTROS_COSTO'!$D$4:$D$28,MATCH($F1200,'CAT_CENTROS_COSTO'!$A$4:$A$28,0)),"(sin catálogo)"))</f>
        <v/>
      </c>
      <c r="Z1200" s="24">
        <f>IF($F1200="","",IF((IFERROR(INDEX('CAT_CENTROS_COSTO'!$E$4:$E$28,MATCH($F1200,'CAT_CENTROS_COSTO'!$A$4:$A$28,0)),""))&lt;&gt;"",IFERROR(INDEX('CAT_CENTROS_COSTO'!$E$4:$E$28,MATCH($F1200,'CAT_CENTROS_COSTO'!$A$4:$A$28,0)),""),$Y1200))</f>
        <v/>
      </c>
      <c r="AA1200" s="24">
        <f>IF($F1200="","",IFERROR(INDEX('CAT_CENTROS_COSTO'!$G$4:$G$28,MATCH($F1200,'CAT_CENTROS_COSTO'!$A$4:$A$28,0)),"(sin catálogo)"))</f>
        <v/>
      </c>
      <c r="AB1200" s="24">
        <f>IF($G1200="","",IFERROR(INDEX('CAT_PUESTOS'!$B$4:$B$23,MATCH($G1200,'CAT_PUESTOS'!$A$4:$A$23,0)),"(sin catálogo)"))</f>
        <v/>
      </c>
      <c r="AC1200" s="24">
        <f>IF($H1200="","",IFERROR(INDEX('CAT_ACTIVIDADES'!$B$4:$B$26,MATCH($H1200,'CAT_ACTIVIDADES'!$A$4:$A$26,0)),"(sin catálogo)"))</f>
        <v/>
      </c>
      <c r="AD1200" s="26">
        <f>IF($J1200="","",TODAY()-$J1200)</f>
        <v/>
      </c>
      <c r="AE1200" s="26">
        <f>IF($J1200="","",IF($J1200&lt;=TODAY(),COUNTIFS(cal_fechas,"&gt;="&amp;$J1200,cal_fechas,"&lt;"&amp;TODAY(),cal_habil,"sí"),-COUNTIFS(cal_fechas,"&gt;="&amp;TODAY(),cal_fechas,"&lt;"&amp;$J1200,cal_habil,"sí")))</f>
        <v/>
      </c>
      <c r="AF1200" s="24">
        <f>IF($AE1200="","",IF($AE1200&lt;0,"FUTURO",IF($AE1200&gt;p_dias_backlog_max,"BACKLOG","MES CORRIENTE")))</f>
        <v/>
      </c>
      <c r="AG1200" s="24">
        <f>IF($AE1200="",FALSE,AND($AE1200&gt;p_dias_backlog_min,$AE1200&lt;=p_dias_backlog_max))</f>
        <v/>
      </c>
      <c r="AH1200" s="4" t="n"/>
      <c r="AI1200" s="24">
        <f>IF($AH1200="","",IF((IFERROR(INDEX('ASIGNACIONES'!$J$4:$J$451,MATCH($O1200&amp;"|"&amp;$S1200&amp;"|"&amp;$AH1200,'ASIGNACIONES'!$N$4:$N$451,0)),""))=0,"",IFERROR(INDEX('ASIGNACIONES'!$J$4:$J$451,MATCH($O1200&amp;"|"&amp;$S1200&amp;"|"&amp;$AH1200,'ASIGNACIONES'!$N$4:$N$451,0)),"")))</f>
        <v/>
      </c>
      <c r="AJ1200" s="42">
        <f>IF($AH1200="","",SUMIFS('ORDENES'!$M$4:$M$1203,'ORDENES'!$AH$4:$AH$1203,$AH1200,'ORDENES'!$O$4:$O$1203,$O1200,'ORDENES'!$S$4:$S$1203,$S1200))</f>
        <v/>
      </c>
      <c r="AK1200" s="42">
        <f>IF($AJ1200="","",p_factor_productividad*IFERROR(INDEX('ASIGNACIONES'!$M$4:$M$451,MATCH($O1200&amp;"|"&amp;$S1200&amp;"|"&amp;$AH1200,'ASIGNACIONES'!$N$4:$N$451,0)),0)-$AJ1200)</f>
        <v/>
      </c>
      <c r="AL1200" s="32">
        <f>IF($A1200="","",IFERROR(INDEX('2_IMPORTAR_EJECUCION'!$F$9:$F$1208,MATCH($AU1200,'2_IMPORTAR_EJECUCION'!$J$9:$J$1208,0)),0))</f>
        <v/>
      </c>
      <c r="AM1200" s="32">
        <f>IF($A1200="","",MAX(0,IFERROR(INDEX('2_IMPORTAR_EJECUCION'!$H$9:$H$1208,MATCH($AU1200,'2_IMPORTAR_EJECUCION'!$J$9:$J$1208,0)),0)-$AL1200))</f>
        <v/>
      </c>
      <c r="AN1200" s="32">
        <f>IF($A1200="","",$AL1200+$AM1200)</f>
        <v/>
      </c>
      <c r="AO1200" s="24">
        <f>IF($A1200="","",IF(OR((IFERROR(INDEX('CAT_ACTIVIDADES'!$D$4:$D$26,MATCH($H1200,'CAT_ACTIVIDADES'!$A$4:$A$26,0)),""))=0,(IFERROR(INDEX('CAT_ACTIVIDADES'!$D$4:$D$26,MATCH($H1200,'CAT_ACTIVIDADES'!$A$4:$A$26,0)),""))=""),"SIN CLASIFICAR",IFERROR(INDEX('CAT_ACTIVIDADES'!$D$4:$D$26,MATCH($H1200,'CAT_ACTIVIDADES'!$A$4:$A$26,0)),"")))</f>
        <v/>
      </c>
      <c r="AP1200" s="4" t="n"/>
      <c r="AQ1200" s="4" t="n"/>
      <c r="AR1200" s="4" t="n"/>
      <c r="AS1200" s="24">
        <f>IF($AR1200="","",HYPERLINK(p_ruta_base_checklists&amp;$AR1200,"abrir"))</f>
        <v/>
      </c>
      <c r="AT1200" s="4" t="n"/>
      <c r="AU1200" s="24">
        <f>IF($A1200="","",$A1200&amp;IF($B1200="","0010",$B1200))</f>
        <v/>
      </c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41" t="n"/>
      <c r="K1201" s="5" t="n"/>
      <c r="L1201" s="18" t="n"/>
      <c r="M1201" s="24">
        <f>IF($A1201="","",IFERROR(INDEX('AJUSTES'!$B$4:$B$303,MATCH($AU1201,'AJUSTES'!$A$4:$A$303,0)),IF($K1201="","",$K1201)))</f>
        <v/>
      </c>
      <c r="N1201" s="24">
        <f>IF($A1201="","",IFERROR(INDEX('CAT_ESTADOS_ERP'!$B$4:$B$22,MATCH(IFERROR(INDEX('2_IMPORTAR_EJECUCION'!$C$9:$C$1208,MATCH($AU1201,'2_IMPORTAR_EJECUCION'!$J$9:$J$1208,0)),""),'CAT_ESTADOS_ERP'!$A$4:$A$22,0)),"Pendiente"))</f>
        <v/>
      </c>
      <c r="O1201" s="24">
        <f>IF($J1201="","",YEAR($J1201+4-WEEKDAY($J1201,2))&amp;"-S"&amp;TEXT(_xlfn.ISOWEEKNUM($J1201),"00"))</f>
        <v/>
      </c>
      <c r="P1201" s="24">
        <f>IF($J1201="","",YEAR($J1201))</f>
        <v/>
      </c>
      <c r="Q1201" s="24">
        <f>IF($J1201="","",MONTH($J1201))</f>
        <v/>
      </c>
      <c r="R1201" s="24">
        <f>IF($J1201="","",$P1201&amp;"-"&amp;TEXT($Q1201,"00"))</f>
        <v/>
      </c>
      <c r="S1201" s="24">
        <f>IF($J1201="","",INDEX(lista_dias,WEEKDAY($J1201,2)))</f>
        <v/>
      </c>
      <c r="T1201" s="24">
        <f>IF($J1201="","",IFERROR(INDEX('CALENDARIO'!$C$15:$C$214,MATCH(TEXT($J1201,"yyyy-mm-dd")&amp;"|"&amp;$Y1201&amp;"|"&amp;$Z1201,'CALENDARIO'!$G$15:$G$214,0)),IFERROR(INDEX('CALENDARIO'!$C$15:$C$214,MATCH(TEXT($J1201,"yyyy-mm-dd")&amp;"|"&amp;$Y1201&amp;"|",'CALENDARIO'!$G$15:$G$214,0)),IFERROR(INDEX('CALENDARIO'!$C$15:$C$214,MATCH(TEXT($J1201,"yyyy-mm-dd")&amp;"||",'CALENDARIO'!$G$15:$G$214,0)),INDEX(patronHabil,WEEKDAY($J1201,2))))))</f>
        <v/>
      </c>
      <c r="U1201" s="24">
        <f>IF($I1201="","",IFERROR(INDEX('CAT_TIPOS_OT'!$C$4:$C$23,MATCH($I1201,'CAT_TIPOS_OT'!$A$4:$A$23,0)),"sin_clasificar"))</f>
        <v/>
      </c>
      <c r="V1201" s="24">
        <f>IF($I1201="","",IF(IFERROR(INDEX('CAT_TIPOS_OT'!$D$4:$D$23,MATCH($I1201,'CAT_TIPOS_OT'!$A$4:$A$23,0)),"SIN CLASIFICAR")="","SIN CLASIFICAR",IFERROR(INDEX('CAT_TIPOS_OT'!$D$4:$D$23,MATCH($I1201,'CAT_TIPOS_OT'!$A$4:$A$23,0)),"SIN CLASIFICAR")))</f>
        <v/>
      </c>
      <c r="W1201" s="24">
        <f>IF($H1201="","",IF(IFERROR(INDEX('CAT_ACTIVIDADES'!$F$4:$F$26,MATCH($H1201,'CAT_ACTIVIDADES'!$A$4:$A$26,0)),"")=0,"",IFERROR(INDEX('CAT_ACTIVIDADES'!$F$4:$F$26,MATCH($H1201,'CAT_ACTIVIDADES'!$A$4:$A$26,0)),"")))</f>
        <v/>
      </c>
      <c r="X1201" s="24">
        <f>IF($F1201="","",IFERROR(INDEX('CAT_CENTROS_COSTO'!$F$4:$F$28,MATCH($F1201,'CAT_CENTROS_COSTO'!$A$4:$A$28,0)),"(sin catálogo)"))</f>
        <v/>
      </c>
      <c r="Y1201" s="24">
        <f>IF($F1201="","",IFERROR(INDEX('CAT_CENTROS_COSTO'!$D$4:$D$28,MATCH($F1201,'CAT_CENTROS_COSTO'!$A$4:$A$28,0)),"(sin catálogo)"))</f>
        <v/>
      </c>
      <c r="Z1201" s="24">
        <f>IF($F1201="","",IF((IFERROR(INDEX('CAT_CENTROS_COSTO'!$E$4:$E$28,MATCH($F1201,'CAT_CENTROS_COSTO'!$A$4:$A$28,0)),""))&lt;&gt;"",IFERROR(INDEX('CAT_CENTROS_COSTO'!$E$4:$E$28,MATCH($F1201,'CAT_CENTROS_COSTO'!$A$4:$A$28,0)),""),$Y1201))</f>
        <v/>
      </c>
      <c r="AA1201" s="24">
        <f>IF($F1201="","",IFERROR(INDEX('CAT_CENTROS_COSTO'!$G$4:$G$28,MATCH($F1201,'CAT_CENTROS_COSTO'!$A$4:$A$28,0)),"(sin catálogo)"))</f>
        <v/>
      </c>
      <c r="AB1201" s="24">
        <f>IF($G1201="","",IFERROR(INDEX('CAT_PUESTOS'!$B$4:$B$23,MATCH($G1201,'CAT_PUESTOS'!$A$4:$A$23,0)),"(sin catálogo)"))</f>
        <v/>
      </c>
      <c r="AC1201" s="24">
        <f>IF($H1201="","",IFERROR(INDEX('CAT_ACTIVIDADES'!$B$4:$B$26,MATCH($H1201,'CAT_ACTIVIDADES'!$A$4:$A$26,0)),"(sin catálogo)"))</f>
        <v/>
      </c>
      <c r="AD1201" s="26">
        <f>IF($J1201="","",TODAY()-$J1201)</f>
        <v/>
      </c>
      <c r="AE1201" s="26">
        <f>IF($J1201="","",IF($J1201&lt;=TODAY(),COUNTIFS(cal_fechas,"&gt;="&amp;$J1201,cal_fechas,"&lt;"&amp;TODAY(),cal_habil,"sí"),-COUNTIFS(cal_fechas,"&gt;="&amp;TODAY(),cal_fechas,"&lt;"&amp;$J1201,cal_habil,"sí")))</f>
        <v/>
      </c>
      <c r="AF1201" s="24">
        <f>IF($AE1201="","",IF($AE1201&lt;0,"FUTURO",IF($AE1201&gt;p_dias_backlog_max,"BACKLOG","MES CORRIENTE")))</f>
        <v/>
      </c>
      <c r="AG1201" s="24">
        <f>IF($AE1201="",FALSE,AND($AE1201&gt;p_dias_backlog_min,$AE1201&lt;=p_dias_backlog_max))</f>
        <v/>
      </c>
      <c r="AH1201" s="4" t="n"/>
      <c r="AI1201" s="24">
        <f>IF($AH1201="","",IF((IFERROR(INDEX('ASIGNACIONES'!$J$4:$J$451,MATCH($O1201&amp;"|"&amp;$S1201&amp;"|"&amp;$AH1201,'ASIGNACIONES'!$N$4:$N$451,0)),""))=0,"",IFERROR(INDEX('ASIGNACIONES'!$J$4:$J$451,MATCH($O1201&amp;"|"&amp;$S1201&amp;"|"&amp;$AH1201,'ASIGNACIONES'!$N$4:$N$451,0)),"")))</f>
        <v/>
      </c>
      <c r="AJ1201" s="42">
        <f>IF($AH1201="","",SUMIFS('ORDENES'!$M$4:$M$1203,'ORDENES'!$AH$4:$AH$1203,$AH1201,'ORDENES'!$O$4:$O$1203,$O1201,'ORDENES'!$S$4:$S$1203,$S1201))</f>
        <v/>
      </c>
      <c r="AK1201" s="42">
        <f>IF($AJ1201="","",p_factor_productividad*IFERROR(INDEX('ASIGNACIONES'!$M$4:$M$451,MATCH($O1201&amp;"|"&amp;$S1201&amp;"|"&amp;$AH1201,'ASIGNACIONES'!$N$4:$N$451,0)),0)-$AJ1201)</f>
        <v/>
      </c>
      <c r="AL1201" s="32">
        <f>IF($A1201="","",IFERROR(INDEX('2_IMPORTAR_EJECUCION'!$F$9:$F$1208,MATCH($AU1201,'2_IMPORTAR_EJECUCION'!$J$9:$J$1208,0)),0))</f>
        <v/>
      </c>
      <c r="AM1201" s="32">
        <f>IF($A1201="","",MAX(0,IFERROR(INDEX('2_IMPORTAR_EJECUCION'!$H$9:$H$1208,MATCH($AU1201,'2_IMPORTAR_EJECUCION'!$J$9:$J$1208,0)),0)-$AL1201))</f>
        <v/>
      </c>
      <c r="AN1201" s="32">
        <f>IF($A1201="","",$AL1201+$AM1201)</f>
        <v/>
      </c>
      <c r="AO1201" s="24">
        <f>IF($A1201="","",IF(OR((IFERROR(INDEX('CAT_ACTIVIDADES'!$D$4:$D$26,MATCH($H1201,'CAT_ACTIVIDADES'!$A$4:$A$26,0)),""))=0,(IFERROR(INDEX('CAT_ACTIVIDADES'!$D$4:$D$26,MATCH($H1201,'CAT_ACTIVIDADES'!$A$4:$A$26,0)),""))=""),"SIN CLASIFICAR",IFERROR(INDEX('CAT_ACTIVIDADES'!$D$4:$D$26,MATCH($H1201,'CAT_ACTIVIDADES'!$A$4:$A$26,0)),"")))</f>
        <v/>
      </c>
      <c r="AP1201" s="4" t="n"/>
      <c r="AQ1201" s="4" t="n"/>
      <c r="AR1201" s="4" t="n"/>
      <c r="AS1201" s="24">
        <f>IF($AR1201="","",HYPERLINK(p_ruta_base_checklists&amp;$AR1201,"abrir"))</f>
        <v/>
      </c>
      <c r="AT1201" s="4" t="n"/>
      <c r="AU1201" s="24">
        <f>IF($A1201="","",$A1201&amp;IF($B1201="","0010",$B1201))</f>
        <v/>
      </c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41" t="n"/>
      <c r="K1202" s="5" t="n"/>
      <c r="L1202" s="18" t="n"/>
      <c r="M1202" s="24">
        <f>IF($A1202="","",IFERROR(INDEX('AJUSTES'!$B$4:$B$303,MATCH($AU1202,'AJUSTES'!$A$4:$A$303,0)),IF($K1202="","",$K1202)))</f>
        <v/>
      </c>
      <c r="N1202" s="24">
        <f>IF($A1202="","",IFERROR(INDEX('CAT_ESTADOS_ERP'!$B$4:$B$22,MATCH(IFERROR(INDEX('2_IMPORTAR_EJECUCION'!$C$9:$C$1208,MATCH($AU1202,'2_IMPORTAR_EJECUCION'!$J$9:$J$1208,0)),""),'CAT_ESTADOS_ERP'!$A$4:$A$22,0)),"Pendiente"))</f>
        <v/>
      </c>
      <c r="O1202" s="24">
        <f>IF($J1202="","",YEAR($J1202+4-WEEKDAY($J1202,2))&amp;"-S"&amp;TEXT(_xlfn.ISOWEEKNUM($J1202),"00"))</f>
        <v/>
      </c>
      <c r="P1202" s="24">
        <f>IF($J1202="","",YEAR($J1202))</f>
        <v/>
      </c>
      <c r="Q1202" s="24">
        <f>IF($J1202="","",MONTH($J1202))</f>
        <v/>
      </c>
      <c r="R1202" s="24">
        <f>IF($J1202="","",$P1202&amp;"-"&amp;TEXT($Q1202,"00"))</f>
        <v/>
      </c>
      <c r="S1202" s="24">
        <f>IF($J1202="","",INDEX(lista_dias,WEEKDAY($J1202,2)))</f>
        <v/>
      </c>
      <c r="T1202" s="24">
        <f>IF($J1202="","",IFERROR(INDEX('CALENDARIO'!$C$15:$C$214,MATCH(TEXT($J1202,"yyyy-mm-dd")&amp;"|"&amp;$Y1202&amp;"|"&amp;$Z1202,'CALENDARIO'!$G$15:$G$214,0)),IFERROR(INDEX('CALENDARIO'!$C$15:$C$214,MATCH(TEXT($J1202,"yyyy-mm-dd")&amp;"|"&amp;$Y1202&amp;"|",'CALENDARIO'!$G$15:$G$214,0)),IFERROR(INDEX('CALENDARIO'!$C$15:$C$214,MATCH(TEXT($J1202,"yyyy-mm-dd")&amp;"||",'CALENDARIO'!$G$15:$G$214,0)),INDEX(patronHabil,WEEKDAY($J1202,2))))))</f>
        <v/>
      </c>
      <c r="U1202" s="24">
        <f>IF($I1202="","",IFERROR(INDEX('CAT_TIPOS_OT'!$C$4:$C$23,MATCH($I1202,'CAT_TIPOS_OT'!$A$4:$A$23,0)),"sin_clasificar"))</f>
        <v/>
      </c>
      <c r="V1202" s="24">
        <f>IF($I1202="","",IF(IFERROR(INDEX('CAT_TIPOS_OT'!$D$4:$D$23,MATCH($I1202,'CAT_TIPOS_OT'!$A$4:$A$23,0)),"SIN CLASIFICAR")="","SIN CLASIFICAR",IFERROR(INDEX('CAT_TIPOS_OT'!$D$4:$D$23,MATCH($I1202,'CAT_TIPOS_OT'!$A$4:$A$23,0)),"SIN CLASIFICAR")))</f>
        <v/>
      </c>
      <c r="W1202" s="24">
        <f>IF($H1202="","",IF(IFERROR(INDEX('CAT_ACTIVIDADES'!$F$4:$F$26,MATCH($H1202,'CAT_ACTIVIDADES'!$A$4:$A$26,0)),"")=0,"",IFERROR(INDEX('CAT_ACTIVIDADES'!$F$4:$F$26,MATCH($H1202,'CAT_ACTIVIDADES'!$A$4:$A$26,0)),"")))</f>
        <v/>
      </c>
      <c r="X1202" s="24">
        <f>IF($F1202="","",IFERROR(INDEX('CAT_CENTROS_COSTO'!$F$4:$F$28,MATCH($F1202,'CAT_CENTROS_COSTO'!$A$4:$A$28,0)),"(sin catálogo)"))</f>
        <v/>
      </c>
      <c r="Y1202" s="24">
        <f>IF($F1202="","",IFERROR(INDEX('CAT_CENTROS_COSTO'!$D$4:$D$28,MATCH($F1202,'CAT_CENTROS_COSTO'!$A$4:$A$28,0)),"(sin catálogo)"))</f>
        <v/>
      </c>
      <c r="Z1202" s="24">
        <f>IF($F1202="","",IF((IFERROR(INDEX('CAT_CENTROS_COSTO'!$E$4:$E$28,MATCH($F1202,'CAT_CENTROS_COSTO'!$A$4:$A$28,0)),""))&lt;&gt;"",IFERROR(INDEX('CAT_CENTROS_COSTO'!$E$4:$E$28,MATCH($F1202,'CAT_CENTROS_COSTO'!$A$4:$A$28,0)),""),$Y1202))</f>
        <v/>
      </c>
      <c r="AA1202" s="24">
        <f>IF($F1202="","",IFERROR(INDEX('CAT_CENTROS_COSTO'!$G$4:$G$28,MATCH($F1202,'CAT_CENTROS_COSTO'!$A$4:$A$28,0)),"(sin catálogo)"))</f>
        <v/>
      </c>
      <c r="AB1202" s="24">
        <f>IF($G1202="","",IFERROR(INDEX('CAT_PUESTOS'!$B$4:$B$23,MATCH($G1202,'CAT_PUESTOS'!$A$4:$A$23,0)),"(sin catálogo)"))</f>
        <v/>
      </c>
      <c r="AC1202" s="24">
        <f>IF($H1202="","",IFERROR(INDEX('CAT_ACTIVIDADES'!$B$4:$B$26,MATCH($H1202,'CAT_ACTIVIDADES'!$A$4:$A$26,0)),"(sin catálogo)"))</f>
        <v/>
      </c>
      <c r="AD1202" s="26">
        <f>IF($J1202="","",TODAY()-$J1202)</f>
        <v/>
      </c>
      <c r="AE1202" s="26">
        <f>IF($J1202="","",IF($J1202&lt;=TODAY(),COUNTIFS(cal_fechas,"&gt;="&amp;$J1202,cal_fechas,"&lt;"&amp;TODAY(),cal_habil,"sí"),-COUNTIFS(cal_fechas,"&gt;="&amp;TODAY(),cal_fechas,"&lt;"&amp;$J1202,cal_habil,"sí")))</f>
        <v/>
      </c>
      <c r="AF1202" s="24">
        <f>IF($AE1202="","",IF($AE1202&lt;0,"FUTURO",IF($AE1202&gt;p_dias_backlog_max,"BACKLOG","MES CORRIENTE")))</f>
        <v/>
      </c>
      <c r="AG1202" s="24">
        <f>IF($AE1202="",FALSE,AND($AE1202&gt;p_dias_backlog_min,$AE1202&lt;=p_dias_backlog_max))</f>
        <v/>
      </c>
      <c r="AH1202" s="4" t="n"/>
      <c r="AI1202" s="24">
        <f>IF($AH1202="","",IF((IFERROR(INDEX('ASIGNACIONES'!$J$4:$J$451,MATCH($O1202&amp;"|"&amp;$S1202&amp;"|"&amp;$AH1202,'ASIGNACIONES'!$N$4:$N$451,0)),""))=0,"",IFERROR(INDEX('ASIGNACIONES'!$J$4:$J$451,MATCH($O1202&amp;"|"&amp;$S1202&amp;"|"&amp;$AH1202,'ASIGNACIONES'!$N$4:$N$451,0)),"")))</f>
        <v/>
      </c>
      <c r="AJ1202" s="42">
        <f>IF($AH1202="","",SUMIFS('ORDENES'!$M$4:$M$1203,'ORDENES'!$AH$4:$AH$1203,$AH1202,'ORDENES'!$O$4:$O$1203,$O1202,'ORDENES'!$S$4:$S$1203,$S1202))</f>
        <v/>
      </c>
      <c r="AK1202" s="42">
        <f>IF($AJ1202="","",p_factor_productividad*IFERROR(INDEX('ASIGNACIONES'!$M$4:$M$451,MATCH($O1202&amp;"|"&amp;$S1202&amp;"|"&amp;$AH1202,'ASIGNACIONES'!$N$4:$N$451,0)),0)-$AJ1202)</f>
        <v/>
      </c>
      <c r="AL1202" s="32">
        <f>IF($A1202="","",IFERROR(INDEX('2_IMPORTAR_EJECUCION'!$F$9:$F$1208,MATCH($AU1202,'2_IMPORTAR_EJECUCION'!$J$9:$J$1208,0)),0))</f>
        <v/>
      </c>
      <c r="AM1202" s="32">
        <f>IF($A1202="","",MAX(0,IFERROR(INDEX('2_IMPORTAR_EJECUCION'!$H$9:$H$1208,MATCH($AU1202,'2_IMPORTAR_EJECUCION'!$J$9:$J$1208,0)),0)-$AL1202))</f>
        <v/>
      </c>
      <c r="AN1202" s="32">
        <f>IF($A1202="","",$AL1202+$AM1202)</f>
        <v/>
      </c>
      <c r="AO1202" s="24">
        <f>IF($A1202="","",IF(OR((IFERROR(INDEX('CAT_ACTIVIDADES'!$D$4:$D$26,MATCH($H1202,'CAT_ACTIVIDADES'!$A$4:$A$26,0)),""))=0,(IFERROR(INDEX('CAT_ACTIVIDADES'!$D$4:$D$26,MATCH($H1202,'CAT_ACTIVIDADES'!$A$4:$A$26,0)),""))=""),"SIN CLASIFICAR",IFERROR(INDEX('CAT_ACTIVIDADES'!$D$4:$D$26,MATCH($H1202,'CAT_ACTIVIDADES'!$A$4:$A$26,0)),"")))</f>
        <v/>
      </c>
      <c r="AP1202" s="4" t="n"/>
      <c r="AQ1202" s="4" t="n"/>
      <c r="AR1202" s="4" t="n"/>
      <c r="AS1202" s="24">
        <f>IF($AR1202="","",HYPERLINK(p_ruta_base_checklists&amp;$AR1202,"abrir"))</f>
        <v/>
      </c>
      <c r="AT1202" s="4" t="n"/>
      <c r="AU1202" s="24">
        <f>IF($A1202="","",$A1202&amp;IF($B1202="","0010",$B1202))</f>
        <v/>
      </c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41" t="n"/>
      <c r="K1203" s="5" t="n"/>
      <c r="L1203" s="18" t="n"/>
      <c r="M1203" s="24">
        <f>IF($A1203="","",IFERROR(INDEX('AJUSTES'!$B$4:$B$303,MATCH($AU1203,'AJUSTES'!$A$4:$A$303,0)),IF($K1203="","",$K1203)))</f>
        <v/>
      </c>
      <c r="N1203" s="24">
        <f>IF($A1203="","",IFERROR(INDEX('CAT_ESTADOS_ERP'!$B$4:$B$22,MATCH(IFERROR(INDEX('2_IMPORTAR_EJECUCION'!$C$9:$C$1208,MATCH($AU1203,'2_IMPORTAR_EJECUCION'!$J$9:$J$1208,0)),""),'CAT_ESTADOS_ERP'!$A$4:$A$22,0)),"Pendiente"))</f>
        <v/>
      </c>
      <c r="O1203" s="24">
        <f>IF($J1203="","",YEAR($J1203+4-WEEKDAY($J1203,2))&amp;"-S"&amp;TEXT(_xlfn.ISOWEEKNUM($J1203),"00"))</f>
        <v/>
      </c>
      <c r="P1203" s="24">
        <f>IF($J1203="","",YEAR($J1203))</f>
        <v/>
      </c>
      <c r="Q1203" s="24">
        <f>IF($J1203="","",MONTH($J1203))</f>
        <v/>
      </c>
      <c r="R1203" s="24">
        <f>IF($J1203="","",$P1203&amp;"-"&amp;TEXT($Q1203,"00"))</f>
        <v/>
      </c>
      <c r="S1203" s="24">
        <f>IF($J1203="","",INDEX(lista_dias,WEEKDAY($J1203,2)))</f>
        <v/>
      </c>
      <c r="T1203" s="24">
        <f>IF($J1203="","",IFERROR(INDEX('CALENDARIO'!$C$15:$C$214,MATCH(TEXT($J1203,"yyyy-mm-dd")&amp;"|"&amp;$Y1203&amp;"|"&amp;$Z1203,'CALENDARIO'!$G$15:$G$214,0)),IFERROR(INDEX('CALENDARIO'!$C$15:$C$214,MATCH(TEXT($J1203,"yyyy-mm-dd")&amp;"|"&amp;$Y1203&amp;"|",'CALENDARIO'!$G$15:$G$214,0)),IFERROR(INDEX('CALENDARIO'!$C$15:$C$214,MATCH(TEXT($J1203,"yyyy-mm-dd")&amp;"||",'CALENDARIO'!$G$15:$G$214,0)),INDEX(patronHabil,WEEKDAY($J1203,2))))))</f>
        <v/>
      </c>
      <c r="U1203" s="24">
        <f>IF($I1203="","",IFERROR(INDEX('CAT_TIPOS_OT'!$C$4:$C$23,MATCH($I1203,'CAT_TIPOS_OT'!$A$4:$A$23,0)),"sin_clasificar"))</f>
        <v/>
      </c>
      <c r="V1203" s="24">
        <f>IF($I1203="","",IF(IFERROR(INDEX('CAT_TIPOS_OT'!$D$4:$D$23,MATCH($I1203,'CAT_TIPOS_OT'!$A$4:$A$23,0)),"SIN CLASIFICAR")="","SIN CLASIFICAR",IFERROR(INDEX('CAT_TIPOS_OT'!$D$4:$D$23,MATCH($I1203,'CAT_TIPOS_OT'!$A$4:$A$23,0)),"SIN CLASIFICAR")))</f>
        <v/>
      </c>
      <c r="W1203" s="24">
        <f>IF($H1203="","",IF(IFERROR(INDEX('CAT_ACTIVIDADES'!$F$4:$F$26,MATCH($H1203,'CAT_ACTIVIDADES'!$A$4:$A$26,0)),"")=0,"",IFERROR(INDEX('CAT_ACTIVIDADES'!$F$4:$F$26,MATCH($H1203,'CAT_ACTIVIDADES'!$A$4:$A$26,0)),"")))</f>
        <v/>
      </c>
      <c r="X1203" s="24">
        <f>IF($F1203="","",IFERROR(INDEX('CAT_CENTROS_COSTO'!$F$4:$F$28,MATCH($F1203,'CAT_CENTROS_COSTO'!$A$4:$A$28,0)),"(sin catálogo)"))</f>
        <v/>
      </c>
      <c r="Y1203" s="24">
        <f>IF($F1203="","",IFERROR(INDEX('CAT_CENTROS_COSTO'!$D$4:$D$28,MATCH($F1203,'CAT_CENTROS_COSTO'!$A$4:$A$28,0)),"(sin catálogo)"))</f>
        <v/>
      </c>
      <c r="Z1203" s="24">
        <f>IF($F1203="","",IF((IFERROR(INDEX('CAT_CENTROS_COSTO'!$E$4:$E$28,MATCH($F1203,'CAT_CENTROS_COSTO'!$A$4:$A$28,0)),""))&lt;&gt;"",IFERROR(INDEX('CAT_CENTROS_COSTO'!$E$4:$E$28,MATCH($F1203,'CAT_CENTROS_COSTO'!$A$4:$A$28,0)),""),$Y1203))</f>
        <v/>
      </c>
      <c r="AA1203" s="24">
        <f>IF($F1203="","",IFERROR(INDEX('CAT_CENTROS_COSTO'!$G$4:$G$28,MATCH($F1203,'CAT_CENTROS_COSTO'!$A$4:$A$28,0)),"(sin catálogo)"))</f>
        <v/>
      </c>
      <c r="AB1203" s="24">
        <f>IF($G1203="","",IFERROR(INDEX('CAT_PUESTOS'!$B$4:$B$23,MATCH($G1203,'CAT_PUESTOS'!$A$4:$A$23,0)),"(sin catálogo)"))</f>
        <v/>
      </c>
      <c r="AC1203" s="24">
        <f>IF($H1203="","",IFERROR(INDEX('CAT_ACTIVIDADES'!$B$4:$B$26,MATCH($H1203,'CAT_ACTIVIDADES'!$A$4:$A$26,0)),"(sin catálogo)"))</f>
        <v/>
      </c>
      <c r="AD1203" s="26">
        <f>IF($J1203="","",TODAY()-$J1203)</f>
        <v/>
      </c>
      <c r="AE1203" s="26">
        <f>IF($J1203="","",IF($J1203&lt;=TODAY(),COUNTIFS(cal_fechas,"&gt;="&amp;$J1203,cal_fechas,"&lt;"&amp;TODAY(),cal_habil,"sí"),-COUNTIFS(cal_fechas,"&gt;="&amp;TODAY(),cal_fechas,"&lt;"&amp;$J1203,cal_habil,"sí")))</f>
        <v/>
      </c>
      <c r="AF1203" s="24">
        <f>IF($AE1203="","",IF($AE1203&lt;0,"FUTURO",IF($AE1203&gt;p_dias_backlog_max,"BACKLOG","MES CORRIENTE")))</f>
        <v/>
      </c>
      <c r="AG1203" s="24">
        <f>IF($AE1203="",FALSE,AND($AE1203&gt;p_dias_backlog_min,$AE1203&lt;=p_dias_backlog_max))</f>
        <v/>
      </c>
      <c r="AH1203" s="4" t="n"/>
      <c r="AI1203" s="24">
        <f>IF($AH1203="","",IF((IFERROR(INDEX('ASIGNACIONES'!$J$4:$J$451,MATCH($O1203&amp;"|"&amp;$S1203&amp;"|"&amp;$AH1203,'ASIGNACIONES'!$N$4:$N$451,0)),""))=0,"",IFERROR(INDEX('ASIGNACIONES'!$J$4:$J$451,MATCH($O1203&amp;"|"&amp;$S1203&amp;"|"&amp;$AH1203,'ASIGNACIONES'!$N$4:$N$451,0)),"")))</f>
        <v/>
      </c>
      <c r="AJ1203" s="42">
        <f>IF($AH1203="","",SUMIFS('ORDENES'!$M$4:$M$1203,'ORDENES'!$AH$4:$AH$1203,$AH1203,'ORDENES'!$O$4:$O$1203,$O1203,'ORDENES'!$S$4:$S$1203,$S1203))</f>
        <v/>
      </c>
      <c r="AK1203" s="42">
        <f>IF($AJ1203="","",p_factor_productividad*IFERROR(INDEX('ASIGNACIONES'!$M$4:$M$451,MATCH($O1203&amp;"|"&amp;$S1203&amp;"|"&amp;$AH1203,'ASIGNACIONES'!$N$4:$N$451,0)),0)-$AJ1203)</f>
        <v/>
      </c>
      <c r="AL1203" s="32">
        <f>IF($A1203="","",IFERROR(INDEX('2_IMPORTAR_EJECUCION'!$F$9:$F$1208,MATCH($AU1203,'2_IMPORTAR_EJECUCION'!$J$9:$J$1208,0)),0))</f>
        <v/>
      </c>
      <c r="AM1203" s="32">
        <f>IF($A1203="","",MAX(0,IFERROR(INDEX('2_IMPORTAR_EJECUCION'!$H$9:$H$1208,MATCH($AU1203,'2_IMPORTAR_EJECUCION'!$J$9:$J$1208,0)),0)-$AL1203))</f>
        <v/>
      </c>
      <c r="AN1203" s="32">
        <f>IF($A1203="","",$AL1203+$AM1203)</f>
        <v/>
      </c>
      <c r="AO1203" s="24">
        <f>IF($A1203="","",IF(OR((IFERROR(INDEX('CAT_ACTIVIDADES'!$D$4:$D$26,MATCH($H1203,'CAT_ACTIVIDADES'!$A$4:$A$26,0)),""))=0,(IFERROR(INDEX('CAT_ACTIVIDADES'!$D$4:$D$26,MATCH($H1203,'CAT_ACTIVIDADES'!$A$4:$A$26,0)),""))=""),"SIN CLASIFICAR",IFERROR(INDEX('CAT_ACTIVIDADES'!$D$4:$D$26,MATCH($H1203,'CAT_ACTIVIDADES'!$A$4:$A$26,0)),"")))</f>
        <v/>
      </c>
      <c r="AP1203" s="4" t="n"/>
      <c r="AQ1203" s="4" t="n"/>
      <c r="AR1203" s="4" t="n"/>
      <c r="AS1203" s="24">
        <f>IF($AR1203="","",HYPERLINK(p_ruta_base_checklists&amp;$AR1203,"abrir"))</f>
        <v/>
      </c>
      <c r="AT1203" s="4" t="n"/>
      <c r="AU1203" s="24">
        <f>IF($A1203="","",$A1203&amp;IF($B1203="","0010",$B1203))</f>
        <v/>
      </c>
    </row>
  </sheetData>
  <conditionalFormatting sqref="AD4:AD1203">
    <cfRule type="cellIs" priority="1" operator="greaterThan" dxfId="0">
      <formula>90</formula>
    </cfRule>
  </conditionalFormatting>
  <conditionalFormatting sqref="AH4:AH1203">
    <cfRule type="expression" priority="2" dxfId="1">
      <formula>AND($AG4=TRUE,$AH4="")</formula>
    </cfRule>
  </conditionalFormatting>
  <conditionalFormatting sqref="AK4:AK1203">
    <cfRule type="cellIs" priority="3" operator="lessThan" dxfId="0">
      <formula>0</formula>
    </cfRule>
  </conditionalFormatting>
  <dataValidations count="5">
    <dataValidation sqref="AH4:AH1203" showDropDown="0" showInputMessage="0" showErrorMessage="0" allowBlank="1" type="list">
      <formula1>lista_tecnicos</formula1>
    </dataValidation>
    <dataValidation sqref="F4:F1203" showDropDown="0" showInputMessage="0" showErrorMessage="0" allowBlank="1" type="list">
      <formula1>lista_ceco</formula1>
    </dataValidation>
    <dataValidation sqref="G4:G1203" showDropDown="0" showInputMessage="0" showErrorMessage="0" allowBlank="1" type="list">
      <formula1>lista_puestos</formula1>
    </dataValidation>
    <dataValidation sqref="H4:H1203" showDropDown="0" showInputMessage="0" showErrorMessage="0" allowBlank="1" type="list">
      <formula1>lista_actividades</formula1>
    </dataValidation>
    <dataValidation sqref="I4:I1203" showDropDown="0" showInputMessage="0" showErrorMessage="0" allowBlank="1" type="list">
      <formula1>lista_tipos_ot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Q4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2" customWidth="1" min="5" max="5"/>
    <col width="8" customWidth="1" min="6" max="6"/>
    <col width="14" customWidth="1" min="7" max="7"/>
    <col width="13" customWidth="1" min="8" max="8"/>
    <col width="13" customWidth="1" min="9" max="9"/>
    <col width="8" customWidth="1" min="10" max="10"/>
    <col width="18" customWidth="1" min="11" max="11"/>
    <col width="12" customWidth="1" min="12" max="12"/>
    <col width="16" customWidth="1" min="13" max="13"/>
    <col width="26" customWidth="1" min="14" max="14"/>
    <col width="11" customWidth="1" min="15" max="15"/>
    <col width="11" customWidth="1" min="16" max="16"/>
    <col width="14" customWidth="1" min="17" max="17"/>
  </cols>
  <sheetData>
    <row r="1">
      <c r="A1" s="3" t="inlineStr">
        <is>
          <t>ASIGNACIONES — el turno se DERIVA de la rotación (6.3) y arrastra a "VAC" si el técnico está en PLAN_VACACIONES esa fecha (6.4), dejando su posición vacía (hueco). Precedencia: turno_manual &gt; (domingo) &gt; VAC &gt; rotación. REGLA-5 lee el turno efectivo. Para cubrir un hueco, el supervisor escribe en turno_manual.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semana</t>
        </is>
      </c>
      <c r="B3" s="14" t="inlineStr">
        <is>
          <t>dia</t>
        </is>
      </c>
      <c r="C3" s="14" t="inlineStr">
        <is>
          <t>tecnico</t>
        </is>
      </c>
      <c r="D3" s="23" t="inlineStr">
        <is>
          <t>area</t>
        </is>
      </c>
      <c r="E3" s="23" t="inlineStr">
        <is>
          <t>especialidad</t>
        </is>
      </c>
      <c r="F3" s="23" t="inlineStr">
        <is>
          <t>n_ciclo</t>
        </is>
      </c>
      <c r="G3" s="23" t="inlineStr">
        <is>
          <t>posicion_ciclo</t>
        </is>
      </c>
      <c r="H3" s="23" t="inlineStr">
        <is>
          <t>en_vacaciones</t>
        </is>
      </c>
      <c r="I3" s="14" t="inlineStr">
        <is>
          <t>turno_manual</t>
        </is>
      </c>
      <c r="J3" s="23" t="inlineStr">
        <is>
          <t>turno</t>
        </is>
      </c>
      <c r="K3" s="23" t="inlineStr">
        <is>
          <t>supervisor</t>
        </is>
      </c>
      <c r="L3" s="23" t="inlineStr">
        <is>
          <t>fecha</t>
        </is>
      </c>
      <c r="M3" s="23" t="inlineStr">
        <is>
          <t>horas_disponibles</t>
        </is>
      </c>
      <c r="N3" s="23" t="inlineStr">
        <is>
          <t>clave</t>
        </is>
      </c>
      <c r="O3" s="23" t="inlineStr">
        <is>
          <t>hora_inicio</t>
        </is>
      </c>
      <c r="P3" s="23" t="inlineStr">
        <is>
          <t>hora_fin</t>
        </is>
      </c>
      <c r="Q3" s="23" t="inlineStr">
        <is>
          <t>trabaja_domingo</t>
        </is>
      </c>
    </row>
    <row r="4">
      <c r="A4" s="5" t="inlineStr">
        <is>
          <t>2026-S30</t>
        </is>
      </c>
      <c r="B4" s="5" t="inlineStr">
        <is>
          <t>lunes</t>
        </is>
      </c>
      <c r="C4" s="5" t="inlineStr">
        <is>
          <t>Carlos Pérez</t>
        </is>
      </c>
      <c r="D4" s="24">
        <f>IFERROR(INDEX('TECNICOS'!$D$4:$D$19,MATCH($C4,'TECNICOS'!$B$4:$B$19,0)),"")</f>
        <v/>
      </c>
      <c r="E4" s="24">
        <f>IFERROR(INDEX('TECNICOS'!$C$4:$C$19,MATCH($C4,'TECNICOS'!$B$4:$B$19,0)),"")</f>
        <v/>
      </c>
      <c r="F4" s="24">
        <f>COUNTIFS('TECNICOS'!$F$4:$F$19,"sí",'TECNICOS'!$C$4:$C$19,$E4,'TECNICOS'!$D$4:$D$19,$D4,'TECNICOS'!$H$4:$H$19,"sí")</f>
        <v/>
      </c>
      <c r="G4" s="24">
        <f>IF(OR($C4="",$A4="",$B4="domingo",IFERROR(INDEX('TECNICOS'!$H$4:$H$19,MATCH($C4,'TECNICOS'!$B$4:$B$19,0)),"no")&lt;&gt;"sí"),"",IF(IFERROR(INDEX('TECNICOS'!$F$4:$F$19,MATCH($C4,'TECNICOS'!$B$4:$B$19,0)),"no")&lt;&gt;"sí","B",IF(MOD((IFERROR(INDEX('TECNICOS'!$G$4:$G$19,MATCH($C4,'TECNICOS'!$B$4:$B$19,0)),0)-1)+((DATE(VALUE(LEFT($A4,4)),1,4)-WEEKDAY(DATE(VALUE(LEFT($A4,4)),1,4),2)+1+(VALUE(MID($A4,7,2))-1)*7)-p_semana_referencia)/7,$F4)&lt;($F4-3),"B"&amp;(($F4-3)-MOD((IFERROR(INDEX('TECNICOS'!$G$4:$G$19,MATCH($C4,'TECNICOS'!$B$4:$B$19,0)),0)-1)+((DATE(VALUE(LEFT($A4,4)),1,4)-WEEKDAY(DATE(VALUE(LEFT($A4,4)),1,4),2)+1+(VALUE(MID($A4,7,2))-1)*7)-p_semana_referencia)/7,$F4)),"T"&amp;($F4-MOD((IFERROR(INDEX('TECNICOS'!$G$4:$G$19,MATCH($C4,'TECNICOS'!$B$4:$B$19,0)),0)-1)+((DATE(VALUE(LEFT($A4,4)),1,4)-WEEKDAY(DATE(VALUE(LEFT($A4,4)),1,4),2)+1+(VALUE(MID($A4,7,2))-1)*7)-p_semana_referencia)/7,$F4)))))</f>
        <v/>
      </c>
      <c r="H4" s="24">
        <f>IF(COUNTIFS('PLAN_VACACIONES'!$A$4:$A$103,$C4,'PLAN_VACACIONES'!$B$4:$B$103,"&lt;="&amp;$L4,'PLAN_VACACIONES'!$C$4:$C$103,"&gt;="&amp;$L4)&gt;0,"sí","no")</f>
        <v/>
      </c>
      <c r="I4" s="4" t="n"/>
      <c r="J4" s="24">
        <f>IF($I4&lt;&gt;"",$I4,IF($G4="","",IF($H4="sí","VAC",IF(LEFT($G4,1)="B","B",$G4))))</f>
        <v/>
      </c>
      <c r="K4" s="24">
        <f>IFERROR(INDEX('TECNICOS'!$E$4:$E$19,MATCH($C4,'TECNICOS'!$B$4:$B$19,0)),"")</f>
        <v/>
      </c>
      <c r="L4" s="30">
        <f>IF($A4="","",DATE(VALUE(LEFT($A4,4)),1,4)-WEEKDAY(DATE(VALUE(LEFT($A4,4)),1,4),2)+1+(VALUE(MID($A4,7,2))-1)*7+MATCH($B4,lista_dias,0)-1)</f>
        <v/>
      </c>
      <c r="M4" s="24">
        <f>IF(OR($J4="",ISNUMBER(MATCH($J4,lista_no_disponible,0)),(IFERROR(INDEX('CALENDARIO'!$C$15:$C$214,MATCH(TEXT($L4,"yyyy-mm-dd")&amp;"|"&amp;$D4&amp;"|"&amp;"",'CALENDARIO'!$G$15:$G$214,0)),IFERROR(INDEX('CALENDARIO'!$C$15:$C$214,MATCH(TEXT($L4,"yyyy-mm-dd")&amp;"|"&amp;$D4&amp;"|",'CALENDARIO'!$G$15:$G$214,0)),IFERROR(INDEX('CALENDARIO'!$C$15:$C$214,MATCH(TEXT($L4,"yyyy-mm-dd")&amp;"||",'CALENDARIO'!$G$15:$G$214,0)),INDEX(patronHabil,WEEKDAY($L4,2))))))&lt;&gt;"sí"),0,p_horas_jornada)</f>
        <v/>
      </c>
      <c r="N4" s="24">
        <f>$A4&amp;"|"&amp;$B4&amp;"|"&amp;$C4</f>
        <v/>
      </c>
      <c r="O4" s="24">
        <f>IFERROR(INDEX('CAT_TURNOS'!$C$4:$C$22,MATCH($J4,'CAT_TURNOS'!$A$4:$A$22,0)),"")</f>
        <v/>
      </c>
      <c r="P4" s="24">
        <f>IFERROR(INDEX('CAT_TURNOS'!$D$4:$D$22,MATCH($J4,'CAT_TURNOS'!$A$4:$A$22,0)),"")</f>
        <v/>
      </c>
      <c r="Q4" s="24">
        <f>IF(AND(LEFT($G4,1)="T",$H4="no"),"sí","no")</f>
        <v/>
      </c>
    </row>
    <row r="5">
      <c r="A5" s="5" t="inlineStr">
        <is>
          <t>2026-S30</t>
        </is>
      </c>
      <c r="B5" s="5" t="inlineStr">
        <is>
          <t>martes</t>
        </is>
      </c>
      <c r="C5" s="5" t="inlineStr">
        <is>
          <t>Carlos Pérez</t>
        </is>
      </c>
      <c r="D5" s="24">
        <f>IFERROR(INDEX('TECNICOS'!$D$4:$D$19,MATCH($C5,'TECNICOS'!$B$4:$B$19,0)),"")</f>
        <v/>
      </c>
      <c r="E5" s="24">
        <f>IFERROR(INDEX('TECNICOS'!$C$4:$C$19,MATCH($C5,'TECNICOS'!$B$4:$B$19,0)),"")</f>
        <v/>
      </c>
      <c r="F5" s="24">
        <f>COUNTIFS('TECNICOS'!$F$4:$F$19,"sí",'TECNICOS'!$C$4:$C$19,$E5,'TECNICOS'!$D$4:$D$19,$D5,'TECNICOS'!$H$4:$H$19,"sí")</f>
        <v/>
      </c>
      <c r="G5" s="24">
        <f>IF(OR($C5="",$A5="",$B5="domingo",IFERROR(INDEX('TECNICOS'!$H$4:$H$19,MATCH($C5,'TECNICOS'!$B$4:$B$19,0)),"no")&lt;&gt;"sí"),"",IF(IFERROR(INDEX('TECNICOS'!$F$4:$F$19,MATCH($C5,'TECNICOS'!$B$4:$B$19,0)),"no")&lt;&gt;"sí","B",IF(MOD((IFERROR(INDEX('TECNICOS'!$G$4:$G$19,MATCH($C5,'TECNICOS'!$B$4:$B$19,0)),0)-1)+((DATE(VALUE(LEFT($A5,4)),1,4)-WEEKDAY(DATE(VALUE(LEFT($A5,4)),1,4),2)+1+(VALUE(MID($A5,7,2))-1)*7)-p_semana_referencia)/7,$F5)&lt;($F5-3),"B"&amp;(($F5-3)-MOD((IFERROR(INDEX('TECNICOS'!$G$4:$G$19,MATCH($C5,'TECNICOS'!$B$4:$B$19,0)),0)-1)+((DATE(VALUE(LEFT($A5,4)),1,4)-WEEKDAY(DATE(VALUE(LEFT($A5,4)),1,4),2)+1+(VALUE(MID($A5,7,2))-1)*7)-p_semana_referencia)/7,$F5)),"T"&amp;($F5-MOD((IFERROR(INDEX('TECNICOS'!$G$4:$G$19,MATCH($C5,'TECNICOS'!$B$4:$B$19,0)),0)-1)+((DATE(VALUE(LEFT($A5,4)),1,4)-WEEKDAY(DATE(VALUE(LEFT($A5,4)),1,4),2)+1+(VALUE(MID($A5,7,2))-1)*7)-p_semana_referencia)/7,$F5)))))</f>
        <v/>
      </c>
      <c r="H5" s="24">
        <f>IF(COUNTIFS('PLAN_VACACIONES'!$A$4:$A$103,$C5,'PLAN_VACACIONES'!$B$4:$B$103,"&lt;="&amp;$L5,'PLAN_VACACIONES'!$C$4:$C$103,"&gt;="&amp;$L5)&gt;0,"sí","no")</f>
        <v/>
      </c>
      <c r="I5" s="4" t="n"/>
      <c r="J5" s="24">
        <f>IF($I5&lt;&gt;"",$I5,IF($G5="","",IF($H5="sí","VAC",IF(LEFT($G5,1)="B","B",$G5))))</f>
        <v/>
      </c>
      <c r="K5" s="24">
        <f>IFERROR(INDEX('TECNICOS'!$E$4:$E$19,MATCH($C5,'TECNICOS'!$B$4:$B$19,0)),"")</f>
        <v/>
      </c>
      <c r="L5" s="30">
        <f>IF($A5="","",DATE(VALUE(LEFT($A5,4)),1,4)-WEEKDAY(DATE(VALUE(LEFT($A5,4)),1,4),2)+1+(VALUE(MID($A5,7,2))-1)*7+MATCH($B5,lista_dias,0)-1)</f>
        <v/>
      </c>
      <c r="M5" s="24">
        <f>IF(OR($J5="",ISNUMBER(MATCH($J5,lista_no_disponible,0)),(IFERROR(INDEX('CALENDARIO'!$C$15:$C$214,MATCH(TEXT($L5,"yyyy-mm-dd")&amp;"|"&amp;$D5&amp;"|"&amp;"",'CALENDARIO'!$G$15:$G$214,0)),IFERROR(INDEX('CALENDARIO'!$C$15:$C$214,MATCH(TEXT($L5,"yyyy-mm-dd")&amp;"|"&amp;$D5&amp;"|",'CALENDARIO'!$G$15:$G$214,0)),IFERROR(INDEX('CALENDARIO'!$C$15:$C$214,MATCH(TEXT($L5,"yyyy-mm-dd")&amp;"||",'CALENDARIO'!$G$15:$G$214,0)),INDEX(patronHabil,WEEKDAY($L5,2))))))&lt;&gt;"sí"),0,p_horas_jornada)</f>
        <v/>
      </c>
      <c r="N5" s="24">
        <f>$A5&amp;"|"&amp;$B5&amp;"|"&amp;$C5</f>
        <v/>
      </c>
      <c r="O5" s="24">
        <f>IFERROR(INDEX('CAT_TURNOS'!$C$4:$C$22,MATCH($J5,'CAT_TURNOS'!$A$4:$A$22,0)),"")</f>
        <v/>
      </c>
      <c r="P5" s="24">
        <f>IFERROR(INDEX('CAT_TURNOS'!$D$4:$D$22,MATCH($J5,'CAT_TURNOS'!$A$4:$A$22,0)),"")</f>
        <v/>
      </c>
      <c r="Q5" s="24">
        <f>IF(AND(LEFT($G5,1)="T",$H5="no"),"sí","no")</f>
        <v/>
      </c>
    </row>
    <row r="6">
      <c r="A6" s="5" t="inlineStr">
        <is>
          <t>2026-S30</t>
        </is>
      </c>
      <c r="B6" s="5" t="inlineStr">
        <is>
          <t>miércoles</t>
        </is>
      </c>
      <c r="C6" s="5" t="inlineStr">
        <is>
          <t>Carlos Pérez</t>
        </is>
      </c>
      <c r="D6" s="24">
        <f>IFERROR(INDEX('TECNICOS'!$D$4:$D$19,MATCH($C6,'TECNICOS'!$B$4:$B$19,0)),"")</f>
        <v/>
      </c>
      <c r="E6" s="24">
        <f>IFERROR(INDEX('TECNICOS'!$C$4:$C$19,MATCH($C6,'TECNICOS'!$B$4:$B$19,0)),"")</f>
        <v/>
      </c>
      <c r="F6" s="24">
        <f>COUNTIFS('TECNICOS'!$F$4:$F$19,"sí",'TECNICOS'!$C$4:$C$19,$E6,'TECNICOS'!$D$4:$D$19,$D6,'TECNICOS'!$H$4:$H$19,"sí")</f>
        <v/>
      </c>
      <c r="G6" s="24">
        <f>IF(OR($C6="",$A6="",$B6="domingo",IFERROR(INDEX('TECNICOS'!$H$4:$H$19,MATCH($C6,'TECNICOS'!$B$4:$B$19,0)),"no")&lt;&gt;"sí"),"",IF(IFERROR(INDEX('TECNICOS'!$F$4:$F$19,MATCH($C6,'TECNICOS'!$B$4:$B$19,0)),"no")&lt;&gt;"sí","B",IF(MOD((IFERROR(INDEX('TECNICOS'!$G$4:$G$19,MATCH($C6,'TECNICOS'!$B$4:$B$19,0)),0)-1)+((DATE(VALUE(LEFT($A6,4)),1,4)-WEEKDAY(DATE(VALUE(LEFT($A6,4)),1,4),2)+1+(VALUE(MID($A6,7,2))-1)*7)-p_semana_referencia)/7,$F6)&lt;($F6-3),"B"&amp;(($F6-3)-MOD((IFERROR(INDEX('TECNICOS'!$G$4:$G$19,MATCH($C6,'TECNICOS'!$B$4:$B$19,0)),0)-1)+((DATE(VALUE(LEFT($A6,4)),1,4)-WEEKDAY(DATE(VALUE(LEFT($A6,4)),1,4),2)+1+(VALUE(MID($A6,7,2))-1)*7)-p_semana_referencia)/7,$F6)),"T"&amp;($F6-MOD((IFERROR(INDEX('TECNICOS'!$G$4:$G$19,MATCH($C6,'TECNICOS'!$B$4:$B$19,0)),0)-1)+((DATE(VALUE(LEFT($A6,4)),1,4)-WEEKDAY(DATE(VALUE(LEFT($A6,4)),1,4),2)+1+(VALUE(MID($A6,7,2))-1)*7)-p_semana_referencia)/7,$F6)))))</f>
        <v/>
      </c>
      <c r="H6" s="24">
        <f>IF(COUNTIFS('PLAN_VACACIONES'!$A$4:$A$103,$C6,'PLAN_VACACIONES'!$B$4:$B$103,"&lt;="&amp;$L6,'PLAN_VACACIONES'!$C$4:$C$103,"&gt;="&amp;$L6)&gt;0,"sí","no")</f>
        <v/>
      </c>
      <c r="I6" s="4" t="n"/>
      <c r="J6" s="24">
        <f>IF($I6&lt;&gt;"",$I6,IF($G6="","",IF($H6="sí","VAC",IF(LEFT($G6,1)="B","B",$G6))))</f>
        <v/>
      </c>
      <c r="K6" s="24">
        <f>IFERROR(INDEX('TECNICOS'!$E$4:$E$19,MATCH($C6,'TECNICOS'!$B$4:$B$19,0)),"")</f>
        <v/>
      </c>
      <c r="L6" s="30">
        <f>IF($A6="","",DATE(VALUE(LEFT($A6,4)),1,4)-WEEKDAY(DATE(VALUE(LEFT($A6,4)),1,4),2)+1+(VALUE(MID($A6,7,2))-1)*7+MATCH($B6,lista_dias,0)-1)</f>
        <v/>
      </c>
      <c r="M6" s="24">
        <f>IF(OR($J6="",ISNUMBER(MATCH($J6,lista_no_disponible,0)),(IFERROR(INDEX('CALENDARIO'!$C$15:$C$214,MATCH(TEXT($L6,"yyyy-mm-dd")&amp;"|"&amp;$D6&amp;"|"&amp;"",'CALENDARIO'!$G$15:$G$214,0)),IFERROR(INDEX('CALENDARIO'!$C$15:$C$214,MATCH(TEXT($L6,"yyyy-mm-dd")&amp;"|"&amp;$D6&amp;"|",'CALENDARIO'!$G$15:$G$214,0)),IFERROR(INDEX('CALENDARIO'!$C$15:$C$214,MATCH(TEXT($L6,"yyyy-mm-dd")&amp;"||",'CALENDARIO'!$G$15:$G$214,0)),INDEX(patronHabil,WEEKDAY($L6,2))))))&lt;&gt;"sí"),0,p_horas_jornada)</f>
        <v/>
      </c>
      <c r="N6" s="24">
        <f>$A6&amp;"|"&amp;$B6&amp;"|"&amp;$C6</f>
        <v/>
      </c>
      <c r="O6" s="24">
        <f>IFERROR(INDEX('CAT_TURNOS'!$C$4:$C$22,MATCH($J6,'CAT_TURNOS'!$A$4:$A$22,0)),"")</f>
        <v/>
      </c>
      <c r="P6" s="24">
        <f>IFERROR(INDEX('CAT_TURNOS'!$D$4:$D$22,MATCH($J6,'CAT_TURNOS'!$A$4:$A$22,0)),"")</f>
        <v/>
      </c>
      <c r="Q6" s="24">
        <f>IF(AND(LEFT($G6,1)="T",$H6="no"),"sí","no")</f>
        <v/>
      </c>
    </row>
    <row r="7">
      <c r="A7" s="5" t="inlineStr">
        <is>
          <t>2026-S30</t>
        </is>
      </c>
      <c r="B7" s="5" t="inlineStr">
        <is>
          <t>jueves</t>
        </is>
      </c>
      <c r="C7" s="5" t="inlineStr">
        <is>
          <t>Carlos Pérez</t>
        </is>
      </c>
      <c r="D7" s="24">
        <f>IFERROR(INDEX('TECNICOS'!$D$4:$D$19,MATCH($C7,'TECNICOS'!$B$4:$B$19,0)),"")</f>
        <v/>
      </c>
      <c r="E7" s="24">
        <f>IFERROR(INDEX('TECNICOS'!$C$4:$C$19,MATCH($C7,'TECNICOS'!$B$4:$B$19,0)),"")</f>
        <v/>
      </c>
      <c r="F7" s="24">
        <f>COUNTIFS('TECNICOS'!$F$4:$F$19,"sí",'TECNICOS'!$C$4:$C$19,$E7,'TECNICOS'!$D$4:$D$19,$D7,'TECNICOS'!$H$4:$H$19,"sí")</f>
        <v/>
      </c>
      <c r="G7" s="24">
        <f>IF(OR($C7="",$A7="",$B7="domingo",IFERROR(INDEX('TECNICOS'!$H$4:$H$19,MATCH($C7,'TECNICOS'!$B$4:$B$19,0)),"no")&lt;&gt;"sí"),"",IF(IFERROR(INDEX('TECNICOS'!$F$4:$F$19,MATCH($C7,'TECNICOS'!$B$4:$B$19,0)),"no")&lt;&gt;"sí","B",IF(MOD((IFERROR(INDEX('TECNICOS'!$G$4:$G$19,MATCH($C7,'TECNICOS'!$B$4:$B$19,0)),0)-1)+((DATE(VALUE(LEFT($A7,4)),1,4)-WEEKDAY(DATE(VALUE(LEFT($A7,4)),1,4),2)+1+(VALUE(MID($A7,7,2))-1)*7)-p_semana_referencia)/7,$F7)&lt;($F7-3),"B"&amp;(($F7-3)-MOD((IFERROR(INDEX('TECNICOS'!$G$4:$G$19,MATCH($C7,'TECNICOS'!$B$4:$B$19,0)),0)-1)+((DATE(VALUE(LEFT($A7,4)),1,4)-WEEKDAY(DATE(VALUE(LEFT($A7,4)),1,4),2)+1+(VALUE(MID($A7,7,2))-1)*7)-p_semana_referencia)/7,$F7)),"T"&amp;($F7-MOD((IFERROR(INDEX('TECNICOS'!$G$4:$G$19,MATCH($C7,'TECNICOS'!$B$4:$B$19,0)),0)-1)+((DATE(VALUE(LEFT($A7,4)),1,4)-WEEKDAY(DATE(VALUE(LEFT($A7,4)),1,4),2)+1+(VALUE(MID($A7,7,2))-1)*7)-p_semana_referencia)/7,$F7)))))</f>
        <v/>
      </c>
      <c r="H7" s="24">
        <f>IF(COUNTIFS('PLAN_VACACIONES'!$A$4:$A$103,$C7,'PLAN_VACACIONES'!$B$4:$B$103,"&lt;="&amp;$L7,'PLAN_VACACIONES'!$C$4:$C$103,"&gt;="&amp;$L7)&gt;0,"sí","no")</f>
        <v/>
      </c>
      <c r="I7" s="4" t="n"/>
      <c r="J7" s="24">
        <f>IF($I7&lt;&gt;"",$I7,IF($G7="","",IF($H7="sí","VAC",IF(LEFT($G7,1)="B","B",$G7))))</f>
        <v/>
      </c>
      <c r="K7" s="24">
        <f>IFERROR(INDEX('TECNICOS'!$E$4:$E$19,MATCH($C7,'TECNICOS'!$B$4:$B$19,0)),"")</f>
        <v/>
      </c>
      <c r="L7" s="30">
        <f>IF($A7="","",DATE(VALUE(LEFT($A7,4)),1,4)-WEEKDAY(DATE(VALUE(LEFT($A7,4)),1,4),2)+1+(VALUE(MID($A7,7,2))-1)*7+MATCH($B7,lista_dias,0)-1)</f>
        <v/>
      </c>
      <c r="M7" s="24">
        <f>IF(OR($J7="",ISNUMBER(MATCH($J7,lista_no_disponible,0)),(IFERROR(INDEX('CALENDARIO'!$C$15:$C$214,MATCH(TEXT($L7,"yyyy-mm-dd")&amp;"|"&amp;$D7&amp;"|"&amp;"",'CALENDARIO'!$G$15:$G$214,0)),IFERROR(INDEX('CALENDARIO'!$C$15:$C$214,MATCH(TEXT($L7,"yyyy-mm-dd")&amp;"|"&amp;$D7&amp;"|",'CALENDARIO'!$G$15:$G$214,0)),IFERROR(INDEX('CALENDARIO'!$C$15:$C$214,MATCH(TEXT($L7,"yyyy-mm-dd")&amp;"||",'CALENDARIO'!$G$15:$G$214,0)),INDEX(patronHabil,WEEKDAY($L7,2))))))&lt;&gt;"sí"),0,p_horas_jornada)</f>
        <v/>
      </c>
      <c r="N7" s="24">
        <f>$A7&amp;"|"&amp;$B7&amp;"|"&amp;$C7</f>
        <v/>
      </c>
      <c r="O7" s="24">
        <f>IFERROR(INDEX('CAT_TURNOS'!$C$4:$C$22,MATCH($J7,'CAT_TURNOS'!$A$4:$A$22,0)),"")</f>
        <v/>
      </c>
      <c r="P7" s="24">
        <f>IFERROR(INDEX('CAT_TURNOS'!$D$4:$D$22,MATCH($J7,'CAT_TURNOS'!$A$4:$A$22,0)),"")</f>
        <v/>
      </c>
      <c r="Q7" s="24">
        <f>IF(AND(LEFT($G7,1)="T",$H7="no"),"sí","no")</f>
        <v/>
      </c>
    </row>
    <row r="8">
      <c r="A8" s="5" t="inlineStr">
        <is>
          <t>2026-S30</t>
        </is>
      </c>
      <c r="B8" s="5" t="inlineStr">
        <is>
          <t>viernes</t>
        </is>
      </c>
      <c r="C8" s="5" t="inlineStr">
        <is>
          <t>Carlos Pérez</t>
        </is>
      </c>
      <c r="D8" s="24">
        <f>IFERROR(INDEX('TECNICOS'!$D$4:$D$19,MATCH($C8,'TECNICOS'!$B$4:$B$19,0)),"")</f>
        <v/>
      </c>
      <c r="E8" s="24">
        <f>IFERROR(INDEX('TECNICOS'!$C$4:$C$19,MATCH($C8,'TECNICOS'!$B$4:$B$19,0)),"")</f>
        <v/>
      </c>
      <c r="F8" s="24">
        <f>COUNTIFS('TECNICOS'!$F$4:$F$19,"sí",'TECNICOS'!$C$4:$C$19,$E8,'TECNICOS'!$D$4:$D$19,$D8,'TECNICOS'!$H$4:$H$19,"sí")</f>
        <v/>
      </c>
      <c r="G8" s="24">
        <f>IF(OR($C8="",$A8="",$B8="domingo",IFERROR(INDEX('TECNICOS'!$H$4:$H$19,MATCH($C8,'TECNICOS'!$B$4:$B$19,0)),"no")&lt;&gt;"sí"),"",IF(IFERROR(INDEX('TECNICOS'!$F$4:$F$19,MATCH($C8,'TECNICOS'!$B$4:$B$19,0)),"no")&lt;&gt;"sí","B",IF(MOD((IFERROR(INDEX('TECNICOS'!$G$4:$G$19,MATCH($C8,'TECNICOS'!$B$4:$B$19,0)),0)-1)+((DATE(VALUE(LEFT($A8,4)),1,4)-WEEKDAY(DATE(VALUE(LEFT($A8,4)),1,4),2)+1+(VALUE(MID($A8,7,2))-1)*7)-p_semana_referencia)/7,$F8)&lt;($F8-3),"B"&amp;(($F8-3)-MOD((IFERROR(INDEX('TECNICOS'!$G$4:$G$19,MATCH($C8,'TECNICOS'!$B$4:$B$19,0)),0)-1)+((DATE(VALUE(LEFT($A8,4)),1,4)-WEEKDAY(DATE(VALUE(LEFT($A8,4)),1,4),2)+1+(VALUE(MID($A8,7,2))-1)*7)-p_semana_referencia)/7,$F8)),"T"&amp;($F8-MOD((IFERROR(INDEX('TECNICOS'!$G$4:$G$19,MATCH($C8,'TECNICOS'!$B$4:$B$19,0)),0)-1)+((DATE(VALUE(LEFT($A8,4)),1,4)-WEEKDAY(DATE(VALUE(LEFT($A8,4)),1,4),2)+1+(VALUE(MID($A8,7,2))-1)*7)-p_semana_referencia)/7,$F8)))))</f>
        <v/>
      </c>
      <c r="H8" s="24">
        <f>IF(COUNTIFS('PLAN_VACACIONES'!$A$4:$A$103,$C8,'PLAN_VACACIONES'!$B$4:$B$103,"&lt;="&amp;$L8,'PLAN_VACACIONES'!$C$4:$C$103,"&gt;="&amp;$L8)&gt;0,"sí","no")</f>
        <v/>
      </c>
      <c r="I8" s="4" t="n"/>
      <c r="J8" s="24">
        <f>IF($I8&lt;&gt;"",$I8,IF($G8="","",IF($H8="sí","VAC",IF(LEFT($G8,1)="B","B",$G8))))</f>
        <v/>
      </c>
      <c r="K8" s="24">
        <f>IFERROR(INDEX('TECNICOS'!$E$4:$E$19,MATCH($C8,'TECNICOS'!$B$4:$B$19,0)),"")</f>
        <v/>
      </c>
      <c r="L8" s="30">
        <f>IF($A8="","",DATE(VALUE(LEFT($A8,4)),1,4)-WEEKDAY(DATE(VALUE(LEFT($A8,4)),1,4),2)+1+(VALUE(MID($A8,7,2))-1)*7+MATCH($B8,lista_dias,0)-1)</f>
        <v/>
      </c>
      <c r="M8" s="24">
        <f>IF(OR($J8="",ISNUMBER(MATCH($J8,lista_no_disponible,0)),(IFERROR(INDEX('CALENDARIO'!$C$15:$C$214,MATCH(TEXT($L8,"yyyy-mm-dd")&amp;"|"&amp;$D8&amp;"|"&amp;"",'CALENDARIO'!$G$15:$G$214,0)),IFERROR(INDEX('CALENDARIO'!$C$15:$C$214,MATCH(TEXT($L8,"yyyy-mm-dd")&amp;"|"&amp;$D8&amp;"|",'CALENDARIO'!$G$15:$G$214,0)),IFERROR(INDEX('CALENDARIO'!$C$15:$C$214,MATCH(TEXT($L8,"yyyy-mm-dd")&amp;"||",'CALENDARIO'!$G$15:$G$214,0)),INDEX(patronHabil,WEEKDAY($L8,2))))))&lt;&gt;"sí"),0,p_horas_jornada)</f>
        <v/>
      </c>
      <c r="N8" s="24">
        <f>$A8&amp;"|"&amp;$B8&amp;"|"&amp;$C8</f>
        <v/>
      </c>
      <c r="O8" s="24">
        <f>IFERROR(INDEX('CAT_TURNOS'!$C$4:$C$22,MATCH($J8,'CAT_TURNOS'!$A$4:$A$22,0)),"")</f>
        <v/>
      </c>
      <c r="P8" s="24">
        <f>IFERROR(INDEX('CAT_TURNOS'!$D$4:$D$22,MATCH($J8,'CAT_TURNOS'!$A$4:$A$22,0)),"")</f>
        <v/>
      </c>
      <c r="Q8" s="24">
        <f>IF(AND(LEFT($G8,1)="T",$H8="no"),"sí","no")</f>
        <v/>
      </c>
    </row>
    <row r="9">
      <c r="A9" s="5" t="inlineStr">
        <is>
          <t>2026-S30</t>
        </is>
      </c>
      <c r="B9" s="5" t="inlineStr">
        <is>
          <t>sábado</t>
        </is>
      </c>
      <c r="C9" s="5" t="inlineStr">
        <is>
          <t>Carlos Pérez</t>
        </is>
      </c>
      <c r="D9" s="24">
        <f>IFERROR(INDEX('TECNICOS'!$D$4:$D$19,MATCH($C9,'TECNICOS'!$B$4:$B$19,0)),"")</f>
        <v/>
      </c>
      <c r="E9" s="24">
        <f>IFERROR(INDEX('TECNICOS'!$C$4:$C$19,MATCH($C9,'TECNICOS'!$B$4:$B$19,0)),"")</f>
        <v/>
      </c>
      <c r="F9" s="24">
        <f>COUNTIFS('TECNICOS'!$F$4:$F$19,"sí",'TECNICOS'!$C$4:$C$19,$E9,'TECNICOS'!$D$4:$D$19,$D9,'TECNICOS'!$H$4:$H$19,"sí")</f>
        <v/>
      </c>
      <c r="G9" s="24">
        <f>IF(OR($C9="",$A9="",$B9="domingo",IFERROR(INDEX('TECNICOS'!$H$4:$H$19,MATCH($C9,'TECNICOS'!$B$4:$B$19,0)),"no")&lt;&gt;"sí"),"",IF(IFERROR(INDEX('TECNICOS'!$F$4:$F$19,MATCH($C9,'TECNICOS'!$B$4:$B$19,0)),"no")&lt;&gt;"sí","B",IF(MOD((IFERROR(INDEX('TECNICOS'!$G$4:$G$19,MATCH($C9,'TECNICOS'!$B$4:$B$19,0)),0)-1)+((DATE(VALUE(LEFT($A9,4)),1,4)-WEEKDAY(DATE(VALUE(LEFT($A9,4)),1,4),2)+1+(VALUE(MID($A9,7,2))-1)*7)-p_semana_referencia)/7,$F9)&lt;($F9-3),"B"&amp;(($F9-3)-MOD((IFERROR(INDEX('TECNICOS'!$G$4:$G$19,MATCH($C9,'TECNICOS'!$B$4:$B$19,0)),0)-1)+((DATE(VALUE(LEFT($A9,4)),1,4)-WEEKDAY(DATE(VALUE(LEFT($A9,4)),1,4),2)+1+(VALUE(MID($A9,7,2))-1)*7)-p_semana_referencia)/7,$F9)),"T"&amp;($F9-MOD((IFERROR(INDEX('TECNICOS'!$G$4:$G$19,MATCH($C9,'TECNICOS'!$B$4:$B$19,0)),0)-1)+((DATE(VALUE(LEFT($A9,4)),1,4)-WEEKDAY(DATE(VALUE(LEFT($A9,4)),1,4),2)+1+(VALUE(MID($A9,7,2))-1)*7)-p_semana_referencia)/7,$F9)))))</f>
        <v/>
      </c>
      <c r="H9" s="24">
        <f>IF(COUNTIFS('PLAN_VACACIONES'!$A$4:$A$103,$C9,'PLAN_VACACIONES'!$B$4:$B$103,"&lt;="&amp;$L9,'PLAN_VACACIONES'!$C$4:$C$103,"&gt;="&amp;$L9)&gt;0,"sí","no")</f>
        <v/>
      </c>
      <c r="I9" s="4" t="n"/>
      <c r="J9" s="24">
        <f>IF($I9&lt;&gt;"",$I9,IF($G9="","",IF($H9="sí","VAC",IF(LEFT($G9,1)="B","B",$G9))))</f>
        <v/>
      </c>
      <c r="K9" s="24">
        <f>IFERROR(INDEX('TECNICOS'!$E$4:$E$19,MATCH($C9,'TECNICOS'!$B$4:$B$19,0)),"")</f>
        <v/>
      </c>
      <c r="L9" s="30">
        <f>IF($A9="","",DATE(VALUE(LEFT($A9,4)),1,4)-WEEKDAY(DATE(VALUE(LEFT($A9,4)),1,4),2)+1+(VALUE(MID($A9,7,2))-1)*7+MATCH($B9,lista_dias,0)-1)</f>
        <v/>
      </c>
      <c r="M9" s="24">
        <f>IF(OR($J9="",ISNUMBER(MATCH($J9,lista_no_disponible,0)),(IFERROR(INDEX('CALENDARIO'!$C$15:$C$214,MATCH(TEXT($L9,"yyyy-mm-dd")&amp;"|"&amp;$D9&amp;"|"&amp;"",'CALENDARIO'!$G$15:$G$214,0)),IFERROR(INDEX('CALENDARIO'!$C$15:$C$214,MATCH(TEXT($L9,"yyyy-mm-dd")&amp;"|"&amp;$D9&amp;"|",'CALENDARIO'!$G$15:$G$214,0)),IFERROR(INDEX('CALENDARIO'!$C$15:$C$214,MATCH(TEXT($L9,"yyyy-mm-dd")&amp;"||",'CALENDARIO'!$G$15:$G$214,0)),INDEX(patronHabil,WEEKDAY($L9,2))))))&lt;&gt;"sí"),0,p_horas_jornada)</f>
        <v/>
      </c>
      <c r="N9" s="24">
        <f>$A9&amp;"|"&amp;$B9&amp;"|"&amp;$C9</f>
        <v/>
      </c>
      <c r="O9" s="24">
        <f>IFERROR(INDEX('CAT_TURNOS'!$C$4:$C$22,MATCH($J9,'CAT_TURNOS'!$A$4:$A$22,0)),"")</f>
        <v/>
      </c>
      <c r="P9" s="24">
        <f>IFERROR(INDEX('CAT_TURNOS'!$D$4:$D$22,MATCH($J9,'CAT_TURNOS'!$A$4:$A$22,0)),"")</f>
        <v/>
      </c>
      <c r="Q9" s="24">
        <f>IF(AND(LEFT($G9,1)="T",$H9="no"),"sí","no")</f>
        <v/>
      </c>
    </row>
    <row r="10">
      <c r="A10" s="5" t="inlineStr">
        <is>
          <t>2026-S30</t>
        </is>
      </c>
      <c r="B10" s="5" t="inlineStr">
        <is>
          <t>domingo</t>
        </is>
      </c>
      <c r="C10" s="5" t="inlineStr">
        <is>
          <t>Carlos Pérez</t>
        </is>
      </c>
      <c r="D10" s="24">
        <f>IFERROR(INDEX('TECNICOS'!$D$4:$D$19,MATCH($C10,'TECNICOS'!$B$4:$B$19,0)),"")</f>
        <v/>
      </c>
      <c r="E10" s="24">
        <f>IFERROR(INDEX('TECNICOS'!$C$4:$C$19,MATCH($C10,'TECNICOS'!$B$4:$B$19,0)),"")</f>
        <v/>
      </c>
      <c r="F10" s="24">
        <f>COUNTIFS('TECNICOS'!$F$4:$F$19,"sí",'TECNICOS'!$C$4:$C$19,$E10,'TECNICOS'!$D$4:$D$19,$D10,'TECNICOS'!$H$4:$H$19,"sí")</f>
        <v/>
      </c>
      <c r="G10" s="24">
        <f>IF(OR($C10="",$A10="",$B10="domingo",IFERROR(INDEX('TECNICOS'!$H$4:$H$19,MATCH($C10,'TECNICOS'!$B$4:$B$19,0)),"no")&lt;&gt;"sí"),"",IF(IFERROR(INDEX('TECNICOS'!$F$4:$F$19,MATCH($C10,'TECNICOS'!$B$4:$B$19,0)),"no")&lt;&gt;"sí","B",IF(MOD((IFERROR(INDEX('TECNICOS'!$G$4:$G$19,MATCH($C10,'TECNICOS'!$B$4:$B$19,0)),0)-1)+((DATE(VALUE(LEFT($A10,4)),1,4)-WEEKDAY(DATE(VALUE(LEFT($A10,4)),1,4),2)+1+(VALUE(MID($A10,7,2))-1)*7)-p_semana_referencia)/7,$F10)&lt;($F10-3),"B"&amp;(($F10-3)-MOD((IFERROR(INDEX('TECNICOS'!$G$4:$G$19,MATCH($C10,'TECNICOS'!$B$4:$B$19,0)),0)-1)+((DATE(VALUE(LEFT($A10,4)),1,4)-WEEKDAY(DATE(VALUE(LEFT($A10,4)),1,4),2)+1+(VALUE(MID($A10,7,2))-1)*7)-p_semana_referencia)/7,$F10)),"T"&amp;($F10-MOD((IFERROR(INDEX('TECNICOS'!$G$4:$G$19,MATCH($C10,'TECNICOS'!$B$4:$B$19,0)),0)-1)+((DATE(VALUE(LEFT($A10,4)),1,4)-WEEKDAY(DATE(VALUE(LEFT($A10,4)),1,4),2)+1+(VALUE(MID($A10,7,2))-1)*7)-p_semana_referencia)/7,$F10)))))</f>
        <v/>
      </c>
      <c r="H10" s="24">
        <f>IF(COUNTIFS('PLAN_VACACIONES'!$A$4:$A$103,$C10,'PLAN_VACACIONES'!$B$4:$B$103,"&lt;="&amp;$L10,'PLAN_VACACIONES'!$C$4:$C$103,"&gt;="&amp;$L10)&gt;0,"sí","no")</f>
        <v/>
      </c>
      <c r="I10" s="4" t="n"/>
      <c r="J10" s="24">
        <f>IF($I10&lt;&gt;"",$I10,IF($G10="","",IF($H10="sí","VAC",IF(LEFT($G10,1)="B","B",$G10))))</f>
        <v/>
      </c>
      <c r="K10" s="24">
        <f>IFERROR(INDEX('TECNICOS'!$E$4:$E$19,MATCH($C10,'TECNICOS'!$B$4:$B$19,0)),"")</f>
        <v/>
      </c>
      <c r="L10" s="30">
        <f>IF($A10="","",DATE(VALUE(LEFT($A10,4)),1,4)-WEEKDAY(DATE(VALUE(LEFT($A10,4)),1,4),2)+1+(VALUE(MID($A10,7,2))-1)*7+MATCH($B10,lista_dias,0)-1)</f>
        <v/>
      </c>
      <c r="M10" s="24">
        <f>IF(OR($J10="",ISNUMBER(MATCH($J10,lista_no_disponible,0)),(IFERROR(INDEX('CALENDARIO'!$C$15:$C$214,MATCH(TEXT($L10,"yyyy-mm-dd")&amp;"|"&amp;$D10&amp;"|"&amp;"",'CALENDARIO'!$G$15:$G$214,0)),IFERROR(INDEX('CALENDARIO'!$C$15:$C$214,MATCH(TEXT($L10,"yyyy-mm-dd")&amp;"|"&amp;$D10&amp;"|",'CALENDARIO'!$G$15:$G$214,0)),IFERROR(INDEX('CALENDARIO'!$C$15:$C$214,MATCH(TEXT($L10,"yyyy-mm-dd")&amp;"||",'CALENDARIO'!$G$15:$G$214,0)),INDEX(patronHabil,WEEKDAY($L10,2))))))&lt;&gt;"sí"),0,p_horas_jornada)</f>
        <v/>
      </c>
      <c r="N10" s="24">
        <f>$A10&amp;"|"&amp;$B10&amp;"|"&amp;$C10</f>
        <v/>
      </c>
      <c r="O10" s="24">
        <f>IFERROR(INDEX('CAT_TURNOS'!$C$4:$C$22,MATCH($J10,'CAT_TURNOS'!$A$4:$A$22,0)),"")</f>
        <v/>
      </c>
      <c r="P10" s="24">
        <f>IFERROR(INDEX('CAT_TURNOS'!$D$4:$D$22,MATCH($J10,'CAT_TURNOS'!$A$4:$A$22,0)),"")</f>
        <v/>
      </c>
      <c r="Q10" s="24">
        <f>IF(AND(LEFT($G10,1)="T",$H10="no"),"sí","no")</f>
        <v/>
      </c>
    </row>
    <row r="11">
      <c r="A11" s="5" t="inlineStr">
        <is>
          <t>2026-S30</t>
        </is>
      </c>
      <c r="B11" s="5" t="inlineStr">
        <is>
          <t>lunes</t>
        </is>
      </c>
      <c r="C11" s="5" t="inlineStr">
        <is>
          <t>María Gómez</t>
        </is>
      </c>
      <c r="D11" s="24">
        <f>IFERROR(INDEX('TECNICOS'!$D$4:$D$19,MATCH($C11,'TECNICOS'!$B$4:$B$19,0)),"")</f>
        <v/>
      </c>
      <c r="E11" s="24">
        <f>IFERROR(INDEX('TECNICOS'!$C$4:$C$19,MATCH($C11,'TECNICOS'!$B$4:$B$19,0)),"")</f>
        <v/>
      </c>
      <c r="F11" s="24">
        <f>COUNTIFS('TECNICOS'!$F$4:$F$19,"sí",'TECNICOS'!$C$4:$C$19,$E11,'TECNICOS'!$D$4:$D$19,$D11,'TECNICOS'!$H$4:$H$19,"sí")</f>
        <v/>
      </c>
      <c r="G11" s="24">
        <f>IF(OR($C11="",$A11="",$B11="domingo",IFERROR(INDEX('TECNICOS'!$H$4:$H$19,MATCH($C11,'TECNICOS'!$B$4:$B$19,0)),"no")&lt;&gt;"sí"),"",IF(IFERROR(INDEX('TECNICOS'!$F$4:$F$19,MATCH($C11,'TECNICOS'!$B$4:$B$19,0)),"no")&lt;&gt;"sí","B",IF(MOD((IFERROR(INDEX('TECNICOS'!$G$4:$G$19,MATCH($C11,'TECNICOS'!$B$4:$B$19,0)),0)-1)+((DATE(VALUE(LEFT($A11,4)),1,4)-WEEKDAY(DATE(VALUE(LEFT($A11,4)),1,4),2)+1+(VALUE(MID($A11,7,2))-1)*7)-p_semana_referencia)/7,$F11)&lt;($F11-3),"B"&amp;(($F11-3)-MOD((IFERROR(INDEX('TECNICOS'!$G$4:$G$19,MATCH($C11,'TECNICOS'!$B$4:$B$19,0)),0)-1)+((DATE(VALUE(LEFT($A11,4)),1,4)-WEEKDAY(DATE(VALUE(LEFT($A11,4)),1,4),2)+1+(VALUE(MID($A11,7,2))-1)*7)-p_semana_referencia)/7,$F11)),"T"&amp;($F11-MOD((IFERROR(INDEX('TECNICOS'!$G$4:$G$19,MATCH($C11,'TECNICOS'!$B$4:$B$19,0)),0)-1)+((DATE(VALUE(LEFT($A11,4)),1,4)-WEEKDAY(DATE(VALUE(LEFT($A11,4)),1,4),2)+1+(VALUE(MID($A11,7,2))-1)*7)-p_semana_referencia)/7,$F11)))))</f>
        <v/>
      </c>
      <c r="H11" s="24">
        <f>IF(COUNTIFS('PLAN_VACACIONES'!$A$4:$A$103,$C11,'PLAN_VACACIONES'!$B$4:$B$103,"&lt;="&amp;$L11,'PLAN_VACACIONES'!$C$4:$C$103,"&gt;="&amp;$L11)&gt;0,"sí","no")</f>
        <v/>
      </c>
      <c r="I11" s="4" t="n"/>
      <c r="J11" s="24">
        <f>IF($I11&lt;&gt;"",$I11,IF($G11="","",IF($H11="sí","VAC",IF(LEFT($G11,1)="B","B",$G11))))</f>
        <v/>
      </c>
      <c r="K11" s="24">
        <f>IFERROR(INDEX('TECNICOS'!$E$4:$E$19,MATCH($C11,'TECNICOS'!$B$4:$B$19,0)),"")</f>
        <v/>
      </c>
      <c r="L11" s="30">
        <f>IF($A11="","",DATE(VALUE(LEFT($A11,4)),1,4)-WEEKDAY(DATE(VALUE(LEFT($A11,4)),1,4),2)+1+(VALUE(MID($A11,7,2))-1)*7+MATCH($B11,lista_dias,0)-1)</f>
        <v/>
      </c>
      <c r="M11" s="24">
        <f>IF(OR($J11="",ISNUMBER(MATCH($J11,lista_no_disponible,0)),(IFERROR(INDEX('CALENDARIO'!$C$15:$C$214,MATCH(TEXT($L11,"yyyy-mm-dd")&amp;"|"&amp;$D11&amp;"|"&amp;"",'CALENDARIO'!$G$15:$G$214,0)),IFERROR(INDEX('CALENDARIO'!$C$15:$C$214,MATCH(TEXT($L11,"yyyy-mm-dd")&amp;"|"&amp;$D11&amp;"|",'CALENDARIO'!$G$15:$G$214,0)),IFERROR(INDEX('CALENDARIO'!$C$15:$C$214,MATCH(TEXT($L11,"yyyy-mm-dd")&amp;"||",'CALENDARIO'!$G$15:$G$214,0)),INDEX(patronHabil,WEEKDAY($L11,2))))))&lt;&gt;"sí"),0,p_horas_jornada)</f>
        <v/>
      </c>
      <c r="N11" s="24">
        <f>$A11&amp;"|"&amp;$B11&amp;"|"&amp;$C11</f>
        <v/>
      </c>
      <c r="O11" s="24">
        <f>IFERROR(INDEX('CAT_TURNOS'!$C$4:$C$22,MATCH($J11,'CAT_TURNOS'!$A$4:$A$22,0)),"")</f>
        <v/>
      </c>
      <c r="P11" s="24">
        <f>IFERROR(INDEX('CAT_TURNOS'!$D$4:$D$22,MATCH($J11,'CAT_TURNOS'!$A$4:$A$22,0)),"")</f>
        <v/>
      </c>
      <c r="Q11" s="24">
        <f>IF(AND(LEFT($G11,1)="T",$H11="no"),"sí","no")</f>
        <v/>
      </c>
    </row>
    <row r="12">
      <c r="A12" s="5" t="inlineStr">
        <is>
          <t>2026-S30</t>
        </is>
      </c>
      <c r="B12" s="5" t="inlineStr">
        <is>
          <t>martes</t>
        </is>
      </c>
      <c r="C12" s="5" t="inlineStr">
        <is>
          <t>María Gómez</t>
        </is>
      </c>
      <c r="D12" s="24">
        <f>IFERROR(INDEX('TECNICOS'!$D$4:$D$19,MATCH($C12,'TECNICOS'!$B$4:$B$19,0)),"")</f>
        <v/>
      </c>
      <c r="E12" s="24">
        <f>IFERROR(INDEX('TECNICOS'!$C$4:$C$19,MATCH($C12,'TECNICOS'!$B$4:$B$19,0)),"")</f>
        <v/>
      </c>
      <c r="F12" s="24">
        <f>COUNTIFS('TECNICOS'!$F$4:$F$19,"sí",'TECNICOS'!$C$4:$C$19,$E12,'TECNICOS'!$D$4:$D$19,$D12,'TECNICOS'!$H$4:$H$19,"sí")</f>
        <v/>
      </c>
      <c r="G12" s="24">
        <f>IF(OR($C12="",$A12="",$B12="domingo",IFERROR(INDEX('TECNICOS'!$H$4:$H$19,MATCH($C12,'TECNICOS'!$B$4:$B$19,0)),"no")&lt;&gt;"sí"),"",IF(IFERROR(INDEX('TECNICOS'!$F$4:$F$19,MATCH($C12,'TECNICOS'!$B$4:$B$19,0)),"no")&lt;&gt;"sí","B",IF(MOD((IFERROR(INDEX('TECNICOS'!$G$4:$G$19,MATCH($C12,'TECNICOS'!$B$4:$B$19,0)),0)-1)+((DATE(VALUE(LEFT($A12,4)),1,4)-WEEKDAY(DATE(VALUE(LEFT($A12,4)),1,4),2)+1+(VALUE(MID($A12,7,2))-1)*7)-p_semana_referencia)/7,$F12)&lt;($F12-3),"B"&amp;(($F12-3)-MOD((IFERROR(INDEX('TECNICOS'!$G$4:$G$19,MATCH($C12,'TECNICOS'!$B$4:$B$19,0)),0)-1)+((DATE(VALUE(LEFT($A12,4)),1,4)-WEEKDAY(DATE(VALUE(LEFT($A12,4)),1,4),2)+1+(VALUE(MID($A12,7,2))-1)*7)-p_semana_referencia)/7,$F12)),"T"&amp;($F12-MOD((IFERROR(INDEX('TECNICOS'!$G$4:$G$19,MATCH($C12,'TECNICOS'!$B$4:$B$19,0)),0)-1)+((DATE(VALUE(LEFT($A12,4)),1,4)-WEEKDAY(DATE(VALUE(LEFT($A12,4)),1,4),2)+1+(VALUE(MID($A12,7,2))-1)*7)-p_semana_referencia)/7,$F12)))))</f>
        <v/>
      </c>
      <c r="H12" s="24">
        <f>IF(COUNTIFS('PLAN_VACACIONES'!$A$4:$A$103,$C12,'PLAN_VACACIONES'!$B$4:$B$103,"&lt;="&amp;$L12,'PLAN_VACACIONES'!$C$4:$C$103,"&gt;="&amp;$L12)&gt;0,"sí","no")</f>
        <v/>
      </c>
      <c r="I12" s="4" t="n"/>
      <c r="J12" s="24">
        <f>IF($I12&lt;&gt;"",$I12,IF($G12="","",IF($H12="sí","VAC",IF(LEFT($G12,1)="B","B",$G12))))</f>
        <v/>
      </c>
      <c r="K12" s="24">
        <f>IFERROR(INDEX('TECNICOS'!$E$4:$E$19,MATCH($C12,'TECNICOS'!$B$4:$B$19,0)),"")</f>
        <v/>
      </c>
      <c r="L12" s="30">
        <f>IF($A12="","",DATE(VALUE(LEFT($A12,4)),1,4)-WEEKDAY(DATE(VALUE(LEFT($A12,4)),1,4),2)+1+(VALUE(MID($A12,7,2))-1)*7+MATCH($B12,lista_dias,0)-1)</f>
        <v/>
      </c>
      <c r="M12" s="24">
        <f>IF(OR($J12="",ISNUMBER(MATCH($J12,lista_no_disponible,0)),(IFERROR(INDEX('CALENDARIO'!$C$15:$C$214,MATCH(TEXT($L12,"yyyy-mm-dd")&amp;"|"&amp;$D12&amp;"|"&amp;"",'CALENDARIO'!$G$15:$G$214,0)),IFERROR(INDEX('CALENDARIO'!$C$15:$C$214,MATCH(TEXT($L12,"yyyy-mm-dd")&amp;"|"&amp;$D12&amp;"|",'CALENDARIO'!$G$15:$G$214,0)),IFERROR(INDEX('CALENDARIO'!$C$15:$C$214,MATCH(TEXT($L12,"yyyy-mm-dd")&amp;"||",'CALENDARIO'!$G$15:$G$214,0)),INDEX(patronHabil,WEEKDAY($L12,2))))))&lt;&gt;"sí"),0,p_horas_jornada)</f>
        <v/>
      </c>
      <c r="N12" s="24">
        <f>$A12&amp;"|"&amp;$B12&amp;"|"&amp;$C12</f>
        <v/>
      </c>
      <c r="O12" s="24">
        <f>IFERROR(INDEX('CAT_TURNOS'!$C$4:$C$22,MATCH($J12,'CAT_TURNOS'!$A$4:$A$22,0)),"")</f>
        <v/>
      </c>
      <c r="P12" s="24">
        <f>IFERROR(INDEX('CAT_TURNOS'!$D$4:$D$22,MATCH($J12,'CAT_TURNOS'!$A$4:$A$22,0)),"")</f>
        <v/>
      </c>
      <c r="Q12" s="24">
        <f>IF(AND(LEFT($G12,1)="T",$H12="no"),"sí","no")</f>
        <v/>
      </c>
    </row>
    <row r="13">
      <c r="A13" s="5" t="inlineStr">
        <is>
          <t>2026-S30</t>
        </is>
      </c>
      <c r="B13" s="5" t="inlineStr">
        <is>
          <t>miércoles</t>
        </is>
      </c>
      <c r="C13" s="5" t="inlineStr">
        <is>
          <t>María Gómez</t>
        </is>
      </c>
      <c r="D13" s="24">
        <f>IFERROR(INDEX('TECNICOS'!$D$4:$D$19,MATCH($C13,'TECNICOS'!$B$4:$B$19,0)),"")</f>
        <v/>
      </c>
      <c r="E13" s="24">
        <f>IFERROR(INDEX('TECNICOS'!$C$4:$C$19,MATCH($C13,'TECNICOS'!$B$4:$B$19,0)),"")</f>
        <v/>
      </c>
      <c r="F13" s="24">
        <f>COUNTIFS('TECNICOS'!$F$4:$F$19,"sí",'TECNICOS'!$C$4:$C$19,$E13,'TECNICOS'!$D$4:$D$19,$D13,'TECNICOS'!$H$4:$H$19,"sí")</f>
        <v/>
      </c>
      <c r="G13" s="24">
        <f>IF(OR($C13="",$A13="",$B13="domingo",IFERROR(INDEX('TECNICOS'!$H$4:$H$19,MATCH($C13,'TECNICOS'!$B$4:$B$19,0)),"no")&lt;&gt;"sí"),"",IF(IFERROR(INDEX('TECNICOS'!$F$4:$F$19,MATCH($C13,'TECNICOS'!$B$4:$B$19,0)),"no")&lt;&gt;"sí","B",IF(MOD((IFERROR(INDEX('TECNICOS'!$G$4:$G$19,MATCH($C13,'TECNICOS'!$B$4:$B$19,0)),0)-1)+((DATE(VALUE(LEFT($A13,4)),1,4)-WEEKDAY(DATE(VALUE(LEFT($A13,4)),1,4),2)+1+(VALUE(MID($A13,7,2))-1)*7)-p_semana_referencia)/7,$F13)&lt;($F13-3),"B"&amp;(($F13-3)-MOD((IFERROR(INDEX('TECNICOS'!$G$4:$G$19,MATCH($C13,'TECNICOS'!$B$4:$B$19,0)),0)-1)+((DATE(VALUE(LEFT($A13,4)),1,4)-WEEKDAY(DATE(VALUE(LEFT($A13,4)),1,4),2)+1+(VALUE(MID($A13,7,2))-1)*7)-p_semana_referencia)/7,$F13)),"T"&amp;($F13-MOD((IFERROR(INDEX('TECNICOS'!$G$4:$G$19,MATCH($C13,'TECNICOS'!$B$4:$B$19,0)),0)-1)+((DATE(VALUE(LEFT($A13,4)),1,4)-WEEKDAY(DATE(VALUE(LEFT($A13,4)),1,4),2)+1+(VALUE(MID($A13,7,2))-1)*7)-p_semana_referencia)/7,$F13)))))</f>
        <v/>
      </c>
      <c r="H13" s="24">
        <f>IF(COUNTIFS('PLAN_VACACIONES'!$A$4:$A$103,$C13,'PLAN_VACACIONES'!$B$4:$B$103,"&lt;="&amp;$L13,'PLAN_VACACIONES'!$C$4:$C$103,"&gt;="&amp;$L13)&gt;0,"sí","no")</f>
        <v/>
      </c>
      <c r="I13" s="4" t="n"/>
      <c r="J13" s="24">
        <f>IF($I13&lt;&gt;"",$I13,IF($G13="","",IF($H13="sí","VAC",IF(LEFT($G13,1)="B","B",$G13))))</f>
        <v/>
      </c>
      <c r="K13" s="24">
        <f>IFERROR(INDEX('TECNICOS'!$E$4:$E$19,MATCH($C13,'TECNICOS'!$B$4:$B$19,0)),"")</f>
        <v/>
      </c>
      <c r="L13" s="30">
        <f>IF($A13="","",DATE(VALUE(LEFT($A13,4)),1,4)-WEEKDAY(DATE(VALUE(LEFT($A13,4)),1,4),2)+1+(VALUE(MID($A13,7,2))-1)*7+MATCH($B13,lista_dias,0)-1)</f>
        <v/>
      </c>
      <c r="M13" s="24">
        <f>IF(OR($J13="",ISNUMBER(MATCH($J13,lista_no_disponible,0)),(IFERROR(INDEX('CALENDARIO'!$C$15:$C$214,MATCH(TEXT($L13,"yyyy-mm-dd")&amp;"|"&amp;$D13&amp;"|"&amp;"",'CALENDARIO'!$G$15:$G$214,0)),IFERROR(INDEX('CALENDARIO'!$C$15:$C$214,MATCH(TEXT($L13,"yyyy-mm-dd")&amp;"|"&amp;$D13&amp;"|",'CALENDARIO'!$G$15:$G$214,0)),IFERROR(INDEX('CALENDARIO'!$C$15:$C$214,MATCH(TEXT($L13,"yyyy-mm-dd")&amp;"||",'CALENDARIO'!$G$15:$G$214,0)),INDEX(patronHabil,WEEKDAY($L13,2))))))&lt;&gt;"sí"),0,p_horas_jornada)</f>
        <v/>
      </c>
      <c r="N13" s="24">
        <f>$A13&amp;"|"&amp;$B13&amp;"|"&amp;$C13</f>
        <v/>
      </c>
      <c r="O13" s="24">
        <f>IFERROR(INDEX('CAT_TURNOS'!$C$4:$C$22,MATCH($J13,'CAT_TURNOS'!$A$4:$A$22,0)),"")</f>
        <v/>
      </c>
      <c r="P13" s="24">
        <f>IFERROR(INDEX('CAT_TURNOS'!$D$4:$D$22,MATCH($J13,'CAT_TURNOS'!$A$4:$A$22,0)),"")</f>
        <v/>
      </c>
      <c r="Q13" s="24">
        <f>IF(AND(LEFT($G13,1)="T",$H13="no"),"sí","no")</f>
        <v/>
      </c>
    </row>
    <row r="14">
      <c r="A14" s="5" t="inlineStr">
        <is>
          <t>2026-S30</t>
        </is>
      </c>
      <c r="B14" s="5" t="inlineStr">
        <is>
          <t>jueves</t>
        </is>
      </c>
      <c r="C14" s="5" t="inlineStr">
        <is>
          <t>María Gómez</t>
        </is>
      </c>
      <c r="D14" s="24">
        <f>IFERROR(INDEX('TECNICOS'!$D$4:$D$19,MATCH($C14,'TECNICOS'!$B$4:$B$19,0)),"")</f>
        <v/>
      </c>
      <c r="E14" s="24">
        <f>IFERROR(INDEX('TECNICOS'!$C$4:$C$19,MATCH($C14,'TECNICOS'!$B$4:$B$19,0)),"")</f>
        <v/>
      </c>
      <c r="F14" s="24">
        <f>COUNTIFS('TECNICOS'!$F$4:$F$19,"sí",'TECNICOS'!$C$4:$C$19,$E14,'TECNICOS'!$D$4:$D$19,$D14,'TECNICOS'!$H$4:$H$19,"sí")</f>
        <v/>
      </c>
      <c r="G14" s="24">
        <f>IF(OR($C14="",$A14="",$B14="domingo",IFERROR(INDEX('TECNICOS'!$H$4:$H$19,MATCH($C14,'TECNICOS'!$B$4:$B$19,0)),"no")&lt;&gt;"sí"),"",IF(IFERROR(INDEX('TECNICOS'!$F$4:$F$19,MATCH($C14,'TECNICOS'!$B$4:$B$19,0)),"no")&lt;&gt;"sí","B",IF(MOD((IFERROR(INDEX('TECNICOS'!$G$4:$G$19,MATCH($C14,'TECNICOS'!$B$4:$B$19,0)),0)-1)+((DATE(VALUE(LEFT($A14,4)),1,4)-WEEKDAY(DATE(VALUE(LEFT($A14,4)),1,4),2)+1+(VALUE(MID($A14,7,2))-1)*7)-p_semana_referencia)/7,$F14)&lt;($F14-3),"B"&amp;(($F14-3)-MOD((IFERROR(INDEX('TECNICOS'!$G$4:$G$19,MATCH($C14,'TECNICOS'!$B$4:$B$19,0)),0)-1)+((DATE(VALUE(LEFT($A14,4)),1,4)-WEEKDAY(DATE(VALUE(LEFT($A14,4)),1,4),2)+1+(VALUE(MID($A14,7,2))-1)*7)-p_semana_referencia)/7,$F14)),"T"&amp;($F14-MOD((IFERROR(INDEX('TECNICOS'!$G$4:$G$19,MATCH($C14,'TECNICOS'!$B$4:$B$19,0)),0)-1)+((DATE(VALUE(LEFT($A14,4)),1,4)-WEEKDAY(DATE(VALUE(LEFT($A14,4)),1,4),2)+1+(VALUE(MID($A14,7,2))-1)*7)-p_semana_referencia)/7,$F14)))))</f>
        <v/>
      </c>
      <c r="H14" s="24">
        <f>IF(COUNTIFS('PLAN_VACACIONES'!$A$4:$A$103,$C14,'PLAN_VACACIONES'!$B$4:$B$103,"&lt;="&amp;$L14,'PLAN_VACACIONES'!$C$4:$C$103,"&gt;="&amp;$L14)&gt;0,"sí","no")</f>
        <v/>
      </c>
      <c r="I14" s="4" t="n"/>
      <c r="J14" s="24">
        <f>IF($I14&lt;&gt;"",$I14,IF($G14="","",IF($H14="sí","VAC",IF(LEFT($G14,1)="B","B",$G14))))</f>
        <v/>
      </c>
      <c r="K14" s="24">
        <f>IFERROR(INDEX('TECNICOS'!$E$4:$E$19,MATCH($C14,'TECNICOS'!$B$4:$B$19,0)),"")</f>
        <v/>
      </c>
      <c r="L14" s="30">
        <f>IF($A14="","",DATE(VALUE(LEFT($A14,4)),1,4)-WEEKDAY(DATE(VALUE(LEFT($A14,4)),1,4),2)+1+(VALUE(MID($A14,7,2))-1)*7+MATCH($B14,lista_dias,0)-1)</f>
        <v/>
      </c>
      <c r="M14" s="24">
        <f>IF(OR($J14="",ISNUMBER(MATCH($J14,lista_no_disponible,0)),(IFERROR(INDEX('CALENDARIO'!$C$15:$C$214,MATCH(TEXT($L14,"yyyy-mm-dd")&amp;"|"&amp;$D14&amp;"|"&amp;"",'CALENDARIO'!$G$15:$G$214,0)),IFERROR(INDEX('CALENDARIO'!$C$15:$C$214,MATCH(TEXT($L14,"yyyy-mm-dd")&amp;"|"&amp;$D14&amp;"|",'CALENDARIO'!$G$15:$G$214,0)),IFERROR(INDEX('CALENDARIO'!$C$15:$C$214,MATCH(TEXT($L14,"yyyy-mm-dd")&amp;"||",'CALENDARIO'!$G$15:$G$214,0)),INDEX(patronHabil,WEEKDAY($L14,2))))))&lt;&gt;"sí"),0,p_horas_jornada)</f>
        <v/>
      </c>
      <c r="N14" s="24">
        <f>$A14&amp;"|"&amp;$B14&amp;"|"&amp;$C14</f>
        <v/>
      </c>
      <c r="O14" s="24">
        <f>IFERROR(INDEX('CAT_TURNOS'!$C$4:$C$22,MATCH($J14,'CAT_TURNOS'!$A$4:$A$22,0)),"")</f>
        <v/>
      </c>
      <c r="P14" s="24">
        <f>IFERROR(INDEX('CAT_TURNOS'!$D$4:$D$22,MATCH($J14,'CAT_TURNOS'!$A$4:$A$22,0)),"")</f>
        <v/>
      </c>
      <c r="Q14" s="24">
        <f>IF(AND(LEFT($G14,1)="T",$H14="no"),"sí","no")</f>
        <v/>
      </c>
    </row>
    <row r="15">
      <c r="A15" s="5" t="inlineStr">
        <is>
          <t>2026-S30</t>
        </is>
      </c>
      <c r="B15" s="5" t="inlineStr">
        <is>
          <t>viernes</t>
        </is>
      </c>
      <c r="C15" s="5" t="inlineStr">
        <is>
          <t>María Gómez</t>
        </is>
      </c>
      <c r="D15" s="24">
        <f>IFERROR(INDEX('TECNICOS'!$D$4:$D$19,MATCH($C15,'TECNICOS'!$B$4:$B$19,0)),"")</f>
        <v/>
      </c>
      <c r="E15" s="24">
        <f>IFERROR(INDEX('TECNICOS'!$C$4:$C$19,MATCH($C15,'TECNICOS'!$B$4:$B$19,0)),"")</f>
        <v/>
      </c>
      <c r="F15" s="24">
        <f>COUNTIFS('TECNICOS'!$F$4:$F$19,"sí",'TECNICOS'!$C$4:$C$19,$E15,'TECNICOS'!$D$4:$D$19,$D15,'TECNICOS'!$H$4:$H$19,"sí")</f>
        <v/>
      </c>
      <c r="G15" s="24">
        <f>IF(OR($C15="",$A15="",$B15="domingo",IFERROR(INDEX('TECNICOS'!$H$4:$H$19,MATCH($C15,'TECNICOS'!$B$4:$B$19,0)),"no")&lt;&gt;"sí"),"",IF(IFERROR(INDEX('TECNICOS'!$F$4:$F$19,MATCH($C15,'TECNICOS'!$B$4:$B$19,0)),"no")&lt;&gt;"sí","B",IF(MOD((IFERROR(INDEX('TECNICOS'!$G$4:$G$19,MATCH($C15,'TECNICOS'!$B$4:$B$19,0)),0)-1)+((DATE(VALUE(LEFT($A15,4)),1,4)-WEEKDAY(DATE(VALUE(LEFT($A15,4)),1,4),2)+1+(VALUE(MID($A15,7,2))-1)*7)-p_semana_referencia)/7,$F15)&lt;($F15-3),"B"&amp;(($F15-3)-MOD((IFERROR(INDEX('TECNICOS'!$G$4:$G$19,MATCH($C15,'TECNICOS'!$B$4:$B$19,0)),0)-1)+((DATE(VALUE(LEFT($A15,4)),1,4)-WEEKDAY(DATE(VALUE(LEFT($A15,4)),1,4),2)+1+(VALUE(MID($A15,7,2))-1)*7)-p_semana_referencia)/7,$F15)),"T"&amp;($F15-MOD((IFERROR(INDEX('TECNICOS'!$G$4:$G$19,MATCH($C15,'TECNICOS'!$B$4:$B$19,0)),0)-1)+((DATE(VALUE(LEFT($A15,4)),1,4)-WEEKDAY(DATE(VALUE(LEFT($A15,4)),1,4),2)+1+(VALUE(MID($A15,7,2))-1)*7)-p_semana_referencia)/7,$F15)))))</f>
        <v/>
      </c>
      <c r="H15" s="24">
        <f>IF(COUNTIFS('PLAN_VACACIONES'!$A$4:$A$103,$C15,'PLAN_VACACIONES'!$B$4:$B$103,"&lt;="&amp;$L15,'PLAN_VACACIONES'!$C$4:$C$103,"&gt;="&amp;$L15)&gt;0,"sí","no")</f>
        <v/>
      </c>
      <c r="I15" s="4" t="n"/>
      <c r="J15" s="24">
        <f>IF($I15&lt;&gt;"",$I15,IF($G15="","",IF($H15="sí","VAC",IF(LEFT($G15,1)="B","B",$G15))))</f>
        <v/>
      </c>
      <c r="K15" s="24">
        <f>IFERROR(INDEX('TECNICOS'!$E$4:$E$19,MATCH($C15,'TECNICOS'!$B$4:$B$19,0)),"")</f>
        <v/>
      </c>
      <c r="L15" s="30">
        <f>IF($A15="","",DATE(VALUE(LEFT($A15,4)),1,4)-WEEKDAY(DATE(VALUE(LEFT($A15,4)),1,4),2)+1+(VALUE(MID($A15,7,2))-1)*7+MATCH($B15,lista_dias,0)-1)</f>
        <v/>
      </c>
      <c r="M15" s="24">
        <f>IF(OR($J15="",ISNUMBER(MATCH($J15,lista_no_disponible,0)),(IFERROR(INDEX('CALENDARIO'!$C$15:$C$214,MATCH(TEXT($L15,"yyyy-mm-dd")&amp;"|"&amp;$D15&amp;"|"&amp;"",'CALENDARIO'!$G$15:$G$214,0)),IFERROR(INDEX('CALENDARIO'!$C$15:$C$214,MATCH(TEXT($L15,"yyyy-mm-dd")&amp;"|"&amp;$D15&amp;"|",'CALENDARIO'!$G$15:$G$214,0)),IFERROR(INDEX('CALENDARIO'!$C$15:$C$214,MATCH(TEXT($L15,"yyyy-mm-dd")&amp;"||",'CALENDARIO'!$G$15:$G$214,0)),INDEX(patronHabil,WEEKDAY($L15,2))))))&lt;&gt;"sí"),0,p_horas_jornada)</f>
        <v/>
      </c>
      <c r="N15" s="24">
        <f>$A15&amp;"|"&amp;$B15&amp;"|"&amp;$C15</f>
        <v/>
      </c>
      <c r="O15" s="24">
        <f>IFERROR(INDEX('CAT_TURNOS'!$C$4:$C$22,MATCH($J15,'CAT_TURNOS'!$A$4:$A$22,0)),"")</f>
        <v/>
      </c>
      <c r="P15" s="24">
        <f>IFERROR(INDEX('CAT_TURNOS'!$D$4:$D$22,MATCH($J15,'CAT_TURNOS'!$A$4:$A$22,0)),"")</f>
        <v/>
      </c>
      <c r="Q15" s="24">
        <f>IF(AND(LEFT($G15,1)="T",$H15="no"),"sí","no")</f>
        <v/>
      </c>
    </row>
    <row r="16">
      <c r="A16" s="5" t="inlineStr">
        <is>
          <t>2026-S30</t>
        </is>
      </c>
      <c r="B16" s="5" t="inlineStr">
        <is>
          <t>sábado</t>
        </is>
      </c>
      <c r="C16" s="5" t="inlineStr">
        <is>
          <t>María Gómez</t>
        </is>
      </c>
      <c r="D16" s="24">
        <f>IFERROR(INDEX('TECNICOS'!$D$4:$D$19,MATCH($C16,'TECNICOS'!$B$4:$B$19,0)),"")</f>
        <v/>
      </c>
      <c r="E16" s="24">
        <f>IFERROR(INDEX('TECNICOS'!$C$4:$C$19,MATCH($C16,'TECNICOS'!$B$4:$B$19,0)),"")</f>
        <v/>
      </c>
      <c r="F16" s="24">
        <f>COUNTIFS('TECNICOS'!$F$4:$F$19,"sí",'TECNICOS'!$C$4:$C$19,$E16,'TECNICOS'!$D$4:$D$19,$D16,'TECNICOS'!$H$4:$H$19,"sí")</f>
        <v/>
      </c>
      <c r="G16" s="24">
        <f>IF(OR($C16="",$A16="",$B16="domingo",IFERROR(INDEX('TECNICOS'!$H$4:$H$19,MATCH($C16,'TECNICOS'!$B$4:$B$19,0)),"no")&lt;&gt;"sí"),"",IF(IFERROR(INDEX('TECNICOS'!$F$4:$F$19,MATCH($C16,'TECNICOS'!$B$4:$B$19,0)),"no")&lt;&gt;"sí","B",IF(MOD((IFERROR(INDEX('TECNICOS'!$G$4:$G$19,MATCH($C16,'TECNICOS'!$B$4:$B$19,0)),0)-1)+((DATE(VALUE(LEFT($A16,4)),1,4)-WEEKDAY(DATE(VALUE(LEFT($A16,4)),1,4),2)+1+(VALUE(MID($A16,7,2))-1)*7)-p_semana_referencia)/7,$F16)&lt;($F16-3),"B"&amp;(($F16-3)-MOD((IFERROR(INDEX('TECNICOS'!$G$4:$G$19,MATCH($C16,'TECNICOS'!$B$4:$B$19,0)),0)-1)+((DATE(VALUE(LEFT($A16,4)),1,4)-WEEKDAY(DATE(VALUE(LEFT($A16,4)),1,4),2)+1+(VALUE(MID($A16,7,2))-1)*7)-p_semana_referencia)/7,$F16)),"T"&amp;($F16-MOD((IFERROR(INDEX('TECNICOS'!$G$4:$G$19,MATCH($C16,'TECNICOS'!$B$4:$B$19,0)),0)-1)+((DATE(VALUE(LEFT($A16,4)),1,4)-WEEKDAY(DATE(VALUE(LEFT($A16,4)),1,4),2)+1+(VALUE(MID($A16,7,2))-1)*7)-p_semana_referencia)/7,$F16)))))</f>
        <v/>
      </c>
      <c r="H16" s="24">
        <f>IF(COUNTIFS('PLAN_VACACIONES'!$A$4:$A$103,$C16,'PLAN_VACACIONES'!$B$4:$B$103,"&lt;="&amp;$L16,'PLAN_VACACIONES'!$C$4:$C$103,"&gt;="&amp;$L16)&gt;0,"sí","no")</f>
        <v/>
      </c>
      <c r="I16" s="4" t="n"/>
      <c r="J16" s="24">
        <f>IF($I16&lt;&gt;"",$I16,IF($G16="","",IF($H16="sí","VAC",IF(LEFT($G16,1)="B","B",$G16))))</f>
        <v/>
      </c>
      <c r="K16" s="24">
        <f>IFERROR(INDEX('TECNICOS'!$E$4:$E$19,MATCH($C16,'TECNICOS'!$B$4:$B$19,0)),"")</f>
        <v/>
      </c>
      <c r="L16" s="30">
        <f>IF($A16="","",DATE(VALUE(LEFT($A16,4)),1,4)-WEEKDAY(DATE(VALUE(LEFT($A16,4)),1,4),2)+1+(VALUE(MID($A16,7,2))-1)*7+MATCH($B16,lista_dias,0)-1)</f>
        <v/>
      </c>
      <c r="M16" s="24">
        <f>IF(OR($J16="",ISNUMBER(MATCH($J16,lista_no_disponible,0)),(IFERROR(INDEX('CALENDARIO'!$C$15:$C$214,MATCH(TEXT($L16,"yyyy-mm-dd")&amp;"|"&amp;$D16&amp;"|"&amp;"",'CALENDARIO'!$G$15:$G$214,0)),IFERROR(INDEX('CALENDARIO'!$C$15:$C$214,MATCH(TEXT($L16,"yyyy-mm-dd")&amp;"|"&amp;$D16&amp;"|",'CALENDARIO'!$G$15:$G$214,0)),IFERROR(INDEX('CALENDARIO'!$C$15:$C$214,MATCH(TEXT($L16,"yyyy-mm-dd")&amp;"||",'CALENDARIO'!$G$15:$G$214,0)),INDEX(patronHabil,WEEKDAY($L16,2))))))&lt;&gt;"sí"),0,p_horas_jornada)</f>
        <v/>
      </c>
      <c r="N16" s="24">
        <f>$A16&amp;"|"&amp;$B16&amp;"|"&amp;$C16</f>
        <v/>
      </c>
      <c r="O16" s="24">
        <f>IFERROR(INDEX('CAT_TURNOS'!$C$4:$C$22,MATCH($J16,'CAT_TURNOS'!$A$4:$A$22,0)),"")</f>
        <v/>
      </c>
      <c r="P16" s="24">
        <f>IFERROR(INDEX('CAT_TURNOS'!$D$4:$D$22,MATCH($J16,'CAT_TURNOS'!$A$4:$A$22,0)),"")</f>
        <v/>
      </c>
      <c r="Q16" s="24">
        <f>IF(AND(LEFT($G16,1)="T",$H16="no"),"sí","no")</f>
        <v/>
      </c>
    </row>
    <row r="17">
      <c r="A17" s="5" t="inlineStr">
        <is>
          <t>2026-S30</t>
        </is>
      </c>
      <c r="B17" s="5" t="inlineStr">
        <is>
          <t>domingo</t>
        </is>
      </c>
      <c r="C17" s="5" t="inlineStr">
        <is>
          <t>María Gómez</t>
        </is>
      </c>
      <c r="D17" s="24">
        <f>IFERROR(INDEX('TECNICOS'!$D$4:$D$19,MATCH($C17,'TECNICOS'!$B$4:$B$19,0)),"")</f>
        <v/>
      </c>
      <c r="E17" s="24">
        <f>IFERROR(INDEX('TECNICOS'!$C$4:$C$19,MATCH($C17,'TECNICOS'!$B$4:$B$19,0)),"")</f>
        <v/>
      </c>
      <c r="F17" s="24">
        <f>COUNTIFS('TECNICOS'!$F$4:$F$19,"sí",'TECNICOS'!$C$4:$C$19,$E17,'TECNICOS'!$D$4:$D$19,$D17,'TECNICOS'!$H$4:$H$19,"sí")</f>
        <v/>
      </c>
      <c r="G17" s="24">
        <f>IF(OR($C17="",$A17="",$B17="domingo",IFERROR(INDEX('TECNICOS'!$H$4:$H$19,MATCH($C17,'TECNICOS'!$B$4:$B$19,0)),"no")&lt;&gt;"sí"),"",IF(IFERROR(INDEX('TECNICOS'!$F$4:$F$19,MATCH($C17,'TECNICOS'!$B$4:$B$19,0)),"no")&lt;&gt;"sí","B",IF(MOD((IFERROR(INDEX('TECNICOS'!$G$4:$G$19,MATCH($C17,'TECNICOS'!$B$4:$B$19,0)),0)-1)+((DATE(VALUE(LEFT($A17,4)),1,4)-WEEKDAY(DATE(VALUE(LEFT($A17,4)),1,4),2)+1+(VALUE(MID($A17,7,2))-1)*7)-p_semana_referencia)/7,$F17)&lt;($F17-3),"B"&amp;(($F17-3)-MOD((IFERROR(INDEX('TECNICOS'!$G$4:$G$19,MATCH($C17,'TECNICOS'!$B$4:$B$19,0)),0)-1)+((DATE(VALUE(LEFT($A17,4)),1,4)-WEEKDAY(DATE(VALUE(LEFT($A17,4)),1,4),2)+1+(VALUE(MID($A17,7,2))-1)*7)-p_semana_referencia)/7,$F17)),"T"&amp;($F17-MOD((IFERROR(INDEX('TECNICOS'!$G$4:$G$19,MATCH($C17,'TECNICOS'!$B$4:$B$19,0)),0)-1)+((DATE(VALUE(LEFT($A17,4)),1,4)-WEEKDAY(DATE(VALUE(LEFT($A17,4)),1,4),2)+1+(VALUE(MID($A17,7,2))-1)*7)-p_semana_referencia)/7,$F17)))))</f>
        <v/>
      </c>
      <c r="H17" s="24">
        <f>IF(COUNTIFS('PLAN_VACACIONES'!$A$4:$A$103,$C17,'PLAN_VACACIONES'!$B$4:$B$103,"&lt;="&amp;$L17,'PLAN_VACACIONES'!$C$4:$C$103,"&gt;="&amp;$L17)&gt;0,"sí","no")</f>
        <v/>
      </c>
      <c r="I17" s="4" t="n"/>
      <c r="J17" s="24">
        <f>IF($I17&lt;&gt;"",$I17,IF($G17="","",IF($H17="sí","VAC",IF(LEFT($G17,1)="B","B",$G17))))</f>
        <v/>
      </c>
      <c r="K17" s="24">
        <f>IFERROR(INDEX('TECNICOS'!$E$4:$E$19,MATCH($C17,'TECNICOS'!$B$4:$B$19,0)),"")</f>
        <v/>
      </c>
      <c r="L17" s="30">
        <f>IF($A17="","",DATE(VALUE(LEFT($A17,4)),1,4)-WEEKDAY(DATE(VALUE(LEFT($A17,4)),1,4),2)+1+(VALUE(MID($A17,7,2))-1)*7+MATCH($B17,lista_dias,0)-1)</f>
        <v/>
      </c>
      <c r="M17" s="24">
        <f>IF(OR($J17="",ISNUMBER(MATCH($J17,lista_no_disponible,0)),(IFERROR(INDEX('CALENDARIO'!$C$15:$C$214,MATCH(TEXT($L17,"yyyy-mm-dd")&amp;"|"&amp;$D17&amp;"|"&amp;"",'CALENDARIO'!$G$15:$G$214,0)),IFERROR(INDEX('CALENDARIO'!$C$15:$C$214,MATCH(TEXT($L17,"yyyy-mm-dd")&amp;"|"&amp;$D17&amp;"|",'CALENDARIO'!$G$15:$G$214,0)),IFERROR(INDEX('CALENDARIO'!$C$15:$C$214,MATCH(TEXT($L17,"yyyy-mm-dd")&amp;"||",'CALENDARIO'!$G$15:$G$214,0)),INDEX(patronHabil,WEEKDAY($L17,2))))))&lt;&gt;"sí"),0,p_horas_jornada)</f>
        <v/>
      </c>
      <c r="N17" s="24">
        <f>$A17&amp;"|"&amp;$B17&amp;"|"&amp;$C17</f>
        <v/>
      </c>
      <c r="O17" s="24">
        <f>IFERROR(INDEX('CAT_TURNOS'!$C$4:$C$22,MATCH($J17,'CAT_TURNOS'!$A$4:$A$22,0)),"")</f>
        <v/>
      </c>
      <c r="P17" s="24">
        <f>IFERROR(INDEX('CAT_TURNOS'!$D$4:$D$22,MATCH($J17,'CAT_TURNOS'!$A$4:$A$22,0)),"")</f>
        <v/>
      </c>
      <c r="Q17" s="24">
        <f>IF(AND(LEFT($G17,1)="T",$H17="no"),"sí","no")</f>
        <v/>
      </c>
    </row>
    <row r="18">
      <c r="A18" s="5" t="inlineStr">
        <is>
          <t>2026-S30</t>
        </is>
      </c>
      <c r="B18" s="5" t="inlineStr">
        <is>
          <t>lunes</t>
        </is>
      </c>
      <c r="C18" s="5" t="inlineStr">
        <is>
          <t>Luis Rodríguez</t>
        </is>
      </c>
      <c r="D18" s="24">
        <f>IFERROR(INDEX('TECNICOS'!$D$4:$D$19,MATCH($C18,'TECNICOS'!$B$4:$B$19,0)),"")</f>
        <v/>
      </c>
      <c r="E18" s="24">
        <f>IFERROR(INDEX('TECNICOS'!$C$4:$C$19,MATCH($C18,'TECNICOS'!$B$4:$B$19,0)),"")</f>
        <v/>
      </c>
      <c r="F18" s="24">
        <f>COUNTIFS('TECNICOS'!$F$4:$F$19,"sí",'TECNICOS'!$C$4:$C$19,$E18,'TECNICOS'!$D$4:$D$19,$D18,'TECNICOS'!$H$4:$H$19,"sí")</f>
        <v/>
      </c>
      <c r="G18" s="24">
        <f>IF(OR($C18="",$A18="",$B18="domingo",IFERROR(INDEX('TECNICOS'!$H$4:$H$19,MATCH($C18,'TECNICOS'!$B$4:$B$19,0)),"no")&lt;&gt;"sí"),"",IF(IFERROR(INDEX('TECNICOS'!$F$4:$F$19,MATCH($C18,'TECNICOS'!$B$4:$B$19,0)),"no")&lt;&gt;"sí","B",IF(MOD((IFERROR(INDEX('TECNICOS'!$G$4:$G$19,MATCH($C18,'TECNICOS'!$B$4:$B$19,0)),0)-1)+((DATE(VALUE(LEFT($A18,4)),1,4)-WEEKDAY(DATE(VALUE(LEFT($A18,4)),1,4),2)+1+(VALUE(MID($A18,7,2))-1)*7)-p_semana_referencia)/7,$F18)&lt;($F18-3),"B"&amp;(($F18-3)-MOD((IFERROR(INDEX('TECNICOS'!$G$4:$G$19,MATCH($C18,'TECNICOS'!$B$4:$B$19,0)),0)-1)+((DATE(VALUE(LEFT($A18,4)),1,4)-WEEKDAY(DATE(VALUE(LEFT($A18,4)),1,4),2)+1+(VALUE(MID($A18,7,2))-1)*7)-p_semana_referencia)/7,$F18)),"T"&amp;($F18-MOD((IFERROR(INDEX('TECNICOS'!$G$4:$G$19,MATCH($C18,'TECNICOS'!$B$4:$B$19,0)),0)-1)+((DATE(VALUE(LEFT($A18,4)),1,4)-WEEKDAY(DATE(VALUE(LEFT($A18,4)),1,4),2)+1+(VALUE(MID($A18,7,2))-1)*7)-p_semana_referencia)/7,$F18)))))</f>
        <v/>
      </c>
      <c r="H18" s="24">
        <f>IF(COUNTIFS('PLAN_VACACIONES'!$A$4:$A$103,$C18,'PLAN_VACACIONES'!$B$4:$B$103,"&lt;="&amp;$L18,'PLAN_VACACIONES'!$C$4:$C$103,"&gt;="&amp;$L18)&gt;0,"sí","no")</f>
        <v/>
      </c>
      <c r="I18" s="4" t="n"/>
      <c r="J18" s="24">
        <f>IF($I18&lt;&gt;"",$I18,IF($G18="","",IF($H18="sí","VAC",IF(LEFT($G18,1)="B","B",$G18))))</f>
        <v/>
      </c>
      <c r="K18" s="24">
        <f>IFERROR(INDEX('TECNICOS'!$E$4:$E$19,MATCH($C18,'TECNICOS'!$B$4:$B$19,0)),"")</f>
        <v/>
      </c>
      <c r="L18" s="30">
        <f>IF($A18="","",DATE(VALUE(LEFT($A18,4)),1,4)-WEEKDAY(DATE(VALUE(LEFT($A18,4)),1,4),2)+1+(VALUE(MID($A18,7,2))-1)*7+MATCH($B18,lista_dias,0)-1)</f>
        <v/>
      </c>
      <c r="M18" s="24">
        <f>IF(OR($J18="",ISNUMBER(MATCH($J18,lista_no_disponible,0)),(IFERROR(INDEX('CALENDARIO'!$C$15:$C$214,MATCH(TEXT($L18,"yyyy-mm-dd")&amp;"|"&amp;$D18&amp;"|"&amp;"",'CALENDARIO'!$G$15:$G$214,0)),IFERROR(INDEX('CALENDARIO'!$C$15:$C$214,MATCH(TEXT($L18,"yyyy-mm-dd")&amp;"|"&amp;$D18&amp;"|",'CALENDARIO'!$G$15:$G$214,0)),IFERROR(INDEX('CALENDARIO'!$C$15:$C$214,MATCH(TEXT($L18,"yyyy-mm-dd")&amp;"||",'CALENDARIO'!$G$15:$G$214,0)),INDEX(patronHabil,WEEKDAY($L18,2))))))&lt;&gt;"sí"),0,p_horas_jornada)</f>
        <v/>
      </c>
      <c r="N18" s="24">
        <f>$A18&amp;"|"&amp;$B18&amp;"|"&amp;$C18</f>
        <v/>
      </c>
      <c r="O18" s="24">
        <f>IFERROR(INDEX('CAT_TURNOS'!$C$4:$C$22,MATCH($J18,'CAT_TURNOS'!$A$4:$A$22,0)),"")</f>
        <v/>
      </c>
      <c r="P18" s="24">
        <f>IFERROR(INDEX('CAT_TURNOS'!$D$4:$D$22,MATCH($J18,'CAT_TURNOS'!$A$4:$A$22,0)),"")</f>
        <v/>
      </c>
      <c r="Q18" s="24">
        <f>IF(AND(LEFT($G18,1)="T",$H18="no"),"sí","no")</f>
        <v/>
      </c>
    </row>
    <row r="19">
      <c r="A19" s="5" t="inlineStr">
        <is>
          <t>2026-S30</t>
        </is>
      </c>
      <c r="B19" s="5" t="inlineStr">
        <is>
          <t>martes</t>
        </is>
      </c>
      <c r="C19" s="5" t="inlineStr">
        <is>
          <t>Luis Rodríguez</t>
        </is>
      </c>
      <c r="D19" s="24">
        <f>IFERROR(INDEX('TECNICOS'!$D$4:$D$19,MATCH($C19,'TECNICOS'!$B$4:$B$19,0)),"")</f>
        <v/>
      </c>
      <c r="E19" s="24">
        <f>IFERROR(INDEX('TECNICOS'!$C$4:$C$19,MATCH($C19,'TECNICOS'!$B$4:$B$19,0)),"")</f>
        <v/>
      </c>
      <c r="F19" s="24">
        <f>COUNTIFS('TECNICOS'!$F$4:$F$19,"sí",'TECNICOS'!$C$4:$C$19,$E19,'TECNICOS'!$D$4:$D$19,$D19,'TECNICOS'!$H$4:$H$19,"sí")</f>
        <v/>
      </c>
      <c r="G19" s="24">
        <f>IF(OR($C19="",$A19="",$B19="domingo",IFERROR(INDEX('TECNICOS'!$H$4:$H$19,MATCH($C19,'TECNICOS'!$B$4:$B$19,0)),"no")&lt;&gt;"sí"),"",IF(IFERROR(INDEX('TECNICOS'!$F$4:$F$19,MATCH($C19,'TECNICOS'!$B$4:$B$19,0)),"no")&lt;&gt;"sí","B",IF(MOD((IFERROR(INDEX('TECNICOS'!$G$4:$G$19,MATCH($C19,'TECNICOS'!$B$4:$B$19,0)),0)-1)+((DATE(VALUE(LEFT($A19,4)),1,4)-WEEKDAY(DATE(VALUE(LEFT($A19,4)),1,4),2)+1+(VALUE(MID($A19,7,2))-1)*7)-p_semana_referencia)/7,$F19)&lt;($F19-3),"B"&amp;(($F19-3)-MOD((IFERROR(INDEX('TECNICOS'!$G$4:$G$19,MATCH($C19,'TECNICOS'!$B$4:$B$19,0)),0)-1)+((DATE(VALUE(LEFT($A19,4)),1,4)-WEEKDAY(DATE(VALUE(LEFT($A19,4)),1,4),2)+1+(VALUE(MID($A19,7,2))-1)*7)-p_semana_referencia)/7,$F19)),"T"&amp;($F19-MOD((IFERROR(INDEX('TECNICOS'!$G$4:$G$19,MATCH($C19,'TECNICOS'!$B$4:$B$19,0)),0)-1)+((DATE(VALUE(LEFT($A19,4)),1,4)-WEEKDAY(DATE(VALUE(LEFT($A19,4)),1,4),2)+1+(VALUE(MID($A19,7,2))-1)*7)-p_semana_referencia)/7,$F19)))))</f>
        <v/>
      </c>
      <c r="H19" s="24">
        <f>IF(COUNTIFS('PLAN_VACACIONES'!$A$4:$A$103,$C19,'PLAN_VACACIONES'!$B$4:$B$103,"&lt;="&amp;$L19,'PLAN_VACACIONES'!$C$4:$C$103,"&gt;="&amp;$L19)&gt;0,"sí","no")</f>
        <v/>
      </c>
      <c r="I19" s="4" t="n"/>
      <c r="J19" s="24">
        <f>IF($I19&lt;&gt;"",$I19,IF($G19="","",IF($H19="sí","VAC",IF(LEFT($G19,1)="B","B",$G19))))</f>
        <v/>
      </c>
      <c r="K19" s="24">
        <f>IFERROR(INDEX('TECNICOS'!$E$4:$E$19,MATCH($C19,'TECNICOS'!$B$4:$B$19,0)),"")</f>
        <v/>
      </c>
      <c r="L19" s="30">
        <f>IF($A19="","",DATE(VALUE(LEFT($A19,4)),1,4)-WEEKDAY(DATE(VALUE(LEFT($A19,4)),1,4),2)+1+(VALUE(MID($A19,7,2))-1)*7+MATCH($B19,lista_dias,0)-1)</f>
        <v/>
      </c>
      <c r="M19" s="24">
        <f>IF(OR($J19="",ISNUMBER(MATCH($J19,lista_no_disponible,0)),(IFERROR(INDEX('CALENDARIO'!$C$15:$C$214,MATCH(TEXT($L19,"yyyy-mm-dd")&amp;"|"&amp;$D19&amp;"|"&amp;"",'CALENDARIO'!$G$15:$G$214,0)),IFERROR(INDEX('CALENDARIO'!$C$15:$C$214,MATCH(TEXT($L19,"yyyy-mm-dd")&amp;"|"&amp;$D19&amp;"|",'CALENDARIO'!$G$15:$G$214,0)),IFERROR(INDEX('CALENDARIO'!$C$15:$C$214,MATCH(TEXT($L19,"yyyy-mm-dd")&amp;"||",'CALENDARIO'!$G$15:$G$214,0)),INDEX(patronHabil,WEEKDAY($L19,2))))))&lt;&gt;"sí"),0,p_horas_jornada)</f>
        <v/>
      </c>
      <c r="N19" s="24">
        <f>$A19&amp;"|"&amp;$B19&amp;"|"&amp;$C19</f>
        <v/>
      </c>
      <c r="O19" s="24">
        <f>IFERROR(INDEX('CAT_TURNOS'!$C$4:$C$22,MATCH($J19,'CAT_TURNOS'!$A$4:$A$22,0)),"")</f>
        <v/>
      </c>
      <c r="P19" s="24">
        <f>IFERROR(INDEX('CAT_TURNOS'!$D$4:$D$22,MATCH($J19,'CAT_TURNOS'!$A$4:$A$22,0)),"")</f>
        <v/>
      </c>
      <c r="Q19" s="24">
        <f>IF(AND(LEFT($G19,1)="T",$H19="no"),"sí","no")</f>
        <v/>
      </c>
    </row>
    <row r="20">
      <c r="A20" s="5" t="inlineStr">
        <is>
          <t>2026-S30</t>
        </is>
      </c>
      <c r="B20" s="5" t="inlineStr">
        <is>
          <t>miércoles</t>
        </is>
      </c>
      <c r="C20" s="5" t="inlineStr">
        <is>
          <t>Luis Rodríguez</t>
        </is>
      </c>
      <c r="D20" s="24">
        <f>IFERROR(INDEX('TECNICOS'!$D$4:$D$19,MATCH($C20,'TECNICOS'!$B$4:$B$19,0)),"")</f>
        <v/>
      </c>
      <c r="E20" s="24">
        <f>IFERROR(INDEX('TECNICOS'!$C$4:$C$19,MATCH($C20,'TECNICOS'!$B$4:$B$19,0)),"")</f>
        <v/>
      </c>
      <c r="F20" s="24">
        <f>COUNTIFS('TECNICOS'!$F$4:$F$19,"sí",'TECNICOS'!$C$4:$C$19,$E20,'TECNICOS'!$D$4:$D$19,$D20,'TECNICOS'!$H$4:$H$19,"sí")</f>
        <v/>
      </c>
      <c r="G20" s="24">
        <f>IF(OR($C20="",$A20="",$B20="domingo",IFERROR(INDEX('TECNICOS'!$H$4:$H$19,MATCH($C20,'TECNICOS'!$B$4:$B$19,0)),"no")&lt;&gt;"sí"),"",IF(IFERROR(INDEX('TECNICOS'!$F$4:$F$19,MATCH($C20,'TECNICOS'!$B$4:$B$19,0)),"no")&lt;&gt;"sí","B",IF(MOD((IFERROR(INDEX('TECNICOS'!$G$4:$G$19,MATCH($C20,'TECNICOS'!$B$4:$B$19,0)),0)-1)+((DATE(VALUE(LEFT($A20,4)),1,4)-WEEKDAY(DATE(VALUE(LEFT($A20,4)),1,4),2)+1+(VALUE(MID($A20,7,2))-1)*7)-p_semana_referencia)/7,$F20)&lt;($F20-3),"B"&amp;(($F20-3)-MOD((IFERROR(INDEX('TECNICOS'!$G$4:$G$19,MATCH($C20,'TECNICOS'!$B$4:$B$19,0)),0)-1)+((DATE(VALUE(LEFT($A20,4)),1,4)-WEEKDAY(DATE(VALUE(LEFT($A20,4)),1,4),2)+1+(VALUE(MID($A20,7,2))-1)*7)-p_semana_referencia)/7,$F20)),"T"&amp;($F20-MOD((IFERROR(INDEX('TECNICOS'!$G$4:$G$19,MATCH($C20,'TECNICOS'!$B$4:$B$19,0)),0)-1)+((DATE(VALUE(LEFT($A20,4)),1,4)-WEEKDAY(DATE(VALUE(LEFT($A20,4)),1,4),2)+1+(VALUE(MID($A20,7,2))-1)*7)-p_semana_referencia)/7,$F20)))))</f>
        <v/>
      </c>
      <c r="H20" s="24">
        <f>IF(COUNTIFS('PLAN_VACACIONES'!$A$4:$A$103,$C20,'PLAN_VACACIONES'!$B$4:$B$103,"&lt;="&amp;$L20,'PLAN_VACACIONES'!$C$4:$C$103,"&gt;="&amp;$L20)&gt;0,"sí","no")</f>
        <v/>
      </c>
      <c r="I20" s="4" t="n"/>
      <c r="J20" s="24">
        <f>IF($I20&lt;&gt;"",$I20,IF($G20="","",IF($H20="sí","VAC",IF(LEFT($G20,1)="B","B",$G20))))</f>
        <v/>
      </c>
      <c r="K20" s="24">
        <f>IFERROR(INDEX('TECNICOS'!$E$4:$E$19,MATCH($C20,'TECNICOS'!$B$4:$B$19,0)),"")</f>
        <v/>
      </c>
      <c r="L20" s="30">
        <f>IF($A20="","",DATE(VALUE(LEFT($A20,4)),1,4)-WEEKDAY(DATE(VALUE(LEFT($A20,4)),1,4),2)+1+(VALUE(MID($A20,7,2))-1)*7+MATCH($B20,lista_dias,0)-1)</f>
        <v/>
      </c>
      <c r="M20" s="24">
        <f>IF(OR($J20="",ISNUMBER(MATCH($J20,lista_no_disponible,0)),(IFERROR(INDEX('CALENDARIO'!$C$15:$C$214,MATCH(TEXT($L20,"yyyy-mm-dd")&amp;"|"&amp;$D20&amp;"|"&amp;"",'CALENDARIO'!$G$15:$G$214,0)),IFERROR(INDEX('CALENDARIO'!$C$15:$C$214,MATCH(TEXT($L20,"yyyy-mm-dd")&amp;"|"&amp;$D20&amp;"|",'CALENDARIO'!$G$15:$G$214,0)),IFERROR(INDEX('CALENDARIO'!$C$15:$C$214,MATCH(TEXT($L20,"yyyy-mm-dd")&amp;"||",'CALENDARIO'!$G$15:$G$214,0)),INDEX(patronHabil,WEEKDAY($L20,2))))))&lt;&gt;"sí"),0,p_horas_jornada)</f>
        <v/>
      </c>
      <c r="N20" s="24">
        <f>$A20&amp;"|"&amp;$B20&amp;"|"&amp;$C20</f>
        <v/>
      </c>
      <c r="O20" s="24">
        <f>IFERROR(INDEX('CAT_TURNOS'!$C$4:$C$22,MATCH($J20,'CAT_TURNOS'!$A$4:$A$22,0)),"")</f>
        <v/>
      </c>
      <c r="P20" s="24">
        <f>IFERROR(INDEX('CAT_TURNOS'!$D$4:$D$22,MATCH($J20,'CAT_TURNOS'!$A$4:$A$22,0)),"")</f>
        <v/>
      </c>
      <c r="Q20" s="24">
        <f>IF(AND(LEFT($G20,1)="T",$H20="no"),"sí","no")</f>
        <v/>
      </c>
    </row>
    <row r="21">
      <c r="A21" s="5" t="inlineStr">
        <is>
          <t>2026-S30</t>
        </is>
      </c>
      <c r="B21" s="5" t="inlineStr">
        <is>
          <t>jueves</t>
        </is>
      </c>
      <c r="C21" s="5" t="inlineStr">
        <is>
          <t>Luis Rodríguez</t>
        </is>
      </c>
      <c r="D21" s="24">
        <f>IFERROR(INDEX('TECNICOS'!$D$4:$D$19,MATCH($C21,'TECNICOS'!$B$4:$B$19,0)),"")</f>
        <v/>
      </c>
      <c r="E21" s="24">
        <f>IFERROR(INDEX('TECNICOS'!$C$4:$C$19,MATCH($C21,'TECNICOS'!$B$4:$B$19,0)),"")</f>
        <v/>
      </c>
      <c r="F21" s="24">
        <f>COUNTIFS('TECNICOS'!$F$4:$F$19,"sí",'TECNICOS'!$C$4:$C$19,$E21,'TECNICOS'!$D$4:$D$19,$D21,'TECNICOS'!$H$4:$H$19,"sí")</f>
        <v/>
      </c>
      <c r="G21" s="24">
        <f>IF(OR($C21="",$A21="",$B21="domingo",IFERROR(INDEX('TECNICOS'!$H$4:$H$19,MATCH($C21,'TECNICOS'!$B$4:$B$19,0)),"no")&lt;&gt;"sí"),"",IF(IFERROR(INDEX('TECNICOS'!$F$4:$F$19,MATCH($C21,'TECNICOS'!$B$4:$B$19,0)),"no")&lt;&gt;"sí","B",IF(MOD((IFERROR(INDEX('TECNICOS'!$G$4:$G$19,MATCH($C21,'TECNICOS'!$B$4:$B$19,0)),0)-1)+((DATE(VALUE(LEFT($A21,4)),1,4)-WEEKDAY(DATE(VALUE(LEFT($A21,4)),1,4),2)+1+(VALUE(MID($A21,7,2))-1)*7)-p_semana_referencia)/7,$F21)&lt;($F21-3),"B"&amp;(($F21-3)-MOD((IFERROR(INDEX('TECNICOS'!$G$4:$G$19,MATCH($C21,'TECNICOS'!$B$4:$B$19,0)),0)-1)+((DATE(VALUE(LEFT($A21,4)),1,4)-WEEKDAY(DATE(VALUE(LEFT($A21,4)),1,4),2)+1+(VALUE(MID($A21,7,2))-1)*7)-p_semana_referencia)/7,$F21)),"T"&amp;($F21-MOD((IFERROR(INDEX('TECNICOS'!$G$4:$G$19,MATCH($C21,'TECNICOS'!$B$4:$B$19,0)),0)-1)+((DATE(VALUE(LEFT($A21,4)),1,4)-WEEKDAY(DATE(VALUE(LEFT($A21,4)),1,4),2)+1+(VALUE(MID($A21,7,2))-1)*7)-p_semana_referencia)/7,$F21)))))</f>
        <v/>
      </c>
      <c r="H21" s="24">
        <f>IF(COUNTIFS('PLAN_VACACIONES'!$A$4:$A$103,$C21,'PLAN_VACACIONES'!$B$4:$B$103,"&lt;="&amp;$L21,'PLAN_VACACIONES'!$C$4:$C$103,"&gt;="&amp;$L21)&gt;0,"sí","no")</f>
        <v/>
      </c>
      <c r="I21" s="4" t="n"/>
      <c r="J21" s="24">
        <f>IF($I21&lt;&gt;"",$I21,IF($G21="","",IF($H21="sí","VAC",IF(LEFT($G21,1)="B","B",$G21))))</f>
        <v/>
      </c>
      <c r="K21" s="24">
        <f>IFERROR(INDEX('TECNICOS'!$E$4:$E$19,MATCH($C21,'TECNICOS'!$B$4:$B$19,0)),"")</f>
        <v/>
      </c>
      <c r="L21" s="30">
        <f>IF($A21="","",DATE(VALUE(LEFT($A21,4)),1,4)-WEEKDAY(DATE(VALUE(LEFT($A21,4)),1,4),2)+1+(VALUE(MID($A21,7,2))-1)*7+MATCH($B21,lista_dias,0)-1)</f>
        <v/>
      </c>
      <c r="M21" s="24">
        <f>IF(OR($J21="",ISNUMBER(MATCH($J21,lista_no_disponible,0)),(IFERROR(INDEX('CALENDARIO'!$C$15:$C$214,MATCH(TEXT($L21,"yyyy-mm-dd")&amp;"|"&amp;$D21&amp;"|"&amp;"",'CALENDARIO'!$G$15:$G$214,0)),IFERROR(INDEX('CALENDARIO'!$C$15:$C$214,MATCH(TEXT($L21,"yyyy-mm-dd")&amp;"|"&amp;$D21&amp;"|",'CALENDARIO'!$G$15:$G$214,0)),IFERROR(INDEX('CALENDARIO'!$C$15:$C$214,MATCH(TEXT($L21,"yyyy-mm-dd")&amp;"||",'CALENDARIO'!$G$15:$G$214,0)),INDEX(patronHabil,WEEKDAY($L21,2))))))&lt;&gt;"sí"),0,p_horas_jornada)</f>
        <v/>
      </c>
      <c r="N21" s="24">
        <f>$A21&amp;"|"&amp;$B21&amp;"|"&amp;$C21</f>
        <v/>
      </c>
      <c r="O21" s="24">
        <f>IFERROR(INDEX('CAT_TURNOS'!$C$4:$C$22,MATCH($J21,'CAT_TURNOS'!$A$4:$A$22,0)),"")</f>
        <v/>
      </c>
      <c r="P21" s="24">
        <f>IFERROR(INDEX('CAT_TURNOS'!$D$4:$D$22,MATCH($J21,'CAT_TURNOS'!$A$4:$A$22,0)),"")</f>
        <v/>
      </c>
      <c r="Q21" s="24">
        <f>IF(AND(LEFT($G21,1)="T",$H21="no"),"sí","no")</f>
        <v/>
      </c>
    </row>
    <row r="22">
      <c r="A22" s="5" t="inlineStr">
        <is>
          <t>2026-S30</t>
        </is>
      </c>
      <c r="B22" s="5" t="inlineStr">
        <is>
          <t>viernes</t>
        </is>
      </c>
      <c r="C22" s="5" t="inlineStr">
        <is>
          <t>Luis Rodríguez</t>
        </is>
      </c>
      <c r="D22" s="24">
        <f>IFERROR(INDEX('TECNICOS'!$D$4:$D$19,MATCH($C22,'TECNICOS'!$B$4:$B$19,0)),"")</f>
        <v/>
      </c>
      <c r="E22" s="24">
        <f>IFERROR(INDEX('TECNICOS'!$C$4:$C$19,MATCH($C22,'TECNICOS'!$B$4:$B$19,0)),"")</f>
        <v/>
      </c>
      <c r="F22" s="24">
        <f>COUNTIFS('TECNICOS'!$F$4:$F$19,"sí",'TECNICOS'!$C$4:$C$19,$E22,'TECNICOS'!$D$4:$D$19,$D22,'TECNICOS'!$H$4:$H$19,"sí")</f>
        <v/>
      </c>
      <c r="G22" s="24">
        <f>IF(OR($C22="",$A22="",$B22="domingo",IFERROR(INDEX('TECNICOS'!$H$4:$H$19,MATCH($C22,'TECNICOS'!$B$4:$B$19,0)),"no")&lt;&gt;"sí"),"",IF(IFERROR(INDEX('TECNICOS'!$F$4:$F$19,MATCH($C22,'TECNICOS'!$B$4:$B$19,0)),"no")&lt;&gt;"sí","B",IF(MOD((IFERROR(INDEX('TECNICOS'!$G$4:$G$19,MATCH($C22,'TECNICOS'!$B$4:$B$19,0)),0)-1)+((DATE(VALUE(LEFT($A22,4)),1,4)-WEEKDAY(DATE(VALUE(LEFT($A22,4)),1,4),2)+1+(VALUE(MID($A22,7,2))-1)*7)-p_semana_referencia)/7,$F22)&lt;($F22-3),"B"&amp;(($F22-3)-MOD((IFERROR(INDEX('TECNICOS'!$G$4:$G$19,MATCH($C22,'TECNICOS'!$B$4:$B$19,0)),0)-1)+((DATE(VALUE(LEFT($A22,4)),1,4)-WEEKDAY(DATE(VALUE(LEFT($A22,4)),1,4),2)+1+(VALUE(MID($A22,7,2))-1)*7)-p_semana_referencia)/7,$F22)),"T"&amp;($F22-MOD((IFERROR(INDEX('TECNICOS'!$G$4:$G$19,MATCH($C22,'TECNICOS'!$B$4:$B$19,0)),0)-1)+((DATE(VALUE(LEFT($A22,4)),1,4)-WEEKDAY(DATE(VALUE(LEFT($A22,4)),1,4),2)+1+(VALUE(MID($A22,7,2))-1)*7)-p_semana_referencia)/7,$F22)))))</f>
        <v/>
      </c>
      <c r="H22" s="24">
        <f>IF(COUNTIFS('PLAN_VACACIONES'!$A$4:$A$103,$C22,'PLAN_VACACIONES'!$B$4:$B$103,"&lt;="&amp;$L22,'PLAN_VACACIONES'!$C$4:$C$103,"&gt;="&amp;$L22)&gt;0,"sí","no")</f>
        <v/>
      </c>
      <c r="I22" s="4" t="n"/>
      <c r="J22" s="24">
        <f>IF($I22&lt;&gt;"",$I22,IF($G22="","",IF($H22="sí","VAC",IF(LEFT($G22,1)="B","B",$G22))))</f>
        <v/>
      </c>
      <c r="K22" s="24">
        <f>IFERROR(INDEX('TECNICOS'!$E$4:$E$19,MATCH($C22,'TECNICOS'!$B$4:$B$19,0)),"")</f>
        <v/>
      </c>
      <c r="L22" s="30">
        <f>IF($A22="","",DATE(VALUE(LEFT($A22,4)),1,4)-WEEKDAY(DATE(VALUE(LEFT($A22,4)),1,4),2)+1+(VALUE(MID($A22,7,2))-1)*7+MATCH($B22,lista_dias,0)-1)</f>
        <v/>
      </c>
      <c r="M22" s="24">
        <f>IF(OR($J22="",ISNUMBER(MATCH($J22,lista_no_disponible,0)),(IFERROR(INDEX('CALENDARIO'!$C$15:$C$214,MATCH(TEXT($L22,"yyyy-mm-dd")&amp;"|"&amp;$D22&amp;"|"&amp;"",'CALENDARIO'!$G$15:$G$214,0)),IFERROR(INDEX('CALENDARIO'!$C$15:$C$214,MATCH(TEXT($L22,"yyyy-mm-dd")&amp;"|"&amp;$D22&amp;"|",'CALENDARIO'!$G$15:$G$214,0)),IFERROR(INDEX('CALENDARIO'!$C$15:$C$214,MATCH(TEXT($L22,"yyyy-mm-dd")&amp;"||",'CALENDARIO'!$G$15:$G$214,0)),INDEX(patronHabil,WEEKDAY($L22,2))))))&lt;&gt;"sí"),0,p_horas_jornada)</f>
        <v/>
      </c>
      <c r="N22" s="24">
        <f>$A22&amp;"|"&amp;$B22&amp;"|"&amp;$C22</f>
        <v/>
      </c>
      <c r="O22" s="24">
        <f>IFERROR(INDEX('CAT_TURNOS'!$C$4:$C$22,MATCH($J22,'CAT_TURNOS'!$A$4:$A$22,0)),"")</f>
        <v/>
      </c>
      <c r="P22" s="24">
        <f>IFERROR(INDEX('CAT_TURNOS'!$D$4:$D$22,MATCH($J22,'CAT_TURNOS'!$A$4:$A$22,0)),"")</f>
        <v/>
      </c>
      <c r="Q22" s="24">
        <f>IF(AND(LEFT($G22,1)="T",$H22="no"),"sí","no")</f>
        <v/>
      </c>
    </row>
    <row r="23">
      <c r="A23" s="5" t="inlineStr">
        <is>
          <t>2026-S30</t>
        </is>
      </c>
      <c r="B23" s="5" t="inlineStr">
        <is>
          <t>sábado</t>
        </is>
      </c>
      <c r="C23" s="5" t="inlineStr">
        <is>
          <t>Luis Rodríguez</t>
        </is>
      </c>
      <c r="D23" s="24">
        <f>IFERROR(INDEX('TECNICOS'!$D$4:$D$19,MATCH($C23,'TECNICOS'!$B$4:$B$19,0)),"")</f>
        <v/>
      </c>
      <c r="E23" s="24">
        <f>IFERROR(INDEX('TECNICOS'!$C$4:$C$19,MATCH($C23,'TECNICOS'!$B$4:$B$19,0)),"")</f>
        <v/>
      </c>
      <c r="F23" s="24">
        <f>COUNTIFS('TECNICOS'!$F$4:$F$19,"sí",'TECNICOS'!$C$4:$C$19,$E23,'TECNICOS'!$D$4:$D$19,$D23,'TECNICOS'!$H$4:$H$19,"sí")</f>
        <v/>
      </c>
      <c r="G23" s="24">
        <f>IF(OR($C23="",$A23="",$B23="domingo",IFERROR(INDEX('TECNICOS'!$H$4:$H$19,MATCH($C23,'TECNICOS'!$B$4:$B$19,0)),"no")&lt;&gt;"sí"),"",IF(IFERROR(INDEX('TECNICOS'!$F$4:$F$19,MATCH($C23,'TECNICOS'!$B$4:$B$19,0)),"no")&lt;&gt;"sí","B",IF(MOD((IFERROR(INDEX('TECNICOS'!$G$4:$G$19,MATCH($C23,'TECNICOS'!$B$4:$B$19,0)),0)-1)+((DATE(VALUE(LEFT($A23,4)),1,4)-WEEKDAY(DATE(VALUE(LEFT($A23,4)),1,4),2)+1+(VALUE(MID($A23,7,2))-1)*7)-p_semana_referencia)/7,$F23)&lt;($F23-3),"B"&amp;(($F23-3)-MOD((IFERROR(INDEX('TECNICOS'!$G$4:$G$19,MATCH($C23,'TECNICOS'!$B$4:$B$19,0)),0)-1)+((DATE(VALUE(LEFT($A23,4)),1,4)-WEEKDAY(DATE(VALUE(LEFT($A23,4)),1,4),2)+1+(VALUE(MID($A23,7,2))-1)*7)-p_semana_referencia)/7,$F23)),"T"&amp;($F23-MOD((IFERROR(INDEX('TECNICOS'!$G$4:$G$19,MATCH($C23,'TECNICOS'!$B$4:$B$19,0)),0)-1)+((DATE(VALUE(LEFT($A23,4)),1,4)-WEEKDAY(DATE(VALUE(LEFT($A23,4)),1,4),2)+1+(VALUE(MID($A23,7,2))-1)*7)-p_semana_referencia)/7,$F23)))))</f>
        <v/>
      </c>
      <c r="H23" s="24">
        <f>IF(COUNTIFS('PLAN_VACACIONES'!$A$4:$A$103,$C23,'PLAN_VACACIONES'!$B$4:$B$103,"&lt;="&amp;$L23,'PLAN_VACACIONES'!$C$4:$C$103,"&gt;="&amp;$L23)&gt;0,"sí","no")</f>
        <v/>
      </c>
      <c r="I23" s="4" t="n"/>
      <c r="J23" s="24">
        <f>IF($I23&lt;&gt;"",$I23,IF($G23="","",IF($H23="sí","VAC",IF(LEFT($G23,1)="B","B",$G23))))</f>
        <v/>
      </c>
      <c r="K23" s="24">
        <f>IFERROR(INDEX('TECNICOS'!$E$4:$E$19,MATCH($C23,'TECNICOS'!$B$4:$B$19,0)),"")</f>
        <v/>
      </c>
      <c r="L23" s="30">
        <f>IF($A23="","",DATE(VALUE(LEFT($A23,4)),1,4)-WEEKDAY(DATE(VALUE(LEFT($A23,4)),1,4),2)+1+(VALUE(MID($A23,7,2))-1)*7+MATCH($B23,lista_dias,0)-1)</f>
        <v/>
      </c>
      <c r="M23" s="24">
        <f>IF(OR($J23="",ISNUMBER(MATCH($J23,lista_no_disponible,0)),(IFERROR(INDEX('CALENDARIO'!$C$15:$C$214,MATCH(TEXT($L23,"yyyy-mm-dd")&amp;"|"&amp;$D23&amp;"|"&amp;"",'CALENDARIO'!$G$15:$G$214,0)),IFERROR(INDEX('CALENDARIO'!$C$15:$C$214,MATCH(TEXT($L23,"yyyy-mm-dd")&amp;"|"&amp;$D23&amp;"|",'CALENDARIO'!$G$15:$G$214,0)),IFERROR(INDEX('CALENDARIO'!$C$15:$C$214,MATCH(TEXT($L23,"yyyy-mm-dd")&amp;"||",'CALENDARIO'!$G$15:$G$214,0)),INDEX(patronHabil,WEEKDAY($L23,2))))))&lt;&gt;"sí"),0,p_horas_jornada)</f>
        <v/>
      </c>
      <c r="N23" s="24">
        <f>$A23&amp;"|"&amp;$B23&amp;"|"&amp;$C23</f>
        <v/>
      </c>
      <c r="O23" s="24">
        <f>IFERROR(INDEX('CAT_TURNOS'!$C$4:$C$22,MATCH($J23,'CAT_TURNOS'!$A$4:$A$22,0)),"")</f>
        <v/>
      </c>
      <c r="P23" s="24">
        <f>IFERROR(INDEX('CAT_TURNOS'!$D$4:$D$22,MATCH($J23,'CAT_TURNOS'!$A$4:$A$22,0)),"")</f>
        <v/>
      </c>
      <c r="Q23" s="24">
        <f>IF(AND(LEFT($G23,1)="T",$H23="no"),"sí","no")</f>
        <v/>
      </c>
    </row>
    <row r="24">
      <c r="A24" s="5" t="inlineStr">
        <is>
          <t>2026-S30</t>
        </is>
      </c>
      <c r="B24" s="5" t="inlineStr">
        <is>
          <t>domingo</t>
        </is>
      </c>
      <c r="C24" s="5" t="inlineStr">
        <is>
          <t>Luis Rodríguez</t>
        </is>
      </c>
      <c r="D24" s="24">
        <f>IFERROR(INDEX('TECNICOS'!$D$4:$D$19,MATCH($C24,'TECNICOS'!$B$4:$B$19,0)),"")</f>
        <v/>
      </c>
      <c r="E24" s="24">
        <f>IFERROR(INDEX('TECNICOS'!$C$4:$C$19,MATCH($C24,'TECNICOS'!$B$4:$B$19,0)),"")</f>
        <v/>
      </c>
      <c r="F24" s="24">
        <f>COUNTIFS('TECNICOS'!$F$4:$F$19,"sí",'TECNICOS'!$C$4:$C$19,$E24,'TECNICOS'!$D$4:$D$19,$D24,'TECNICOS'!$H$4:$H$19,"sí")</f>
        <v/>
      </c>
      <c r="G24" s="24">
        <f>IF(OR($C24="",$A24="",$B24="domingo",IFERROR(INDEX('TECNICOS'!$H$4:$H$19,MATCH($C24,'TECNICOS'!$B$4:$B$19,0)),"no")&lt;&gt;"sí"),"",IF(IFERROR(INDEX('TECNICOS'!$F$4:$F$19,MATCH($C24,'TECNICOS'!$B$4:$B$19,0)),"no")&lt;&gt;"sí","B",IF(MOD((IFERROR(INDEX('TECNICOS'!$G$4:$G$19,MATCH($C24,'TECNICOS'!$B$4:$B$19,0)),0)-1)+((DATE(VALUE(LEFT($A24,4)),1,4)-WEEKDAY(DATE(VALUE(LEFT($A24,4)),1,4),2)+1+(VALUE(MID($A24,7,2))-1)*7)-p_semana_referencia)/7,$F24)&lt;($F24-3),"B"&amp;(($F24-3)-MOD((IFERROR(INDEX('TECNICOS'!$G$4:$G$19,MATCH($C24,'TECNICOS'!$B$4:$B$19,0)),0)-1)+((DATE(VALUE(LEFT($A24,4)),1,4)-WEEKDAY(DATE(VALUE(LEFT($A24,4)),1,4),2)+1+(VALUE(MID($A24,7,2))-1)*7)-p_semana_referencia)/7,$F24)),"T"&amp;($F24-MOD((IFERROR(INDEX('TECNICOS'!$G$4:$G$19,MATCH($C24,'TECNICOS'!$B$4:$B$19,0)),0)-1)+((DATE(VALUE(LEFT($A24,4)),1,4)-WEEKDAY(DATE(VALUE(LEFT($A24,4)),1,4),2)+1+(VALUE(MID($A24,7,2))-1)*7)-p_semana_referencia)/7,$F24)))))</f>
        <v/>
      </c>
      <c r="H24" s="24">
        <f>IF(COUNTIFS('PLAN_VACACIONES'!$A$4:$A$103,$C24,'PLAN_VACACIONES'!$B$4:$B$103,"&lt;="&amp;$L24,'PLAN_VACACIONES'!$C$4:$C$103,"&gt;="&amp;$L24)&gt;0,"sí","no")</f>
        <v/>
      </c>
      <c r="I24" s="4" t="n"/>
      <c r="J24" s="24">
        <f>IF($I24&lt;&gt;"",$I24,IF($G24="","",IF($H24="sí","VAC",IF(LEFT($G24,1)="B","B",$G24))))</f>
        <v/>
      </c>
      <c r="K24" s="24">
        <f>IFERROR(INDEX('TECNICOS'!$E$4:$E$19,MATCH($C24,'TECNICOS'!$B$4:$B$19,0)),"")</f>
        <v/>
      </c>
      <c r="L24" s="30">
        <f>IF($A24="","",DATE(VALUE(LEFT($A24,4)),1,4)-WEEKDAY(DATE(VALUE(LEFT($A24,4)),1,4),2)+1+(VALUE(MID($A24,7,2))-1)*7+MATCH($B24,lista_dias,0)-1)</f>
        <v/>
      </c>
      <c r="M24" s="24">
        <f>IF(OR($J24="",ISNUMBER(MATCH($J24,lista_no_disponible,0)),(IFERROR(INDEX('CALENDARIO'!$C$15:$C$214,MATCH(TEXT($L24,"yyyy-mm-dd")&amp;"|"&amp;$D24&amp;"|"&amp;"",'CALENDARIO'!$G$15:$G$214,0)),IFERROR(INDEX('CALENDARIO'!$C$15:$C$214,MATCH(TEXT($L24,"yyyy-mm-dd")&amp;"|"&amp;$D24&amp;"|",'CALENDARIO'!$G$15:$G$214,0)),IFERROR(INDEX('CALENDARIO'!$C$15:$C$214,MATCH(TEXT($L24,"yyyy-mm-dd")&amp;"||",'CALENDARIO'!$G$15:$G$214,0)),INDEX(patronHabil,WEEKDAY($L24,2))))))&lt;&gt;"sí"),0,p_horas_jornada)</f>
        <v/>
      </c>
      <c r="N24" s="24">
        <f>$A24&amp;"|"&amp;$B24&amp;"|"&amp;$C24</f>
        <v/>
      </c>
      <c r="O24" s="24">
        <f>IFERROR(INDEX('CAT_TURNOS'!$C$4:$C$22,MATCH($J24,'CAT_TURNOS'!$A$4:$A$22,0)),"")</f>
        <v/>
      </c>
      <c r="P24" s="24">
        <f>IFERROR(INDEX('CAT_TURNOS'!$D$4:$D$22,MATCH($J24,'CAT_TURNOS'!$A$4:$A$22,0)),"")</f>
        <v/>
      </c>
      <c r="Q24" s="24">
        <f>IF(AND(LEFT($G24,1)="T",$H24="no"),"sí","no")</f>
        <v/>
      </c>
    </row>
    <row r="25">
      <c r="A25" s="5" t="inlineStr">
        <is>
          <t>2026-S30</t>
        </is>
      </c>
      <c r="B25" s="5" t="inlineStr">
        <is>
          <t>lunes</t>
        </is>
      </c>
      <c r="C25" s="5" t="inlineStr">
        <is>
          <t>Miguel Martínez</t>
        </is>
      </c>
      <c r="D25" s="24">
        <f>IFERROR(INDEX('TECNICOS'!$D$4:$D$19,MATCH($C25,'TECNICOS'!$B$4:$B$19,0)),"")</f>
        <v/>
      </c>
      <c r="E25" s="24">
        <f>IFERROR(INDEX('TECNICOS'!$C$4:$C$19,MATCH($C25,'TECNICOS'!$B$4:$B$19,0)),"")</f>
        <v/>
      </c>
      <c r="F25" s="24">
        <f>COUNTIFS('TECNICOS'!$F$4:$F$19,"sí",'TECNICOS'!$C$4:$C$19,$E25,'TECNICOS'!$D$4:$D$19,$D25,'TECNICOS'!$H$4:$H$19,"sí")</f>
        <v/>
      </c>
      <c r="G25" s="24">
        <f>IF(OR($C25="",$A25="",$B25="domingo",IFERROR(INDEX('TECNICOS'!$H$4:$H$19,MATCH($C25,'TECNICOS'!$B$4:$B$19,0)),"no")&lt;&gt;"sí"),"",IF(IFERROR(INDEX('TECNICOS'!$F$4:$F$19,MATCH($C25,'TECNICOS'!$B$4:$B$19,0)),"no")&lt;&gt;"sí","B",IF(MOD((IFERROR(INDEX('TECNICOS'!$G$4:$G$19,MATCH($C25,'TECNICOS'!$B$4:$B$19,0)),0)-1)+((DATE(VALUE(LEFT($A25,4)),1,4)-WEEKDAY(DATE(VALUE(LEFT($A25,4)),1,4),2)+1+(VALUE(MID($A25,7,2))-1)*7)-p_semana_referencia)/7,$F25)&lt;($F25-3),"B"&amp;(($F25-3)-MOD((IFERROR(INDEX('TECNICOS'!$G$4:$G$19,MATCH($C25,'TECNICOS'!$B$4:$B$19,0)),0)-1)+((DATE(VALUE(LEFT($A25,4)),1,4)-WEEKDAY(DATE(VALUE(LEFT($A25,4)),1,4),2)+1+(VALUE(MID($A25,7,2))-1)*7)-p_semana_referencia)/7,$F25)),"T"&amp;($F25-MOD((IFERROR(INDEX('TECNICOS'!$G$4:$G$19,MATCH($C25,'TECNICOS'!$B$4:$B$19,0)),0)-1)+((DATE(VALUE(LEFT($A25,4)),1,4)-WEEKDAY(DATE(VALUE(LEFT($A25,4)),1,4),2)+1+(VALUE(MID($A25,7,2))-1)*7)-p_semana_referencia)/7,$F25)))))</f>
        <v/>
      </c>
      <c r="H25" s="24">
        <f>IF(COUNTIFS('PLAN_VACACIONES'!$A$4:$A$103,$C25,'PLAN_VACACIONES'!$B$4:$B$103,"&lt;="&amp;$L25,'PLAN_VACACIONES'!$C$4:$C$103,"&gt;="&amp;$L25)&gt;0,"sí","no")</f>
        <v/>
      </c>
      <c r="I25" s="4" t="n"/>
      <c r="J25" s="24">
        <f>IF($I25&lt;&gt;"",$I25,IF($G25="","",IF($H25="sí","VAC",IF(LEFT($G25,1)="B","B",$G25))))</f>
        <v/>
      </c>
      <c r="K25" s="24">
        <f>IFERROR(INDEX('TECNICOS'!$E$4:$E$19,MATCH($C25,'TECNICOS'!$B$4:$B$19,0)),"")</f>
        <v/>
      </c>
      <c r="L25" s="30">
        <f>IF($A25="","",DATE(VALUE(LEFT($A25,4)),1,4)-WEEKDAY(DATE(VALUE(LEFT($A25,4)),1,4),2)+1+(VALUE(MID($A25,7,2))-1)*7+MATCH($B25,lista_dias,0)-1)</f>
        <v/>
      </c>
      <c r="M25" s="24">
        <f>IF(OR($J25="",ISNUMBER(MATCH($J25,lista_no_disponible,0)),(IFERROR(INDEX('CALENDARIO'!$C$15:$C$214,MATCH(TEXT($L25,"yyyy-mm-dd")&amp;"|"&amp;$D25&amp;"|"&amp;"",'CALENDARIO'!$G$15:$G$214,0)),IFERROR(INDEX('CALENDARIO'!$C$15:$C$214,MATCH(TEXT($L25,"yyyy-mm-dd")&amp;"|"&amp;$D25&amp;"|",'CALENDARIO'!$G$15:$G$214,0)),IFERROR(INDEX('CALENDARIO'!$C$15:$C$214,MATCH(TEXT($L25,"yyyy-mm-dd")&amp;"||",'CALENDARIO'!$G$15:$G$214,0)),INDEX(patronHabil,WEEKDAY($L25,2))))))&lt;&gt;"sí"),0,p_horas_jornada)</f>
        <v/>
      </c>
      <c r="N25" s="24">
        <f>$A25&amp;"|"&amp;$B25&amp;"|"&amp;$C25</f>
        <v/>
      </c>
      <c r="O25" s="24">
        <f>IFERROR(INDEX('CAT_TURNOS'!$C$4:$C$22,MATCH($J25,'CAT_TURNOS'!$A$4:$A$22,0)),"")</f>
        <v/>
      </c>
      <c r="P25" s="24">
        <f>IFERROR(INDEX('CAT_TURNOS'!$D$4:$D$22,MATCH($J25,'CAT_TURNOS'!$A$4:$A$22,0)),"")</f>
        <v/>
      </c>
      <c r="Q25" s="24">
        <f>IF(AND(LEFT($G25,1)="T",$H25="no"),"sí","no")</f>
        <v/>
      </c>
    </row>
    <row r="26">
      <c r="A26" s="5" t="inlineStr">
        <is>
          <t>2026-S30</t>
        </is>
      </c>
      <c r="B26" s="5" t="inlineStr">
        <is>
          <t>martes</t>
        </is>
      </c>
      <c r="C26" s="5" t="inlineStr">
        <is>
          <t>Miguel Martínez</t>
        </is>
      </c>
      <c r="D26" s="24">
        <f>IFERROR(INDEX('TECNICOS'!$D$4:$D$19,MATCH($C26,'TECNICOS'!$B$4:$B$19,0)),"")</f>
        <v/>
      </c>
      <c r="E26" s="24">
        <f>IFERROR(INDEX('TECNICOS'!$C$4:$C$19,MATCH($C26,'TECNICOS'!$B$4:$B$19,0)),"")</f>
        <v/>
      </c>
      <c r="F26" s="24">
        <f>COUNTIFS('TECNICOS'!$F$4:$F$19,"sí",'TECNICOS'!$C$4:$C$19,$E26,'TECNICOS'!$D$4:$D$19,$D26,'TECNICOS'!$H$4:$H$19,"sí")</f>
        <v/>
      </c>
      <c r="G26" s="24">
        <f>IF(OR($C26="",$A26="",$B26="domingo",IFERROR(INDEX('TECNICOS'!$H$4:$H$19,MATCH($C26,'TECNICOS'!$B$4:$B$19,0)),"no")&lt;&gt;"sí"),"",IF(IFERROR(INDEX('TECNICOS'!$F$4:$F$19,MATCH($C26,'TECNICOS'!$B$4:$B$19,0)),"no")&lt;&gt;"sí","B",IF(MOD((IFERROR(INDEX('TECNICOS'!$G$4:$G$19,MATCH($C26,'TECNICOS'!$B$4:$B$19,0)),0)-1)+((DATE(VALUE(LEFT($A26,4)),1,4)-WEEKDAY(DATE(VALUE(LEFT($A26,4)),1,4),2)+1+(VALUE(MID($A26,7,2))-1)*7)-p_semana_referencia)/7,$F26)&lt;($F26-3),"B"&amp;(($F26-3)-MOD((IFERROR(INDEX('TECNICOS'!$G$4:$G$19,MATCH($C26,'TECNICOS'!$B$4:$B$19,0)),0)-1)+((DATE(VALUE(LEFT($A26,4)),1,4)-WEEKDAY(DATE(VALUE(LEFT($A26,4)),1,4),2)+1+(VALUE(MID($A26,7,2))-1)*7)-p_semana_referencia)/7,$F26)),"T"&amp;($F26-MOD((IFERROR(INDEX('TECNICOS'!$G$4:$G$19,MATCH($C26,'TECNICOS'!$B$4:$B$19,0)),0)-1)+((DATE(VALUE(LEFT($A26,4)),1,4)-WEEKDAY(DATE(VALUE(LEFT($A26,4)),1,4),2)+1+(VALUE(MID($A26,7,2))-1)*7)-p_semana_referencia)/7,$F26)))))</f>
        <v/>
      </c>
      <c r="H26" s="24">
        <f>IF(COUNTIFS('PLAN_VACACIONES'!$A$4:$A$103,$C26,'PLAN_VACACIONES'!$B$4:$B$103,"&lt;="&amp;$L26,'PLAN_VACACIONES'!$C$4:$C$103,"&gt;="&amp;$L26)&gt;0,"sí","no")</f>
        <v/>
      </c>
      <c r="I26" s="4" t="n"/>
      <c r="J26" s="24">
        <f>IF($I26&lt;&gt;"",$I26,IF($G26="","",IF($H26="sí","VAC",IF(LEFT($G26,1)="B","B",$G26))))</f>
        <v/>
      </c>
      <c r="K26" s="24">
        <f>IFERROR(INDEX('TECNICOS'!$E$4:$E$19,MATCH($C26,'TECNICOS'!$B$4:$B$19,0)),"")</f>
        <v/>
      </c>
      <c r="L26" s="30">
        <f>IF($A26="","",DATE(VALUE(LEFT($A26,4)),1,4)-WEEKDAY(DATE(VALUE(LEFT($A26,4)),1,4),2)+1+(VALUE(MID($A26,7,2))-1)*7+MATCH($B26,lista_dias,0)-1)</f>
        <v/>
      </c>
      <c r="M26" s="24">
        <f>IF(OR($J26="",ISNUMBER(MATCH($J26,lista_no_disponible,0)),(IFERROR(INDEX('CALENDARIO'!$C$15:$C$214,MATCH(TEXT($L26,"yyyy-mm-dd")&amp;"|"&amp;$D26&amp;"|"&amp;"",'CALENDARIO'!$G$15:$G$214,0)),IFERROR(INDEX('CALENDARIO'!$C$15:$C$214,MATCH(TEXT($L26,"yyyy-mm-dd")&amp;"|"&amp;$D26&amp;"|",'CALENDARIO'!$G$15:$G$214,0)),IFERROR(INDEX('CALENDARIO'!$C$15:$C$214,MATCH(TEXT($L26,"yyyy-mm-dd")&amp;"||",'CALENDARIO'!$G$15:$G$214,0)),INDEX(patronHabil,WEEKDAY($L26,2))))))&lt;&gt;"sí"),0,p_horas_jornada)</f>
        <v/>
      </c>
      <c r="N26" s="24">
        <f>$A26&amp;"|"&amp;$B26&amp;"|"&amp;$C26</f>
        <v/>
      </c>
      <c r="O26" s="24">
        <f>IFERROR(INDEX('CAT_TURNOS'!$C$4:$C$22,MATCH($J26,'CAT_TURNOS'!$A$4:$A$22,0)),"")</f>
        <v/>
      </c>
      <c r="P26" s="24">
        <f>IFERROR(INDEX('CAT_TURNOS'!$D$4:$D$22,MATCH($J26,'CAT_TURNOS'!$A$4:$A$22,0)),"")</f>
        <v/>
      </c>
      <c r="Q26" s="24">
        <f>IF(AND(LEFT($G26,1)="T",$H26="no"),"sí","no")</f>
        <v/>
      </c>
    </row>
    <row r="27">
      <c r="A27" s="5" t="inlineStr">
        <is>
          <t>2026-S30</t>
        </is>
      </c>
      <c r="B27" s="5" t="inlineStr">
        <is>
          <t>miércoles</t>
        </is>
      </c>
      <c r="C27" s="5" t="inlineStr">
        <is>
          <t>Miguel Martínez</t>
        </is>
      </c>
      <c r="D27" s="24">
        <f>IFERROR(INDEX('TECNICOS'!$D$4:$D$19,MATCH($C27,'TECNICOS'!$B$4:$B$19,0)),"")</f>
        <v/>
      </c>
      <c r="E27" s="24">
        <f>IFERROR(INDEX('TECNICOS'!$C$4:$C$19,MATCH($C27,'TECNICOS'!$B$4:$B$19,0)),"")</f>
        <v/>
      </c>
      <c r="F27" s="24">
        <f>COUNTIFS('TECNICOS'!$F$4:$F$19,"sí",'TECNICOS'!$C$4:$C$19,$E27,'TECNICOS'!$D$4:$D$19,$D27,'TECNICOS'!$H$4:$H$19,"sí")</f>
        <v/>
      </c>
      <c r="G27" s="24">
        <f>IF(OR($C27="",$A27="",$B27="domingo",IFERROR(INDEX('TECNICOS'!$H$4:$H$19,MATCH($C27,'TECNICOS'!$B$4:$B$19,0)),"no")&lt;&gt;"sí"),"",IF(IFERROR(INDEX('TECNICOS'!$F$4:$F$19,MATCH($C27,'TECNICOS'!$B$4:$B$19,0)),"no")&lt;&gt;"sí","B",IF(MOD((IFERROR(INDEX('TECNICOS'!$G$4:$G$19,MATCH($C27,'TECNICOS'!$B$4:$B$19,0)),0)-1)+((DATE(VALUE(LEFT($A27,4)),1,4)-WEEKDAY(DATE(VALUE(LEFT($A27,4)),1,4),2)+1+(VALUE(MID($A27,7,2))-1)*7)-p_semana_referencia)/7,$F27)&lt;($F27-3),"B"&amp;(($F27-3)-MOD((IFERROR(INDEX('TECNICOS'!$G$4:$G$19,MATCH($C27,'TECNICOS'!$B$4:$B$19,0)),0)-1)+((DATE(VALUE(LEFT($A27,4)),1,4)-WEEKDAY(DATE(VALUE(LEFT($A27,4)),1,4),2)+1+(VALUE(MID($A27,7,2))-1)*7)-p_semana_referencia)/7,$F27)),"T"&amp;($F27-MOD((IFERROR(INDEX('TECNICOS'!$G$4:$G$19,MATCH($C27,'TECNICOS'!$B$4:$B$19,0)),0)-1)+((DATE(VALUE(LEFT($A27,4)),1,4)-WEEKDAY(DATE(VALUE(LEFT($A27,4)),1,4),2)+1+(VALUE(MID($A27,7,2))-1)*7)-p_semana_referencia)/7,$F27)))))</f>
        <v/>
      </c>
      <c r="H27" s="24">
        <f>IF(COUNTIFS('PLAN_VACACIONES'!$A$4:$A$103,$C27,'PLAN_VACACIONES'!$B$4:$B$103,"&lt;="&amp;$L27,'PLAN_VACACIONES'!$C$4:$C$103,"&gt;="&amp;$L27)&gt;0,"sí","no")</f>
        <v/>
      </c>
      <c r="I27" s="4" t="n"/>
      <c r="J27" s="24">
        <f>IF($I27&lt;&gt;"",$I27,IF($G27="","",IF($H27="sí","VAC",IF(LEFT($G27,1)="B","B",$G27))))</f>
        <v/>
      </c>
      <c r="K27" s="24">
        <f>IFERROR(INDEX('TECNICOS'!$E$4:$E$19,MATCH($C27,'TECNICOS'!$B$4:$B$19,0)),"")</f>
        <v/>
      </c>
      <c r="L27" s="30">
        <f>IF($A27="","",DATE(VALUE(LEFT($A27,4)),1,4)-WEEKDAY(DATE(VALUE(LEFT($A27,4)),1,4),2)+1+(VALUE(MID($A27,7,2))-1)*7+MATCH($B27,lista_dias,0)-1)</f>
        <v/>
      </c>
      <c r="M27" s="24">
        <f>IF(OR($J27="",ISNUMBER(MATCH($J27,lista_no_disponible,0)),(IFERROR(INDEX('CALENDARIO'!$C$15:$C$214,MATCH(TEXT($L27,"yyyy-mm-dd")&amp;"|"&amp;$D27&amp;"|"&amp;"",'CALENDARIO'!$G$15:$G$214,0)),IFERROR(INDEX('CALENDARIO'!$C$15:$C$214,MATCH(TEXT($L27,"yyyy-mm-dd")&amp;"|"&amp;$D27&amp;"|",'CALENDARIO'!$G$15:$G$214,0)),IFERROR(INDEX('CALENDARIO'!$C$15:$C$214,MATCH(TEXT($L27,"yyyy-mm-dd")&amp;"||",'CALENDARIO'!$G$15:$G$214,0)),INDEX(patronHabil,WEEKDAY($L27,2))))))&lt;&gt;"sí"),0,p_horas_jornada)</f>
        <v/>
      </c>
      <c r="N27" s="24">
        <f>$A27&amp;"|"&amp;$B27&amp;"|"&amp;$C27</f>
        <v/>
      </c>
      <c r="O27" s="24">
        <f>IFERROR(INDEX('CAT_TURNOS'!$C$4:$C$22,MATCH($J27,'CAT_TURNOS'!$A$4:$A$22,0)),"")</f>
        <v/>
      </c>
      <c r="P27" s="24">
        <f>IFERROR(INDEX('CAT_TURNOS'!$D$4:$D$22,MATCH($J27,'CAT_TURNOS'!$A$4:$A$22,0)),"")</f>
        <v/>
      </c>
      <c r="Q27" s="24">
        <f>IF(AND(LEFT($G27,1)="T",$H27="no"),"sí","no")</f>
        <v/>
      </c>
    </row>
    <row r="28">
      <c r="A28" s="5" t="inlineStr">
        <is>
          <t>2026-S30</t>
        </is>
      </c>
      <c r="B28" s="5" t="inlineStr">
        <is>
          <t>jueves</t>
        </is>
      </c>
      <c r="C28" s="5" t="inlineStr">
        <is>
          <t>Miguel Martínez</t>
        </is>
      </c>
      <c r="D28" s="24">
        <f>IFERROR(INDEX('TECNICOS'!$D$4:$D$19,MATCH($C28,'TECNICOS'!$B$4:$B$19,0)),"")</f>
        <v/>
      </c>
      <c r="E28" s="24">
        <f>IFERROR(INDEX('TECNICOS'!$C$4:$C$19,MATCH($C28,'TECNICOS'!$B$4:$B$19,0)),"")</f>
        <v/>
      </c>
      <c r="F28" s="24">
        <f>COUNTIFS('TECNICOS'!$F$4:$F$19,"sí",'TECNICOS'!$C$4:$C$19,$E28,'TECNICOS'!$D$4:$D$19,$D28,'TECNICOS'!$H$4:$H$19,"sí")</f>
        <v/>
      </c>
      <c r="G28" s="24">
        <f>IF(OR($C28="",$A28="",$B28="domingo",IFERROR(INDEX('TECNICOS'!$H$4:$H$19,MATCH($C28,'TECNICOS'!$B$4:$B$19,0)),"no")&lt;&gt;"sí"),"",IF(IFERROR(INDEX('TECNICOS'!$F$4:$F$19,MATCH($C28,'TECNICOS'!$B$4:$B$19,0)),"no")&lt;&gt;"sí","B",IF(MOD((IFERROR(INDEX('TECNICOS'!$G$4:$G$19,MATCH($C28,'TECNICOS'!$B$4:$B$19,0)),0)-1)+((DATE(VALUE(LEFT($A28,4)),1,4)-WEEKDAY(DATE(VALUE(LEFT($A28,4)),1,4),2)+1+(VALUE(MID($A28,7,2))-1)*7)-p_semana_referencia)/7,$F28)&lt;($F28-3),"B"&amp;(($F28-3)-MOD((IFERROR(INDEX('TECNICOS'!$G$4:$G$19,MATCH($C28,'TECNICOS'!$B$4:$B$19,0)),0)-1)+((DATE(VALUE(LEFT($A28,4)),1,4)-WEEKDAY(DATE(VALUE(LEFT($A28,4)),1,4),2)+1+(VALUE(MID($A28,7,2))-1)*7)-p_semana_referencia)/7,$F28)),"T"&amp;($F28-MOD((IFERROR(INDEX('TECNICOS'!$G$4:$G$19,MATCH($C28,'TECNICOS'!$B$4:$B$19,0)),0)-1)+((DATE(VALUE(LEFT($A28,4)),1,4)-WEEKDAY(DATE(VALUE(LEFT($A28,4)),1,4),2)+1+(VALUE(MID($A28,7,2))-1)*7)-p_semana_referencia)/7,$F28)))))</f>
        <v/>
      </c>
      <c r="H28" s="24">
        <f>IF(COUNTIFS('PLAN_VACACIONES'!$A$4:$A$103,$C28,'PLAN_VACACIONES'!$B$4:$B$103,"&lt;="&amp;$L28,'PLAN_VACACIONES'!$C$4:$C$103,"&gt;="&amp;$L28)&gt;0,"sí","no")</f>
        <v/>
      </c>
      <c r="I28" s="4" t="n"/>
      <c r="J28" s="24">
        <f>IF($I28&lt;&gt;"",$I28,IF($G28="","",IF($H28="sí","VAC",IF(LEFT($G28,1)="B","B",$G28))))</f>
        <v/>
      </c>
      <c r="K28" s="24">
        <f>IFERROR(INDEX('TECNICOS'!$E$4:$E$19,MATCH($C28,'TECNICOS'!$B$4:$B$19,0)),"")</f>
        <v/>
      </c>
      <c r="L28" s="30">
        <f>IF($A28="","",DATE(VALUE(LEFT($A28,4)),1,4)-WEEKDAY(DATE(VALUE(LEFT($A28,4)),1,4),2)+1+(VALUE(MID($A28,7,2))-1)*7+MATCH($B28,lista_dias,0)-1)</f>
        <v/>
      </c>
      <c r="M28" s="24">
        <f>IF(OR($J28="",ISNUMBER(MATCH($J28,lista_no_disponible,0)),(IFERROR(INDEX('CALENDARIO'!$C$15:$C$214,MATCH(TEXT($L28,"yyyy-mm-dd")&amp;"|"&amp;$D28&amp;"|"&amp;"",'CALENDARIO'!$G$15:$G$214,0)),IFERROR(INDEX('CALENDARIO'!$C$15:$C$214,MATCH(TEXT($L28,"yyyy-mm-dd")&amp;"|"&amp;$D28&amp;"|",'CALENDARIO'!$G$15:$G$214,0)),IFERROR(INDEX('CALENDARIO'!$C$15:$C$214,MATCH(TEXT($L28,"yyyy-mm-dd")&amp;"||",'CALENDARIO'!$G$15:$G$214,0)),INDEX(patronHabil,WEEKDAY($L28,2))))))&lt;&gt;"sí"),0,p_horas_jornada)</f>
        <v/>
      </c>
      <c r="N28" s="24">
        <f>$A28&amp;"|"&amp;$B28&amp;"|"&amp;$C28</f>
        <v/>
      </c>
      <c r="O28" s="24">
        <f>IFERROR(INDEX('CAT_TURNOS'!$C$4:$C$22,MATCH($J28,'CAT_TURNOS'!$A$4:$A$22,0)),"")</f>
        <v/>
      </c>
      <c r="P28" s="24">
        <f>IFERROR(INDEX('CAT_TURNOS'!$D$4:$D$22,MATCH($J28,'CAT_TURNOS'!$A$4:$A$22,0)),"")</f>
        <v/>
      </c>
      <c r="Q28" s="24">
        <f>IF(AND(LEFT($G28,1)="T",$H28="no"),"sí","no")</f>
        <v/>
      </c>
    </row>
    <row r="29">
      <c r="A29" s="5" t="inlineStr">
        <is>
          <t>2026-S30</t>
        </is>
      </c>
      <c r="B29" s="5" t="inlineStr">
        <is>
          <t>viernes</t>
        </is>
      </c>
      <c r="C29" s="5" t="inlineStr">
        <is>
          <t>Miguel Martínez</t>
        </is>
      </c>
      <c r="D29" s="24">
        <f>IFERROR(INDEX('TECNICOS'!$D$4:$D$19,MATCH($C29,'TECNICOS'!$B$4:$B$19,0)),"")</f>
        <v/>
      </c>
      <c r="E29" s="24">
        <f>IFERROR(INDEX('TECNICOS'!$C$4:$C$19,MATCH($C29,'TECNICOS'!$B$4:$B$19,0)),"")</f>
        <v/>
      </c>
      <c r="F29" s="24">
        <f>COUNTIFS('TECNICOS'!$F$4:$F$19,"sí",'TECNICOS'!$C$4:$C$19,$E29,'TECNICOS'!$D$4:$D$19,$D29,'TECNICOS'!$H$4:$H$19,"sí")</f>
        <v/>
      </c>
      <c r="G29" s="24">
        <f>IF(OR($C29="",$A29="",$B29="domingo",IFERROR(INDEX('TECNICOS'!$H$4:$H$19,MATCH($C29,'TECNICOS'!$B$4:$B$19,0)),"no")&lt;&gt;"sí"),"",IF(IFERROR(INDEX('TECNICOS'!$F$4:$F$19,MATCH($C29,'TECNICOS'!$B$4:$B$19,0)),"no")&lt;&gt;"sí","B",IF(MOD((IFERROR(INDEX('TECNICOS'!$G$4:$G$19,MATCH($C29,'TECNICOS'!$B$4:$B$19,0)),0)-1)+((DATE(VALUE(LEFT($A29,4)),1,4)-WEEKDAY(DATE(VALUE(LEFT($A29,4)),1,4),2)+1+(VALUE(MID($A29,7,2))-1)*7)-p_semana_referencia)/7,$F29)&lt;($F29-3),"B"&amp;(($F29-3)-MOD((IFERROR(INDEX('TECNICOS'!$G$4:$G$19,MATCH($C29,'TECNICOS'!$B$4:$B$19,0)),0)-1)+((DATE(VALUE(LEFT($A29,4)),1,4)-WEEKDAY(DATE(VALUE(LEFT($A29,4)),1,4),2)+1+(VALUE(MID($A29,7,2))-1)*7)-p_semana_referencia)/7,$F29)),"T"&amp;($F29-MOD((IFERROR(INDEX('TECNICOS'!$G$4:$G$19,MATCH($C29,'TECNICOS'!$B$4:$B$19,0)),0)-1)+((DATE(VALUE(LEFT($A29,4)),1,4)-WEEKDAY(DATE(VALUE(LEFT($A29,4)),1,4),2)+1+(VALUE(MID($A29,7,2))-1)*7)-p_semana_referencia)/7,$F29)))))</f>
        <v/>
      </c>
      <c r="H29" s="24">
        <f>IF(COUNTIFS('PLAN_VACACIONES'!$A$4:$A$103,$C29,'PLAN_VACACIONES'!$B$4:$B$103,"&lt;="&amp;$L29,'PLAN_VACACIONES'!$C$4:$C$103,"&gt;="&amp;$L29)&gt;0,"sí","no")</f>
        <v/>
      </c>
      <c r="I29" s="4" t="n"/>
      <c r="J29" s="24">
        <f>IF($I29&lt;&gt;"",$I29,IF($G29="","",IF($H29="sí","VAC",IF(LEFT($G29,1)="B","B",$G29))))</f>
        <v/>
      </c>
      <c r="K29" s="24">
        <f>IFERROR(INDEX('TECNICOS'!$E$4:$E$19,MATCH($C29,'TECNICOS'!$B$4:$B$19,0)),"")</f>
        <v/>
      </c>
      <c r="L29" s="30">
        <f>IF($A29="","",DATE(VALUE(LEFT($A29,4)),1,4)-WEEKDAY(DATE(VALUE(LEFT($A29,4)),1,4),2)+1+(VALUE(MID($A29,7,2))-1)*7+MATCH($B29,lista_dias,0)-1)</f>
        <v/>
      </c>
      <c r="M29" s="24">
        <f>IF(OR($J29="",ISNUMBER(MATCH($J29,lista_no_disponible,0)),(IFERROR(INDEX('CALENDARIO'!$C$15:$C$214,MATCH(TEXT($L29,"yyyy-mm-dd")&amp;"|"&amp;$D29&amp;"|"&amp;"",'CALENDARIO'!$G$15:$G$214,0)),IFERROR(INDEX('CALENDARIO'!$C$15:$C$214,MATCH(TEXT($L29,"yyyy-mm-dd")&amp;"|"&amp;$D29&amp;"|",'CALENDARIO'!$G$15:$G$214,0)),IFERROR(INDEX('CALENDARIO'!$C$15:$C$214,MATCH(TEXT($L29,"yyyy-mm-dd")&amp;"||",'CALENDARIO'!$G$15:$G$214,0)),INDEX(patronHabil,WEEKDAY($L29,2))))))&lt;&gt;"sí"),0,p_horas_jornada)</f>
        <v/>
      </c>
      <c r="N29" s="24">
        <f>$A29&amp;"|"&amp;$B29&amp;"|"&amp;$C29</f>
        <v/>
      </c>
      <c r="O29" s="24">
        <f>IFERROR(INDEX('CAT_TURNOS'!$C$4:$C$22,MATCH($J29,'CAT_TURNOS'!$A$4:$A$22,0)),"")</f>
        <v/>
      </c>
      <c r="P29" s="24">
        <f>IFERROR(INDEX('CAT_TURNOS'!$D$4:$D$22,MATCH($J29,'CAT_TURNOS'!$A$4:$A$22,0)),"")</f>
        <v/>
      </c>
      <c r="Q29" s="24">
        <f>IF(AND(LEFT($G29,1)="T",$H29="no"),"sí","no")</f>
        <v/>
      </c>
    </row>
    <row r="30">
      <c r="A30" s="5" t="inlineStr">
        <is>
          <t>2026-S30</t>
        </is>
      </c>
      <c r="B30" s="5" t="inlineStr">
        <is>
          <t>sábado</t>
        </is>
      </c>
      <c r="C30" s="5" t="inlineStr">
        <is>
          <t>Miguel Martínez</t>
        </is>
      </c>
      <c r="D30" s="24">
        <f>IFERROR(INDEX('TECNICOS'!$D$4:$D$19,MATCH($C30,'TECNICOS'!$B$4:$B$19,0)),"")</f>
        <v/>
      </c>
      <c r="E30" s="24">
        <f>IFERROR(INDEX('TECNICOS'!$C$4:$C$19,MATCH($C30,'TECNICOS'!$B$4:$B$19,0)),"")</f>
        <v/>
      </c>
      <c r="F30" s="24">
        <f>COUNTIFS('TECNICOS'!$F$4:$F$19,"sí",'TECNICOS'!$C$4:$C$19,$E30,'TECNICOS'!$D$4:$D$19,$D30,'TECNICOS'!$H$4:$H$19,"sí")</f>
        <v/>
      </c>
      <c r="G30" s="24">
        <f>IF(OR($C30="",$A30="",$B30="domingo",IFERROR(INDEX('TECNICOS'!$H$4:$H$19,MATCH($C30,'TECNICOS'!$B$4:$B$19,0)),"no")&lt;&gt;"sí"),"",IF(IFERROR(INDEX('TECNICOS'!$F$4:$F$19,MATCH($C30,'TECNICOS'!$B$4:$B$19,0)),"no")&lt;&gt;"sí","B",IF(MOD((IFERROR(INDEX('TECNICOS'!$G$4:$G$19,MATCH($C30,'TECNICOS'!$B$4:$B$19,0)),0)-1)+((DATE(VALUE(LEFT($A30,4)),1,4)-WEEKDAY(DATE(VALUE(LEFT($A30,4)),1,4),2)+1+(VALUE(MID($A30,7,2))-1)*7)-p_semana_referencia)/7,$F30)&lt;($F30-3),"B"&amp;(($F30-3)-MOD((IFERROR(INDEX('TECNICOS'!$G$4:$G$19,MATCH($C30,'TECNICOS'!$B$4:$B$19,0)),0)-1)+((DATE(VALUE(LEFT($A30,4)),1,4)-WEEKDAY(DATE(VALUE(LEFT($A30,4)),1,4),2)+1+(VALUE(MID($A30,7,2))-1)*7)-p_semana_referencia)/7,$F30)),"T"&amp;($F30-MOD((IFERROR(INDEX('TECNICOS'!$G$4:$G$19,MATCH($C30,'TECNICOS'!$B$4:$B$19,0)),0)-1)+((DATE(VALUE(LEFT($A30,4)),1,4)-WEEKDAY(DATE(VALUE(LEFT($A30,4)),1,4),2)+1+(VALUE(MID($A30,7,2))-1)*7)-p_semana_referencia)/7,$F30)))))</f>
        <v/>
      </c>
      <c r="H30" s="24">
        <f>IF(COUNTIFS('PLAN_VACACIONES'!$A$4:$A$103,$C30,'PLAN_VACACIONES'!$B$4:$B$103,"&lt;="&amp;$L30,'PLAN_VACACIONES'!$C$4:$C$103,"&gt;="&amp;$L30)&gt;0,"sí","no")</f>
        <v/>
      </c>
      <c r="I30" s="4" t="n"/>
      <c r="J30" s="24">
        <f>IF($I30&lt;&gt;"",$I30,IF($G30="","",IF($H30="sí","VAC",IF(LEFT($G30,1)="B","B",$G30))))</f>
        <v/>
      </c>
      <c r="K30" s="24">
        <f>IFERROR(INDEX('TECNICOS'!$E$4:$E$19,MATCH($C30,'TECNICOS'!$B$4:$B$19,0)),"")</f>
        <v/>
      </c>
      <c r="L30" s="30">
        <f>IF($A30="","",DATE(VALUE(LEFT($A30,4)),1,4)-WEEKDAY(DATE(VALUE(LEFT($A30,4)),1,4),2)+1+(VALUE(MID($A30,7,2))-1)*7+MATCH($B30,lista_dias,0)-1)</f>
        <v/>
      </c>
      <c r="M30" s="24">
        <f>IF(OR($J30="",ISNUMBER(MATCH($J30,lista_no_disponible,0)),(IFERROR(INDEX('CALENDARIO'!$C$15:$C$214,MATCH(TEXT($L30,"yyyy-mm-dd")&amp;"|"&amp;$D30&amp;"|"&amp;"",'CALENDARIO'!$G$15:$G$214,0)),IFERROR(INDEX('CALENDARIO'!$C$15:$C$214,MATCH(TEXT($L30,"yyyy-mm-dd")&amp;"|"&amp;$D30&amp;"|",'CALENDARIO'!$G$15:$G$214,0)),IFERROR(INDEX('CALENDARIO'!$C$15:$C$214,MATCH(TEXT($L30,"yyyy-mm-dd")&amp;"||",'CALENDARIO'!$G$15:$G$214,0)),INDEX(patronHabil,WEEKDAY($L30,2))))))&lt;&gt;"sí"),0,p_horas_jornada)</f>
        <v/>
      </c>
      <c r="N30" s="24">
        <f>$A30&amp;"|"&amp;$B30&amp;"|"&amp;$C30</f>
        <v/>
      </c>
      <c r="O30" s="24">
        <f>IFERROR(INDEX('CAT_TURNOS'!$C$4:$C$22,MATCH($J30,'CAT_TURNOS'!$A$4:$A$22,0)),"")</f>
        <v/>
      </c>
      <c r="P30" s="24">
        <f>IFERROR(INDEX('CAT_TURNOS'!$D$4:$D$22,MATCH($J30,'CAT_TURNOS'!$A$4:$A$22,0)),"")</f>
        <v/>
      </c>
      <c r="Q30" s="24">
        <f>IF(AND(LEFT($G30,1)="T",$H30="no"),"sí","no")</f>
        <v/>
      </c>
    </row>
    <row r="31">
      <c r="A31" s="5" t="inlineStr">
        <is>
          <t>2026-S30</t>
        </is>
      </c>
      <c r="B31" s="5" t="inlineStr">
        <is>
          <t>domingo</t>
        </is>
      </c>
      <c r="C31" s="5" t="inlineStr">
        <is>
          <t>Miguel Martínez</t>
        </is>
      </c>
      <c r="D31" s="24">
        <f>IFERROR(INDEX('TECNICOS'!$D$4:$D$19,MATCH($C31,'TECNICOS'!$B$4:$B$19,0)),"")</f>
        <v/>
      </c>
      <c r="E31" s="24">
        <f>IFERROR(INDEX('TECNICOS'!$C$4:$C$19,MATCH($C31,'TECNICOS'!$B$4:$B$19,0)),"")</f>
        <v/>
      </c>
      <c r="F31" s="24">
        <f>COUNTIFS('TECNICOS'!$F$4:$F$19,"sí",'TECNICOS'!$C$4:$C$19,$E31,'TECNICOS'!$D$4:$D$19,$D31,'TECNICOS'!$H$4:$H$19,"sí")</f>
        <v/>
      </c>
      <c r="G31" s="24">
        <f>IF(OR($C31="",$A31="",$B31="domingo",IFERROR(INDEX('TECNICOS'!$H$4:$H$19,MATCH($C31,'TECNICOS'!$B$4:$B$19,0)),"no")&lt;&gt;"sí"),"",IF(IFERROR(INDEX('TECNICOS'!$F$4:$F$19,MATCH($C31,'TECNICOS'!$B$4:$B$19,0)),"no")&lt;&gt;"sí","B",IF(MOD((IFERROR(INDEX('TECNICOS'!$G$4:$G$19,MATCH($C31,'TECNICOS'!$B$4:$B$19,0)),0)-1)+((DATE(VALUE(LEFT($A31,4)),1,4)-WEEKDAY(DATE(VALUE(LEFT($A31,4)),1,4),2)+1+(VALUE(MID($A31,7,2))-1)*7)-p_semana_referencia)/7,$F31)&lt;($F31-3),"B"&amp;(($F31-3)-MOD((IFERROR(INDEX('TECNICOS'!$G$4:$G$19,MATCH($C31,'TECNICOS'!$B$4:$B$19,0)),0)-1)+((DATE(VALUE(LEFT($A31,4)),1,4)-WEEKDAY(DATE(VALUE(LEFT($A31,4)),1,4),2)+1+(VALUE(MID($A31,7,2))-1)*7)-p_semana_referencia)/7,$F31)),"T"&amp;($F31-MOD((IFERROR(INDEX('TECNICOS'!$G$4:$G$19,MATCH($C31,'TECNICOS'!$B$4:$B$19,0)),0)-1)+((DATE(VALUE(LEFT($A31,4)),1,4)-WEEKDAY(DATE(VALUE(LEFT($A31,4)),1,4),2)+1+(VALUE(MID($A31,7,2))-1)*7)-p_semana_referencia)/7,$F31)))))</f>
        <v/>
      </c>
      <c r="H31" s="24">
        <f>IF(COUNTIFS('PLAN_VACACIONES'!$A$4:$A$103,$C31,'PLAN_VACACIONES'!$B$4:$B$103,"&lt;="&amp;$L31,'PLAN_VACACIONES'!$C$4:$C$103,"&gt;="&amp;$L31)&gt;0,"sí","no")</f>
        <v/>
      </c>
      <c r="I31" s="4" t="n"/>
      <c r="J31" s="24">
        <f>IF($I31&lt;&gt;"",$I31,IF($G31="","",IF($H31="sí","VAC",IF(LEFT($G31,1)="B","B",$G31))))</f>
        <v/>
      </c>
      <c r="K31" s="24">
        <f>IFERROR(INDEX('TECNICOS'!$E$4:$E$19,MATCH($C31,'TECNICOS'!$B$4:$B$19,0)),"")</f>
        <v/>
      </c>
      <c r="L31" s="30">
        <f>IF($A31="","",DATE(VALUE(LEFT($A31,4)),1,4)-WEEKDAY(DATE(VALUE(LEFT($A31,4)),1,4),2)+1+(VALUE(MID($A31,7,2))-1)*7+MATCH($B31,lista_dias,0)-1)</f>
        <v/>
      </c>
      <c r="M31" s="24">
        <f>IF(OR($J31="",ISNUMBER(MATCH($J31,lista_no_disponible,0)),(IFERROR(INDEX('CALENDARIO'!$C$15:$C$214,MATCH(TEXT($L31,"yyyy-mm-dd")&amp;"|"&amp;$D31&amp;"|"&amp;"",'CALENDARIO'!$G$15:$G$214,0)),IFERROR(INDEX('CALENDARIO'!$C$15:$C$214,MATCH(TEXT($L31,"yyyy-mm-dd")&amp;"|"&amp;$D31&amp;"|",'CALENDARIO'!$G$15:$G$214,0)),IFERROR(INDEX('CALENDARIO'!$C$15:$C$214,MATCH(TEXT($L31,"yyyy-mm-dd")&amp;"||",'CALENDARIO'!$G$15:$G$214,0)),INDEX(patronHabil,WEEKDAY($L31,2))))))&lt;&gt;"sí"),0,p_horas_jornada)</f>
        <v/>
      </c>
      <c r="N31" s="24">
        <f>$A31&amp;"|"&amp;$B31&amp;"|"&amp;$C31</f>
        <v/>
      </c>
      <c r="O31" s="24">
        <f>IFERROR(INDEX('CAT_TURNOS'!$C$4:$C$22,MATCH($J31,'CAT_TURNOS'!$A$4:$A$22,0)),"")</f>
        <v/>
      </c>
      <c r="P31" s="24">
        <f>IFERROR(INDEX('CAT_TURNOS'!$D$4:$D$22,MATCH($J31,'CAT_TURNOS'!$A$4:$A$22,0)),"")</f>
        <v/>
      </c>
      <c r="Q31" s="24">
        <f>IF(AND(LEFT($G31,1)="T",$H31="no"),"sí","no")</f>
        <v/>
      </c>
    </row>
    <row r="32">
      <c r="A32" s="5" t="inlineStr">
        <is>
          <t>2026-S30</t>
        </is>
      </c>
      <c r="B32" s="5" t="inlineStr">
        <is>
          <t>lunes</t>
        </is>
      </c>
      <c r="C32" s="5" t="inlineStr">
        <is>
          <t>Ana Sánchez</t>
        </is>
      </c>
      <c r="D32" s="24">
        <f>IFERROR(INDEX('TECNICOS'!$D$4:$D$19,MATCH($C32,'TECNICOS'!$B$4:$B$19,0)),"")</f>
        <v/>
      </c>
      <c r="E32" s="24">
        <f>IFERROR(INDEX('TECNICOS'!$C$4:$C$19,MATCH($C32,'TECNICOS'!$B$4:$B$19,0)),"")</f>
        <v/>
      </c>
      <c r="F32" s="24">
        <f>COUNTIFS('TECNICOS'!$F$4:$F$19,"sí",'TECNICOS'!$C$4:$C$19,$E32,'TECNICOS'!$D$4:$D$19,$D32,'TECNICOS'!$H$4:$H$19,"sí")</f>
        <v/>
      </c>
      <c r="G32" s="24">
        <f>IF(OR($C32="",$A32="",$B32="domingo",IFERROR(INDEX('TECNICOS'!$H$4:$H$19,MATCH($C32,'TECNICOS'!$B$4:$B$19,0)),"no")&lt;&gt;"sí"),"",IF(IFERROR(INDEX('TECNICOS'!$F$4:$F$19,MATCH($C32,'TECNICOS'!$B$4:$B$19,0)),"no")&lt;&gt;"sí","B",IF(MOD((IFERROR(INDEX('TECNICOS'!$G$4:$G$19,MATCH($C32,'TECNICOS'!$B$4:$B$19,0)),0)-1)+((DATE(VALUE(LEFT($A32,4)),1,4)-WEEKDAY(DATE(VALUE(LEFT($A32,4)),1,4),2)+1+(VALUE(MID($A32,7,2))-1)*7)-p_semana_referencia)/7,$F32)&lt;($F32-3),"B"&amp;(($F32-3)-MOD((IFERROR(INDEX('TECNICOS'!$G$4:$G$19,MATCH($C32,'TECNICOS'!$B$4:$B$19,0)),0)-1)+((DATE(VALUE(LEFT($A32,4)),1,4)-WEEKDAY(DATE(VALUE(LEFT($A32,4)),1,4),2)+1+(VALUE(MID($A32,7,2))-1)*7)-p_semana_referencia)/7,$F32)),"T"&amp;($F32-MOD((IFERROR(INDEX('TECNICOS'!$G$4:$G$19,MATCH($C32,'TECNICOS'!$B$4:$B$19,0)),0)-1)+((DATE(VALUE(LEFT($A32,4)),1,4)-WEEKDAY(DATE(VALUE(LEFT($A32,4)),1,4),2)+1+(VALUE(MID($A32,7,2))-1)*7)-p_semana_referencia)/7,$F32)))))</f>
        <v/>
      </c>
      <c r="H32" s="24">
        <f>IF(COUNTIFS('PLAN_VACACIONES'!$A$4:$A$103,$C32,'PLAN_VACACIONES'!$B$4:$B$103,"&lt;="&amp;$L32,'PLAN_VACACIONES'!$C$4:$C$103,"&gt;="&amp;$L32)&gt;0,"sí","no")</f>
        <v/>
      </c>
      <c r="I32" s="4" t="n"/>
      <c r="J32" s="24">
        <f>IF($I32&lt;&gt;"",$I32,IF($G32="","",IF($H32="sí","VAC",IF(LEFT($G32,1)="B","B",$G32))))</f>
        <v/>
      </c>
      <c r="K32" s="24">
        <f>IFERROR(INDEX('TECNICOS'!$E$4:$E$19,MATCH($C32,'TECNICOS'!$B$4:$B$19,0)),"")</f>
        <v/>
      </c>
      <c r="L32" s="30">
        <f>IF($A32="","",DATE(VALUE(LEFT($A32,4)),1,4)-WEEKDAY(DATE(VALUE(LEFT($A32,4)),1,4),2)+1+(VALUE(MID($A32,7,2))-1)*7+MATCH($B32,lista_dias,0)-1)</f>
        <v/>
      </c>
      <c r="M32" s="24">
        <f>IF(OR($J32="",ISNUMBER(MATCH($J32,lista_no_disponible,0)),(IFERROR(INDEX('CALENDARIO'!$C$15:$C$214,MATCH(TEXT($L32,"yyyy-mm-dd")&amp;"|"&amp;$D32&amp;"|"&amp;"",'CALENDARIO'!$G$15:$G$214,0)),IFERROR(INDEX('CALENDARIO'!$C$15:$C$214,MATCH(TEXT($L32,"yyyy-mm-dd")&amp;"|"&amp;$D32&amp;"|",'CALENDARIO'!$G$15:$G$214,0)),IFERROR(INDEX('CALENDARIO'!$C$15:$C$214,MATCH(TEXT($L32,"yyyy-mm-dd")&amp;"||",'CALENDARIO'!$G$15:$G$214,0)),INDEX(patronHabil,WEEKDAY($L32,2))))))&lt;&gt;"sí"),0,p_horas_jornada)</f>
        <v/>
      </c>
      <c r="N32" s="24">
        <f>$A32&amp;"|"&amp;$B32&amp;"|"&amp;$C32</f>
        <v/>
      </c>
      <c r="O32" s="24">
        <f>IFERROR(INDEX('CAT_TURNOS'!$C$4:$C$22,MATCH($J32,'CAT_TURNOS'!$A$4:$A$22,0)),"")</f>
        <v/>
      </c>
      <c r="P32" s="24">
        <f>IFERROR(INDEX('CAT_TURNOS'!$D$4:$D$22,MATCH($J32,'CAT_TURNOS'!$A$4:$A$22,0)),"")</f>
        <v/>
      </c>
      <c r="Q32" s="24">
        <f>IF(AND(LEFT($G32,1)="T",$H32="no"),"sí","no")</f>
        <v/>
      </c>
    </row>
    <row r="33">
      <c r="A33" s="5" t="inlineStr">
        <is>
          <t>2026-S30</t>
        </is>
      </c>
      <c r="B33" s="5" t="inlineStr">
        <is>
          <t>martes</t>
        </is>
      </c>
      <c r="C33" s="5" t="inlineStr">
        <is>
          <t>Ana Sánchez</t>
        </is>
      </c>
      <c r="D33" s="24">
        <f>IFERROR(INDEX('TECNICOS'!$D$4:$D$19,MATCH($C33,'TECNICOS'!$B$4:$B$19,0)),"")</f>
        <v/>
      </c>
      <c r="E33" s="24">
        <f>IFERROR(INDEX('TECNICOS'!$C$4:$C$19,MATCH($C33,'TECNICOS'!$B$4:$B$19,0)),"")</f>
        <v/>
      </c>
      <c r="F33" s="24">
        <f>COUNTIFS('TECNICOS'!$F$4:$F$19,"sí",'TECNICOS'!$C$4:$C$19,$E33,'TECNICOS'!$D$4:$D$19,$D33,'TECNICOS'!$H$4:$H$19,"sí")</f>
        <v/>
      </c>
      <c r="G33" s="24">
        <f>IF(OR($C33="",$A33="",$B33="domingo",IFERROR(INDEX('TECNICOS'!$H$4:$H$19,MATCH($C33,'TECNICOS'!$B$4:$B$19,0)),"no")&lt;&gt;"sí"),"",IF(IFERROR(INDEX('TECNICOS'!$F$4:$F$19,MATCH($C33,'TECNICOS'!$B$4:$B$19,0)),"no")&lt;&gt;"sí","B",IF(MOD((IFERROR(INDEX('TECNICOS'!$G$4:$G$19,MATCH($C33,'TECNICOS'!$B$4:$B$19,0)),0)-1)+((DATE(VALUE(LEFT($A33,4)),1,4)-WEEKDAY(DATE(VALUE(LEFT($A33,4)),1,4),2)+1+(VALUE(MID($A33,7,2))-1)*7)-p_semana_referencia)/7,$F33)&lt;($F33-3),"B"&amp;(($F33-3)-MOD((IFERROR(INDEX('TECNICOS'!$G$4:$G$19,MATCH($C33,'TECNICOS'!$B$4:$B$19,0)),0)-1)+((DATE(VALUE(LEFT($A33,4)),1,4)-WEEKDAY(DATE(VALUE(LEFT($A33,4)),1,4),2)+1+(VALUE(MID($A33,7,2))-1)*7)-p_semana_referencia)/7,$F33)),"T"&amp;($F33-MOD((IFERROR(INDEX('TECNICOS'!$G$4:$G$19,MATCH($C33,'TECNICOS'!$B$4:$B$19,0)),0)-1)+((DATE(VALUE(LEFT($A33,4)),1,4)-WEEKDAY(DATE(VALUE(LEFT($A33,4)),1,4),2)+1+(VALUE(MID($A33,7,2))-1)*7)-p_semana_referencia)/7,$F33)))))</f>
        <v/>
      </c>
      <c r="H33" s="24">
        <f>IF(COUNTIFS('PLAN_VACACIONES'!$A$4:$A$103,$C33,'PLAN_VACACIONES'!$B$4:$B$103,"&lt;="&amp;$L33,'PLAN_VACACIONES'!$C$4:$C$103,"&gt;="&amp;$L33)&gt;0,"sí","no")</f>
        <v/>
      </c>
      <c r="I33" s="4" t="n"/>
      <c r="J33" s="24">
        <f>IF($I33&lt;&gt;"",$I33,IF($G33="","",IF($H33="sí","VAC",IF(LEFT($G33,1)="B","B",$G33))))</f>
        <v/>
      </c>
      <c r="K33" s="24">
        <f>IFERROR(INDEX('TECNICOS'!$E$4:$E$19,MATCH($C33,'TECNICOS'!$B$4:$B$19,0)),"")</f>
        <v/>
      </c>
      <c r="L33" s="30">
        <f>IF($A33="","",DATE(VALUE(LEFT($A33,4)),1,4)-WEEKDAY(DATE(VALUE(LEFT($A33,4)),1,4),2)+1+(VALUE(MID($A33,7,2))-1)*7+MATCH($B33,lista_dias,0)-1)</f>
        <v/>
      </c>
      <c r="M33" s="24">
        <f>IF(OR($J33="",ISNUMBER(MATCH($J33,lista_no_disponible,0)),(IFERROR(INDEX('CALENDARIO'!$C$15:$C$214,MATCH(TEXT($L33,"yyyy-mm-dd")&amp;"|"&amp;$D33&amp;"|"&amp;"",'CALENDARIO'!$G$15:$G$214,0)),IFERROR(INDEX('CALENDARIO'!$C$15:$C$214,MATCH(TEXT($L33,"yyyy-mm-dd")&amp;"|"&amp;$D33&amp;"|",'CALENDARIO'!$G$15:$G$214,0)),IFERROR(INDEX('CALENDARIO'!$C$15:$C$214,MATCH(TEXT($L33,"yyyy-mm-dd")&amp;"||",'CALENDARIO'!$G$15:$G$214,0)),INDEX(patronHabil,WEEKDAY($L33,2))))))&lt;&gt;"sí"),0,p_horas_jornada)</f>
        <v/>
      </c>
      <c r="N33" s="24">
        <f>$A33&amp;"|"&amp;$B33&amp;"|"&amp;$C33</f>
        <v/>
      </c>
      <c r="O33" s="24">
        <f>IFERROR(INDEX('CAT_TURNOS'!$C$4:$C$22,MATCH($J33,'CAT_TURNOS'!$A$4:$A$22,0)),"")</f>
        <v/>
      </c>
      <c r="P33" s="24">
        <f>IFERROR(INDEX('CAT_TURNOS'!$D$4:$D$22,MATCH($J33,'CAT_TURNOS'!$A$4:$A$22,0)),"")</f>
        <v/>
      </c>
      <c r="Q33" s="24">
        <f>IF(AND(LEFT($G33,1)="T",$H33="no"),"sí","no")</f>
        <v/>
      </c>
    </row>
    <row r="34">
      <c r="A34" s="5" t="inlineStr">
        <is>
          <t>2026-S30</t>
        </is>
      </c>
      <c r="B34" s="5" t="inlineStr">
        <is>
          <t>miércoles</t>
        </is>
      </c>
      <c r="C34" s="5" t="inlineStr">
        <is>
          <t>Ana Sánchez</t>
        </is>
      </c>
      <c r="D34" s="24">
        <f>IFERROR(INDEX('TECNICOS'!$D$4:$D$19,MATCH($C34,'TECNICOS'!$B$4:$B$19,0)),"")</f>
        <v/>
      </c>
      <c r="E34" s="24">
        <f>IFERROR(INDEX('TECNICOS'!$C$4:$C$19,MATCH($C34,'TECNICOS'!$B$4:$B$19,0)),"")</f>
        <v/>
      </c>
      <c r="F34" s="24">
        <f>COUNTIFS('TECNICOS'!$F$4:$F$19,"sí",'TECNICOS'!$C$4:$C$19,$E34,'TECNICOS'!$D$4:$D$19,$D34,'TECNICOS'!$H$4:$H$19,"sí")</f>
        <v/>
      </c>
      <c r="G34" s="24">
        <f>IF(OR($C34="",$A34="",$B34="domingo",IFERROR(INDEX('TECNICOS'!$H$4:$H$19,MATCH($C34,'TECNICOS'!$B$4:$B$19,0)),"no")&lt;&gt;"sí"),"",IF(IFERROR(INDEX('TECNICOS'!$F$4:$F$19,MATCH($C34,'TECNICOS'!$B$4:$B$19,0)),"no")&lt;&gt;"sí","B",IF(MOD((IFERROR(INDEX('TECNICOS'!$G$4:$G$19,MATCH($C34,'TECNICOS'!$B$4:$B$19,0)),0)-1)+((DATE(VALUE(LEFT($A34,4)),1,4)-WEEKDAY(DATE(VALUE(LEFT($A34,4)),1,4),2)+1+(VALUE(MID($A34,7,2))-1)*7)-p_semana_referencia)/7,$F34)&lt;($F34-3),"B"&amp;(($F34-3)-MOD((IFERROR(INDEX('TECNICOS'!$G$4:$G$19,MATCH($C34,'TECNICOS'!$B$4:$B$19,0)),0)-1)+((DATE(VALUE(LEFT($A34,4)),1,4)-WEEKDAY(DATE(VALUE(LEFT($A34,4)),1,4),2)+1+(VALUE(MID($A34,7,2))-1)*7)-p_semana_referencia)/7,$F34)),"T"&amp;($F34-MOD((IFERROR(INDEX('TECNICOS'!$G$4:$G$19,MATCH($C34,'TECNICOS'!$B$4:$B$19,0)),0)-1)+((DATE(VALUE(LEFT($A34,4)),1,4)-WEEKDAY(DATE(VALUE(LEFT($A34,4)),1,4),2)+1+(VALUE(MID($A34,7,2))-1)*7)-p_semana_referencia)/7,$F34)))))</f>
        <v/>
      </c>
      <c r="H34" s="24">
        <f>IF(COUNTIFS('PLAN_VACACIONES'!$A$4:$A$103,$C34,'PLAN_VACACIONES'!$B$4:$B$103,"&lt;="&amp;$L34,'PLAN_VACACIONES'!$C$4:$C$103,"&gt;="&amp;$L34)&gt;0,"sí","no")</f>
        <v/>
      </c>
      <c r="I34" s="4" t="n"/>
      <c r="J34" s="24">
        <f>IF($I34&lt;&gt;"",$I34,IF($G34="","",IF($H34="sí","VAC",IF(LEFT($G34,1)="B","B",$G34))))</f>
        <v/>
      </c>
      <c r="K34" s="24">
        <f>IFERROR(INDEX('TECNICOS'!$E$4:$E$19,MATCH($C34,'TECNICOS'!$B$4:$B$19,0)),"")</f>
        <v/>
      </c>
      <c r="L34" s="30">
        <f>IF($A34="","",DATE(VALUE(LEFT($A34,4)),1,4)-WEEKDAY(DATE(VALUE(LEFT($A34,4)),1,4),2)+1+(VALUE(MID($A34,7,2))-1)*7+MATCH($B34,lista_dias,0)-1)</f>
        <v/>
      </c>
      <c r="M34" s="24">
        <f>IF(OR($J34="",ISNUMBER(MATCH($J34,lista_no_disponible,0)),(IFERROR(INDEX('CALENDARIO'!$C$15:$C$214,MATCH(TEXT($L34,"yyyy-mm-dd")&amp;"|"&amp;$D34&amp;"|"&amp;"",'CALENDARIO'!$G$15:$G$214,0)),IFERROR(INDEX('CALENDARIO'!$C$15:$C$214,MATCH(TEXT($L34,"yyyy-mm-dd")&amp;"|"&amp;$D34&amp;"|",'CALENDARIO'!$G$15:$G$214,0)),IFERROR(INDEX('CALENDARIO'!$C$15:$C$214,MATCH(TEXT($L34,"yyyy-mm-dd")&amp;"||",'CALENDARIO'!$G$15:$G$214,0)),INDEX(patronHabil,WEEKDAY($L34,2))))))&lt;&gt;"sí"),0,p_horas_jornada)</f>
        <v/>
      </c>
      <c r="N34" s="24">
        <f>$A34&amp;"|"&amp;$B34&amp;"|"&amp;$C34</f>
        <v/>
      </c>
      <c r="O34" s="24">
        <f>IFERROR(INDEX('CAT_TURNOS'!$C$4:$C$22,MATCH($J34,'CAT_TURNOS'!$A$4:$A$22,0)),"")</f>
        <v/>
      </c>
      <c r="P34" s="24">
        <f>IFERROR(INDEX('CAT_TURNOS'!$D$4:$D$22,MATCH($J34,'CAT_TURNOS'!$A$4:$A$22,0)),"")</f>
        <v/>
      </c>
      <c r="Q34" s="24">
        <f>IF(AND(LEFT($G34,1)="T",$H34="no"),"sí","no")</f>
        <v/>
      </c>
    </row>
    <row r="35">
      <c r="A35" s="5" t="inlineStr">
        <is>
          <t>2026-S30</t>
        </is>
      </c>
      <c r="B35" s="5" t="inlineStr">
        <is>
          <t>jueves</t>
        </is>
      </c>
      <c r="C35" s="5" t="inlineStr">
        <is>
          <t>Ana Sánchez</t>
        </is>
      </c>
      <c r="D35" s="24">
        <f>IFERROR(INDEX('TECNICOS'!$D$4:$D$19,MATCH($C35,'TECNICOS'!$B$4:$B$19,0)),"")</f>
        <v/>
      </c>
      <c r="E35" s="24">
        <f>IFERROR(INDEX('TECNICOS'!$C$4:$C$19,MATCH($C35,'TECNICOS'!$B$4:$B$19,0)),"")</f>
        <v/>
      </c>
      <c r="F35" s="24">
        <f>COUNTIFS('TECNICOS'!$F$4:$F$19,"sí",'TECNICOS'!$C$4:$C$19,$E35,'TECNICOS'!$D$4:$D$19,$D35,'TECNICOS'!$H$4:$H$19,"sí")</f>
        <v/>
      </c>
      <c r="G35" s="24">
        <f>IF(OR($C35="",$A35="",$B35="domingo",IFERROR(INDEX('TECNICOS'!$H$4:$H$19,MATCH($C35,'TECNICOS'!$B$4:$B$19,0)),"no")&lt;&gt;"sí"),"",IF(IFERROR(INDEX('TECNICOS'!$F$4:$F$19,MATCH($C35,'TECNICOS'!$B$4:$B$19,0)),"no")&lt;&gt;"sí","B",IF(MOD((IFERROR(INDEX('TECNICOS'!$G$4:$G$19,MATCH($C35,'TECNICOS'!$B$4:$B$19,0)),0)-1)+((DATE(VALUE(LEFT($A35,4)),1,4)-WEEKDAY(DATE(VALUE(LEFT($A35,4)),1,4),2)+1+(VALUE(MID($A35,7,2))-1)*7)-p_semana_referencia)/7,$F35)&lt;($F35-3),"B"&amp;(($F35-3)-MOD((IFERROR(INDEX('TECNICOS'!$G$4:$G$19,MATCH($C35,'TECNICOS'!$B$4:$B$19,0)),0)-1)+((DATE(VALUE(LEFT($A35,4)),1,4)-WEEKDAY(DATE(VALUE(LEFT($A35,4)),1,4),2)+1+(VALUE(MID($A35,7,2))-1)*7)-p_semana_referencia)/7,$F35)),"T"&amp;($F35-MOD((IFERROR(INDEX('TECNICOS'!$G$4:$G$19,MATCH($C35,'TECNICOS'!$B$4:$B$19,0)),0)-1)+((DATE(VALUE(LEFT($A35,4)),1,4)-WEEKDAY(DATE(VALUE(LEFT($A35,4)),1,4),2)+1+(VALUE(MID($A35,7,2))-1)*7)-p_semana_referencia)/7,$F35)))))</f>
        <v/>
      </c>
      <c r="H35" s="24">
        <f>IF(COUNTIFS('PLAN_VACACIONES'!$A$4:$A$103,$C35,'PLAN_VACACIONES'!$B$4:$B$103,"&lt;="&amp;$L35,'PLAN_VACACIONES'!$C$4:$C$103,"&gt;="&amp;$L35)&gt;0,"sí","no")</f>
        <v/>
      </c>
      <c r="I35" s="4" t="n"/>
      <c r="J35" s="24">
        <f>IF($I35&lt;&gt;"",$I35,IF($G35="","",IF($H35="sí","VAC",IF(LEFT($G35,1)="B","B",$G35))))</f>
        <v/>
      </c>
      <c r="K35" s="24">
        <f>IFERROR(INDEX('TECNICOS'!$E$4:$E$19,MATCH($C35,'TECNICOS'!$B$4:$B$19,0)),"")</f>
        <v/>
      </c>
      <c r="L35" s="30">
        <f>IF($A35="","",DATE(VALUE(LEFT($A35,4)),1,4)-WEEKDAY(DATE(VALUE(LEFT($A35,4)),1,4),2)+1+(VALUE(MID($A35,7,2))-1)*7+MATCH($B35,lista_dias,0)-1)</f>
        <v/>
      </c>
      <c r="M35" s="24">
        <f>IF(OR($J35="",ISNUMBER(MATCH($J35,lista_no_disponible,0)),(IFERROR(INDEX('CALENDARIO'!$C$15:$C$214,MATCH(TEXT($L35,"yyyy-mm-dd")&amp;"|"&amp;$D35&amp;"|"&amp;"",'CALENDARIO'!$G$15:$G$214,0)),IFERROR(INDEX('CALENDARIO'!$C$15:$C$214,MATCH(TEXT($L35,"yyyy-mm-dd")&amp;"|"&amp;$D35&amp;"|",'CALENDARIO'!$G$15:$G$214,0)),IFERROR(INDEX('CALENDARIO'!$C$15:$C$214,MATCH(TEXT($L35,"yyyy-mm-dd")&amp;"||",'CALENDARIO'!$G$15:$G$214,0)),INDEX(patronHabil,WEEKDAY($L35,2))))))&lt;&gt;"sí"),0,p_horas_jornada)</f>
        <v/>
      </c>
      <c r="N35" s="24">
        <f>$A35&amp;"|"&amp;$B35&amp;"|"&amp;$C35</f>
        <v/>
      </c>
      <c r="O35" s="24">
        <f>IFERROR(INDEX('CAT_TURNOS'!$C$4:$C$22,MATCH($J35,'CAT_TURNOS'!$A$4:$A$22,0)),"")</f>
        <v/>
      </c>
      <c r="P35" s="24">
        <f>IFERROR(INDEX('CAT_TURNOS'!$D$4:$D$22,MATCH($J35,'CAT_TURNOS'!$A$4:$A$22,0)),"")</f>
        <v/>
      </c>
      <c r="Q35" s="24">
        <f>IF(AND(LEFT($G35,1)="T",$H35="no"),"sí","no")</f>
        <v/>
      </c>
    </row>
    <row r="36">
      <c r="A36" s="5" t="inlineStr">
        <is>
          <t>2026-S30</t>
        </is>
      </c>
      <c r="B36" s="5" t="inlineStr">
        <is>
          <t>viernes</t>
        </is>
      </c>
      <c r="C36" s="5" t="inlineStr">
        <is>
          <t>Ana Sánchez</t>
        </is>
      </c>
      <c r="D36" s="24">
        <f>IFERROR(INDEX('TECNICOS'!$D$4:$D$19,MATCH($C36,'TECNICOS'!$B$4:$B$19,0)),"")</f>
        <v/>
      </c>
      <c r="E36" s="24">
        <f>IFERROR(INDEX('TECNICOS'!$C$4:$C$19,MATCH($C36,'TECNICOS'!$B$4:$B$19,0)),"")</f>
        <v/>
      </c>
      <c r="F36" s="24">
        <f>COUNTIFS('TECNICOS'!$F$4:$F$19,"sí",'TECNICOS'!$C$4:$C$19,$E36,'TECNICOS'!$D$4:$D$19,$D36,'TECNICOS'!$H$4:$H$19,"sí")</f>
        <v/>
      </c>
      <c r="G36" s="24">
        <f>IF(OR($C36="",$A36="",$B36="domingo",IFERROR(INDEX('TECNICOS'!$H$4:$H$19,MATCH($C36,'TECNICOS'!$B$4:$B$19,0)),"no")&lt;&gt;"sí"),"",IF(IFERROR(INDEX('TECNICOS'!$F$4:$F$19,MATCH($C36,'TECNICOS'!$B$4:$B$19,0)),"no")&lt;&gt;"sí","B",IF(MOD((IFERROR(INDEX('TECNICOS'!$G$4:$G$19,MATCH($C36,'TECNICOS'!$B$4:$B$19,0)),0)-1)+((DATE(VALUE(LEFT($A36,4)),1,4)-WEEKDAY(DATE(VALUE(LEFT($A36,4)),1,4),2)+1+(VALUE(MID($A36,7,2))-1)*7)-p_semana_referencia)/7,$F36)&lt;($F36-3),"B"&amp;(($F36-3)-MOD((IFERROR(INDEX('TECNICOS'!$G$4:$G$19,MATCH($C36,'TECNICOS'!$B$4:$B$19,0)),0)-1)+((DATE(VALUE(LEFT($A36,4)),1,4)-WEEKDAY(DATE(VALUE(LEFT($A36,4)),1,4),2)+1+(VALUE(MID($A36,7,2))-1)*7)-p_semana_referencia)/7,$F36)),"T"&amp;($F36-MOD((IFERROR(INDEX('TECNICOS'!$G$4:$G$19,MATCH($C36,'TECNICOS'!$B$4:$B$19,0)),0)-1)+((DATE(VALUE(LEFT($A36,4)),1,4)-WEEKDAY(DATE(VALUE(LEFT($A36,4)),1,4),2)+1+(VALUE(MID($A36,7,2))-1)*7)-p_semana_referencia)/7,$F36)))))</f>
        <v/>
      </c>
      <c r="H36" s="24">
        <f>IF(COUNTIFS('PLAN_VACACIONES'!$A$4:$A$103,$C36,'PLAN_VACACIONES'!$B$4:$B$103,"&lt;="&amp;$L36,'PLAN_VACACIONES'!$C$4:$C$103,"&gt;="&amp;$L36)&gt;0,"sí","no")</f>
        <v/>
      </c>
      <c r="I36" s="4" t="n"/>
      <c r="J36" s="24">
        <f>IF($I36&lt;&gt;"",$I36,IF($G36="","",IF($H36="sí","VAC",IF(LEFT($G36,1)="B","B",$G36))))</f>
        <v/>
      </c>
      <c r="K36" s="24">
        <f>IFERROR(INDEX('TECNICOS'!$E$4:$E$19,MATCH($C36,'TECNICOS'!$B$4:$B$19,0)),"")</f>
        <v/>
      </c>
      <c r="L36" s="30">
        <f>IF($A36="","",DATE(VALUE(LEFT($A36,4)),1,4)-WEEKDAY(DATE(VALUE(LEFT($A36,4)),1,4),2)+1+(VALUE(MID($A36,7,2))-1)*7+MATCH($B36,lista_dias,0)-1)</f>
        <v/>
      </c>
      <c r="M36" s="24">
        <f>IF(OR($J36="",ISNUMBER(MATCH($J36,lista_no_disponible,0)),(IFERROR(INDEX('CALENDARIO'!$C$15:$C$214,MATCH(TEXT($L36,"yyyy-mm-dd")&amp;"|"&amp;$D36&amp;"|"&amp;"",'CALENDARIO'!$G$15:$G$214,0)),IFERROR(INDEX('CALENDARIO'!$C$15:$C$214,MATCH(TEXT($L36,"yyyy-mm-dd")&amp;"|"&amp;$D36&amp;"|",'CALENDARIO'!$G$15:$G$214,0)),IFERROR(INDEX('CALENDARIO'!$C$15:$C$214,MATCH(TEXT($L36,"yyyy-mm-dd")&amp;"||",'CALENDARIO'!$G$15:$G$214,0)),INDEX(patronHabil,WEEKDAY($L36,2))))))&lt;&gt;"sí"),0,p_horas_jornada)</f>
        <v/>
      </c>
      <c r="N36" s="24">
        <f>$A36&amp;"|"&amp;$B36&amp;"|"&amp;$C36</f>
        <v/>
      </c>
      <c r="O36" s="24">
        <f>IFERROR(INDEX('CAT_TURNOS'!$C$4:$C$22,MATCH($J36,'CAT_TURNOS'!$A$4:$A$22,0)),"")</f>
        <v/>
      </c>
      <c r="P36" s="24">
        <f>IFERROR(INDEX('CAT_TURNOS'!$D$4:$D$22,MATCH($J36,'CAT_TURNOS'!$A$4:$A$22,0)),"")</f>
        <v/>
      </c>
      <c r="Q36" s="24">
        <f>IF(AND(LEFT($G36,1)="T",$H36="no"),"sí","no")</f>
        <v/>
      </c>
    </row>
    <row r="37">
      <c r="A37" s="5" t="inlineStr">
        <is>
          <t>2026-S30</t>
        </is>
      </c>
      <c r="B37" s="5" t="inlineStr">
        <is>
          <t>sábado</t>
        </is>
      </c>
      <c r="C37" s="5" t="inlineStr">
        <is>
          <t>Ana Sánchez</t>
        </is>
      </c>
      <c r="D37" s="24">
        <f>IFERROR(INDEX('TECNICOS'!$D$4:$D$19,MATCH($C37,'TECNICOS'!$B$4:$B$19,0)),"")</f>
        <v/>
      </c>
      <c r="E37" s="24">
        <f>IFERROR(INDEX('TECNICOS'!$C$4:$C$19,MATCH($C37,'TECNICOS'!$B$4:$B$19,0)),"")</f>
        <v/>
      </c>
      <c r="F37" s="24">
        <f>COUNTIFS('TECNICOS'!$F$4:$F$19,"sí",'TECNICOS'!$C$4:$C$19,$E37,'TECNICOS'!$D$4:$D$19,$D37,'TECNICOS'!$H$4:$H$19,"sí")</f>
        <v/>
      </c>
      <c r="G37" s="24">
        <f>IF(OR($C37="",$A37="",$B37="domingo",IFERROR(INDEX('TECNICOS'!$H$4:$H$19,MATCH($C37,'TECNICOS'!$B$4:$B$19,0)),"no")&lt;&gt;"sí"),"",IF(IFERROR(INDEX('TECNICOS'!$F$4:$F$19,MATCH($C37,'TECNICOS'!$B$4:$B$19,0)),"no")&lt;&gt;"sí","B",IF(MOD((IFERROR(INDEX('TECNICOS'!$G$4:$G$19,MATCH($C37,'TECNICOS'!$B$4:$B$19,0)),0)-1)+((DATE(VALUE(LEFT($A37,4)),1,4)-WEEKDAY(DATE(VALUE(LEFT($A37,4)),1,4),2)+1+(VALUE(MID($A37,7,2))-1)*7)-p_semana_referencia)/7,$F37)&lt;($F37-3),"B"&amp;(($F37-3)-MOD((IFERROR(INDEX('TECNICOS'!$G$4:$G$19,MATCH($C37,'TECNICOS'!$B$4:$B$19,0)),0)-1)+((DATE(VALUE(LEFT($A37,4)),1,4)-WEEKDAY(DATE(VALUE(LEFT($A37,4)),1,4),2)+1+(VALUE(MID($A37,7,2))-1)*7)-p_semana_referencia)/7,$F37)),"T"&amp;($F37-MOD((IFERROR(INDEX('TECNICOS'!$G$4:$G$19,MATCH($C37,'TECNICOS'!$B$4:$B$19,0)),0)-1)+((DATE(VALUE(LEFT($A37,4)),1,4)-WEEKDAY(DATE(VALUE(LEFT($A37,4)),1,4),2)+1+(VALUE(MID($A37,7,2))-1)*7)-p_semana_referencia)/7,$F37)))))</f>
        <v/>
      </c>
      <c r="H37" s="24">
        <f>IF(COUNTIFS('PLAN_VACACIONES'!$A$4:$A$103,$C37,'PLAN_VACACIONES'!$B$4:$B$103,"&lt;="&amp;$L37,'PLAN_VACACIONES'!$C$4:$C$103,"&gt;="&amp;$L37)&gt;0,"sí","no")</f>
        <v/>
      </c>
      <c r="I37" s="4" t="n"/>
      <c r="J37" s="24">
        <f>IF($I37&lt;&gt;"",$I37,IF($G37="","",IF($H37="sí","VAC",IF(LEFT($G37,1)="B","B",$G37))))</f>
        <v/>
      </c>
      <c r="K37" s="24">
        <f>IFERROR(INDEX('TECNICOS'!$E$4:$E$19,MATCH($C37,'TECNICOS'!$B$4:$B$19,0)),"")</f>
        <v/>
      </c>
      <c r="L37" s="30">
        <f>IF($A37="","",DATE(VALUE(LEFT($A37,4)),1,4)-WEEKDAY(DATE(VALUE(LEFT($A37,4)),1,4),2)+1+(VALUE(MID($A37,7,2))-1)*7+MATCH($B37,lista_dias,0)-1)</f>
        <v/>
      </c>
      <c r="M37" s="24">
        <f>IF(OR($J37="",ISNUMBER(MATCH($J37,lista_no_disponible,0)),(IFERROR(INDEX('CALENDARIO'!$C$15:$C$214,MATCH(TEXT($L37,"yyyy-mm-dd")&amp;"|"&amp;$D37&amp;"|"&amp;"",'CALENDARIO'!$G$15:$G$214,0)),IFERROR(INDEX('CALENDARIO'!$C$15:$C$214,MATCH(TEXT($L37,"yyyy-mm-dd")&amp;"|"&amp;$D37&amp;"|",'CALENDARIO'!$G$15:$G$214,0)),IFERROR(INDEX('CALENDARIO'!$C$15:$C$214,MATCH(TEXT($L37,"yyyy-mm-dd")&amp;"||",'CALENDARIO'!$G$15:$G$214,0)),INDEX(patronHabil,WEEKDAY($L37,2))))))&lt;&gt;"sí"),0,p_horas_jornada)</f>
        <v/>
      </c>
      <c r="N37" s="24">
        <f>$A37&amp;"|"&amp;$B37&amp;"|"&amp;$C37</f>
        <v/>
      </c>
      <c r="O37" s="24">
        <f>IFERROR(INDEX('CAT_TURNOS'!$C$4:$C$22,MATCH($J37,'CAT_TURNOS'!$A$4:$A$22,0)),"")</f>
        <v/>
      </c>
      <c r="P37" s="24">
        <f>IFERROR(INDEX('CAT_TURNOS'!$D$4:$D$22,MATCH($J37,'CAT_TURNOS'!$A$4:$A$22,0)),"")</f>
        <v/>
      </c>
      <c r="Q37" s="24">
        <f>IF(AND(LEFT($G37,1)="T",$H37="no"),"sí","no")</f>
        <v/>
      </c>
    </row>
    <row r="38">
      <c r="A38" s="5" t="inlineStr">
        <is>
          <t>2026-S30</t>
        </is>
      </c>
      <c r="B38" s="5" t="inlineStr">
        <is>
          <t>domingo</t>
        </is>
      </c>
      <c r="C38" s="5" t="inlineStr">
        <is>
          <t>Ana Sánchez</t>
        </is>
      </c>
      <c r="D38" s="24">
        <f>IFERROR(INDEX('TECNICOS'!$D$4:$D$19,MATCH($C38,'TECNICOS'!$B$4:$B$19,0)),"")</f>
        <v/>
      </c>
      <c r="E38" s="24">
        <f>IFERROR(INDEX('TECNICOS'!$C$4:$C$19,MATCH($C38,'TECNICOS'!$B$4:$B$19,0)),"")</f>
        <v/>
      </c>
      <c r="F38" s="24">
        <f>COUNTIFS('TECNICOS'!$F$4:$F$19,"sí",'TECNICOS'!$C$4:$C$19,$E38,'TECNICOS'!$D$4:$D$19,$D38,'TECNICOS'!$H$4:$H$19,"sí")</f>
        <v/>
      </c>
      <c r="G38" s="24">
        <f>IF(OR($C38="",$A38="",$B38="domingo",IFERROR(INDEX('TECNICOS'!$H$4:$H$19,MATCH($C38,'TECNICOS'!$B$4:$B$19,0)),"no")&lt;&gt;"sí"),"",IF(IFERROR(INDEX('TECNICOS'!$F$4:$F$19,MATCH($C38,'TECNICOS'!$B$4:$B$19,0)),"no")&lt;&gt;"sí","B",IF(MOD((IFERROR(INDEX('TECNICOS'!$G$4:$G$19,MATCH($C38,'TECNICOS'!$B$4:$B$19,0)),0)-1)+((DATE(VALUE(LEFT($A38,4)),1,4)-WEEKDAY(DATE(VALUE(LEFT($A38,4)),1,4),2)+1+(VALUE(MID($A38,7,2))-1)*7)-p_semana_referencia)/7,$F38)&lt;($F38-3),"B"&amp;(($F38-3)-MOD((IFERROR(INDEX('TECNICOS'!$G$4:$G$19,MATCH($C38,'TECNICOS'!$B$4:$B$19,0)),0)-1)+((DATE(VALUE(LEFT($A38,4)),1,4)-WEEKDAY(DATE(VALUE(LEFT($A38,4)),1,4),2)+1+(VALUE(MID($A38,7,2))-1)*7)-p_semana_referencia)/7,$F38)),"T"&amp;($F38-MOD((IFERROR(INDEX('TECNICOS'!$G$4:$G$19,MATCH($C38,'TECNICOS'!$B$4:$B$19,0)),0)-1)+((DATE(VALUE(LEFT($A38,4)),1,4)-WEEKDAY(DATE(VALUE(LEFT($A38,4)),1,4),2)+1+(VALUE(MID($A38,7,2))-1)*7)-p_semana_referencia)/7,$F38)))))</f>
        <v/>
      </c>
      <c r="H38" s="24">
        <f>IF(COUNTIFS('PLAN_VACACIONES'!$A$4:$A$103,$C38,'PLAN_VACACIONES'!$B$4:$B$103,"&lt;="&amp;$L38,'PLAN_VACACIONES'!$C$4:$C$103,"&gt;="&amp;$L38)&gt;0,"sí","no")</f>
        <v/>
      </c>
      <c r="I38" s="4" t="n"/>
      <c r="J38" s="24">
        <f>IF($I38&lt;&gt;"",$I38,IF($G38="","",IF($H38="sí","VAC",IF(LEFT($G38,1)="B","B",$G38))))</f>
        <v/>
      </c>
      <c r="K38" s="24">
        <f>IFERROR(INDEX('TECNICOS'!$E$4:$E$19,MATCH($C38,'TECNICOS'!$B$4:$B$19,0)),"")</f>
        <v/>
      </c>
      <c r="L38" s="30">
        <f>IF($A38="","",DATE(VALUE(LEFT($A38,4)),1,4)-WEEKDAY(DATE(VALUE(LEFT($A38,4)),1,4),2)+1+(VALUE(MID($A38,7,2))-1)*7+MATCH($B38,lista_dias,0)-1)</f>
        <v/>
      </c>
      <c r="M38" s="24">
        <f>IF(OR($J38="",ISNUMBER(MATCH($J38,lista_no_disponible,0)),(IFERROR(INDEX('CALENDARIO'!$C$15:$C$214,MATCH(TEXT($L38,"yyyy-mm-dd")&amp;"|"&amp;$D38&amp;"|"&amp;"",'CALENDARIO'!$G$15:$G$214,0)),IFERROR(INDEX('CALENDARIO'!$C$15:$C$214,MATCH(TEXT($L38,"yyyy-mm-dd")&amp;"|"&amp;$D38&amp;"|",'CALENDARIO'!$G$15:$G$214,0)),IFERROR(INDEX('CALENDARIO'!$C$15:$C$214,MATCH(TEXT($L38,"yyyy-mm-dd")&amp;"||",'CALENDARIO'!$G$15:$G$214,0)),INDEX(patronHabil,WEEKDAY($L38,2))))))&lt;&gt;"sí"),0,p_horas_jornada)</f>
        <v/>
      </c>
      <c r="N38" s="24">
        <f>$A38&amp;"|"&amp;$B38&amp;"|"&amp;$C38</f>
        <v/>
      </c>
      <c r="O38" s="24">
        <f>IFERROR(INDEX('CAT_TURNOS'!$C$4:$C$22,MATCH($J38,'CAT_TURNOS'!$A$4:$A$22,0)),"")</f>
        <v/>
      </c>
      <c r="P38" s="24">
        <f>IFERROR(INDEX('CAT_TURNOS'!$D$4:$D$22,MATCH($J38,'CAT_TURNOS'!$A$4:$A$22,0)),"")</f>
        <v/>
      </c>
      <c r="Q38" s="24">
        <f>IF(AND(LEFT($G38,1)="T",$H38="no"),"sí","no")</f>
        <v/>
      </c>
    </row>
    <row r="39">
      <c r="A39" s="5" t="inlineStr">
        <is>
          <t>2026-S30</t>
        </is>
      </c>
      <c r="B39" s="5" t="inlineStr">
        <is>
          <t>lunes</t>
        </is>
      </c>
      <c r="C39" s="5" t="inlineStr">
        <is>
          <t>David Torres</t>
        </is>
      </c>
      <c r="D39" s="24">
        <f>IFERROR(INDEX('TECNICOS'!$D$4:$D$19,MATCH($C39,'TECNICOS'!$B$4:$B$19,0)),"")</f>
        <v/>
      </c>
      <c r="E39" s="24">
        <f>IFERROR(INDEX('TECNICOS'!$C$4:$C$19,MATCH($C39,'TECNICOS'!$B$4:$B$19,0)),"")</f>
        <v/>
      </c>
      <c r="F39" s="24">
        <f>COUNTIFS('TECNICOS'!$F$4:$F$19,"sí",'TECNICOS'!$C$4:$C$19,$E39,'TECNICOS'!$D$4:$D$19,$D39,'TECNICOS'!$H$4:$H$19,"sí")</f>
        <v/>
      </c>
      <c r="G39" s="24">
        <f>IF(OR($C39="",$A39="",$B39="domingo",IFERROR(INDEX('TECNICOS'!$H$4:$H$19,MATCH($C39,'TECNICOS'!$B$4:$B$19,0)),"no")&lt;&gt;"sí"),"",IF(IFERROR(INDEX('TECNICOS'!$F$4:$F$19,MATCH($C39,'TECNICOS'!$B$4:$B$19,0)),"no")&lt;&gt;"sí","B",IF(MOD((IFERROR(INDEX('TECNICOS'!$G$4:$G$19,MATCH($C39,'TECNICOS'!$B$4:$B$19,0)),0)-1)+((DATE(VALUE(LEFT($A39,4)),1,4)-WEEKDAY(DATE(VALUE(LEFT($A39,4)),1,4),2)+1+(VALUE(MID($A39,7,2))-1)*7)-p_semana_referencia)/7,$F39)&lt;($F39-3),"B"&amp;(($F39-3)-MOD((IFERROR(INDEX('TECNICOS'!$G$4:$G$19,MATCH($C39,'TECNICOS'!$B$4:$B$19,0)),0)-1)+((DATE(VALUE(LEFT($A39,4)),1,4)-WEEKDAY(DATE(VALUE(LEFT($A39,4)),1,4),2)+1+(VALUE(MID($A39,7,2))-1)*7)-p_semana_referencia)/7,$F39)),"T"&amp;($F39-MOD((IFERROR(INDEX('TECNICOS'!$G$4:$G$19,MATCH($C39,'TECNICOS'!$B$4:$B$19,0)),0)-1)+((DATE(VALUE(LEFT($A39,4)),1,4)-WEEKDAY(DATE(VALUE(LEFT($A39,4)),1,4),2)+1+(VALUE(MID($A39,7,2))-1)*7)-p_semana_referencia)/7,$F39)))))</f>
        <v/>
      </c>
      <c r="H39" s="24">
        <f>IF(COUNTIFS('PLAN_VACACIONES'!$A$4:$A$103,$C39,'PLAN_VACACIONES'!$B$4:$B$103,"&lt;="&amp;$L39,'PLAN_VACACIONES'!$C$4:$C$103,"&gt;="&amp;$L39)&gt;0,"sí","no")</f>
        <v/>
      </c>
      <c r="I39" s="4" t="n"/>
      <c r="J39" s="24">
        <f>IF($I39&lt;&gt;"",$I39,IF($G39="","",IF($H39="sí","VAC",IF(LEFT($G39,1)="B","B",$G39))))</f>
        <v/>
      </c>
      <c r="K39" s="24">
        <f>IFERROR(INDEX('TECNICOS'!$E$4:$E$19,MATCH($C39,'TECNICOS'!$B$4:$B$19,0)),"")</f>
        <v/>
      </c>
      <c r="L39" s="30">
        <f>IF($A39="","",DATE(VALUE(LEFT($A39,4)),1,4)-WEEKDAY(DATE(VALUE(LEFT($A39,4)),1,4),2)+1+(VALUE(MID($A39,7,2))-1)*7+MATCH($B39,lista_dias,0)-1)</f>
        <v/>
      </c>
      <c r="M39" s="24">
        <f>IF(OR($J39="",ISNUMBER(MATCH($J39,lista_no_disponible,0)),(IFERROR(INDEX('CALENDARIO'!$C$15:$C$214,MATCH(TEXT($L39,"yyyy-mm-dd")&amp;"|"&amp;$D39&amp;"|"&amp;"",'CALENDARIO'!$G$15:$G$214,0)),IFERROR(INDEX('CALENDARIO'!$C$15:$C$214,MATCH(TEXT($L39,"yyyy-mm-dd")&amp;"|"&amp;$D39&amp;"|",'CALENDARIO'!$G$15:$G$214,0)),IFERROR(INDEX('CALENDARIO'!$C$15:$C$214,MATCH(TEXT($L39,"yyyy-mm-dd")&amp;"||",'CALENDARIO'!$G$15:$G$214,0)),INDEX(patronHabil,WEEKDAY($L39,2))))))&lt;&gt;"sí"),0,p_horas_jornada)</f>
        <v/>
      </c>
      <c r="N39" s="24">
        <f>$A39&amp;"|"&amp;$B39&amp;"|"&amp;$C39</f>
        <v/>
      </c>
      <c r="O39" s="24">
        <f>IFERROR(INDEX('CAT_TURNOS'!$C$4:$C$22,MATCH($J39,'CAT_TURNOS'!$A$4:$A$22,0)),"")</f>
        <v/>
      </c>
      <c r="P39" s="24">
        <f>IFERROR(INDEX('CAT_TURNOS'!$D$4:$D$22,MATCH($J39,'CAT_TURNOS'!$A$4:$A$22,0)),"")</f>
        <v/>
      </c>
      <c r="Q39" s="24">
        <f>IF(AND(LEFT($G39,1)="T",$H39="no"),"sí","no")</f>
        <v/>
      </c>
    </row>
    <row r="40">
      <c r="A40" s="5" t="inlineStr">
        <is>
          <t>2026-S30</t>
        </is>
      </c>
      <c r="B40" s="5" t="inlineStr">
        <is>
          <t>martes</t>
        </is>
      </c>
      <c r="C40" s="5" t="inlineStr">
        <is>
          <t>David Torres</t>
        </is>
      </c>
      <c r="D40" s="24">
        <f>IFERROR(INDEX('TECNICOS'!$D$4:$D$19,MATCH($C40,'TECNICOS'!$B$4:$B$19,0)),"")</f>
        <v/>
      </c>
      <c r="E40" s="24">
        <f>IFERROR(INDEX('TECNICOS'!$C$4:$C$19,MATCH($C40,'TECNICOS'!$B$4:$B$19,0)),"")</f>
        <v/>
      </c>
      <c r="F40" s="24">
        <f>COUNTIFS('TECNICOS'!$F$4:$F$19,"sí",'TECNICOS'!$C$4:$C$19,$E40,'TECNICOS'!$D$4:$D$19,$D40,'TECNICOS'!$H$4:$H$19,"sí")</f>
        <v/>
      </c>
      <c r="G40" s="24">
        <f>IF(OR($C40="",$A40="",$B40="domingo",IFERROR(INDEX('TECNICOS'!$H$4:$H$19,MATCH($C40,'TECNICOS'!$B$4:$B$19,0)),"no")&lt;&gt;"sí"),"",IF(IFERROR(INDEX('TECNICOS'!$F$4:$F$19,MATCH($C40,'TECNICOS'!$B$4:$B$19,0)),"no")&lt;&gt;"sí","B",IF(MOD((IFERROR(INDEX('TECNICOS'!$G$4:$G$19,MATCH($C40,'TECNICOS'!$B$4:$B$19,0)),0)-1)+((DATE(VALUE(LEFT($A40,4)),1,4)-WEEKDAY(DATE(VALUE(LEFT($A40,4)),1,4),2)+1+(VALUE(MID($A40,7,2))-1)*7)-p_semana_referencia)/7,$F40)&lt;($F40-3),"B"&amp;(($F40-3)-MOD((IFERROR(INDEX('TECNICOS'!$G$4:$G$19,MATCH($C40,'TECNICOS'!$B$4:$B$19,0)),0)-1)+((DATE(VALUE(LEFT($A40,4)),1,4)-WEEKDAY(DATE(VALUE(LEFT($A40,4)),1,4),2)+1+(VALUE(MID($A40,7,2))-1)*7)-p_semana_referencia)/7,$F40)),"T"&amp;($F40-MOD((IFERROR(INDEX('TECNICOS'!$G$4:$G$19,MATCH($C40,'TECNICOS'!$B$4:$B$19,0)),0)-1)+((DATE(VALUE(LEFT($A40,4)),1,4)-WEEKDAY(DATE(VALUE(LEFT($A40,4)),1,4),2)+1+(VALUE(MID($A40,7,2))-1)*7)-p_semana_referencia)/7,$F40)))))</f>
        <v/>
      </c>
      <c r="H40" s="24">
        <f>IF(COUNTIFS('PLAN_VACACIONES'!$A$4:$A$103,$C40,'PLAN_VACACIONES'!$B$4:$B$103,"&lt;="&amp;$L40,'PLAN_VACACIONES'!$C$4:$C$103,"&gt;="&amp;$L40)&gt;0,"sí","no")</f>
        <v/>
      </c>
      <c r="I40" s="4" t="n"/>
      <c r="J40" s="24">
        <f>IF($I40&lt;&gt;"",$I40,IF($G40="","",IF($H40="sí","VAC",IF(LEFT($G40,1)="B","B",$G40))))</f>
        <v/>
      </c>
      <c r="K40" s="24">
        <f>IFERROR(INDEX('TECNICOS'!$E$4:$E$19,MATCH($C40,'TECNICOS'!$B$4:$B$19,0)),"")</f>
        <v/>
      </c>
      <c r="L40" s="30">
        <f>IF($A40="","",DATE(VALUE(LEFT($A40,4)),1,4)-WEEKDAY(DATE(VALUE(LEFT($A40,4)),1,4),2)+1+(VALUE(MID($A40,7,2))-1)*7+MATCH($B40,lista_dias,0)-1)</f>
        <v/>
      </c>
      <c r="M40" s="24">
        <f>IF(OR($J40="",ISNUMBER(MATCH($J40,lista_no_disponible,0)),(IFERROR(INDEX('CALENDARIO'!$C$15:$C$214,MATCH(TEXT($L40,"yyyy-mm-dd")&amp;"|"&amp;$D40&amp;"|"&amp;"",'CALENDARIO'!$G$15:$G$214,0)),IFERROR(INDEX('CALENDARIO'!$C$15:$C$214,MATCH(TEXT($L40,"yyyy-mm-dd")&amp;"|"&amp;$D40&amp;"|",'CALENDARIO'!$G$15:$G$214,0)),IFERROR(INDEX('CALENDARIO'!$C$15:$C$214,MATCH(TEXT($L40,"yyyy-mm-dd")&amp;"||",'CALENDARIO'!$G$15:$G$214,0)),INDEX(patronHabil,WEEKDAY($L40,2))))))&lt;&gt;"sí"),0,p_horas_jornada)</f>
        <v/>
      </c>
      <c r="N40" s="24">
        <f>$A40&amp;"|"&amp;$B40&amp;"|"&amp;$C40</f>
        <v/>
      </c>
      <c r="O40" s="24">
        <f>IFERROR(INDEX('CAT_TURNOS'!$C$4:$C$22,MATCH($J40,'CAT_TURNOS'!$A$4:$A$22,0)),"")</f>
        <v/>
      </c>
      <c r="P40" s="24">
        <f>IFERROR(INDEX('CAT_TURNOS'!$D$4:$D$22,MATCH($J40,'CAT_TURNOS'!$A$4:$A$22,0)),"")</f>
        <v/>
      </c>
      <c r="Q40" s="24">
        <f>IF(AND(LEFT($G40,1)="T",$H40="no"),"sí","no")</f>
        <v/>
      </c>
    </row>
    <row r="41">
      <c r="A41" s="5" t="inlineStr">
        <is>
          <t>2026-S30</t>
        </is>
      </c>
      <c r="B41" s="5" t="inlineStr">
        <is>
          <t>miércoles</t>
        </is>
      </c>
      <c r="C41" s="5" t="inlineStr">
        <is>
          <t>David Torres</t>
        </is>
      </c>
      <c r="D41" s="24">
        <f>IFERROR(INDEX('TECNICOS'!$D$4:$D$19,MATCH($C41,'TECNICOS'!$B$4:$B$19,0)),"")</f>
        <v/>
      </c>
      <c r="E41" s="24">
        <f>IFERROR(INDEX('TECNICOS'!$C$4:$C$19,MATCH($C41,'TECNICOS'!$B$4:$B$19,0)),"")</f>
        <v/>
      </c>
      <c r="F41" s="24">
        <f>COUNTIFS('TECNICOS'!$F$4:$F$19,"sí",'TECNICOS'!$C$4:$C$19,$E41,'TECNICOS'!$D$4:$D$19,$D41,'TECNICOS'!$H$4:$H$19,"sí")</f>
        <v/>
      </c>
      <c r="G41" s="24">
        <f>IF(OR($C41="",$A41="",$B41="domingo",IFERROR(INDEX('TECNICOS'!$H$4:$H$19,MATCH($C41,'TECNICOS'!$B$4:$B$19,0)),"no")&lt;&gt;"sí"),"",IF(IFERROR(INDEX('TECNICOS'!$F$4:$F$19,MATCH($C41,'TECNICOS'!$B$4:$B$19,0)),"no")&lt;&gt;"sí","B",IF(MOD((IFERROR(INDEX('TECNICOS'!$G$4:$G$19,MATCH($C41,'TECNICOS'!$B$4:$B$19,0)),0)-1)+((DATE(VALUE(LEFT($A41,4)),1,4)-WEEKDAY(DATE(VALUE(LEFT($A41,4)),1,4),2)+1+(VALUE(MID($A41,7,2))-1)*7)-p_semana_referencia)/7,$F41)&lt;($F41-3),"B"&amp;(($F41-3)-MOD((IFERROR(INDEX('TECNICOS'!$G$4:$G$19,MATCH($C41,'TECNICOS'!$B$4:$B$19,0)),0)-1)+((DATE(VALUE(LEFT($A41,4)),1,4)-WEEKDAY(DATE(VALUE(LEFT($A41,4)),1,4),2)+1+(VALUE(MID($A41,7,2))-1)*7)-p_semana_referencia)/7,$F41)),"T"&amp;($F41-MOD((IFERROR(INDEX('TECNICOS'!$G$4:$G$19,MATCH($C41,'TECNICOS'!$B$4:$B$19,0)),0)-1)+((DATE(VALUE(LEFT($A41,4)),1,4)-WEEKDAY(DATE(VALUE(LEFT($A41,4)),1,4),2)+1+(VALUE(MID($A41,7,2))-1)*7)-p_semana_referencia)/7,$F41)))))</f>
        <v/>
      </c>
      <c r="H41" s="24">
        <f>IF(COUNTIFS('PLAN_VACACIONES'!$A$4:$A$103,$C41,'PLAN_VACACIONES'!$B$4:$B$103,"&lt;="&amp;$L41,'PLAN_VACACIONES'!$C$4:$C$103,"&gt;="&amp;$L41)&gt;0,"sí","no")</f>
        <v/>
      </c>
      <c r="I41" s="4" t="n"/>
      <c r="J41" s="24">
        <f>IF($I41&lt;&gt;"",$I41,IF($G41="","",IF($H41="sí","VAC",IF(LEFT($G41,1)="B","B",$G41))))</f>
        <v/>
      </c>
      <c r="K41" s="24">
        <f>IFERROR(INDEX('TECNICOS'!$E$4:$E$19,MATCH($C41,'TECNICOS'!$B$4:$B$19,0)),"")</f>
        <v/>
      </c>
      <c r="L41" s="30">
        <f>IF($A41="","",DATE(VALUE(LEFT($A41,4)),1,4)-WEEKDAY(DATE(VALUE(LEFT($A41,4)),1,4),2)+1+(VALUE(MID($A41,7,2))-1)*7+MATCH($B41,lista_dias,0)-1)</f>
        <v/>
      </c>
      <c r="M41" s="24">
        <f>IF(OR($J41="",ISNUMBER(MATCH($J41,lista_no_disponible,0)),(IFERROR(INDEX('CALENDARIO'!$C$15:$C$214,MATCH(TEXT($L41,"yyyy-mm-dd")&amp;"|"&amp;$D41&amp;"|"&amp;"",'CALENDARIO'!$G$15:$G$214,0)),IFERROR(INDEX('CALENDARIO'!$C$15:$C$214,MATCH(TEXT($L41,"yyyy-mm-dd")&amp;"|"&amp;$D41&amp;"|",'CALENDARIO'!$G$15:$G$214,0)),IFERROR(INDEX('CALENDARIO'!$C$15:$C$214,MATCH(TEXT($L41,"yyyy-mm-dd")&amp;"||",'CALENDARIO'!$G$15:$G$214,0)),INDEX(patronHabil,WEEKDAY($L41,2))))))&lt;&gt;"sí"),0,p_horas_jornada)</f>
        <v/>
      </c>
      <c r="N41" s="24">
        <f>$A41&amp;"|"&amp;$B41&amp;"|"&amp;$C41</f>
        <v/>
      </c>
      <c r="O41" s="24">
        <f>IFERROR(INDEX('CAT_TURNOS'!$C$4:$C$22,MATCH($J41,'CAT_TURNOS'!$A$4:$A$22,0)),"")</f>
        <v/>
      </c>
      <c r="P41" s="24">
        <f>IFERROR(INDEX('CAT_TURNOS'!$D$4:$D$22,MATCH($J41,'CAT_TURNOS'!$A$4:$A$22,0)),"")</f>
        <v/>
      </c>
      <c r="Q41" s="24">
        <f>IF(AND(LEFT($G41,1)="T",$H41="no"),"sí","no")</f>
        <v/>
      </c>
    </row>
    <row r="42">
      <c r="A42" s="5" t="inlineStr">
        <is>
          <t>2026-S30</t>
        </is>
      </c>
      <c r="B42" s="5" t="inlineStr">
        <is>
          <t>jueves</t>
        </is>
      </c>
      <c r="C42" s="5" t="inlineStr">
        <is>
          <t>David Torres</t>
        </is>
      </c>
      <c r="D42" s="24">
        <f>IFERROR(INDEX('TECNICOS'!$D$4:$D$19,MATCH($C42,'TECNICOS'!$B$4:$B$19,0)),"")</f>
        <v/>
      </c>
      <c r="E42" s="24">
        <f>IFERROR(INDEX('TECNICOS'!$C$4:$C$19,MATCH($C42,'TECNICOS'!$B$4:$B$19,0)),"")</f>
        <v/>
      </c>
      <c r="F42" s="24">
        <f>COUNTIFS('TECNICOS'!$F$4:$F$19,"sí",'TECNICOS'!$C$4:$C$19,$E42,'TECNICOS'!$D$4:$D$19,$D42,'TECNICOS'!$H$4:$H$19,"sí")</f>
        <v/>
      </c>
      <c r="G42" s="24">
        <f>IF(OR($C42="",$A42="",$B42="domingo",IFERROR(INDEX('TECNICOS'!$H$4:$H$19,MATCH($C42,'TECNICOS'!$B$4:$B$19,0)),"no")&lt;&gt;"sí"),"",IF(IFERROR(INDEX('TECNICOS'!$F$4:$F$19,MATCH($C42,'TECNICOS'!$B$4:$B$19,0)),"no")&lt;&gt;"sí","B",IF(MOD((IFERROR(INDEX('TECNICOS'!$G$4:$G$19,MATCH($C42,'TECNICOS'!$B$4:$B$19,0)),0)-1)+((DATE(VALUE(LEFT($A42,4)),1,4)-WEEKDAY(DATE(VALUE(LEFT($A42,4)),1,4),2)+1+(VALUE(MID($A42,7,2))-1)*7)-p_semana_referencia)/7,$F42)&lt;($F42-3),"B"&amp;(($F42-3)-MOD((IFERROR(INDEX('TECNICOS'!$G$4:$G$19,MATCH($C42,'TECNICOS'!$B$4:$B$19,0)),0)-1)+((DATE(VALUE(LEFT($A42,4)),1,4)-WEEKDAY(DATE(VALUE(LEFT($A42,4)),1,4),2)+1+(VALUE(MID($A42,7,2))-1)*7)-p_semana_referencia)/7,$F42)),"T"&amp;($F42-MOD((IFERROR(INDEX('TECNICOS'!$G$4:$G$19,MATCH($C42,'TECNICOS'!$B$4:$B$19,0)),0)-1)+((DATE(VALUE(LEFT($A42,4)),1,4)-WEEKDAY(DATE(VALUE(LEFT($A42,4)),1,4),2)+1+(VALUE(MID($A42,7,2))-1)*7)-p_semana_referencia)/7,$F42)))))</f>
        <v/>
      </c>
      <c r="H42" s="24">
        <f>IF(COUNTIFS('PLAN_VACACIONES'!$A$4:$A$103,$C42,'PLAN_VACACIONES'!$B$4:$B$103,"&lt;="&amp;$L42,'PLAN_VACACIONES'!$C$4:$C$103,"&gt;="&amp;$L42)&gt;0,"sí","no")</f>
        <v/>
      </c>
      <c r="I42" s="4" t="n"/>
      <c r="J42" s="24">
        <f>IF($I42&lt;&gt;"",$I42,IF($G42="","",IF($H42="sí","VAC",IF(LEFT($G42,1)="B","B",$G42))))</f>
        <v/>
      </c>
      <c r="K42" s="24">
        <f>IFERROR(INDEX('TECNICOS'!$E$4:$E$19,MATCH($C42,'TECNICOS'!$B$4:$B$19,0)),"")</f>
        <v/>
      </c>
      <c r="L42" s="30">
        <f>IF($A42="","",DATE(VALUE(LEFT($A42,4)),1,4)-WEEKDAY(DATE(VALUE(LEFT($A42,4)),1,4),2)+1+(VALUE(MID($A42,7,2))-1)*7+MATCH($B42,lista_dias,0)-1)</f>
        <v/>
      </c>
      <c r="M42" s="24">
        <f>IF(OR($J42="",ISNUMBER(MATCH($J42,lista_no_disponible,0)),(IFERROR(INDEX('CALENDARIO'!$C$15:$C$214,MATCH(TEXT($L42,"yyyy-mm-dd")&amp;"|"&amp;$D42&amp;"|"&amp;"",'CALENDARIO'!$G$15:$G$214,0)),IFERROR(INDEX('CALENDARIO'!$C$15:$C$214,MATCH(TEXT($L42,"yyyy-mm-dd")&amp;"|"&amp;$D42&amp;"|",'CALENDARIO'!$G$15:$G$214,0)),IFERROR(INDEX('CALENDARIO'!$C$15:$C$214,MATCH(TEXT($L42,"yyyy-mm-dd")&amp;"||",'CALENDARIO'!$G$15:$G$214,0)),INDEX(patronHabil,WEEKDAY($L42,2))))))&lt;&gt;"sí"),0,p_horas_jornada)</f>
        <v/>
      </c>
      <c r="N42" s="24">
        <f>$A42&amp;"|"&amp;$B42&amp;"|"&amp;$C42</f>
        <v/>
      </c>
      <c r="O42" s="24">
        <f>IFERROR(INDEX('CAT_TURNOS'!$C$4:$C$22,MATCH($J42,'CAT_TURNOS'!$A$4:$A$22,0)),"")</f>
        <v/>
      </c>
      <c r="P42" s="24">
        <f>IFERROR(INDEX('CAT_TURNOS'!$D$4:$D$22,MATCH($J42,'CAT_TURNOS'!$A$4:$A$22,0)),"")</f>
        <v/>
      </c>
      <c r="Q42" s="24">
        <f>IF(AND(LEFT($G42,1)="T",$H42="no"),"sí","no")</f>
        <v/>
      </c>
    </row>
    <row r="43">
      <c r="A43" s="5" t="inlineStr">
        <is>
          <t>2026-S30</t>
        </is>
      </c>
      <c r="B43" s="5" t="inlineStr">
        <is>
          <t>viernes</t>
        </is>
      </c>
      <c r="C43" s="5" t="inlineStr">
        <is>
          <t>David Torres</t>
        </is>
      </c>
      <c r="D43" s="24">
        <f>IFERROR(INDEX('TECNICOS'!$D$4:$D$19,MATCH($C43,'TECNICOS'!$B$4:$B$19,0)),"")</f>
        <v/>
      </c>
      <c r="E43" s="24">
        <f>IFERROR(INDEX('TECNICOS'!$C$4:$C$19,MATCH($C43,'TECNICOS'!$B$4:$B$19,0)),"")</f>
        <v/>
      </c>
      <c r="F43" s="24">
        <f>COUNTIFS('TECNICOS'!$F$4:$F$19,"sí",'TECNICOS'!$C$4:$C$19,$E43,'TECNICOS'!$D$4:$D$19,$D43,'TECNICOS'!$H$4:$H$19,"sí")</f>
        <v/>
      </c>
      <c r="G43" s="24">
        <f>IF(OR($C43="",$A43="",$B43="domingo",IFERROR(INDEX('TECNICOS'!$H$4:$H$19,MATCH($C43,'TECNICOS'!$B$4:$B$19,0)),"no")&lt;&gt;"sí"),"",IF(IFERROR(INDEX('TECNICOS'!$F$4:$F$19,MATCH($C43,'TECNICOS'!$B$4:$B$19,0)),"no")&lt;&gt;"sí","B",IF(MOD((IFERROR(INDEX('TECNICOS'!$G$4:$G$19,MATCH($C43,'TECNICOS'!$B$4:$B$19,0)),0)-1)+((DATE(VALUE(LEFT($A43,4)),1,4)-WEEKDAY(DATE(VALUE(LEFT($A43,4)),1,4),2)+1+(VALUE(MID($A43,7,2))-1)*7)-p_semana_referencia)/7,$F43)&lt;($F43-3),"B"&amp;(($F43-3)-MOD((IFERROR(INDEX('TECNICOS'!$G$4:$G$19,MATCH($C43,'TECNICOS'!$B$4:$B$19,0)),0)-1)+((DATE(VALUE(LEFT($A43,4)),1,4)-WEEKDAY(DATE(VALUE(LEFT($A43,4)),1,4),2)+1+(VALUE(MID($A43,7,2))-1)*7)-p_semana_referencia)/7,$F43)),"T"&amp;($F43-MOD((IFERROR(INDEX('TECNICOS'!$G$4:$G$19,MATCH($C43,'TECNICOS'!$B$4:$B$19,0)),0)-1)+((DATE(VALUE(LEFT($A43,4)),1,4)-WEEKDAY(DATE(VALUE(LEFT($A43,4)),1,4),2)+1+(VALUE(MID($A43,7,2))-1)*7)-p_semana_referencia)/7,$F43)))))</f>
        <v/>
      </c>
      <c r="H43" s="24">
        <f>IF(COUNTIFS('PLAN_VACACIONES'!$A$4:$A$103,$C43,'PLAN_VACACIONES'!$B$4:$B$103,"&lt;="&amp;$L43,'PLAN_VACACIONES'!$C$4:$C$103,"&gt;="&amp;$L43)&gt;0,"sí","no")</f>
        <v/>
      </c>
      <c r="I43" s="4" t="n"/>
      <c r="J43" s="24">
        <f>IF($I43&lt;&gt;"",$I43,IF($G43="","",IF($H43="sí","VAC",IF(LEFT($G43,1)="B","B",$G43))))</f>
        <v/>
      </c>
      <c r="K43" s="24">
        <f>IFERROR(INDEX('TECNICOS'!$E$4:$E$19,MATCH($C43,'TECNICOS'!$B$4:$B$19,0)),"")</f>
        <v/>
      </c>
      <c r="L43" s="30">
        <f>IF($A43="","",DATE(VALUE(LEFT($A43,4)),1,4)-WEEKDAY(DATE(VALUE(LEFT($A43,4)),1,4),2)+1+(VALUE(MID($A43,7,2))-1)*7+MATCH($B43,lista_dias,0)-1)</f>
        <v/>
      </c>
      <c r="M43" s="24">
        <f>IF(OR($J43="",ISNUMBER(MATCH($J43,lista_no_disponible,0)),(IFERROR(INDEX('CALENDARIO'!$C$15:$C$214,MATCH(TEXT($L43,"yyyy-mm-dd")&amp;"|"&amp;$D43&amp;"|"&amp;"",'CALENDARIO'!$G$15:$G$214,0)),IFERROR(INDEX('CALENDARIO'!$C$15:$C$214,MATCH(TEXT($L43,"yyyy-mm-dd")&amp;"|"&amp;$D43&amp;"|",'CALENDARIO'!$G$15:$G$214,0)),IFERROR(INDEX('CALENDARIO'!$C$15:$C$214,MATCH(TEXT($L43,"yyyy-mm-dd")&amp;"||",'CALENDARIO'!$G$15:$G$214,0)),INDEX(patronHabil,WEEKDAY($L43,2))))))&lt;&gt;"sí"),0,p_horas_jornada)</f>
        <v/>
      </c>
      <c r="N43" s="24">
        <f>$A43&amp;"|"&amp;$B43&amp;"|"&amp;$C43</f>
        <v/>
      </c>
      <c r="O43" s="24">
        <f>IFERROR(INDEX('CAT_TURNOS'!$C$4:$C$22,MATCH($J43,'CAT_TURNOS'!$A$4:$A$22,0)),"")</f>
        <v/>
      </c>
      <c r="P43" s="24">
        <f>IFERROR(INDEX('CAT_TURNOS'!$D$4:$D$22,MATCH($J43,'CAT_TURNOS'!$A$4:$A$22,0)),"")</f>
        <v/>
      </c>
      <c r="Q43" s="24">
        <f>IF(AND(LEFT($G43,1)="T",$H43="no"),"sí","no")</f>
        <v/>
      </c>
    </row>
    <row r="44">
      <c r="A44" s="5" t="inlineStr">
        <is>
          <t>2026-S30</t>
        </is>
      </c>
      <c r="B44" s="5" t="inlineStr">
        <is>
          <t>sábado</t>
        </is>
      </c>
      <c r="C44" s="5" t="inlineStr">
        <is>
          <t>David Torres</t>
        </is>
      </c>
      <c r="D44" s="24">
        <f>IFERROR(INDEX('TECNICOS'!$D$4:$D$19,MATCH($C44,'TECNICOS'!$B$4:$B$19,0)),"")</f>
        <v/>
      </c>
      <c r="E44" s="24">
        <f>IFERROR(INDEX('TECNICOS'!$C$4:$C$19,MATCH($C44,'TECNICOS'!$B$4:$B$19,0)),"")</f>
        <v/>
      </c>
      <c r="F44" s="24">
        <f>COUNTIFS('TECNICOS'!$F$4:$F$19,"sí",'TECNICOS'!$C$4:$C$19,$E44,'TECNICOS'!$D$4:$D$19,$D44,'TECNICOS'!$H$4:$H$19,"sí")</f>
        <v/>
      </c>
      <c r="G44" s="24">
        <f>IF(OR($C44="",$A44="",$B44="domingo",IFERROR(INDEX('TECNICOS'!$H$4:$H$19,MATCH($C44,'TECNICOS'!$B$4:$B$19,0)),"no")&lt;&gt;"sí"),"",IF(IFERROR(INDEX('TECNICOS'!$F$4:$F$19,MATCH($C44,'TECNICOS'!$B$4:$B$19,0)),"no")&lt;&gt;"sí","B",IF(MOD((IFERROR(INDEX('TECNICOS'!$G$4:$G$19,MATCH($C44,'TECNICOS'!$B$4:$B$19,0)),0)-1)+((DATE(VALUE(LEFT($A44,4)),1,4)-WEEKDAY(DATE(VALUE(LEFT($A44,4)),1,4),2)+1+(VALUE(MID($A44,7,2))-1)*7)-p_semana_referencia)/7,$F44)&lt;($F44-3),"B"&amp;(($F44-3)-MOD((IFERROR(INDEX('TECNICOS'!$G$4:$G$19,MATCH($C44,'TECNICOS'!$B$4:$B$19,0)),0)-1)+((DATE(VALUE(LEFT($A44,4)),1,4)-WEEKDAY(DATE(VALUE(LEFT($A44,4)),1,4),2)+1+(VALUE(MID($A44,7,2))-1)*7)-p_semana_referencia)/7,$F44)),"T"&amp;($F44-MOD((IFERROR(INDEX('TECNICOS'!$G$4:$G$19,MATCH($C44,'TECNICOS'!$B$4:$B$19,0)),0)-1)+((DATE(VALUE(LEFT($A44,4)),1,4)-WEEKDAY(DATE(VALUE(LEFT($A44,4)),1,4),2)+1+(VALUE(MID($A44,7,2))-1)*7)-p_semana_referencia)/7,$F44)))))</f>
        <v/>
      </c>
      <c r="H44" s="24">
        <f>IF(COUNTIFS('PLAN_VACACIONES'!$A$4:$A$103,$C44,'PLAN_VACACIONES'!$B$4:$B$103,"&lt;="&amp;$L44,'PLAN_VACACIONES'!$C$4:$C$103,"&gt;="&amp;$L44)&gt;0,"sí","no")</f>
        <v/>
      </c>
      <c r="I44" s="4" t="n"/>
      <c r="J44" s="24">
        <f>IF($I44&lt;&gt;"",$I44,IF($G44="","",IF($H44="sí","VAC",IF(LEFT($G44,1)="B","B",$G44))))</f>
        <v/>
      </c>
      <c r="K44" s="24">
        <f>IFERROR(INDEX('TECNICOS'!$E$4:$E$19,MATCH($C44,'TECNICOS'!$B$4:$B$19,0)),"")</f>
        <v/>
      </c>
      <c r="L44" s="30">
        <f>IF($A44="","",DATE(VALUE(LEFT($A44,4)),1,4)-WEEKDAY(DATE(VALUE(LEFT($A44,4)),1,4),2)+1+(VALUE(MID($A44,7,2))-1)*7+MATCH($B44,lista_dias,0)-1)</f>
        <v/>
      </c>
      <c r="M44" s="24">
        <f>IF(OR($J44="",ISNUMBER(MATCH($J44,lista_no_disponible,0)),(IFERROR(INDEX('CALENDARIO'!$C$15:$C$214,MATCH(TEXT($L44,"yyyy-mm-dd")&amp;"|"&amp;$D44&amp;"|"&amp;"",'CALENDARIO'!$G$15:$G$214,0)),IFERROR(INDEX('CALENDARIO'!$C$15:$C$214,MATCH(TEXT($L44,"yyyy-mm-dd")&amp;"|"&amp;$D44&amp;"|",'CALENDARIO'!$G$15:$G$214,0)),IFERROR(INDEX('CALENDARIO'!$C$15:$C$214,MATCH(TEXT($L44,"yyyy-mm-dd")&amp;"||",'CALENDARIO'!$G$15:$G$214,0)),INDEX(patronHabil,WEEKDAY($L44,2))))))&lt;&gt;"sí"),0,p_horas_jornada)</f>
        <v/>
      </c>
      <c r="N44" s="24">
        <f>$A44&amp;"|"&amp;$B44&amp;"|"&amp;$C44</f>
        <v/>
      </c>
      <c r="O44" s="24">
        <f>IFERROR(INDEX('CAT_TURNOS'!$C$4:$C$22,MATCH($J44,'CAT_TURNOS'!$A$4:$A$22,0)),"")</f>
        <v/>
      </c>
      <c r="P44" s="24">
        <f>IFERROR(INDEX('CAT_TURNOS'!$D$4:$D$22,MATCH($J44,'CAT_TURNOS'!$A$4:$A$22,0)),"")</f>
        <v/>
      </c>
      <c r="Q44" s="24">
        <f>IF(AND(LEFT($G44,1)="T",$H44="no"),"sí","no")</f>
        <v/>
      </c>
    </row>
    <row r="45">
      <c r="A45" s="5" t="inlineStr">
        <is>
          <t>2026-S30</t>
        </is>
      </c>
      <c r="B45" s="5" t="inlineStr">
        <is>
          <t>domingo</t>
        </is>
      </c>
      <c r="C45" s="5" t="inlineStr">
        <is>
          <t>David Torres</t>
        </is>
      </c>
      <c r="D45" s="24">
        <f>IFERROR(INDEX('TECNICOS'!$D$4:$D$19,MATCH($C45,'TECNICOS'!$B$4:$B$19,0)),"")</f>
        <v/>
      </c>
      <c r="E45" s="24">
        <f>IFERROR(INDEX('TECNICOS'!$C$4:$C$19,MATCH($C45,'TECNICOS'!$B$4:$B$19,0)),"")</f>
        <v/>
      </c>
      <c r="F45" s="24">
        <f>COUNTIFS('TECNICOS'!$F$4:$F$19,"sí",'TECNICOS'!$C$4:$C$19,$E45,'TECNICOS'!$D$4:$D$19,$D45,'TECNICOS'!$H$4:$H$19,"sí")</f>
        <v/>
      </c>
      <c r="G45" s="24">
        <f>IF(OR($C45="",$A45="",$B45="domingo",IFERROR(INDEX('TECNICOS'!$H$4:$H$19,MATCH($C45,'TECNICOS'!$B$4:$B$19,0)),"no")&lt;&gt;"sí"),"",IF(IFERROR(INDEX('TECNICOS'!$F$4:$F$19,MATCH($C45,'TECNICOS'!$B$4:$B$19,0)),"no")&lt;&gt;"sí","B",IF(MOD((IFERROR(INDEX('TECNICOS'!$G$4:$G$19,MATCH($C45,'TECNICOS'!$B$4:$B$19,0)),0)-1)+((DATE(VALUE(LEFT($A45,4)),1,4)-WEEKDAY(DATE(VALUE(LEFT($A45,4)),1,4),2)+1+(VALUE(MID($A45,7,2))-1)*7)-p_semana_referencia)/7,$F45)&lt;($F45-3),"B"&amp;(($F45-3)-MOD((IFERROR(INDEX('TECNICOS'!$G$4:$G$19,MATCH($C45,'TECNICOS'!$B$4:$B$19,0)),0)-1)+((DATE(VALUE(LEFT($A45,4)),1,4)-WEEKDAY(DATE(VALUE(LEFT($A45,4)),1,4),2)+1+(VALUE(MID($A45,7,2))-1)*7)-p_semana_referencia)/7,$F45)),"T"&amp;($F45-MOD((IFERROR(INDEX('TECNICOS'!$G$4:$G$19,MATCH($C45,'TECNICOS'!$B$4:$B$19,0)),0)-1)+((DATE(VALUE(LEFT($A45,4)),1,4)-WEEKDAY(DATE(VALUE(LEFT($A45,4)),1,4),2)+1+(VALUE(MID($A45,7,2))-1)*7)-p_semana_referencia)/7,$F45)))))</f>
        <v/>
      </c>
      <c r="H45" s="24">
        <f>IF(COUNTIFS('PLAN_VACACIONES'!$A$4:$A$103,$C45,'PLAN_VACACIONES'!$B$4:$B$103,"&lt;="&amp;$L45,'PLAN_VACACIONES'!$C$4:$C$103,"&gt;="&amp;$L45)&gt;0,"sí","no")</f>
        <v/>
      </c>
      <c r="I45" s="4" t="n"/>
      <c r="J45" s="24">
        <f>IF($I45&lt;&gt;"",$I45,IF($G45="","",IF($H45="sí","VAC",IF(LEFT($G45,1)="B","B",$G45))))</f>
        <v/>
      </c>
      <c r="K45" s="24">
        <f>IFERROR(INDEX('TECNICOS'!$E$4:$E$19,MATCH($C45,'TECNICOS'!$B$4:$B$19,0)),"")</f>
        <v/>
      </c>
      <c r="L45" s="30">
        <f>IF($A45="","",DATE(VALUE(LEFT($A45,4)),1,4)-WEEKDAY(DATE(VALUE(LEFT($A45,4)),1,4),2)+1+(VALUE(MID($A45,7,2))-1)*7+MATCH($B45,lista_dias,0)-1)</f>
        <v/>
      </c>
      <c r="M45" s="24">
        <f>IF(OR($J45="",ISNUMBER(MATCH($J45,lista_no_disponible,0)),(IFERROR(INDEX('CALENDARIO'!$C$15:$C$214,MATCH(TEXT($L45,"yyyy-mm-dd")&amp;"|"&amp;$D45&amp;"|"&amp;"",'CALENDARIO'!$G$15:$G$214,0)),IFERROR(INDEX('CALENDARIO'!$C$15:$C$214,MATCH(TEXT($L45,"yyyy-mm-dd")&amp;"|"&amp;$D45&amp;"|",'CALENDARIO'!$G$15:$G$214,0)),IFERROR(INDEX('CALENDARIO'!$C$15:$C$214,MATCH(TEXT($L45,"yyyy-mm-dd")&amp;"||",'CALENDARIO'!$G$15:$G$214,0)),INDEX(patronHabil,WEEKDAY($L45,2))))))&lt;&gt;"sí"),0,p_horas_jornada)</f>
        <v/>
      </c>
      <c r="N45" s="24">
        <f>$A45&amp;"|"&amp;$B45&amp;"|"&amp;$C45</f>
        <v/>
      </c>
      <c r="O45" s="24">
        <f>IFERROR(INDEX('CAT_TURNOS'!$C$4:$C$22,MATCH($J45,'CAT_TURNOS'!$A$4:$A$22,0)),"")</f>
        <v/>
      </c>
      <c r="P45" s="24">
        <f>IFERROR(INDEX('CAT_TURNOS'!$D$4:$D$22,MATCH($J45,'CAT_TURNOS'!$A$4:$A$22,0)),"")</f>
        <v/>
      </c>
      <c r="Q45" s="24">
        <f>IF(AND(LEFT($G45,1)="T",$H45="no"),"sí","no")</f>
        <v/>
      </c>
    </row>
    <row r="46">
      <c r="A46" s="5" t="inlineStr">
        <is>
          <t>2026-S30</t>
        </is>
      </c>
      <c r="B46" s="5" t="inlineStr">
        <is>
          <t>lunes</t>
        </is>
      </c>
      <c r="C46" s="5" t="inlineStr">
        <is>
          <t>Francisco Ramírez</t>
        </is>
      </c>
      <c r="D46" s="24">
        <f>IFERROR(INDEX('TECNICOS'!$D$4:$D$19,MATCH($C46,'TECNICOS'!$B$4:$B$19,0)),"")</f>
        <v/>
      </c>
      <c r="E46" s="24">
        <f>IFERROR(INDEX('TECNICOS'!$C$4:$C$19,MATCH($C46,'TECNICOS'!$B$4:$B$19,0)),"")</f>
        <v/>
      </c>
      <c r="F46" s="24">
        <f>COUNTIFS('TECNICOS'!$F$4:$F$19,"sí",'TECNICOS'!$C$4:$C$19,$E46,'TECNICOS'!$D$4:$D$19,$D46,'TECNICOS'!$H$4:$H$19,"sí")</f>
        <v/>
      </c>
      <c r="G46" s="24">
        <f>IF(OR($C46="",$A46="",$B46="domingo",IFERROR(INDEX('TECNICOS'!$H$4:$H$19,MATCH($C46,'TECNICOS'!$B$4:$B$19,0)),"no")&lt;&gt;"sí"),"",IF(IFERROR(INDEX('TECNICOS'!$F$4:$F$19,MATCH($C46,'TECNICOS'!$B$4:$B$19,0)),"no")&lt;&gt;"sí","B",IF(MOD((IFERROR(INDEX('TECNICOS'!$G$4:$G$19,MATCH($C46,'TECNICOS'!$B$4:$B$19,0)),0)-1)+((DATE(VALUE(LEFT($A46,4)),1,4)-WEEKDAY(DATE(VALUE(LEFT($A46,4)),1,4),2)+1+(VALUE(MID($A46,7,2))-1)*7)-p_semana_referencia)/7,$F46)&lt;($F46-3),"B"&amp;(($F46-3)-MOD((IFERROR(INDEX('TECNICOS'!$G$4:$G$19,MATCH($C46,'TECNICOS'!$B$4:$B$19,0)),0)-1)+((DATE(VALUE(LEFT($A46,4)),1,4)-WEEKDAY(DATE(VALUE(LEFT($A46,4)),1,4),2)+1+(VALUE(MID($A46,7,2))-1)*7)-p_semana_referencia)/7,$F46)),"T"&amp;($F46-MOD((IFERROR(INDEX('TECNICOS'!$G$4:$G$19,MATCH($C46,'TECNICOS'!$B$4:$B$19,0)),0)-1)+((DATE(VALUE(LEFT($A46,4)),1,4)-WEEKDAY(DATE(VALUE(LEFT($A46,4)),1,4),2)+1+(VALUE(MID($A46,7,2))-1)*7)-p_semana_referencia)/7,$F46)))))</f>
        <v/>
      </c>
      <c r="H46" s="24">
        <f>IF(COUNTIFS('PLAN_VACACIONES'!$A$4:$A$103,$C46,'PLAN_VACACIONES'!$B$4:$B$103,"&lt;="&amp;$L46,'PLAN_VACACIONES'!$C$4:$C$103,"&gt;="&amp;$L46)&gt;0,"sí","no")</f>
        <v/>
      </c>
      <c r="I46" s="4" t="n"/>
      <c r="J46" s="24">
        <f>IF($I46&lt;&gt;"",$I46,IF($G46="","",IF($H46="sí","VAC",IF(LEFT($G46,1)="B","B",$G46))))</f>
        <v/>
      </c>
      <c r="K46" s="24">
        <f>IFERROR(INDEX('TECNICOS'!$E$4:$E$19,MATCH($C46,'TECNICOS'!$B$4:$B$19,0)),"")</f>
        <v/>
      </c>
      <c r="L46" s="30">
        <f>IF($A46="","",DATE(VALUE(LEFT($A46,4)),1,4)-WEEKDAY(DATE(VALUE(LEFT($A46,4)),1,4),2)+1+(VALUE(MID($A46,7,2))-1)*7+MATCH($B46,lista_dias,0)-1)</f>
        <v/>
      </c>
      <c r="M46" s="24">
        <f>IF(OR($J46="",ISNUMBER(MATCH($J46,lista_no_disponible,0)),(IFERROR(INDEX('CALENDARIO'!$C$15:$C$214,MATCH(TEXT($L46,"yyyy-mm-dd")&amp;"|"&amp;$D46&amp;"|"&amp;"",'CALENDARIO'!$G$15:$G$214,0)),IFERROR(INDEX('CALENDARIO'!$C$15:$C$214,MATCH(TEXT($L46,"yyyy-mm-dd")&amp;"|"&amp;$D46&amp;"|",'CALENDARIO'!$G$15:$G$214,0)),IFERROR(INDEX('CALENDARIO'!$C$15:$C$214,MATCH(TEXT($L46,"yyyy-mm-dd")&amp;"||",'CALENDARIO'!$G$15:$G$214,0)),INDEX(patronHabil,WEEKDAY($L46,2))))))&lt;&gt;"sí"),0,p_horas_jornada)</f>
        <v/>
      </c>
      <c r="N46" s="24">
        <f>$A46&amp;"|"&amp;$B46&amp;"|"&amp;$C46</f>
        <v/>
      </c>
      <c r="O46" s="24">
        <f>IFERROR(INDEX('CAT_TURNOS'!$C$4:$C$22,MATCH($J46,'CAT_TURNOS'!$A$4:$A$22,0)),"")</f>
        <v/>
      </c>
      <c r="P46" s="24">
        <f>IFERROR(INDEX('CAT_TURNOS'!$D$4:$D$22,MATCH($J46,'CAT_TURNOS'!$A$4:$A$22,0)),"")</f>
        <v/>
      </c>
      <c r="Q46" s="24">
        <f>IF(AND(LEFT($G46,1)="T",$H46="no"),"sí","no")</f>
        <v/>
      </c>
    </row>
    <row r="47">
      <c r="A47" s="5" t="inlineStr">
        <is>
          <t>2026-S30</t>
        </is>
      </c>
      <c r="B47" s="5" t="inlineStr">
        <is>
          <t>martes</t>
        </is>
      </c>
      <c r="C47" s="5" t="inlineStr">
        <is>
          <t>Francisco Ramírez</t>
        </is>
      </c>
      <c r="D47" s="24">
        <f>IFERROR(INDEX('TECNICOS'!$D$4:$D$19,MATCH($C47,'TECNICOS'!$B$4:$B$19,0)),"")</f>
        <v/>
      </c>
      <c r="E47" s="24">
        <f>IFERROR(INDEX('TECNICOS'!$C$4:$C$19,MATCH($C47,'TECNICOS'!$B$4:$B$19,0)),"")</f>
        <v/>
      </c>
      <c r="F47" s="24">
        <f>COUNTIFS('TECNICOS'!$F$4:$F$19,"sí",'TECNICOS'!$C$4:$C$19,$E47,'TECNICOS'!$D$4:$D$19,$D47,'TECNICOS'!$H$4:$H$19,"sí")</f>
        <v/>
      </c>
      <c r="G47" s="24">
        <f>IF(OR($C47="",$A47="",$B47="domingo",IFERROR(INDEX('TECNICOS'!$H$4:$H$19,MATCH($C47,'TECNICOS'!$B$4:$B$19,0)),"no")&lt;&gt;"sí"),"",IF(IFERROR(INDEX('TECNICOS'!$F$4:$F$19,MATCH($C47,'TECNICOS'!$B$4:$B$19,0)),"no")&lt;&gt;"sí","B",IF(MOD((IFERROR(INDEX('TECNICOS'!$G$4:$G$19,MATCH($C47,'TECNICOS'!$B$4:$B$19,0)),0)-1)+((DATE(VALUE(LEFT($A47,4)),1,4)-WEEKDAY(DATE(VALUE(LEFT($A47,4)),1,4),2)+1+(VALUE(MID($A47,7,2))-1)*7)-p_semana_referencia)/7,$F47)&lt;($F47-3),"B"&amp;(($F47-3)-MOD((IFERROR(INDEX('TECNICOS'!$G$4:$G$19,MATCH($C47,'TECNICOS'!$B$4:$B$19,0)),0)-1)+((DATE(VALUE(LEFT($A47,4)),1,4)-WEEKDAY(DATE(VALUE(LEFT($A47,4)),1,4),2)+1+(VALUE(MID($A47,7,2))-1)*7)-p_semana_referencia)/7,$F47)),"T"&amp;($F47-MOD((IFERROR(INDEX('TECNICOS'!$G$4:$G$19,MATCH($C47,'TECNICOS'!$B$4:$B$19,0)),0)-1)+((DATE(VALUE(LEFT($A47,4)),1,4)-WEEKDAY(DATE(VALUE(LEFT($A47,4)),1,4),2)+1+(VALUE(MID($A47,7,2))-1)*7)-p_semana_referencia)/7,$F47)))))</f>
        <v/>
      </c>
      <c r="H47" s="24">
        <f>IF(COUNTIFS('PLAN_VACACIONES'!$A$4:$A$103,$C47,'PLAN_VACACIONES'!$B$4:$B$103,"&lt;="&amp;$L47,'PLAN_VACACIONES'!$C$4:$C$103,"&gt;="&amp;$L47)&gt;0,"sí","no")</f>
        <v/>
      </c>
      <c r="I47" s="4" t="n"/>
      <c r="J47" s="24">
        <f>IF($I47&lt;&gt;"",$I47,IF($G47="","",IF($H47="sí","VAC",IF(LEFT($G47,1)="B","B",$G47))))</f>
        <v/>
      </c>
      <c r="K47" s="24">
        <f>IFERROR(INDEX('TECNICOS'!$E$4:$E$19,MATCH($C47,'TECNICOS'!$B$4:$B$19,0)),"")</f>
        <v/>
      </c>
      <c r="L47" s="30">
        <f>IF($A47="","",DATE(VALUE(LEFT($A47,4)),1,4)-WEEKDAY(DATE(VALUE(LEFT($A47,4)),1,4),2)+1+(VALUE(MID($A47,7,2))-1)*7+MATCH($B47,lista_dias,0)-1)</f>
        <v/>
      </c>
      <c r="M47" s="24">
        <f>IF(OR($J47="",ISNUMBER(MATCH($J47,lista_no_disponible,0)),(IFERROR(INDEX('CALENDARIO'!$C$15:$C$214,MATCH(TEXT($L47,"yyyy-mm-dd")&amp;"|"&amp;$D47&amp;"|"&amp;"",'CALENDARIO'!$G$15:$G$214,0)),IFERROR(INDEX('CALENDARIO'!$C$15:$C$214,MATCH(TEXT($L47,"yyyy-mm-dd")&amp;"|"&amp;$D47&amp;"|",'CALENDARIO'!$G$15:$G$214,0)),IFERROR(INDEX('CALENDARIO'!$C$15:$C$214,MATCH(TEXT($L47,"yyyy-mm-dd")&amp;"||",'CALENDARIO'!$G$15:$G$214,0)),INDEX(patronHabil,WEEKDAY($L47,2))))))&lt;&gt;"sí"),0,p_horas_jornada)</f>
        <v/>
      </c>
      <c r="N47" s="24">
        <f>$A47&amp;"|"&amp;$B47&amp;"|"&amp;$C47</f>
        <v/>
      </c>
      <c r="O47" s="24">
        <f>IFERROR(INDEX('CAT_TURNOS'!$C$4:$C$22,MATCH($J47,'CAT_TURNOS'!$A$4:$A$22,0)),"")</f>
        <v/>
      </c>
      <c r="P47" s="24">
        <f>IFERROR(INDEX('CAT_TURNOS'!$D$4:$D$22,MATCH($J47,'CAT_TURNOS'!$A$4:$A$22,0)),"")</f>
        <v/>
      </c>
      <c r="Q47" s="24">
        <f>IF(AND(LEFT($G47,1)="T",$H47="no"),"sí","no")</f>
        <v/>
      </c>
    </row>
    <row r="48">
      <c r="A48" s="5" t="inlineStr">
        <is>
          <t>2026-S30</t>
        </is>
      </c>
      <c r="B48" s="5" t="inlineStr">
        <is>
          <t>miércoles</t>
        </is>
      </c>
      <c r="C48" s="5" t="inlineStr">
        <is>
          <t>Francisco Ramírez</t>
        </is>
      </c>
      <c r="D48" s="24">
        <f>IFERROR(INDEX('TECNICOS'!$D$4:$D$19,MATCH($C48,'TECNICOS'!$B$4:$B$19,0)),"")</f>
        <v/>
      </c>
      <c r="E48" s="24">
        <f>IFERROR(INDEX('TECNICOS'!$C$4:$C$19,MATCH($C48,'TECNICOS'!$B$4:$B$19,0)),"")</f>
        <v/>
      </c>
      <c r="F48" s="24">
        <f>COUNTIFS('TECNICOS'!$F$4:$F$19,"sí",'TECNICOS'!$C$4:$C$19,$E48,'TECNICOS'!$D$4:$D$19,$D48,'TECNICOS'!$H$4:$H$19,"sí")</f>
        <v/>
      </c>
      <c r="G48" s="24">
        <f>IF(OR($C48="",$A48="",$B48="domingo",IFERROR(INDEX('TECNICOS'!$H$4:$H$19,MATCH($C48,'TECNICOS'!$B$4:$B$19,0)),"no")&lt;&gt;"sí"),"",IF(IFERROR(INDEX('TECNICOS'!$F$4:$F$19,MATCH($C48,'TECNICOS'!$B$4:$B$19,0)),"no")&lt;&gt;"sí","B",IF(MOD((IFERROR(INDEX('TECNICOS'!$G$4:$G$19,MATCH($C48,'TECNICOS'!$B$4:$B$19,0)),0)-1)+((DATE(VALUE(LEFT($A48,4)),1,4)-WEEKDAY(DATE(VALUE(LEFT($A48,4)),1,4),2)+1+(VALUE(MID($A48,7,2))-1)*7)-p_semana_referencia)/7,$F48)&lt;($F48-3),"B"&amp;(($F48-3)-MOD((IFERROR(INDEX('TECNICOS'!$G$4:$G$19,MATCH($C48,'TECNICOS'!$B$4:$B$19,0)),0)-1)+((DATE(VALUE(LEFT($A48,4)),1,4)-WEEKDAY(DATE(VALUE(LEFT($A48,4)),1,4),2)+1+(VALUE(MID($A48,7,2))-1)*7)-p_semana_referencia)/7,$F48)),"T"&amp;($F48-MOD((IFERROR(INDEX('TECNICOS'!$G$4:$G$19,MATCH($C48,'TECNICOS'!$B$4:$B$19,0)),0)-1)+((DATE(VALUE(LEFT($A48,4)),1,4)-WEEKDAY(DATE(VALUE(LEFT($A48,4)),1,4),2)+1+(VALUE(MID($A48,7,2))-1)*7)-p_semana_referencia)/7,$F48)))))</f>
        <v/>
      </c>
      <c r="H48" s="24">
        <f>IF(COUNTIFS('PLAN_VACACIONES'!$A$4:$A$103,$C48,'PLAN_VACACIONES'!$B$4:$B$103,"&lt;="&amp;$L48,'PLAN_VACACIONES'!$C$4:$C$103,"&gt;="&amp;$L48)&gt;0,"sí","no")</f>
        <v/>
      </c>
      <c r="I48" s="4" t="n"/>
      <c r="J48" s="24">
        <f>IF($I48&lt;&gt;"",$I48,IF($G48="","",IF($H48="sí","VAC",IF(LEFT($G48,1)="B","B",$G48))))</f>
        <v/>
      </c>
      <c r="K48" s="24">
        <f>IFERROR(INDEX('TECNICOS'!$E$4:$E$19,MATCH($C48,'TECNICOS'!$B$4:$B$19,0)),"")</f>
        <v/>
      </c>
      <c r="L48" s="30">
        <f>IF($A48="","",DATE(VALUE(LEFT($A48,4)),1,4)-WEEKDAY(DATE(VALUE(LEFT($A48,4)),1,4),2)+1+(VALUE(MID($A48,7,2))-1)*7+MATCH($B48,lista_dias,0)-1)</f>
        <v/>
      </c>
      <c r="M48" s="24">
        <f>IF(OR($J48="",ISNUMBER(MATCH($J48,lista_no_disponible,0)),(IFERROR(INDEX('CALENDARIO'!$C$15:$C$214,MATCH(TEXT($L48,"yyyy-mm-dd")&amp;"|"&amp;$D48&amp;"|"&amp;"",'CALENDARIO'!$G$15:$G$214,0)),IFERROR(INDEX('CALENDARIO'!$C$15:$C$214,MATCH(TEXT($L48,"yyyy-mm-dd")&amp;"|"&amp;$D48&amp;"|",'CALENDARIO'!$G$15:$G$214,0)),IFERROR(INDEX('CALENDARIO'!$C$15:$C$214,MATCH(TEXT($L48,"yyyy-mm-dd")&amp;"||",'CALENDARIO'!$G$15:$G$214,0)),INDEX(patronHabil,WEEKDAY($L48,2))))))&lt;&gt;"sí"),0,p_horas_jornada)</f>
        <v/>
      </c>
      <c r="N48" s="24">
        <f>$A48&amp;"|"&amp;$B48&amp;"|"&amp;$C48</f>
        <v/>
      </c>
      <c r="O48" s="24">
        <f>IFERROR(INDEX('CAT_TURNOS'!$C$4:$C$22,MATCH($J48,'CAT_TURNOS'!$A$4:$A$22,0)),"")</f>
        <v/>
      </c>
      <c r="P48" s="24">
        <f>IFERROR(INDEX('CAT_TURNOS'!$D$4:$D$22,MATCH($J48,'CAT_TURNOS'!$A$4:$A$22,0)),"")</f>
        <v/>
      </c>
      <c r="Q48" s="24">
        <f>IF(AND(LEFT($G48,1)="T",$H48="no"),"sí","no")</f>
        <v/>
      </c>
    </row>
    <row r="49">
      <c r="A49" s="5" t="inlineStr">
        <is>
          <t>2026-S30</t>
        </is>
      </c>
      <c r="B49" s="5" t="inlineStr">
        <is>
          <t>jueves</t>
        </is>
      </c>
      <c r="C49" s="5" t="inlineStr">
        <is>
          <t>Francisco Ramírez</t>
        </is>
      </c>
      <c r="D49" s="24">
        <f>IFERROR(INDEX('TECNICOS'!$D$4:$D$19,MATCH($C49,'TECNICOS'!$B$4:$B$19,0)),"")</f>
        <v/>
      </c>
      <c r="E49" s="24">
        <f>IFERROR(INDEX('TECNICOS'!$C$4:$C$19,MATCH($C49,'TECNICOS'!$B$4:$B$19,0)),"")</f>
        <v/>
      </c>
      <c r="F49" s="24">
        <f>COUNTIFS('TECNICOS'!$F$4:$F$19,"sí",'TECNICOS'!$C$4:$C$19,$E49,'TECNICOS'!$D$4:$D$19,$D49,'TECNICOS'!$H$4:$H$19,"sí")</f>
        <v/>
      </c>
      <c r="G49" s="24">
        <f>IF(OR($C49="",$A49="",$B49="domingo",IFERROR(INDEX('TECNICOS'!$H$4:$H$19,MATCH($C49,'TECNICOS'!$B$4:$B$19,0)),"no")&lt;&gt;"sí"),"",IF(IFERROR(INDEX('TECNICOS'!$F$4:$F$19,MATCH($C49,'TECNICOS'!$B$4:$B$19,0)),"no")&lt;&gt;"sí","B",IF(MOD((IFERROR(INDEX('TECNICOS'!$G$4:$G$19,MATCH($C49,'TECNICOS'!$B$4:$B$19,0)),0)-1)+((DATE(VALUE(LEFT($A49,4)),1,4)-WEEKDAY(DATE(VALUE(LEFT($A49,4)),1,4),2)+1+(VALUE(MID($A49,7,2))-1)*7)-p_semana_referencia)/7,$F49)&lt;($F49-3),"B"&amp;(($F49-3)-MOD((IFERROR(INDEX('TECNICOS'!$G$4:$G$19,MATCH($C49,'TECNICOS'!$B$4:$B$19,0)),0)-1)+((DATE(VALUE(LEFT($A49,4)),1,4)-WEEKDAY(DATE(VALUE(LEFT($A49,4)),1,4),2)+1+(VALUE(MID($A49,7,2))-1)*7)-p_semana_referencia)/7,$F49)),"T"&amp;($F49-MOD((IFERROR(INDEX('TECNICOS'!$G$4:$G$19,MATCH($C49,'TECNICOS'!$B$4:$B$19,0)),0)-1)+((DATE(VALUE(LEFT($A49,4)),1,4)-WEEKDAY(DATE(VALUE(LEFT($A49,4)),1,4),2)+1+(VALUE(MID($A49,7,2))-1)*7)-p_semana_referencia)/7,$F49)))))</f>
        <v/>
      </c>
      <c r="H49" s="24">
        <f>IF(COUNTIFS('PLAN_VACACIONES'!$A$4:$A$103,$C49,'PLAN_VACACIONES'!$B$4:$B$103,"&lt;="&amp;$L49,'PLAN_VACACIONES'!$C$4:$C$103,"&gt;="&amp;$L49)&gt;0,"sí","no")</f>
        <v/>
      </c>
      <c r="I49" s="4" t="n"/>
      <c r="J49" s="24">
        <f>IF($I49&lt;&gt;"",$I49,IF($G49="","",IF($H49="sí","VAC",IF(LEFT($G49,1)="B","B",$G49))))</f>
        <v/>
      </c>
      <c r="K49" s="24">
        <f>IFERROR(INDEX('TECNICOS'!$E$4:$E$19,MATCH($C49,'TECNICOS'!$B$4:$B$19,0)),"")</f>
        <v/>
      </c>
      <c r="L49" s="30">
        <f>IF($A49="","",DATE(VALUE(LEFT($A49,4)),1,4)-WEEKDAY(DATE(VALUE(LEFT($A49,4)),1,4),2)+1+(VALUE(MID($A49,7,2))-1)*7+MATCH($B49,lista_dias,0)-1)</f>
        <v/>
      </c>
      <c r="M49" s="24">
        <f>IF(OR($J49="",ISNUMBER(MATCH($J49,lista_no_disponible,0)),(IFERROR(INDEX('CALENDARIO'!$C$15:$C$214,MATCH(TEXT($L49,"yyyy-mm-dd")&amp;"|"&amp;$D49&amp;"|"&amp;"",'CALENDARIO'!$G$15:$G$214,0)),IFERROR(INDEX('CALENDARIO'!$C$15:$C$214,MATCH(TEXT($L49,"yyyy-mm-dd")&amp;"|"&amp;$D49&amp;"|",'CALENDARIO'!$G$15:$G$214,0)),IFERROR(INDEX('CALENDARIO'!$C$15:$C$214,MATCH(TEXT($L49,"yyyy-mm-dd")&amp;"||",'CALENDARIO'!$G$15:$G$214,0)),INDEX(patronHabil,WEEKDAY($L49,2))))))&lt;&gt;"sí"),0,p_horas_jornada)</f>
        <v/>
      </c>
      <c r="N49" s="24">
        <f>$A49&amp;"|"&amp;$B49&amp;"|"&amp;$C49</f>
        <v/>
      </c>
      <c r="O49" s="24">
        <f>IFERROR(INDEX('CAT_TURNOS'!$C$4:$C$22,MATCH($J49,'CAT_TURNOS'!$A$4:$A$22,0)),"")</f>
        <v/>
      </c>
      <c r="P49" s="24">
        <f>IFERROR(INDEX('CAT_TURNOS'!$D$4:$D$22,MATCH($J49,'CAT_TURNOS'!$A$4:$A$22,0)),"")</f>
        <v/>
      </c>
      <c r="Q49" s="24">
        <f>IF(AND(LEFT($G49,1)="T",$H49="no"),"sí","no")</f>
        <v/>
      </c>
    </row>
    <row r="50">
      <c r="A50" s="5" t="inlineStr">
        <is>
          <t>2026-S30</t>
        </is>
      </c>
      <c r="B50" s="5" t="inlineStr">
        <is>
          <t>viernes</t>
        </is>
      </c>
      <c r="C50" s="5" t="inlineStr">
        <is>
          <t>Francisco Ramírez</t>
        </is>
      </c>
      <c r="D50" s="24">
        <f>IFERROR(INDEX('TECNICOS'!$D$4:$D$19,MATCH($C50,'TECNICOS'!$B$4:$B$19,0)),"")</f>
        <v/>
      </c>
      <c r="E50" s="24">
        <f>IFERROR(INDEX('TECNICOS'!$C$4:$C$19,MATCH($C50,'TECNICOS'!$B$4:$B$19,0)),"")</f>
        <v/>
      </c>
      <c r="F50" s="24">
        <f>COUNTIFS('TECNICOS'!$F$4:$F$19,"sí",'TECNICOS'!$C$4:$C$19,$E50,'TECNICOS'!$D$4:$D$19,$D50,'TECNICOS'!$H$4:$H$19,"sí")</f>
        <v/>
      </c>
      <c r="G50" s="24">
        <f>IF(OR($C50="",$A50="",$B50="domingo",IFERROR(INDEX('TECNICOS'!$H$4:$H$19,MATCH($C50,'TECNICOS'!$B$4:$B$19,0)),"no")&lt;&gt;"sí"),"",IF(IFERROR(INDEX('TECNICOS'!$F$4:$F$19,MATCH($C50,'TECNICOS'!$B$4:$B$19,0)),"no")&lt;&gt;"sí","B",IF(MOD((IFERROR(INDEX('TECNICOS'!$G$4:$G$19,MATCH($C50,'TECNICOS'!$B$4:$B$19,0)),0)-1)+((DATE(VALUE(LEFT($A50,4)),1,4)-WEEKDAY(DATE(VALUE(LEFT($A50,4)),1,4),2)+1+(VALUE(MID($A50,7,2))-1)*7)-p_semana_referencia)/7,$F50)&lt;($F50-3),"B"&amp;(($F50-3)-MOD((IFERROR(INDEX('TECNICOS'!$G$4:$G$19,MATCH($C50,'TECNICOS'!$B$4:$B$19,0)),0)-1)+((DATE(VALUE(LEFT($A50,4)),1,4)-WEEKDAY(DATE(VALUE(LEFT($A50,4)),1,4),2)+1+(VALUE(MID($A50,7,2))-1)*7)-p_semana_referencia)/7,$F50)),"T"&amp;($F50-MOD((IFERROR(INDEX('TECNICOS'!$G$4:$G$19,MATCH($C50,'TECNICOS'!$B$4:$B$19,0)),0)-1)+((DATE(VALUE(LEFT($A50,4)),1,4)-WEEKDAY(DATE(VALUE(LEFT($A50,4)),1,4),2)+1+(VALUE(MID($A50,7,2))-1)*7)-p_semana_referencia)/7,$F50)))))</f>
        <v/>
      </c>
      <c r="H50" s="24">
        <f>IF(COUNTIFS('PLAN_VACACIONES'!$A$4:$A$103,$C50,'PLAN_VACACIONES'!$B$4:$B$103,"&lt;="&amp;$L50,'PLAN_VACACIONES'!$C$4:$C$103,"&gt;="&amp;$L50)&gt;0,"sí","no")</f>
        <v/>
      </c>
      <c r="I50" s="4" t="n"/>
      <c r="J50" s="24">
        <f>IF($I50&lt;&gt;"",$I50,IF($G50="","",IF($H50="sí","VAC",IF(LEFT($G50,1)="B","B",$G50))))</f>
        <v/>
      </c>
      <c r="K50" s="24">
        <f>IFERROR(INDEX('TECNICOS'!$E$4:$E$19,MATCH($C50,'TECNICOS'!$B$4:$B$19,0)),"")</f>
        <v/>
      </c>
      <c r="L50" s="30">
        <f>IF($A50="","",DATE(VALUE(LEFT($A50,4)),1,4)-WEEKDAY(DATE(VALUE(LEFT($A50,4)),1,4),2)+1+(VALUE(MID($A50,7,2))-1)*7+MATCH($B50,lista_dias,0)-1)</f>
        <v/>
      </c>
      <c r="M50" s="24">
        <f>IF(OR($J50="",ISNUMBER(MATCH($J50,lista_no_disponible,0)),(IFERROR(INDEX('CALENDARIO'!$C$15:$C$214,MATCH(TEXT($L50,"yyyy-mm-dd")&amp;"|"&amp;$D50&amp;"|"&amp;"",'CALENDARIO'!$G$15:$G$214,0)),IFERROR(INDEX('CALENDARIO'!$C$15:$C$214,MATCH(TEXT($L50,"yyyy-mm-dd")&amp;"|"&amp;$D50&amp;"|",'CALENDARIO'!$G$15:$G$214,0)),IFERROR(INDEX('CALENDARIO'!$C$15:$C$214,MATCH(TEXT($L50,"yyyy-mm-dd")&amp;"||",'CALENDARIO'!$G$15:$G$214,0)),INDEX(patronHabil,WEEKDAY($L50,2))))))&lt;&gt;"sí"),0,p_horas_jornada)</f>
        <v/>
      </c>
      <c r="N50" s="24">
        <f>$A50&amp;"|"&amp;$B50&amp;"|"&amp;$C50</f>
        <v/>
      </c>
      <c r="O50" s="24">
        <f>IFERROR(INDEX('CAT_TURNOS'!$C$4:$C$22,MATCH($J50,'CAT_TURNOS'!$A$4:$A$22,0)),"")</f>
        <v/>
      </c>
      <c r="P50" s="24">
        <f>IFERROR(INDEX('CAT_TURNOS'!$D$4:$D$22,MATCH($J50,'CAT_TURNOS'!$A$4:$A$22,0)),"")</f>
        <v/>
      </c>
      <c r="Q50" s="24">
        <f>IF(AND(LEFT($G50,1)="T",$H50="no"),"sí","no")</f>
        <v/>
      </c>
    </row>
    <row r="51">
      <c r="A51" s="5" t="inlineStr">
        <is>
          <t>2026-S30</t>
        </is>
      </c>
      <c r="B51" s="5" t="inlineStr">
        <is>
          <t>sábado</t>
        </is>
      </c>
      <c r="C51" s="5" t="inlineStr">
        <is>
          <t>Francisco Ramírez</t>
        </is>
      </c>
      <c r="D51" s="24">
        <f>IFERROR(INDEX('TECNICOS'!$D$4:$D$19,MATCH($C51,'TECNICOS'!$B$4:$B$19,0)),"")</f>
        <v/>
      </c>
      <c r="E51" s="24">
        <f>IFERROR(INDEX('TECNICOS'!$C$4:$C$19,MATCH($C51,'TECNICOS'!$B$4:$B$19,0)),"")</f>
        <v/>
      </c>
      <c r="F51" s="24">
        <f>COUNTIFS('TECNICOS'!$F$4:$F$19,"sí",'TECNICOS'!$C$4:$C$19,$E51,'TECNICOS'!$D$4:$D$19,$D51,'TECNICOS'!$H$4:$H$19,"sí")</f>
        <v/>
      </c>
      <c r="G51" s="24">
        <f>IF(OR($C51="",$A51="",$B51="domingo",IFERROR(INDEX('TECNICOS'!$H$4:$H$19,MATCH($C51,'TECNICOS'!$B$4:$B$19,0)),"no")&lt;&gt;"sí"),"",IF(IFERROR(INDEX('TECNICOS'!$F$4:$F$19,MATCH($C51,'TECNICOS'!$B$4:$B$19,0)),"no")&lt;&gt;"sí","B",IF(MOD((IFERROR(INDEX('TECNICOS'!$G$4:$G$19,MATCH($C51,'TECNICOS'!$B$4:$B$19,0)),0)-1)+((DATE(VALUE(LEFT($A51,4)),1,4)-WEEKDAY(DATE(VALUE(LEFT($A51,4)),1,4),2)+1+(VALUE(MID($A51,7,2))-1)*7)-p_semana_referencia)/7,$F51)&lt;($F51-3),"B"&amp;(($F51-3)-MOD((IFERROR(INDEX('TECNICOS'!$G$4:$G$19,MATCH($C51,'TECNICOS'!$B$4:$B$19,0)),0)-1)+((DATE(VALUE(LEFT($A51,4)),1,4)-WEEKDAY(DATE(VALUE(LEFT($A51,4)),1,4),2)+1+(VALUE(MID($A51,7,2))-1)*7)-p_semana_referencia)/7,$F51)),"T"&amp;($F51-MOD((IFERROR(INDEX('TECNICOS'!$G$4:$G$19,MATCH($C51,'TECNICOS'!$B$4:$B$19,0)),0)-1)+((DATE(VALUE(LEFT($A51,4)),1,4)-WEEKDAY(DATE(VALUE(LEFT($A51,4)),1,4),2)+1+(VALUE(MID($A51,7,2))-1)*7)-p_semana_referencia)/7,$F51)))))</f>
        <v/>
      </c>
      <c r="H51" s="24">
        <f>IF(COUNTIFS('PLAN_VACACIONES'!$A$4:$A$103,$C51,'PLAN_VACACIONES'!$B$4:$B$103,"&lt;="&amp;$L51,'PLAN_VACACIONES'!$C$4:$C$103,"&gt;="&amp;$L51)&gt;0,"sí","no")</f>
        <v/>
      </c>
      <c r="I51" s="4" t="n"/>
      <c r="J51" s="24">
        <f>IF($I51&lt;&gt;"",$I51,IF($G51="","",IF($H51="sí","VAC",IF(LEFT($G51,1)="B","B",$G51))))</f>
        <v/>
      </c>
      <c r="K51" s="24">
        <f>IFERROR(INDEX('TECNICOS'!$E$4:$E$19,MATCH($C51,'TECNICOS'!$B$4:$B$19,0)),"")</f>
        <v/>
      </c>
      <c r="L51" s="30">
        <f>IF($A51="","",DATE(VALUE(LEFT($A51,4)),1,4)-WEEKDAY(DATE(VALUE(LEFT($A51,4)),1,4),2)+1+(VALUE(MID($A51,7,2))-1)*7+MATCH($B51,lista_dias,0)-1)</f>
        <v/>
      </c>
      <c r="M51" s="24">
        <f>IF(OR($J51="",ISNUMBER(MATCH($J51,lista_no_disponible,0)),(IFERROR(INDEX('CALENDARIO'!$C$15:$C$214,MATCH(TEXT($L51,"yyyy-mm-dd")&amp;"|"&amp;$D51&amp;"|"&amp;"",'CALENDARIO'!$G$15:$G$214,0)),IFERROR(INDEX('CALENDARIO'!$C$15:$C$214,MATCH(TEXT($L51,"yyyy-mm-dd")&amp;"|"&amp;$D51&amp;"|",'CALENDARIO'!$G$15:$G$214,0)),IFERROR(INDEX('CALENDARIO'!$C$15:$C$214,MATCH(TEXT($L51,"yyyy-mm-dd")&amp;"||",'CALENDARIO'!$G$15:$G$214,0)),INDEX(patronHabil,WEEKDAY($L51,2))))))&lt;&gt;"sí"),0,p_horas_jornada)</f>
        <v/>
      </c>
      <c r="N51" s="24">
        <f>$A51&amp;"|"&amp;$B51&amp;"|"&amp;$C51</f>
        <v/>
      </c>
      <c r="O51" s="24">
        <f>IFERROR(INDEX('CAT_TURNOS'!$C$4:$C$22,MATCH($J51,'CAT_TURNOS'!$A$4:$A$22,0)),"")</f>
        <v/>
      </c>
      <c r="P51" s="24">
        <f>IFERROR(INDEX('CAT_TURNOS'!$D$4:$D$22,MATCH($J51,'CAT_TURNOS'!$A$4:$A$22,0)),"")</f>
        <v/>
      </c>
      <c r="Q51" s="24">
        <f>IF(AND(LEFT($G51,1)="T",$H51="no"),"sí","no")</f>
        <v/>
      </c>
    </row>
    <row r="52">
      <c r="A52" s="5" t="inlineStr">
        <is>
          <t>2026-S30</t>
        </is>
      </c>
      <c r="B52" s="5" t="inlineStr">
        <is>
          <t>domingo</t>
        </is>
      </c>
      <c r="C52" s="5" t="inlineStr">
        <is>
          <t>Francisco Ramírez</t>
        </is>
      </c>
      <c r="D52" s="24">
        <f>IFERROR(INDEX('TECNICOS'!$D$4:$D$19,MATCH($C52,'TECNICOS'!$B$4:$B$19,0)),"")</f>
        <v/>
      </c>
      <c r="E52" s="24">
        <f>IFERROR(INDEX('TECNICOS'!$C$4:$C$19,MATCH($C52,'TECNICOS'!$B$4:$B$19,0)),"")</f>
        <v/>
      </c>
      <c r="F52" s="24">
        <f>COUNTIFS('TECNICOS'!$F$4:$F$19,"sí",'TECNICOS'!$C$4:$C$19,$E52,'TECNICOS'!$D$4:$D$19,$D52,'TECNICOS'!$H$4:$H$19,"sí")</f>
        <v/>
      </c>
      <c r="G52" s="24">
        <f>IF(OR($C52="",$A52="",$B52="domingo",IFERROR(INDEX('TECNICOS'!$H$4:$H$19,MATCH($C52,'TECNICOS'!$B$4:$B$19,0)),"no")&lt;&gt;"sí"),"",IF(IFERROR(INDEX('TECNICOS'!$F$4:$F$19,MATCH($C52,'TECNICOS'!$B$4:$B$19,0)),"no")&lt;&gt;"sí","B",IF(MOD((IFERROR(INDEX('TECNICOS'!$G$4:$G$19,MATCH($C52,'TECNICOS'!$B$4:$B$19,0)),0)-1)+((DATE(VALUE(LEFT($A52,4)),1,4)-WEEKDAY(DATE(VALUE(LEFT($A52,4)),1,4),2)+1+(VALUE(MID($A52,7,2))-1)*7)-p_semana_referencia)/7,$F52)&lt;($F52-3),"B"&amp;(($F52-3)-MOD((IFERROR(INDEX('TECNICOS'!$G$4:$G$19,MATCH($C52,'TECNICOS'!$B$4:$B$19,0)),0)-1)+((DATE(VALUE(LEFT($A52,4)),1,4)-WEEKDAY(DATE(VALUE(LEFT($A52,4)),1,4),2)+1+(VALUE(MID($A52,7,2))-1)*7)-p_semana_referencia)/7,$F52)),"T"&amp;($F52-MOD((IFERROR(INDEX('TECNICOS'!$G$4:$G$19,MATCH($C52,'TECNICOS'!$B$4:$B$19,0)),0)-1)+((DATE(VALUE(LEFT($A52,4)),1,4)-WEEKDAY(DATE(VALUE(LEFT($A52,4)),1,4),2)+1+(VALUE(MID($A52,7,2))-1)*7)-p_semana_referencia)/7,$F52)))))</f>
        <v/>
      </c>
      <c r="H52" s="24">
        <f>IF(COUNTIFS('PLAN_VACACIONES'!$A$4:$A$103,$C52,'PLAN_VACACIONES'!$B$4:$B$103,"&lt;="&amp;$L52,'PLAN_VACACIONES'!$C$4:$C$103,"&gt;="&amp;$L52)&gt;0,"sí","no")</f>
        <v/>
      </c>
      <c r="I52" s="4" t="n"/>
      <c r="J52" s="24">
        <f>IF($I52&lt;&gt;"",$I52,IF($G52="","",IF($H52="sí","VAC",IF(LEFT($G52,1)="B","B",$G52))))</f>
        <v/>
      </c>
      <c r="K52" s="24">
        <f>IFERROR(INDEX('TECNICOS'!$E$4:$E$19,MATCH($C52,'TECNICOS'!$B$4:$B$19,0)),"")</f>
        <v/>
      </c>
      <c r="L52" s="30">
        <f>IF($A52="","",DATE(VALUE(LEFT($A52,4)),1,4)-WEEKDAY(DATE(VALUE(LEFT($A52,4)),1,4),2)+1+(VALUE(MID($A52,7,2))-1)*7+MATCH($B52,lista_dias,0)-1)</f>
        <v/>
      </c>
      <c r="M52" s="24">
        <f>IF(OR($J52="",ISNUMBER(MATCH($J52,lista_no_disponible,0)),(IFERROR(INDEX('CALENDARIO'!$C$15:$C$214,MATCH(TEXT($L52,"yyyy-mm-dd")&amp;"|"&amp;$D52&amp;"|"&amp;"",'CALENDARIO'!$G$15:$G$214,0)),IFERROR(INDEX('CALENDARIO'!$C$15:$C$214,MATCH(TEXT($L52,"yyyy-mm-dd")&amp;"|"&amp;$D52&amp;"|",'CALENDARIO'!$G$15:$G$214,0)),IFERROR(INDEX('CALENDARIO'!$C$15:$C$214,MATCH(TEXT($L52,"yyyy-mm-dd")&amp;"||",'CALENDARIO'!$G$15:$G$214,0)),INDEX(patronHabil,WEEKDAY($L52,2))))))&lt;&gt;"sí"),0,p_horas_jornada)</f>
        <v/>
      </c>
      <c r="N52" s="24">
        <f>$A52&amp;"|"&amp;$B52&amp;"|"&amp;$C52</f>
        <v/>
      </c>
      <c r="O52" s="24">
        <f>IFERROR(INDEX('CAT_TURNOS'!$C$4:$C$22,MATCH($J52,'CAT_TURNOS'!$A$4:$A$22,0)),"")</f>
        <v/>
      </c>
      <c r="P52" s="24">
        <f>IFERROR(INDEX('CAT_TURNOS'!$D$4:$D$22,MATCH($J52,'CAT_TURNOS'!$A$4:$A$22,0)),"")</f>
        <v/>
      </c>
      <c r="Q52" s="24">
        <f>IF(AND(LEFT($G52,1)="T",$H52="no"),"sí","no")</f>
        <v/>
      </c>
    </row>
    <row r="53">
      <c r="A53" s="5" t="inlineStr">
        <is>
          <t>2026-S30</t>
        </is>
      </c>
      <c r="B53" s="5" t="inlineStr">
        <is>
          <t>lunes</t>
        </is>
      </c>
      <c r="C53" s="5" t="inlineStr">
        <is>
          <t>Jorge Díaz</t>
        </is>
      </c>
      <c r="D53" s="24">
        <f>IFERROR(INDEX('TECNICOS'!$D$4:$D$19,MATCH($C53,'TECNICOS'!$B$4:$B$19,0)),"")</f>
        <v/>
      </c>
      <c r="E53" s="24">
        <f>IFERROR(INDEX('TECNICOS'!$C$4:$C$19,MATCH($C53,'TECNICOS'!$B$4:$B$19,0)),"")</f>
        <v/>
      </c>
      <c r="F53" s="24">
        <f>COUNTIFS('TECNICOS'!$F$4:$F$19,"sí",'TECNICOS'!$C$4:$C$19,$E53,'TECNICOS'!$D$4:$D$19,$D53,'TECNICOS'!$H$4:$H$19,"sí")</f>
        <v/>
      </c>
      <c r="G53" s="24">
        <f>IF(OR($C53="",$A53="",$B53="domingo",IFERROR(INDEX('TECNICOS'!$H$4:$H$19,MATCH($C53,'TECNICOS'!$B$4:$B$19,0)),"no")&lt;&gt;"sí"),"",IF(IFERROR(INDEX('TECNICOS'!$F$4:$F$19,MATCH($C53,'TECNICOS'!$B$4:$B$19,0)),"no")&lt;&gt;"sí","B",IF(MOD((IFERROR(INDEX('TECNICOS'!$G$4:$G$19,MATCH($C53,'TECNICOS'!$B$4:$B$19,0)),0)-1)+((DATE(VALUE(LEFT($A53,4)),1,4)-WEEKDAY(DATE(VALUE(LEFT($A53,4)),1,4),2)+1+(VALUE(MID($A53,7,2))-1)*7)-p_semana_referencia)/7,$F53)&lt;($F53-3),"B"&amp;(($F53-3)-MOD((IFERROR(INDEX('TECNICOS'!$G$4:$G$19,MATCH($C53,'TECNICOS'!$B$4:$B$19,0)),0)-1)+((DATE(VALUE(LEFT($A53,4)),1,4)-WEEKDAY(DATE(VALUE(LEFT($A53,4)),1,4),2)+1+(VALUE(MID($A53,7,2))-1)*7)-p_semana_referencia)/7,$F53)),"T"&amp;($F53-MOD((IFERROR(INDEX('TECNICOS'!$G$4:$G$19,MATCH($C53,'TECNICOS'!$B$4:$B$19,0)),0)-1)+((DATE(VALUE(LEFT($A53,4)),1,4)-WEEKDAY(DATE(VALUE(LEFT($A53,4)),1,4),2)+1+(VALUE(MID($A53,7,2))-1)*7)-p_semana_referencia)/7,$F53)))))</f>
        <v/>
      </c>
      <c r="H53" s="24">
        <f>IF(COUNTIFS('PLAN_VACACIONES'!$A$4:$A$103,$C53,'PLAN_VACACIONES'!$B$4:$B$103,"&lt;="&amp;$L53,'PLAN_VACACIONES'!$C$4:$C$103,"&gt;="&amp;$L53)&gt;0,"sí","no")</f>
        <v/>
      </c>
      <c r="I53" s="4" t="n"/>
      <c r="J53" s="24">
        <f>IF($I53&lt;&gt;"",$I53,IF($G53="","",IF($H53="sí","VAC",IF(LEFT($G53,1)="B","B",$G53))))</f>
        <v/>
      </c>
      <c r="K53" s="24">
        <f>IFERROR(INDEX('TECNICOS'!$E$4:$E$19,MATCH($C53,'TECNICOS'!$B$4:$B$19,0)),"")</f>
        <v/>
      </c>
      <c r="L53" s="30">
        <f>IF($A53="","",DATE(VALUE(LEFT($A53,4)),1,4)-WEEKDAY(DATE(VALUE(LEFT($A53,4)),1,4),2)+1+(VALUE(MID($A53,7,2))-1)*7+MATCH($B53,lista_dias,0)-1)</f>
        <v/>
      </c>
      <c r="M53" s="24">
        <f>IF(OR($J53="",ISNUMBER(MATCH($J53,lista_no_disponible,0)),(IFERROR(INDEX('CALENDARIO'!$C$15:$C$214,MATCH(TEXT($L53,"yyyy-mm-dd")&amp;"|"&amp;$D53&amp;"|"&amp;"",'CALENDARIO'!$G$15:$G$214,0)),IFERROR(INDEX('CALENDARIO'!$C$15:$C$214,MATCH(TEXT($L53,"yyyy-mm-dd")&amp;"|"&amp;$D53&amp;"|",'CALENDARIO'!$G$15:$G$214,0)),IFERROR(INDEX('CALENDARIO'!$C$15:$C$214,MATCH(TEXT($L53,"yyyy-mm-dd")&amp;"||",'CALENDARIO'!$G$15:$G$214,0)),INDEX(patronHabil,WEEKDAY($L53,2))))))&lt;&gt;"sí"),0,p_horas_jornada)</f>
        <v/>
      </c>
      <c r="N53" s="24">
        <f>$A53&amp;"|"&amp;$B53&amp;"|"&amp;$C53</f>
        <v/>
      </c>
      <c r="O53" s="24">
        <f>IFERROR(INDEX('CAT_TURNOS'!$C$4:$C$22,MATCH($J53,'CAT_TURNOS'!$A$4:$A$22,0)),"")</f>
        <v/>
      </c>
      <c r="P53" s="24">
        <f>IFERROR(INDEX('CAT_TURNOS'!$D$4:$D$22,MATCH($J53,'CAT_TURNOS'!$A$4:$A$22,0)),"")</f>
        <v/>
      </c>
      <c r="Q53" s="24">
        <f>IF(AND(LEFT($G53,1)="T",$H53="no"),"sí","no")</f>
        <v/>
      </c>
    </row>
    <row r="54">
      <c r="A54" s="5" t="inlineStr">
        <is>
          <t>2026-S30</t>
        </is>
      </c>
      <c r="B54" s="5" t="inlineStr">
        <is>
          <t>martes</t>
        </is>
      </c>
      <c r="C54" s="5" t="inlineStr">
        <is>
          <t>Jorge Díaz</t>
        </is>
      </c>
      <c r="D54" s="24">
        <f>IFERROR(INDEX('TECNICOS'!$D$4:$D$19,MATCH($C54,'TECNICOS'!$B$4:$B$19,0)),"")</f>
        <v/>
      </c>
      <c r="E54" s="24">
        <f>IFERROR(INDEX('TECNICOS'!$C$4:$C$19,MATCH($C54,'TECNICOS'!$B$4:$B$19,0)),"")</f>
        <v/>
      </c>
      <c r="F54" s="24">
        <f>COUNTIFS('TECNICOS'!$F$4:$F$19,"sí",'TECNICOS'!$C$4:$C$19,$E54,'TECNICOS'!$D$4:$D$19,$D54,'TECNICOS'!$H$4:$H$19,"sí")</f>
        <v/>
      </c>
      <c r="G54" s="24">
        <f>IF(OR($C54="",$A54="",$B54="domingo",IFERROR(INDEX('TECNICOS'!$H$4:$H$19,MATCH($C54,'TECNICOS'!$B$4:$B$19,0)),"no")&lt;&gt;"sí"),"",IF(IFERROR(INDEX('TECNICOS'!$F$4:$F$19,MATCH($C54,'TECNICOS'!$B$4:$B$19,0)),"no")&lt;&gt;"sí","B",IF(MOD((IFERROR(INDEX('TECNICOS'!$G$4:$G$19,MATCH($C54,'TECNICOS'!$B$4:$B$19,0)),0)-1)+((DATE(VALUE(LEFT($A54,4)),1,4)-WEEKDAY(DATE(VALUE(LEFT($A54,4)),1,4),2)+1+(VALUE(MID($A54,7,2))-1)*7)-p_semana_referencia)/7,$F54)&lt;($F54-3),"B"&amp;(($F54-3)-MOD((IFERROR(INDEX('TECNICOS'!$G$4:$G$19,MATCH($C54,'TECNICOS'!$B$4:$B$19,0)),0)-1)+((DATE(VALUE(LEFT($A54,4)),1,4)-WEEKDAY(DATE(VALUE(LEFT($A54,4)),1,4),2)+1+(VALUE(MID($A54,7,2))-1)*7)-p_semana_referencia)/7,$F54)),"T"&amp;($F54-MOD((IFERROR(INDEX('TECNICOS'!$G$4:$G$19,MATCH($C54,'TECNICOS'!$B$4:$B$19,0)),0)-1)+((DATE(VALUE(LEFT($A54,4)),1,4)-WEEKDAY(DATE(VALUE(LEFT($A54,4)),1,4),2)+1+(VALUE(MID($A54,7,2))-1)*7)-p_semana_referencia)/7,$F54)))))</f>
        <v/>
      </c>
      <c r="H54" s="24">
        <f>IF(COUNTIFS('PLAN_VACACIONES'!$A$4:$A$103,$C54,'PLAN_VACACIONES'!$B$4:$B$103,"&lt;="&amp;$L54,'PLAN_VACACIONES'!$C$4:$C$103,"&gt;="&amp;$L54)&gt;0,"sí","no")</f>
        <v/>
      </c>
      <c r="I54" s="4" t="n"/>
      <c r="J54" s="24">
        <f>IF($I54&lt;&gt;"",$I54,IF($G54="","",IF($H54="sí","VAC",IF(LEFT($G54,1)="B","B",$G54))))</f>
        <v/>
      </c>
      <c r="K54" s="24">
        <f>IFERROR(INDEX('TECNICOS'!$E$4:$E$19,MATCH($C54,'TECNICOS'!$B$4:$B$19,0)),"")</f>
        <v/>
      </c>
      <c r="L54" s="30">
        <f>IF($A54="","",DATE(VALUE(LEFT($A54,4)),1,4)-WEEKDAY(DATE(VALUE(LEFT($A54,4)),1,4),2)+1+(VALUE(MID($A54,7,2))-1)*7+MATCH($B54,lista_dias,0)-1)</f>
        <v/>
      </c>
      <c r="M54" s="24">
        <f>IF(OR($J54="",ISNUMBER(MATCH($J54,lista_no_disponible,0)),(IFERROR(INDEX('CALENDARIO'!$C$15:$C$214,MATCH(TEXT($L54,"yyyy-mm-dd")&amp;"|"&amp;$D54&amp;"|"&amp;"",'CALENDARIO'!$G$15:$G$214,0)),IFERROR(INDEX('CALENDARIO'!$C$15:$C$214,MATCH(TEXT($L54,"yyyy-mm-dd")&amp;"|"&amp;$D54&amp;"|",'CALENDARIO'!$G$15:$G$214,0)),IFERROR(INDEX('CALENDARIO'!$C$15:$C$214,MATCH(TEXT($L54,"yyyy-mm-dd")&amp;"||",'CALENDARIO'!$G$15:$G$214,0)),INDEX(patronHabil,WEEKDAY($L54,2))))))&lt;&gt;"sí"),0,p_horas_jornada)</f>
        <v/>
      </c>
      <c r="N54" s="24">
        <f>$A54&amp;"|"&amp;$B54&amp;"|"&amp;$C54</f>
        <v/>
      </c>
      <c r="O54" s="24">
        <f>IFERROR(INDEX('CAT_TURNOS'!$C$4:$C$22,MATCH($J54,'CAT_TURNOS'!$A$4:$A$22,0)),"")</f>
        <v/>
      </c>
      <c r="P54" s="24">
        <f>IFERROR(INDEX('CAT_TURNOS'!$D$4:$D$22,MATCH($J54,'CAT_TURNOS'!$A$4:$A$22,0)),"")</f>
        <v/>
      </c>
      <c r="Q54" s="24">
        <f>IF(AND(LEFT($G54,1)="T",$H54="no"),"sí","no")</f>
        <v/>
      </c>
    </row>
    <row r="55">
      <c r="A55" s="5" t="inlineStr">
        <is>
          <t>2026-S30</t>
        </is>
      </c>
      <c r="B55" s="5" t="inlineStr">
        <is>
          <t>miércoles</t>
        </is>
      </c>
      <c r="C55" s="5" t="inlineStr">
        <is>
          <t>Jorge Díaz</t>
        </is>
      </c>
      <c r="D55" s="24">
        <f>IFERROR(INDEX('TECNICOS'!$D$4:$D$19,MATCH($C55,'TECNICOS'!$B$4:$B$19,0)),"")</f>
        <v/>
      </c>
      <c r="E55" s="24">
        <f>IFERROR(INDEX('TECNICOS'!$C$4:$C$19,MATCH($C55,'TECNICOS'!$B$4:$B$19,0)),"")</f>
        <v/>
      </c>
      <c r="F55" s="24">
        <f>COUNTIFS('TECNICOS'!$F$4:$F$19,"sí",'TECNICOS'!$C$4:$C$19,$E55,'TECNICOS'!$D$4:$D$19,$D55,'TECNICOS'!$H$4:$H$19,"sí")</f>
        <v/>
      </c>
      <c r="G55" s="24">
        <f>IF(OR($C55="",$A55="",$B55="domingo",IFERROR(INDEX('TECNICOS'!$H$4:$H$19,MATCH($C55,'TECNICOS'!$B$4:$B$19,0)),"no")&lt;&gt;"sí"),"",IF(IFERROR(INDEX('TECNICOS'!$F$4:$F$19,MATCH($C55,'TECNICOS'!$B$4:$B$19,0)),"no")&lt;&gt;"sí","B",IF(MOD((IFERROR(INDEX('TECNICOS'!$G$4:$G$19,MATCH($C55,'TECNICOS'!$B$4:$B$19,0)),0)-1)+((DATE(VALUE(LEFT($A55,4)),1,4)-WEEKDAY(DATE(VALUE(LEFT($A55,4)),1,4),2)+1+(VALUE(MID($A55,7,2))-1)*7)-p_semana_referencia)/7,$F55)&lt;($F55-3),"B"&amp;(($F55-3)-MOD((IFERROR(INDEX('TECNICOS'!$G$4:$G$19,MATCH($C55,'TECNICOS'!$B$4:$B$19,0)),0)-1)+((DATE(VALUE(LEFT($A55,4)),1,4)-WEEKDAY(DATE(VALUE(LEFT($A55,4)),1,4),2)+1+(VALUE(MID($A55,7,2))-1)*7)-p_semana_referencia)/7,$F55)),"T"&amp;($F55-MOD((IFERROR(INDEX('TECNICOS'!$G$4:$G$19,MATCH($C55,'TECNICOS'!$B$4:$B$19,0)),0)-1)+((DATE(VALUE(LEFT($A55,4)),1,4)-WEEKDAY(DATE(VALUE(LEFT($A55,4)),1,4),2)+1+(VALUE(MID($A55,7,2))-1)*7)-p_semana_referencia)/7,$F55)))))</f>
        <v/>
      </c>
      <c r="H55" s="24">
        <f>IF(COUNTIFS('PLAN_VACACIONES'!$A$4:$A$103,$C55,'PLAN_VACACIONES'!$B$4:$B$103,"&lt;="&amp;$L55,'PLAN_VACACIONES'!$C$4:$C$103,"&gt;="&amp;$L55)&gt;0,"sí","no")</f>
        <v/>
      </c>
      <c r="I55" s="4" t="n"/>
      <c r="J55" s="24">
        <f>IF($I55&lt;&gt;"",$I55,IF($G55="","",IF($H55="sí","VAC",IF(LEFT($G55,1)="B","B",$G55))))</f>
        <v/>
      </c>
      <c r="K55" s="24">
        <f>IFERROR(INDEX('TECNICOS'!$E$4:$E$19,MATCH($C55,'TECNICOS'!$B$4:$B$19,0)),"")</f>
        <v/>
      </c>
      <c r="L55" s="30">
        <f>IF($A55="","",DATE(VALUE(LEFT($A55,4)),1,4)-WEEKDAY(DATE(VALUE(LEFT($A55,4)),1,4),2)+1+(VALUE(MID($A55,7,2))-1)*7+MATCH($B55,lista_dias,0)-1)</f>
        <v/>
      </c>
      <c r="M55" s="24">
        <f>IF(OR($J55="",ISNUMBER(MATCH($J55,lista_no_disponible,0)),(IFERROR(INDEX('CALENDARIO'!$C$15:$C$214,MATCH(TEXT($L55,"yyyy-mm-dd")&amp;"|"&amp;$D55&amp;"|"&amp;"",'CALENDARIO'!$G$15:$G$214,0)),IFERROR(INDEX('CALENDARIO'!$C$15:$C$214,MATCH(TEXT($L55,"yyyy-mm-dd")&amp;"|"&amp;$D55&amp;"|",'CALENDARIO'!$G$15:$G$214,0)),IFERROR(INDEX('CALENDARIO'!$C$15:$C$214,MATCH(TEXT($L55,"yyyy-mm-dd")&amp;"||",'CALENDARIO'!$G$15:$G$214,0)),INDEX(patronHabil,WEEKDAY($L55,2))))))&lt;&gt;"sí"),0,p_horas_jornada)</f>
        <v/>
      </c>
      <c r="N55" s="24">
        <f>$A55&amp;"|"&amp;$B55&amp;"|"&amp;$C55</f>
        <v/>
      </c>
      <c r="O55" s="24">
        <f>IFERROR(INDEX('CAT_TURNOS'!$C$4:$C$22,MATCH($J55,'CAT_TURNOS'!$A$4:$A$22,0)),"")</f>
        <v/>
      </c>
      <c r="P55" s="24">
        <f>IFERROR(INDEX('CAT_TURNOS'!$D$4:$D$22,MATCH($J55,'CAT_TURNOS'!$A$4:$A$22,0)),"")</f>
        <v/>
      </c>
      <c r="Q55" s="24">
        <f>IF(AND(LEFT($G55,1)="T",$H55="no"),"sí","no")</f>
        <v/>
      </c>
    </row>
    <row r="56">
      <c r="A56" s="5" t="inlineStr">
        <is>
          <t>2026-S30</t>
        </is>
      </c>
      <c r="B56" s="5" t="inlineStr">
        <is>
          <t>jueves</t>
        </is>
      </c>
      <c r="C56" s="5" t="inlineStr">
        <is>
          <t>Jorge Díaz</t>
        </is>
      </c>
      <c r="D56" s="24">
        <f>IFERROR(INDEX('TECNICOS'!$D$4:$D$19,MATCH($C56,'TECNICOS'!$B$4:$B$19,0)),"")</f>
        <v/>
      </c>
      <c r="E56" s="24">
        <f>IFERROR(INDEX('TECNICOS'!$C$4:$C$19,MATCH($C56,'TECNICOS'!$B$4:$B$19,0)),"")</f>
        <v/>
      </c>
      <c r="F56" s="24">
        <f>COUNTIFS('TECNICOS'!$F$4:$F$19,"sí",'TECNICOS'!$C$4:$C$19,$E56,'TECNICOS'!$D$4:$D$19,$D56,'TECNICOS'!$H$4:$H$19,"sí")</f>
        <v/>
      </c>
      <c r="G56" s="24">
        <f>IF(OR($C56="",$A56="",$B56="domingo",IFERROR(INDEX('TECNICOS'!$H$4:$H$19,MATCH($C56,'TECNICOS'!$B$4:$B$19,0)),"no")&lt;&gt;"sí"),"",IF(IFERROR(INDEX('TECNICOS'!$F$4:$F$19,MATCH($C56,'TECNICOS'!$B$4:$B$19,0)),"no")&lt;&gt;"sí","B",IF(MOD((IFERROR(INDEX('TECNICOS'!$G$4:$G$19,MATCH($C56,'TECNICOS'!$B$4:$B$19,0)),0)-1)+((DATE(VALUE(LEFT($A56,4)),1,4)-WEEKDAY(DATE(VALUE(LEFT($A56,4)),1,4),2)+1+(VALUE(MID($A56,7,2))-1)*7)-p_semana_referencia)/7,$F56)&lt;($F56-3),"B"&amp;(($F56-3)-MOD((IFERROR(INDEX('TECNICOS'!$G$4:$G$19,MATCH($C56,'TECNICOS'!$B$4:$B$19,0)),0)-1)+((DATE(VALUE(LEFT($A56,4)),1,4)-WEEKDAY(DATE(VALUE(LEFT($A56,4)),1,4),2)+1+(VALUE(MID($A56,7,2))-1)*7)-p_semana_referencia)/7,$F56)),"T"&amp;($F56-MOD((IFERROR(INDEX('TECNICOS'!$G$4:$G$19,MATCH($C56,'TECNICOS'!$B$4:$B$19,0)),0)-1)+((DATE(VALUE(LEFT($A56,4)),1,4)-WEEKDAY(DATE(VALUE(LEFT($A56,4)),1,4),2)+1+(VALUE(MID($A56,7,2))-1)*7)-p_semana_referencia)/7,$F56)))))</f>
        <v/>
      </c>
      <c r="H56" s="24">
        <f>IF(COUNTIFS('PLAN_VACACIONES'!$A$4:$A$103,$C56,'PLAN_VACACIONES'!$B$4:$B$103,"&lt;="&amp;$L56,'PLAN_VACACIONES'!$C$4:$C$103,"&gt;="&amp;$L56)&gt;0,"sí","no")</f>
        <v/>
      </c>
      <c r="I56" s="4" t="n"/>
      <c r="J56" s="24">
        <f>IF($I56&lt;&gt;"",$I56,IF($G56="","",IF($H56="sí","VAC",IF(LEFT($G56,1)="B","B",$G56))))</f>
        <v/>
      </c>
      <c r="K56" s="24">
        <f>IFERROR(INDEX('TECNICOS'!$E$4:$E$19,MATCH($C56,'TECNICOS'!$B$4:$B$19,0)),"")</f>
        <v/>
      </c>
      <c r="L56" s="30">
        <f>IF($A56="","",DATE(VALUE(LEFT($A56,4)),1,4)-WEEKDAY(DATE(VALUE(LEFT($A56,4)),1,4),2)+1+(VALUE(MID($A56,7,2))-1)*7+MATCH($B56,lista_dias,0)-1)</f>
        <v/>
      </c>
      <c r="M56" s="24">
        <f>IF(OR($J56="",ISNUMBER(MATCH($J56,lista_no_disponible,0)),(IFERROR(INDEX('CALENDARIO'!$C$15:$C$214,MATCH(TEXT($L56,"yyyy-mm-dd")&amp;"|"&amp;$D56&amp;"|"&amp;"",'CALENDARIO'!$G$15:$G$214,0)),IFERROR(INDEX('CALENDARIO'!$C$15:$C$214,MATCH(TEXT($L56,"yyyy-mm-dd")&amp;"|"&amp;$D56&amp;"|",'CALENDARIO'!$G$15:$G$214,0)),IFERROR(INDEX('CALENDARIO'!$C$15:$C$214,MATCH(TEXT($L56,"yyyy-mm-dd")&amp;"||",'CALENDARIO'!$G$15:$G$214,0)),INDEX(patronHabil,WEEKDAY($L56,2))))))&lt;&gt;"sí"),0,p_horas_jornada)</f>
        <v/>
      </c>
      <c r="N56" s="24">
        <f>$A56&amp;"|"&amp;$B56&amp;"|"&amp;$C56</f>
        <v/>
      </c>
      <c r="O56" s="24">
        <f>IFERROR(INDEX('CAT_TURNOS'!$C$4:$C$22,MATCH($J56,'CAT_TURNOS'!$A$4:$A$22,0)),"")</f>
        <v/>
      </c>
      <c r="P56" s="24">
        <f>IFERROR(INDEX('CAT_TURNOS'!$D$4:$D$22,MATCH($J56,'CAT_TURNOS'!$A$4:$A$22,0)),"")</f>
        <v/>
      </c>
      <c r="Q56" s="24">
        <f>IF(AND(LEFT($G56,1)="T",$H56="no"),"sí","no")</f>
        <v/>
      </c>
    </row>
    <row r="57">
      <c r="A57" s="5" t="inlineStr">
        <is>
          <t>2026-S30</t>
        </is>
      </c>
      <c r="B57" s="5" t="inlineStr">
        <is>
          <t>viernes</t>
        </is>
      </c>
      <c r="C57" s="5" t="inlineStr">
        <is>
          <t>Jorge Díaz</t>
        </is>
      </c>
      <c r="D57" s="24">
        <f>IFERROR(INDEX('TECNICOS'!$D$4:$D$19,MATCH($C57,'TECNICOS'!$B$4:$B$19,0)),"")</f>
        <v/>
      </c>
      <c r="E57" s="24">
        <f>IFERROR(INDEX('TECNICOS'!$C$4:$C$19,MATCH($C57,'TECNICOS'!$B$4:$B$19,0)),"")</f>
        <v/>
      </c>
      <c r="F57" s="24">
        <f>COUNTIFS('TECNICOS'!$F$4:$F$19,"sí",'TECNICOS'!$C$4:$C$19,$E57,'TECNICOS'!$D$4:$D$19,$D57,'TECNICOS'!$H$4:$H$19,"sí")</f>
        <v/>
      </c>
      <c r="G57" s="24">
        <f>IF(OR($C57="",$A57="",$B57="domingo",IFERROR(INDEX('TECNICOS'!$H$4:$H$19,MATCH($C57,'TECNICOS'!$B$4:$B$19,0)),"no")&lt;&gt;"sí"),"",IF(IFERROR(INDEX('TECNICOS'!$F$4:$F$19,MATCH($C57,'TECNICOS'!$B$4:$B$19,0)),"no")&lt;&gt;"sí","B",IF(MOD((IFERROR(INDEX('TECNICOS'!$G$4:$G$19,MATCH($C57,'TECNICOS'!$B$4:$B$19,0)),0)-1)+((DATE(VALUE(LEFT($A57,4)),1,4)-WEEKDAY(DATE(VALUE(LEFT($A57,4)),1,4),2)+1+(VALUE(MID($A57,7,2))-1)*7)-p_semana_referencia)/7,$F57)&lt;($F57-3),"B"&amp;(($F57-3)-MOD((IFERROR(INDEX('TECNICOS'!$G$4:$G$19,MATCH($C57,'TECNICOS'!$B$4:$B$19,0)),0)-1)+((DATE(VALUE(LEFT($A57,4)),1,4)-WEEKDAY(DATE(VALUE(LEFT($A57,4)),1,4),2)+1+(VALUE(MID($A57,7,2))-1)*7)-p_semana_referencia)/7,$F57)),"T"&amp;($F57-MOD((IFERROR(INDEX('TECNICOS'!$G$4:$G$19,MATCH($C57,'TECNICOS'!$B$4:$B$19,0)),0)-1)+((DATE(VALUE(LEFT($A57,4)),1,4)-WEEKDAY(DATE(VALUE(LEFT($A57,4)),1,4),2)+1+(VALUE(MID($A57,7,2))-1)*7)-p_semana_referencia)/7,$F57)))))</f>
        <v/>
      </c>
      <c r="H57" s="24">
        <f>IF(COUNTIFS('PLAN_VACACIONES'!$A$4:$A$103,$C57,'PLAN_VACACIONES'!$B$4:$B$103,"&lt;="&amp;$L57,'PLAN_VACACIONES'!$C$4:$C$103,"&gt;="&amp;$L57)&gt;0,"sí","no")</f>
        <v/>
      </c>
      <c r="I57" s="4" t="n"/>
      <c r="J57" s="24">
        <f>IF($I57&lt;&gt;"",$I57,IF($G57="","",IF($H57="sí","VAC",IF(LEFT($G57,1)="B","B",$G57))))</f>
        <v/>
      </c>
      <c r="K57" s="24">
        <f>IFERROR(INDEX('TECNICOS'!$E$4:$E$19,MATCH($C57,'TECNICOS'!$B$4:$B$19,0)),"")</f>
        <v/>
      </c>
      <c r="L57" s="30">
        <f>IF($A57="","",DATE(VALUE(LEFT($A57,4)),1,4)-WEEKDAY(DATE(VALUE(LEFT($A57,4)),1,4),2)+1+(VALUE(MID($A57,7,2))-1)*7+MATCH($B57,lista_dias,0)-1)</f>
        <v/>
      </c>
      <c r="M57" s="24">
        <f>IF(OR($J57="",ISNUMBER(MATCH($J57,lista_no_disponible,0)),(IFERROR(INDEX('CALENDARIO'!$C$15:$C$214,MATCH(TEXT($L57,"yyyy-mm-dd")&amp;"|"&amp;$D57&amp;"|"&amp;"",'CALENDARIO'!$G$15:$G$214,0)),IFERROR(INDEX('CALENDARIO'!$C$15:$C$214,MATCH(TEXT($L57,"yyyy-mm-dd")&amp;"|"&amp;$D57&amp;"|",'CALENDARIO'!$G$15:$G$214,0)),IFERROR(INDEX('CALENDARIO'!$C$15:$C$214,MATCH(TEXT($L57,"yyyy-mm-dd")&amp;"||",'CALENDARIO'!$G$15:$G$214,0)),INDEX(patronHabil,WEEKDAY($L57,2))))))&lt;&gt;"sí"),0,p_horas_jornada)</f>
        <v/>
      </c>
      <c r="N57" s="24">
        <f>$A57&amp;"|"&amp;$B57&amp;"|"&amp;$C57</f>
        <v/>
      </c>
      <c r="O57" s="24">
        <f>IFERROR(INDEX('CAT_TURNOS'!$C$4:$C$22,MATCH($J57,'CAT_TURNOS'!$A$4:$A$22,0)),"")</f>
        <v/>
      </c>
      <c r="P57" s="24">
        <f>IFERROR(INDEX('CAT_TURNOS'!$D$4:$D$22,MATCH($J57,'CAT_TURNOS'!$A$4:$A$22,0)),"")</f>
        <v/>
      </c>
      <c r="Q57" s="24">
        <f>IF(AND(LEFT($G57,1)="T",$H57="no"),"sí","no")</f>
        <v/>
      </c>
    </row>
    <row r="58">
      <c r="A58" s="5" t="inlineStr">
        <is>
          <t>2026-S30</t>
        </is>
      </c>
      <c r="B58" s="5" t="inlineStr">
        <is>
          <t>sábado</t>
        </is>
      </c>
      <c r="C58" s="5" t="inlineStr">
        <is>
          <t>Jorge Díaz</t>
        </is>
      </c>
      <c r="D58" s="24">
        <f>IFERROR(INDEX('TECNICOS'!$D$4:$D$19,MATCH($C58,'TECNICOS'!$B$4:$B$19,0)),"")</f>
        <v/>
      </c>
      <c r="E58" s="24">
        <f>IFERROR(INDEX('TECNICOS'!$C$4:$C$19,MATCH($C58,'TECNICOS'!$B$4:$B$19,0)),"")</f>
        <v/>
      </c>
      <c r="F58" s="24">
        <f>COUNTIFS('TECNICOS'!$F$4:$F$19,"sí",'TECNICOS'!$C$4:$C$19,$E58,'TECNICOS'!$D$4:$D$19,$D58,'TECNICOS'!$H$4:$H$19,"sí")</f>
        <v/>
      </c>
      <c r="G58" s="24">
        <f>IF(OR($C58="",$A58="",$B58="domingo",IFERROR(INDEX('TECNICOS'!$H$4:$H$19,MATCH($C58,'TECNICOS'!$B$4:$B$19,0)),"no")&lt;&gt;"sí"),"",IF(IFERROR(INDEX('TECNICOS'!$F$4:$F$19,MATCH($C58,'TECNICOS'!$B$4:$B$19,0)),"no")&lt;&gt;"sí","B",IF(MOD((IFERROR(INDEX('TECNICOS'!$G$4:$G$19,MATCH($C58,'TECNICOS'!$B$4:$B$19,0)),0)-1)+((DATE(VALUE(LEFT($A58,4)),1,4)-WEEKDAY(DATE(VALUE(LEFT($A58,4)),1,4),2)+1+(VALUE(MID($A58,7,2))-1)*7)-p_semana_referencia)/7,$F58)&lt;($F58-3),"B"&amp;(($F58-3)-MOD((IFERROR(INDEX('TECNICOS'!$G$4:$G$19,MATCH($C58,'TECNICOS'!$B$4:$B$19,0)),0)-1)+((DATE(VALUE(LEFT($A58,4)),1,4)-WEEKDAY(DATE(VALUE(LEFT($A58,4)),1,4),2)+1+(VALUE(MID($A58,7,2))-1)*7)-p_semana_referencia)/7,$F58)),"T"&amp;($F58-MOD((IFERROR(INDEX('TECNICOS'!$G$4:$G$19,MATCH($C58,'TECNICOS'!$B$4:$B$19,0)),0)-1)+((DATE(VALUE(LEFT($A58,4)),1,4)-WEEKDAY(DATE(VALUE(LEFT($A58,4)),1,4),2)+1+(VALUE(MID($A58,7,2))-1)*7)-p_semana_referencia)/7,$F58)))))</f>
        <v/>
      </c>
      <c r="H58" s="24">
        <f>IF(COUNTIFS('PLAN_VACACIONES'!$A$4:$A$103,$C58,'PLAN_VACACIONES'!$B$4:$B$103,"&lt;="&amp;$L58,'PLAN_VACACIONES'!$C$4:$C$103,"&gt;="&amp;$L58)&gt;0,"sí","no")</f>
        <v/>
      </c>
      <c r="I58" s="4" t="n"/>
      <c r="J58" s="24">
        <f>IF($I58&lt;&gt;"",$I58,IF($G58="","",IF($H58="sí","VAC",IF(LEFT($G58,1)="B","B",$G58))))</f>
        <v/>
      </c>
      <c r="K58" s="24">
        <f>IFERROR(INDEX('TECNICOS'!$E$4:$E$19,MATCH($C58,'TECNICOS'!$B$4:$B$19,0)),"")</f>
        <v/>
      </c>
      <c r="L58" s="30">
        <f>IF($A58="","",DATE(VALUE(LEFT($A58,4)),1,4)-WEEKDAY(DATE(VALUE(LEFT($A58,4)),1,4),2)+1+(VALUE(MID($A58,7,2))-1)*7+MATCH($B58,lista_dias,0)-1)</f>
        <v/>
      </c>
      <c r="M58" s="24">
        <f>IF(OR($J58="",ISNUMBER(MATCH($J58,lista_no_disponible,0)),(IFERROR(INDEX('CALENDARIO'!$C$15:$C$214,MATCH(TEXT($L58,"yyyy-mm-dd")&amp;"|"&amp;$D58&amp;"|"&amp;"",'CALENDARIO'!$G$15:$G$214,0)),IFERROR(INDEX('CALENDARIO'!$C$15:$C$214,MATCH(TEXT($L58,"yyyy-mm-dd")&amp;"|"&amp;$D58&amp;"|",'CALENDARIO'!$G$15:$G$214,0)),IFERROR(INDEX('CALENDARIO'!$C$15:$C$214,MATCH(TEXT($L58,"yyyy-mm-dd")&amp;"||",'CALENDARIO'!$G$15:$G$214,0)),INDEX(patronHabil,WEEKDAY($L58,2))))))&lt;&gt;"sí"),0,p_horas_jornada)</f>
        <v/>
      </c>
      <c r="N58" s="24">
        <f>$A58&amp;"|"&amp;$B58&amp;"|"&amp;$C58</f>
        <v/>
      </c>
      <c r="O58" s="24">
        <f>IFERROR(INDEX('CAT_TURNOS'!$C$4:$C$22,MATCH($J58,'CAT_TURNOS'!$A$4:$A$22,0)),"")</f>
        <v/>
      </c>
      <c r="P58" s="24">
        <f>IFERROR(INDEX('CAT_TURNOS'!$D$4:$D$22,MATCH($J58,'CAT_TURNOS'!$A$4:$A$22,0)),"")</f>
        <v/>
      </c>
      <c r="Q58" s="24">
        <f>IF(AND(LEFT($G58,1)="T",$H58="no"),"sí","no")</f>
        <v/>
      </c>
    </row>
    <row r="59">
      <c r="A59" s="5" t="inlineStr">
        <is>
          <t>2026-S30</t>
        </is>
      </c>
      <c r="B59" s="5" t="inlineStr">
        <is>
          <t>domingo</t>
        </is>
      </c>
      <c r="C59" s="5" t="inlineStr">
        <is>
          <t>Jorge Díaz</t>
        </is>
      </c>
      <c r="D59" s="24">
        <f>IFERROR(INDEX('TECNICOS'!$D$4:$D$19,MATCH($C59,'TECNICOS'!$B$4:$B$19,0)),"")</f>
        <v/>
      </c>
      <c r="E59" s="24">
        <f>IFERROR(INDEX('TECNICOS'!$C$4:$C$19,MATCH($C59,'TECNICOS'!$B$4:$B$19,0)),"")</f>
        <v/>
      </c>
      <c r="F59" s="24">
        <f>COUNTIFS('TECNICOS'!$F$4:$F$19,"sí",'TECNICOS'!$C$4:$C$19,$E59,'TECNICOS'!$D$4:$D$19,$D59,'TECNICOS'!$H$4:$H$19,"sí")</f>
        <v/>
      </c>
      <c r="G59" s="24">
        <f>IF(OR($C59="",$A59="",$B59="domingo",IFERROR(INDEX('TECNICOS'!$H$4:$H$19,MATCH($C59,'TECNICOS'!$B$4:$B$19,0)),"no")&lt;&gt;"sí"),"",IF(IFERROR(INDEX('TECNICOS'!$F$4:$F$19,MATCH($C59,'TECNICOS'!$B$4:$B$19,0)),"no")&lt;&gt;"sí","B",IF(MOD((IFERROR(INDEX('TECNICOS'!$G$4:$G$19,MATCH($C59,'TECNICOS'!$B$4:$B$19,0)),0)-1)+((DATE(VALUE(LEFT($A59,4)),1,4)-WEEKDAY(DATE(VALUE(LEFT($A59,4)),1,4),2)+1+(VALUE(MID($A59,7,2))-1)*7)-p_semana_referencia)/7,$F59)&lt;($F59-3),"B"&amp;(($F59-3)-MOD((IFERROR(INDEX('TECNICOS'!$G$4:$G$19,MATCH($C59,'TECNICOS'!$B$4:$B$19,0)),0)-1)+((DATE(VALUE(LEFT($A59,4)),1,4)-WEEKDAY(DATE(VALUE(LEFT($A59,4)),1,4),2)+1+(VALUE(MID($A59,7,2))-1)*7)-p_semana_referencia)/7,$F59)),"T"&amp;($F59-MOD((IFERROR(INDEX('TECNICOS'!$G$4:$G$19,MATCH($C59,'TECNICOS'!$B$4:$B$19,0)),0)-1)+((DATE(VALUE(LEFT($A59,4)),1,4)-WEEKDAY(DATE(VALUE(LEFT($A59,4)),1,4),2)+1+(VALUE(MID($A59,7,2))-1)*7)-p_semana_referencia)/7,$F59)))))</f>
        <v/>
      </c>
      <c r="H59" s="24">
        <f>IF(COUNTIFS('PLAN_VACACIONES'!$A$4:$A$103,$C59,'PLAN_VACACIONES'!$B$4:$B$103,"&lt;="&amp;$L59,'PLAN_VACACIONES'!$C$4:$C$103,"&gt;="&amp;$L59)&gt;0,"sí","no")</f>
        <v/>
      </c>
      <c r="I59" s="4" t="n"/>
      <c r="J59" s="24">
        <f>IF($I59&lt;&gt;"",$I59,IF($G59="","",IF($H59="sí","VAC",IF(LEFT($G59,1)="B","B",$G59))))</f>
        <v/>
      </c>
      <c r="K59" s="24">
        <f>IFERROR(INDEX('TECNICOS'!$E$4:$E$19,MATCH($C59,'TECNICOS'!$B$4:$B$19,0)),"")</f>
        <v/>
      </c>
      <c r="L59" s="30">
        <f>IF($A59="","",DATE(VALUE(LEFT($A59,4)),1,4)-WEEKDAY(DATE(VALUE(LEFT($A59,4)),1,4),2)+1+(VALUE(MID($A59,7,2))-1)*7+MATCH($B59,lista_dias,0)-1)</f>
        <v/>
      </c>
      <c r="M59" s="24">
        <f>IF(OR($J59="",ISNUMBER(MATCH($J59,lista_no_disponible,0)),(IFERROR(INDEX('CALENDARIO'!$C$15:$C$214,MATCH(TEXT($L59,"yyyy-mm-dd")&amp;"|"&amp;$D59&amp;"|"&amp;"",'CALENDARIO'!$G$15:$G$214,0)),IFERROR(INDEX('CALENDARIO'!$C$15:$C$214,MATCH(TEXT($L59,"yyyy-mm-dd")&amp;"|"&amp;$D59&amp;"|",'CALENDARIO'!$G$15:$G$214,0)),IFERROR(INDEX('CALENDARIO'!$C$15:$C$214,MATCH(TEXT($L59,"yyyy-mm-dd")&amp;"||",'CALENDARIO'!$G$15:$G$214,0)),INDEX(patronHabil,WEEKDAY($L59,2))))))&lt;&gt;"sí"),0,p_horas_jornada)</f>
        <v/>
      </c>
      <c r="N59" s="24">
        <f>$A59&amp;"|"&amp;$B59&amp;"|"&amp;$C59</f>
        <v/>
      </c>
      <c r="O59" s="24">
        <f>IFERROR(INDEX('CAT_TURNOS'!$C$4:$C$22,MATCH($J59,'CAT_TURNOS'!$A$4:$A$22,0)),"")</f>
        <v/>
      </c>
      <c r="P59" s="24">
        <f>IFERROR(INDEX('CAT_TURNOS'!$D$4:$D$22,MATCH($J59,'CAT_TURNOS'!$A$4:$A$22,0)),"")</f>
        <v/>
      </c>
      <c r="Q59" s="24">
        <f>IF(AND(LEFT($G59,1)="T",$H59="no"),"sí","no")</f>
        <v/>
      </c>
    </row>
    <row r="60">
      <c r="A60" s="5" t="inlineStr">
        <is>
          <t>2026-S30</t>
        </is>
      </c>
      <c r="B60" s="5" t="inlineStr">
        <is>
          <t>lunes</t>
        </is>
      </c>
      <c r="C60" s="5" t="inlineStr">
        <is>
          <t>Roberto Castro</t>
        </is>
      </c>
      <c r="D60" s="24">
        <f>IFERROR(INDEX('TECNICOS'!$D$4:$D$19,MATCH($C60,'TECNICOS'!$B$4:$B$19,0)),"")</f>
        <v/>
      </c>
      <c r="E60" s="24">
        <f>IFERROR(INDEX('TECNICOS'!$C$4:$C$19,MATCH($C60,'TECNICOS'!$B$4:$B$19,0)),"")</f>
        <v/>
      </c>
      <c r="F60" s="24">
        <f>COUNTIFS('TECNICOS'!$F$4:$F$19,"sí",'TECNICOS'!$C$4:$C$19,$E60,'TECNICOS'!$D$4:$D$19,$D60,'TECNICOS'!$H$4:$H$19,"sí")</f>
        <v/>
      </c>
      <c r="G60" s="24">
        <f>IF(OR($C60="",$A60="",$B60="domingo",IFERROR(INDEX('TECNICOS'!$H$4:$H$19,MATCH($C60,'TECNICOS'!$B$4:$B$19,0)),"no")&lt;&gt;"sí"),"",IF(IFERROR(INDEX('TECNICOS'!$F$4:$F$19,MATCH($C60,'TECNICOS'!$B$4:$B$19,0)),"no")&lt;&gt;"sí","B",IF(MOD((IFERROR(INDEX('TECNICOS'!$G$4:$G$19,MATCH($C60,'TECNICOS'!$B$4:$B$19,0)),0)-1)+((DATE(VALUE(LEFT($A60,4)),1,4)-WEEKDAY(DATE(VALUE(LEFT($A60,4)),1,4),2)+1+(VALUE(MID($A60,7,2))-1)*7)-p_semana_referencia)/7,$F60)&lt;($F60-3),"B"&amp;(($F60-3)-MOD((IFERROR(INDEX('TECNICOS'!$G$4:$G$19,MATCH($C60,'TECNICOS'!$B$4:$B$19,0)),0)-1)+((DATE(VALUE(LEFT($A60,4)),1,4)-WEEKDAY(DATE(VALUE(LEFT($A60,4)),1,4),2)+1+(VALUE(MID($A60,7,2))-1)*7)-p_semana_referencia)/7,$F60)),"T"&amp;($F60-MOD((IFERROR(INDEX('TECNICOS'!$G$4:$G$19,MATCH($C60,'TECNICOS'!$B$4:$B$19,0)),0)-1)+((DATE(VALUE(LEFT($A60,4)),1,4)-WEEKDAY(DATE(VALUE(LEFT($A60,4)),1,4),2)+1+(VALUE(MID($A60,7,2))-1)*7)-p_semana_referencia)/7,$F60)))))</f>
        <v/>
      </c>
      <c r="H60" s="24">
        <f>IF(COUNTIFS('PLAN_VACACIONES'!$A$4:$A$103,$C60,'PLAN_VACACIONES'!$B$4:$B$103,"&lt;="&amp;$L60,'PLAN_VACACIONES'!$C$4:$C$103,"&gt;="&amp;$L60)&gt;0,"sí","no")</f>
        <v/>
      </c>
      <c r="I60" s="4" t="n"/>
      <c r="J60" s="24">
        <f>IF($I60&lt;&gt;"",$I60,IF($G60="","",IF($H60="sí","VAC",IF(LEFT($G60,1)="B","B",$G60))))</f>
        <v/>
      </c>
      <c r="K60" s="24">
        <f>IFERROR(INDEX('TECNICOS'!$E$4:$E$19,MATCH($C60,'TECNICOS'!$B$4:$B$19,0)),"")</f>
        <v/>
      </c>
      <c r="L60" s="30">
        <f>IF($A60="","",DATE(VALUE(LEFT($A60,4)),1,4)-WEEKDAY(DATE(VALUE(LEFT($A60,4)),1,4),2)+1+(VALUE(MID($A60,7,2))-1)*7+MATCH($B60,lista_dias,0)-1)</f>
        <v/>
      </c>
      <c r="M60" s="24">
        <f>IF(OR($J60="",ISNUMBER(MATCH($J60,lista_no_disponible,0)),(IFERROR(INDEX('CALENDARIO'!$C$15:$C$214,MATCH(TEXT($L60,"yyyy-mm-dd")&amp;"|"&amp;$D60&amp;"|"&amp;"",'CALENDARIO'!$G$15:$G$214,0)),IFERROR(INDEX('CALENDARIO'!$C$15:$C$214,MATCH(TEXT($L60,"yyyy-mm-dd")&amp;"|"&amp;$D60&amp;"|",'CALENDARIO'!$G$15:$G$214,0)),IFERROR(INDEX('CALENDARIO'!$C$15:$C$214,MATCH(TEXT($L60,"yyyy-mm-dd")&amp;"||",'CALENDARIO'!$G$15:$G$214,0)),INDEX(patronHabil,WEEKDAY($L60,2))))))&lt;&gt;"sí"),0,p_horas_jornada)</f>
        <v/>
      </c>
      <c r="N60" s="24">
        <f>$A60&amp;"|"&amp;$B60&amp;"|"&amp;$C60</f>
        <v/>
      </c>
      <c r="O60" s="24">
        <f>IFERROR(INDEX('CAT_TURNOS'!$C$4:$C$22,MATCH($J60,'CAT_TURNOS'!$A$4:$A$22,0)),"")</f>
        <v/>
      </c>
      <c r="P60" s="24">
        <f>IFERROR(INDEX('CAT_TURNOS'!$D$4:$D$22,MATCH($J60,'CAT_TURNOS'!$A$4:$A$22,0)),"")</f>
        <v/>
      </c>
      <c r="Q60" s="24">
        <f>IF(AND(LEFT($G60,1)="T",$H60="no"),"sí","no")</f>
        <v/>
      </c>
    </row>
    <row r="61">
      <c r="A61" s="5" t="inlineStr">
        <is>
          <t>2026-S30</t>
        </is>
      </c>
      <c r="B61" s="5" t="inlineStr">
        <is>
          <t>martes</t>
        </is>
      </c>
      <c r="C61" s="5" t="inlineStr">
        <is>
          <t>Roberto Castro</t>
        </is>
      </c>
      <c r="D61" s="24">
        <f>IFERROR(INDEX('TECNICOS'!$D$4:$D$19,MATCH($C61,'TECNICOS'!$B$4:$B$19,0)),"")</f>
        <v/>
      </c>
      <c r="E61" s="24">
        <f>IFERROR(INDEX('TECNICOS'!$C$4:$C$19,MATCH($C61,'TECNICOS'!$B$4:$B$19,0)),"")</f>
        <v/>
      </c>
      <c r="F61" s="24">
        <f>COUNTIFS('TECNICOS'!$F$4:$F$19,"sí",'TECNICOS'!$C$4:$C$19,$E61,'TECNICOS'!$D$4:$D$19,$D61,'TECNICOS'!$H$4:$H$19,"sí")</f>
        <v/>
      </c>
      <c r="G61" s="24">
        <f>IF(OR($C61="",$A61="",$B61="domingo",IFERROR(INDEX('TECNICOS'!$H$4:$H$19,MATCH($C61,'TECNICOS'!$B$4:$B$19,0)),"no")&lt;&gt;"sí"),"",IF(IFERROR(INDEX('TECNICOS'!$F$4:$F$19,MATCH($C61,'TECNICOS'!$B$4:$B$19,0)),"no")&lt;&gt;"sí","B",IF(MOD((IFERROR(INDEX('TECNICOS'!$G$4:$G$19,MATCH($C61,'TECNICOS'!$B$4:$B$19,0)),0)-1)+((DATE(VALUE(LEFT($A61,4)),1,4)-WEEKDAY(DATE(VALUE(LEFT($A61,4)),1,4),2)+1+(VALUE(MID($A61,7,2))-1)*7)-p_semana_referencia)/7,$F61)&lt;($F61-3),"B"&amp;(($F61-3)-MOD((IFERROR(INDEX('TECNICOS'!$G$4:$G$19,MATCH($C61,'TECNICOS'!$B$4:$B$19,0)),0)-1)+((DATE(VALUE(LEFT($A61,4)),1,4)-WEEKDAY(DATE(VALUE(LEFT($A61,4)),1,4),2)+1+(VALUE(MID($A61,7,2))-1)*7)-p_semana_referencia)/7,$F61)),"T"&amp;($F61-MOD((IFERROR(INDEX('TECNICOS'!$G$4:$G$19,MATCH($C61,'TECNICOS'!$B$4:$B$19,0)),0)-1)+((DATE(VALUE(LEFT($A61,4)),1,4)-WEEKDAY(DATE(VALUE(LEFT($A61,4)),1,4),2)+1+(VALUE(MID($A61,7,2))-1)*7)-p_semana_referencia)/7,$F61)))))</f>
        <v/>
      </c>
      <c r="H61" s="24">
        <f>IF(COUNTIFS('PLAN_VACACIONES'!$A$4:$A$103,$C61,'PLAN_VACACIONES'!$B$4:$B$103,"&lt;="&amp;$L61,'PLAN_VACACIONES'!$C$4:$C$103,"&gt;="&amp;$L61)&gt;0,"sí","no")</f>
        <v/>
      </c>
      <c r="I61" s="4" t="n"/>
      <c r="J61" s="24">
        <f>IF($I61&lt;&gt;"",$I61,IF($G61="","",IF($H61="sí","VAC",IF(LEFT($G61,1)="B","B",$G61))))</f>
        <v/>
      </c>
      <c r="K61" s="24">
        <f>IFERROR(INDEX('TECNICOS'!$E$4:$E$19,MATCH($C61,'TECNICOS'!$B$4:$B$19,0)),"")</f>
        <v/>
      </c>
      <c r="L61" s="30">
        <f>IF($A61="","",DATE(VALUE(LEFT($A61,4)),1,4)-WEEKDAY(DATE(VALUE(LEFT($A61,4)),1,4),2)+1+(VALUE(MID($A61,7,2))-1)*7+MATCH($B61,lista_dias,0)-1)</f>
        <v/>
      </c>
      <c r="M61" s="24">
        <f>IF(OR($J61="",ISNUMBER(MATCH($J61,lista_no_disponible,0)),(IFERROR(INDEX('CALENDARIO'!$C$15:$C$214,MATCH(TEXT($L61,"yyyy-mm-dd")&amp;"|"&amp;$D61&amp;"|"&amp;"",'CALENDARIO'!$G$15:$G$214,0)),IFERROR(INDEX('CALENDARIO'!$C$15:$C$214,MATCH(TEXT($L61,"yyyy-mm-dd")&amp;"|"&amp;$D61&amp;"|",'CALENDARIO'!$G$15:$G$214,0)),IFERROR(INDEX('CALENDARIO'!$C$15:$C$214,MATCH(TEXT($L61,"yyyy-mm-dd")&amp;"||",'CALENDARIO'!$G$15:$G$214,0)),INDEX(patronHabil,WEEKDAY($L61,2))))))&lt;&gt;"sí"),0,p_horas_jornada)</f>
        <v/>
      </c>
      <c r="N61" s="24">
        <f>$A61&amp;"|"&amp;$B61&amp;"|"&amp;$C61</f>
        <v/>
      </c>
      <c r="O61" s="24">
        <f>IFERROR(INDEX('CAT_TURNOS'!$C$4:$C$22,MATCH($J61,'CAT_TURNOS'!$A$4:$A$22,0)),"")</f>
        <v/>
      </c>
      <c r="P61" s="24">
        <f>IFERROR(INDEX('CAT_TURNOS'!$D$4:$D$22,MATCH($J61,'CAT_TURNOS'!$A$4:$A$22,0)),"")</f>
        <v/>
      </c>
      <c r="Q61" s="24">
        <f>IF(AND(LEFT($G61,1)="T",$H61="no"),"sí","no")</f>
        <v/>
      </c>
    </row>
    <row r="62">
      <c r="A62" s="5" t="inlineStr">
        <is>
          <t>2026-S30</t>
        </is>
      </c>
      <c r="B62" s="5" t="inlineStr">
        <is>
          <t>miércoles</t>
        </is>
      </c>
      <c r="C62" s="5" t="inlineStr">
        <is>
          <t>Roberto Castro</t>
        </is>
      </c>
      <c r="D62" s="24">
        <f>IFERROR(INDEX('TECNICOS'!$D$4:$D$19,MATCH($C62,'TECNICOS'!$B$4:$B$19,0)),"")</f>
        <v/>
      </c>
      <c r="E62" s="24">
        <f>IFERROR(INDEX('TECNICOS'!$C$4:$C$19,MATCH($C62,'TECNICOS'!$B$4:$B$19,0)),"")</f>
        <v/>
      </c>
      <c r="F62" s="24">
        <f>COUNTIFS('TECNICOS'!$F$4:$F$19,"sí",'TECNICOS'!$C$4:$C$19,$E62,'TECNICOS'!$D$4:$D$19,$D62,'TECNICOS'!$H$4:$H$19,"sí")</f>
        <v/>
      </c>
      <c r="G62" s="24">
        <f>IF(OR($C62="",$A62="",$B62="domingo",IFERROR(INDEX('TECNICOS'!$H$4:$H$19,MATCH($C62,'TECNICOS'!$B$4:$B$19,0)),"no")&lt;&gt;"sí"),"",IF(IFERROR(INDEX('TECNICOS'!$F$4:$F$19,MATCH($C62,'TECNICOS'!$B$4:$B$19,0)),"no")&lt;&gt;"sí","B",IF(MOD((IFERROR(INDEX('TECNICOS'!$G$4:$G$19,MATCH($C62,'TECNICOS'!$B$4:$B$19,0)),0)-1)+((DATE(VALUE(LEFT($A62,4)),1,4)-WEEKDAY(DATE(VALUE(LEFT($A62,4)),1,4),2)+1+(VALUE(MID($A62,7,2))-1)*7)-p_semana_referencia)/7,$F62)&lt;($F62-3),"B"&amp;(($F62-3)-MOD((IFERROR(INDEX('TECNICOS'!$G$4:$G$19,MATCH($C62,'TECNICOS'!$B$4:$B$19,0)),0)-1)+((DATE(VALUE(LEFT($A62,4)),1,4)-WEEKDAY(DATE(VALUE(LEFT($A62,4)),1,4),2)+1+(VALUE(MID($A62,7,2))-1)*7)-p_semana_referencia)/7,$F62)),"T"&amp;($F62-MOD((IFERROR(INDEX('TECNICOS'!$G$4:$G$19,MATCH($C62,'TECNICOS'!$B$4:$B$19,0)),0)-1)+((DATE(VALUE(LEFT($A62,4)),1,4)-WEEKDAY(DATE(VALUE(LEFT($A62,4)),1,4),2)+1+(VALUE(MID($A62,7,2))-1)*7)-p_semana_referencia)/7,$F62)))))</f>
        <v/>
      </c>
      <c r="H62" s="24">
        <f>IF(COUNTIFS('PLAN_VACACIONES'!$A$4:$A$103,$C62,'PLAN_VACACIONES'!$B$4:$B$103,"&lt;="&amp;$L62,'PLAN_VACACIONES'!$C$4:$C$103,"&gt;="&amp;$L62)&gt;0,"sí","no")</f>
        <v/>
      </c>
      <c r="I62" s="4" t="n"/>
      <c r="J62" s="24">
        <f>IF($I62&lt;&gt;"",$I62,IF($G62="","",IF($H62="sí","VAC",IF(LEFT($G62,1)="B","B",$G62))))</f>
        <v/>
      </c>
      <c r="K62" s="24">
        <f>IFERROR(INDEX('TECNICOS'!$E$4:$E$19,MATCH($C62,'TECNICOS'!$B$4:$B$19,0)),"")</f>
        <v/>
      </c>
      <c r="L62" s="30">
        <f>IF($A62="","",DATE(VALUE(LEFT($A62,4)),1,4)-WEEKDAY(DATE(VALUE(LEFT($A62,4)),1,4),2)+1+(VALUE(MID($A62,7,2))-1)*7+MATCH($B62,lista_dias,0)-1)</f>
        <v/>
      </c>
      <c r="M62" s="24">
        <f>IF(OR($J62="",ISNUMBER(MATCH($J62,lista_no_disponible,0)),(IFERROR(INDEX('CALENDARIO'!$C$15:$C$214,MATCH(TEXT($L62,"yyyy-mm-dd")&amp;"|"&amp;$D62&amp;"|"&amp;"",'CALENDARIO'!$G$15:$G$214,0)),IFERROR(INDEX('CALENDARIO'!$C$15:$C$214,MATCH(TEXT($L62,"yyyy-mm-dd")&amp;"|"&amp;$D62&amp;"|",'CALENDARIO'!$G$15:$G$214,0)),IFERROR(INDEX('CALENDARIO'!$C$15:$C$214,MATCH(TEXT($L62,"yyyy-mm-dd")&amp;"||",'CALENDARIO'!$G$15:$G$214,0)),INDEX(patronHabil,WEEKDAY($L62,2))))))&lt;&gt;"sí"),0,p_horas_jornada)</f>
        <v/>
      </c>
      <c r="N62" s="24">
        <f>$A62&amp;"|"&amp;$B62&amp;"|"&amp;$C62</f>
        <v/>
      </c>
      <c r="O62" s="24">
        <f>IFERROR(INDEX('CAT_TURNOS'!$C$4:$C$22,MATCH($J62,'CAT_TURNOS'!$A$4:$A$22,0)),"")</f>
        <v/>
      </c>
      <c r="P62" s="24">
        <f>IFERROR(INDEX('CAT_TURNOS'!$D$4:$D$22,MATCH($J62,'CAT_TURNOS'!$A$4:$A$22,0)),"")</f>
        <v/>
      </c>
      <c r="Q62" s="24">
        <f>IF(AND(LEFT($G62,1)="T",$H62="no"),"sí","no")</f>
        <v/>
      </c>
    </row>
    <row r="63">
      <c r="A63" s="5" t="inlineStr">
        <is>
          <t>2026-S30</t>
        </is>
      </c>
      <c r="B63" s="5" t="inlineStr">
        <is>
          <t>jueves</t>
        </is>
      </c>
      <c r="C63" s="5" t="inlineStr">
        <is>
          <t>Roberto Castro</t>
        </is>
      </c>
      <c r="D63" s="24">
        <f>IFERROR(INDEX('TECNICOS'!$D$4:$D$19,MATCH($C63,'TECNICOS'!$B$4:$B$19,0)),"")</f>
        <v/>
      </c>
      <c r="E63" s="24">
        <f>IFERROR(INDEX('TECNICOS'!$C$4:$C$19,MATCH($C63,'TECNICOS'!$B$4:$B$19,0)),"")</f>
        <v/>
      </c>
      <c r="F63" s="24">
        <f>COUNTIFS('TECNICOS'!$F$4:$F$19,"sí",'TECNICOS'!$C$4:$C$19,$E63,'TECNICOS'!$D$4:$D$19,$D63,'TECNICOS'!$H$4:$H$19,"sí")</f>
        <v/>
      </c>
      <c r="G63" s="24">
        <f>IF(OR($C63="",$A63="",$B63="domingo",IFERROR(INDEX('TECNICOS'!$H$4:$H$19,MATCH($C63,'TECNICOS'!$B$4:$B$19,0)),"no")&lt;&gt;"sí"),"",IF(IFERROR(INDEX('TECNICOS'!$F$4:$F$19,MATCH($C63,'TECNICOS'!$B$4:$B$19,0)),"no")&lt;&gt;"sí","B",IF(MOD((IFERROR(INDEX('TECNICOS'!$G$4:$G$19,MATCH($C63,'TECNICOS'!$B$4:$B$19,0)),0)-1)+((DATE(VALUE(LEFT($A63,4)),1,4)-WEEKDAY(DATE(VALUE(LEFT($A63,4)),1,4),2)+1+(VALUE(MID($A63,7,2))-1)*7)-p_semana_referencia)/7,$F63)&lt;($F63-3),"B"&amp;(($F63-3)-MOD((IFERROR(INDEX('TECNICOS'!$G$4:$G$19,MATCH($C63,'TECNICOS'!$B$4:$B$19,0)),0)-1)+((DATE(VALUE(LEFT($A63,4)),1,4)-WEEKDAY(DATE(VALUE(LEFT($A63,4)),1,4),2)+1+(VALUE(MID($A63,7,2))-1)*7)-p_semana_referencia)/7,$F63)),"T"&amp;($F63-MOD((IFERROR(INDEX('TECNICOS'!$G$4:$G$19,MATCH($C63,'TECNICOS'!$B$4:$B$19,0)),0)-1)+((DATE(VALUE(LEFT($A63,4)),1,4)-WEEKDAY(DATE(VALUE(LEFT($A63,4)),1,4),2)+1+(VALUE(MID($A63,7,2))-1)*7)-p_semana_referencia)/7,$F63)))))</f>
        <v/>
      </c>
      <c r="H63" s="24">
        <f>IF(COUNTIFS('PLAN_VACACIONES'!$A$4:$A$103,$C63,'PLAN_VACACIONES'!$B$4:$B$103,"&lt;="&amp;$L63,'PLAN_VACACIONES'!$C$4:$C$103,"&gt;="&amp;$L63)&gt;0,"sí","no")</f>
        <v/>
      </c>
      <c r="I63" s="4" t="n"/>
      <c r="J63" s="24">
        <f>IF($I63&lt;&gt;"",$I63,IF($G63="","",IF($H63="sí","VAC",IF(LEFT($G63,1)="B","B",$G63))))</f>
        <v/>
      </c>
      <c r="K63" s="24">
        <f>IFERROR(INDEX('TECNICOS'!$E$4:$E$19,MATCH($C63,'TECNICOS'!$B$4:$B$19,0)),"")</f>
        <v/>
      </c>
      <c r="L63" s="30">
        <f>IF($A63="","",DATE(VALUE(LEFT($A63,4)),1,4)-WEEKDAY(DATE(VALUE(LEFT($A63,4)),1,4),2)+1+(VALUE(MID($A63,7,2))-1)*7+MATCH($B63,lista_dias,0)-1)</f>
        <v/>
      </c>
      <c r="M63" s="24">
        <f>IF(OR($J63="",ISNUMBER(MATCH($J63,lista_no_disponible,0)),(IFERROR(INDEX('CALENDARIO'!$C$15:$C$214,MATCH(TEXT($L63,"yyyy-mm-dd")&amp;"|"&amp;$D63&amp;"|"&amp;"",'CALENDARIO'!$G$15:$G$214,0)),IFERROR(INDEX('CALENDARIO'!$C$15:$C$214,MATCH(TEXT($L63,"yyyy-mm-dd")&amp;"|"&amp;$D63&amp;"|",'CALENDARIO'!$G$15:$G$214,0)),IFERROR(INDEX('CALENDARIO'!$C$15:$C$214,MATCH(TEXT($L63,"yyyy-mm-dd")&amp;"||",'CALENDARIO'!$G$15:$G$214,0)),INDEX(patronHabil,WEEKDAY($L63,2))))))&lt;&gt;"sí"),0,p_horas_jornada)</f>
        <v/>
      </c>
      <c r="N63" s="24">
        <f>$A63&amp;"|"&amp;$B63&amp;"|"&amp;$C63</f>
        <v/>
      </c>
      <c r="O63" s="24">
        <f>IFERROR(INDEX('CAT_TURNOS'!$C$4:$C$22,MATCH($J63,'CAT_TURNOS'!$A$4:$A$22,0)),"")</f>
        <v/>
      </c>
      <c r="P63" s="24">
        <f>IFERROR(INDEX('CAT_TURNOS'!$D$4:$D$22,MATCH($J63,'CAT_TURNOS'!$A$4:$A$22,0)),"")</f>
        <v/>
      </c>
      <c r="Q63" s="24">
        <f>IF(AND(LEFT($G63,1)="T",$H63="no"),"sí","no")</f>
        <v/>
      </c>
    </row>
    <row r="64">
      <c r="A64" s="5" t="inlineStr">
        <is>
          <t>2026-S30</t>
        </is>
      </c>
      <c r="B64" s="5" t="inlineStr">
        <is>
          <t>viernes</t>
        </is>
      </c>
      <c r="C64" s="5" t="inlineStr">
        <is>
          <t>Roberto Castro</t>
        </is>
      </c>
      <c r="D64" s="24">
        <f>IFERROR(INDEX('TECNICOS'!$D$4:$D$19,MATCH($C64,'TECNICOS'!$B$4:$B$19,0)),"")</f>
        <v/>
      </c>
      <c r="E64" s="24">
        <f>IFERROR(INDEX('TECNICOS'!$C$4:$C$19,MATCH($C64,'TECNICOS'!$B$4:$B$19,0)),"")</f>
        <v/>
      </c>
      <c r="F64" s="24">
        <f>COUNTIFS('TECNICOS'!$F$4:$F$19,"sí",'TECNICOS'!$C$4:$C$19,$E64,'TECNICOS'!$D$4:$D$19,$D64,'TECNICOS'!$H$4:$H$19,"sí")</f>
        <v/>
      </c>
      <c r="G64" s="24">
        <f>IF(OR($C64="",$A64="",$B64="domingo",IFERROR(INDEX('TECNICOS'!$H$4:$H$19,MATCH($C64,'TECNICOS'!$B$4:$B$19,0)),"no")&lt;&gt;"sí"),"",IF(IFERROR(INDEX('TECNICOS'!$F$4:$F$19,MATCH($C64,'TECNICOS'!$B$4:$B$19,0)),"no")&lt;&gt;"sí","B",IF(MOD((IFERROR(INDEX('TECNICOS'!$G$4:$G$19,MATCH($C64,'TECNICOS'!$B$4:$B$19,0)),0)-1)+((DATE(VALUE(LEFT($A64,4)),1,4)-WEEKDAY(DATE(VALUE(LEFT($A64,4)),1,4),2)+1+(VALUE(MID($A64,7,2))-1)*7)-p_semana_referencia)/7,$F64)&lt;($F64-3),"B"&amp;(($F64-3)-MOD((IFERROR(INDEX('TECNICOS'!$G$4:$G$19,MATCH($C64,'TECNICOS'!$B$4:$B$19,0)),0)-1)+((DATE(VALUE(LEFT($A64,4)),1,4)-WEEKDAY(DATE(VALUE(LEFT($A64,4)),1,4),2)+1+(VALUE(MID($A64,7,2))-1)*7)-p_semana_referencia)/7,$F64)),"T"&amp;($F64-MOD((IFERROR(INDEX('TECNICOS'!$G$4:$G$19,MATCH($C64,'TECNICOS'!$B$4:$B$19,0)),0)-1)+((DATE(VALUE(LEFT($A64,4)),1,4)-WEEKDAY(DATE(VALUE(LEFT($A64,4)),1,4),2)+1+(VALUE(MID($A64,7,2))-1)*7)-p_semana_referencia)/7,$F64)))))</f>
        <v/>
      </c>
      <c r="H64" s="24">
        <f>IF(COUNTIFS('PLAN_VACACIONES'!$A$4:$A$103,$C64,'PLAN_VACACIONES'!$B$4:$B$103,"&lt;="&amp;$L64,'PLAN_VACACIONES'!$C$4:$C$103,"&gt;="&amp;$L64)&gt;0,"sí","no")</f>
        <v/>
      </c>
      <c r="I64" s="4" t="n"/>
      <c r="J64" s="24">
        <f>IF($I64&lt;&gt;"",$I64,IF($G64="","",IF($H64="sí","VAC",IF(LEFT($G64,1)="B","B",$G64))))</f>
        <v/>
      </c>
      <c r="K64" s="24">
        <f>IFERROR(INDEX('TECNICOS'!$E$4:$E$19,MATCH($C64,'TECNICOS'!$B$4:$B$19,0)),"")</f>
        <v/>
      </c>
      <c r="L64" s="30">
        <f>IF($A64="","",DATE(VALUE(LEFT($A64,4)),1,4)-WEEKDAY(DATE(VALUE(LEFT($A64,4)),1,4),2)+1+(VALUE(MID($A64,7,2))-1)*7+MATCH($B64,lista_dias,0)-1)</f>
        <v/>
      </c>
      <c r="M64" s="24">
        <f>IF(OR($J64="",ISNUMBER(MATCH($J64,lista_no_disponible,0)),(IFERROR(INDEX('CALENDARIO'!$C$15:$C$214,MATCH(TEXT($L64,"yyyy-mm-dd")&amp;"|"&amp;$D64&amp;"|"&amp;"",'CALENDARIO'!$G$15:$G$214,0)),IFERROR(INDEX('CALENDARIO'!$C$15:$C$214,MATCH(TEXT($L64,"yyyy-mm-dd")&amp;"|"&amp;$D64&amp;"|",'CALENDARIO'!$G$15:$G$214,0)),IFERROR(INDEX('CALENDARIO'!$C$15:$C$214,MATCH(TEXT($L64,"yyyy-mm-dd")&amp;"||",'CALENDARIO'!$G$15:$G$214,0)),INDEX(patronHabil,WEEKDAY($L64,2))))))&lt;&gt;"sí"),0,p_horas_jornada)</f>
        <v/>
      </c>
      <c r="N64" s="24">
        <f>$A64&amp;"|"&amp;$B64&amp;"|"&amp;$C64</f>
        <v/>
      </c>
      <c r="O64" s="24">
        <f>IFERROR(INDEX('CAT_TURNOS'!$C$4:$C$22,MATCH($J64,'CAT_TURNOS'!$A$4:$A$22,0)),"")</f>
        <v/>
      </c>
      <c r="P64" s="24">
        <f>IFERROR(INDEX('CAT_TURNOS'!$D$4:$D$22,MATCH($J64,'CAT_TURNOS'!$A$4:$A$22,0)),"")</f>
        <v/>
      </c>
      <c r="Q64" s="24">
        <f>IF(AND(LEFT($G64,1)="T",$H64="no"),"sí","no")</f>
        <v/>
      </c>
    </row>
    <row r="65">
      <c r="A65" s="5" t="inlineStr">
        <is>
          <t>2026-S30</t>
        </is>
      </c>
      <c r="B65" s="5" t="inlineStr">
        <is>
          <t>sábado</t>
        </is>
      </c>
      <c r="C65" s="5" t="inlineStr">
        <is>
          <t>Roberto Castro</t>
        </is>
      </c>
      <c r="D65" s="24">
        <f>IFERROR(INDEX('TECNICOS'!$D$4:$D$19,MATCH($C65,'TECNICOS'!$B$4:$B$19,0)),"")</f>
        <v/>
      </c>
      <c r="E65" s="24">
        <f>IFERROR(INDEX('TECNICOS'!$C$4:$C$19,MATCH($C65,'TECNICOS'!$B$4:$B$19,0)),"")</f>
        <v/>
      </c>
      <c r="F65" s="24">
        <f>COUNTIFS('TECNICOS'!$F$4:$F$19,"sí",'TECNICOS'!$C$4:$C$19,$E65,'TECNICOS'!$D$4:$D$19,$D65,'TECNICOS'!$H$4:$H$19,"sí")</f>
        <v/>
      </c>
      <c r="G65" s="24">
        <f>IF(OR($C65="",$A65="",$B65="domingo",IFERROR(INDEX('TECNICOS'!$H$4:$H$19,MATCH($C65,'TECNICOS'!$B$4:$B$19,0)),"no")&lt;&gt;"sí"),"",IF(IFERROR(INDEX('TECNICOS'!$F$4:$F$19,MATCH($C65,'TECNICOS'!$B$4:$B$19,0)),"no")&lt;&gt;"sí","B",IF(MOD((IFERROR(INDEX('TECNICOS'!$G$4:$G$19,MATCH($C65,'TECNICOS'!$B$4:$B$19,0)),0)-1)+((DATE(VALUE(LEFT($A65,4)),1,4)-WEEKDAY(DATE(VALUE(LEFT($A65,4)),1,4),2)+1+(VALUE(MID($A65,7,2))-1)*7)-p_semana_referencia)/7,$F65)&lt;($F65-3),"B"&amp;(($F65-3)-MOD((IFERROR(INDEX('TECNICOS'!$G$4:$G$19,MATCH($C65,'TECNICOS'!$B$4:$B$19,0)),0)-1)+((DATE(VALUE(LEFT($A65,4)),1,4)-WEEKDAY(DATE(VALUE(LEFT($A65,4)),1,4),2)+1+(VALUE(MID($A65,7,2))-1)*7)-p_semana_referencia)/7,$F65)),"T"&amp;($F65-MOD((IFERROR(INDEX('TECNICOS'!$G$4:$G$19,MATCH($C65,'TECNICOS'!$B$4:$B$19,0)),0)-1)+((DATE(VALUE(LEFT($A65,4)),1,4)-WEEKDAY(DATE(VALUE(LEFT($A65,4)),1,4),2)+1+(VALUE(MID($A65,7,2))-1)*7)-p_semana_referencia)/7,$F65)))))</f>
        <v/>
      </c>
      <c r="H65" s="24">
        <f>IF(COUNTIFS('PLAN_VACACIONES'!$A$4:$A$103,$C65,'PLAN_VACACIONES'!$B$4:$B$103,"&lt;="&amp;$L65,'PLAN_VACACIONES'!$C$4:$C$103,"&gt;="&amp;$L65)&gt;0,"sí","no")</f>
        <v/>
      </c>
      <c r="I65" s="4" t="n"/>
      <c r="J65" s="24">
        <f>IF($I65&lt;&gt;"",$I65,IF($G65="","",IF($H65="sí","VAC",IF(LEFT($G65,1)="B","B",$G65))))</f>
        <v/>
      </c>
      <c r="K65" s="24">
        <f>IFERROR(INDEX('TECNICOS'!$E$4:$E$19,MATCH($C65,'TECNICOS'!$B$4:$B$19,0)),"")</f>
        <v/>
      </c>
      <c r="L65" s="30">
        <f>IF($A65="","",DATE(VALUE(LEFT($A65,4)),1,4)-WEEKDAY(DATE(VALUE(LEFT($A65,4)),1,4),2)+1+(VALUE(MID($A65,7,2))-1)*7+MATCH($B65,lista_dias,0)-1)</f>
        <v/>
      </c>
      <c r="M65" s="24">
        <f>IF(OR($J65="",ISNUMBER(MATCH($J65,lista_no_disponible,0)),(IFERROR(INDEX('CALENDARIO'!$C$15:$C$214,MATCH(TEXT($L65,"yyyy-mm-dd")&amp;"|"&amp;$D65&amp;"|"&amp;"",'CALENDARIO'!$G$15:$G$214,0)),IFERROR(INDEX('CALENDARIO'!$C$15:$C$214,MATCH(TEXT($L65,"yyyy-mm-dd")&amp;"|"&amp;$D65&amp;"|",'CALENDARIO'!$G$15:$G$214,0)),IFERROR(INDEX('CALENDARIO'!$C$15:$C$214,MATCH(TEXT($L65,"yyyy-mm-dd")&amp;"||",'CALENDARIO'!$G$15:$G$214,0)),INDEX(patronHabil,WEEKDAY($L65,2))))))&lt;&gt;"sí"),0,p_horas_jornada)</f>
        <v/>
      </c>
      <c r="N65" s="24">
        <f>$A65&amp;"|"&amp;$B65&amp;"|"&amp;$C65</f>
        <v/>
      </c>
      <c r="O65" s="24">
        <f>IFERROR(INDEX('CAT_TURNOS'!$C$4:$C$22,MATCH($J65,'CAT_TURNOS'!$A$4:$A$22,0)),"")</f>
        <v/>
      </c>
      <c r="P65" s="24">
        <f>IFERROR(INDEX('CAT_TURNOS'!$D$4:$D$22,MATCH($J65,'CAT_TURNOS'!$A$4:$A$22,0)),"")</f>
        <v/>
      </c>
      <c r="Q65" s="24">
        <f>IF(AND(LEFT($G65,1)="T",$H65="no"),"sí","no")</f>
        <v/>
      </c>
    </row>
    <row r="66">
      <c r="A66" s="5" t="inlineStr">
        <is>
          <t>2026-S30</t>
        </is>
      </c>
      <c r="B66" s="5" t="inlineStr">
        <is>
          <t>domingo</t>
        </is>
      </c>
      <c r="C66" s="5" t="inlineStr">
        <is>
          <t>Roberto Castro</t>
        </is>
      </c>
      <c r="D66" s="24">
        <f>IFERROR(INDEX('TECNICOS'!$D$4:$D$19,MATCH($C66,'TECNICOS'!$B$4:$B$19,0)),"")</f>
        <v/>
      </c>
      <c r="E66" s="24">
        <f>IFERROR(INDEX('TECNICOS'!$C$4:$C$19,MATCH($C66,'TECNICOS'!$B$4:$B$19,0)),"")</f>
        <v/>
      </c>
      <c r="F66" s="24">
        <f>COUNTIFS('TECNICOS'!$F$4:$F$19,"sí",'TECNICOS'!$C$4:$C$19,$E66,'TECNICOS'!$D$4:$D$19,$D66,'TECNICOS'!$H$4:$H$19,"sí")</f>
        <v/>
      </c>
      <c r="G66" s="24">
        <f>IF(OR($C66="",$A66="",$B66="domingo",IFERROR(INDEX('TECNICOS'!$H$4:$H$19,MATCH($C66,'TECNICOS'!$B$4:$B$19,0)),"no")&lt;&gt;"sí"),"",IF(IFERROR(INDEX('TECNICOS'!$F$4:$F$19,MATCH($C66,'TECNICOS'!$B$4:$B$19,0)),"no")&lt;&gt;"sí","B",IF(MOD((IFERROR(INDEX('TECNICOS'!$G$4:$G$19,MATCH($C66,'TECNICOS'!$B$4:$B$19,0)),0)-1)+((DATE(VALUE(LEFT($A66,4)),1,4)-WEEKDAY(DATE(VALUE(LEFT($A66,4)),1,4),2)+1+(VALUE(MID($A66,7,2))-1)*7)-p_semana_referencia)/7,$F66)&lt;($F66-3),"B"&amp;(($F66-3)-MOD((IFERROR(INDEX('TECNICOS'!$G$4:$G$19,MATCH($C66,'TECNICOS'!$B$4:$B$19,0)),0)-1)+((DATE(VALUE(LEFT($A66,4)),1,4)-WEEKDAY(DATE(VALUE(LEFT($A66,4)),1,4),2)+1+(VALUE(MID($A66,7,2))-1)*7)-p_semana_referencia)/7,$F66)),"T"&amp;($F66-MOD((IFERROR(INDEX('TECNICOS'!$G$4:$G$19,MATCH($C66,'TECNICOS'!$B$4:$B$19,0)),0)-1)+((DATE(VALUE(LEFT($A66,4)),1,4)-WEEKDAY(DATE(VALUE(LEFT($A66,4)),1,4),2)+1+(VALUE(MID($A66,7,2))-1)*7)-p_semana_referencia)/7,$F66)))))</f>
        <v/>
      </c>
      <c r="H66" s="24">
        <f>IF(COUNTIFS('PLAN_VACACIONES'!$A$4:$A$103,$C66,'PLAN_VACACIONES'!$B$4:$B$103,"&lt;="&amp;$L66,'PLAN_VACACIONES'!$C$4:$C$103,"&gt;="&amp;$L66)&gt;0,"sí","no")</f>
        <v/>
      </c>
      <c r="I66" s="4" t="n"/>
      <c r="J66" s="24">
        <f>IF($I66&lt;&gt;"",$I66,IF($G66="","",IF($H66="sí","VAC",IF(LEFT($G66,1)="B","B",$G66))))</f>
        <v/>
      </c>
      <c r="K66" s="24">
        <f>IFERROR(INDEX('TECNICOS'!$E$4:$E$19,MATCH($C66,'TECNICOS'!$B$4:$B$19,0)),"")</f>
        <v/>
      </c>
      <c r="L66" s="30">
        <f>IF($A66="","",DATE(VALUE(LEFT($A66,4)),1,4)-WEEKDAY(DATE(VALUE(LEFT($A66,4)),1,4),2)+1+(VALUE(MID($A66,7,2))-1)*7+MATCH($B66,lista_dias,0)-1)</f>
        <v/>
      </c>
      <c r="M66" s="24">
        <f>IF(OR($J66="",ISNUMBER(MATCH($J66,lista_no_disponible,0)),(IFERROR(INDEX('CALENDARIO'!$C$15:$C$214,MATCH(TEXT($L66,"yyyy-mm-dd")&amp;"|"&amp;$D66&amp;"|"&amp;"",'CALENDARIO'!$G$15:$G$214,0)),IFERROR(INDEX('CALENDARIO'!$C$15:$C$214,MATCH(TEXT($L66,"yyyy-mm-dd")&amp;"|"&amp;$D66&amp;"|",'CALENDARIO'!$G$15:$G$214,0)),IFERROR(INDEX('CALENDARIO'!$C$15:$C$214,MATCH(TEXT($L66,"yyyy-mm-dd")&amp;"||",'CALENDARIO'!$G$15:$G$214,0)),INDEX(patronHabil,WEEKDAY($L66,2))))))&lt;&gt;"sí"),0,p_horas_jornada)</f>
        <v/>
      </c>
      <c r="N66" s="24">
        <f>$A66&amp;"|"&amp;$B66&amp;"|"&amp;$C66</f>
        <v/>
      </c>
      <c r="O66" s="24">
        <f>IFERROR(INDEX('CAT_TURNOS'!$C$4:$C$22,MATCH($J66,'CAT_TURNOS'!$A$4:$A$22,0)),"")</f>
        <v/>
      </c>
      <c r="P66" s="24">
        <f>IFERROR(INDEX('CAT_TURNOS'!$D$4:$D$22,MATCH($J66,'CAT_TURNOS'!$A$4:$A$22,0)),"")</f>
        <v/>
      </c>
      <c r="Q66" s="24">
        <f>IF(AND(LEFT($G66,1)="T",$H66="no"),"sí","no")</f>
        <v/>
      </c>
    </row>
    <row r="67">
      <c r="A67" s="5" t="inlineStr">
        <is>
          <t>2026-S30</t>
        </is>
      </c>
      <c r="B67" s="5" t="inlineStr">
        <is>
          <t>lunes</t>
        </is>
      </c>
      <c r="C67" s="5" t="inlineStr">
        <is>
          <t>Laura Morales</t>
        </is>
      </c>
      <c r="D67" s="24">
        <f>IFERROR(INDEX('TECNICOS'!$D$4:$D$19,MATCH($C67,'TECNICOS'!$B$4:$B$19,0)),"")</f>
        <v/>
      </c>
      <c r="E67" s="24">
        <f>IFERROR(INDEX('TECNICOS'!$C$4:$C$19,MATCH($C67,'TECNICOS'!$B$4:$B$19,0)),"")</f>
        <v/>
      </c>
      <c r="F67" s="24">
        <f>COUNTIFS('TECNICOS'!$F$4:$F$19,"sí",'TECNICOS'!$C$4:$C$19,$E67,'TECNICOS'!$D$4:$D$19,$D67,'TECNICOS'!$H$4:$H$19,"sí")</f>
        <v/>
      </c>
      <c r="G67" s="24">
        <f>IF(OR($C67="",$A67="",$B67="domingo",IFERROR(INDEX('TECNICOS'!$H$4:$H$19,MATCH($C67,'TECNICOS'!$B$4:$B$19,0)),"no")&lt;&gt;"sí"),"",IF(IFERROR(INDEX('TECNICOS'!$F$4:$F$19,MATCH($C67,'TECNICOS'!$B$4:$B$19,0)),"no")&lt;&gt;"sí","B",IF(MOD((IFERROR(INDEX('TECNICOS'!$G$4:$G$19,MATCH($C67,'TECNICOS'!$B$4:$B$19,0)),0)-1)+((DATE(VALUE(LEFT($A67,4)),1,4)-WEEKDAY(DATE(VALUE(LEFT($A67,4)),1,4),2)+1+(VALUE(MID($A67,7,2))-1)*7)-p_semana_referencia)/7,$F67)&lt;($F67-3),"B"&amp;(($F67-3)-MOD((IFERROR(INDEX('TECNICOS'!$G$4:$G$19,MATCH($C67,'TECNICOS'!$B$4:$B$19,0)),0)-1)+((DATE(VALUE(LEFT($A67,4)),1,4)-WEEKDAY(DATE(VALUE(LEFT($A67,4)),1,4),2)+1+(VALUE(MID($A67,7,2))-1)*7)-p_semana_referencia)/7,$F67)),"T"&amp;($F67-MOD((IFERROR(INDEX('TECNICOS'!$G$4:$G$19,MATCH($C67,'TECNICOS'!$B$4:$B$19,0)),0)-1)+((DATE(VALUE(LEFT($A67,4)),1,4)-WEEKDAY(DATE(VALUE(LEFT($A67,4)),1,4),2)+1+(VALUE(MID($A67,7,2))-1)*7)-p_semana_referencia)/7,$F67)))))</f>
        <v/>
      </c>
      <c r="H67" s="24">
        <f>IF(COUNTIFS('PLAN_VACACIONES'!$A$4:$A$103,$C67,'PLAN_VACACIONES'!$B$4:$B$103,"&lt;="&amp;$L67,'PLAN_VACACIONES'!$C$4:$C$103,"&gt;="&amp;$L67)&gt;0,"sí","no")</f>
        <v/>
      </c>
      <c r="I67" s="4" t="n"/>
      <c r="J67" s="24">
        <f>IF($I67&lt;&gt;"",$I67,IF($G67="","",IF($H67="sí","VAC",IF(LEFT($G67,1)="B","B",$G67))))</f>
        <v/>
      </c>
      <c r="K67" s="24">
        <f>IFERROR(INDEX('TECNICOS'!$E$4:$E$19,MATCH($C67,'TECNICOS'!$B$4:$B$19,0)),"")</f>
        <v/>
      </c>
      <c r="L67" s="30">
        <f>IF($A67="","",DATE(VALUE(LEFT($A67,4)),1,4)-WEEKDAY(DATE(VALUE(LEFT($A67,4)),1,4),2)+1+(VALUE(MID($A67,7,2))-1)*7+MATCH($B67,lista_dias,0)-1)</f>
        <v/>
      </c>
      <c r="M67" s="24">
        <f>IF(OR($J67="",ISNUMBER(MATCH($J67,lista_no_disponible,0)),(IFERROR(INDEX('CALENDARIO'!$C$15:$C$214,MATCH(TEXT($L67,"yyyy-mm-dd")&amp;"|"&amp;$D67&amp;"|"&amp;"",'CALENDARIO'!$G$15:$G$214,0)),IFERROR(INDEX('CALENDARIO'!$C$15:$C$214,MATCH(TEXT($L67,"yyyy-mm-dd")&amp;"|"&amp;$D67&amp;"|",'CALENDARIO'!$G$15:$G$214,0)),IFERROR(INDEX('CALENDARIO'!$C$15:$C$214,MATCH(TEXT($L67,"yyyy-mm-dd")&amp;"||",'CALENDARIO'!$G$15:$G$214,0)),INDEX(patronHabil,WEEKDAY($L67,2))))))&lt;&gt;"sí"),0,p_horas_jornada)</f>
        <v/>
      </c>
      <c r="N67" s="24">
        <f>$A67&amp;"|"&amp;$B67&amp;"|"&amp;$C67</f>
        <v/>
      </c>
      <c r="O67" s="24">
        <f>IFERROR(INDEX('CAT_TURNOS'!$C$4:$C$22,MATCH($J67,'CAT_TURNOS'!$A$4:$A$22,0)),"")</f>
        <v/>
      </c>
      <c r="P67" s="24">
        <f>IFERROR(INDEX('CAT_TURNOS'!$D$4:$D$22,MATCH($J67,'CAT_TURNOS'!$A$4:$A$22,0)),"")</f>
        <v/>
      </c>
      <c r="Q67" s="24">
        <f>IF(AND(LEFT($G67,1)="T",$H67="no"),"sí","no")</f>
        <v/>
      </c>
    </row>
    <row r="68">
      <c r="A68" s="5" t="inlineStr">
        <is>
          <t>2026-S30</t>
        </is>
      </c>
      <c r="B68" s="5" t="inlineStr">
        <is>
          <t>martes</t>
        </is>
      </c>
      <c r="C68" s="5" t="inlineStr">
        <is>
          <t>Laura Morales</t>
        </is>
      </c>
      <c r="D68" s="24">
        <f>IFERROR(INDEX('TECNICOS'!$D$4:$D$19,MATCH($C68,'TECNICOS'!$B$4:$B$19,0)),"")</f>
        <v/>
      </c>
      <c r="E68" s="24">
        <f>IFERROR(INDEX('TECNICOS'!$C$4:$C$19,MATCH($C68,'TECNICOS'!$B$4:$B$19,0)),"")</f>
        <v/>
      </c>
      <c r="F68" s="24">
        <f>COUNTIFS('TECNICOS'!$F$4:$F$19,"sí",'TECNICOS'!$C$4:$C$19,$E68,'TECNICOS'!$D$4:$D$19,$D68,'TECNICOS'!$H$4:$H$19,"sí")</f>
        <v/>
      </c>
      <c r="G68" s="24">
        <f>IF(OR($C68="",$A68="",$B68="domingo",IFERROR(INDEX('TECNICOS'!$H$4:$H$19,MATCH($C68,'TECNICOS'!$B$4:$B$19,0)),"no")&lt;&gt;"sí"),"",IF(IFERROR(INDEX('TECNICOS'!$F$4:$F$19,MATCH($C68,'TECNICOS'!$B$4:$B$19,0)),"no")&lt;&gt;"sí","B",IF(MOD((IFERROR(INDEX('TECNICOS'!$G$4:$G$19,MATCH($C68,'TECNICOS'!$B$4:$B$19,0)),0)-1)+((DATE(VALUE(LEFT($A68,4)),1,4)-WEEKDAY(DATE(VALUE(LEFT($A68,4)),1,4),2)+1+(VALUE(MID($A68,7,2))-1)*7)-p_semana_referencia)/7,$F68)&lt;($F68-3),"B"&amp;(($F68-3)-MOD((IFERROR(INDEX('TECNICOS'!$G$4:$G$19,MATCH($C68,'TECNICOS'!$B$4:$B$19,0)),0)-1)+((DATE(VALUE(LEFT($A68,4)),1,4)-WEEKDAY(DATE(VALUE(LEFT($A68,4)),1,4),2)+1+(VALUE(MID($A68,7,2))-1)*7)-p_semana_referencia)/7,$F68)),"T"&amp;($F68-MOD((IFERROR(INDEX('TECNICOS'!$G$4:$G$19,MATCH($C68,'TECNICOS'!$B$4:$B$19,0)),0)-1)+((DATE(VALUE(LEFT($A68,4)),1,4)-WEEKDAY(DATE(VALUE(LEFT($A68,4)),1,4),2)+1+(VALUE(MID($A68,7,2))-1)*7)-p_semana_referencia)/7,$F68)))))</f>
        <v/>
      </c>
      <c r="H68" s="24">
        <f>IF(COUNTIFS('PLAN_VACACIONES'!$A$4:$A$103,$C68,'PLAN_VACACIONES'!$B$4:$B$103,"&lt;="&amp;$L68,'PLAN_VACACIONES'!$C$4:$C$103,"&gt;="&amp;$L68)&gt;0,"sí","no")</f>
        <v/>
      </c>
      <c r="I68" s="4" t="n"/>
      <c r="J68" s="24">
        <f>IF($I68&lt;&gt;"",$I68,IF($G68="","",IF($H68="sí","VAC",IF(LEFT($G68,1)="B","B",$G68))))</f>
        <v/>
      </c>
      <c r="K68" s="24">
        <f>IFERROR(INDEX('TECNICOS'!$E$4:$E$19,MATCH($C68,'TECNICOS'!$B$4:$B$19,0)),"")</f>
        <v/>
      </c>
      <c r="L68" s="30">
        <f>IF($A68="","",DATE(VALUE(LEFT($A68,4)),1,4)-WEEKDAY(DATE(VALUE(LEFT($A68,4)),1,4),2)+1+(VALUE(MID($A68,7,2))-1)*7+MATCH($B68,lista_dias,0)-1)</f>
        <v/>
      </c>
      <c r="M68" s="24">
        <f>IF(OR($J68="",ISNUMBER(MATCH($J68,lista_no_disponible,0)),(IFERROR(INDEX('CALENDARIO'!$C$15:$C$214,MATCH(TEXT($L68,"yyyy-mm-dd")&amp;"|"&amp;$D68&amp;"|"&amp;"",'CALENDARIO'!$G$15:$G$214,0)),IFERROR(INDEX('CALENDARIO'!$C$15:$C$214,MATCH(TEXT($L68,"yyyy-mm-dd")&amp;"|"&amp;$D68&amp;"|",'CALENDARIO'!$G$15:$G$214,0)),IFERROR(INDEX('CALENDARIO'!$C$15:$C$214,MATCH(TEXT($L68,"yyyy-mm-dd")&amp;"||",'CALENDARIO'!$G$15:$G$214,0)),INDEX(patronHabil,WEEKDAY($L68,2))))))&lt;&gt;"sí"),0,p_horas_jornada)</f>
        <v/>
      </c>
      <c r="N68" s="24">
        <f>$A68&amp;"|"&amp;$B68&amp;"|"&amp;$C68</f>
        <v/>
      </c>
      <c r="O68" s="24">
        <f>IFERROR(INDEX('CAT_TURNOS'!$C$4:$C$22,MATCH($J68,'CAT_TURNOS'!$A$4:$A$22,0)),"")</f>
        <v/>
      </c>
      <c r="P68" s="24">
        <f>IFERROR(INDEX('CAT_TURNOS'!$D$4:$D$22,MATCH($J68,'CAT_TURNOS'!$A$4:$A$22,0)),"")</f>
        <v/>
      </c>
      <c r="Q68" s="24">
        <f>IF(AND(LEFT($G68,1)="T",$H68="no"),"sí","no")</f>
        <v/>
      </c>
    </row>
    <row r="69">
      <c r="A69" s="5" t="inlineStr">
        <is>
          <t>2026-S30</t>
        </is>
      </c>
      <c r="B69" s="5" t="inlineStr">
        <is>
          <t>miércoles</t>
        </is>
      </c>
      <c r="C69" s="5" t="inlineStr">
        <is>
          <t>Laura Morales</t>
        </is>
      </c>
      <c r="D69" s="24">
        <f>IFERROR(INDEX('TECNICOS'!$D$4:$D$19,MATCH($C69,'TECNICOS'!$B$4:$B$19,0)),"")</f>
        <v/>
      </c>
      <c r="E69" s="24">
        <f>IFERROR(INDEX('TECNICOS'!$C$4:$C$19,MATCH($C69,'TECNICOS'!$B$4:$B$19,0)),"")</f>
        <v/>
      </c>
      <c r="F69" s="24">
        <f>COUNTIFS('TECNICOS'!$F$4:$F$19,"sí",'TECNICOS'!$C$4:$C$19,$E69,'TECNICOS'!$D$4:$D$19,$D69,'TECNICOS'!$H$4:$H$19,"sí")</f>
        <v/>
      </c>
      <c r="G69" s="24">
        <f>IF(OR($C69="",$A69="",$B69="domingo",IFERROR(INDEX('TECNICOS'!$H$4:$H$19,MATCH($C69,'TECNICOS'!$B$4:$B$19,0)),"no")&lt;&gt;"sí"),"",IF(IFERROR(INDEX('TECNICOS'!$F$4:$F$19,MATCH($C69,'TECNICOS'!$B$4:$B$19,0)),"no")&lt;&gt;"sí","B",IF(MOD((IFERROR(INDEX('TECNICOS'!$G$4:$G$19,MATCH($C69,'TECNICOS'!$B$4:$B$19,0)),0)-1)+((DATE(VALUE(LEFT($A69,4)),1,4)-WEEKDAY(DATE(VALUE(LEFT($A69,4)),1,4),2)+1+(VALUE(MID($A69,7,2))-1)*7)-p_semana_referencia)/7,$F69)&lt;($F69-3),"B"&amp;(($F69-3)-MOD((IFERROR(INDEX('TECNICOS'!$G$4:$G$19,MATCH($C69,'TECNICOS'!$B$4:$B$19,0)),0)-1)+((DATE(VALUE(LEFT($A69,4)),1,4)-WEEKDAY(DATE(VALUE(LEFT($A69,4)),1,4),2)+1+(VALUE(MID($A69,7,2))-1)*7)-p_semana_referencia)/7,$F69)),"T"&amp;($F69-MOD((IFERROR(INDEX('TECNICOS'!$G$4:$G$19,MATCH($C69,'TECNICOS'!$B$4:$B$19,0)),0)-1)+((DATE(VALUE(LEFT($A69,4)),1,4)-WEEKDAY(DATE(VALUE(LEFT($A69,4)),1,4),2)+1+(VALUE(MID($A69,7,2))-1)*7)-p_semana_referencia)/7,$F69)))))</f>
        <v/>
      </c>
      <c r="H69" s="24">
        <f>IF(COUNTIFS('PLAN_VACACIONES'!$A$4:$A$103,$C69,'PLAN_VACACIONES'!$B$4:$B$103,"&lt;="&amp;$L69,'PLAN_VACACIONES'!$C$4:$C$103,"&gt;="&amp;$L69)&gt;0,"sí","no")</f>
        <v/>
      </c>
      <c r="I69" s="4" t="n"/>
      <c r="J69" s="24">
        <f>IF($I69&lt;&gt;"",$I69,IF($G69="","",IF($H69="sí","VAC",IF(LEFT($G69,1)="B","B",$G69))))</f>
        <v/>
      </c>
      <c r="K69" s="24">
        <f>IFERROR(INDEX('TECNICOS'!$E$4:$E$19,MATCH($C69,'TECNICOS'!$B$4:$B$19,0)),"")</f>
        <v/>
      </c>
      <c r="L69" s="30">
        <f>IF($A69="","",DATE(VALUE(LEFT($A69,4)),1,4)-WEEKDAY(DATE(VALUE(LEFT($A69,4)),1,4),2)+1+(VALUE(MID($A69,7,2))-1)*7+MATCH($B69,lista_dias,0)-1)</f>
        <v/>
      </c>
      <c r="M69" s="24">
        <f>IF(OR($J69="",ISNUMBER(MATCH($J69,lista_no_disponible,0)),(IFERROR(INDEX('CALENDARIO'!$C$15:$C$214,MATCH(TEXT($L69,"yyyy-mm-dd")&amp;"|"&amp;$D69&amp;"|"&amp;"",'CALENDARIO'!$G$15:$G$214,0)),IFERROR(INDEX('CALENDARIO'!$C$15:$C$214,MATCH(TEXT($L69,"yyyy-mm-dd")&amp;"|"&amp;$D69&amp;"|",'CALENDARIO'!$G$15:$G$214,0)),IFERROR(INDEX('CALENDARIO'!$C$15:$C$214,MATCH(TEXT($L69,"yyyy-mm-dd")&amp;"||",'CALENDARIO'!$G$15:$G$214,0)),INDEX(patronHabil,WEEKDAY($L69,2))))))&lt;&gt;"sí"),0,p_horas_jornada)</f>
        <v/>
      </c>
      <c r="N69" s="24">
        <f>$A69&amp;"|"&amp;$B69&amp;"|"&amp;$C69</f>
        <v/>
      </c>
      <c r="O69" s="24">
        <f>IFERROR(INDEX('CAT_TURNOS'!$C$4:$C$22,MATCH($J69,'CAT_TURNOS'!$A$4:$A$22,0)),"")</f>
        <v/>
      </c>
      <c r="P69" s="24">
        <f>IFERROR(INDEX('CAT_TURNOS'!$D$4:$D$22,MATCH($J69,'CAT_TURNOS'!$A$4:$A$22,0)),"")</f>
        <v/>
      </c>
      <c r="Q69" s="24">
        <f>IF(AND(LEFT($G69,1)="T",$H69="no"),"sí","no")</f>
        <v/>
      </c>
    </row>
    <row r="70">
      <c r="A70" s="5" t="inlineStr">
        <is>
          <t>2026-S30</t>
        </is>
      </c>
      <c r="B70" s="5" t="inlineStr">
        <is>
          <t>jueves</t>
        </is>
      </c>
      <c r="C70" s="5" t="inlineStr">
        <is>
          <t>Laura Morales</t>
        </is>
      </c>
      <c r="D70" s="24">
        <f>IFERROR(INDEX('TECNICOS'!$D$4:$D$19,MATCH($C70,'TECNICOS'!$B$4:$B$19,0)),"")</f>
        <v/>
      </c>
      <c r="E70" s="24">
        <f>IFERROR(INDEX('TECNICOS'!$C$4:$C$19,MATCH($C70,'TECNICOS'!$B$4:$B$19,0)),"")</f>
        <v/>
      </c>
      <c r="F70" s="24">
        <f>COUNTIFS('TECNICOS'!$F$4:$F$19,"sí",'TECNICOS'!$C$4:$C$19,$E70,'TECNICOS'!$D$4:$D$19,$D70,'TECNICOS'!$H$4:$H$19,"sí")</f>
        <v/>
      </c>
      <c r="G70" s="24">
        <f>IF(OR($C70="",$A70="",$B70="domingo",IFERROR(INDEX('TECNICOS'!$H$4:$H$19,MATCH($C70,'TECNICOS'!$B$4:$B$19,0)),"no")&lt;&gt;"sí"),"",IF(IFERROR(INDEX('TECNICOS'!$F$4:$F$19,MATCH($C70,'TECNICOS'!$B$4:$B$19,0)),"no")&lt;&gt;"sí","B",IF(MOD((IFERROR(INDEX('TECNICOS'!$G$4:$G$19,MATCH($C70,'TECNICOS'!$B$4:$B$19,0)),0)-1)+((DATE(VALUE(LEFT($A70,4)),1,4)-WEEKDAY(DATE(VALUE(LEFT($A70,4)),1,4),2)+1+(VALUE(MID($A70,7,2))-1)*7)-p_semana_referencia)/7,$F70)&lt;($F70-3),"B"&amp;(($F70-3)-MOD((IFERROR(INDEX('TECNICOS'!$G$4:$G$19,MATCH($C70,'TECNICOS'!$B$4:$B$19,0)),0)-1)+((DATE(VALUE(LEFT($A70,4)),1,4)-WEEKDAY(DATE(VALUE(LEFT($A70,4)),1,4),2)+1+(VALUE(MID($A70,7,2))-1)*7)-p_semana_referencia)/7,$F70)),"T"&amp;($F70-MOD((IFERROR(INDEX('TECNICOS'!$G$4:$G$19,MATCH($C70,'TECNICOS'!$B$4:$B$19,0)),0)-1)+((DATE(VALUE(LEFT($A70,4)),1,4)-WEEKDAY(DATE(VALUE(LEFT($A70,4)),1,4),2)+1+(VALUE(MID($A70,7,2))-1)*7)-p_semana_referencia)/7,$F70)))))</f>
        <v/>
      </c>
      <c r="H70" s="24">
        <f>IF(COUNTIFS('PLAN_VACACIONES'!$A$4:$A$103,$C70,'PLAN_VACACIONES'!$B$4:$B$103,"&lt;="&amp;$L70,'PLAN_VACACIONES'!$C$4:$C$103,"&gt;="&amp;$L70)&gt;0,"sí","no")</f>
        <v/>
      </c>
      <c r="I70" s="4" t="n"/>
      <c r="J70" s="24">
        <f>IF($I70&lt;&gt;"",$I70,IF($G70="","",IF($H70="sí","VAC",IF(LEFT($G70,1)="B","B",$G70))))</f>
        <v/>
      </c>
      <c r="K70" s="24">
        <f>IFERROR(INDEX('TECNICOS'!$E$4:$E$19,MATCH($C70,'TECNICOS'!$B$4:$B$19,0)),"")</f>
        <v/>
      </c>
      <c r="L70" s="30">
        <f>IF($A70="","",DATE(VALUE(LEFT($A70,4)),1,4)-WEEKDAY(DATE(VALUE(LEFT($A70,4)),1,4),2)+1+(VALUE(MID($A70,7,2))-1)*7+MATCH($B70,lista_dias,0)-1)</f>
        <v/>
      </c>
      <c r="M70" s="24">
        <f>IF(OR($J70="",ISNUMBER(MATCH($J70,lista_no_disponible,0)),(IFERROR(INDEX('CALENDARIO'!$C$15:$C$214,MATCH(TEXT($L70,"yyyy-mm-dd")&amp;"|"&amp;$D70&amp;"|"&amp;"",'CALENDARIO'!$G$15:$G$214,0)),IFERROR(INDEX('CALENDARIO'!$C$15:$C$214,MATCH(TEXT($L70,"yyyy-mm-dd")&amp;"|"&amp;$D70&amp;"|",'CALENDARIO'!$G$15:$G$214,0)),IFERROR(INDEX('CALENDARIO'!$C$15:$C$214,MATCH(TEXT($L70,"yyyy-mm-dd")&amp;"||",'CALENDARIO'!$G$15:$G$214,0)),INDEX(patronHabil,WEEKDAY($L70,2))))))&lt;&gt;"sí"),0,p_horas_jornada)</f>
        <v/>
      </c>
      <c r="N70" s="24">
        <f>$A70&amp;"|"&amp;$B70&amp;"|"&amp;$C70</f>
        <v/>
      </c>
      <c r="O70" s="24">
        <f>IFERROR(INDEX('CAT_TURNOS'!$C$4:$C$22,MATCH($J70,'CAT_TURNOS'!$A$4:$A$22,0)),"")</f>
        <v/>
      </c>
      <c r="P70" s="24">
        <f>IFERROR(INDEX('CAT_TURNOS'!$D$4:$D$22,MATCH($J70,'CAT_TURNOS'!$A$4:$A$22,0)),"")</f>
        <v/>
      </c>
      <c r="Q70" s="24">
        <f>IF(AND(LEFT($G70,1)="T",$H70="no"),"sí","no")</f>
        <v/>
      </c>
    </row>
    <row r="71">
      <c r="A71" s="5" t="inlineStr">
        <is>
          <t>2026-S30</t>
        </is>
      </c>
      <c r="B71" s="5" t="inlineStr">
        <is>
          <t>viernes</t>
        </is>
      </c>
      <c r="C71" s="5" t="inlineStr">
        <is>
          <t>Laura Morales</t>
        </is>
      </c>
      <c r="D71" s="24">
        <f>IFERROR(INDEX('TECNICOS'!$D$4:$D$19,MATCH($C71,'TECNICOS'!$B$4:$B$19,0)),"")</f>
        <v/>
      </c>
      <c r="E71" s="24">
        <f>IFERROR(INDEX('TECNICOS'!$C$4:$C$19,MATCH($C71,'TECNICOS'!$B$4:$B$19,0)),"")</f>
        <v/>
      </c>
      <c r="F71" s="24">
        <f>COUNTIFS('TECNICOS'!$F$4:$F$19,"sí",'TECNICOS'!$C$4:$C$19,$E71,'TECNICOS'!$D$4:$D$19,$D71,'TECNICOS'!$H$4:$H$19,"sí")</f>
        <v/>
      </c>
      <c r="G71" s="24">
        <f>IF(OR($C71="",$A71="",$B71="domingo",IFERROR(INDEX('TECNICOS'!$H$4:$H$19,MATCH($C71,'TECNICOS'!$B$4:$B$19,0)),"no")&lt;&gt;"sí"),"",IF(IFERROR(INDEX('TECNICOS'!$F$4:$F$19,MATCH($C71,'TECNICOS'!$B$4:$B$19,0)),"no")&lt;&gt;"sí","B",IF(MOD((IFERROR(INDEX('TECNICOS'!$G$4:$G$19,MATCH($C71,'TECNICOS'!$B$4:$B$19,0)),0)-1)+((DATE(VALUE(LEFT($A71,4)),1,4)-WEEKDAY(DATE(VALUE(LEFT($A71,4)),1,4),2)+1+(VALUE(MID($A71,7,2))-1)*7)-p_semana_referencia)/7,$F71)&lt;($F71-3),"B"&amp;(($F71-3)-MOD((IFERROR(INDEX('TECNICOS'!$G$4:$G$19,MATCH($C71,'TECNICOS'!$B$4:$B$19,0)),0)-1)+((DATE(VALUE(LEFT($A71,4)),1,4)-WEEKDAY(DATE(VALUE(LEFT($A71,4)),1,4),2)+1+(VALUE(MID($A71,7,2))-1)*7)-p_semana_referencia)/7,$F71)),"T"&amp;($F71-MOD((IFERROR(INDEX('TECNICOS'!$G$4:$G$19,MATCH($C71,'TECNICOS'!$B$4:$B$19,0)),0)-1)+((DATE(VALUE(LEFT($A71,4)),1,4)-WEEKDAY(DATE(VALUE(LEFT($A71,4)),1,4),2)+1+(VALUE(MID($A71,7,2))-1)*7)-p_semana_referencia)/7,$F71)))))</f>
        <v/>
      </c>
      <c r="H71" s="24">
        <f>IF(COUNTIFS('PLAN_VACACIONES'!$A$4:$A$103,$C71,'PLAN_VACACIONES'!$B$4:$B$103,"&lt;="&amp;$L71,'PLAN_VACACIONES'!$C$4:$C$103,"&gt;="&amp;$L71)&gt;0,"sí","no")</f>
        <v/>
      </c>
      <c r="I71" s="4" t="n"/>
      <c r="J71" s="24">
        <f>IF($I71&lt;&gt;"",$I71,IF($G71="","",IF($H71="sí","VAC",IF(LEFT($G71,1)="B","B",$G71))))</f>
        <v/>
      </c>
      <c r="K71" s="24">
        <f>IFERROR(INDEX('TECNICOS'!$E$4:$E$19,MATCH($C71,'TECNICOS'!$B$4:$B$19,0)),"")</f>
        <v/>
      </c>
      <c r="L71" s="30">
        <f>IF($A71="","",DATE(VALUE(LEFT($A71,4)),1,4)-WEEKDAY(DATE(VALUE(LEFT($A71,4)),1,4),2)+1+(VALUE(MID($A71,7,2))-1)*7+MATCH($B71,lista_dias,0)-1)</f>
        <v/>
      </c>
      <c r="M71" s="24">
        <f>IF(OR($J71="",ISNUMBER(MATCH($J71,lista_no_disponible,0)),(IFERROR(INDEX('CALENDARIO'!$C$15:$C$214,MATCH(TEXT($L71,"yyyy-mm-dd")&amp;"|"&amp;$D71&amp;"|"&amp;"",'CALENDARIO'!$G$15:$G$214,0)),IFERROR(INDEX('CALENDARIO'!$C$15:$C$214,MATCH(TEXT($L71,"yyyy-mm-dd")&amp;"|"&amp;$D71&amp;"|",'CALENDARIO'!$G$15:$G$214,0)),IFERROR(INDEX('CALENDARIO'!$C$15:$C$214,MATCH(TEXT($L71,"yyyy-mm-dd")&amp;"||",'CALENDARIO'!$G$15:$G$214,0)),INDEX(patronHabil,WEEKDAY($L71,2))))))&lt;&gt;"sí"),0,p_horas_jornada)</f>
        <v/>
      </c>
      <c r="N71" s="24">
        <f>$A71&amp;"|"&amp;$B71&amp;"|"&amp;$C71</f>
        <v/>
      </c>
      <c r="O71" s="24">
        <f>IFERROR(INDEX('CAT_TURNOS'!$C$4:$C$22,MATCH($J71,'CAT_TURNOS'!$A$4:$A$22,0)),"")</f>
        <v/>
      </c>
      <c r="P71" s="24">
        <f>IFERROR(INDEX('CAT_TURNOS'!$D$4:$D$22,MATCH($J71,'CAT_TURNOS'!$A$4:$A$22,0)),"")</f>
        <v/>
      </c>
      <c r="Q71" s="24">
        <f>IF(AND(LEFT($G71,1)="T",$H71="no"),"sí","no")</f>
        <v/>
      </c>
    </row>
    <row r="72">
      <c r="A72" s="5" t="inlineStr">
        <is>
          <t>2026-S30</t>
        </is>
      </c>
      <c r="B72" s="5" t="inlineStr">
        <is>
          <t>sábado</t>
        </is>
      </c>
      <c r="C72" s="5" t="inlineStr">
        <is>
          <t>Laura Morales</t>
        </is>
      </c>
      <c r="D72" s="24">
        <f>IFERROR(INDEX('TECNICOS'!$D$4:$D$19,MATCH($C72,'TECNICOS'!$B$4:$B$19,0)),"")</f>
        <v/>
      </c>
      <c r="E72" s="24">
        <f>IFERROR(INDEX('TECNICOS'!$C$4:$C$19,MATCH($C72,'TECNICOS'!$B$4:$B$19,0)),"")</f>
        <v/>
      </c>
      <c r="F72" s="24">
        <f>COUNTIFS('TECNICOS'!$F$4:$F$19,"sí",'TECNICOS'!$C$4:$C$19,$E72,'TECNICOS'!$D$4:$D$19,$D72,'TECNICOS'!$H$4:$H$19,"sí")</f>
        <v/>
      </c>
      <c r="G72" s="24">
        <f>IF(OR($C72="",$A72="",$B72="domingo",IFERROR(INDEX('TECNICOS'!$H$4:$H$19,MATCH($C72,'TECNICOS'!$B$4:$B$19,0)),"no")&lt;&gt;"sí"),"",IF(IFERROR(INDEX('TECNICOS'!$F$4:$F$19,MATCH($C72,'TECNICOS'!$B$4:$B$19,0)),"no")&lt;&gt;"sí","B",IF(MOD((IFERROR(INDEX('TECNICOS'!$G$4:$G$19,MATCH($C72,'TECNICOS'!$B$4:$B$19,0)),0)-1)+((DATE(VALUE(LEFT($A72,4)),1,4)-WEEKDAY(DATE(VALUE(LEFT($A72,4)),1,4),2)+1+(VALUE(MID($A72,7,2))-1)*7)-p_semana_referencia)/7,$F72)&lt;($F72-3),"B"&amp;(($F72-3)-MOD((IFERROR(INDEX('TECNICOS'!$G$4:$G$19,MATCH($C72,'TECNICOS'!$B$4:$B$19,0)),0)-1)+((DATE(VALUE(LEFT($A72,4)),1,4)-WEEKDAY(DATE(VALUE(LEFT($A72,4)),1,4),2)+1+(VALUE(MID($A72,7,2))-1)*7)-p_semana_referencia)/7,$F72)),"T"&amp;($F72-MOD((IFERROR(INDEX('TECNICOS'!$G$4:$G$19,MATCH($C72,'TECNICOS'!$B$4:$B$19,0)),0)-1)+((DATE(VALUE(LEFT($A72,4)),1,4)-WEEKDAY(DATE(VALUE(LEFT($A72,4)),1,4),2)+1+(VALUE(MID($A72,7,2))-1)*7)-p_semana_referencia)/7,$F72)))))</f>
        <v/>
      </c>
      <c r="H72" s="24">
        <f>IF(COUNTIFS('PLAN_VACACIONES'!$A$4:$A$103,$C72,'PLAN_VACACIONES'!$B$4:$B$103,"&lt;="&amp;$L72,'PLAN_VACACIONES'!$C$4:$C$103,"&gt;="&amp;$L72)&gt;0,"sí","no")</f>
        <v/>
      </c>
      <c r="I72" s="4" t="n"/>
      <c r="J72" s="24">
        <f>IF($I72&lt;&gt;"",$I72,IF($G72="","",IF($H72="sí","VAC",IF(LEFT($G72,1)="B","B",$G72))))</f>
        <v/>
      </c>
      <c r="K72" s="24">
        <f>IFERROR(INDEX('TECNICOS'!$E$4:$E$19,MATCH($C72,'TECNICOS'!$B$4:$B$19,0)),"")</f>
        <v/>
      </c>
      <c r="L72" s="30">
        <f>IF($A72="","",DATE(VALUE(LEFT($A72,4)),1,4)-WEEKDAY(DATE(VALUE(LEFT($A72,4)),1,4),2)+1+(VALUE(MID($A72,7,2))-1)*7+MATCH($B72,lista_dias,0)-1)</f>
        <v/>
      </c>
      <c r="M72" s="24">
        <f>IF(OR($J72="",ISNUMBER(MATCH($J72,lista_no_disponible,0)),(IFERROR(INDEX('CALENDARIO'!$C$15:$C$214,MATCH(TEXT($L72,"yyyy-mm-dd")&amp;"|"&amp;$D72&amp;"|"&amp;"",'CALENDARIO'!$G$15:$G$214,0)),IFERROR(INDEX('CALENDARIO'!$C$15:$C$214,MATCH(TEXT($L72,"yyyy-mm-dd")&amp;"|"&amp;$D72&amp;"|",'CALENDARIO'!$G$15:$G$214,0)),IFERROR(INDEX('CALENDARIO'!$C$15:$C$214,MATCH(TEXT($L72,"yyyy-mm-dd")&amp;"||",'CALENDARIO'!$G$15:$G$214,0)),INDEX(patronHabil,WEEKDAY($L72,2))))))&lt;&gt;"sí"),0,p_horas_jornada)</f>
        <v/>
      </c>
      <c r="N72" s="24">
        <f>$A72&amp;"|"&amp;$B72&amp;"|"&amp;$C72</f>
        <v/>
      </c>
      <c r="O72" s="24">
        <f>IFERROR(INDEX('CAT_TURNOS'!$C$4:$C$22,MATCH($J72,'CAT_TURNOS'!$A$4:$A$22,0)),"")</f>
        <v/>
      </c>
      <c r="P72" s="24">
        <f>IFERROR(INDEX('CAT_TURNOS'!$D$4:$D$22,MATCH($J72,'CAT_TURNOS'!$A$4:$A$22,0)),"")</f>
        <v/>
      </c>
      <c r="Q72" s="24">
        <f>IF(AND(LEFT($G72,1)="T",$H72="no"),"sí","no")</f>
        <v/>
      </c>
    </row>
    <row r="73">
      <c r="A73" s="5" t="inlineStr">
        <is>
          <t>2026-S30</t>
        </is>
      </c>
      <c r="B73" s="5" t="inlineStr">
        <is>
          <t>domingo</t>
        </is>
      </c>
      <c r="C73" s="5" t="inlineStr">
        <is>
          <t>Laura Morales</t>
        </is>
      </c>
      <c r="D73" s="24">
        <f>IFERROR(INDEX('TECNICOS'!$D$4:$D$19,MATCH($C73,'TECNICOS'!$B$4:$B$19,0)),"")</f>
        <v/>
      </c>
      <c r="E73" s="24">
        <f>IFERROR(INDEX('TECNICOS'!$C$4:$C$19,MATCH($C73,'TECNICOS'!$B$4:$B$19,0)),"")</f>
        <v/>
      </c>
      <c r="F73" s="24">
        <f>COUNTIFS('TECNICOS'!$F$4:$F$19,"sí",'TECNICOS'!$C$4:$C$19,$E73,'TECNICOS'!$D$4:$D$19,$D73,'TECNICOS'!$H$4:$H$19,"sí")</f>
        <v/>
      </c>
      <c r="G73" s="24">
        <f>IF(OR($C73="",$A73="",$B73="domingo",IFERROR(INDEX('TECNICOS'!$H$4:$H$19,MATCH($C73,'TECNICOS'!$B$4:$B$19,0)),"no")&lt;&gt;"sí"),"",IF(IFERROR(INDEX('TECNICOS'!$F$4:$F$19,MATCH($C73,'TECNICOS'!$B$4:$B$19,0)),"no")&lt;&gt;"sí","B",IF(MOD((IFERROR(INDEX('TECNICOS'!$G$4:$G$19,MATCH($C73,'TECNICOS'!$B$4:$B$19,0)),0)-1)+((DATE(VALUE(LEFT($A73,4)),1,4)-WEEKDAY(DATE(VALUE(LEFT($A73,4)),1,4),2)+1+(VALUE(MID($A73,7,2))-1)*7)-p_semana_referencia)/7,$F73)&lt;($F73-3),"B"&amp;(($F73-3)-MOD((IFERROR(INDEX('TECNICOS'!$G$4:$G$19,MATCH($C73,'TECNICOS'!$B$4:$B$19,0)),0)-1)+((DATE(VALUE(LEFT($A73,4)),1,4)-WEEKDAY(DATE(VALUE(LEFT($A73,4)),1,4),2)+1+(VALUE(MID($A73,7,2))-1)*7)-p_semana_referencia)/7,$F73)),"T"&amp;($F73-MOD((IFERROR(INDEX('TECNICOS'!$G$4:$G$19,MATCH($C73,'TECNICOS'!$B$4:$B$19,0)),0)-1)+((DATE(VALUE(LEFT($A73,4)),1,4)-WEEKDAY(DATE(VALUE(LEFT($A73,4)),1,4),2)+1+(VALUE(MID($A73,7,2))-1)*7)-p_semana_referencia)/7,$F73)))))</f>
        <v/>
      </c>
      <c r="H73" s="24">
        <f>IF(COUNTIFS('PLAN_VACACIONES'!$A$4:$A$103,$C73,'PLAN_VACACIONES'!$B$4:$B$103,"&lt;="&amp;$L73,'PLAN_VACACIONES'!$C$4:$C$103,"&gt;="&amp;$L73)&gt;0,"sí","no")</f>
        <v/>
      </c>
      <c r="I73" s="4" t="n"/>
      <c r="J73" s="24">
        <f>IF($I73&lt;&gt;"",$I73,IF($G73="","",IF($H73="sí","VAC",IF(LEFT($G73,1)="B","B",$G73))))</f>
        <v/>
      </c>
      <c r="K73" s="24">
        <f>IFERROR(INDEX('TECNICOS'!$E$4:$E$19,MATCH($C73,'TECNICOS'!$B$4:$B$19,0)),"")</f>
        <v/>
      </c>
      <c r="L73" s="30">
        <f>IF($A73="","",DATE(VALUE(LEFT($A73,4)),1,4)-WEEKDAY(DATE(VALUE(LEFT($A73,4)),1,4),2)+1+(VALUE(MID($A73,7,2))-1)*7+MATCH($B73,lista_dias,0)-1)</f>
        <v/>
      </c>
      <c r="M73" s="24">
        <f>IF(OR($J73="",ISNUMBER(MATCH($J73,lista_no_disponible,0)),(IFERROR(INDEX('CALENDARIO'!$C$15:$C$214,MATCH(TEXT($L73,"yyyy-mm-dd")&amp;"|"&amp;$D73&amp;"|"&amp;"",'CALENDARIO'!$G$15:$G$214,0)),IFERROR(INDEX('CALENDARIO'!$C$15:$C$214,MATCH(TEXT($L73,"yyyy-mm-dd")&amp;"|"&amp;$D73&amp;"|",'CALENDARIO'!$G$15:$G$214,0)),IFERROR(INDEX('CALENDARIO'!$C$15:$C$214,MATCH(TEXT($L73,"yyyy-mm-dd")&amp;"||",'CALENDARIO'!$G$15:$G$214,0)),INDEX(patronHabil,WEEKDAY($L73,2))))))&lt;&gt;"sí"),0,p_horas_jornada)</f>
        <v/>
      </c>
      <c r="N73" s="24">
        <f>$A73&amp;"|"&amp;$B73&amp;"|"&amp;$C73</f>
        <v/>
      </c>
      <c r="O73" s="24">
        <f>IFERROR(INDEX('CAT_TURNOS'!$C$4:$C$22,MATCH($J73,'CAT_TURNOS'!$A$4:$A$22,0)),"")</f>
        <v/>
      </c>
      <c r="P73" s="24">
        <f>IFERROR(INDEX('CAT_TURNOS'!$D$4:$D$22,MATCH($J73,'CAT_TURNOS'!$A$4:$A$22,0)),"")</f>
        <v/>
      </c>
      <c r="Q73" s="24">
        <f>IF(AND(LEFT($G73,1)="T",$H73="no"),"sí","no")</f>
        <v/>
      </c>
    </row>
    <row r="74">
      <c r="A74" s="5" t="inlineStr">
        <is>
          <t>2026-S30</t>
        </is>
      </c>
      <c r="B74" s="5" t="inlineStr">
        <is>
          <t>lunes</t>
        </is>
      </c>
      <c r="C74" s="5" t="inlineStr">
        <is>
          <t>Ricardo Ortiz</t>
        </is>
      </c>
      <c r="D74" s="24">
        <f>IFERROR(INDEX('TECNICOS'!$D$4:$D$19,MATCH($C74,'TECNICOS'!$B$4:$B$19,0)),"")</f>
        <v/>
      </c>
      <c r="E74" s="24">
        <f>IFERROR(INDEX('TECNICOS'!$C$4:$C$19,MATCH($C74,'TECNICOS'!$B$4:$B$19,0)),"")</f>
        <v/>
      </c>
      <c r="F74" s="24">
        <f>COUNTIFS('TECNICOS'!$F$4:$F$19,"sí",'TECNICOS'!$C$4:$C$19,$E74,'TECNICOS'!$D$4:$D$19,$D74,'TECNICOS'!$H$4:$H$19,"sí")</f>
        <v/>
      </c>
      <c r="G74" s="24">
        <f>IF(OR($C74="",$A74="",$B74="domingo",IFERROR(INDEX('TECNICOS'!$H$4:$H$19,MATCH($C74,'TECNICOS'!$B$4:$B$19,0)),"no")&lt;&gt;"sí"),"",IF(IFERROR(INDEX('TECNICOS'!$F$4:$F$19,MATCH($C74,'TECNICOS'!$B$4:$B$19,0)),"no")&lt;&gt;"sí","B",IF(MOD((IFERROR(INDEX('TECNICOS'!$G$4:$G$19,MATCH($C74,'TECNICOS'!$B$4:$B$19,0)),0)-1)+((DATE(VALUE(LEFT($A74,4)),1,4)-WEEKDAY(DATE(VALUE(LEFT($A74,4)),1,4),2)+1+(VALUE(MID($A74,7,2))-1)*7)-p_semana_referencia)/7,$F74)&lt;($F74-3),"B"&amp;(($F74-3)-MOD((IFERROR(INDEX('TECNICOS'!$G$4:$G$19,MATCH($C74,'TECNICOS'!$B$4:$B$19,0)),0)-1)+((DATE(VALUE(LEFT($A74,4)),1,4)-WEEKDAY(DATE(VALUE(LEFT($A74,4)),1,4),2)+1+(VALUE(MID($A74,7,2))-1)*7)-p_semana_referencia)/7,$F74)),"T"&amp;($F74-MOD((IFERROR(INDEX('TECNICOS'!$G$4:$G$19,MATCH($C74,'TECNICOS'!$B$4:$B$19,0)),0)-1)+((DATE(VALUE(LEFT($A74,4)),1,4)-WEEKDAY(DATE(VALUE(LEFT($A74,4)),1,4),2)+1+(VALUE(MID($A74,7,2))-1)*7)-p_semana_referencia)/7,$F74)))))</f>
        <v/>
      </c>
      <c r="H74" s="24">
        <f>IF(COUNTIFS('PLAN_VACACIONES'!$A$4:$A$103,$C74,'PLAN_VACACIONES'!$B$4:$B$103,"&lt;="&amp;$L74,'PLAN_VACACIONES'!$C$4:$C$103,"&gt;="&amp;$L74)&gt;0,"sí","no")</f>
        <v/>
      </c>
      <c r="I74" s="4" t="n"/>
      <c r="J74" s="24">
        <f>IF($I74&lt;&gt;"",$I74,IF($G74="","",IF($H74="sí","VAC",IF(LEFT($G74,1)="B","B",$G74))))</f>
        <v/>
      </c>
      <c r="K74" s="24">
        <f>IFERROR(INDEX('TECNICOS'!$E$4:$E$19,MATCH($C74,'TECNICOS'!$B$4:$B$19,0)),"")</f>
        <v/>
      </c>
      <c r="L74" s="30">
        <f>IF($A74="","",DATE(VALUE(LEFT($A74,4)),1,4)-WEEKDAY(DATE(VALUE(LEFT($A74,4)),1,4),2)+1+(VALUE(MID($A74,7,2))-1)*7+MATCH($B74,lista_dias,0)-1)</f>
        <v/>
      </c>
      <c r="M74" s="24">
        <f>IF(OR($J74="",ISNUMBER(MATCH($J74,lista_no_disponible,0)),(IFERROR(INDEX('CALENDARIO'!$C$15:$C$214,MATCH(TEXT($L74,"yyyy-mm-dd")&amp;"|"&amp;$D74&amp;"|"&amp;"",'CALENDARIO'!$G$15:$G$214,0)),IFERROR(INDEX('CALENDARIO'!$C$15:$C$214,MATCH(TEXT($L74,"yyyy-mm-dd")&amp;"|"&amp;$D74&amp;"|",'CALENDARIO'!$G$15:$G$214,0)),IFERROR(INDEX('CALENDARIO'!$C$15:$C$214,MATCH(TEXT($L74,"yyyy-mm-dd")&amp;"||",'CALENDARIO'!$G$15:$G$214,0)),INDEX(patronHabil,WEEKDAY($L74,2))))))&lt;&gt;"sí"),0,p_horas_jornada)</f>
        <v/>
      </c>
      <c r="N74" s="24">
        <f>$A74&amp;"|"&amp;$B74&amp;"|"&amp;$C74</f>
        <v/>
      </c>
      <c r="O74" s="24">
        <f>IFERROR(INDEX('CAT_TURNOS'!$C$4:$C$22,MATCH($J74,'CAT_TURNOS'!$A$4:$A$22,0)),"")</f>
        <v/>
      </c>
      <c r="P74" s="24">
        <f>IFERROR(INDEX('CAT_TURNOS'!$D$4:$D$22,MATCH($J74,'CAT_TURNOS'!$A$4:$A$22,0)),"")</f>
        <v/>
      </c>
      <c r="Q74" s="24">
        <f>IF(AND(LEFT($G74,1)="T",$H74="no"),"sí","no")</f>
        <v/>
      </c>
    </row>
    <row r="75">
      <c r="A75" s="5" t="inlineStr">
        <is>
          <t>2026-S30</t>
        </is>
      </c>
      <c r="B75" s="5" t="inlineStr">
        <is>
          <t>martes</t>
        </is>
      </c>
      <c r="C75" s="5" t="inlineStr">
        <is>
          <t>Ricardo Ortiz</t>
        </is>
      </c>
      <c r="D75" s="24">
        <f>IFERROR(INDEX('TECNICOS'!$D$4:$D$19,MATCH($C75,'TECNICOS'!$B$4:$B$19,0)),"")</f>
        <v/>
      </c>
      <c r="E75" s="24">
        <f>IFERROR(INDEX('TECNICOS'!$C$4:$C$19,MATCH($C75,'TECNICOS'!$B$4:$B$19,0)),"")</f>
        <v/>
      </c>
      <c r="F75" s="24">
        <f>COUNTIFS('TECNICOS'!$F$4:$F$19,"sí",'TECNICOS'!$C$4:$C$19,$E75,'TECNICOS'!$D$4:$D$19,$D75,'TECNICOS'!$H$4:$H$19,"sí")</f>
        <v/>
      </c>
      <c r="G75" s="24">
        <f>IF(OR($C75="",$A75="",$B75="domingo",IFERROR(INDEX('TECNICOS'!$H$4:$H$19,MATCH($C75,'TECNICOS'!$B$4:$B$19,0)),"no")&lt;&gt;"sí"),"",IF(IFERROR(INDEX('TECNICOS'!$F$4:$F$19,MATCH($C75,'TECNICOS'!$B$4:$B$19,0)),"no")&lt;&gt;"sí","B",IF(MOD((IFERROR(INDEX('TECNICOS'!$G$4:$G$19,MATCH($C75,'TECNICOS'!$B$4:$B$19,0)),0)-1)+((DATE(VALUE(LEFT($A75,4)),1,4)-WEEKDAY(DATE(VALUE(LEFT($A75,4)),1,4),2)+1+(VALUE(MID($A75,7,2))-1)*7)-p_semana_referencia)/7,$F75)&lt;($F75-3),"B"&amp;(($F75-3)-MOD((IFERROR(INDEX('TECNICOS'!$G$4:$G$19,MATCH($C75,'TECNICOS'!$B$4:$B$19,0)),0)-1)+((DATE(VALUE(LEFT($A75,4)),1,4)-WEEKDAY(DATE(VALUE(LEFT($A75,4)),1,4),2)+1+(VALUE(MID($A75,7,2))-1)*7)-p_semana_referencia)/7,$F75)),"T"&amp;($F75-MOD((IFERROR(INDEX('TECNICOS'!$G$4:$G$19,MATCH($C75,'TECNICOS'!$B$4:$B$19,0)),0)-1)+((DATE(VALUE(LEFT($A75,4)),1,4)-WEEKDAY(DATE(VALUE(LEFT($A75,4)),1,4),2)+1+(VALUE(MID($A75,7,2))-1)*7)-p_semana_referencia)/7,$F75)))))</f>
        <v/>
      </c>
      <c r="H75" s="24">
        <f>IF(COUNTIFS('PLAN_VACACIONES'!$A$4:$A$103,$C75,'PLAN_VACACIONES'!$B$4:$B$103,"&lt;="&amp;$L75,'PLAN_VACACIONES'!$C$4:$C$103,"&gt;="&amp;$L75)&gt;0,"sí","no")</f>
        <v/>
      </c>
      <c r="I75" s="4" t="n"/>
      <c r="J75" s="24">
        <f>IF($I75&lt;&gt;"",$I75,IF($G75="","",IF($H75="sí","VAC",IF(LEFT($G75,1)="B","B",$G75))))</f>
        <v/>
      </c>
      <c r="K75" s="24">
        <f>IFERROR(INDEX('TECNICOS'!$E$4:$E$19,MATCH($C75,'TECNICOS'!$B$4:$B$19,0)),"")</f>
        <v/>
      </c>
      <c r="L75" s="30">
        <f>IF($A75="","",DATE(VALUE(LEFT($A75,4)),1,4)-WEEKDAY(DATE(VALUE(LEFT($A75,4)),1,4),2)+1+(VALUE(MID($A75,7,2))-1)*7+MATCH($B75,lista_dias,0)-1)</f>
        <v/>
      </c>
      <c r="M75" s="24">
        <f>IF(OR($J75="",ISNUMBER(MATCH($J75,lista_no_disponible,0)),(IFERROR(INDEX('CALENDARIO'!$C$15:$C$214,MATCH(TEXT($L75,"yyyy-mm-dd")&amp;"|"&amp;$D75&amp;"|"&amp;"",'CALENDARIO'!$G$15:$G$214,0)),IFERROR(INDEX('CALENDARIO'!$C$15:$C$214,MATCH(TEXT($L75,"yyyy-mm-dd")&amp;"|"&amp;$D75&amp;"|",'CALENDARIO'!$G$15:$G$214,0)),IFERROR(INDEX('CALENDARIO'!$C$15:$C$214,MATCH(TEXT($L75,"yyyy-mm-dd")&amp;"||",'CALENDARIO'!$G$15:$G$214,0)),INDEX(patronHabil,WEEKDAY($L75,2))))))&lt;&gt;"sí"),0,p_horas_jornada)</f>
        <v/>
      </c>
      <c r="N75" s="24">
        <f>$A75&amp;"|"&amp;$B75&amp;"|"&amp;$C75</f>
        <v/>
      </c>
      <c r="O75" s="24">
        <f>IFERROR(INDEX('CAT_TURNOS'!$C$4:$C$22,MATCH($J75,'CAT_TURNOS'!$A$4:$A$22,0)),"")</f>
        <v/>
      </c>
      <c r="P75" s="24">
        <f>IFERROR(INDEX('CAT_TURNOS'!$D$4:$D$22,MATCH($J75,'CAT_TURNOS'!$A$4:$A$22,0)),"")</f>
        <v/>
      </c>
      <c r="Q75" s="24">
        <f>IF(AND(LEFT($G75,1)="T",$H75="no"),"sí","no")</f>
        <v/>
      </c>
    </row>
    <row r="76">
      <c r="A76" s="5" t="inlineStr">
        <is>
          <t>2026-S30</t>
        </is>
      </c>
      <c r="B76" s="5" t="inlineStr">
        <is>
          <t>miércoles</t>
        </is>
      </c>
      <c r="C76" s="5" t="inlineStr">
        <is>
          <t>Ricardo Ortiz</t>
        </is>
      </c>
      <c r="D76" s="24">
        <f>IFERROR(INDEX('TECNICOS'!$D$4:$D$19,MATCH($C76,'TECNICOS'!$B$4:$B$19,0)),"")</f>
        <v/>
      </c>
      <c r="E76" s="24">
        <f>IFERROR(INDEX('TECNICOS'!$C$4:$C$19,MATCH($C76,'TECNICOS'!$B$4:$B$19,0)),"")</f>
        <v/>
      </c>
      <c r="F76" s="24">
        <f>COUNTIFS('TECNICOS'!$F$4:$F$19,"sí",'TECNICOS'!$C$4:$C$19,$E76,'TECNICOS'!$D$4:$D$19,$D76,'TECNICOS'!$H$4:$H$19,"sí")</f>
        <v/>
      </c>
      <c r="G76" s="24">
        <f>IF(OR($C76="",$A76="",$B76="domingo",IFERROR(INDEX('TECNICOS'!$H$4:$H$19,MATCH($C76,'TECNICOS'!$B$4:$B$19,0)),"no")&lt;&gt;"sí"),"",IF(IFERROR(INDEX('TECNICOS'!$F$4:$F$19,MATCH($C76,'TECNICOS'!$B$4:$B$19,0)),"no")&lt;&gt;"sí","B",IF(MOD((IFERROR(INDEX('TECNICOS'!$G$4:$G$19,MATCH($C76,'TECNICOS'!$B$4:$B$19,0)),0)-1)+((DATE(VALUE(LEFT($A76,4)),1,4)-WEEKDAY(DATE(VALUE(LEFT($A76,4)),1,4),2)+1+(VALUE(MID($A76,7,2))-1)*7)-p_semana_referencia)/7,$F76)&lt;($F76-3),"B"&amp;(($F76-3)-MOD((IFERROR(INDEX('TECNICOS'!$G$4:$G$19,MATCH($C76,'TECNICOS'!$B$4:$B$19,0)),0)-1)+((DATE(VALUE(LEFT($A76,4)),1,4)-WEEKDAY(DATE(VALUE(LEFT($A76,4)),1,4),2)+1+(VALUE(MID($A76,7,2))-1)*7)-p_semana_referencia)/7,$F76)),"T"&amp;($F76-MOD((IFERROR(INDEX('TECNICOS'!$G$4:$G$19,MATCH($C76,'TECNICOS'!$B$4:$B$19,0)),0)-1)+((DATE(VALUE(LEFT($A76,4)),1,4)-WEEKDAY(DATE(VALUE(LEFT($A76,4)),1,4),2)+1+(VALUE(MID($A76,7,2))-1)*7)-p_semana_referencia)/7,$F76)))))</f>
        <v/>
      </c>
      <c r="H76" s="24">
        <f>IF(COUNTIFS('PLAN_VACACIONES'!$A$4:$A$103,$C76,'PLAN_VACACIONES'!$B$4:$B$103,"&lt;="&amp;$L76,'PLAN_VACACIONES'!$C$4:$C$103,"&gt;="&amp;$L76)&gt;0,"sí","no")</f>
        <v/>
      </c>
      <c r="I76" s="4" t="n"/>
      <c r="J76" s="24">
        <f>IF($I76&lt;&gt;"",$I76,IF($G76="","",IF($H76="sí","VAC",IF(LEFT($G76,1)="B","B",$G76))))</f>
        <v/>
      </c>
      <c r="K76" s="24">
        <f>IFERROR(INDEX('TECNICOS'!$E$4:$E$19,MATCH($C76,'TECNICOS'!$B$4:$B$19,0)),"")</f>
        <v/>
      </c>
      <c r="L76" s="30">
        <f>IF($A76="","",DATE(VALUE(LEFT($A76,4)),1,4)-WEEKDAY(DATE(VALUE(LEFT($A76,4)),1,4),2)+1+(VALUE(MID($A76,7,2))-1)*7+MATCH($B76,lista_dias,0)-1)</f>
        <v/>
      </c>
      <c r="M76" s="24">
        <f>IF(OR($J76="",ISNUMBER(MATCH($J76,lista_no_disponible,0)),(IFERROR(INDEX('CALENDARIO'!$C$15:$C$214,MATCH(TEXT($L76,"yyyy-mm-dd")&amp;"|"&amp;$D76&amp;"|"&amp;"",'CALENDARIO'!$G$15:$G$214,0)),IFERROR(INDEX('CALENDARIO'!$C$15:$C$214,MATCH(TEXT($L76,"yyyy-mm-dd")&amp;"|"&amp;$D76&amp;"|",'CALENDARIO'!$G$15:$G$214,0)),IFERROR(INDEX('CALENDARIO'!$C$15:$C$214,MATCH(TEXT($L76,"yyyy-mm-dd")&amp;"||",'CALENDARIO'!$G$15:$G$214,0)),INDEX(patronHabil,WEEKDAY($L76,2))))))&lt;&gt;"sí"),0,p_horas_jornada)</f>
        <v/>
      </c>
      <c r="N76" s="24">
        <f>$A76&amp;"|"&amp;$B76&amp;"|"&amp;$C76</f>
        <v/>
      </c>
      <c r="O76" s="24">
        <f>IFERROR(INDEX('CAT_TURNOS'!$C$4:$C$22,MATCH($J76,'CAT_TURNOS'!$A$4:$A$22,0)),"")</f>
        <v/>
      </c>
      <c r="P76" s="24">
        <f>IFERROR(INDEX('CAT_TURNOS'!$D$4:$D$22,MATCH($J76,'CAT_TURNOS'!$A$4:$A$22,0)),"")</f>
        <v/>
      </c>
      <c r="Q76" s="24">
        <f>IF(AND(LEFT($G76,1)="T",$H76="no"),"sí","no")</f>
        <v/>
      </c>
    </row>
    <row r="77">
      <c r="A77" s="5" t="inlineStr">
        <is>
          <t>2026-S30</t>
        </is>
      </c>
      <c r="B77" s="5" t="inlineStr">
        <is>
          <t>jueves</t>
        </is>
      </c>
      <c r="C77" s="5" t="inlineStr">
        <is>
          <t>Ricardo Ortiz</t>
        </is>
      </c>
      <c r="D77" s="24">
        <f>IFERROR(INDEX('TECNICOS'!$D$4:$D$19,MATCH($C77,'TECNICOS'!$B$4:$B$19,0)),"")</f>
        <v/>
      </c>
      <c r="E77" s="24">
        <f>IFERROR(INDEX('TECNICOS'!$C$4:$C$19,MATCH($C77,'TECNICOS'!$B$4:$B$19,0)),"")</f>
        <v/>
      </c>
      <c r="F77" s="24">
        <f>COUNTIFS('TECNICOS'!$F$4:$F$19,"sí",'TECNICOS'!$C$4:$C$19,$E77,'TECNICOS'!$D$4:$D$19,$D77,'TECNICOS'!$H$4:$H$19,"sí")</f>
        <v/>
      </c>
      <c r="G77" s="24">
        <f>IF(OR($C77="",$A77="",$B77="domingo",IFERROR(INDEX('TECNICOS'!$H$4:$H$19,MATCH($C77,'TECNICOS'!$B$4:$B$19,0)),"no")&lt;&gt;"sí"),"",IF(IFERROR(INDEX('TECNICOS'!$F$4:$F$19,MATCH($C77,'TECNICOS'!$B$4:$B$19,0)),"no")&lt;&gt;"sí","B",IF(MOD((IFERROR(INDEX('TECNICOS'!$G$4:$G$19,MATCH($C77,'TECNICOS'!$B$4:$B$19,0)),0)-1)+((DATE(VALUE(LEFT($A77,4)),1,4)-WEEKDAY(DATE(VALUE(LEFT($A77,4)),1,4),2)+1+(VALUE(MID($A77,7,2))-1)*7)-p_semana_referencia)/7,$F77)&lt;($F77-3),"B"&amp;(($F77-3)-MOD((IFERROR(INDEX('TECNICOS'!$G$4:$G$19,MATCH($C77,'TECNICOS'!$B$4:$B$19,0)),0)-1)+((DATE(VALUE(LEFT($A77,4)),1,4)-WEEKDAY(DATE(VALUE(LEFT($A77,4)),1,4),2)+1+(VALUE(MID($A77,7,2))-1)*7)-p_semana_referencia)/7,$F77)),"T"&amp;($F77-MOD((IFERROR(INDEX('TECNICOS'!$G$4:$G$19,MATCH($C77,'TECNICOS'!$B$4:$B$19,0)),0)-1)+((DATE(VALUE(LEFT($A77,4)),1,4)-WEEKDAY(DATE(VALUE(LEFT($A77,4)),1,4),2)+1+(VALUE(MID($A77,7,2))-1)*7)-p_semana_referencia)/7,$F77)))))</f>
        <v/>
      </c>
      <c r="H77" s="24">
        <f>IF(COUNTIFS('PLAN_VACACIONES'!$A$4:$A$103,$C77,'PLAN_VACACIONES'!$B$4:$B$103,"&lt;="&amp;$L77,'PLAN_VACACIONES'!$C$4:$C$103,"&gt;="&amp;$L77)&gt;0,"sí","no")</f>
        <v/>
      </c>
      <c r="I77" s="4" t="n"/>
      <c r="J77" s="24">
        <f>IF($I77&lt;&gt;"",$I77,IF($G77="","",IF($H77="sí","VAC",IF(LEFT($G77,1)="B","B",$G77))))</f>
        <v/>
      </c>
      <c r="K77" s="24">
        <f>IFERROR(INDEX('TECNICOS'!$E$4:$E$19,MATCH($C77,'TECNICOS'!$B$4:$B$19,0)),"")</f>
        <v/>
      </c>
      <c r="L77" s="30">
        <f>IF($A77="","",DATE(VALUE(LEFT($A77,4)),1,4)-WEEKDAY(DATE(VALUE(LEFT($A77,4)),1,4),2)+1+(VALUE(MID($A77,7,2))-1)*7+MATCH($B77,lista_dias,0)-1)</f>
        <v/>
      </c>
      <c r="M77" s="24">
        <f>IF(OR($J77="",ISNUMBER(MATCH($J77,lista_no_disponible,0)),(IFERROR(INDEX('CALENDARIO'!$C$15:$C$214,MATCH(TEXT($L77,"yyyy-mm-dd")&amp;"|"&amp;$D77&amp;"|"&amp;"",'CALENDARIO'!$G$15:$G$214,0)),IFERROR(INDEX('CALENDARIO'!$C$15:$C$214,MATCH(TEXT($L77,"yyyy-mm-dd")&amp;"|"&amp;$D77&amp;"|",'CALENDARIO'!$G$15:$G$214,0)),IFERROR(INDEX('CALENDARIO'!$C$15:$C$214,MATCH(TEXT($L77,"yyyy-mm-dd")&amp;"||",'CALENDARIO'!$G$15:$G$214,0)),INDEX(patronHabil,WEEKDAY($L77,2))))))&lt;&gt;"sí"),0,p_horas_jornada)</f>
        <v/>
      </c>
      <c r="N77" s="24">
        <f>$A77&amp;"|"&amp;$B77&amp;"|"&amp;$C77</f>
        <v/>
      </c>
      <c r="O77" s="24">
        <f>IFERROR(INDEX('CAT_TURNOS'!$C$4:$C$22,MATCH($J77,'CAT_TURNOS'!$A$4:$A$22,0)),"")</f>
        <v/>
      </c>
      <c r="P77" s="24">
        <f>IFERROR(INDEX('CAT_TURNOS'!$D$4:$D$22,MATCH($J77,'CAT_TURNOS'!$A$4:$A$22,0)),"")</f>
        <v/>
      </c>
      <c r="Q77" s="24">
        <f>IF(AND(LEFT($G77,1)="T",$H77="no"),"sí","no")</f>
        <v/>
      </c>
    </row>
    <row r="78">
      <c r="A78" s="5" t="inlineStr">
        <is>
          <t>2026-S30</t>
        </is>
      </c>
      <c r="B78" s="5" t="inlineStr">
        <is>
          <t>viernes</t>
        </is>
      </c>
      <c r="C78" s="5" t="inlineStr">
        <is>
          <t>Ricardo Ortiz</t>
        </is>
      </c>
      <c r="D78" s="24">
        <f>IFERROR(INDEX('TECNICOS'!$D$4:$D$19,MATCH($C78,'TECNICOS'!$B$4:$B$19,0)),"")</f>
        <v/>
      </c>
      <c r="E78" s="24">
        <f>IFERROR(INDEX('TECNICOS'!$C$4:$C$19,MATCH($C78,'TECNICOS'!$B$4:$B$19,0)),"")</f>
        <v/>
      </c>
      <c r="F78" s="24">
        <f>COUNTIFS('TECNICOS'!$F$4:$F$19,"sí",'TECNICOS'!$C$4:$C$19,$E78,'TECNICOS'!$D$4:$D$19,$D78,'TECNICOS'!$H$4:$H$19,"sí")</f>
        <v/>
      </c>
      <c r="G78" s="24">
        <f>IF(OR($C78="",$A78="",$B78="domingo",IFERROR(INDEX('TECNICOS'!$H$4:$H$19,MATCH($C78,'TECNICOS'!$B$4:$B$19,0)),"no")&lt;&gt;"sí"),"",IF(IFERROR(INDEX('TECNICOS'!$F$4:$F$19,MATCH($C78,'TECNICOS'!$B$4:$B$19,0)),"no")&lt;&gt;"sí","B",IF(MOD((IFERROR(INDEX('TECNICOS'!$G$4:$G$19,MATCH($C78,'TECNICOS'!$B$4:$B$19,0)),0)-1)+((DATE(VALUE(LEFT($A78,4)),1,4)-WEEKDAY(DATE(VALUE(LEFT($A78,4)),1,4),2)+1+(VALUE(MID($A78,7,2))-1)*7)-p_semana_referencia)/7,$F78)&lt;($F78-3),"B"&amp;(($F78-3)-MOD((IFERROR(INDEX('TECNICOS'!$G$4:$G$19,MATCH($C78,'TECNICOS'!$B$4:$B$19,0)),0)-1)+((DATE(VALUE(LEFT($A78,4)),1,4)-WEEKDAY(DATE(VALUE(LEFT($A78,4)),1,4),2)+1+(VALUE(MID($A78,7,2))-1)*7)-p_semana_referencia)/7,$F78)),"T"&amp;($F78-MOD((IFERROR(INDEX('TECNICOS'!$G$4:$G$19,MATCH($C78,'TECNICOS'!$B$4:$B$19,0)),0)-1)+((DATE(VALUE(LEFT($A78,4)),1,4)-WEEKDAY(DATE(VALUE(LEFT($A78,4)),1,4),2)+1+(VALUE(MID($A78,7,2))-1)*7)-p_semana_referencia)/7,$F78)))))</f>
        <v/>
      </c>
      <c r="H78" s="24">
        <f>IF(COUNTIFS('PLAN_VACACIONES'!$A$4:$A$103,$C78,'PLAN_VACACIONES'!$B$4:$B$103,"&lt;="&amp;$L78,'PLAN_VACACIONES'!$C$4:$C$103,"&gt;="&amp;$L78)&gt;0,"sí","no")</f>
        <v/>
      </c>
      <c r="I78" s="4" t="n"/>
      <c r="J78" s="24">
        <f>IF($I78&lt;&gt;"",$I78,IF($G78="","",IF($H78="sí","VAC",IF(LEFT($G78,1)="B","B",$G78))))</f>
        <v/>
      </c>
      <c r="K78" s="24">
        <f>IFERROR(INDEX('TECNICOS'!$E$4:$E$19,MATCH($C78,'TECNICOS'!$B$4:$B$19,0)),"")</f>
        <v/>
      </c>
      <c r="L78" s="30">
        <f>IF($A78="","",DATE(VALUE(LEFT($A78,4)),1,4)-WEEKDAY(DATE(VALUE(LEFT($A78,4)),1,4),2)+1+(VALUE(MID($A78,7,2))-1)*7+MATCH($B78,lista_dias,0)-1)</f>
        <v/>
      </c>
      <c r="M78" s="24">
        <f>IF(OR($J78="",ISNUMBER(MATCH($J78,lista_no_disponible,0)),(IFERROR(INDEX('CALENDARIO'!$C$15:$C$214,MATCH(TEXT($L78,"yyyy-mm-dd")&amp;"|"&amp;$D78&amp;"|"&amp;"",'CALENDARIO'!$G$15:$G$214,0)),IFERROR(INDEX('CALENDARIO'!$C$15:$C$214,MATCH(TEXT($L78,"yyyy-mm-dd")&amp;"|"&amp;$D78&amp;"|",'CALENDARIO'!$G$15:$G$214,0)),IFERROR(INDEX('CALENDARIO'!$C$15:$C$214,MATCH(TEXT($L78,"yyyy-mm-dd")&amp;"||",'CALENDARIO'!$G$15:$G$214,0)),INDEX(patronHabil,WEEKDAY($L78,2))))))&lt;&gt;"sí"),0,p_horas_jornada)</f>
        <v/>
      </c>
      <c r="N78" s="24">
        <f>$A78&amp;"|"&amp;$B78&amp;"|"&amp;$C78</f>
        <v/>
      </c>
      <c r="O78" s="24">
        <f>IFERROR(INDEX('CAT_TURNOS'!$C$4:$C$22,MATCH($J78,'CAT_TURNOS'!$A$4:$A$22,0)),"")</f>
        <v/>
      </c>
      <c r="P78" s="24">
        <f>IFERROR(INDEX('CAT_TURNOS'!$D$4:$D$22,MATCH($J78,'CAT_TURNOS'!$A$4:$A$22,0)),"")</f>
        <v/>
      </c>
      <c r="Q78" s="24">
        <f>IF(AND(LEFT($G78,1)="T",$H78="no"),"sí","no")</f>
        <v/>
      </c>
    </row>
    <row r="79">
      <c r="A79" s="5" t="inlineStr">
        <is>
          <t>2026-S30</t>
        </is>
      </c>
      <c r="B79" s="5" t="inlineStr">
        <is>
          <t>sábado</t>
        </is>
      </c>
      <c r="C79" s="5" t="inlineStr">
        <is>
          <t>Ricardo Ortiz</t>
        </is>
      </c>
      <c r="D79" s="24">
        <f>IFERROR(INDEX('TECNICOS'!$D$4:$D$19,MATCH($C79,'TECNICOS'!$B$4:$B$19,0)),"")</f>
        <v/>
      </c>
      <c r="E79" s="24">
        <f>IFERROR(INDEX('TECNICOS'!$C$4:$C$19,MATCH($C79,'TECNICOS'!$B$4:$B$19,0)),"")</f>
        <v/>
      </c>
      <c r="F79" s="24">
        <f>COUNTIFS('TECNICOS'!$F$4:$F$19,"sí",'TECNICOS'!$C$4:$C$19,$E79,'TECNICOS'!$D$4:$D$19,$D79,'TECNICOS'!$H$4:$H$19,"sí")</f>
        <v/>
      </c>
      <c r="G79" s="24">
        <f>IF(OR($C79="",$A79="",$B79="domingo",IFERROR(INDEX('TECNICOS'!$H$4:$H$19,MATCH($C79,'TECNICOS'!$B$4:$B$19,0)),"no")&lt;&gt;"sí"),"",IF(IFERROR(INDEX('TECNICOS'!$F$4:$F$19,MATCH($C79,'TECNICOS'!$B$4:$B$19,0)),"no")&lt;&gt;"sí","B",IF(MOD((IFERROR(INDEX('TECNICOS'!$G$4:$G$19,MATCH($C79,'TECNICOS'!$B$4:$B$19,0)),0)-1)+((DATE(VALUE(LEFT($A79,4)),1,4)-WEEKDAY(DATE(VALUE(LEFT($A79,4)),1,4),2)+1+(VALUE(MID($A79,7,2))-1)*7)-p_semana_referencia)/7,$F79)&lt;($F79-3),"B"&amp;(($F79-3)-MOD((IFERROR(INDEX('TECNICOS'!$G$4:$G$19,MATCH($C79,'TECNICOS'!$B$4:$B$19,0)),0)-1)+((DATE(VALUE(LEFT($A79,4)),1,4)-WEEKDAY(DATE(VALUE(LEFT($A79,4)),1,4),2)+1+(VALUE(MID($A79,7,2))-1)*7)-p_semana_referencia)/7,$F79)),"T"&amp;($F79-MOD((IFERROR(INDEX('TECNICOS'!$G$4:$G$19,MATCH($C79,'TECNICOS'!$B$4:$B$19,0)),0)-1)+((DATE(VALUE(LEFT($A79,4)),1,4)-WEEKDAY(DATE(VALUE(LEFT($A79,4)),1,4),2)+1+(VALUE(MID($A79,7,2))-1)*7)-p_semana_referencia)/7,$F79)))))</f>
        <v/>
      </c>
      <c r="H79" s="24">
        <f>IF(COUNTIFS('PLAN_VACACIONES'!$A$4:$A$103,$C79,'PLAN_VACACIONES'!$B$4:$B$103,"&lt;="&amp;$L79,'PLAN_VACACIONES'!$C$4:$C$103,"&gt;="&amp;$L79)&gt;0,"sí","no")</f>
        <v/>
      </c>
      <c r="I79" s="4" t="n"/>
      <c r="J79" s="24">
        <f>IF($I79&lt;&gt;"",$I79,IF($G79="","",IF($H79="sí","VAC",IF(LEFT($G79,1)="B","B",$G79))))</f>
        <v/>
      </c>
      <c r="K79" s="24">
        <f>IFERROR(INDEX('TECNICOS'!$E$4:$E$19,MATCH($C79,'TECNICOS'!$B$4:$B$19,0)),"")</f>
        <v/>
      </c>
      <c r="L79" s="30">
        <f>IF($A79="","",DATE(VALUE(LEFT($A79,4)),1,4)-WEEKDAY(DATE(VALUE(LEFT($A79,4)),1,4),2)+1+(VALUE(MID($A79,7,2))-1)*7+MATCH($B79,lista_dias,0)-1)</f>
        <v/>
      </c>
      <c r="M79" s="24">
        <f>IF(OR($J79="",ISNUMBER(MATCH($J79,lista_no_disponible,0)),(IFERROR(INDEX('CALENDARIO'!$C$15:$C$214,MATCH(TEXT($L79,"yyyy-mm-dd")&amp;"|"&amp;$D79&amp;"|"&amp;"",'CALENDARIO'!$G$15:$G$214,0)),IFERROR(INDEX('CALENDARIO'!$C$15:$C$214,MATCH(TEXT($L79,"yyyy-mm-dd")&amp;"|"&amp;$D79&amp;"|",'CALENDARIO'!$G$15:$G$214,0)),IFERROR(INDEX('CALENDARIO'!$C$15:$C$214,MATCH(TEXT($L79,"yyyy-mm-dd")&amp;"||",'CALENDARIO'!$G$15:$G$214,0)),INDEX(patronHabil,WEEKDAY($L79,2))))))&lt;&gt;"sí"),0,p_horas_jornada)</f>
        <v/>
      </c>
      <c r="N79" s="24">
        <f>$A79&amp;"|"&amp;$B79&amp;"|"&amp;$C79</f>
        <v/>
      </c>
      <c r="O79" s="24">
        <f>IFERROR(INDEX('CAT_TURNOS'!$C$4:$C$22,MATCH($J79,'CAT_TURNOS'!$A$4:$A$22,0)),"")</f>
        <v/>
      </c>
      <c r="P79" s="24">
        <f>IFERROR(INDEX('CAT_TURNOS'!$D$4:$D$22,MATCH($J79,'CAT_TURNOS'!$A$4:$A$22,0)),"")</f>
        <v/>
      </c>
      <c r="Q79" s="24">
        <f>IF(AND(LEFT($G79,1)="T",$H79="no"),"sí","no")</f>
        <v/>
      </c>
    </row>
    <row r="80">
      <c r="A80" s="5" t="inlineStr">
        <is>
          <t>2026-S30</t>
        </is>
      </c>
      <c r="B80" s="5" t="inlineStr">
        <is>
          <t>domingo</t>
        </is>
      </c>
      <c r="C80" s="5" t="inlineStr">
        <is>
          <t>Ricardo Ortiz</t>
        </is>
      </c>
      <c r="D80" s="24">
        <f>IFERROR(INDEX('TECNICOS'!$D$4:$D$19,MATCH($C80,'TECNICOS'!$B$4:$B$19,0)),"")</f>
        <v/>
      </c>
      <c r="E80" s="24">
        <f>IFERROR(INDEX('TECNICOS'!$C$4:$C$19,MATCH($C80,'TECNICOS'!$B$4:$B$19,0)),"")</f>
        <v/>
      </c>
      <c r="F80" s="24">
        <f>COUNTIFS('TECNICOS'!$F$4:$F$19,"sí",'TECNICOS'!$C$4:$C$19,$E80,'TECNICOS'!$D$4:$D$19,$D80,'TECNICOS'!$H$4:$H$19,"sí")</f>
        <v/>
      </c>
      <c r="G80" s="24">
        <f>IF(OR($C80="",$A80="",$B80="domingo",IFERROR(INDEX('TECNICOS'!$H$4:$H$19,MATCH($C80,'TECNICOS'!$B$4:$B$19,0)),"no")&lt;&gt;"sí"),"",IF(IFERROR(INDEX('TECNICOS'!$F$4:$F$19,MATCH($C80,'TECNICOS'!$B$4:$B$19,0)),"no")&lt;&gt;"sí","B",IF(MOD((IFERROR(INDEX('TECNICOS'!$G$4:$G$19,MATCH($C80,'TECNICOS'!$B$4:$B$19,0)),0)-1)+((DATE(VALUE(LEFT($A80,4)),1,4)-WEEKDAY(DATE(VALUE(LEFT($A80,4)),1,4),2)+1+(VALUE(MID($A80,7,2))-1)*7)-p_semana_referencia)/7,$F80)&lt;($F80-3),"B"&amp;(($F80-3)-MOD((IFERROR(INDEX('TECNICOS'!$G$4:$G$19,MATCH($C80,'TECNICOS'!$B$4:$B$19,0)),0)-1)+((DATE(VALUE(LEFT($A80,4)),1,4)-WEEKDAY(DATE(VALUE(LEFT($A80,4)),1,4),2)+1+(VALUE(MID($A80,7,2))-1)*7)-p_semana_referencia)/7,$F80)),"T"&amp;($F80-MOD((IFERROR(INDEX('TECNICOS'!$G$4:$G$19,MATCH($C80,'TECNICOS'!$B$4:$B$19,0)),0)-1)+((DATE(VALUE(LEFT($A80,4)),1,4)-WEEKDAY(DATE(VALUE(LEFT($A80,4)),1,4),2)+1+(VALUE(MID($A80,7,2))-1)*7)-p_semana_referencia)/7,$F80)))))</f>
        <v/>
      </c>
      <c r="H80" s="24">
        <f>IF(COUNTIFS('PLAN_VACACIONES'!$A$4:$A$103,$C80,'PLAN_VACACIONES'!$B$4:$B$103,"&lt;="&amp;$L80,'PLAN_VACACIONES'!$C$4:$C$103,"&gt;="&amp;$L80)&gt;0,"sí","no")</f>
        <v/>
      </c>
      <c r="I80" s="4" t="n"/>
      <c r="J80" s="24">
        <f>IF($I80&lt;&gt;"",$I80,IF($G80="","",IF($H80="sí","VAC",IF(LEFT($G80,1)="B","B",$G80))))</f>
        <v/>
      </c>
      <c r="K80" s="24">
        <f>IFERROR(INDEX('TECNICOS'!$E$4:$E$19,MATCH($C80,'TECNICOS'!$B$4:$B$19,0)),"")</f>
        <v/>
      </c>
      <c r="L80" s="30">
        <f>IF($A80="","",DATE(VALUE(LEFT($A80,4)),1,4)-WEEKDAY(DATE(VALUE(LEFT($A80,4)),1,4),2)+1+(VALUE(MID($A80,7,2))-1)*7+MATCH($B80,lista_dias,0)-1)</f>
        <v/>
      </c>
      <c r="M80" s="24">
        <f>IF(OR($J80="",ISNUMBER(MATCH($J80,lista_no_disponible,0)),(IFERROR(INDEX('CALENDARIO'!$C$15:$C$214,MATCH(TEXT($L80,"yyyy-mm-dd")&amp;"|"&amp;$D80&amp;"|"&amp;"",'CALENDARIO'!$G$15:$G$214,0)),IFERROR(INDEX('CALENDARIO'!$C$15:$C$214,MATCH(TEXT($L80,"yyyy-mm-dd")&amp;"|"&amp;$D80&amp;"|",'CALENDARIO'!$G$15:$G$214,0)),IFERROR(INDEX('CALENDARIO'!$C$15:$C$214,MATCH(TEXT($L80,"yyyy-mm-dd")&amp;"||",'CALENDARIO'!$G$15:$G$214,0)),INDEX(patronHabil,WEEKDAY($L80,2))))))&lt;&gt;"sí"),0,p_horas_jornada)</f>
        <v/>
      </c>
      <c r="N80" s="24">
        <f>$A80&amp;"|"&amp;$B80&amp;"|"&amp;$C80</f>
        <v/>
      </c>
      <c r="O80" s="24">
        <f>IFERROR(INDEX('CAT_TURNOS'!$C$4:$C$22,MATCH($J80,'CAT_TURNOS'!$A$4:$A$22,0)),"")</f>
        <v/>
      </c>
      <c r="P80" s="24">
        <f>IFERROR(INDEX('CAT_TURNOS'!$D$4:$D$22,MATCH($J80,'CAT_TURNOS'!$A$4:$A$22,0)),"")</f>
        <v/>
      </c>
      <c r="Q80" s="24">
        <f>IF(AND(LEFT($G80,1)="T",$H80="no"),"sí","no")</f>
        <v/>
      </c>
    </row>
    <row r="81">
      <c r="A81" s="5" t="inlineStr">
        <is>
          <t>2026-S30</t>
        </is>
      </c>
      <c r="B81" s="5" t="inlineStr">
        <is>
          <t>lunes</t>
        </is>
      </c>
      <c r="C81" s="5" t="inlineStr">
        <is>
          <t>Eduardo Silva</t>
        </is>
      </c>
      <c r="D81" s="24">
        <f>IFERROR(INDEX('TECNICOS'!$D$4:$D$19,MATCH($C81,'TECNICOS'!$B$4:$B$19,0)),"")</f>
        <v/>
      </c>
      <c r="E81" s="24">
        <f>IFERROR(INDEX('TECNICOS'!$C$4:$C$19,MATCH($C81,'TECNICOS'!$B$4:$B$19,0)),"")</f>
        <v/>
      </c>
      <c r="F81" s="24">
        <f>COUNTIFS('TECNICOS'!$F$4:$F$19,"sí",'TECNICOS'!$C$4:$C$19,$E81,'TECNICOS'!$D$4:$D$19,$D81,'TECNICOS'!$H$4:$H$19,"sí")</f>
        <v/>
      </c>
      <c r="G81" s="24">
        <f>IF(OR($C81="",$A81="",$B81="domingo",IFERROR(INDEX('TECNICOS'!$H$4:$H$19,MATCH($C81,'TECNICOS'!$B$4:$B$19,0)),"no")&lt;&gt;"sí"),"",IF(IFERROR(INDEX('TECNICOS'!$F$4:$F$19,MATCH($C81,'TECNICOS'!$B$4:$B$19,0)),"no")&lt;&gt;"sí","B",IF(MOD((IFERROR(INDEX('TECNICOS'!$G$4:$G$19,MATCH($C81,'TECNICOS'!$B$4:$B$19,0)),0)-1)+((DATE(VALUE(LEFT($A81,4)),1,4)-WEEKDAY(DATE(VALUE(LEFT($A81,4)),1,4),2)+1+(VALUE(MID($A81,7,2))-1)*7)-p_semana_referencia)/7,$F81)&lt;($F81-3),"B"&amp;(($F81-3)-MOD((IFERROR(INDEX('TECNICOS'!$G$4:$G$19,MATCH($C81,'TECNICOS'!$B$4:$B$19,0)),0)-1)+((DATE(VALUE(LEFT($A81,4)),1,4)-WEEKDAY(DATE(VALUE(LEFT($A81,4)),1,4),2)+1+(VALUE(MID($A81,7,2))-1)*7)-p_semana_referencia)/7,$F81)),"T"&amp;($F81-MOD((IFERROR(INDEX('TECNICOS'!$G$4:$G$19,MATCH($C81,'TECNICOS'!$B$4:$B$19,0)),0)-1)+((DATE(VALUE(LEFT($A81,4)),1,4)-WEEKDAY(DATE(VALUE(LEFT($A81,4)),1,4),2)+1+(VALUE(MID($A81,7,2))-1)*7)-p_semana_referencia)/7,$F81)))))</f>
        <v/>
      </c>
      <c r="H81" s="24">
        <f>IF(COUNTIFS('PLAN_VACACIONES'!$A$4:$A$103,$C81,'PLAN_VACACIONES'!$B$4:$B$103,"&lt;="&amp;$L81,'PLAN_VACACIONES'!$C$4:$C$103,"&gt;="&amp;$L81)&gt;0,"sí","no")</f>
        <v/>
      </c>
      <c r="I81" s="4" t="n"/>
      <c r="J81" s="24">
        <f>IF($I81&lt;&gt;"",$I81,IF($G81="","",IF($H81="sí","VAC",IF(LEFT($G81,1)="B","B",$G81))))</f>
        <v/>
      </c>
      <c r="K81" s="24">
        <f>IFERROR(INDEX('TECNICOS'!$E$4:$E$19,MATCH($C81,'TECNICOS'!$B$4:$B$19,0)),"")</f>
        <v/>
      </c>
      <c r="L81" s="30">
        <f>IF($A81="","",DATE(VALUE(LEFT($A81,4)),1,4)-WEEKDAY(DATE(VALUE(LEFT($A81,4)),1,4),2)+1+(VALUE(MID($A81,7,2))-1)*7+MATCH($B81,lista_dias,0)-1)</f>
        <v/>
      </c>
      <c r="M81" s="24">
        <f>IF(OR($J81="",ISNUMBER(MATCH($J81,lista_no_disponible,0)),(IFERROR(INDEX('CALENDARIO'!$C$15:$C$214,MATCH(TEXT($L81,"yyyy-mm-dd")&amp;"|"&amp;$D81&amp;"|"&amp;"",'CALENDARIO'!$G$15:$G$214,0)),IFERROR(INDEX('CALENDARIO'!$C$15:$C$214,MATCH(TEXT($L81,"yyyy-mm-dd")&amp;"|"&amp;$D81&amp;"|",'CALENDARIO'!$G$15:$G$214,0)),IFERROR(INDEX('CALENDARIO'!$C$15:$C$214,MATCH(TEXT($L81,"yyyy-mm-dd")&amp;"||",'CALENDARIO'!$G$15:$G$214,0)),INDEX(patronHabil,WEEKDAY($L81,2))))))&lt;&gt;"sí"),0,p_horas_jornada)</f>
        <v/>
      </c>
      <c r="N81" s="24">
        <f>$A81&amp;"|"&amp;$B81&amp;"|"&amp;$C81</f>
        <v/>
      </c>
      <c r="O81" s="24">
        <f>IFERROR(INDEX('CAT_TURNOS'!$C$4:$C$22,MATCH($J81,'CAT_TURNOS'!$A$4:$A$22,0)),"")</f>
        <v/>
      </c>
      <c r="P81" s="24">
        <f>IFERROR(INDEX('CAT_TURNOS'!$D$4:$D$22,MATCH($J81,'CAT_TURNOS'!$A$4:$A$22,0)),"")</f>
        <v/>
      </c>
      <c r="Q81" s="24">
        <f>IF(AND(LEFT($G81,1)="T",$H81="no"),"sí","no")</f>
        <v/>
      </c>
    </row>
    <row r="82">
      <c r="A82" s="5" t="inlineStr">
        <is>
          <t>2026-S30</t>
        </is>
      </c>
      <c r="B82" s="5" t="inlineStr">
        <is>
          <t>martes</t>
        </is>
      </c>
      <c r="C82" s="5" t="inlineStr">
        <is>
          <t>Eduardo Silva</t>
        </is>
      </c>
      <c r="D82" s="24">
        <f>IFERROR(INDEX('TECNICOS'!$D$4:$D$19,MATCH($C82,'TECNICOS'!$B$4:$B$19,0)),"")</f>
        <v/>
      </c>
      <c r="E82" s="24">
        <f>IFERROR(INDEX('TECNICOS'!$C$4:$C$19,MATCH($C82,'TECNICOS'!$B$4:$B$19,0)),"")</f>
        <v/>
      </c>
      <c r="F82" s="24">
        <f>COUNTIFS('TECNICOS'!$F$4:$F$19,"sí",'TECNICOS'!$C$4:$C$19,$E82,'TECNICOS'!$D$4:$D$19,$D82,'TECNICOS'!$H$4:$H$19,"sí")</f>
        <v/>
      </c>
      <c r="G82" s="24">
        <f>IF(OR($C82="",$A82="",$B82="domingo",IFERROR(INDEX('TECNICOS'!$H$4:$H$19,MATCH($C82,'TECNICOS'!$B$4:$B$19,0)),"no")&lt;&gt;"sí"),"",IF(IFERROR(INDEX('TECNICOS'!$F$4:$F$19,MATCH($C82,'TECNICOS'!$B$4:$B$19,0)),"no")&lt;&gt;"sí","B",IF(MOD((IFERROR(INDEX('TECNICOS'!$G$4:$G$19,MATCH($C82,'TECNICOS'!$B$4:$B$19,0)),0)-1)+((DATE(VALUE(LEFT($A82,4)),1,4)-WEEKDAY(DATE(VALUE(LEFT($A82,4)),1,4),2)+1+(VALUE(MID($A82,7,2))-1)*7)-p_semana_referencia)/7,$F82)&lt;($F82-3),"B"&amp;(($F82-3)-MOD((IFERROR(INDEX('TECNICOS'!$G$4:$G$19,MATCH($C82,'TECNICOS'!$B$4:$B$19,0)),0)-1)+((DATE(VALUE(LEFT($A82,4)),1,4)-WEEKDAY(DATE(VALUE(LEFT($A82,4)),1,4),2)+1+(VALUE(MID($A82,7,2))-1)*7)-p_semana_referencia)/7,$F82)),"T"&amp;($F82-MOD((IFERROR(INDEX('TECNICOS'!$G$4:$G$19,MATCH($C82,'TECNICOS'!$B$4:$B$19,0)),0)-1)+((DATE(VALUE(LEFT($A82,4)),1,4)-WEEKDAY(DATE(VALUE(LEFT($A82,4)),1,4),2)+1+(VALUE(MID($A82,7,2))-1)*7)-p_semana_referencia)/7,$F82)))))</f>
        <v/>
      </c>
      <c r="H82" s="24">
        <f>IF(COUNTIFS('PLAN_VACACIONES'!$A$4:$A$103,$C82,'PLAN_VACACIONES'!$B$4:$B$103,"&lt;="&amp;$L82,'PLAN_VACACIONES'!$C$4:$C$103,"&gt;="&amp;$L82)&gt;0,"sí","no")</f>
        <v/>
      </c>
      <c r="I82" s="4" t="n"/>
      <c r="J82" s="24">
        <f>IF($I82&lt;&gt;"",$I82,IF($G82="","",IF($H82="sí","VAC",IF(LEFT($G82,1)="B","B",$G82))))</f>
        <v/>
      </c>
      <c r="K82" s="24">
        <f>IFERROR(INDEX('TECNICOS'!$E$4:$E$19,MATCH($C82,'TECNICOS'!$B$4:$B$19,0)),"")</f>
        <v/>
      </c>
      <c r="L82" s="30">
        <f>IF($A82="","",DATE(VALUE(LEFT($A82,4)),1,4)-WEEKDAY(DATE(VALUE(LEFT($A82,4)),1,4),2)+1+(VALUE(MID($A82,7,2))-1)*7+MATCH($B82,lista_dias,0)-1)</f>
        <v/>
      </c>
      <c r="M82" s="24">
        <f>IF(OR($J82="",ISNUMBER(MATCH($J82,lista_no_disponible,0)),(IFERROR(INDEX('CALENDARIO'!$C$15:$C$214,MATCH(TEXT($L82,"yyyy-mm-dd")&amp;"|"&amp;$D82&amp;"|"&amp;"",'CALENDARIO'!$G$15:$G$214,0)),IFERROR(INDEX('CALENDARIO'!$C$15:$C$214,MATCH(TEXT($L82,"yyyy-mm-dd")&amp;"|"&amp;$D82&amp;"|",'CALENDARIO'!$G$15:$G$214,0)),IFERROR(INDEX('CALENDARIO'!$C$15:$C$214,MATCH(TEXT($L82,"yyyy-mm-dd")&amp;"||",'CALENDARIO'!$G$15:$G$214,0)),INDEX(patronHabil,WEEKDAY($L82,2))))))&lt;&gt;"sí"),0,p_horas_jornada)</f>
        <v/>
      </c>
      <c r="N82" s="24">
        <f>$A82&amp;"|"&amp;$B82&amp;"|"&amp;$C82</f>
        <v/>
      </c>
      <c r="O82" s="24">
        <f>IFERROR(INDEX('CAT_TURNOS'!$C$4:$C$22,MATCH($J82,'CAT_TURNOS'!$A$4:$A$22,0)),"")</f>
        <v/>
      </c>
      <c r="P82" s="24">
        <f>IFERROR(INDEX('CAT_TURNOS'!$D$4:$D$22,MATCH($J82,'CAT_TURNOS'!$A$4:$A$22,0)),"")</f>
        <v/>
      </c>
      <c r="Q82" s="24">
        <f>IF(AND(LEFT($G82,1)="T",$H82="no"),"sí","no")</f>
        <v/>
      </c>
    </row>
    <row r="83">
      <c r="A83" s="5" t="inlineStr">
        <is>
          <t>2026-S30</t>
        </is>
      </c>
      <c r="B83" s="5" t="inlineStr">
        <is>
          <t>miércoles</t>
        </is>
      </c>
      <c r="C83" s="5" t="inlineStr">
        <is>
          <t>Eduardo Silva</t>
        </is>
      </c>
      <c r="D83" s="24">
        <f>IFERROR(INDEX('TECNICOS'!$D$4:$D$19,MATCH($C83,'TECNICOS'!$B$4:$B$19,0)),"")</f>
        <v/>
      </c>
      <c r="E83" s="24">
        <f>IFERROR(INDEX('TECNICOS'!$C$4:$C$19,MATCH($C83,'TECNICOS'!$B$4:$B$19,0)),"")</f>
        <v/>
      </c>
      <c r="F83" s="24">
        <f>COUNTIFS('TECNICOS'!$F$4:$F$19,"sí",'TECNICOS'!$C$4:$C$19,$E83,'TECNICOS'!$D$4:$D$19,$D83,'TECNICOS'!$H$4:$H$19,"sí")</f>
        <v/>
      </c>
      <c r="G83" s="24">
        <f>IF(OR($C83="",$A83="",$B83="domingo",IFERROR(INDEX('TECNICOS'!$H$4:$H$19,MATCH($C83,'TECNICOS'!$B$4:$B$19,0)),"no")&lt;&gt;"sí"),"",IF(IFERROR(INDEX('TECNICOS'!$F$4:$F$19,MATCH($C83,'TECNICOS'!$B$4:$B$19,0)),"no")&lt;&gt;"sí","B",IF(MOD((IFERROR(INDEX('TECNICOS'!$G$4:$G$19,MATCH($C83,'TECNICOS'!$B$4:$B$19,0)),0)-1)+((DATE(VALUE(LEFT($A83,4)),1,4)-WEEKDAY(DATE(VALUE(LEFT($A83,4)),1,4),2)+1+(VALUE(MID($A83,7,2))-1)*7)-p_semana_referencia)/7,$F83)&lt;($F83-3),"B"&amp;(($F83-3)-MOD((IFERROR(INDEX('TECNICOS'!$G$4:$G$19,MATCH($C83,'TECNICOS'!$B$4:$B$19,0)),0)-1)+((DATE(VALUE(LEFT($A83,4)),1,4)-WEEKDAY(DATE(VALUE(LEFT($A83,4)),1,4),2)+1+(VALUE(MID($A83,7,2))-1)*7)-p_semana_referencia)/7,$F83)),"T"&amp;($F83-MOD((IFERROR(INDEX('TECNICOS'!$G$4:$G$19,MATCH($C83,'TECNICOS'!$B$4:$B$19,0)),0)-1)+((DATE(VALUE(LEFT($A83,4)),1,4)-WEEKDAY(DATE(VALUE(LEFT($A83,4)),1,4),2)+1+(VALUE(MID($A83,7,2))-1)*7)-p_semana_referencia)/7,$F83)))))</f>
        <v/>
      </c>
      <c r="H83" s="24">
        <f>IF(COUNTIFS('PLAN_VACACIONES'!$A$4:$A$103,$C83,'PLAN_VACACIONES'!$B$4:$B$103,"&lt;="&amp;$L83,'PLAN_VACACIONES'!$C$4:$C$103,"&gt;="&amp;$L83)&gt;0,"sí","no")</f>
        <v/>
      </c>
      <c r="I83" s="4" t="n"/>
      <c r="J83" s="24">
        <f>IF($I83&lt;&gt;"",$I83,IF($G83="","",IF($H83="sí","VAC",IF(LEFT($G83,1)="B","B",$G83))))</f>
        <v/>
      </c>
      <c r="K83" s="24">
        <f>IFERROR(INDEX('TECNICOS'!$E$4:$E$19,MATCH($C83,'TECNICOS'!$B$4:$B$19,0)),"")</f>
        <v/>
      </c>
      <c r="L83" s="30">
        <f>IF($A83="","",DATE(VALUE(LEFT($A83,4)),1,4)-WEEKDAY(DATE(VALUE(LEFT($A83,4)),1,4),2)+1+(VALUE(MID($A83,7,2))-1)*7+MATCH($B83,lista_dias,0)-1)</f>
        <v/>
      </c>
      <c r="M83" s="24">
        <f>IF(OR($J83="",ISNUMBER(MATCH($J83,lista_no_disponible,0)),(IFERROR(INDEX('CALENDARIO'!$C$15:$C$214,MATCH(TEXT($L83,"yyyy-mm-dd")&amp;"|"&amp;$D83&amp;"|"&amp;"",'CALENDARIO'!$G$15:$G$214,0)),IFERROR(INDEX('CALENDARIO'!$C$15:$C$214,MATCH(TEXT($L83,"yyyy-mm-dd")&amp;"|"&amp;$D83&amp;"|",'CALENDARIO'!$G$15:$G$214,0)),IFERROR(INDEX('CALENDARIO'!$C$15:$C$214,MATCH(TEXT($L83,"yyyy-mm-dd")&amp;"||",'CALENDARIO'!$G$15:$G$214,0)),INDEX(patronHabil,WEEKDAY($L83,2))))))&lt;&gt;"sí"),0,p_horas_jornada)</f>
        <v/>
      </c>
      <c r="N83" s="24">
        <f>$A83&amp;"|"&amp;$B83&amp;"|"&amp;$C83</f>
        <v/>
      </c>
      <c r="O83" s="24">
        <f>IFERROR(INDEX('CAT_TURNOS'!$C$4:$C$22,MATCH($J83,'CAT_TURNOS'!$A$4:$A$22,0)),"")</f>
        <v/>
      </c>
      <c r="P83" s="24">
        <f>IFERROR(INDEX('CAT_TURNOS'!$D$4:$D$22,MATCH($J83,'CAT_TURNOS'!$A$4:$A$22,0)),"")</f>
        <v/>
      </c>
      <c r="Q83" s="24">
        <f>IF(AND(LEFT($G83,1)="T",$H83="no"),"sí","no")</f>
        <v/>
      </c>
    </row>
    <row r="84">
      <c r="A84" s="5" t="inlineStr">
        <is>
          <t>2026-S30</t>
        </is>
      </c>
      <c r="B84" s="5" t="inlineStr">
        <is>
          <t>jueves</t>
        </is>
      </c>
      <c r="C84" s="5" t="inlineStr">
        <is>
          <t>Eduardo Silva</t>
        </is>
      </c>
      <c r="D84" s="24">
        <f>IFERROR(INDEX('TECNICOS'!$D$4:$D$19,MATCH($C84,'TECNICOS'!$B$4:$B$19,0)),"")</f>
        <v/>
      </c>
      <c r="E84" s="24">
        <f>IFERROR(INDEX('TECNICOS'!$C$4:$C$19,MATCH($C84,'TECNICOS'!$B$4:$B$19,0)),"")</f>
        <v/>
      </c>
      <c r="F84" s="24">
        <f>COUNTIFS('TECNICOS'!$F$4:$F$19,"sí",'TECNICOS'!$C$4:$C$19,$E84,'TECNICOS'!$D$4:$D$19,$D84,'TECNICOS'!$H$4:$H$19,"sí")</f>
        <v/>
      </c>
      <c r="G84" s="24">
        <f>IF(OR($C84="",$A84="",$B84="domingo",IFERROR(INDEX('TECNICOS'!$H$4:$H$19,MATCH($C84,'TECNICOS'!$B$4:$B$19,0)),"no")&lt;&gt;"sí"),"",IF(IFERROR(INDEX('TECNICOS'!$F$4:$F$19,MATCH($C84,'TECNICOS'!$B$4:$B$19,0)),"no")&lt;&gt;"sí","B",IF(MOD((IFERROR(INDEX('TECNICOS'!$G$4:$G$19,MATCH($C84,'TECNICOS'!$B$4:$B$19,0)),0)-1)+((DATE(VALUE(LEFT($A84,4)),1,4)-WEEKDAY(DATE(VALUE(LEFT($A84,4)),1,4),2)+1+(VALUE(MID($A84,7,2))-1)*7)-p_semana_referencia)/7,$F84)&lt;($F84-3),"B"&amp;(($F84-3)-MOD((IFERROR(INDEX('TECNICOS'!$G$4:$G$19,MATCH($C84,'TECNICOS'!$B$4:$B$19,0)),0)-1)+((DATE(VALUE(LEFT($A84,4)),1,4)-WEEKDAY(DATE(VALUE(LEFT($A84,4)),1,4),2)+1+(VALUE(MID($A84,7,2))-1)*7)-p_semana_referencia)/7,$F84)),"T"&amp;($F84-MOD((IFERROR(INDEX('TECNICOS'!$G$4:$G$19,MATCH($C84,'TECNICOS'!$B$4:$B$19,0)),0)-1)+((DATE(VALUE(LEFT($A84,4)),1,4)-WEEKDAY(DATE(VALUE(LEFT($A84,4)),1,4),2)+1+(VALUE(MID($A84,7,2))-1)*7)-p_semana_referencia)/7,$F84)))))</f>
        <v/>
      </c>
      <c r="H84" s="24">
        <f>IF(COUNTIFS('PLAN_VACACIONES'!$A$4:$A$103,$C84,'PLAN_VACACIONES'!$B$4:$B$103,"&lt;="&amp;$L84,'PLAN_VACACIONES'!$C$4:$C$103,"&gt;="&amp;$L84)&gt;0,"sí","no")</f>
        <v/>
      </c>
      <c r="I84" s="4" t="n"/>
      <c r="J84" s="24">
        <f>IF($I84&lt;&gt;"",$I84,IF($G84="","",IF($H84="sí","VAC",IF(LEFT($G84,1)="B","B",$G84))))</f>
        <v/>
      </c>
      <c r="K84" s="24">
        <f>IFERROR(INDEX('TECNICOS'!$E$4:$E$19,MATCH($C84,'TECNICOS'!$B$4:$B$19,0)),"")</f>
        <v/>
      </c>
      <c r="L84" s="30">
        <f>IF($A84="","",DATE(VALUE(LEFT($A84,4)),1,4)-WEEKDAY(DATE(VALUE(LEFT($A84,4)),1,4),2)+1+(VALUE(MID($A84,7,2))-1)*7+MATCH($B84,lista_dias,0)-1)</f>
        <v/>
      </c>
      <c r="M84" s="24">
        <f>IF(OR($J84="",ISNUMBER(MATCH($J84,lista_no_disponible,0)),(IFERROR(INDEX('CALENDARIO'!$C$15:$C$214,MATCH(TEXT($L84,"yyyy-mm-dd")&amp;"|"&amp;$D84&amp;"|"&amp;"",'CALENDARIO'!$G$15:$G$214,0)),IFERROR(INDEX('CALENDARIO'!$C$15:$C$214,MATCH(TEXT($L84,"yyyy-mm-dd")&amp;"|"&amp;$D84&amp;"|",'CALENDARIO'!$G$15:$G$214,0)),IFERROR(INDEX('CALENDARIO'!$C$15:$C$214,MATCH(TEXT($L84,"yyyy-mm-dd")&amp;"||",'CALENDARIO'!$G$15:$G$214,0)),INDEX(patronHabil,WEEKDAY($L84,2))))))&lt;&gt;"sí"),0,p_horas_jornada)</f>
        <v/>
      </c>
      <c r="N84" s="24">
        <f>$A84&amp;"|"&amp;$B84&amp;"|"&amp;$C84</f>
        <v/>
      </c>
      <c r="O84" s="24">
        <f>IFERROR(INDEX('CAT_TURNOS'!$C$4:$C$22,MATCH($J84,'CAT_TURNOS'!$A$4:$A$22,0)),"")</f>
        <v/>
      </c>
      <c r="P84" s="24">
        <f>IFERROR(INDEX('CAT_TURNOS'!$D$4:$D$22,MATCH($J84,'CAT_TURNOS'!$A$4:$A$22,0)),"")</f>
        <v/>
      </c>
      <c r="Q84" s="24">
        <f>IF(AND(LEFT($G84,1)="T",$H84="no"),"sí","no")</f>
        <v/>
      </c>
    </row>
    <row r="85">
      <c r="A85" s="5" t="inlineStr">
        <is>
          <t>2026-S30</t>
        </is>
      </c>
      <c r="B85" s="5" t="inlineStr">
        <is>
          <t>viernes</t>
        </is>
      </c>
      <c r="C85" s="5" t="inlineStr">
        <is>
          <t>Eduardo Silva</t>
        </is>
      </c>
      <c r="D85" s="24">
        <f>IFERROR(INDEX('TECNICOS'!$D$4:$D$19,MATCH($C85,'TECNICOS'!$B$4:$B$19,0)),"")</f>
        <v/>
      </c>
      <c r="E85" s="24">
        <f>IFERROR(INDEX('TECNICOS'!$C$4:$C$19,MATCH($C85,'TECNICOS'!$B$4:$B$19,0)),"")</f>
        <v/>
      </c>
      <c r="F85" s="24">
        <f>COUNTIFS('TECNICOS'!$F$4:$F$19,"sí",'TECNICOS'!$C$4:$C$19,$E85,'TECNICOS'!$D$4:$D$19,$D85,'TECNICOS'!$H$4:$H$19,"sí")</f>
        <v/>
      </c>
      <c r="G85" s="24">
        <f>IF(OR($C85="",$A85="",$B85="domingo",IFERROR(INDEX('TECNICOS'!$H$4:$H$19,MATCH($C85,'TECNICOS'!$B$4:$B$19,0)),"no")&lt;&gt;"sí"),"",IF(IFERROR(INDEX('TECNICOS'!$F$4:$F$19,MATCH($C85,'TECNICOS'!$B$4:$B$19,0)),"no")&lt;&gt;"sí","B",IF(MOD((IFERROR(INDEX('TECNICOS'!$G$4:$G$19,MATCH($C85,'TECNICOS'!$B$4:$B$19,0)),0)-1)+((DATE(VALUE(LEFT($A85,4)),1,4)-WEEKDAY(DATE(VALUE(LEFT($A85,4)),1,4),2)+1+(VALUE(MID($A85,7,2))-1)*7)-p_semana_referencia)/7,$F85)&lt;($F85-3),"B"&amp;(($F85-3)-MOD((IFERROR(INDEX('TECNICOS'!$G$4:$G$19,MATCH($C85,'TECNICOS'!$B$4:$B$19,0)),0)-1)+((DATE(VALUE(LEFT($A85,4)),1,4)-WEEKDAY(DATE(VALUE(LEFT($A85,4)),1,4),2)+1+(VALUE(MID($A85,7,2))-1)*7)-p_semana_referencia)/7,$F85)),"T"&amp;($F85-MOD((IFERROR(INDEX('TECNICOS'!$G$4:$G$19,MATCH($C85,'TECNICOS'!$B$4:$B$19,0)),0)-1)+((DATE(VALUE(LEFT($A85,4)),1,4)-WEEKDAY(DATE(VALUE(LEFT($A85,4)),1,4),2)+1+(VALUE(MID($A85,7,2))-1)*7)-p_semana_referencia)/7,$F85)))))</f>
        <v/>
      </c>
      <c r="H85" s="24">
        <f>IF(COUNTIFS('PLAN_VACACIONES'!$A$4:$A$103,$C85,'PLAN_VACACIONES'!$B$4:$B$103,"&lt;="&amp;$L85,'PLAN_VACACIONES'!$C$4:$C$103,"&gt;="&amp;$L85)&gt;0,"sí","no")</f>
        <v/>
      </c>
      <c r="I85" s="4" t="n"/>
      <c r="J85" s="24">
        <f>IF($I85&lt;&gt;"",$I85,IF($G85="","",IF($H85="sí","VAC",IF(LEFT($G85,1)="B","B",$G85))))</f>
        <v/>
      </c>
      <c r="K85" s="24">
        <f>IFERROR(INDEX('TECNICOS'!$E$4:$E$19,MATCH($C85,'TECNICOS'!$B$4:$B$19,0)),"")</f>
        <v/>
      </c>
      <c r="L85" s="30">
        <f>IF($A85="","",DATE(VALUE(LEFT($A85,4)),1,4)-WEEKDAY(DATE(VALUE(LEFT($A85,4)),1,4),2)+1+(VALUE(MID($A85,7,2))-1)*7+MATCH($B85,lista_dias,0)-1)</f>
        <v/>
      </c>
      <c r="M85" s="24">
        <f>IF(OR($J85="",ISNUMBER(MATCH($J85,lista_no_disponible,0)),(IFERROR(INDEX('CALENDARIO'!$C$15:$C$214,MATCH(TEXT($L85,"yyyy-mm-dd")&amp;"|"&amp;$D85&amp;"|"&amp;"",'CALENDARIO'!$G$15:$G$214,0)),IFERROR(INDEX('CALENDARIO'!$C$15:$C$214,MATCH(TEXT($L85,"yyyy-mm-dd")&amp;"|"&amp;$D85&amp;"|",'CALENDARIO'!$G$15:$G$214,0)),IFERROR(INDEX('CALENDARIO'!$C$15:$C$214,MATCH(TEXT($L85,"yyyy-mm-dd")&amp;"||",'CALENDARIO'!$G$15:$G$214,0)),INDEX(patronHabil,WEEKDAY($L85,2))))))&lt;&gt;"sí"),0,p_horas_jornada)</f>
        <v/>
      </c>
      <c r="N85" s="24">
        <f>$A85&amp;"|"&amp;$B85&amp;"|"&amp;$C85</f>
        <v/>
      </c>
      <c r="O85" s="24">
        <f>IFERROR(INDEX('CAT_TURNOS'!$C$4:$C$22,MATCH($J85,'CAT_TURNOS'!$A$4:$A$22,0)),"")</f>
        <v/>
      </c>
      <c r="P85" s="24">
        <f>IFERROR(INDEX('CAT_TURNOS'!$D$4:$D$22,MATCH($J85,'CAT_TURNOS'!$A$4:$A$22,0)),"")</f>
        <v/>
      </c>
      <c r="Q85" s="24">
        <f>IF(AND(LEFT($G85,1)="T",$H85="no"),"sí","no")</f>
        <v/>
      </c>
    </row>
    <row r="86">
      <c r="A86" s="5" t="inlineStr">
        <is>
          <t>2026-S30</t>
        </is>
      </c>
      <c r="B86" s="5" t="inlineStr">
        <is>
          <t>sábado</t>
        </is>
      </c>
      <c r="C86" s="5" t="inlineStr">
        <is>
          <t>Eduardo Silva</t>
        </is>
      </c>
      <c r="D86" s="24">
        <f>IFERROR(INDEX('TECNICOS'!$D$4:$D$19,MATCH($C86,'TECNICOS'!$B$4:$B$19,0)),"")</f>
        <v/>
      </c>
      <c r="E86" s="24">
        <f>IFERROR(INDEX('TECNICOS'!$C$4:$C$19,MATCH($C86,'TECNICOS'!$B$4:$B$19,0)),"")</f>
        <v/>
      </c>
      <c r="F86" s="24">
        <f>COUNTIFS('TECNICOS'!$F$4:$F$19,"sí",'TECNICOS'!$C$4:$C$19,$E86,'TECNICOS'!$D$4:$D$19,$D86,'TECNICOS'!$H$4:$H$19,"sí")</f>
        <v/>
      </c>
      <c r="G86" s="24">
        <f>IF(OR($C86="",$A86="",$B86="domingo",IFERROR(INDEX('TECNICOS'!$H$4:$H$19,MATCH($C86,'TECNICOS'!$B$4:$B$19,0)),"no")&lt;&gt;"sí"),"",IF(IFERROR(INDEX('TECNICOS'!$F$4:$F$19,MATCH($C86,'TECNICOS'!$B$4:$B$19,0)),"no")&lt;&gt;"sí","B",IF(MOD((IFERROR(INDEX('TECNICOS'!$G$4:$G$19,MATCH($C86,'TECNICOS'!$B$4:$B$19,0)),0)-1)+((DATE(VALUE(LEFT($A86,4)),1,4)-WEEKDAY(DATE(VALUE(LEFT($A86,4)),1,4),2)+1+(VALUE(MID($A86,7,2))-1)*7)-p_semana_referencia)/7,$F86)&lt;($F86-3),"B"&amp;(($F86-3)-MOD((IFERROR(INDEX('TECNICOS'!$G$4:$G$19,MATCH($C86,'TECNICOS'!$B$4:$B$19,0)),0)-1)+((DATE(VALUE(LEFT($A86,4)),1,4)-WEEKDAY(DATE(VALUE(LEFT($A86,4)),1,4),2)+1+(VALUE(MID($A86,7,2))-1)*7)-p_semana_referencia)/7,$F86)),"T"&amp;($F86-MOD((IFERROR(INDEX('TECNICOS'!$G$4:$G$19,MATCH($C86,'TECNICOS'!$B$4:$B$19,0)),0)-1)+((DATE(VALUE(LEFT($A86,4)),1,4)-WEEKDAY(DATE(VALUE(LEFT($A86,4)),1,4),2)+1+(VALUE(MID($A86,7,2))-1)*7)-p_semana_referencia)/7,$F86)))))</f>
        <v/>
      </c>
      <c r="H86" s="24">
        <f>IF(COUNTIFS('PLAN_VACACIONES'!$A$4:$A$103,$C86,'PLAN_VACACIONES'!$B$4:$B$103,"&lt;="&amp;$L86,'PLAN_VACACIONES'!$C$4:$C$103,"&gt;="&amp;$L86)&gt;0,"sí","no")</f>
        <v/>
      </c>
      <c r="I86" s="4" t="n"/>
      <c r="J86" s="24">
        <f>IF($I86&lt;&gt;"",$I86,IF($G86="","",IF($H86="sí","VAC",IF(LEFT($G86,1)="B","B",$G86))))</f>
        <v/>
      </c>
      <c r="K86" s="24">
        <f>IFERROR(INDEX('TECNICOS'!$E$4:$E$19,MATCH($C86,'TECNICOS'!$B$4:$B$19,0)),"")</f>
        <v/>
      </c>
      <c r="L86" s="30">
        <f>IF($A86="","",DATE(VALUE(LEFT($A86,4)),1,4)-WEEKDAY(DATE(VALUE(LEFT($A86,4)),1,4),2)+1+(VALUE(MID($A86,7,2))-1)*7+MATCH($B86,lista_dias,0)-1)</f>
        <v/>
      </c>
      <c r="M86" s="24">
        <f>IF(OR($J86="",ISNUMBER(MATCH($J86,lista_no_disponible,0)),(IFERROR(INDEX('CALENDARIO'!$C$15:$C$214,MATCH(TEXT($L86,"yyyy-mm-dd")&amp;"|"&amp;$D86&amp;"|"&amp;"",'CALENDARIO'!$G$15:$G$214,0)),IFERROR(INDEX('CALENDARIO'!$C$15:$C$214,MATCH(TEXT($L86,"yyyy-mm-dd")&amp;"|"&amp;$D86&amp;"|",'CALENDARIO'!$G$15:$G$214,0)),IFERROR(INDEX('CALENDARIO'!$C$15:$C$214,MATCH(TEXT($L86,"yyyy-mm-dd")&amp;"||",'CALENDARIO'!$G$15:$G$214,0)),INDEX(patronHabil,WEEKDAY($L86,2))))))&lt;&gt;"sí"),0,p_horas_jornada)</f>
        <v/>
      </c>
      <c r="N86" s="24">
        <f>$A86&amp;"|"&amp;$B86&amp;"|"&amp;$C86</f>
        <v/>
      </c>
      <c r="O86" s="24">
        <f>IFERROR(INDEX('CAT_TURNOS'!$C$4:$C$22,MATCH($J86,'CAT_TURNOS'!$A$4:$A$22,0)),"")</f>
        <v/>
      </c>
      <c r="P86" s="24">
        <f>IFERROR(INDEX('CAT_TURNOS'!$D$4:$D$22,MATCH($J86,'CAT_TURNOS'!$A$4:$A$22,0)),"")</f>
        <v/>
      </c>
      <c r="Q86" s="24">
        <f>IF(AND(LEFT($G86,1)="T",$H86="no"),"sí","no")</f>
        <v/>
      </c>
    </row>
    <row r="87">
      <c r="A87" s="5" t="inlineStr">
        <is>
          <t>2026-S30</t>
        </is>
      </c>
      <c r="B87" s="5" t="inlineStr">
        <is>
          <t>domingo</t>
        </is>
      </c>
      <c r="C87" s="5" t="inlineStr">
        <is>
          <t>Eduardo Silva</t>
        </is>
      </c>
      <c r="D87" s="24">
        <f>IFERROR(INDEX('TECNICOS'!$D$4:$D$19,MATCH($C87,'TECNICOS'!$B$4:$B$19,0)),"")</f>
        <v/>
      </c>
      <c r="E87" s="24">
        <f>IFERROR(INDEX('TECNICOS'!$C$4:$C$19,MATCH($C87,'TECNICOS'!$B$4:$B$19,0)),"")</f>
        <v/>
      </c>
      <c r="F87" s="24">
        <f>COUNTIFS('TECNICOS'!$F$4:$F$19,"sí",'TECNICOS'!$C$4:$C$19,$E87,'TECNICOS'!$D$4:$D$19,$D87,'TECNICOS'!$H$4:$H$19,"sí")</f>
        <v/>
      </c>
      <c r="G87" s="24">
        <f>IF(OR($C87="",$A87="",$B87="domingo",IFERROR(INDEX('TECNICOS'!$H$4:$H$19,MATCH($C87,'TECNICOS'!$B$4:$B$19,0)),"no")&lt;&gt;"sí"),"",IF(IFERROR(INDEX('TECNICOS'!$F$4:$F$19,MATCH($C87,'TECNICOS'!$B$4:$B$19,0)),"no")&lt;&gt;"sí","B",IF(MOD((IFERROR(INDEX('TECNICOS'!$G$4:$G$19,MATCH($C87,'TECNICOS'!$B$4:$B$19,0)),0)-1)+((DATE(VALUE(LEFT($A87,4)),1,4)-WEEKDAY(DATE(VALUE(LEFT($A87,4)),1,4),2)+1+(VALUE(MID($A87,7,2))-1)*7)-p_semana_referencia)/7,$F87)&lt;($F87-3),"B"&amp;(($F87-3)-MOD((IFERROR(INDEX('TECNICOS'!$G$4:$G$19,MATCH($C87,'TECNICOS'!$B$4:$B$19,0)),0)-1)+((DATE(VALUE(LEFT($A87,4)),1,4)-WEEKDAY(DATE(VALUE(LEFT($A87,4)),1,4),2)+1+(VALUE(MID($A87,7,2))-1)*7)-p_semana_referencia)/7,$F87)),"T"&amp;($F87-MOD((IFERROR(INDEX('TECNICOS'!$G$4:$G$19,MATCH($C87,'TECNICOS'!$B$4:$B$19,0)),0)-1)+((DATE(VALUE(LEFT($A87,4)),1,4)-WEEKDAY(DATE(VALUE(LEFT($A87,4)),1,4),2)+1+(VALUE(MID($A87,7,2))-1)*7)-p_semana_referencia)/7,$F87)))))</f>
        <v/>
      </c>
      <c r="H87" s="24">
        <f>IF(COUNTIFS('PLAN_VACACIONES'!$A$4:$A$103,$C87,'PLAN_VACACIONES'!$B$4:$B$103,"&lt;="&amp;$L87,'PLAN_VACACIONES'!$C$4:$C$103,"&gt;="&amp;$L87)&gt;0,"sí","no")</f>
        <v/>
      </c>
      <c r="I87" s="4" t="n"/>
      <c r="J87" s="24">
        <f>IF($I87&lt;&gt;"",$I87,IF($G87="","",IF($H87="sí","VAC",IF(LEFT($G87,1)="B","B",$G87))))</f>
        <v/>
      </c>
      <c r="K87" s="24">
        <f>IFERROR(INDEX('TECNICOS'!$E$4:$E$19,MATCH($C87,'TECNICOS'!$B$4:$B$19,0)),"")</f>
        <v/>
      </c>
      <c r="L87" s="30">
        <f>IF($A87="","",DATE(VALUE(LEFT($A87,4)),1,4)-WEEKDAY(DATE(VALUE(LEFT($A87,4)),1,4),2)+1+(VALUE(MID($A87,7,2))-1)*7+MATCH($B87,lista_dias,0)-1)</f>
        <v/>
      </c>
      <c r="M87" s="24">
        <f>IF(OR($J87="",ISNUMBER(MATCH($J87,lista_no_disponible,0)),(IFERROR(INDEX('CALENDARIO'!$C$15:$C$214,MATCH(TEXT($L87,"yyyy-mm-dd")&amp;"|"&amp;$D87&amp;"|"&amp;"",'CALENDARIO'!$G$15:$G$214,0)),IFERROR(INDEX('CALENDARIO'!$C$15:$C$214,MATCH(TEXT($L87,"yyyy-mm-dd")&amp;"|"&amp;$D87&amp;"|",'CALENDARIO'!$G$15:$G$214,0)),IFERROR(INDEX('CALENDARIO'!$C$15:$C$214,MATCH(TEXT($L87,"yyyy-mm-dd")&amp;"||",'CALENDARIO'!$G$15:$G$214,0)),INDEX(patronHabil,WEEKDAY($L87,2))))))&lt;&gt;"sí"),0,p_horas_jornada)</f>
        <v/>
      </c>
      <c r="N87" s="24">
        <f>$A87&amp;"|"&amp;$B87&amp;"|"&amp;$C87</f>
        <v/>
      </c>
      <c r="O87" s="24">
        <f>IFERROR(INDEX('CAT_TURNOS'!$C$4:$C$22,MATCH($J87,'CAT_TURNOS'!$A$4:$A$22,0)),"")</f>
        <v/>
      </c>
      <c r="P87" s="24">
        <f>IFERROR(INDEX('CAT_TURNOS'!$D$4:$D$22,MATCH($J87,'CAT_TURNOS'!$A$4:$A$22,0)),"")</f>
        <v/>
      </c>
      <c r="Q87" s="24">
        <f>IF(AND(LEFT($G87,1)="T",$H87="no"),"sí","no")</f>
        <v/>
      </c>
    </row>
    <row r="88">
      <c r="A88" s="5" t="inlineStr">
        <is>
          <t>2026-S30</t>
        </is>
      </c>
      <c r="B88" s="5" t="inlineStr">
        <is>
          <t>lunes</t>
        </is>
      </c>
      <c r="C88" s="5" t="inlineStr">
        <is>
          <t>Gabriela Rojas</t>
        </is>
      </c>
      <c r="D88" s="24">
        <f>IFERROR(INDEX('TECNICOS'!$D$4:$D$19,MATCH($C88,'TECNICOS'!$B$4:$B$19,0)),"")</f>
        <v/>
      </c>
      <c r="E88" s="24">
        <f>IFERROR(INDEX('TECNICOS'!$C$4:$C$19,MATCH($C88,'TECNICOS'!$B$4:$B$19,0)),"")</f>
        <v/>
      </c>
      <c r="F88" s="24">
        <f>COUNTIFS('TECNICOS'!$F$4:$F$19,"sí",'TECNICOS'!$C$4:$C$19,$E88,'TECNICOS'!$D$4:$D$19,$D88,'TECNICOS'!$H$4:$H$19,"sí")</f>
        <v/>
      </c>
      <c r="G88" s="24">
        <f>IF(OR($C88="",$A88="",$B88="domingo",IFERROR(INDEX('TECNICOS'!$H$4:$H$19,MATCH($C88,'TECNICOS'!$B$4:$B$19,0)),"no")&lt;&gt;"sí"),"",IF(IFERROR(INDEX('TECNICOS'!$F$4:$F$19,MATCH($C88,'TECNICOS'!$B$4:$B$19,0)),"no")&lt;&gt;"sí","B",IF(MOD((IFERROR(INDEX('TECNICOS'!$G$4:$G$19,MATCH($C88,'TECNICOS'!$B$4:$B$19,0)),0)-1)+((DATE(VALUE(LEFT($A88,4)),1,4)-WEEKDAY(DATE(VALUE(LEFT($A88,4)),1,4),2)+1+(VALUE(MID($A88,7,2))-1)*7)-p_semana_referencia)/7,$F88)&lt;($F88-3),"B"&amp;(($F88-3)-MOD((IFERROR(INDEX('TECNICOS'!$G$4:$G$19,MATCH($C88,'TECNICOS'!$B$4:$B$19,0)),0)-1)+((DATE(VALUE(LEFT($A88,4)),1,4)-WEEKDAY(DATE(VALUE(LEFT($A88,4)),1,4),2)+1+(VALUE(MID($A88,7,2))-1)*7)-p_semana_referencia)/7,$F88)),"T"&amp;($F88-MOD((IFERROR(INDEX('TECNICOS'!$G$4:$G$19,MATCH($C88,'TECNICOS'!$B$4:$B$19,0)),0)-1)+((DATE(VALUE(LEFT($A88,4)),1,4)-WEEKDAY(DATE(VALUE(LEFT($A88,4)),1,4),2)+1+(VALUE(MID($A88,7,2))-1)*7)-p_semana_referencia)/7,$F88)))))</f>
        <v/>
      </c>
      <c r="H88" s="24">
        <f>IF(COUNTIFS('PLAN_VACACIONES'!$A$4:$A$103,$C88,'PLAN_VACACIONES'!$B$4:$B$103,"&lt;="&amp;$L88,'PLAN_VACACIONES'!$C$4:$C$103,"&gt;="&amp;$L88)&gt;0,"sí","no")</f>
        <v/>
      </c>
      <c r="I88" s="4" t="n"/>
      <c r="J88" s="24">
        <f>IF($I88&lt;&gt;"",$I88,IF($G88="","",IF($H88="sí","VAC",IF(LEFT($G88,1)="B","B",$G88))))</f>
        <v/>
      </c>
      <c r="K88" s="24">
        <f>IFERROR(INDEX('TECNICOS'!$E$4:$E$19,MATCH($C88,'TECNICOS'!$B$4:$B$19,0)),"")</f>
        <v/>
      </c>
      <c r="L88" s="30">
        <f>IF($A88="","",DATE(VALUE(LEFT($A88,4)),1,4)-WEEKDAY(DATE(VALUE(LEFT($A88,4)),1,4),2)+1+(VALUE(MID($A88,7,2))-1)*7+MATCH($B88,lista_dias,0)-1)</f>
        <v/>
      </c>
      <c r="M88" s="24">
        <f>IF(OR($J88="",ISNUMBER(MATCH($J88,lista_no_disponible,0)),(IFERROR(INDEX('CALENDARIO'!$C$15:$C$214,MATCH(TEXT($L88,"yyyy-mm-dd")&amp;"|"&amp;$D88&amp;"|"&amp;"",'CALENDARIO'!$G$15:$G$214,0)),IFERROR(INDEX('CALENDARIO'!$C$15:$C$214,MATCH(TEXT($L88,"yyyy-mm-dd")&amp;"|"&amp;$D88&amp;"|",'CALENDARIO'!$G$15:$G$214,0)),IFERROR(INDEX('CALENDARIO'!$C$15:$C$214,MATCH(TEXT($L88,"yyyy-mm-dd")&amp;"||",'CALENDARIO'!$G$15:$G$214,0)),INDEX(patronHabil,WEEKDAY($L88,2))))))&lt;&gt;"sí"),0,p_horas_jornada)</f>
        <v/>
      </c>
      <c r="N88" s="24">
        <f>$A88&amp;"|"&amp;$B88&amp;"|"&amp;$C88</f>
        <v/>
      </c>
      <c r="O88" s="24">
        <f>IFERROR(INDEX('CAT_TURNOS'!$C$4:$C$22,MATCH($J88,'CAT_TURNOS'!$A$4:$A$22,0)),"")</f>
        <v/>
      </c>
      <c r="P88" s="24">
        <f>IFERROR(INDEX('CAT_TURNOS'!$D$4:$D$22,MATCH($J88,'CAT_TURNOS'!$A$4:$A$22,0)),"")</f>
        <v/>
      </c>
      <c r="Q88" s="24">
        <f>IF(AND(LEFT($G88,1)="T",$H88="no"),"sí","no")</f>
        <v/>
      </c>
    </row>
    <row r="89">
      <c r="A89" s="5" t="inlineStr">
        <is>
          <t>2026-S30</t>
        </is>
      </c>
      <c r="B89" s="5" t="inlineStr">
        <is>
          <t>martes</t>
        </is>
      </c>
      <c r="C89" s="5" t="inlineStr">
        <is>
          <t>Gabriela Rojas</t>
        </is>
      </c>
      <c r="D89" s="24">
        <f>IFERROR(INDEX('TECNICOS'!$D$4:$D$19,MATCH($C89,'TECNICOS'!$B$4:$B$19,0)),"")</f>
        <v/>
      </c>
      <c r="E89" s="24">
        <f>IFERROR(INDEX('TECNICOS'!$C$4:$C$19,MATCH($C89,'TECNICOS'!$B$4:$B$19,0)),"")</f>
        <v/>
      </c>
      <c r="F89" s="24">
        <f>COUNTIFS('TECNICOS'!$F$4:$F$19,"sí",'TECNICOS'!$C$4:$C$19,$E89,'TECNICOS'!$D$4:$D$19,$D89,'TECNICOS'!$H$4:$H$19,"sí")</f>
        <v/>
      </c>
      <c r="G89" s="24">
        <f>IF(OR($C89="",$A89="",$B89="domingo",IFERROR(INDEX('TECNICOS'!$H$4:$H$19,MATCH($C89,'TECNICOS'!$B$4:$B$19,0)),"no")&lt;&gt;"sí"),"",IF(IFERROR(INDEX('TECNICOS'!$F$4:$F$19,MATCH($C89,'TECNICOS'!$B$4:$B$19,0)),"no")&lt;&gt;"sí","B",IF(MOD((IFERROR(INDEX('TECNICOS'!$G$4:$G$19,MATCH($C89,'TECNICOS'!$B$4:$B$19,0)),0)-1)+((DATE(VALUE(LEFT($A89,4)),1,4)-WEEKDAY(DATE(VALUE(LEFT($A89,4)),1,4),2)+1+(VALUE(MID($A89,7,2))-1)*7)-p_semana_referencia)/7,$F89)&lt;($F89-3),"B"&amp;(($F89-3)-MOD((IFERROR(INDEX('TECNICOS'!$G$4:$G$19,MATCH($C89,'TECNICOS'!$B$4:$B$19,0)),0)-1)+((DATE(VALUE(LEFT($A89,4)),1,4)-WEEKDAY(DATE(VALUE(LEFT($A89,4)),1,4),2)+1+(VALUE(MID($A89,7,2))-1)*7)-p_semana_referencia)/7,$F89)),"T"&amp;($F89-MOD((IFERROR(INDEX('TECNICOS'!$G$4:$G$19,MATCH($C89,'TECNICOS'!$B$4:$B$19,0)),0)-1)+((DATE(VALUE(LEFT($A89,4)),1,4)-WEEKDAY(DATE(VALUE(LEFT($A89,4)),1,4),2)+1+(VALUE(MID($A89,7,2))-1)*7)-p_semana_referencia)/7,$F89)))))</f>
        <v/>
      </c>
      <c r="H89" s="24">
        <f>IF(COUNTIFS('PLAN_VACACIONES'!$A$4:$A$103,$C89,'PLAN_VACACIONES'!$B$4:$B$103,"&lt;="&amp;$L89,'PLAN_VACACIONES'!$C$4:$C$103,"&gt;="&amp;$L89)&gt;0,"sí","no")</f>
        <v/>
      </c>
      <c r="I89" s="4" t="n"/>
      <c r="J89" s="24">
        <f>IF($I89&lt;&gt;"",$I89,IF($G89="","",IF($H89="sí","VAC",IF(LEFT($G89,1)="B","B",$G89))))</f>
        <v/>
      </c>
      <c r="K89" s="24">
        <f>IFERROR(INDEX('TECNICOS'!$E$4:$E$19,MATCH($C89,'TECNICOS'!$B$4:$B$19,0)),"")</f>
        <v/>
      </c>
      <c r="L89" s="30">
        <f>IF($A89="","",DATE(VALUE(LEFT($A89,4)),1,4)-WEEKDAY(DATE(VALUE(LEFT($A89,4)),1,4),2)+1+(VALUE(MID($A89,7,2))-1)*7+MATCH($B89,lista_dias,0)-1)</f>
        <v/>
      </c>
      <c r="M89" s="24">
        <f>IF(OR($J89="",ISNUMBER(MATCH($J89,lista_no_disponible,0)),(IFERROR(INDEX('CALENDARIO'!$C$15:$C$214,MATCH(TEXT($L89,"yyyy-mm-dd")&amp;"|"&amp;$D89&amp;"|"&amp;"",'CALENDARIO'!$G$15:$G$214,0)),IFERROR(INDEX('CALENDARIO'!$C$15:$C$214,MATCH(TEXT($L89,"yyyy-mm-dd")&amp;"|"&amp;$D89&amp;"|",'CALENDARIO'!$G$15:$G$214,0)),IFERROR(INDEX('CALENDARIO'!$C$15:$C$214,MATCH(TEXT($L89,"yyyy-mm-dd")&amp;"||",'CALENDARIO'!$G$15:$G$214,0)),INDEX(patronHabil,WEEKDAY($L89,2))))))&lt;&gt;"sí"),0,p_horas_jornada)</f>
        <v/>
      </c>
      <c r="N89" s="24">
        <f>$A89&amp;"|"&amp;$B89&amp;"|"&amp;$C89</f>
        <v/>
      </c>
      <c r="O89" s="24">
        <f>IFERROR(INDEX('CAT_TURNOS'!$C$4:$C$22,MATCH($J89,'CAT_TURNOS'!$A$4:$A$22,0)),"")</f>
        <v/>
      </c>
      <c r="P89" s="24">
        <f>IFERROR(INDEX('CAT_TURNOS'!$D$4:$D$22,MATCH($J89,'CAT_TURNOS'!$A$4:$A$22,0)),"")</f>
        <v/>
      </c>
      <c r="Q89" s="24">
        <f>IF(AND(LEFT($G89,1)="T",$H89="no"),"sí","no")</f>
        <v/>
      </c>
    </row>
    <row r="90">
      <c r="A90" s="5" t="inlineStr">
        <is>
          <t>2026-S30</t>
        </is>
      </c>
      <c r="B90" s="5" t="inlineStr">
        <is>
          <t>miércoles</t>
        </is>
      </c>
      <c r="C90" s="5" t="inlineStr">
        <is>
          <t>Gabriela Rojas</t>
        </is>
      </c>
      <c r="D90" s="24">
        <f>IFERROR(INDEX('TECNICOS'!$D$4:$D$19,MATCH($C90,'TECNICOS'!$B$4:$B$19,0)),"")</f>
        <v/>
      </c>
      <c r="E90" s="24">
        <f>IFERROR(INDEX('TECNICOS'!$C$4:$C$19,MATCH($C90,'TECNICOS'!$B$4:$B$19,0)),"")</f>
        <v/>
      </c>
      <c r="F90" s="24">
        <f>COUNTIFS('TECNICOS'!$F$4:$F$19,"sí",'TECNICOS'!$C$4:$C$19,$E90,'TECNICOS'!$D$4:$D$19,$D90,'TECNICOS'!$H$4:$H$19,"sí")</f>
        <v/>
      </c>
      <c r="G90" s="24">
        <f>IF(OR($C90="",$A90="",$B90="domingo",IFERROR(INDEX('TECNICOS'!$H$4:$H$19,MATCH($C90,'TECNICOS'!$B$4:$B$19,0)),"no")&lt;&gt;"sí"),"",IF(IFERROR(INDEX('TECNICOS'!$F$4:$F$19,MATCH($C90,'TECNICOS'!$B$4:$B$19,0)),"no")&lt;&gt;"sí","B",IF(MOD((IFERROR(INDEX('TECNICOS'!$G$4:$G$19,MATCH($C90,'TECNICOS'!$B$4:$B$19,0)),0)-1)+((DATE(VALUE(LEFT($A90,4)),1,4)-WEEKDAY(DATE(VALUE(LEFT($A90,4)),1,4),2)+1+(VALUE(MID($A90,7,2))-1)*7)-p_semana_referencia)/7,$F90)&lt;($F90-3),"B"&amp;(($F90-3)-MOD((IFERROR(INDEX('TECNICOS'!$G$4:$G$19,MATCH($C90,'TECNICOS'!$B$4:$B$19,0)),0)-1)+((DATE(VALUE(LEFT($A90,4)),1,4)-WEEKDAY(DATE(VALUE(LEFT($A90,4)),1,4),2)+1+(VALUE(MID($A90,7,2))-1)*7)-p_semana_referencia)/7,$F90)),"T"&amp;($F90-MOD((IFERROR(INDEX('TECNICOS'!$G$4:$G$19,MATCH($C90,'TECNICOS'!$B$4:$B$19,0)),0)-1)+((DATE(VALUE(LEFT($A90,4)),1,4)-WEEKDAY(DATE(VALUE(LEFT($A90,4)),1,4),2)+1+(VALUE(MID($A90,7,2))-1)*7)-p_semana_referencia)/7,$F90)))))</f>
        <v/>
      </c>
      <c r="H90" s="24">
        <f>IF(COUNTIFS('PLAN_VACACIONES'!$A$4:$A$103,$C90,'PLAN_VACACIONES'!$B$4:$B$103,"&lt;="&amp;$L90,'PLAN_VACACIONES'!$C$4:$C$103,"&gt;="&amp;$L90)&gt;0,"sí","no")</f>
        <v/>
      </c>
      <c r="I90" s="4" t="n"/>
      <c r="J90" s="24">
        <f>IF($I90&lt;&gt;"",$I90,IF($G90="","",IF($H90="sí","VAC",IF(LEFT($G90,1)="B","B",$G90))))</f>
        <v/>
      </c>
      <c r="K90" s="24">
        <f>IFERROR(INDEX('TECNICOS'!$E$4:$E$19,MATCH($C90,'TECNICOS'!$B$4:$B$19,0)),"")</f>
        <v/>
      </c>
      <c r="L90" s="30">
        <f>IF($A90="","",DATE(VALUE(LEFT($A90,4)),1,4)-WEEKDAY(DATE(VALUE(LEFT($A90,4)),1,4),2)+1+(VALUE(MID($A90,7,2))-1)*7+MATCH($B90,lista_dias,0)-1)</f>
        <v/>
      </c>
      <c r="M90" s="24">
        <f>IF(OR($J90="",ISNUMBER(MATCH($J90,lista_no_disponible,0)),(IFERROR(INDEX('CALENDARIO'!$C$15:$C$214,MATCH(TEXT($L90,"yyyy-mm-dd")&amp;"|"&amp;$D90&amp;"|"&amp;"",'CALENDARIO'!$G$15:$G$214,0)),IFERROR(INDEX('CALENDARIO'!$C$15:$C$214,MATCH(TEXT($L90,"yyyy-mm-dd")&amp;"|"&amp;$D90&amp;"|",'CALENDARIO'!$G$15:$G$214,0)),IFERROR(INDEX('CALENDARIO'!$C$15:$C$214,MATCH(TEXT($L90,"yyyy-mm-dd")&amp;"||",'CALENDARIO'!$G$15:$G$214,0)),INDEX(patronHabil,WEEKDAY($L90,2))))))&lt;&gt;"sí"),0,p_horas_jornada)</f>
        <v/>
      </c>
      <c r="N90" s="24">
        <f>$A90&amp;"|"&amp;$B90&amp;"|"&amp;$C90</f>
        <v/>
      </c>
      <c r="O90" s="24">
        <f>IFERROR(INDEX('CAT_TURNOS'!$C$4:$C$22,MATCH($J90,'CAT_TURNOS'!$A$4:$A$22,0)),"")</f>
        <v/>
      </c>
      <c r="P90" s="24">
        <f>IFERROR(INDEX('CAT_TURNOS'!$D$4:$D$22,MATCH($J90,'CAT_TURNOS'!$A$4:$A$22,0)),"")</f>
        <v/>
      </c>
      <c r="Q90" s="24">
        <f>IF(AND(LEFT($G90,1)="T",$H90="no"),"sí","no")</f>
        <v/>
      </c>
    </row>
    <row r="91">
      <c r="A91" s="5" t="inlineStr">
        <is>
          <t>2026-S30</t>
        </is>
      </c>
      <c r="B91" s="5" t="inlineStr">
        <is>
          <t>jueves</t>
        </is>
      </c>
      <c r="C91" s="5" t="inlineStr">
        <is>
          <t>Gabriela Rojas</t>
        </is>
      </c>
      <c r="D91" s="24">
        <f>IFERROR(INDEX('TECNICOS'!$D$4:$D$19,MATCH($C91,'TECNICOS'!$B$4:$B$19,0)),"")</f>
        <v/>
      </c>
      <c r="E91" s="24">
        <f>IFERROR(INDEX('TECNICOS'!$C$4:$C$19,MATCH($C91,'TECNICOS'!$B$4:$B$19,0)),"")</f>
        <v/>
      </c>
      <c r="F91" s="24">
        <f>COUNTIFS('TECNICOS'!$F$4:$F$19,"sí",'TECNICOS'!$C$4:$C$19,$E91,'TECNICOS'!$D$4:$D$19,$D91,'TECNICOS'!$H$4:$H$19,"sí")</f>
        <v/>
      </c>
      <c r="G91" s="24">
        <f>IF(OR($C91="",$A91="",$B91="domingo",IFERROR(INDEX('TECNICOS'!$H$4:$H$19,MATCH($C91,'TECNICOS'!$B$4:$B$19,0)),"no")&lt;&gt;"sí"),"",IF(IFERROR(INDEX('TECNICOS'!$F$4:$F$19,MATCH($C91,'TECNICOS'!$B$4:$B$19,0)),"no")&lt;&gt;"sí","B",IF(MOD((IFERROR(INDEX('TECNICOS'!$G$4:$G$19,MATCH($C91,'TECNICOS'!$B$4:$B$19,0)),0)-1)+((DATE(VALUE(LEFT($A91,4)),1,4)-WEEKDAY(DATE(VALUE(LEFT($A91,4)),1,4),2)+1+(VALUE(MID($A91,7,2))-1)*7)-p_semana_referencia)/7,$F91)&lt;($F91-3),"B"&amp;(($F91-3)-MOD((IFERROR(INDEX('TECNICOS'!$G$4:$G$19,MATCH($C91,'TECNICOS'!$B$4:$B$19,0)),0)-1)+((DATE(VALUE(LEFT($A91,4)),1,4)-WEEKDAY(DATE(VALUE(LEFT($A91,4)),1,4),2)+1+(VALUE(MID($A91,7,2))-1)*7)-p_semana_referencia)/7,$F91)),"T"&amp;($F91-MOD((IFERROR(INDEX('TECNICOS'!$G$4:$G$19,MATCH($C91,'TECNICOS'!$B$4:$B$19,0)),0)-1)+((DATE(VALUE(LEFT($A91,4)),1,4)-WEEKDAY(DATE(VALUE(LEFT($A91,4)),1,4),2)+1+(VALUE(MID($A91,7,2))-1)*7)-p_semana_referencia)/7,$F91)))))</f>
        <v/>
      </c>
      <c r="H91" s="24">
        <f>IF(COUNTIFS('PLAN_VACACIONES'!$A$4:$A$103,$C91,'PLAN_VACACIONES'!$B$4:$B$103,"&lt;="&amp;$L91,'PLAN_VACACIONES'!$C$4:$C$103,"&gt;="&amp;$L91)&gt;0,"sí","no")</f>
        <v/>
      </c>
      <c r="I91" s="4" t="n"/>
      <c r="J91" s="24">
        <f>IF($I91&lt;&gt;"",$I91,IF($G91="","",IF($H91="sí","VAC",IF(LEFT($G91,1)="B","B",$G91))))</f>
        <v/>
      </c>
      <c r="K91" s="24">
        <f>IFERROR(INDEX('TECNICOS'!$E$4:$E$19,MATCH($C91,'TECNICOS'!$B$4:$B$19,0)),"")</f>
        <v/>
      </c>
      <c r="L91" s="30">
        <f>IF($A91="","",DATE(VALUE(LEFT($A91,4)),1,4)-WEEKDAY(DATE(VALUE(LEFT($A91,4)),1,4),2)+1+(VALUE(MID($A91,7,2))-1)*7+MATCH($B91,lista_dias,0)-1)</f>
        <v/>
      </c>
      <c r="M91" s="24">
        <f>IF(OR($J91="",ISNUMBER(MATCH($J91,lista_no_disponible,0)),(IFERROR(INDEX('CALENDARIO'!$C$15:$C$214,MATCH(TEXT($L91,"yyyy-mm-dd")&amp;"|"&amp;$D91&amp;"|"&amp;"",'CALENDARIO'!$G$15:$G$214,0)),IFERROR(INDEX('CALENDARIO'!$C$15:$C$214,MATCH(TEXT($L91,"yyyy-mm-dd")&amp;"|"&amp;$D91&amp;"|",'CALENDARIO'!$G$15:$G$214,0)),IFERROR(INDEX('CALENDARIO'!$C$15:$C$214,MATCH(TEXT($L91,"yyyy-mm-dd")&amp;"||",'CALENDARIO'!$G$15:$G$214,0)),INDEX(patronHabil,WEEKDAY($L91,2))))))&lt;&gt;"sí"),0,p_horas_jornada)</f>
        <v/>
      </c>
      <c r="N91" s="24">
        <f>$A91&amp;"|"&amp;$B91&amp;"|"&amp;$C91</f>
        <v/>
      </c>
      <c r="O91" s="24">
        <f>IFERROR(INDEX('CAT_TURNOS'!$C$4:$C$22,MATCH($J91,'CAT_TURNOS'!$A$4:$A$22,0)),"")</f>
        <v/>
      </c>
      <c r="P91" s="24">
        <f>IFERROR(INDEX('CAT_TURNOS'!$D$4:$D$22,MATCH($J91,'CAT_TURNOS'!$A$4:$A$22,0)),"")</f>
        <v/>
      </c>
      <c r="Q91" s="24">
        <f>IF(AND(LEFT($G91,1)="T",$H91="no"),"sí","no")</f>
        <v/>
      </c>
    </row>
    <row r="92">
      <c r="A92" s="5" t="inlineStr">
        <is>
          <t>2026-S30</t>
        </is>
      </c>
      <c r="B92" s="5" t="inlineStr">
        <is>
          <t>viernes</t>
        </is>
      </c>
      <c r="C92" s="5" t="inlineStr">
        <is>
          <t>Gabriela Rojas</t>
        </is>
      </c>
      <c r="D92" s="24">
        <f>IFERROR(INDEX('TECNICOS'!$D$4:$D$19,MATCH($C92,'TECNICOS'!$B$4:$B$19,0)),"")</f>
        <v/>
      </c>
      <c r="E92" s="24">
        <f>IFERROR(INDEX('TECNICOS'!$C$4:$C$19,MATCH($C92,'TECNICOS'!$B$4:$B$19,0)),"")</f>
        <v/>
      </c>
      <c r="F92" s="24">
        <f>COUNTIFS('TECNICOS'!$F$4:$F$19,"sí",'TECNICOS'!$C$4:$C$19,$E92,'TECNICOS'!$D$4:$D$19,$D92,'TECNICOS'!$H$4:$H$19,"sí")</f>
        <v/>
      </c>
      <c r="G92" s="24">
        <f>IF(OR($C92="",$A92="",$B92="domingo",IFERROR(INDEX('TECNICOS'!$H$4:$H$19,MATCH($C92,'TECNICOS'!$B$4:$B$19,0)),"no")&lt;&gt;"sí"),"",IF(IFERROR(INDEX('TECNICOS'!$F$4:$F$19,MATCH($C92,'TECNICOS'!$B$4:$B$19,0)),"no")&lt;&gt;"sí","B",IF(MOD((IFERROR(INDEX('TECNICOS'!$G$4:$G$19,MATCH($C92,'TECNICOS'!$B$4:$B$19,0)),0)-1)+((DATE(VALUE(LEFT($A92,4)),1,4)-WEEKDAY(DATE(VALUE(LEFT($A92,4)),1,4),2)+1+(VALUE(MID($A92,7,2))-1)*7)-p_semana_referencia)/7,$F92)&lt;($F92-3),"B"&amp;(($F92-3)-MOD((IFERROR(INDEX('TECNICOS'!$G$4:$G$19,MATCH($C92,'TECNICOS'!$B$4:$B$19,0)),0)-1)+((DATE(VALUE(LEFT($A92,4)),1,4)-WEEKDAY(DATE(VALUE(LEFT($A92,4)),1,4),2)+1+(VALUE(MID($A92,7,2))-1)*7)-p_semana_referencia)/7,$F92)),"T"&amp;($F92-MOD((IFERROR(INDEX('TECNICOS'!$G$4:$G$19,MATCH($C92,'TECNICOS'!$B$4:$B$19,0)),0)-1)+((DATE(VALUE(LEFT($A92,4)),1,4)-WEEKDAY(DATE(VALUE(LEFT($A92,4)),1,4),2)+1+(VALUE(MID($A92,7,2))-1)*7)-p_semana_referencia)/7,$F92)))))</f>
        <v/>
      </c>
      <c r="H92" s="24">
        <f>IF(COUNTIFS('PLAN_VACACIONES'!$A$4:$A$103,$C92,'PLAN_VACACIONES'!$B$4:$B$103,"&lt;="&amp;$L92,'PLAN_VACACIONES'!$C$4:$C$103,"&gt;="&amp;$L92)&gt;0,"sí","no")</f>
        <v/>
      </c>
      <c r="I92" s="4" t="n"/>
      <c r="J92" s="24">
        <f>IF($I92&lt;&gt;"",$I92,IF($G92="","",IF($H92="sí","VAC",IF(LEFT($G92,1)="B","B",$G92))))</f>
        <v/>
      </c>
      <c r="K92" s="24">
        <f>IFERROR(INDEX('TECNICOS'!$E$4:$E$19,MATCH($C92,'TECNICOS'!$B$4:$B$19,0)),"")</f>
        <v/>
      </c>
      <c r="L92" s="30">
        <f>IF($A92="","",DATE(VALUE(LEFT($A92,4)),1,4)-WEEKDAY(DATE(VALUE(LEFT($A92,4)),1,4),2)+1+(VALUE(MID($A92,7,2))-1)*7+MATCH($B92,lista_dias,0)-1)</f>
        <v/>
      </c>
      <c r="M92" s="24">
        <f>IF(OR($J92="",ISNUMBER(MATCH($J92,lista_no_disponible,0)),(IFERROR(INDEX('CALENDARIO'!$C$15:$C$214,MATCH(TEXT($L92,"yyyy-mm-dd")&amp;"|"&amp;$D92&amp;"|"&amp;"",'CALENDARIO'!$G$15:$G$214,0)),IFERROR(INDEX('CALENDARIO'!$C$15:$C$214,MATCH(TEXT($L92,"yyyy-mm-dd")&amp;"|"&amp;$D92&amp;"|",'CALENDARIO'!$G$15:$G$214,0)),IFERROR(INDEX('CALENDARIO'!$C$15:$C$214,MATCH(TEXT($L92,"yyyy-mm-dd")&amp;"||",'CALENDARIO'!$G$15:$G$214,0)),INDEX(patronHabil,WEEKDAY($L92,2))))))&lt;&gt;"sí"),0,p_horas_jornada)</f>
        <v/>
      </c>
      <c r="N92" s="24">
        <f>$A92&amp;"|"&amp;$B92&amp;"|"&amp;$C92</f>
        <v/>
      </c>
      <c r="O92" s="24">
        <f>IFERROR(INDEX('CAT_TURNOS'!$C$4:$C$22,MATCH($J92,'CAT_TURNOS'!$A$4:$A$22,0)),"")</f>
        <v/>
      </c>
      <c r="P92" s="24">
        <f>IFERROR(INDEX('CAT_TURNOS'!$D$4:$D$22,MATCH($J92,'CAT_TURNOS'!$A$4:$A$22,0)),"")</f>
        <v/>
      </c>
      <c r="Q92" s="24">
        <f>IF(AND(LEFT($G92,1)="T",$H92="no"),"sí","no")</f>
        <v/>
      </c>
    </row>
    <row r="93">
      <c r="A93" s="5" t="inlineStr">
        <is>
          <t>2026-S30</t>
        </is>
      </c>
      <c r="B93" s="5" t="inlineStr">
        <is>
          <t>sábado</t>
        </is>
      </c>
      <c r="C93" s="5" t="inlineStr">
        <is>
          <t>Gabriela Rojas</t>
        </is>
      </c>
      <c r="D93" s="24">
        <f>IFERROR(INDEX('TECNICOS'!$D$4:$D$19,MATCH($C93,'TECNICOS'!$B$4:$B$19,0)),"")</f>
        <v/>
      </c>
      <c r="E93" s="24">
        <f>IFERROR(INDEX('TECNICOS'!$C$4:$C$19,MATCH($C93,'TECNICOS'!$B$4:$B$19,0)),"")</f>
        <v/>
      </c>
      <c r="F93" s="24">
        <f>COUNTIFS('TECNICOS'!$F$4:$F$19,"sí",'TECNICOS'!$C$4:$C$19,$E93,'TECNICOS'!$D$4:$D$19,$D93,'TECNICOS'!$H$4:$H$19,"sí")</f>
        <v/>
      </c>
      <c r="G93" s="24">
        <f>IF(OR($C93="",$A93="",$B93="domingo",IFERROR(INDEX('TECNICOS'!$H$4:$H$19,MATCH($C93,'TECNICOS'!$B$4:$B$19,0)),"no")&lt;&gt;"sí"),"",IF(IFERROR(INDEX('TECNICOS'!$F$4:$F$19,MATCH($C93,'TECNICOS'!$B$4:$B$19,0)),"no")&lt;&gt;"sí","B",IF(MOD((IFERROR(INDEX('TECNICOS'!$G$4:$G$19,MATCH($C93,'TECNICOS'!$B$4:$B$19,0)),0)-1)+((DATE(VALUE(LEFT($A93,4)),1,4)-WEEKDAY(DATE(VALUE(LEFT($A93,4)),1,4),2)+1+(VALUE(MID($A93,7,2))-1)*7)-p_semana_referencia)/7,$F93)&lt;($F93-3),"B"&amp;(($F93-3)-MOD((IFERROR(INDEX('TECNICOS'!$G$4:$G$19,MATCH($C93,'TECNICOS'!$B$4:$B$19,0)),0)-1)+((DATE(VALUE(LEFT($A93,4)),1,4)-WEEKDAY(DATE(VALUE(LEFT($A93,4)),1,4),2)+1+(VALUE(MID($A93,7,2))-1)*7)-p_semana_referencia)/7,$F93)),"T"&amp;($F93-MOD((IFERROR(INDEX('TECNICOS'!$G$4:$G$19,MATCH($C93,'TECNICOS'!$B$4:$B$19,0)),0)-1)+((DATE(VALUE(LEFT($A93,4)),1,4)-WEEKDAY(DATE(VALUE(LEFT($A93,4)),1,4),2)+1+(VALUE(MID($A93,7,2))-1)*7)-p_semana_referencia)/7,$F93)))))</f>
        <v/>
      </c>
      <c r="H93" s="24">
        <f>IF(COUNTIFS('PLAN_VACACIONES'!$A$4:$A$103,$C93,'PLAN_VACACIONES'!$B$4:$B$103,"&lt;="&amp;$L93,'PLAN_VACACIONES'!$C$4:$C$103,"&gt;="&amp;$L93)&gt;0,"sí","no")</f>
        <v/>
      </c>
      <c r="I93" s="4" t="n"/>
      <c r="J93" s="24">
        <f>IF($I93&lt;&gt;"",$I93,IF($G93="","",IF($H93="sí","VAC",IF(LEFT($G93,1)="B","B",$G93))))</f>
        <v/>
      </c>
      <c r="K93" s="24">
        <f>IFERROR(INDEX('TECNICOS'!$E$4:$E$19,MATCH($C93,'TECNICOS'!$B$4:$B$19,0)),"")</f>
        <v/>
      </c>
      <c r="L93" s="30">
        <f>IF($A93="","",DATE(VALUE(LEFT($A93,4)),1,4)-WEEKDAY(DATE(VALUE(LEFT($A93,4)),1,4),2)+1+(VALUE(MID($A93,7,2))-1)*7+MATCH($B93,lista_dias,0)-1)</f>
        <v/>
      </c>
      <c r="M93" s="24">
        <f>IF(OR($J93="",ISNUMBER(MATCH($J93,lista_no_disponible,0)),(IFERROR(INDEX('CALENDARIO'!$C$15:$C$214,MATCH(TEXT($L93,"yyyy-mm-dd")&amp;"|"&amp;$D93&amp;"|"&amp;"",'CALENDARIO'!$G$15:$G$214,0)),IFERROR(INDEX('CALENDARIO'!$C$15:$C$214,MATCH(TEXT($L93,"yyyy-mm-dd")&amp;"|"&amp;$D93&amp;"|",'CALENDARIO'!$G$15:$G$214,0)),IFERROR(INDEX('CALENDARIO'!$C$15:$C$214,MATCH(TEXT($L93,"yyyy-mm-dd")&amp;"||",'CALENDARIO'!$G$15:$G$214,0)),INDEX(patronHabil,WEEKDAY($L93,2))))))&lt;&gt;"sí"),0,p_horas_jornada)</f>
        <v/>
      </c>
      <c r="N93" s="24">
        <f>$A93&amp;"|"&amp;$B93&amp;"|"&amp;$C93</f>
        <v/>
      </c>
      <c r="O93" s="24">
        <f>IFERROR(INDEX('CAT_TURNOS'!$C$4:$C$22,MATCH($J93,'CAT_TURNOS'!$A$4:$A$22,0)),"")</f>
        <v/>
      </c>
      <c r="P93" s="24">
        <f>IFERROR(INDEX('CAT_TURNOS'!$D$4:$D$22,MATCH($J93,'CAT_TURNOS'!$A$4:$A$22,0)),"")</f>
        <v/>
      </c>
      <c r="Q93" s="24">
        <f>IF(AND(LEFT($G93,1)="T",$H93="no"),"sí","no")</f>
        <v/>
      </c>
    </row>
    <row r="94">
      <c r="A94" s="5" t="inlineStr">
        <is>
          <t>2026-S30</t>
        </is>
      </c>
      <c r="B94" s="5" t="inlineStr">
        <is>
          <t>domingo</t>
        </is>
      </c>
      <c r="C94" s="5" t="inlineStr">
        <is>
          <t>Gabriela Rojas</t>
        </is>
      </c>
      <c r="D94" s="24">
        <f>IFERROR(INDEX('TECNICOS'!$D$4:$D$19,MATCH($C94,'TECNICOS'!$B$4:$B$19,0)),"")</f>
        <v/>
      </c>
      <c r="E94" s="24">
        <f>IFERROR(INDEX('TECNICOS'!$C$4:$C$19,MATCH($C94,'TECNICOS'!$B$4:$B$19,0)),"")</f>
        <v/>
      </c>
      <c r="F94" s="24">
        <f>COUNTIFS('TECNICOS'!$F$4:$F$19,"sí",'TECNICOS'!$C$4:$C$19,$E94,'TECNICOS'!$D$4:$D$19,$D94,'TECNICOS'!$H$4:$H$19,"sí")</f>
        <v/>
      </c>
      <c r="G94" s="24">
        <f>IF(OR($C94="",$A94="",$B94="domingo",IFERROR(INDEX('TECNICOS'!$H$4:$H$19,MATCH($C94,'TECNICOS'!$B$4:$B$19,0)),"no")&lt;&gt;"sí"),"",IF(IFERROR(INDEX('TECNICOS'!$F$4:$F$19,MATCH($C94,'TECNICOS'!$B$4:$B$19,0)),"no")&lt;&gt;"sí","B",IF(MOD((IFERROR(INDEX('TECNICOS'!$G$4:$G$19,MATCH($C94,'TECNICOS'!$B$4:$B$19,0)),0)-1)+((DATE(VALUE(LEFT($A94,4)),1,4)-WEEKDAY(DATE(VALUE(LEFT($A94,4)),1,4),2)+1+(VALUE(MID($A94,7,2))-1)*7)-p_semana_referencia)/7,$F94)&lt;($F94-3),"B"&amp;(($F94-3)-MOD((IFERROR(INDEX('TECNICOS'!$G$4:$G$19,MATCH($C94,'TECNICOS'!$B$4:$B$19,0)),0)-1)+((DATE(VALUE(LEFT($A94,4)),1,4)-WEEKDAY(DATE(VALUE(LEFT($A94,4)),1,4),2)+1+(VALUE(MID($A94,7,2))-1)*7)-p_semana_referencia)/7,$F94)),"T"&amp;($F94-MOD((IFERROR(INDEX('TECNICOS'!$G$4:$G$19,MATCH($C94,'TECNICOS'!$B$4:$B$19,0)),0)-1)+((DATE(VALUE(LEFT($A94,4)),1,4)-WEEKDAY(DATE(VALUE(LEFT($A94,4)),1,4),2)+1+(VALUE(MID($A94,7,2))-1)*7)-p_semana_referencia)/7,$F94)))))</f>
        <v/>
      </c>
      <c r="H94" s="24">
        <f>IF(COUNTIFS('PLAN_VACACIONES'!$A$4:$A$103,$C94,'PLAN_VACACIONES'!$B$4:$B$103,"&lt;="&amp;$L94,'PLAN_VACACIONES'!$C$4:$C$103,"&gt;="&amp;$L94)&gt;0,"sí","no")</f>
        <v/>
      </c>
      <c r="I94" s="4" t="n"/>
      <c r="J94" s="24">
        <f>IF($I94&lt;&gt;"",$I94,IF($G94="","",IF($H94="sí","VAC",IF(LEFT($G94,1)="B","B",$G94))))</f>
        <v/>
      </c>
      <c r="K94" s="24">
        <f>IFERROR(INDEX('TECNICOS'!$E$4:$E$19,MATCH($C94,'TECNICOS'!$B$4:$B$19,0)),"")</f>
        <v/>
      </c>
      <c r="L94" s="30">
        <f>IF($A94="","",DATE(VALUE(LEFT($A94,4)),1,4)-WEEKDAY(DATE(VALUE(LEFT($A94,4)),1,4),2)+1+(VALUE(MID($A94,7,2))-1)*7+MATCH($B94,lista_dias,0)-1)</f>
        <v/>
      </c>
      <c r="M94" s="24">
        <f>IF(OR($J94="",ISNUMBER(MATCH($J94,lista_no_disponible,0)),(IFERROR(INDEX('CALENDARIO'!$C$15:$C$214,MATCH(TEXT($L94,"yyyy-mm-dd")&amp;"|"&amp;$D94&amp;"|"&amp;"",'CALENDARIO'!$G$15:$G$214,0)),IFERROR(INDEX('CALENDARIO'!$C$15:$C$214,MATCH(TEXT($L94,"yyyy-mm-dd")&amp;"|"&amp;$D94&amp;"|",'CALENDARIO'!$G$15:$G$214,0)),IFERROR(INDEX('CALENDARIO'!$C$15:$C$214,MATCH(TEXT($L94,"yyyy-mm-dd")&amp;"||",'CALENDARIO'!$G$15:$G$214,0)),INDEX(patronHabil,WEEKDAY($L94,2))))))&lt;&gt;"sí"),0,p_horas_jornada)</f>
        <v/>
      </c>
      <c r="N94" s="24">
        <f>$A94&amp;"|"&amp;$B94&amp;"|"&amp;$C94</f>
        <v/>
      </c>
      <c r="O94" s="24">
        <f>IFERROR(INDEX('CAT_TURNOS'!$C$4:$C$22,MATCH($J94,'CAT_TURNOS'!$A$4:$A$22,0)),"")</f>
        <v/>
      </c>
      <c r="P94" s="24">
        <f>IFERROR(INDEX('CAT_TURNOS'!$D$4:$D$22,MATCH($J94,'CAT_TURNOS'!$A$4:$A$22,0)),"")</f>
        <v/>
      </c>
      <c r="Q94" s="24">
        <f>IF(AND(LEFT($G94,1)="T",$H94="no"),"sí","no")</f>
        <v/>
      </c>
    </row>
    <row r="95">
      <c r="A95" s="5" t="inlineStr">
        <is>
          <t>2026-S30</t>
        </is>
      </c>
      <c r="B95" s="5" t="inlineStr">
        <is>
          <t>lunes</t>
        </is>
      </c>
      <c r="C95" s="5" t="inlineStr">
        <is>
          <t>Fernando Mendoza</t>
        </is>
      </c>
      <c r="D95" s="24">
        <f>IFERROR(INDEX('TECNICOS'!$D$4:$D$19,MATCH($C95,'TECNICOS'!$B$4:$B$19,0)),"")</f>
        <v/>
      </c>
      <c r="E95" s="24">
        <f>IFERROR(INDEX('TECNICOS'!$C$4:$C$19,MATCH($C95,'TECNICOS'!$B$4:$B$19,0)),"")</f>
        <v/>
      </c>
      <c r="F95" s="24">
        <f>COUNTIFS('TECNICOS'!$F$4:$F$19,"sí",'TECNICOS'!$C$4:$C$19,$E95,'TECNICOS'!$D$4:$D$19,$D95,'TECNICOS'!$H$4:$H$19,"sí")</f>
        <v/>
      </c>
      <c r="G95" s="24">
        <f>IF(OR($C95="",$A95="",$B95="domingo",IFERROR(INDEX('TECNICOS'!$H$4:$H$19,MATCH($C95,'TECNICOS'!$B$4:$B$19,0)),"no")&lt;&gt;"sí"),"",IF(IFERROR(INDEX('TECNICOS'!$F$4:$F$19,MATCH($C95,'TECNICOS'!$B$4:$B$19,0)),"no")&lt;&gt;"sí","B",IF(MOD((IFERROR(INDEX('TECNICOS'!$G$4:$G$19,MATCH($C95,'TECNICOS'!$B$4:$B$19,0)),0)-1)+((DATE(VALUE(LEFT($A95,4)),1,4)-WEEKDAY(DATE(VALUE(LEFT($A95,4)),1,4),2)+1+(VALUE(MID($A95,7,2))-1)*7)-p_semana_referencia)/7,$F95)&lt;($F95-3),"B"&amp;(($F95-3)-MOD((IFERROR(INDEX('TECNICOS'!$G$4:$G$19,MATCH($C95,'TECNICOS'!$B$4:$B$19,0)),0)-1)+((DATE(VALUE(LEFT($A95,4)),1,4)-WEEKDAY(DATE(VALUE(LEFT($A95,4)),1,4),2)+1+(VALUE(MID($A95,7,2))-1)*7)-p_semana_referencia)/7,$F95)),"T"&amp;($F95-MOD((IFERROR(INDEX('TECNICOS'!$G$4:$G$19,MATCH($C95,'TECNICOS'!$B$4:$B$19,0)),0)-1)+((DATE(VALUE(LEFT($A95,4)),1,4)-WEEKDAY(DATE(VALUE(LEFT($A95,4)),1,4),2)+1+(VALUE(MID($A95,7,2))-1)*7)-p_semana_referencia)/7,$F95)))))</f>
        <v/>
      </c>
      <c r="H95" s="24">
        <f>IF(COUNTIFS('PLAN_VACACIONES'!$A$4:$A$103,$C95,'PLAN_VACACIONES'!$B$4:$B$103,"&lt;="&amp;$L95,'PLAN_VACACIONES'!$C$4:$C$103,"&gt;="&amp;$L95)&gt;0,"sí","no")</f>
        <v/>
      </c>
      <c r="I95" s="4" t="n"/>
      <c r="J95" s="24">
        <f>IF($I95&lt;&gt;"",$I95,IF($G95="","",IF($H95="sí","VAC",IF(LEFT($G95,1)="B","B",$G95))))</f>
        <v/>
      </c>
      <c r="K95" s="24">
        <f>IFERROR(INDEX('TECNICOS'!$E$4:$E$19,MATCH($C95,'TECNICOS'!$B$4:$B$19,0)),"")</f>
        <v/>
      </c>
      <c r="L95" s="30">
        <f>IF($A95="","",DATE(VALUE(LEFT($A95,4)),1,4)-WEEKDAY(DATE(VALUE(LEFT($A95,4)),1,4),2)+1+(VALUE(MID($A95,7,2))-1)*7+MATCH($B95,lista_dias,0)-1)</f>
        <v/>
      </c>
      <c r="M95" s="24">
        <f>IF(OR($J95="",ISNUMBER(MATCH($J95,lista_no_disponible,0)),(IFERROR(INDEX('CALENDARIO'!$C$15:$C$214,MATCH(TEXT($L95,"yyyy-mm-dd")&amp;"|"&amp;$D95&amp;"|"&amp;"",'CALENDARIO'!$G$15:$G$214,0)),IFERROR(INDEX('CALENDARIO'!$C$15:$C$214,MATCH(TEXT($L95,"yyyy-mm-dd")&amp;"|"&amp;$D95&amp;"|",'CALENDARIO'!$G$15:$G$214,0)),IFERROR(INDEX('CALENDARIO'!$C$15:$C$214,MATCH(TEXT($L95,"yyyy-mm-dd")&amp;"||",'CALENDARIO'!$G$15:$G$214,0)),INDEX(patronHabil,WEEKDAY($L95,2))))))&lt;&gt;"sí"),0,p_horas_jornada)</f>
        <v/>
      </c>
      <c r="N95" s="24">
        <f>$A95&amp;"|"&amp;$B95&amp;"|"&amp;$C95</f>
        <v/>
      </c>
      <c r="O95" s="24">
        <f>IFERROR(INDEX('CAT_TURNOS'!$C$4:$C$22,MATCH($J95,'CAT_TURNOS'!$A$4:$A$22,0)),"")</f>
        <v/>
      </c>
      <c r="P95" s="24">
        <f>IFERROR(INDEX('CAT_TURNOS'!$D$4:$D$22,MATCH($J95,'CAT_TURNOS'!$A$4:$A$22,0)),"")</f>
        <v/>
      </c>
      <c r="Q95" s="24">
        <f>IF(AND(LEFT($G95,1)="T",$H95="no"),"sí","no")</f>
        <v/>
      </c>
    </row>
    <row r="96">
      <c r="A96" s="5" t="inlineStr">
        <is>
          <t>2026-S30</t>
        </is>
      </c>
      <c r="B96" s="5" t="inlineStr">
        <is>
          <t>martes</t>
        </is>
      </c>
      <c r="C96" s="5" t="inlineStr">
        <is>
          <t>Fernando Mendoza</t>
        </is>
      </c>
      <c r="D96" s="24">
        <f>IFERROR(INDEX('TECNICOS'!$D$4:$D$19,MATCH($C96,'TECNICOS'!$B$4:$B$19,0)),"")</f>
        <v/>
      </c>
      <c r="E96" s="24">
        <f>IFERROR(INDEX('TECNICOS'!$C$4:$C$19,MATCH($C96,'TECNICOS'!$B$4:$B$19,0)),"")</f>
        <v/>
      </c>
      <c r="F96" s="24">
        <f>COUNTIFS('TECNICOS'!$F$4:$F$19,"sí",'TECNICOS'!$C$4:$C$19,$E96,'TECNICOS'!$D$4:$D$19,$D96,'TECNICOS'!$H$4:$H$19,"sí")</f>
        <v/>
      </c>
      <c r="G96" s="24">
        <f>IF(OR($C96="",$A96="",$B96="domingo",IFERROR(INDEX('TECNICOS'!$H$4:$H$19,MATCH($C96,'TECNICOS'!$B$4:$B$19,0)),"no")&lt;&gt;"sí"),"",IF(IFERROR(INDEX('TECNICOS'!$F$4:$F$19,MATCH($C96,'TECNICOS'!$B$4:$B$19,0)),"no")&lt;&gt;"sí","B",IF(MOD((IFERROR(INDEX('TECNICOS'!$G$4:$G$19,MATCH($C96,'TECNICOS'!$B$4:$B$19,0)),0)-1)+((DATE(VALUE(LEFT($A96,4)),1,4)-WEEKDAY(DATE(VALUE(LEFT($A96,4)),1,4),2)+1+(VALUE(MID($A96,7,2))-1)*7)-p_semana_referencia)/7,$F96)&lt;($F96-3),"B"&amp;(($F96-3)-MOD((IFERROR(INDEX('TECNICOS'!$G$4:$G$19,MATCH($C96,'TECNICOS'!$B$4:$B$19,0)),0)-1)+((DATE(VALUE(LEFT($A96,4)),1,4)-WEEKDAY(DATE(VALUE(LEFT($A96,4)),1,4),2)+1+(VALUE(MID($A96,7,2))-1)*7)-p_semana_referencia)/7,$F96)),"T"&amp;($F96-MOD((IFERROR(INDEX('TECNICOS'!$G$4:$G$19,MATCH($C96,'TECNICOS'!$B$4:$B$19,0)),0)-1)+((DATE(VALUE(LEFT($A96,4)),1,4)-WEEKDAY(DATE(VALUE(LEFT($A96,4)),1,4),2)+1+(VALUE(MID($A96,7,2))-1)*7)-p_semana_referencia)/7,$F96)))))</f>
        <v/>
      </c>
      <c r="H96" s="24">
        <f>IF(COUNTIFS('PLAN_VACACIONES'!$A$4:$A$103,$C96,'PLAN_VACACIONES'!$B$4:$B$103,"&lt;="&amp;$L96,'PLAN_VACACIONES'!$C$4:$C$103,"&gt;="&amp;$L96)&gt;0,"sí","no")</f>
        <v/>
      </c>
      <c r="I96" s="4" t="n"/>
      <c r="J96" s="24">
        <f>IF($I96&lt;&gt;"",$I96,IF($G96="","",IF($H96="sí","VAC",IF(LEFT($G96,1)="B","B",$G96))))</f>
        <v/>
      </c>
      <c r="K96" s="24">
        <f>IFERROR(INDEX('TECNICOS'!$E$4:$E$19,MATCH($C96,'TECNICOS'!$B$4:$B$19,0)),"")</f>
        <v/>
      </c>
      <c r="L96" s="30">
        <f>IF($A96="","",DATE(VALUE(LEFT($A96,4)),1,4)-WEEKDAY(DATE(VALUE(LEFT($A96,4)),1,4),2)+1+(VALUE(MID($A96,7,2))-1)*7+MATCH($B96,lista_dias,0)-1)</f>
        <v/>
      </c>
      <c r="M96" s="24">
        <f>IF(OR($J96="",ISNUMBER(MATCH($J96,lista_no_disponible,0)),(IFERROR(INDEX('CALENDARIO'!$C$15:$C$214,MATCH(TEXT($L96,"yyyy-mm-dd")&amp;"|"&amp;$D96&amp;"|"&amp;"",'CALENDARIO'!$G$15:$G$214,0)),IFERROR(INDEX('CALENDARIO'!$C$15:$C$214,MATCH(TEXT($L96,"yyyy-mm-dd")&amp;"|"&amp;$D96&amp;"|",'CALENDARIO'!$G$15:$G$214,0)),IFERROR(INDEX('CALENDARIO'!$C$15:$C$214,MATCH(TEXT($L96,"yyyy-mm-dd")&amp;"||",'CALENDARIO'!$G$15:$G$214,0)),INDEX(patronHabil,WEEKDAY($L96,2))))))&lt;&gt;"sí"),0,p_horas_jornada)</f>
        <v/>
      </c>
      <c r="N96" s="24">
        <f>$A96&amp;"|"&amp;$B96&amp;"|"&amp;$C96</f>
        <v/>
      </c>
      <c r="O96" s="24">
        <f>IFERROR(INDEX('CAT_TURNOS'!$C$4:$C$22,MATCH($J96,'CAT_TURNOS'!$A$4:$A$22,0)),"")</f>
        <v/>
      </c>
      <c r="P96" s="24">
        <f>IFERROR(INDEX('CAT_TURNOS'!$D$4:$D$22,MATCH($J96,'CAT_TURNOS'!$A$4:$A$22,0)),"")</f>
        <v/>
      </c>
      <c r="Q96" s="24">
        <f>IF(AND(LEFT($G96,1)="T",$H96="no"),"sí","no")</f>
        <v/>
      </c>
    </row>
    <row r="97">
      <c r="A97" s="5" t="inlineStr">
        <is>
          <t>2026-S30</t>
        </is>
      </c>
      <c r="B97" s="5" t="inlineStr">
        <is>
          <t>miércoles</t>
        </is>
      </c>
      <c r="C97" s="5" t="inlineStr">
        <is>
          <t>Fernando Mendoza</t>
        </is>
      </c>
      <c r="D97" s="24">
        <f>IFERROR(INDEX('TECNICOS'!$D$4:$D$19,MATCH($C97,'TECNICOS'!$B$4:$B$19,0)),"")</f>
        <v/>
      </c>
      <c r="E97" s="24">
        <f>IFERROR(INDEX('TECNICOS'!$C$4:$C$19,MATCH($C97,'TECNICOS'!$B$4:$B$19,0)),"")</f>
        <v/>
      </c>
      <c r="F97" s="24">
        <f>COUNTIFS('TECNICOS'!$F$4:$F$19,"sí",'TECNICOS'!$C$4:$C$19,$E97,'TECNICOS'!$D$4:$D$19,$D97,'TECNICOS'!$H$4:$H$19,"sí")</f>
        <v/>
      </c>
      <c r="G97" s="24">
        <f>IF(OR($C97="",$A97="",$B97="domingo",IFERROR(INDEX('TECNICOS'!$H$4:$H$19,MATCH($C97,'TECNICOS'!$B$4:$B$19,0)),"no")&lt;&gt;"sí"),"",IF(IFERROR(INDEX('TECNICOS'!$F$4:$F$19,MATCH($C97,'TECNICOS'!$B$4:$B$19,0)),"no")&lt;&gt;"sí","B",IF(MOD((IFERROR(INDEX('TECNICOS'!$G$4:$G$19,MATCH($C97,'TECNICOS'!$B$4:$B$19,0)),0)-1)+((DATE(VALUE(LEFT($A97,4)),1,4)-WEEKDAY(DATE(VALUE(LEFT($A97,4)),1,4),2)+1+(VALUE(MID($A97,7,2))-1)*7)-p_semana_referencia)/7,$F97)&lt;($F97-3),"B"&amp;(($F97-3)-MOD((IFERROR(INDEX('TECNICOS'!$G$4:$G$19,MATCH($C97,'TECNICOS'!$B$4:$B$19,0)),0)-1)+((DATE(VALUE(LEFT($A97,4)),1,4)-WEEKDAY(DATE(VALUE(LEFT($A97,4)),1,4),2)+1+(VALUE(MID($A97,7,2))-1)*7)-p_semana_referencia)/7,$F97)),"T"&amp;($F97-MOD((IFERROR(INDEX('TECNICOS'!$G$4:$G$19,MATCH($C97,'TECNICOS'!$B$4:$B$19,0)),0)-1)+((DATE(VALUE(LEFT($A97,4)),1,4)-WEEKDAY(DATE(VALUE(LEFT($A97,4)),1,4),2)+1+(VALUE(MID($A97,7,2))-1)*7)-p_semana_referencia)/7,$F97)))))</f>
        <v/>
      </c>
      <c r="H97" s="24">
        <f>IF(COUNTIFS('PLAN_VACACIONES'!$A$4:$A$103,$C97,'PLAN_VACACIONES'!$B$4:$B$103,"&lt;="&amp;$L97,'PLAN_VACACIONES'!$C$4:$C$103,"&gt;="&amp;$L97)&gt;0,"sí","no")</f>
        <v/>
      </c>
      <c r="I97" s="4" t="n"/>
      <c r="J97" s="24">
        <f>IF($I97&lt;&gt;"",$I97,IF($G97="","",IF($H97="sí","VAC",IF(LEFT($G97,1)="B","B",$G97))))</f>
        <v/>
      </c>
      <c r="K97" s="24">
        <f>IFERROR(INDEX('TECNICOS'!$E$4:$E$19,MATCH($C97,'TECNICOS'!$B$4:$B$19,0)),"")</f>
        <v/>
      </c>
      <c r="L97" s="30">
        <f>IF($A97="","",DATE(VALUE(LEFT($A97,4)),1,4)-WEEKDAY(DATE(VALUE(LEFT($A97,4)),1,4),2)+1+(VALUE(MID($A97,7,2))-1)*7+MATCH($B97,lista_dias,0)-1)</f>
        <v/>
      </c>
      <c r="M97" s="24">
        <f>IF(OR($J97="",ISNUMBER(MATCH($J97,lista_no_disponible,0)),(IFERROR(INDEX('CALENDARIO'!$C$15:$C$214,MATCH(TEXT($L97,"yyyy-mm-dd")&amp;"|"&amp;$D97&amp;"|"&amp;"",'CALENDARIO'!$G$15:$G$214,0)),IFERROR(INDEX('CALENDARIO'!$C$15:$C$214,MATCH(TEXT($L97,"yyyy-mm-dd")&amp;"|"&amp;$D97&amp;"|",'CALENDARIO'!$G$15:$G$214,0)),IFERROR(INDEX('CALENDARIO'!$C$15:$C$214,MATCH(TEXT($L97,"yyyy-mm-dd")&amp;"||",'CALENDARIO'!$G$15:$G$214,0)),INDEX(patronHabil,WEEKDAY($L97,2))))))&lt;&gt;"sí"),0,p_horas_jornada)</f>
        <v/>
      </c>
      <c r="N97" s="24">
        <f>$A97&amp;"|"&amp;$B97&amp;"|"&amp;$C97</f>
        <v/>
      </c>
      <c r="O97" s="24">
        <f>IFERROR(INDEX('CAT_TURNOS'!$C$4:$C$22,MATCH($J97,'CAT_TURNOS'!$A$4:$A$22,0)),"")</f>
        <v/>
      </c>
      <c r="P97" s="24">
        <f>IFERROR(INDEX('CAT_TURNOS'!$D$4:$D$22,MATCH($J97,'CAT_TURNOS'!$A$4:$A$22,0)),"")</f>
        <v/>
      </c>
      <c r="Q97" s="24">
        <f>IF(AND(LEFT($G97,1)="T",$H97="no"),"sí","no")</f>
        <v/>
      </c>
    </row>
    <row r="98">
      <c r="A98" s="5" t="inlineStr">
        <is>
          <t>2026-S30</t>
        </is>
      </c>
      <c r="B98" s="5" t="inlineStr">
        <is>
          <t>jueves</t>
        </is>
      </c>
      <c r="C98" s="5" t="inlineStr">
        <is>
          <t>Fernando Mendoza</t>
        </is>
      </c>
      <c r="D98" s="24">
        <f>IFERROR(INDEX('TECNICOS'!$D$4:$D$19,MATCH($C98,'TECNICOS'!$B$4:$B$19,0)),"")</f>
        <v/>
      </c>
      <c r="E98" s="24">
        <f>IFERROR(INDEX('TECNICOS'!$C$4:$C$19,MATCH($C98,'TECNICOS'!$B$4:$B$19,0)),"")</f>
        <v/>
      </c>
      <c r="F98" s="24">
        <f>COUNTIFS('TECNICOS'!$F$4:$F$19,"sí",'TECNICOS'!$C$4:$C$19,$E98,'TECNICOS'!$D$4:$D$19,$D98,'TECNICOS'!$H$4:$H$19,"sí")</f>
        <v/>
      </c>
      <c r="G98" s="24">
        <f>IF(OR($C98="",$A98="",$B98="domingo",IFERROR(INDEX('TECNICOS'!$H$4:$H$19,MATCH($C98,'TECNICOS'!$B$4:$B$19,0)),"no")&lt;&gt;"sí"),"",IF(IFERROR(INDEX('TECNICOS'!$F$4:$F$19,MATCH($C98,'TECNICOS'!$B$4:$B$19,0)),"no")&lt;&gt;"sí","B",IF(MOD((IFERROR(INDEX('TECNICOS'!$G$4:$G$19,MATCH($C98,'TECNICOS'!$B$4:$B$19,0)),0)-1)+((DATE(VALUE(LEFT($A98,4)),1,4)-WEEKDAY(DATE(VALUE(LEFT($A98,4)),1,4),2)+1+(VALUE(MID($A98,7,2))-1)*7)-p_semana_referencia)/7,$F98)&lt;($F98-3),"B"&amp;(($F98-3)-MOD((IFERROR(INDEX('TECNICOS'!$G$4:$G$19,MATCH($C98,'TECNICOS'!$B$4:$B$19,0)),0)-1)+((DATE(VALUE(LEFT($A98,4)),1,4)-WEEKDAY(DATE(VALUE(LEFT($A98,4)),1,4),2)+1+(VALUE(MID($A98,7,2))-1)*7)-p_semana_referencia)/7,$F98)),"T"&amp;($F98-MOD((IFERROR(INDEX('TECNICOS'!$G$4:$G$19,MATCH($C98,'TECNICOS'!$B$4:$B$19,0)),0)-1)+((DATE(VALUE(LEFT($A98,4)),1,4)-WEEKDAY(DATE(VALUE(LEFT($A98,4)),1,4),2)+1+(VALUE(MID($A98,7,2))-1)*7)-p_semana_referencia)/7,$F98)))))</f>
        <v/>
      </c>
      <c r="H98" s="24">
        <f>IF(COUNTIFS('PLAN_VACACIONES'!$A$4:$A$103,$C98,'PLAN_VACACIONES'!$B$4:$B$103,"&lt;="&amp;$L98,'PLAN_VACACIONES'!$C$4:$C$103,"&gt;="&amp;$L98)&gt;0,"sí","no")</f>
        <v/>
      </c>
      <c r="I98" s="4" t="n"/>
      <c r="J98" s="24">
        <f>IF($I98&lt;&gt;"",$I98,IF($G98="","",IF($H98="sí","VAC",IF(LEFT($G98,1)="B","B",$G98))))</f>
        <v/>
      </c>
      <c r="K98" s="24">
        <f>IFERROR(INDEX('TECNICOS'!$E$4:$E$19,MATCH($C98,'TECNICOS'!$B$4:$B$19,0)),"")</f>
        <v/>
      </c>
      <c r="L98" s="30">
        <f>IF($A98="","",DATE(VALUE(LEFT($A98,4)),1,4)-WEEKDAY(DATE(VALUE(LEFT($A98,4)),1,4),2)+1+(VALUE(MID($A98,7,2))-1)*7+MATCH($B98,lista_dias,0)-1)</f>
        <v/>
      </c>
      <c r="M98" s="24">
        <f>IF(OR($J98="",ISNUMBER(MATCH($J98,lista_no_disponible,0)),(IFERROR(INDEX('CALENDARIO'!$C$15:$C$214,MATCH(TEXT($L98,"yyyy-mm-dd")&amp;"|"&amp;$D98&amp;"|"&amp;"",'CALENDARIO'!$G$15:$G$214,0)),IFERROR(INDEX('CALENDARIO'!$C$15:$C$214,MATCH(TEXT($L98,"yyyy-mm-dd")&amp;"|"&amp;$D98&amp;"|",'CALENDARIO'!$G$15:$G$214,0)),IFERROR(INDEX('CALENDARIO'!$C$15:$C$214,MATCH(TEXT($L98,"yyyy-mm-dd")&amp;"||",'CALENDARIO'!$G$15:$G$214,0)),INDEX(patronHabil,WEEKDAY($L98,2))))))&lt;&gt;"sí"),0,p_horas_jornada)</f>
        <v/>
      </c>
      <c r="N98" s="24">
        <f>$A98&amp;"|"&amp;$B98&amp;"|"&amp;$C98</f>
        <v/>
      </c>
      <c r="O98" s="24">
        <f>IFERROR(INDEX('CAT_TURNOS'!$C$4:$C$22,MATCH($J98,'CAT_TURNOS'!$A$4:$A$22,0)),"")</f>
        <v/>
      </c>
      <c r="P98" s="24">
        <f>IFERROR(INDEX('CAT_TURNOS'!$D$4:$D$22,MATCH($J98,'CAT_TURNOS'!$A$4:$A$22,0)),"")</f>
        <v/>
      </c>
      <c r="Q98" s="24">
        <f>IF(AND(LEFT($G98,1)="T",$H98="no"),"sí","no")</f>
        <v/>
      </c>
    </row>
    <row r="99">
      <c r="A99" s="5" t="inlineStr">
        <is>
          <t>2026-S30</t>
        </is>
      </c>
      <c r="B99" s="5" t="inlineStr">
        <is>
          <t>viernes</t>
        </is>
      </c>
      <c r="C99" s="5" t="inlineStr">
        <is>
          <t>Fernando Mendoza</t>
        </is>
      </c>
      <c r="D99" s="24">
        <f>IFERROR(INDEX('TECNICOS'!$D$4:$D$19,MATCH($C99,'TECNICOS'!$B$4:$B$19,0)),"")</f>
        <v/>
      </c>
      <c r="E99" s="24">
        <f>IFERROR(INDEX('TECNICOS'!$C$4:$C$19,MATCH($C99,'TECNICOS'!$B$4:$B$19,0)),"")</f>
        <v/>
      </c>
      <c r="F99" s="24">
        <f>COUNTIFS('TECNICOS'!$F$4:$F$19,"sí",'TECNICOS'!$C$4:$C$19,$E99,'TECNICOS'!$D$4:$D$19,$D99,'TECNICOS'!$H$4:$H$19,"sí")</f>
        <v/>
      </c>
      <c r="G99" s="24">
        <f>IF(OR($C99="",$A99="",$B99="domingo",IFERROR(INDEX('TECNICOS'!$H$4:$H$19,MATCH($C99,'TECNICOS'!$B$4:$B$19,0)),"no")&lt;&gt;"sí"),"",IF(IFERROR(INDEX('TECNICOS'!$F$4:$F$19,MATCH($C99,'TECNICOS'!$B$4:$B$19,0)),"no")&lt;&gt;"sí","B",IF(MOD((IFERROR(INDEX('TECNICOS'!$G$4:$G$19,MATCH($C99,'TECNICOS'!$B$4:$B$19,0)),0)-1)+((DATE(VALUE(LEFT($A99,4)),1,4)-WEEKDAY(DATE(VALUE(LEFT($A99,4)),1,4),2)+1+(VALUE(MID($A99,7,2))-1)*7)-p_semana_referencia)/7,$F99)&lt;($F99-3),"B"&amp;(($F99-3)-MOD((IFERROR(INDEX('TECNICOS'!$G$4:$G$19,MATCH($C99,'TECNICOS'!$B$4:$B$19,0)),0)-1)+((DATE(VALUE(LEFT($A99,4)),1,4)-WEEKDAY(DATE(VALUE(LEFT($A99,4)),1,4),2)+1+(VALUE(MID($A99,7,2))-1)*7)-p_semana_referencia)/7,$F99)),"T"&amp;($F99-MOD((IFERROR(INDEX('TECNICOS'!$G$4:$G$19,MATCH($C99,'TECNICOS'!$B$4:$B$19,0)),0)-1)+((DATE(VALUE(LEFT($A99,4)),1,4)-WEEKDAY(DATE(VALUE(LEFT($A99,4)),1,4),2)+1+(VALUE(MID($A99,7,2))-1)*7)-p_semana_referencia)/7,$F99)))))</f>
        <v/>
      </c>
      <c r="H99" s="24">
        <f>IF(COUNTIFS('PLAN_VACACIONES'!$A$4:$A$103,$C99,'PLAN_VACACIONES'!$B$4:$B$103,"&lt;="&amp;$L99,'PLAN_VACACIONES'!$C$4:$C$103,"&gt;="&amp;$L99)&gt;0,"sí","no")</f>
        <v/>
      </c>
      <c r="I99" s="4" t="n"/>
      <c r="J99" s="24">
        <f>IF($I99&lt;&gt;"",$I99,IF($G99="","",IF($H99="sí","VAC",IF(LEFT($G99,1)="B","B",$G99))))</f>
        <v/>
      </c>
      <c r="K99" s="24">
        <f>IFERROR(INDEX('TECNICOS'!$E$4:$E$19,MATCH($C99,'TECNICOS'!$B$4:$B$19,0)),"")</f>
        <v/>
      </c>
      <c r="L99" s="30">
        <f>IF($A99="","",DATE(VALUE(LEFT($A99,4)),1,4)-WEEKDAY(DATE(VALUE(LEFT($A99,4)),1,4),2)+1+(VALUE(MID($A99,7,2))-1)*7+MATCH($B99,lista_dias,0)-1)</f>
        <v/>
      </c>
      <c r="M99" s="24">
        <f>IF(OR($J99="",ISNUMBER(MATCH($J99,lista_no_disponible,0)),(IFERROR(INDEX('CALENDARIO'!$C$15:$C$214,MATCH(TEXT($L99,"yyyy-mm-dd")&amp;"|"&amp;$D99&amp;"|"&amp;"",'CALENDARIO'!$G$15:$G$214,0)),IFERROR(INDEX('CALENDARIO'!$C$15:$C$214,MATCH(TEXT($L99,"yyyy-mm-dd")&amp;"|"&amp;$D99&amp;"|",'CALENDARIO'!$G$15:$G$214,0)),IFERROR(INDEX('CALENDARIO'!$C$15:$C$214,MATCH(TEXT($L99,"yyyy-mm-dd")&amp;"||",'CALENDARIO'!$G$15:$G$214,0)),INDEX(patronHabil,WEEKDAY($L99,2))))))&lt;&gt;"sí"),0,p_horas_jornada)</f>
        <v/>
      </c>
      <c r="N99" s="24">
        <f>$A99&amp;"|"&amp;$B99&amp;"|"&amp;$C99</f>
        <v/>
      </c>
      <c r="O99" s="24">
        <f>IFERROR(INDEX('CAT_TURNOS'!$C$4:$C$22,MATCH($J99,'CAT_TURNOS'!$A$4:$A$22,0)),"")</f>
        <v/>
      </c>
      <c r="P99" s="24">
        <f>IFERROR(INDEX('CAT_TURNOS'!$D$4:$D$22,MATCH($J99,'CAT_TURNOS'!$A$4:$A$22,0)),"")</f>
        <v/>
      </c>
      <c r="Q99" s="24">
        <f>IF(AND(LEFT($G99,1)="T",$H99="no"),"sí","no")</f>
        <v/>
      </c>
    </row>
    <row r="100">
      <c r="A100" s="5" t="inlineStr">
        <is>
          <t>2026-S30</t>
        </is>
      </c>
      <c r="B100" s="5" t="inlineStr">
        <is>
          <t>sábado</t>
        </is>
      </c>
      <c r="C100" s="5" t="inlineStr">
        <is>
          <t>Fernando Mendoza</t>
        </is>
      </c>
      <c r="D100" s="24">
        <f>IFERROR(INDEX('TECNICOS'!$D$4:$D$19,MATCH($C100,'TECNICOS'!$B$4:$B$19,0)),"")</f>
        <v/>
      </c>
      <c r="E100" s="24">
        <f>IFERROR(INDEX('TECNICOS'!$C$4:$C$19,MATCH($C100,'TECNICOS'!$B$4:$B$19,0)),"")</f>
        <v/>
      </c>
      <c r="F100" s="24">
        <f>COUNTIFS('TECNICOS'!$F$4:$F$19,"sí",'TECNICOS'!$C$4:$C$19,$E100,'TECNICOS'!$D$4:$D$19,$D100,'TECNICOS'!$H$4:$H$19,"sí")</f>
        <v/>
      </c>
      <c r="G100" s="24">
        <f>IF(OR($C100="",$A100="",$B100="domingo",IFERROR(INDEX('TECNICOS'!$H$4:$H$19,MATCH($C100,'TECNICOS'!$B$4:$B$19,0)),"no")&lt;&gt;"sí"),"",IF(IFERROR(INDEX('TECNICOS'!$F$4:$F$19,MATCH($C100,'TECNICOS'!$B$4:$B$19,0)),"no")&lt;&gt;"sí","B",IF(MOD((IFERROR(INDEX('TECNICOS'!$G$4:$G$19,MATCH($C100,'TECNICOS'!$B$4:$B$19,0)),0)-1)+((DATE(VALUE(LEFT($A100,4)),1,4)-WEEKDAY(DATE(VALUE(LEFT($A100,4)),1,4),2)+1+(VALUE(MID($A100,7,2))-1)*7)-p_semana_referencia)/7,$F100)&lt;($F100-3),"B"&amp;(($F100-3)-MOD((IFERROR(INDEX('TECNICOS'!$G$4:$G$19,MATCH($C100,'TECNICOS'!$B$4:$B$19,0)),0)-1)+((DATE(VALUE(LEFT($A100,4)),1,4)-WEEKDAY(DATE(VALUE(LEFT($A100,4)),1,4),2)+1+(VALUE(MID($A100,7,2))-1)*7)-p_semana_referencia)/7,$F100)),"T"&amp;($F100-MOD((IFERROR(INDEX('TECNICOS'!$G$4:$G$19,MATCH($C100,'TECNICOS'!$B$4:$B$19,0)),0)-1)+((DATE(VALUE(LEFT($A100,4)),1,4)-WEEKDAY(DATE(VALUE(LEFT($A100,4)),1,4),2)+1+(VALUE(MID($A100,7,2))-1)*7)-p_semana_referencia)/7,$F100)))))</f>
        <v/>
      </c>
      <c r="H100" s="24">
        <f>IF(COUNTIFS('PLAN_VACACIONES'!$A$4:$A$103,$C100,'PLAN_VACACIONES'!$B$4:$B$103,"&lt;="&amp;$L100,'PLAN_VACACIONES'!$C$4:$C$103,"&gt;="&amp;$L100)&gt;0,"sí","no")</f>
        <v/>
      </c>
      <c r="I100" s="4" t="n"/>
      <c r="J100" s="24">
        <f>IF($I100&lt;&gt;"",$I100,IF($G100="","",IF($H100="sí","VAC",IF(LEFT($G100,1)="B","B",$G100))))</f>
        <v/>
      </c>
      <c r="K100" s="24">
        <f>IFERROR(INDEX('TECNICOS'!$E$4:$E$19,MATCH($C100,'TECNICOS'!$B$4:$B$19,0)),"")</f>
        <v/>
      </c>
      <c r="L100" s="30">
        <f>IF($A100="","",DATE(VALUE(LEFT($A100,4)),1,4)-WEEKDAY(DATE(VALUE(LEFT($A100,4)),1,4),2)+1+(VALUE(MID($A100,7,2))-1)*7+MATCH($B100,lista_dias,0)-1)</f>
        <v/>
      </c>
      <c r="M100" s="24">
        <f>IF(OR($J100="",ISNUMBER(MATCH($J100,lista_no_disponible,0)),(IFERROR(INDEX('CALENDARIO'!$C$15:$C$214,MATCH(TEXT($L100,"yyyy-mm-dd")&amp;"|"&amp;$D100&amp;"|"&amp;"",'CALENDARIO'!$G$15:$G$214,0)),IFERROR(INDEX('CALENDARIO'!$C$15:$C$214,MATCH(TEXT($L100,"yyyy-mm-dd")&amp;"|"&amp;$D100&amp;"|",'CALENDARIO'!$G$15:$G$214,0)),IFERROR(INDEX('CALENDARIO'!$C$15:$C$214,MATCH(TEXT($L100,"yyyy-mm-dd")&amp;"||",'CALENDARIO'!$G$15:$G$214,0)),INDEX(patronHabil,WEEKDAY($L100,2))))))&lt;&gt;"sí"),0,p_horas_jornada)</f>
        <v/>
      </c>
      <c r="N100" s="24">
        <f>$A100&amp;"|"&amp;$B100&amp;"|"&amp;$C100</f>
        <v/>
      </c>
      <c r="O100" s="24">
        <f>IFERROR(INDEX('CAT_TURNOS'!$C$4:$C$22,MATCH($J100,'CAT_TURNOS'!$A$4:$A$22,0)),"")</f>
        <v/>
      </c>
      <c r="P100" s="24">
        <f>IFERROR(INDEX('CAT_TURNOS'!$D$4:$D$22,MATCH($J100,'CAT_TURNOS'!$A$4:$A$22,0)),"")</f>
        <v/>
      </c>
      <c r="Q100" s="24">
        <f>IF(AND(LEFT($G100,1)="T",$H100="no"),"sí","no")</f>
        <v/>
      </c>
    </row>
    <row r="101">
      <c r="A101" s="5" t="inlineStr">
        <is>
          <t>2026-S30</t>
        </is>
      </c>
      <c r="B101" s="5" t="inlineStr">
        <is>
          <t>domingo</t>
        </is>
      </c>
      <c r="C101" s="5" t="inlineStr">
        <is>
          <t>Fernando Mendoza</t>
        </is>
      </c>
      <c r="D101" s="24">
        <f>IFERROR(INDEX('TECNICOS'!$D$4:$D$19,MATCH($C101,'TECNICOS'!$B$4:$B$19,0)),"")</f>
        <v/>
      </c>
      <c r="E101" s="24">
        <f>IFERROR(INDEX('TECNICOS'!$C$4:$C$19,MATCH($C101,'TECNICOS'!$B$4:$B$19,0)),"")</f>
        <v/>
      </c>
      <c r="F101" s="24">
        <f>COUNTIFS('TECNICOS'!$F$4:$F$19,"sí",'TECNICOS'!$C$4:$C$19,$E101,'TECNICOS'!$D$4:$D$19,$D101,'TECNICOS'!$H$4:$H$19,"sí")</f>
        <v/>
      </c>
      <c r="G101" s="24">
        <f>IF(OR($C101="",$A101="",$B101="domingo",IFERROR(INDEX('TECNICOS'!$H$4:$H$19,MATCH($C101,'TECNICOS'!$B$4:$B$19,0)),"no")&lt;&gt;"sí"),"",IF(IFERROR(INDEX('TECNICOS'!$F$4:$F$19,MATCH($C101,'TECNICOS'!$B$4:$B$19,0)),"no")&lt;&gt;"sí","B",IF(MOD((IFERROR(INDEX('TECNICOS'!$G$4:$G$19,MATCH($C101,'TECNICOS'!$B$4:$B$19,0)),0)-1)+((DATE(VALUE(LEFT($A101,4)),1,4)-WEEKDAY(DATE(VALUE(LEFT($A101,4)),1,4),2)+1+(VALUE(MID($A101,7,2))-1)*7)-p_semana_referencia)/7,$F101)&lt;($F101-3),"B"&amp;(($F101-3)-MOD((IFERROR(INDEX('TECNICOS'!$G$4:$G$19,MATCH($C101,'TECNICOS'!$B$4:$B$19,0)),0)-1)+((DATE(VALUE(LEFT($A101,4)),1,4)-WEEKDAY(DATE(VALUE(LEFT($A101,4)),1,4),2)+1+(VALUE(MID($A101,7,2))-1)*7)-p_semana_referencia)/7,$F101)),"T"&amp;($F101-MOD((IFERROR(INDEX('TECNICOS'!$G$4:$G$19,MATCH($C101,'TECNICOS'!$B$4:$B$19,0)),0)-1)+((DATE(VALUE(LEFT($A101,4)),1,4)-WEEKDAY(DATE(VALUE(LEFT($A101,4)),1,4),2)+1+(VALUE(MID($A101,7,2))-1)*7)-p_semana_referencia)/7,$F101)))))</f>
        <v/>
      </c>
      <c r="H101" s="24">
        <f>IF(COUNTIFS('PLAN_VACACIONES'!$A$4:$A$103,$C101,'PLAN_VACACIONES'!$B$4:$B$103,"&lt;="&amp;$L101,'PLAN_VACACIONES'!$C$4:$C$103,"&gt;="&amp;$L101)&gt;0,"sí","no")</f>
        <v/>
      </c>
      <c r="I101" s="4" t="n"/>
      <c r="J101" s="24">
        <f>IF($I101&lt;&gt;"",$I101,IF($G101="","",IF($H101="sí","VAC",IF(LEFT($G101,1)="B","B",$G101))))</f>
        <v/>
      </c>
      <c r="K101" s="24">
        <f>IFERROR(INDEX('TECNICOS'!$E$4:$E$19,MATCH($C101,'TECNICOS'!$B$4:$B$19,0)),"")</f>
        <v/>
      </c>
      <c r="L101" s="30">
        <f>IF($A101="","",DATE(VALUE(LEFT($A101,4)),1,4)-WEEKDAY(DATE(VALUE(LEFT($A101,4)),1,4),2)+1+(VALUE(MID($A101,7,2))-1)*7+MATCH($B101,lista_dias,0)-1)</f>
        <v/>
      </c>
      <c r="M101" s="24">
        <f>IF(OR($J101="",ISNUMBER(MATCH($J101,lista_no_disponible,0)),(IFERROR(INDEX('CALENDARIO'!$C$15:$C$214,MATCH(TEXT($L101,"yyyy-mm-dd")&amp;"|"&amp;$D101&amp;"|"&amp;"",'CALENDARIO'!$G$15:$G$214,0)),IFERROR(INDEX('CALENDARIO'!$C$15:$C$214,MATCH(TEXT($L101,"yyyy-mm-dd")&amp;"|"&amp;$D101&amp;"|",'CALENDARIO'!$G$15:$G$214,0)),IFERROR(INDEX('CALENDARIO'!$C$15:$C$214,MATCH(TEXT($L101,"yyyy-mm-dd")&amp;"||",'CALENDARIO'!$G$15:$G$214,0)),INDEX(patronHabil,WEEKDAY($L101,2))))))&lt;&gt;"sí"),0,p_horas_jornada)</f>
        <v/>
      </c>
      <c r="N101" s="24">
        <f>$A101&amp;"|"&amp;$B101&amp;"|"&amp;$C101</f>
        <v/>
      </c>
      <c r="O101" s="24">
        <f>IFERROR(INDEX('CAT_TURNOS'!$C$4:$C$22,MATCH($J101,'CAT_TURNOS'!$A$4:$A$22,0)),"")</f>
        <v/>
      </c>
      <c r="P101" s="24">
        <f>IFERROR(INDEX('CAT_TURNOS'!$D$4:$D$22,MATCH($J101,'CAT_TURNOS'!$A$4:$A$22,0)),"")</f>
        <v/>
      </c>
      <c r="Q101" s="24">
        <f>IF(AND(LEFT($G101,1)="T",$H101="no"),"sí","no")</f>
        <v/>
      </c>
    </row>
    <row r="102">
      <c r="A102" s="5" t="inlineStr">
        <is>
          <t>2026-S30</t>
        </is>
      </c>
      <c r="B102" s="5" t="inlineStr">
        <is>
          <t>lunes</t>
        </is>
      </c>
      <c r="C102" s="5" t="inlineStr">
        <is>
          <t>Alberto Vargas</t>
        </is>
      </c>
      <c r="D102" s="24">
        <f>IFERROR(INDEX('TECNICOS'!$D$4:$D$19,MATCH($C102,'TECNICOS'!$B$4:$B$19,0)),"")</f>
        <v/>
      </c>
      <c r="E102" s="24">
        <f>IFERROR(INDEX('TECNICOS'!$C$4:$C$19,MATCH($C102,'TECNICOS'!$B$4:$B$19,0)),"")</f>
        <v/>
      </c>
      <c r="F102" s="24">
        <f>COUNTIFS('TECNICOS'!$F$4:$F$19,"sí",'TECNICOS'!$C$4:$C$19,$E102,'TECNICOS'!$D$4:$D$19,$D102,'TECNICOS'!$H$4:$H$19,"sí")</f>
        <v/>
      </c>
      <c r="G102" s="24">
        <f>IF(OR($C102="",$A102="",$B102="domingo",IFERROR(INDEX('TECNICOS'!$H$4:$H$19,MATCH($C102,'TECNICOS'!$B$4:$B$19,0)),"no")&lt;&gt;"sí"),"",IF(IFERROR(INDEX('TECNICOS'!$F$4:$F$19,MATCH($C102,'TECNICOS'!$B$4:$B$19,0)),"no")&lt;&gt;"sí","B",IF(MOD((IFERROR(INDEX('TECNICOS'!$G$4:$G$19,MATCH($C102,'TECNICOS'!$B$4:$B$19,0)),0)-1)+((DATE(VALUE(LEFT($A102,4)),1,4)-WEEKDAY(DATE(VALUE(LEFT($A102,4)),1,4),2)+1+(VALUE(MID($A102,7,2))-1)*7)-p_semana_referencia)/7,$F102)&lt;($F102-3),"B"&amp;(($F102-3)-MOD((IFERROR(INDEX('TECNICOS'!$G$4:$G$19,MATCH($C102,'TECNICOS'!$B$4:$B$19,0)),0)-1)+((DATE(VALUE(LEFT($A102,4)),1,4)-WEEKDAY(DATE(VALUE(LEFT($A102,4)),1,4),2)+1+(VALUE(MID($A102,7,2))-1)*7)-p_semana_referencia)/7,$F102)),"T"&amp;($F102-MOD((IFERROR(INDEX('TECNICOS'!$G$4:$G$19,MATCH($C102,'TECNICOS'!$B$4:$B$19,0)),0)-1)+((DATE(VALUE(LEFT($A102,4)),1,4)-WEEKDAY(DATE(VALUE(LEFT($A102,4)),1,4),2)+1+(VALUE(MID($A102,7,2))-1)*7)-p_semana_referencia)/7,$F102)))))</f>
        <v/>
      </c>
      <c r="H102" s="24">
        <f>IF(COUNTIFS('PLAN_VACACIONES'!$A$4:$A$103,$C102,'PLAN_VACACIONES'!$B$4:$B$103,"&lt;="&amp;$L102,'PLAN_VACACIONES'!$C$4:$C$103,"&gt;="&amp;$L102)&gt;0,"sí","no")</f>
        <v/>
      </c>
      <c r="I102" s="4" t="n"/>
      <c r="J102" s="24">
        <f>IF($I102&lt;&gt;"",$I102,IF($G102="","",IF($H102="sí","VAC",IF(LEFT($G102,1)="B","B",$G102))))</f>
        <v/>
      </c>
      <c r="K102" s="24">
        <f>IFERROR(INDEX('TECNICOS'!$E$4:$E$19,MATCH($C102,'TECNICOS'!$B$4:$B$19,0)),"")</f>
        <v/>
      </c>
      <c r="L102" s="30">
        <f>IF($A102="","",DATE(VALUE(LEFT($A102,4)),1,4)-WEEKDAY(DATE(VALUE(LEFT($A102,4)),1,4),2)+1+(VALUE(MID($A102,7,2))-1)*7+MATCH($B102,lista_dias,0)-1)</f>
        <v/>
      </c>
      <c r="M102" s="24">
        <f>IF(OR($J102="",ISNUMBER(MATCH($J102,lista_no_disponible,0)),(IFERROR(INDEX('CALENDARIO'!$C$15:$C$214,MATCH(TEXT($L102,"yyyy-mm-dd")&amp;"|"&amp;$D102&amp;"|"&amp;"",'CALENDARIO'!$G$15:$G$214,0)),IFERROR(INDEX('CALENDARIO'!$C$15:$C$214,MATCH(TEXT($L102,"yyyy-mm-dd")&amp;"|"&amp;$D102&amp;"|",'CALENDARIO'!$G$15:$G$214,0)),IFERROR(INDEX('CALENDARIO'!$C$15:$C$214,MATCH(TEXT($L102,"yyyy-mm-dd")&amp;"||",'CALENDARIO'!$G$15:$G$214,0)),INDEX(patronHabil,WEEKDAY($L102,2))))))&lt;&gt;"sí"),0,p_horas_jornada)</f>
        <v/>
      </c>
      <c r="N102" s="24">
        <f>$A102&amp;"|"&amp;$B102&amp;"|"&amp;$C102</f>
        <v/>
      </c>
      <c r="O102" s="24">
        <f>IFERROR(INDEX('CAT_TURNOS'!$C$4:$C$22,MATCH($J102,'CAT_TURNOS'!$A$4:$A$22,0)),"")</f>
        <v/>
      </c>
      <c r="P102" s="24">
        <f>IFERROR(INDEX('CAT_TURNOS'!$D$4:$D$22,MATCH($J102,'CAT_TURNOS'!$A$4:$A$22,0)),"")</f>
        <v/>
      </c>
      <c r="Q102" s="24">
        <f>IF(AND(LEFT($G102,1)="T",$H102="no"),"sí","no")</f>
        <v/>
      </c>
    </row>
    <row r="103">
      <c r="A103" s="5" t="inlineStr">
        <is>
          <t>2026-S30</t>
        </is>
      </c>
      <c r="B103" s="5" t="inlineStr">
        <is>
          <t>martes</t>
        </is>
      </c>
      <c r="C103" s="5" t="inlineStr">
        <is>
          <t>Alberto Vargas</t>
        </is>
      </c>
      <c r="D103" s="24">
        <f>IFERROR(INDEX('TECNICOS'!$D$4:$D$19,MATCH($C103,'TECNICOS'!$B$4:$B$19,0)),"")</f>
        <v/>
      </c>
      <c r="E103" s="24">
        <f>IFERROR(INDEX('TECNICOS'!$C$4:$C$19,MATCH($C103,'TECNICOS'!$B$4:$B$19,0)),"")</f>
        <v/>
      </c>
      <c r="F103" s="24">
        <f>COUNTIFS('TECNICOS'!$F$4:$F$19,"sí",'TECNICOS'!$C$4:$C$19,$E103,'TECNICOS'!$D$4:$D$19,$D103,'TECNICOS'!$H$4:$H$19,"sí")</f>
        <v/>
      </c>
      <c r="G103" s="24">
        <f>IF(OR($C103="",$A103="",$B103="domingo",IFERROR(INDEX('TECNICOS'!$H$4:$H$19,MATCH($C103,'TECNICOS'!$B$4:$B$19,0)),"no")&lt;&gt;"sí"),"",IF(IFERROR(INDEX('TECNICOS'!$F$4:$F$19,MATCH($C103,'TECNICOS'!$B$4:$B$19,0)),"no")&lt;&gt;"sí","B",IF(MOD((IFERROR(INDEX('TECNICOS'!$G$4:$G$19,MATCH($C103,'TECNICOS'!$B$4:$B$19,0)),0)-1)+((DATE(VALUE(LEFT($A103,4)),1,4)-WEEKDAY(DATE(VALUE(LEFT($A103,4)),1,4),2)+1+(VALUE(MID($A103,7,2))-1)*7)-p_semana_referencia)/7,$F103)&lt;($F103-3),"B"&amp;(($F103-3)-MOD((IFERROR(INDEX('TECNICOS'!$G$4:$G$19,MATCH($C103,'TECNICOS'!$B$4:$B$19,0)),0)-1)+((DATE(VALUE(LEFT($A103,4)),1,4)-WEEKDAY(DATE(VALUE(LEFT($A103,4)),1,4),2)+1+(VALUE(MID($A103,7,2))-1)*7)-p_semana_referencia)/7,$F103)),"T"&amp;($F103-MOD((IFERROR(INDEX('TECNICOS'!$G$4:$G$19,MATCH($C103,'TECNICOS'!$B$4:$B$19,0)),0)-1)+((DATE(VALUE(LEFT($A103,4)),1,4)-WEEKDAY(DATE(VALUE(LEFT($A103,4)),1,4),2)+1+(VALUE(MID($A103,7,2))-1)*7)-p_semana_referencia)/7,$F103)))))</f>
        <v/>
      </c>
      <c r="H103" s="24">
        <f>IF(COUNTIFS('PLAN_VACACIONES'!$A$4:$A$103,$C103,'PLAN_VACACIONES'!$B$4:$B$103,"&lt;="&amp;$L103,'PLAN_VACACIONES'!$C$4:$C$103,"&gt;="&amp;$L103)&gt;0,"sí","no")</f>
        <v/>
      </c>
      <c r="I103" s="4" t="n"/>
      <c r="J103" s="24">
        <f>IF($I103&lt;&gt;"",$I103,IF($G103="","",IF($H103="sí","VAC",IF(LEFT($G103,1)="B","B",$G103))))</f>
        <v/>
      </c>
      <c r="K103" s="24">
        <f>IFERROR(INDEX('TECNICOS'!$E$4:$E$19,MATCH($C103,'TECNICOS'!$B$4:$B$19,0)),"")</f>
        <v/>
      </c>
      <c r="L103" s="30">
        <f>IF($A103="","",DATE(VALUE(LEFT($A103,4)),1,4)-WEEKDAY(DATE(VALUE(LEFT($A103,4)),1,4),2)+1+(VALUE(MID($A103,7,2))-1)*7+MATCH($B103,lista_dias,0)-1)</f>
        <v/>
      </c>
      <c r="M103" s="24">
        <f>IF(OR($J103="",ISNUMBER(MATCH($J103,lista_no_disponible,0)),(IFERROR(INDEX('CALENDARIO'!$C$15:$C$214,MATCH(TEXT($L103,"yyyy-mm-dd")&amp;"|"&amp;$D103&amp;"|"&amp;"",'CALENDARIO'!$G$15:$G$214,0)),IFERROR(INDEX('CALENDARIO'!$C$15:$C$214,MATCH(TEXT($L103,"yyyy-mm-dd")&amp;"|"&amp;$D103&amp;"|",'CALENDARIO'!$G$15:$G$214,0)),IFERROR(INDEX('CALENDARIO'!$C$15:$C$214,MATCH(TEXT($L103,"yyyy-mm-dd")&amp;"||",'CALENDARIO'!$G$15:$G$214,0)),INDEX(patronHabil,WEEKDAY($L103,2))))))&lt;&gt;"sí"),0,p_horas_jornada)</f>
        <v/>
      </c>
      <c r="N103" s="24">
        <f>$A103&amp;"|"&amp;$B103&amp;"|"&amp;$C103</f>
        <v/>
      </c>
      <c r="O103" s="24">
        <f>IFERROR(INDEX('CAT_TURNOS'!$C$4:$C$22,MATCH($J103,'CAT_TURNOS'!$A$4:$A$22,0)),"")</f>
        <v/>
      </c>
      <c r="P103" s="24">
        <f>IFERROR(INDEX('CAT_TURNOS'!$D$4:$D$22,MATCH($J103,'CAT_TURNOS'!$A$4:$A$22,0)),"")</f>
        <v/>
      </c>
      <c r="Q103" s="24">
        <f>IF(AND(LEFT($G103,1)="T",$H103="no"),"sí","no")</f>
        <v/>
      </c>
    </row>
    <row r="104">
      <c r="A104" s="5" t="inlineStr">
        <is>
          <t>2026-S30</t>
        </is>
      </c>
      <c r="B104" s="5" t="inlineStr">
        <is>
          <t>miércoles</t>
        </is>
      </c>
      <c r="C104" s="5" t="inlineStr">
        <is>
          <t>Alberto Vargas</t>
        </is>
      </c>
      <c r="D104" s="24">
        <f>IFERROR(INDEX('TECNICOS'!$D$4:$D$19,MATCH($C104,'TECNICOS'!$B$4:$B$19,0)),"")</f>
        <v/>
      </c>
      <c r="E104" s="24">
        <f>IFERROR(INDEX('TECNICOS'!$C$4:$C$19,MATCH($C104,'TECNICOS'!$B$4:$B$19,0)),"")</f>
        <v/>
      </c>
      <c r="F104" s="24">
        <f>COUNTIFS('TECNICOS'!$F$4:$F$19,"sí",'TECNICOS'!$C$4:$C$19,$E104,'TECNICOS'!$D$4:$D$19,$D104,'TECNICOS'!$H$4:$H$19,"sí")</f>
        <v/>
      </c>
      <c r="G104" s="24">
        <f>IF(OR($C104="",$A104="",$B104="domingo",IFERROR(INDEX('TECNICOS'!$H$4:$H$19,MATCH($C104,'TECNICOS'!$B$4:$B$19,0)),"no")&lt;&gt;"sí"),"",IF(IFERROR(INDEX('TECNICOS'!$F$4:$F$19,MATCH($C104,'TECNICOS'!$B$4:$B$19,0)),"no")&lt;&gt;"sí","B",IF(MOD((IFERROR(INDEX('TECNICOS'!$G$4:$G$19,MATCH($C104,'TECNICOS'!$B$4:$B$19,0)),0)-1)+((DATE(VALUE(LEFT($A104,4)),1,4)-WEEKDAY(DATE(VALUE(LEFT($A104,4)),1,4),2)+1+(VALUE(MID($A104,7,2))-1)*7)-p_semana_referencia)/7,$F104)&lt;($F104-3),"B"&amp;(($F104-3)-MOD((IFERROR(INDEX('TECNICOS'!$G$4:$G$19,MATCH($C104,'TECNICOS'!$B$4:$B$19,0)),0)-1)+((DATE(VALUE(LEFT($A104,4)),1,4)-WEEKDAY(DATE(VALUE(LEFT($A104,4)),1,4),2)+1+(VALUE(MID($A104,7,2))-1)*7)-p_semana_referencia)/7,$F104)),"T"&amp;($F104-MOD((IFERROR(INDEX('TECNICOS'!$G$4:$G$19,MATCH($C104,'TECNICOS'!$B$4:$B$19,0)),0)-1)+((DATE(VALUE(LEFT($A104,4)),1,4)-WEEKDAY(DATE(VALUE(LEFT($A104,4)),1,4),2)+1+(VALUE(MID($A104,7,2))-1)*7)-p_semana_referencia)/7,$F104)))))</f>
        <v/>
      </c>
      <c r="H104" s="24">
        <f>IF(COUNTIFS('PLAN_VACACIONES'!$A$4:$A$103,$C104,'PLAN_VACACIONES'!$B$4:$B$103,"&lt;="&amp;$L104,'PLAN_VACACIONES'!$C$4:$C$103,"&gt;="&amp;$L104)&gt;0,"sí","no")</f>
        <v/>
      </c>
      <c r="I104" s="4" t="n"/>
      <c r="J104" s="24">
        <f>IF($I104&lt;&gt;"",$I104,IF($G104="","",IF($H104="sí","VAC",IF(LEFT($G104,1)="B","B",$G104))))</f>
        <v/>
      </c>
      <c r="K104" s="24">
        <f>IFERROR(INDEX('TECNICOS'!$E$4:$E$19,MATCH($C104,'TECNICOS'!$B$4:$B$19,0)),"")</f>
        <v/>
      </c>
      <c r="L104" s="30">
        <f>IF($A104="","",DATE(VALUE(LEFT($A104,4)),1,4)-WEEKDAY(DATE(VALUE(LEFT($A104,4)),1,4),2)+1+(VALUE(MID($A104,7,2))-1)*7+MATCH($B104,lista_dias,0)-1)</f>
        <v/>
      </c>
      <c r="M104" s="24">
        <f>IF(OR($J104="",ISNUMBER(MATCH($J104,lista_no_disponible,0)),(IFERROR(INDEX('CALENDARIO'!$C$15:$C$214,MATCH(TEXT($L104,"yyyy-mm-dd")&amp;"|"&amp;$D104&amp;"|"&amp;"",'CALENDARIO'!$G$15:$G$214,0)),IFERROR(INDEX('CALENDARIO'!$C$15:$C$214,MATCH(TEXT($L104,"yyyy-mm-dd")&amp;"|"&amp;$D104&amp;"|",'CALENDARIO'!$G$15:$G$214,0)),IFERROR(INDEX('CALENDARIO'!$C$15:$C$214,MATCH(TEXT($L104,"yyyy-mm-dd")&amp;"||",'CALENDARIO'!$G$15:$G$214,0)),INDEX(patronHabil,WEEKDAY($L104,2))))))&lt;&gt;"sí"),0,p_horas_jornada)</f>
        <v/>
      </c>
      <c r="N104" s="24">
        <f>$A104&amp;"|"&amp;$B104&amp;"|"&amp;$C104</f>
        <v/>
      </c>
      <c r="O104" s="24">
        <f>IFERROR(INDEX('CAT_TURNOS'!$C$4:$C$22,MATCH($J104,'CAT_TURNOS'!$A$4:$A$22,0)),"")</f>
        <v/>
      </c>
      <c r="P104" s="24">
        <f>IFERROR(INDEX('CAT_TURNOS'!$D$4:$D$22,MATCH($J104,'CAT_TURNOS'!$A$4:$A$22,0)),"")</f>
        <v/>
      </c>
      <c r="Q104" s="24">
        <f>IF(AND(LEFT($G104,1)="T",$H104="no"),"sí","no")</f>
        <v/>
      </c>
    </row>
    <row r="105">
      <c r="A105" s="5" t="inlineStr">
        <is>
          <t>2026-S30</t>
        </is>
      </c>
      <c r="B105" s="5" t="inlineStr">
        <is>
          <t>jueves</t>
        </is>
      </c>
      <c r="C105" s="5" t="inlineStr">
        <is>
          <t>Alberto Vargas</t>
        </is>
      </c>
      <c r="D105" s="24">
        <f>IFERROR(INDEX('TECNICOS'!$D$4:$D$19,MATCH($C105,'TECNICOS'!$B$4:$B$19,0)),"")</f>
        <v/>
      </c>
      <c r="E105" s="24">
        <f>IFERROR(INDEX('TECNICOS'!$C$4:$C$19,MATCH($C105,'TECNICOS'!$B$4:$B$19,0)),"")</f>
        <v/>
      </c>
      <c r="F105" s="24">
        <f>COUNTIFS('TECNICOS'!$F$4:$F$19,"sí",'TECNICOS'!$C$4:$C$19,$E105,'TECNICOS'!$D$4:$D$19,$D105,'TECNICOS'!$H$4:$H$19,"sí")</f>
        <v/>
      </c>
      <c r="G105" s="24">
        <f>IF(OR($C105="",$A105="",$B105="domingo",IFERROR(INDEX('TECNICOS'!$H$4:$H$19,MATCH($C105,'TECNICOS'!$B$4:$B$19,0)),"no")&lt;&gt;"sí"),"",IF(IFERROR(INDEX('TECNICOS'!$F$4:$F$19,MATCH($C105,'TECNICOS'!$B$4:$B$19,0)),"no")&lt;&gt;"sí","B",IF(MOD((IFERROR(INDEX('TECNICOS'!$G$4:$G$19,MATCH($C105,'TECNICOS'!$B$4:$B$19,0)),0)-1)+((DATE(VALUE(LEFT($A105,4)),1,4)-WEEKDAY(DATE(VALUE(LEFT($A105,4)),1,4),2)+1+(VALUE(MID($A105,7,2))-1)*7)-p_semana_referencia)/7,$F105)&lt;($F105-3),"B"&amp;(($F105-3)-MOD((IFERROR(INDEX('TECNICOS'!$G$4:$G$19,MATCH($C105,'TECNICOS'!$B$4:$B$19,0)),0)-1)+((DATE(VALUE(LEFT($A105,4)),1,4)-WEEKDAY(DATE(VALUE(LEFT($A105,4)),1,4),2)+1+(VALUE(MID($A105,7,2))-1)*7)-p_semana_referencia)/7,$F105)),"T"&amp;($F105-MOD((IFERROR(INDEX('TECNICOS'!$G$4:$G$19,MATCH($C105,'TECNICOS'!$B$4:$B$19,0)),0)-1)+((DATE(VALUE(LEFT($A105,4)),1,4)-WEEKDAY(DATE(VALUE(LEFT($A105,4)),1,4),2)+1+(VALUE(MID($A105,7,2))-1)*7)-p_semana_referencia)/7,$F105)))))</f>
        <v/>
      </c>
      <c r="H105" s="24">
        <f>IF(COUNTIFS('PLAN_VACACIONES'!$A$4:$A$103,$C105,'PLAN_VACACIONES'!$B$4:$B$103,"&lt;="&amp;$L105,'PLAN_VACACIONES'!$C$4:$C$103,"&gt;="&amp;$L105)&gt;0,"sí","no")</f>
        <v/>
      </c>
      <c r="I105" s="4" t="n"/>
      <c r="J105" s="24">
        <f>IF($I105&lt;&gt;"",$I105,IF($G105="","",IF($H105="sí","VAC",IF(LEFT($G105,1)="B","B",$G105))))</f>
        <v/>
      </c>
      <c r="K105" s="24">
        <f>IFERROR(INDEX('TECNICOS'!$E$4:$E$19,MATCH($C105,'TECNICOS'!$B$4:$B$19,0)),"")</f>
        <v/>
      </c>
      <c r="L105" s="30">
        <f>IF($A105="","",DATE(VALUE(LEFT($A105,4)),1,4)-WEEKDAY(DATE(VALUE(LEFT($A105,4)),1,4),2)+1+(VALUE(MID($A105,7,2))-1)*7+MATCH($B105,lista_dias,0)-1)</f>
        <v/>
      </c>
      <c r="M105" s="24">
        <f>IF(OR($J105="",ISNUMBER(MATCH($J105,lista_no_disponible,0)),(IFERROR(INDEX('CALENDARIO'!$C$15:$C$214,MATCH(TEXT($L105,"yyyy-mm-dd")&amp;"|"&amp;$D105&amp;"|"&amp;"",'CALENDARIO'!$G$15:$G$214,0)),IFERROR(INDEX('CALENDARIO'!$C$15:$C$214,MATCH(TEXT($L105,"yyyy-mm-dd")&amp;"|"&amp;$D105&amp;"|",'CALENDARIO'!$G$15:$G$214,0)),IFERROR(INDEX('CALENDARIO'!$C$15:$C$214,MATCH(TEXT($L105,"yyyy-mm-dd")&amp;"||",'CALENDARIO'!$G$15:$G$214,0)),INDEX(patronHabil,WEEKDAY($L105,2))))))&lt;&gt;"sí"),0,p_horas_jornada)</f>
        <v/>
      </c>
      <c r="N105" s="24">
        <f>$A105&amp;"|"&amp;$B105&amp;"|"&amp;$C105</f>
        <v/>
      </c>
      <c r="O105" s="24">
        <f>IFERROR(INDEX('CAT_TURNOS'!$C$4:$C$22,MATCH($J105,'CAT_TURNOS'!$A$4:$A$22,0)),"")</f>
        <v/>
      </c>
      <c r="P105" s="24">
        <f>IFERROR(INDEX('CAT_TURNOS'!$D$4:$D$22,MATCH($J105,'CAT_TURNOS'!$A$4:$A$22,0)),"")</f>
        <v/>
      </c>
      <c r="Q105" s="24">
        <f>IF(AND(LEFT($G105,1)="T",$H105="no"),"sí","no")</f>
        <v/>
      </c>
    </row>
    <row r="106">
      <c r="A106" s="5" t="inlineStr">
        <is>
          <t>2026-S30</t>
        </is>
      </c>
      <c r="B106" s="5" t="inlineStr">
        <is>
          <t>viernes</t>
        </is>
      </c>
      <c r="C106" s="5" t="inlineStr">
        <is>
          <t>Alberto Vargas</t>
        </is>
      </c>
      <c r="D106" s="24">
        <f>IFERROR(INDEX('TECNICOS'!$D$4:$D$19,MATCH($C106,'TECNICOS'!$B$4:$B$19,0)),"")</f>
        <v/>
      </c>
      <c r="E106" s="24">
        <f>IFERROR(INDEX('TECNICOS'!$C$4:$C$19,MATCH($C106,'TECNICOS'!$B$4:$B$19,0)),"")</f>
        <v/>
      </c>
      <c r="F106" s="24">
        <f>COUNTIFS('TECNICOS'!$F$4:$F$19,"sí",'TECNICOS'!$C$4:$C$19,$E106,'TECNICOS'!$D$4:$D$19,$D106,'TECNICOS'!$H$4:$H$19,"sí")</f>
        <v/>
      </c>
      <c r="G106" s="24">
        <f>IF(OR($C106="",$A106="",$B106="domingo",IFERROR(INDEX('TECNICOS'!$H$4:$H$19,MATCH($C106,'TECNICOS'!$B$4:$B$19,0)),"no")&lt;&gt;"sí"),"",IF(IFERROR(INDEX('TECNICOS'!$F$4:$F$19,MATCH($C106,'TECNICOS'!$B$4:$B$19,0)),"no")&lt;&gt;"sí","B",IF(MOD((IFERROR(INDEX('TECNICOS'!$G$4:$G$19,MATCH($C106,'TECNICOS'!$B$4:$B$19,0)),0)-1)+((DATE(VALUE(LEFT($A106,4)),1,4)-WEEKDAY(DATE(VALUE(LEFT($A106,4)),1,4),2)+1+(VALUE(MID($A106,7,2))-1)*7)-p_semana_referencia)/7,$F106)&lt;($F106-3),"B"&amp;(($F106-3)-MOD((IFERROR(INDEX('TECNICOS'!$G$4:$G$19,MATCH($C106,'TECNICOS'!$B$4:$B$19,0)),0)-1)+((DATE(VALUE(LEFT($A106,4)),1,4)-WEEKDAY(DATE(VALUE(LEFT($A106,4)),1,4),2)+1+(VALUE(MID($A106,7,2))-1)*7)-p_semana_referencia)/7,$F106)),"T"&amp;($F106-MOD((IFERROR(INDEX('TECNICOS'!$G$4:$G$19,MATCH($C106,'TECNICOS'!$B$4:$B$19,0)),0)-1)+((DATE(VALUE(LEFT($A106,4)),1,4)-WEEKDAY(DATE(VALUE(LEFT($A106,4)),1,4),2)+1+(VALUE(MID($A106,7,2))-1)*7)-p_semana_referencia)/7,$F106)))))</f>
        <v/>
      </c>
      <c r="H106" s="24">
        <f>IF(COUNTIFS('PLAN_VACACIONES'!$A$4:$A$103,$C106,'PLAN_VACACIONES'!$B$4:$B$103,"&lt;="&amp;$L106,'PLAN_VACACIONES'!$C$4:$C$103,"&gt;="&amp;$L106)&gt;0,"sí","no")</f>
        <v/>
      </c>
      <c r="I106" s="4" t="n"/>
      <c r="J106" s="24">
        <f>IF($I106&lt;&gt;"",$I106,IF($G106="","",IF($H106="sí","VAC",IF(LEFT($G106,1)="B","B",$G106))))</f>
        <v/>
      </c>
      <c r="K106" s="24">
        <f>IFERROR(INDEX('TECNICOS'!$E$4:$E$19,MATCH($C106,'TECNICOS'!$B$4:$B$19,0)),"")</f>
        <v/>
      </c>
      <c r="L106" s="30">
        <f>IF($A106="","",DATE(VALUE(LEFT($A106,4)),1,4)-WEEKDAY(DATE(VALUE(LEFT($A106,4)),1,4),2)+1+(VALUE(MID($A106,7,2))-1)*7+MATCH($B106,lista_dias,0)-1)</f>
        <v/>
      </c>
      <c r="M106" s="24">
        <f>IF(OR($J106="",ISNUMBER(MATCH($J106,lista_no_disponible,0)),(IFERROR(INDEX('CALENDARIO'!$C$15:$C$214,MATCH(TEXT($L106,"yyyy-mm-dd")&amp;"|"&amp;$D106&amp;"|"&amp;"",'CALENDARIO'!$G$15:$G$214,0)),IFERROR(INDEX('CALENDARIO'!$C$15:$C$214,MATCH(TEXT($L106,"yyyy-mm-dd")&amp;"|"&amp;$D106&amp;"|",'CALENDARIO'!$G$15:$G$214,0)),IFERROR(INDEX('CALENDARIO'!$C$15:$C$214,MATCH(TEXT($L106,"yyyy-mm-dd")&amp;"||",'CALENDARIO'!$G$15:$G$214,0)),INDEX(patronHabil,WEEKDAY($L106,2))))))&lt;&gt;"sí"),0,p_horas_jornada)</f>
        <v/>
      </c>
      <c r="N106" s="24">
        <f>$A106&amp;"|"&amp;$B106&amp;"|"&amp;$C106</f>
        <v/>
      </c>
      <c r="O106" s="24">
        <f>IFERROR(INDEX('CAT_TURNOS'!$C$4:$C$22,MATCH($J106,'CAT_TURNOS'!$A$4:$A$22,0)),"")</f>
        <v/>
      </c>
      <c r="P106" s="24">
        <f>IFERROR(INDEX('CAT_TURNOS'!$D$4:$D$22,MATCH($J106,'CAT_TURNOS'!$A$4:$A$22,0)),"")</f>
        <v/>
      </c>
      <c r="Q106" s="24">
        <f>IF(AND(LEFT($G106,1)="T",$H106="no"),"sí","no")</f>
        <v/>
      </c>
    </row>
    <row r="107">
      <c r="A107" s="5" t="inlineStr">
        <is>
          <t>2026-S30</t>
        </is>
      </c>
      <c r="B107" s="5" t="inlineStr">
        <is>
          <t>sábado</t>
        </is>
      </c>
      <c r="C107" s="5" t="inlineStr">
        <is>
          <t>Alberto Vargas</t>
        </is>
      </c>
      <c r="D107" s="24">
        <f>IFERROR(INDEX('TECNICOS'!$D$4:$D$19,MATCH($C107,'TECNICOS'!$B$4:$B$19,0)),"")</f>
        <v/>
      </c>
      <c r="E107" s="24">
        <f>IFERROR(INDEX('TECNICOS'!$C$4:$C$19,MATCH($C107,'TECNICOS'!$B$4:$B$19,0)),"")</f>
        <v/>
      </c>
      <c r="F107" s="24">
        <f>COUNTIFS('TECNICOS'!$F$4:$F$19,"sí",'TECNICOS'!$C$4:$C$19,$E107,'TECNICOS'!$D$4:$D$19,$D107,'TECNICOS'!$H$4:$H$19,"sí")</f>
        <v/>
      </c>
      <c r="G107" s="24">
        <f>IF(OR($C107="",$A107="",$B107="domingo",IFERROR(INDEX('TECNICOS'!$H$4:$H$19,MATCH($C107,'TECNICOS'!$B$4:$B$19,0)),"no")&lt;&gt;"sí"),"",IF(IFERROR(INDEX('TECNICOS'!$F$4:$F$19,MATCH($C107,'TECNICOS'!$B$4:$B$19,0)),"no")&lt;&gt;"sí","B",IF(MOD((IFERROR(INDEX('TECNICOS'!$G$4:$G$19,MATCH($C107,'TECNICOS'!$B$4:$B$19,0)),0)-1)+((DATE(VALUE(LEFT($A107,4)),1,4)-WEEKDAY(DATE(VALUE(LEFT($A107,4)),1,4),2)+1+(VALUE(MID($A107,7,2))-1)*7)-p_semana_referencia)/7,$F107)&lt;($F107-3),"B"&amp;(($F107-3)-MOD((IFERROR(INDEX('TECNICOS'!$G$4:$G$19,MATCH($C107,'TECNICOS'!$B$4:$B$19,0)),0)-1)+((DATE(VALUE(LEFT($A107,4)),1,4)-WEEKDAY(DATE(VALUE(LEFT($A107,4)),1,4),2)+1+(VALUE(MID($A107,7,2))-1)*7)-p_semana_referencia)/7,$F107)),"T"&amp;($F107-MOD((IFERROR(INDEX('TECNICOS'!$G$4:$G$19,MATCH($C107,'TECNICOS'!$B$4:$B$19,0)),0)-1)+((DATE(VALUE(LEFT($A107,4)),1,4)-WEEKDAY(DATE(VALUE(LEFT($A107,4)),1,4),2)+1+(VALUE(MID($A107,7,2))-1)*7)-p_semana_referencia)/7,$F107)))))</f>
        <v/>
      </c>
      <c r="H107" s="24">
        <f>IF(COUNTIFS('PLAN_VACACIONES'!$A$4:$A$103,$C107,'PLAN_VACACIONES'!$B$4:$B$103,"&lt;="&amp;$L107,'PLAN_VACACIONES'!$C$4:$C$103,"&gt;="&amp;$L107)&gt;0,"sí","no")</f>
        <v/>
      </c>
      <c r="I107" s="4" t="n"/>
      <c r="J107" s="24">
        <f>IF($I107&lt;&gt;"",$I107,IF($G107="","",IF($H107="sí","VAC",IF(LEFT($G107,1)="B","B",$G107))))</f>
        <v/>
      </c>
      <c r="K107" s="24">
        <f>IFERROR(INDEX('TECNICOS'!$E$4:$E$19,MATCH($C107,'TECNICOS'!$B$4:$B$19,0)),"")</f>
        <v/>
      </c>
      <c r="L107" s="30">
        <f>IF($A107="","",DATE(VALUE(LEFT($A107,4)),1,4)-WEEKDAY(DATE(VALUE(LEFT($A107,4)),1,4),2)+1+(VALUE(MID($A107,7,2))-1)*7+MATCH($B107,lista_dias,0)-1)</f>
        <v/>
      </c>
      <c r="M107" s="24">
        <f>IF(OR($J107="",ISNUMBER(MATCH($J107,lista_no_disponible,0)),(IFERROR(INDEX('CALENDARIO'!$C$15:$C$214,MATCH(TEXT($L107,"yyyy-mm-dd")&amp;"|"&amp;$D107&amp;"|"&amp;"",'CALENDARIO'!$G$15:$G$214,0)),IFERROR(INDEX('CALENDARIO'!$C$15:$C$214,MATCH(TEXT($L107,"yyyy-mm-dd")&amp;"|"&amp;$D107&amp;"|",'CALENDARIO'!$G$15:$G$214,0)),IFERROR(INDEX('CALENDARIO'!$C$15:$C$214,MATCH(TEXT($L107,"yyyy-mm-dd")&amp;"||",'CALENDARIO'!$G$15:$G$214,0)),INDEX(patronHabil,WEEKDAY($L107,2))))))&lt;&gt;"sí"),0,p_horas_jornada)</f>
        <v/>
      </c>
      <c r="N107" s="24">
        <f>$A107&amp;"|"&amp;$B107&amp;"|"&amp;$C107</f>
        <v/>
      </c>
      <c r="O107" s="24">
        <f>IFERROR(INDEX('CAT_TURNOS'!$C$4:$C$22,MATCH($J107,'CAT_TURNOS'!$A$4:$A$22,0)),"")</f>
        <v/>
      </c>
      <c r="P107" s="24">
        <f>IFERROR(INDEX('CAT_TURNOS'!$D$4:$D$22,MATCH($J107,'CAT_TURNOS'!$A$4:$A$22,0)),"")</f>
        <v/>
      </c>
      <c r="Q107" s="24">
        <f>IF(AND(LEFT($G107,1)="T",$H107="no"),"sí","no")</f>
        <v/>
      </c>
    </row>
    <row r="108">
      <c r="A108" s="5" t="inlineStr">
        <is>
          <t>2026-S30</t>
        </is>
      </c>
      <c r="B108" s="5" t="inlineStr">
        <is>
          <t>domingo</t>
        </is>
      </c>
      <c r="C108" s="5" t="inlineStr">
        <is>
          <t>Alberto Vargas</t>
        </is>
      </c>
      <c r="D108" s="24">
        <f>IFERROR(INDEX('TECNICOS'!$D$4:$D$19,MATCH($C108,'TECNICOS'!$B$4:$B$19,0)),"")</f>
        <v/>
      </c>
      <c r="E108" s="24">
        <f>IFERROR(INDEX('TECNICOS'!$C$4:$C$19,MATCH($C108,'TECNICOS'!$B$4:$B$19,0)),"")</f>
        <v/>
      </c>
      <c r="F108" s="24">
        <f>COUNTIFS('TECNICOS'!$F$4:$F$19,"sí",'TECNICOS'!$C$4:$C$19,$E108,'TECNICOS'!$D$4:$D$19,$D108,'TECNICOS'!$H$4:$H$19,"sí")</f>
        <v/>
      </c>
      <c r="G108" s="24">
        <f>IF(OR($C108="",$A108="",$B108="domingo",IFERROR(INDEX('TECNICOS'!$H$4:$H$19,MATCH($C108,'TECNICOS'!$B$4:$B$19,0)),"no")&lt;&gt;"sí"),"",IF(IFERROR(INDEX('TECNICOS'!$F$4:$F$19,MATCH($C108,'TECNICOS'!$B$4:$B$19,0)),"no")&lt;&gt;"sí","B",IF(MOD((IFERROR(INDEX('TECNICOS'!$G$4:$G$19,MATCH($C108,'TECNICOS'!$B$4:$B$19,0)),0)-1)+((DATE(VALUE(LEFT($A108,4)),1,4)-WEEKDAY(DATE(VALUE(LEFT($A108,4)),1,4),2)+1+(VALUE(MID($A108,7,2))-1)*7)-p_semana_referencia)/7,$F108)&lt;($F108-3),"B"&amp;(($F108-3)-MOD((IFERROR(INDEX('TECNICOS'!$G$4:$G$19,MATCH($C108,'TECNICOS'!$B$4:$B$19,0)),0)-1)+((DATE(VALUE(LEFT($A108,4)),1,4)-WEEKDAY(DATE(VALUE(LEFT($A108,4)),1,4),2)+1+(VALUE(MID($A108,7,2))-1)*7)-p_semana_referencia)/7,$F108)),"T"&amp;($F108-MOD((IFERROR(INDEX('TECNICOS'!$G$4:$G$19,MATCH($C108,'TECNICOS'!$B$4:$B$19,0)),0)-1)+((DATE(VALUE(LEFT($A108,4)),1,4)-WEEKDAY(DATE(VALUE(LEFT($A108,4)),1,4),2)+1+(VALUE(MID($A108,7,2))-1)*7)-p_semana_referencia)/7,$F108)))))</f>
        <v/>
      </c>
      <c r="H108" s="24">
        <f>IF(COUNTIFS('PLAN_VACACIONES'!$A$4:$A$103,$C108,'PLAN_VACACIONES'!$B$4:$B$103,"&lt;="&amp;$L108,'PLAN_VACACIONES'!$C$4:$C$103,"&gt;="&amp;$L108)&gt;0,"sí","no")</f>
        <v/>
      </c>
      <c r="I108" s="4" t="n"/>
      <c r="J108" s="24">
        <f>IF($I108&lt;&gt;"",$I108,IF($G108="","",IF($H108="sí","VAC",IF(LEFT($G108,1)="B","B",$G108))))</f>
        <v/>
      </c>
      <c r="K108" s="24">
        <f>IFERROR(INDEX('TECNICOS'!$E$4:$E$19,MATCH($C108,'TECNICOS'!$B$4:$B$19,0)),"")</f>
        <v/>
      </c>
      <c r="L108" s="30">
        <f>IF($A108="","",DATE(VALUE(LEFT($A108,4)),1,4)-WEEKDAY(DATE(VALUE(LEFT($A108,4)),1,4),2)+1+(VALUE(MID($A108,7,2))-1)*7+MATCH($B108,lista_dias,0)-1)</f>
        <v/>
      </c>
      <c r="M108" s="24">
        <f>IF(OR($J108="",ISNUMBER(MATCH($J108,lista_no_disponible,0)),(IFERROR(INDEX('CALENDARIO'!$C$15:$C$214,MATCH(TEXT($L108,"yyyy-mm-dd")&amp;"|"&amp;$D108&amp;"|"&amp;"",'CALENDARIO'!$G$15:$G$214,0)),IFERROR(INDEX('CALENDARIO'!$C$15:$C$214,MATCH(TEXT($L108,"yyyy-mm-dd")&amp;"|"&amp;$D108&amp;"|",'CALENDARIO'!$G$15:$G$214,0)),IFERROR(INDEX('CALENDARIO'!$C$15:$C$214,MATCH(TEXT($L108,"yyyy-mm-dd")&amp;"||",'CALENDARIO'!$G$15:$G$214,0)),INDEX(patronHabil,WEEKDAY($L108,2))))))&lt;&gt;"sí"),0,p_horas_jornada)</f>
        <v/>
      </c>
      <c r="N108" s="24">
        <f>$A108&amp;"|"&amp;$B108&amp;"|"&amp;$C108</f>
        <v/>
      </c>
      <c r="O108" s="24">
        <f>IFERROR(INDEX('CAT_TURNOS'!$C$4:$C$22,MATCH($J108,'CAT_TURNOS'!$A$4:$A$22,0)),"")</f>
        <v/>
      </c>
      <c r="P108" s="24">
        <f>IFERROR(INDEX('CAT_TURNOS'!$D$4:$D$22,MATCH($J108,'CAT_TURNOS'!$A$4:$A$22,0)),"")</f>
        <v/>
      </c>
      <c r="Q108" s="24">
        <f>IF(AND(LEFT($G108,1)="T",$H108="no"),"sí","no")</f>
        <v/>
      </c>
    </row>
    <row r="109">
      <c r="A109" s="5" t="inlineStr">
        <is>
          <t>2026-S30</t>
        </is>
      </c>
      <c r="B109" s="5" t="inlineStr">
        <is>
          <t>lunes</t>
        </is>
      </c>
      <c r="C109" s="5" t="inlineStr">
        <is>
          <t>Daniela Medina</t>
        </is>
      </c>
      <c r="D109" s="24">
        <f>IFERROR(INDEX('TECNICOS'!$D$4:$D$19,MATCH($C109,'TECNICOS'!$B$4:$B$19,0)),"")</f>
        <v/>
      </c>
      <c r="E109" s="24">
        <f>IFERROR(INDEX('TECNICOS'!$C$4:$C$19,MATCH($C109,'TECNICOS'!$B$4:$B$19,0)),"")</f>
        <v/>
      </c>
      <c r="F109" s="24">
        <f>COUNTIFS('TECNICOS'!$F$4:$F$19,"sí",'TECNICOS'!$C$4:$C$19,$E109,'TECNICOS'!$D$4:$D$19,$D109,'TECNICOS'!$H$4:$H$19,"sí")</f>
        <v/>
      </c>
      <c r="G109" s="24">
        <f>IF(OR($C109="",$A109="",$B109="domingo",IFERROR(INDEX('TECNICOS'!$H$4:$H$19,MATCH($C109,'TECNICOS'!$B$4:$B$19,0)),"no")&lt;&gt;"sí"),"",IF(IFERROR(INDEX('TECNICOS'!$F$4:$F$19,MATCH($C109,'TECNICOS'!$B$4:$B$19,0)),"no")&lt;&gt;"sí","B",IF(MOD((IFERROR(INDEX('TECNICOS'!$G$4:$G$19,MATCH($C109,'TECNICOS'!$B$4:$B$19,0)),0)-1)+((DATE(VALUE(LEFT($A109,4)),1,4)-WEEKDAY(DATE(VALUE(LEFT($A109,4)),1,4),2)+1+(VALUE(MID($A109,7,2))-1)*7)-p_semana_referencia)/7,$F109)&lt;($F109-3),"B"&amp;(($F109-3)-MOD((IFERROR(INDEX('TECNICOS'!$G$4:$G$19,MATCH($C109,'TECNICOS'!$B$4:$B$19,0)),0)-1)+((DATE(VALUE(LEFT($A109,4)),1,4)-WEEKDAY(DATE(VALUE(LEFT($A109,4)),1,4),2)+1+(VALUE(MID($A109,7,2))-1)*7)-p_semana_referencia)/7,$F109)),"T"&amp;($F109-MOD((IFERROR(INDEX('TECNICOS'!$G$4:$G$19,MATCH($C109,'TECNICOS'!$B$4:$B$19,0)),0)-1)+((DATE(VALUE(LEFT($A109,4)),1,4)-WEEKDAY(DATE(VALUE(LEFT($A109,4)),1,4),2)+1+(VALUE(MID($A109,7,2))-1)*7)-p_semana_referencia)/7,$F109)))))</f>
        <v/>
      </c>
      <c r="H109" s="24">
        <f>IF(COUNTIFS('PLAN_VACACIONES'!$A$4:$A$103,$C109,'PLAN_VACACIONES'!$B$4:$B$103,"&lt;="&amp;$L109,'PLAN_VACACIONES'!$C$4:$C$103,"&gt;="&amp;$L109)&gt;0,"sí","no")</f>
        <v/>
      </c>
      <c r="I109" s="4" t="n"/>
      <c r="J109" s="24">
        <f>IF($I109&lt;&gt;"",$I109,IF($G109="","",IF($H109="sí","VAC",IF(LEFT($G109,1)="B","B",$G109))))</f>
        <v/>
      </c>
      <c r="K109" s="24">
        <f>IFERROR(INDEX('TECNICOS'!$E$4:$E$19,MATCH($C109,'TECNICOS'!$B$4:$B$19,0)),"")</f>
        <v/>
      </c>
      <c r="L109" s="30">
        <f>IF($A109="","",DATE(VALUE(LEFT($A109,4)),1,4)-WEEKDAY(DATE(VALUE(LEFT($A109,4)),1,4),2)+1+(VALUE(MID($A109,7,2))-1)*7+MATCH($B109,lista_dias,0)-1)</f>
        <v/>
      </c>
      <c r="M109" s="24">
        <f>IF(OR($J109="",ISNUMBER(MATCH($J109,lista_no_disponible,0)),(IFERROR(INDEX('CALENDARIO'!$C$15:$C$214,MATCH(TEXT($L109,"yyyy-mm-dd")&amp;"|"&amp;$D109&amp;"|"&amp;"",'CALENDARIO'!$G$15:$G$214,0)),IFERROR(INDEX('CALENDARIO'!$C$15:$C$214,MATCH(TEXT($L109,"yyyy-mm-dd")&amp;"|"&amp;$D109&amp;"|",'CALENDARIO'!$G$15:$G$214,0)),IFERROR(INDEX('CALENDARIO'!$C$15:$C$214,MATCH(TEXT($L109,"yyyy-mm-dd")&amp;"||",'CALENDARIO'!$G$15:$G$214,0)),INDEX(patronHabil,WEEKDAY($L109,2))))))&lt;&gt;"sí"),0,p_horas_jornada)</f>
        <v/>
      </c>
      <c r="N109" s="24">
        <f>$A109&amp;"|"&amp;$B109&amp;"|"&amp;$C109</f>
        <v/>
      </c>
      <c r="O109" s="24">
        <f>IFERROR(INDEX('CAT_TURNOS'!$C$4:$C$22,MATCH($J109,'CAT_TURNOS'!$A$4:$A$22,0)),"")</f>
        <v/>
      </c>
      <c r="P109" s="24">
        <f>IFERROR(INDEX('CAT_TURNOS'!$D$4:$D$22,MATCH($J109,'CAT_TURNOS'!$A$4:$A$22,0)),"")</f>
        <v/>
      </c>
      <c r="Q109" s="24">
        <f>IF(AND(LEFT($G109,1)="T",$H109="no"),"sí","no")</f>
        <v/>
      </c>
    </row>
    <row r="110">
      <c r="A110" s="5" t="inlineStr">
        <is>
          <t>2026-S30</t>
        </is>
      </c>
      <c r="B110" s="5" t="inlineStr">
        <is>
          <t>martes</t>
        </is>
      </c>
      <c r="C110" s="5" t="inlineStr">
        <is>
          <t>Daniela Medina</t>
        </is>
      </c>
      <c r="D110" s="24">
        <f>IFERROR(INDEX('TECNICOS'!$D$4:$D$19,MATCH($C110,'TECNICOS'!$B$4:$B$19,0)),"")</f>
        <v/>
      </c>
      <c r="E110" s="24">
        <f>IFERROR(INDEX('TECNICOS'!$C$4:$C$19,MATCH($C110,'TECNICOS'!$B$4:$B$19,0)),"")</f>
        <v/>
      </c>
      <c r="F110" s="24">
        <f>COUNTIFS('TECNICOS'!$F$4:$F$19,"sí",'TECNICOS'!$C$4:$C$19,$E110,'TECNICOS'!$D$4:$D$19,$D110,'TECNICOS'!$H$4:$H$19,"sí")</f>
        <v/>
      </c>
      <c r="G110" s="24">
        <f>IF(OR($C110="",$A110="",$B110="domingo",IFERROR(INDEX('TECNICOS'!$H$4:$H$19,MATCH($C110,'TECNICOS'!$B$4:$B$19,0)),"no")&lt;&gt;"sí"),"",IF(IFERROR(INDEX('TECNICOS'!$F$4:$F$19,MATCH($C110,'TECNICOS'!$B$4:$B$19,0)),"no")&lt;&gt;"sí","B",IF(MOD((IFERROR(INDEX('TECNICOS'!$G$4:$G$19,MATCH($C110,'TECNICOS'!$B$4:$B$19,0)),0)-1)+((DATE(VALUE(LEFT($A110,4)),1,4)-WEEKDAY(DATE(VALUE(LEFT($A110,4)),1,4),2)+1+(VALUE(MID($A110,7,2))-1)*7)-p_semana_referencia)/7,$F110)&lt;($F110-3),"B"&amp;(($F110-3)-MOD((IFERROR(INDEX('TECNICOS'!$G$4:$G$19,MATCH($C110,'TECNICOS'!$B$4:$B$19,0)),0)-1)+((DATE(VALUE(LEFT($A110,4)),1,4)-WEEKDAY(DATE(VALUE(LEFT($A110,4)),1,4),2)+1+(VALUE(MID($A110,7,2))-1)*7)-p_semana_referencia)/7,$F110)),"T"&amp;($F110-MOD((IFERROR(INDEX('TECNICOS'!$G$4:$G$19,MATCH($C110,'TECNICOS'!$B$4:$B$19,0)),0)-1)+((DATE(VALUE(LEFT($A110,4)),1,4)-WEEKDAY(DATE(VALUE(LEFT($A110,4)),1,4),2)+1+(VALUE(MID($A110,7,2))-1)*7)-p_semana_referencia)/7,$F110)))))</f>
        <v/>
      </c>
      <c r="H110" s="24">
        <f>IF(COUNTIFS('PLAN_VACACIONES'!$A$4:$A$103,$C110,'PLAN_VACACIONES'!$B$4:$B$103,"&lt;="&amp;$L110,'PLAN_VACACIONES'!$C$4:$C$103,"&gt;="&amp;$L110)&gt;0,"sí","no")</f>
        <v/>
      </c>
      <c r="I110" s="4" t="n"/>
      <c r="J110" s="24">
        <f>IF($I110&lt;&gt;"",$I110,IF($G110="","",IF($H110="sí","VAC",IF(LEFT($G110,1)="B","B",$G110))))</f>
        <v/>
      </c>
      <c r="K110" s="24">
        <f>IFERROR(INDEX('TECNICOS'!$E$4:$E$19,MATCH($C110,'TECNICOS'!$B$4:$B$19,0)),"")</f>
        <v/>
      </c>
      <c r="L110" s="30">
        <f>IF($A110="","",DATE(VALUE(LEFT($A110,4)),1,4)-WEEKDAY(DATE(VALUE(LEFT($A110,4)),1,4),2)+1+(VALUE(MID($A110,7,2))-1)*7+MATCH($B110,lista_dias,0)-1)</f>
        <v/>
      </c>
      <c r="M110" s="24">
        <f>IF(OR($J110="",ISNUMBER(MATCH($J110,lista_no_disponible,0)),(IFERROR(INDEX('CALENDARIO'!$C$15:$C$214,MATCH(TEXT($L110,"yyyy-mm-dd")&amp;"|"&amp;$D110&amp;"|"&amp;"",'CALENDARIO'!$G$15:$G$214,0)),IFERROR(INDEX('CALENDARIO'!$C$15:$C$214,MATCH(TEXT($L110,"yyyy-mm-dd")&amp;"|"&amp;$D110&amp;"|",'CALENDARIO'!$G$15:$G$214,0)),IFERROR(INDEX('CALENDARIO'!$C$15:$C$214,MATCH(TEXT($L110,"yyyy-mm-dd")&amp;"||",'CALENDARIO'!$G$15:$G$214,0)),INDEX(patronHabil,WEEKDAY($L110,2))))))&lt;&gt;"sí"),0,p_horas_jornada)</f>
        <v/>
      </c>
      <c r="N110" s="24">
        <f>$A110&amp;"|"&amp;$B110&amp;"|"&amp;$C110</f>
        <v/>
      </c>
      <c r="O110" s="24">
        <f>IFERROR(INDEX('CAT_TURNOS'!$C$4:$C$22,MATCH($J110,'CAT_TURNOS'!$A$4:$A$22,0)),"")</f>
        <v/>
      </c>
      <c r="P110" s="24">
        <f>IFERROR(INDEX('CAT_TURNOS'!$D$4:$D$22,MATCH($J110,'CAT_TURNOS'!$A$4:$A$22,0)),"")</f>
        <v/>
      </c>
      <c r="Q110" s="24">
        <f>IF(AND(LEFT($G110,1)="T",$H110="no"),"sí","no")</f>
        <v/>
      </c>
    </row>
    <row r="111">
      <c r="A111" s="5" t="inlineStr">
        <is>
          <t>2026-S30</t>
        </is>
      </c>
      <c r="B111" s="5" t="inlineStr">
        <is>
          <t>miércoles</t>
        </is>
      </c>
      <c r="C111" s="5" t="inlineStr">
        <is>
          <t>Daniela Medina</t>
        </is>
      </c>
      <c r="D111" s="24">
        <f>IFERROR(INDEX('TECNICOS'!$D$4:$D$19,MATCH($C111,'TECNICOS'!$B$4:$B$19,0)),"")</f>
        <v/>
      </c>
      <c r="E111" s="24">
        <f>IFERROR(INDEX('TECNICOS'!$C$4:$C$19,MATCH($C111,'TECNICOS'!$B$4:$B$19,0)),"")</f>
        <v/>
      </c>
      <c r="F111" s="24">
        <f>COUNTIFS('TECNICOS'!$F$4:$F$19,"sí",'TECNICOS'!$C$4:$C$19,$E111,'TECNICOS'!$D$4:$D$19,$D111,'TECNICOS'!$H$4:$H$19,"sí")</f>
        <v/>
      </c>
      <c r="G111" s="24">
        <f>IF(OR($C111="",$A111="",$B111="domingo",IFERROR(INDEX('TECNICOS'!$H$4:$H$19,MATCH($C111,'TECNICOS'!$B$4:$B$19,0)),"no")&lt;&gt;"sí"),"",IF(IFERROR(INDEX('TECNICOS'!$F$4:$F$19,MATCH($C111,'TECNICOS'!$B$4:$B$19,0)),"no")&lt;&gt;"sí","B",IF(MOD((IFERROR(INDEX('TECNICOS'!$G$4:$G$19,MATCH($C111,'TECNICOS'!$B$4:$B$19,0)),0)-1)+((DATE(VALUE(LEFT($A111,4)),1,4)-WEEKDAY(DATE(VALUE(LEFT($A111,4)),1,4),2)+1+(VALUE(MID($A111,7,2))-1)*7)-p_semana_referencia)/7,$F111)&lt;($F111-3),"B"&amp;(($F111-3)-MOD((IFERROR(INDEX('TECNICOS'!$G$4:$G$19,MATCH($C111,'TECNICOS'!$B$4:$B$19,0)),0)-1)+((DATE(VALUE(LEFT($A111,4)),1,4)-WEEKDAY(DATE(VALUE(LEFT($A111,4)),1,4),2)+1+(VALUE(MID($A111,7,2))-1)*7)-p_semana_referencia)/7,$F111)),"T"&amp;($F111-MOD((IFERROR(INDEX('TECNICOS'!$G$4:$G$19,MATCH($C111,'TECNICOS'!$B$4:$B$19,0)),0)-1)+((DATE(VALUE(LEFT($A111,4)),1,4)-WEEKDAY(DATE(VALUE(LEFT($A111,4)),1,4),2)+1+(VALUE(MID($A111,7,2))-1)*7)-p_semana_referencia)/7,$F111)))))</f>
        <v/>
      </c>
      <c r="H111" s="24">
        <f>IF(COUNTIFS('PLAN_VACACIONES'!$A$4:$A$103,$C111,'PLAN_VACACIONES'!$B$4:$B$103,"&lt;="&amp;$L111,'PLAN_VACACIONES'!$C$4:$C$103,"&gt;="&amp;$L111)&gt;0,"sí","no")</f>
        <v/>
      </c>
      <c r="I111" s="4" t="n"/>
      <c r="J111" s="24">
        <f>IF($I111&lt;&gt;"",$I111,IF($G111="","",IF($H111="sí","VAC",IF(LEFT($G111,1)="B","B",$G111))))</f>
        <v/>
      </c>
      <c r="K111" s="24">
        <f>IFERROR(INDEX('TECNICOS'!$E$4:$E$19,MATCH($C111,'TECNICOS'!$B$4:$B$19,0)),"")</f>
        <v/>
      </c>
      <c r="L111" s="30">
        <f>IF($A111="","",DATE(VALUE(LEFT($A111,4)),1,4)-WEEKDAY(DATE(VALUE(LEFT($A111,4)),1,4),2)+1+(VALUE(MID($A111,7,2))-1)*7+MATCH($B111,lista_dias,0)-1)</f>
        <v/>
      </c>
      <c r="M111" s="24">
        <f>IF(OR($J111="",ISNUMBER(MATCH($J111,lista_no_disponible,0)),(IFERROR(INDEX('CALENDARIO'!$C$15:$C$214,MATCH(TEXT($L111,"yyyy-mm-dd")&amp;"|"&amp;$D111&amp;"|"&amp;"",'CALENDARIO'!$G$15:$G$214,0)),IFERROR(INDEX('CALENDARIO'!$C$15:$C$214,MATCH(TEXT($L111,"yyyy-mm-dd")&amp;"|"&amp;$D111&amp;"|",'CALENDARIO'!$G$15:$G$214,0)),IFERROR(INDEX('CALENDARIO'!$C$15:$C$214,MATCH(TEXT($L111,"yyyy-mm-dd")&amp;"||",'CALENDARIO'!$G$15:$G$214,0)),INDEX(patronHabil,WEEKDAY($L111,2))))))&lt;&gt;"sí"),0,p_horas_jornada)</f>
        <v/>
      </c>
      <c r="N111" s="24">
        <f>$A111&amp;"|"&amp;$B111&amp;"|"&amp;$C111</f>
        <v/>
      </c>
      <c r="O111" s="24">
        <f>IFERROR(INDEX('CAT_TURNOS'!$C$4:$C$22,MATCH($J111,'CAT_TURNOS'!$A$4:$A$22,0)),"")</f>
        <v/>
      </c>
      <c r="P111" s="24">
        <f>IFERROR(INDEX('CAT_TURNOS'!$D$4:$D$22,MATCH($J111,'CAT_TURNOS'!$A$4:$A$22,0)),"")</f>
        <v/>
      </c>
      <c r="Q111" s="24">
        <f>IF(AND(LEFT($G111,1)="T",$H111="no"),"sí","no")</f>
        <v/>
      </c>
    </row>
    <row r="112">
      <c r="A112" s="5" t="inlineStr">
        <is>
          <t>2026-S30</t>
        </is>
      </c>
      <c r="B112" s="5" t="inlineStr">
        <is>
          <t>jueves</t>
        </is>
      </c>
      <c r="C112" s="5" t="inlineStr">
        <is>
          <t>Daniela Medina</t>
        </is>
      </c>
      <c r="D112" s="24">
        <f>IFERROR(INDEX('TECNICOS'!$D$4:$D$19,MATCH($C112,'TECNICOS'!$B$4:$B$19,0)),"")</f>
        <v/>
      </c>
      <c r="E112" s="24">
        <f>IFERROR(INDEX('TECNICOS'!$C$4:$C$19,MATCH($C112,'TECNICOS'!$B$4:$B$19,0)),"")</f>
        <v/>
      </c>
      <c r="F112" s="24">
        <f>COUNTIFS('TECNICOS'!$F$4:$F$19,"sí",'TECNICOS'!$C$4:$C$19,$E112,'TECNICOS'!$D$4:$D$19,$D112,'TECNICOS'!$H$4:$H$19,"sí")</f>
        <v/>
      </c>
      <c r="G112" s="24">
        <f>IF(OR($C112="",$A112="",$B112="domingo",IFERROR(INDEX('TECNICOS'!$H$4:$H$19,MATCH($C112,'TECNICOS'!$B$4:$B$19,0)),"no")&lt;&gt;"sí"),"",IF(IFERROR(INDEX('TECNICOS'!$F$4:$F$19,MATCH($C112,'TECNICOS'!$B$4:$B$19,0)),"no")&lt;&gt;"sí","B",IF(MOD((IFERROR(INDEX('TECNICOS'!$G$4:$G$19,MATCH($C112,'TECNICOS'!$B$4:$B$19,0)),0)-1)+((DATE(VALUE(LEFT($A112,4)),1,4)-WEEKDAY(DATE(VALUE(LEFT($A112,4)),1,4),2)+1+(VALUE(MID($A112,7,2))-1)*7)-p_semana_referencia)/7,$F112)&lt;($F112-3),"B"&amp;(($F112-3)-MOD((IFERROR(INDEX('TECNICOS'!$G$4:$G$19,MATCH($C112,'TECNICOS'!$B$4:$B$19,0)),0)-1)+((DATE(VALUE(LEFT($A112,4)),1,4)-WEEKDAY(DATE(VALUE(LEFT($A112,4)),1,4),2)+1+(VALUE(MID($A112,7,2))-1)*7)-p_semana_referencia)/7,$F112)),"T"&amp;($F112-MOD((IFERROR(INDEX('TECNICOS'!$G$4:$G$19,MATCH($C112,'TECNICOS'!$B$4:$B$19,0)),0)-1)+((DATE(VALUE(LEFT($A112,4)),1,4)-WEEKDAY(DATE(VALUE(LEFT($A112,4)),1,4),2)+1+(VALUE(MID($A112,7,2))-1)*7)-p_semana_referencia)/7,$F112)))))</f>
        <v/>
      </c>
      <c r="H112" s="24">
        <f>IF(COUNTIFS('PLAN_VACACIONES'!$A$4:$A$103,$C112,'PLAN_VACACIONES'!$B$4:$B$103,"&lt;="&amp;$L112,'PLAN_VACACIONES'!$C$4:$C$103,"&gt;="&amp;$L112)&gt;0,"sí","no")</f>
        <v/>
      </c>
      <c r="I112" s="4" t="n"/>
      <c r="J112" s="24">
        <f>IF($I112&lt;&gt;"",$I112,IF($G112="","",IF($H112="sí","VAC",IF(LEFT($G112,1)="B","B",$G112))))</f>
        <v/>
      </c>
      <c r="K112" s="24">
        <f>IFERROR(INDEX('TECNICOS'!$E$4:$E$19,MATCH($C112,'TECNICOS'!$B$4:$B$19,0)),"")</f>
        <v/>
      </c>
      <c r="L112" s="30">
        <f>IF($A112="","",DATE(VALUE(LEFT($A112,4)),1,4)-WEEKDAY(DATE(VALUE(LEFT($A112,4)),1,4),2)+1+(VALUE(MID($A112,7,2))-1)*7+MATCH($B112,lista_dias,0)-1)</f>
        <v/>
      </c>
      <c r="M112" s="24">
        <f>IF(OR($J112="",ISNUMBER(MATCH($J112,lista_no_disponible,0)),(IFERROR(INDEX('CALENDARIO'!$C$15:$C$214,MATCH(TEXT($L112,"yyyy-mm-dd")&amp;"|"&amp;$D112&amp;"|"&amp;"",'CALENDARIO'!$G$15:$G$214,0)),IFERROR(INDEX('CALENDARIO'!$C$15:$C$214,MATCH(TEXT($L112,"yyyy-mm-dd")&amp;"|"&amp;$D112&amp;"|",'CALENDARIO'!$G$15:$G$214,0)),IFERROR(INDEX('CALENDARIO'!$C$15:$C$214,MATCH(TEXT($L112,"yyyy-mm-dd")&amp;"||",'CALENDARIO'!$G$15:$G$214,0)),INDEX(patronHabil,WEEKDAY($L112,2))))))&lt;&gt;"sí"),0,p_horas_jornada)</f>
        <v/>
      </c>
      <c r="N112" s="24">
        <f>$A112&amp;"|"&amp;$B112&amp;"|"&amp;$C112</f>
        <v/>
      </c>
      <c r="O112" s="24">
        <f>IFERROR(INDEX('CAT_TURNOS'!$C$4:$C$22,MATCH($J112,'CAT_TURNOS'!$A$4:$A$22,0)),"")</f>
        <v/>
      </c>
      <c r="P112" s="24">
        <f>IFERROR(INDEX('CAT_TURNOS'!$D$4:$D$22,MATCH($J112,'CAT_TURNOS'!$A$4:$A$22,0)),"")</f>
        <v/>
      </c>
      <c r="Q112" s="24">
        <f>IF(AND(LEFT($G112,1)="T",$H112="no"),"sí","no")</f>
        <v/>
      </c>
    </row>
    <row r="113">
      <c r="A113" s="5" t="inlineStr">
        <is>
          <t>2026-S30</t>
        </is>
      </c>
      <c r="B113" s="5" t="inlineStr">
        <is>
          <t>viernes</t>
        </is>
      </c>
      <c r="C113" s="5" t="inlineStr">
        <is>
          <t>Daniela Medina</t>
        </is>
      </c>
      <c r="D113" s="24">
        <f>IFERROR(INDEX('TECNICOS'!$D$4:$D$19,MATCH($C113,'TECNICOS'!$B$4:$B$19,0)),"")</f>
        <v/>
      </c>
      <c r="E113" s="24">
        <f>IFERROR(INDEX('TECNICOS'!$C$4:$C$19,MATCH($C113,'TECNICOS'!$B$4:$B$19,0)),"")</f>
        <v/>
      </c>
      <c r="F113" s="24">
        <f>COUNTIFS('TECNICOS'!$F$4:$F$19,"sí",'TECNICOS'!$C$4:$C$19,$E113,'TECNICOS'!$D$4:$D$19,$D113,'TECNICOS'!$H$4:$H$19,"sí")</f>
        <v/>
      </c>
      <c r="G113" s="24">
        <f>IF(OR($C113="",$A113="",$B113="domingo",IFERROR(INDEX('TECNICOS'!$H$4:$H$19,MATCH($C113,'TECNICOS'!$B$4:$B$19,0)),"no")&lt;&gt;"sí"),"",IF(IFERROR(INDEX('TECNICOS'!$F$4:$F$19,MATCH($C113,'TECNICOS'!$B$4:$B$19,0)),"no")&lt;&gt;"sí","B",IF(MOD((IFERROR(INDEX('TECNICOS'!$G$4:$G$19,MATCH($C113,'TECNICOS'!$B$4:$B$19,0)),0)-1)+((DATE(VALUE(LEFT($A113,4)),1,4)-WEEKDAY(DATE(VALUE(LEFT($A113,4)),1,4),2)+1+(VALUE(MID($A113,7,2))-1)*7)-p_semana_referencia)/7,$F113)&lt;($F113-3),"B"&amp;(($F113-3)-MOD((IFERROR(INDEX('TECNICOS'!$G$4:$G$19,MATCH($C113,'TECNICOS'!$B$4:$B$19,0)),0)-1)+((DATE(VALUE(LEFT($A113,4)),1,4)-WEEKDAY(DATE(VALUE(LEFT($A113,4)),1,4),2)+1+(VALUE(MID($A113,7,2))-1)*7)-p_semana_referencia)/7,$F113)),"T"&amp;($F113-MOD((IFERROR(INDEX('TECNICOS'!$G$4:$G$19,MATCH($C113,'TECNICOS'!$B$4:$B$19,0)),0)-1)+((DATE(VALUE(LEFT($A113,4)),1,4)-WEEKDAY(DATE(VALUE(LEFT($A113,4)),1,4),2)+1+(VALUE(MID($A113,7,2))-1)*7)-p_semana_referencia)/7,$F113)))))</f>
        <v/>
      </c>
      <c r="H113" s="24">
        <f>IF(COUNTIFS('PLAN_VACACIONES'!$A$4:$A$103,$C113,'PLAN_VACACIONES'!$B$4:$B$103,"&lt;="&amp;$L113,'PLAN_VACACIONES'!$C$4:$C$103,"&gt;="&amp;$L113)&gt;0,"sí","no")</f>
        <v/>
      </c>
      <c r="I113" s="4" t="n"/>
      <c r="J113" s="24">
        <f>IF($I113&lt;&gt;"",$I113,IF($G113="","",IF($H113="sí","VAC",IF(LEFT($G113,1)="B","B",$G113))))</f>
        <v/>
      </c>
      <c r="K113" s="24">
        <f>IFERROR(INDEX('TECNICOS'!$E$4:$E$19,MATCH($C113,'TECNICOS'!$B$4:$B$19,0)),"")</f>
        <v/>
      </c>
      <c r="L113" s="30">
        <f>IF($A113="","",DATE(VALUE(LEFT($A113,4)),1,4)-WEEKDAY(DATE(VALUE(LEFT($A113,4)),1,4),2)+1+(VALUE(MID($A113,7,2))-1)*7+MATCH($B113,lista_dias,0)-1)</f>
        <v/>
      </c>
      <c r="M113" s="24">
        <f>IF(OR($J113="",ISNUMBER(MATCH($J113,lista_no_disponible,0)),(IFERROR(INDEX('CALENDARIO'!$C$15:$C$214,MATCH(TEXT($L113,"yyyy-mm-dd")&amp;"|"&amp;$D113&amp;"|"&amp;"",'CALENDARIO'!$G$15:$G$214,0)),IFERROR(INDEX('CALENDARIO'!$C$15:$C$214,MATCH(TEXT($L113,"yyyy-mm-dd")&amp;"|"&amp;$D113&amp;"|",'CALENDARIO'!$G$15:$G$214,0)),IFERROR(INDEX('CALENDARIO'!$C$15:$C$214,MATCH(TEXT($L113,"yyyy-mm-dd")&amp;"||",'CALENDARIO'!$G$15:$G$214,0)),INDEX(patronHabil,WEEKDAY($L113,2))))))&lt;&gt;"sí"),0,p_horas_jornada)</f>
        <v/>
      </c>
      <c r="N113" s="24">
        <f>$A113&amp;"|"&amp;$B113&amp;"|"&amp;$C113</f>
        <v/>
      </c>
      <c r="O113" s="24">
        <f>IFERROR(INDEX('CAT_TURNOS'!$C$4:$C$22,MATCH($J113,'CAT_TURNOS'!$A$4:$A$22,0)),"")</f>
        <v/>
      </c>
      <c r="P113" s="24">
        <f>IFERROR(INDEX('CAT_TURNOS'!$D$4:$D$22,MATCH($J113,'CAT_TURNOS'!$A$4:$A$22,0)),"")</f>
        <v/>
      </c>
      <c r="Q113" s="24">
        <f>IF(AND(LEFT($G113,1)="T",$H113="no"),"sí","no")</f>
        <v/>
      </c>
    </row>
    <row r="114">
      <c r="A114" s="5" t="inlineStr">
        <is>
          <t>2026-S30</t>
        </is>
      </c>
      <c r="B114" s="5" t="inlineStr">
        <is>
          <t>sábado</t>
        </is>
      </c>
      <c r="C114" s="5" t="inlineStr">
        <is>
          <t>Daniela Medina</t>
        </is>
      </c>
      <c r="D114" s="24">
        <f>IFERROR(INDEX('TECNICOS'!$D$4:$D$19,MATCH($C114,'TECNICOS'!$B$4:$B$19,0)),"")</f>
        <v/>
      </c>
      <c r="E114" s="24">
        <f>IFERROR(INDEX('TECNICOS'!$C$4:$C$19,MATCH($C114,'TECNICOS'!$B$4:$B$19,0)),"")</f>
        <v/>
      </c>
      <c r="F114" s="24">
        <f>COUNTIFS('TECNICOS'!$F$4:$F$19,"sí",'TECNICOS'!$C$4:$C$19,$E114,'TECNICOS'!$D$4:$D$19,$D114,'TECNICOS'!$H$4:$H$19,"sí")</f>
        <v/>
      </c>
      <c r="G114" s="24">
        <f>IF(OR($C114="",$A114="",$B114="domingo",IFERROR(INDEX('TECNICOS'!$H$4:$H$19,MATCH($C114,'TECNICOS'!$B$4:$B$19,0)),"no")&lt;&gt;"sí"),"",IF(IFERROR(INDEX('TECNICOS'!$F$4:$F$19,MATCH($C114,'TECNICOS'!$B$4:$B$19,0)),"no")&lt;&gt;"sí","B",IF(MOD((IFERROR(INDEX('TECNICOS'!$G$4:$G$19,MATCH($C114,'TECNICOS'!$B$4:$B$19,0)),0)-1)+((DATE(VALUE(LEFT($A114,4)),1,4)-WEEKDAY(DATE(VALUE(LEFT($A114,4)),1,4),2)+1+(VALUE(MID($A114,7,2))-1)*7)-p_semana_referencia)/7,$F114)&lt;($F114-3),"B"&amp;(($F114-3)-MOD((IFERROR(INDEX('TECNICOS'!$G$4:$G$19,MATCH($C114,'TECNICOS'!$B$4:$B$19,0)),0)-1)+((DATE(VALUE(LEFT($A114,4)),1,4)-WEEKDAY(DATE(VALUE(LEFT($A114,4)),1,4),2)+1+(VALUE(MID($A114,7,2))-1)*7)-p_semana_referencia)/7,$F114)),"T"&amp;($F114-MOD((IFERROR(INDEX('TECNICOS'!$G$4:$G$19,MATCH($C114,'TECNICOS'!$B$4:$B$19,0)),0)-1)+((DATE(VALUE(LEFT($A114,4)),1,4)-WEEKDAY(DATE(VALUE(LEFT($A114,4)),1,4),2)+1+(VALUE(MID($A114,7,2))-1)*7)-p_semana_referencia)/7,$F114)))))</f>
        <v/>
      </c>
      <c r="H114" s="24">
        <f>IF(COUNTIFS('PLAN_VACACIONES'!$A$4:$A$103,$C114,'PLAN_VACACIONES'!$B$4:$B$103,"&lt;="&amp;$L114,'PLAN_VACACIONES'!$C$4:$C$103,"&gt;="&amp;$L114)&gt;0,"sí","no")</f>
        <v/>
      </c>
      <c r="I114" s="4" t="n"/>
      <c r="J114" s="24">
        <f>IF($I114&lt;&gt;"",$I114,IF($G114="","",IF($H114="sí","VAC",IF(LEFT($G114,1)="B","B",$G114))))</f>
        <v/>
      </c>
      <c r="K114" s="24">
        <f>IFERROR(INDEX('TECNICOS'!$E$4:$E$19,MATCH($C114,'TECNICOS'!$B$4:$B$19,0)),"")</f>
        <v/>
      </c>
      <c r="L114" s="30">
        <f>IF($A114="","",DATE(VALUE(LEFT($A114,4)),1,4)-WEEKDAY(DATE(VALUE(LEFT($A114,4)),1,4),2)+1+(VALUE(MID($A114,7,2))-1)*7+MATCH($B114,lista_dias,0)-1)</f>
        <v/>
      </c>
      <c r="M114" s="24">
        <f>IF(OR($J114="",ISNUMBER(MATCH($J114,lista_no_disponible,0)),(IFERROR(INDEX('CALENDARIO'!$C$15:$C$214,MATCH(TEXT($L114,"yyyy-mm-dd")&amp;"|"&amp;$D114&amp;"|"&amp;"",'CALENDARIO'!$G$15:$G$214,0)),IFERROR(INDEX('CALENDARIO'!$C$15:$C$214,MATCH(TEXT($L114,"yyyy-mm-dd")&amp;"|"&amp;$D114&amp;"|",'CALENDARIO'!$G$15:$G$214,0)),IFERROR(INDEX('CALENDARIO'!$C$15:$C$214,MATCH(TEXT($L114,"yyyy-mm-dd")&amp;"||",'CALENDARIO'!$G$15:$G$214,0)),INDEX(patronHabil,WEEKDAY($L114,2))))))&lt;&gt;"sí"),0,p_horas_jornada)</f>
        <v/>
      </c>
      <c r="N114" s="24">
        <f>$A114&amp;"|"&amp;$B114&amp;"|"&amp;$C114</f>
        <v/>
      </c>
      <c r="O114" s="24">
        <f>IFERROR(INDEX('CAT_TURNOS'!$C$4:$C$22,MATCH($J114,'CAT_TURNOS'!$A$4:$A$22,0)),"")</f>
        <v/>
      </c>
      <c r="P114" s="24">
        <f>IFERROR(INDEX('CAT_TURNOS'!$D$4:$D$22,MATCH($J114,'CAT_TURNOS'!$A$4:$A$22,0)),"")</f>
        <v/>
      </c>
      <c r="Q114" s="24">
        <f>IF(AND(LEFT($G114,1)="T",$H114="no"),"sí","no")</f>
        <v/>
      </c>
    </row>
    <row r="115">
      <c r="A115" s="5" t="inlineStr">
        <is>
          <t>2026-S30</t>
        </is>
      </c>
      <c r="B115" s="5" t="inlineStr">
        <is>
          <t>domingo</t>
        </is>
      </c>
      <c r="C115" s="5" t="inlineStr">
        <is>
          <t>Daniela Medina</t>
        </is>
      </c>
      <c r="D115" s="24">
        <f>IFERROR(INDEX('TECNICOS'!$D$4:$D$19,MATCH($C115,'TECNICOS'!$B$4:$B$19,0)),"")</f>
        <v/>
      </c>
      <c r="E115" s="24">
        <f>IFERROR(INDEX('TECNICOS'!$C$4:$C$19,MATCH($C115,'TECNICOS'!$B$4:$B$19,0)),"")</f>
        <v/>
      </c>
      <c r="F115" s="24">
        <f>COUNTIFS('TECNICOS'!$F$4:$F$19,"sí",'TECNICOS'!$C$4:$C$19,$E115,'TECNICOS'!$D$4:$D$19,$D115,'TECNICOS'!$H$4:$H$19,"sí")</f>
        <v/>
      </c>
      <c r="G115" s="24">
        <f>IF(OR($C115="",$A115="",$B115="domingo",IFERROR(INDEX('TECNICOS'!$H$4:$H$19,MATCH($C115,'TECNICOS'!$B$4:$B$19,0)),"no")&lt;&gt;"sí"),"",IF(IFERROR(INDEX('TECNICOS'!$F$4:$F$19,MATCH($C115,'TECNICOS'!$B$4:$B$19,0)),"no")&lt;&gt;"sí","B",IF(MOD((IFERROR(INDEX('TECNICOS'!$G$4:$G$19,MATCH($C115,'TECNICOS'!$B$4:$B$19,0)),0)-1)+((DATE(VALUE(LEFT($A115,4)),1,4)-WEEKDAY(DATE(VALUE(LEFT($A115,4)),1,4),2)+1+(VALUE(MID($A115,7,2))-1)*7)-p_semana_referencia)/7,$F115)&lt;($F115-3),"B"&amp;(($F115-3)-MOD((IFERROR(INDEX('TECNICOS'!$G$4:$G$19,MATCH($C115,'TECNICOS'!$B$4:$B$19,0)),0)-1)+((DATE(VALUE(LEFT($A115,4)),1,4)-WEEKDAY(DATE(VALUE(LEFT($A115,4)),1,4),2)+1+(VALUE(MID($A115,7,2))-1)*7)-p_semana_referencia)/7,$F115)),"T"&amp;($F115-MOD((IFERROR(INDEX('TECNICOS'!$G$4:$G$19,MATCH($C115,'TECNICOS'!$B$4:$B$19,0)),0)-1)+((DATE(VALUE(LEFT($A115,4)),1,4)-WEEKDAY(DATE(VALUE(LEFT($A115,4)),1,4),2)+1+(VALUE(MID($A115,7,2))-1)*7)-p_semana_referencia)/7,$F115)))))</f>
        <v/>
      </c>
      <c r="H115" s="24">
        <f>IF(COUNTIFS('PLAN_VACACIONES'!$A$4:$A$103,$C115,'PLAN_VACACIONES'!$B$4:$B$103,"&lt;="&amp;$L115,'PLAN_VACACIONES'!$C$4:$C$103,"&gt;="&amp;$L115)&gt;0,"sí","no")</f>
        <v/>
      </c>
      <c r="I115" s="4" t="n"/>
      <c r="J115" s="24">
        <f>IF($I115&lt;&gt;"",$I115,IF($G115="","",IF($H115="sí","VAC",IF(LEFT($G115,1)="B","B",$G115))))</f>
        <v/>
      </c>
      <c r="K115" s="24">
        <f>IFERROR(INDEX('TECNICOS'!$E$4:$E$19,MATCH($C115,'TECNICOS'!$B$4:$B$19,0)),"")</f>
        <v/>
      </c>
      <c r="L115" s="30">
        <f>IF($A115="","",DATE(VALUE(LEFT($A115,4)),1,4)-WEEKDAY(DATE(VALUE(LEFT($A115,4)),1,4),2)+1+(VALUE(MID($A115,7,2))-1)*7+MATCH($B115,lista_dias,0)-1)</f>
        <v/>
      </c>
      <c r="M115" s="24">
        <f>IF(OR($J115="",ISNUMBER(MATCH($J115,lista_no_disponible,0)),(IFERROR(INDEX('CALENDARIO'!$C$15:$C$214,MATCH(TEXT($L115,"yyyy-mm-dd")&amp;"|"&amp;$D115&amp;"|"&amp;"",'CALENDARIO'!$G$15:$G$214,0)),IFERROR(INDEX('CALENDARIO'!$C$15:$C$214,MATCH(TEXT($L115,"yyyy-mm-dd")&amp;"|"&amp;$D115&amp;"|",'CALENDARIO'!$G$15:$G$214,0)),IFERROR(INDEX('CALENDARIO'!$C$15:$C$214,MATCH(TEXT($L115,"yyyy-mm-dd")&amp;"||",'CALENDARIO'!$G$15:$G$214,0)),INDEX(patronHabil,WEEKDAY($L115,2))))))&lt;&gt;"sí"),0,p_horas_jornada)</f>
        <v/>
      </c>
      <c r="N115" s="24">
        <f>$A115&amp;"|"&amp;$B115&amp;"|"&amp;$C115</f>
        <v/>
      </c>
      <c r="O115" s="24">
        <f>IFERROR(INDEX('CAT_TURNOS'!$C$4:$C$22,MATCH($J115,'CAT_TURNOS'!$A$4:$A$22,0)),"")</f>
        <v/>
      </c>
      <c r="P115" s="24">
        <f>IFERROR(INDEX('CAT_TURNOS'!$D$4:$D$22,MATCH($J115,'CAT_TURNOS'!$A$4:$A$22,0)),"")</f>
        <v/>
      </c>
      <c r="Q115" s="24">
        <f>IF(AND(LEFT($G115,1)="T",$H115="no"),"sí","no")</f>
        <v/>
      </c>
    </row>
    <row r="116">
      <c r="A116" s="5" t="inlineStr">
        <is>
          <t>2026-S31</t>
        </is>
      </c>
      <c r="B116" s="5" t="inlineStr">
        <is>
          <t>lunes</t>
        </is>
      </c>
      <c r="C116" s="5" t="inlineStr">
        <is>
          <t>Carlos Pérez</t>
        </is>
      </c>
      <c r="D116" s="24">
        <f>IFERROR(INDEX('TECNICOS'!$D$4:$D$19,MATCH($C116,'TECNICOS'!$B$4:$B$19,0)),"")</f>
        <v/>
      </c>
      <c r="E116" s="24">
        <f>IFERROR(INDEX('TECNICOS'!$C$4:$C$19,MATCH($C116,'TECNICOS'!$B$4:$B$19,0)),"")</f>
        <v/>
      </c>
      <c r="F116" s="24">
        <f>COUNTIFS('TECNICOS'!$F$4:$F$19,"sí",'TECNICOS'!$C$4:$C$19,$E116,'TECNICOS'!$D$4:$D$19,$D116,'TECNICOS'!$H$4:$H$19,"sí")</f>
        <v/>
      </c>
      <c r="G116" s="24">
        <f>IF(OR($C116="",$A116="",$B116="domingo",IFERROR(INDEX('TECNICOS'!$H$4:$H$19,MATCH($C116,'TECNICOS'!$B$4:$B$19,0)),"no")&lt;&gt;"sí"),"",IF(IFERROR(INDEX('TECNICOS'!$F$4:$F$19,MATCH($C116,'TECNICOS'!$B$4:$B$19,0)),"no")&lt;&gt;"sí","B",IF(MOD((IFERROR(INDEX('TECNICOS'!$G$4:$G$19,MATCH($C116,'TECNICOS'!$B$4:$B$19,0)),0)-1)+((DATE(VALUE(LEFT($A116,4)),1,4)-WEEKDAY(DATE(VALUE(LEFT($A116,4)),1,4),2)+1+(VALUE(MID($A116,7,2))-1)*7)-p_semana_referencia)/7,$F116)&lt;($F116-3),"B"&amp;(($F116-3)-MOD((IFERROR(INDEX('TECNICOS'!$G$4:$G$19,MATCH($C116,'TECNICOS'!$B$4:$B$19,0)),0)-1)+((DATE(VALUE(LEFT($A116,4)),1,4)-WEEKDAY(DATE(VALUE(LEFT($A116,4)),1,4),2)+1+(VALUE(MID($A116,7,2))-1)*7)-p_semana_referencia)/7,$F116)),"T"&amp;($F116-MOD((IFERROR(INDEX('TECNICOS'!$G$4:$G$19,MATCH($C116,'TECNICOS'!$B$4:$B$19,0)),0)-1)+((DATE(VALUE(LEFT($A116,4)),1,4)-WEEKDAY(DATE(VALUE(LEFT($A116,4)),1,4),2)+1+(VALUE(MID($A116,7,2))-1)*7)-p_semana_referencia)/7,$F116)))))</f>
        <v/>
      </c>
      <c r="H116" s="24">
        <f>IF(COUNTIFS('PLAN_VACACIONES'!$A$4:$A$103,$C116,'PLAN_VACACIONES'!$B$4:$B$103,"&lt;="&amp;$L116,'PLAN_VACACIONES'!$C$4:$C$103,"&gt;="&amp;$L116)&gt;0,"sí","no")</f>
        <v/>
      </c>
      <c r="I116" s="4" t="n"/>
      <c r="J116" s="24">
        <f>IF($I116&lt;&gt;"",$I116,IF($G116="","",IF($H116="sí","VAC",IF(LEFT($G116,1)="B","B",$G116))))</f>
        <v/>
      </c>
      <c r="K116" s="24">
        <f>IFERROR(INDEX('TECNICOS'!$E$4:$E$19,MATCH($C116,'TECNICOS'!$B$4:$B$19,0)),"")</f>
        <v/>
      </c>
      <c r="L116" s="30">
        <f>IF($A116="","",DATE(VALUE(LEFT($A116,4)),1,4)-WEEKDAY(DATE(VALUE(LEFT($A116,4)),1,4),2)+1+(VALUE(MID($A116,7,2))-1)*7+MATCH($B116,lista_dias,0)-1)</f>
        <v/>
      </c>
      <c r="M116" s="24">
        <f>IF(OR($J116="",ISNUMBER(MATCH($J116,lista_no_disponible,0)),(IFERROR(INDEX('CALENDARIO'!$C$15:$C$214,MATCH(TEXT($L116,"yyyy-mm-dd")&amp;"|"&amp;$D116&amp;"|"&amp;"",'CALENDARIO'!$G$15:$G$214,0)),IFERROR(INDEX('CALENDARIO'!$C$15:$C$214,MATCH(TEXT($L116,"yyyy-mm-dd")&amp;"|"&amp;$D116&amp;"|",'CALENDARIO'!$G$15:$G$214,0)),IFERROR(INDEX('CALENDARIO'!$C$15:$C$214,MATCH(TEXT($L116,"yyyy-mm-dd")&amp;"||",'CALENDARIO'!$G$15:$G$214,0)),INDEX(patronHabil,WEEKDAY($L116,2))))))&lt;&gt;"sí"),0,p_horas_jornada)</f>
        <v/>
      </c>
      <c r="N116" s="24">
        <f>$A116&amp;"|"&amp;$B116&amp;"|"&amp;$C116</f>
        <v/>
      </c>
      <c r="O116" s="24">
        <f>IFERROR(INDEX('CAT_TURNOS'!$C$4:$C$22,MATCH($J116,'CAT_TURNOS'!$A$4:$A$22,0)),"")</f>
        <v/>
      </c>
      <c r="P116" s="24">
        <f>IFERROR(INDEX('CAT_TURNOS'!$D$4:$D$22,MATCH($J116,'CAT_TURNOS'!$A$4:$A$22,0)),"")</f>
        <v/>
      </c>
      <c r="Q116" s="24">
        <f>IF(AND(LEFT($G116,1)="T",$H116="no"),"sí","no")</f>
        <v/>
      </c>
    </row>
    <row r="117">
      <c r="A117" s="5" t="inlineStr">
        <is>
          <t>2026-S31</t>
        </is>
      </c>
      <c r="B117" s="5" t="inlineStr">
        <is>
          <t>martes</t>
        </is>
      </c>
      <c r="C117" s="5" t="inlineStr">
        <is>
          <t>Carlos Pérez</t>
        </is>
      </c>
      <c r="D117" s="24">
        <f>IFERROR(INDEX('TECNICOS'!$D$4:$D$19,MATCH($C117,'TECNICOS'!$B$4:$B$19,0)),"")</f>
        <v/>
      </c>
      <c r="E117" s="24">
        <f>IFERROR(INDEX('TECNICOS'!$C$4:$C$19,MATCH($C117,'TECNICOS'!$B$4:$B$19,0)),"")</f>
        <v/>
      </c>
      <c r="F117" s="24">
        <f>COUNTIFS('TECNICOS'!$F$4:$F$19,"sí",'TECNICOS'!$C$4:$C$19,$E117,'TECNICOS'!$D$4:$D$19,$D117,'TECNICOS'!$H$4:$H$19,"sí")</f>
        <v/>
      </c>
      <c r="G117" s="24">
        <f>IF(OR($C117="",$A117="",$B117="domingo",IFERROR(INDEX('TECNICOS'!$H$4:$H$19,MATCH($C117,'TECNICOS'!$B$4:$B$19,0)),"no")&lt;&gt;"sí"),"",IF(IFERROR(INDEX('TECNICOS'!$F$4:$F$19,MATCH($C117,'TECNICOS'!$B$4:$B$19,0)),"no")&lt;&gt;"sí","B",IF(MOD((IFERROR(INDEX('TECNICOS'!$G$4:$G$19,MATCH($C117,'TECNICOS'!$B$4:$B$19,0)),0)-1)+((DATE(VALUE(LEFT($A117,4)),1,4)-WEEKDAY(DATE(VALUE(LEFT($A117,4)),1,4),2)+1+(VALUE(MID($A117,7,2))-1)*7)-p_semana_referencia)/7,$F117)&lt;($F117-3),"B"&amp;(($F117-3)-MOD((IFERROR(INDEX('TECNICOS'!$G$4:$G$19,MATCH($C117,'TECNICOS'!$B$4:$B$19,0)),0)-1)+((DATE(VALUE(LEFT($A117,4)),1,4)-WEEKDAY(DATE(VALUE(LEFT($A117,4)),1,4),2)+1+(VALUE(MID($A117,7,2))-1)*7)-p_semana_referencia)/7,$F117)),"T"&amp;($F117-MOD((IFERROR(INDEX('TECNICOS'!$G$4:$G$19,MATCH($C117,'TECNICOS'!$B$4:$B$19,0)),0)-1)+((DATE(VALUE(LEFT($A117,4)),1,4)-WEEKDAY(DATE(VALUE(LEFT($A117,4)),1,4),2)+1+(VALUE(MID($A117,7,2))-1)*7)-p_semana_referencia)/7,$F117)))))</f>
        <v/>
      </c>
      <c r="H117" s="24">
        <f>IF(COUNTIFS('PLAN_VACACIONES'!$A$4:$A$103,$C117,'PLAN_VACACIONES'!$B$4:$B$103,"&lt;="&amp;$L117,'PLAN_VACACIONES'!$C$4:$C$103,"&gt;="&amp;$L117)&gt;0,"sí","no")</f>
        <v/>
      </c>
      <c r="I117" s="4" t="n"/>
      <c r="J117" s="24">
        <f>IF($I117&lt;&gt;"",$I117,IF($G117="","",IF($H117="sí","VAC",IF(LEFT($G117,1)="B","B",$G117))))</f>
        <v/>
      </c>
      <c r="K117" s="24">
        <f>IFERROR(INDEX('TECNICOS'!$E$4:$E$19,MATCH($C117,'TECNICOS'!$B$4:$B$19,0)),"")</f>
        <v/>
      </c>
      <c r="L117" s="30">
        <f>IF($A117="","",DATE(VALUE(LEFT($A117,4)),1,4)-WEEKDAY(DATE(VALUE(LEFT($A117,4)),1,4),2)+1+(VALUE(MID($A117,7,2))-1)*7+MATCH($B117,lista_dias,0)-1)</f>
        <v/>
      </c>
      <c r="M117" s="24">
        <f>IF(OR($J117="",ISNUMBER(MATCH($J117,lista_no_disponible,0)),(IFERROR(INDEX('CALENDARIO'!$C$15:$C$214,MATCH(TEXT($L117,"yyyy-mm-dd")&amp;"|"&amp;$D117&amp;"|"&amp;"",'CALENDARIO'!$G$15:$G$214,0)),IFERROR(INDEX('CALENDARIO'!$C$15:$C$214,MATCH(TEXT($L117,"yyyy-mm-dd")&amp;"|"&amp;$D117&amp;"|",'CALENDARIO'!$G$15:$G$214,0)),IFERROR(INDEX('CALENDARIO'!$C$15:$C$214,MATCH(TEXT($L117,"yyyy-mm-dd")&amp;"||",'CALENDARIO'!$G$15:$G$214,0)),INDEX(patronHabil,WEEKDAY($L117,2))))))&lt;&gt;"sí"),0,p_horas_jornada)</f>
        <v/>
      </c>
      <c r="N117" s="24">
        <f>$A117&amp;"|"&amp;$B117&amp;"|"&amp;$C117</f>
        <v/>
      </c>
      <c r="O117" s="24">
        <f>IFERROR(INDEX('CAT_TURNOS'!$C$4:$C$22,MATCH($J117,'CAT_TURNOS'!$A$4:$A$22,0)),"")</f>
        <v/>
      </c>
      <c r="P117" s="24">
        <f>IFERROR(INDEX('CAT_TURNOS'!$D$4:$D$22,MATCH($J117,'CAT_TURNOS'!$A$4:$A$22,0)),"")</f>
        <v/>
      </c>
      <c r="Q117" s="24">
        <f>IF(AND(LEFT($G117,1)="T",$H117="no"),"sí","no")</f>
        <v/>
      </c>
    </row>
    <row r="118">
      <c r="A118" s="5" t="inlineStr">
        <is>
          <t>2026-S31</t>
        </is>
      </c>
      <c r="B118" s="5" t="inlineStr">
        <is>
          <t>miércoles</t>
        </is>
      </c>
      <c r="C118" s="5" t="inlineStr">
        <is>
          <t>Carlos Pérez</t>
        </is>
      </c>
      <c r="D118" s="24">
        <f>IFERROR(INDEX('TECNICOS'!$D$4:$D$19,MATCH($C118,'TECNICOS'!$B$4:$B$19,0)),"")</f>
        <v/>
      </c>
      <c r="E118" s="24">
        <f>IFERROR(INDEX('TECNICOS'!$C$4:$C$19,MATCH($C118,'TECNICOS'!$B$4:$B$19,0)),"")</f>
        <v/>
      </c>
      <c r="F118" s="24">
        <f>COUNTIFS('TECNICOS'!$F$4:$F$19,"sí",'TECNICOS'!$C$4:$C$19,$E118,'TECNICOS'!$D$4:$D$19,$D118,'TECNICOS'!$H$4:$H$19,"sí")</f>
        <v/>
      </c>
      <c r="G118" s="24">
        <f>IF(OR($C118="",$A118="",$B118="domingo",IFERROR(INDEX('TECNICOS'!$H$4:$H$19,MATCH($C118,'TECNICOS'!$B$4:$B$19,0)),"no")&lt;&gt;"sí"),"",IF(IFERROR(INDEX('TECNICOS'!$F$4:$F$19,MATCH($C118,'TECNICOS'!$B$4:$B$19,0)),"no")&lt;&gt;"sí","B",IF(MOD((IFERROR(INDEX('TECNICOS'!$G$4:$G$19,MATCH($C118,'TECNICOS'!$B$4:$B$19,0)),0)-1)+((DATE(VALUE(LEFT($A118,4)),1,4)-WEEKDAY(DATE(VALUE(LEFT($A118,4)),1,4),2)+1+(VALUE(MID($A118,7,2))-1)*7)-p_semana_referencia)/7,$F118)&lt;($F118-3),"B"&amp;(($F118-3)-MOD((IFERROR(INDEX('TECNICOS'!$G$4:$G$19,MATCH($C118,'TECNICOS'!$B$4:$B$19,0)),0)-1)+((DATE(VALUE(LEFT($A118,4)),1,4)-WEEKDAY(DATE(VALUE(LEFT($A118,4)),1,4),2)+1+(VALUE(MID($A118,7,2))-1)*7)-p_semana_referencia)/7,$F118)),"T"&amp;($F118-MOD((IFERROR(INDEX('TECNICOS'!$G$4:$G$19,MATCH($C118,'TECNICOS'!$B$4:$B$19,0)),0)-1)+((DATE(VALUE(LEFT($A118,4)),1,4)-WEEKDAY(DATE(VALUE(LEFT($A118,4)),1,4),2)+1+(VALUE(MID($A118,7,2))-1)*7)-p_semana_referencia)/7,$F118)))))</f>
        <v/>
      </c>
      <c r="H118" s="24">
        <f>IF(COUNTIFS('PLAN_VACACIONES'!$A$4:$A$103,$C118,'PLAN_VACACIONES'!$B$4:$B$103,"&lt;="&amp;$L118,'PLAN_VACACIONES'!$C$4:$C$103,"&gt;="&amp;$L118)&gt;0,"sí","no")</f>
        <v/>
      </c>
      <c r="I118" s="4" t="n"/>
      <c r="J118" s="24">
        <f>IF($I118&lt;&gt;"",$I118,IF($G118="","",IF($H118="sí","VAC",IF(LEFT($G118,1)="B","B",$G118))))</f>
        <v/>
      </c>
      <c r="K118" s="24">
        <f>IFERROR(INDEX('TECNICOS'!$E$4:$E$19,MATCH($C118,'TECNICOS'!$B$4:$B$19,0)),"")</f>
        <v/>
      </c>
      <c r="L118" s="30">
        <f>IF($A118="","",DATE(VALUE(LEFT($A118,4)),1,4)-WEEKDAY(DATE(VALUE(LEFT($A118,4)),1,4),2)+1+(VALUE(MID($A118,7,2))-1)*7+MATCH($B118,lista_dias,0)-1)</f>
        <v/>
      </c>
      <c r="M118" s="24">
        <f>IF(OR($J118="",ISNUMBER(MATCH($J118,lista_no_disponible,0)),(IFERROR(INDEX('CALENDARIO'!$C$15:$C$214,MATCH(TEXT($L118,"yyyy-mm-dd")&amp;"|"&amp;$D118&amp;"|"&amp;"",'CALENDARIO'!$G$15:$G$214,0)),IFERROR(INDEX('CALENDARIO'!$C$15:$C$214,MATCH(TEXT($L118,"yyyy-mm-dd")&amp;"|"&amp;$D118&amp;"|",'CALENDARIO'!$G$15:$G$214,0)),IFERROR(INDEX('CALENDARIO'!$C$15:$C$214,MATCH(TEXT($L118,"yyyy-mm-dd")&amp;"||",'CALENDARIO'!$G$15:$G$214,0)),INDEX(patronHabil,WEEKDAY($L118,2))))))&lt;&gt;"sí"),0,p_horas_jornada)</f>
        <v/>
      </c>
      <c r="N118" s="24">
        <f>$A118&amp;"|"&amp;$B118&amp;"|"&amp;$C118</f>
        <v/>
      </c>
      <c r="O118" s="24">
        <f>IFERROR(INDEX('CAT_TURNOS'!$C$4:$C$22,MATCH($J118,'CAT_TURNOS'!$A$4:$A$22,0)),"")</f>
        <v/>
      </c>
      <c r="P118" s="24">
        <f>IFERROR(INDEX('CAT_TURNOS'!$D$4:$D$22,MATCH($J118,'CAT_TURNOS'!$A$4:$A$22,0)),"")</f>
        <v/>
      </c>
      <c r="Q118" s="24">
        <f>IF(AND(LEFT($G118,1)="T",$H118="no"),"sí","no")</f>
        <v/>
      </c>
    </row>
    <row r="119">
      <c r="A119" s="5" t="inlineStr">
        <is>
          <t>2026-S31</t>
        </is>
      </c>
      <c r="B119" s="5" t="inlineStr">
        <is>
          <t>jueves</t>
        </is>
      </c>
      <c r="C119" s="5" t="inlineStr">
        <is>
          <t>Carlos Pérez</t>
        </is>
      </c>
      <c r="D119" s="24">
        <f>IFERROR(INDEX('TECNICOS'!$D$4:$D$19,MATCH($C119,'TECNICOS'!$B$4:$B$19,0)),"")</f>
        <v/>
      </c>
      <c r="E119" s="24">
        <f>IFERROR(INDEX('TECNICOS'!$C$4:$C$19,MATCH($C119,'TECNICOS'!$B$4:$B$19,0)),"")</f>
        <v/>
      </c>
      <c r="F119" s="24">
        <f>COUNTIFS('TECNICOS'!$F$4:$F$19,"sí",'TECNICOS'!$C$4:$C$19,$E119,'TECNICOS'!$D$4:$D$19,$D119,'TECNICOS'!$H$4:$H$19,"sí")</f>
        <v/>
      </c>
      <c r="G119" s="24">
        <f>IF(OR($C119="",$A119="",$B119="domingo",IFERROR(INDEX('TECNICOS'!$H$4:$H$19,MATCH($C119,'TECNICOS'!$B$4:$B$19,0)),"no")&lt;&gt;"sí"),"",IF(IFERROR(INDEX('TECNICOS'!$F$4:$F$19,MATCH($C119,'TECNICOS'!$B$4:$B$19,0)),"no")&lt;&gt;"sí","B",IF(MOD((IFERROR(INDEX('TECNICOS'!$G$4:$G$19,MATCH($C119,'TECNICOS'!$B$4:$B$19,0)),0)-1)+((DATE(VALUE(LEFT($A119,4)),1,4)-WEEKDAY(DATE(VALUE(LEFT($A119,4)),1,4),2)+1+(VALUE(MID($A119,7,2))-1)*7)-p_semana_referencia)/7,$F119)&lt;($F119-3),"B"&amp;(($F119-3)-MOD((IFERROR(INDEX('TECNICOS'!$G$4:$G$19,MATCH($C119,'TECNICOS'!$B$4:$B$19,0)),0)-1)+((DATE(VALUE(LEFT($A119,4)),1,4)-WEEKDAY(DATE(VALUE(LEFT($A119,4)),1,4),2)+1+(VALUE(MID($A119,7,2))-1)*7)-p_semana_referencia)/7,$F119)),"T"&amp;($F119-MOD((IFERROR(INDEX('TECNICOS'!$G$4:$G$19,MATCH($C119,'TECNICOS'!$B$4:$B$19,0)),0)-1)+((DATE(VALUE(LEFT($A119,4)),1,4)-WEEKDAY(DATE(VALUE(LEFT($A119,4)),1,4),2)+1+(VALUE(MID($A119,7,2))-1)*7)-p_semana_referencia)/7,$F119)))))</f>
        <v/>
      </c>
      <c r="H119" s="24">
        <f>IF(COUNTIFS('PLAN_VACACIONES'!$A$4:$A$103,$C119,'PLAN_VACACIONES'!$B$4:$B$103,"&lt;="&amp;$L119,'PLAN_VACACIONES'!$C$4:$C$103,"&gt;="&amp;$L119)&gt;0,"sí","no")</f>
        <v/>
      </c>
      <c r="I119" s="4" t="n"/>
      <c r="J119" s="24">
        <f>IF($I119&lt;&gt;"",$I119,IF($G119="","",IF($H119="sí","VAC",IF(LEFT($G119,1)="B","B",$G119))))</f>
        <v/>
      </c>
      <c r="K119" s="24">
        <f>IFERROR(INDEX('TECNICOS'!$E$4:$E$19,MATCH($C119,'TECNICOS'!$B$4:$B$19,0)),"")</f>
        <v/>
      </c>
      <c r="L119" s="30">
        <f>IF($A119="","",DATE(VALUE(LEFT($A119,4)),1,4)-WEEKDAY(DATE(VALUE(LEFT($A119,4)),1,4),2)+1+(VALUE(MID($A119,7,2))-1)*7+MATCH($B119,lista_dias,0)-1)</f>
        <v/>
      </c>
      <c r="M119" s="24">
        <f>IF(OR($J119="",ISNUMBER(MATCH($J119,lista_no_disponible,0)),(IFERROR(INDEX('CALENDARIO'!$C$15:$C$214,MATCH(TEXT($L119,"yyyy-mm-dd")&amp;"|"&amp;$D119&amp;"|"&amp;"",'CALENDARIO'!$G$15:$G$214,0)),IFERROR(INDEX('CALENDARIO'!$C$15:$C$214,MATCH(TEXT($L119,"yyyy-mm-dd")&amp;"|"&amp;$D119&amp;"|",'CALENDARIO'!$G$15:$G$214,0)),IFERROR(INDEX('CALENDARIO'!$C$15:$C$214,MATCH(TEXT($L119,"yyyy-mm-dd")&amp;"||",'CALENDARIO'!$G$15:$G$214,0)),INDEX(patronHabil,WEEKDAY($L119,2))))))&lt;&gt;"sí"),0,p_horas_jornada)</f>
        <v/>
      </c>
      <c r="N119" s="24">
        <f>$A119&amp;"|"&amp;$B119&amp;"|"&amp;$C119</f>
        <v/>
      </c>
      <c r="O119" s="24">
        <f>IFERROR(INDEX('CAT_TURNOS'!$C$4:$C$22,MATCH($J119,'CAT_TURNOS'!$A$4:$A$22,0)),"")</f>
        <v/>
      </c>
      <c r="P119" s="24">
        <f>IFERROR(INDEX('CAT_TURNOS'!$D$4:$D$22,MATCH($J119,'CAT_TURNOS'!$A$4:$A$22,0)),"")</f>
        <v/>
      </c>
      <c r="Q119" s="24">
        <f>IF(AND(LEFT($G119,1)="T",$H119="no"),"sí","no")</f>
        <v/>
      </c>
    </row>
    <row r="120">
      <c r="A120" s="5" t="inlineStr">
        <is>
          <t>2026-S31</t>
        </is>
      </c>
      <c r="B120" s="5" t="inlineStr">
        <is>
          <t>viernes</t>
        </is>
      </c>
      <c r="C120" s="5" t="inlineStr">
        <is>
          <t>Carlos Pérez</t>
        </is>
      </c>
      <c r="D120" s="24">
        <f>IFERROR(INDEX('TECNICOS'!$D$4:$D$19,MATCH($C120,'TECNICOS'!$B$4:$B$19,0)),"")</f>
        <v/>
      </c>
      <c r="E120" s="24">
        <f>IFERROR(INDEX('TECNICOS'!$C$4:$C$19,MATCH($C120,'TECNICOS'!$B$4:$B$19,0)),"")</f>
        <v/>
      </c>
      <c r="F120" s="24">
        <f>COUNTIFS('TECNICOS'!$F$4:$F$19,"sí",'TECNICOS'!$C$4:$C$19,$E120,'TECNICOS'!$D$4:$D$19,$D120,'TECNICOS'!$H$4:$H$19,"sí")</f>
        <v/>
      </c>
      <c r="G120" s="24">
        <f>IF(OR($C120="",$A120="",$B120="domingo",IFERROR(INDEX('TECNICOS'!$H$4:$H$19,MATCH($C120,'TECNICOS'!$B$4:$B$19,0)),"no")&lt;&gt;"sí"),"",IF(IFERROR(INDEX('TECNICOS'!$F$4:$F$19,MATCH($C120,'TECNICOS'!$B$4:$B$19,0)),"no")&lt;&gt;"sí","B",IF(MOD((IFERROR(INDEX('TECNICOS'!$G$4:$G$19,MATCH($C120,'TECNICOS'!$B$4:$B$19,0)),0)-1)+((DATE(VALUE(LEFT($A120,4)),1,4)-WEEKDAY(DATE(VALUE(LEFT($A120,4)),1,4),2)+1+(VALUE(MID($A120,7,2))-1)*7)-p_semana_referencia)/7,$F120)&lt;($F120-3),"B"&amp;(($F120-3)-MOD((IFERROR(INDEX('TECNICOS'!$G$4:$G$19,MATCH($C120,'TECNICOS'!$B$4:$B$19,0)),0)-1)+((DATE(VALUE(LEFT($A120,4)),1,4)-WEEKDAY(DATE(VALUE(LEFT($A120,4)),1,4),2)+1+(VALUE(MID($A120,7,2))-1)*7)-p_semana_referencia)/7,$F120)),"T"&amp;($F120-MOD((IFERROR(INDEX('TECNICOS'!$G$4:$G$19,MATCH($C120,'TECNICOS'!$B$4:$B$19,0)),0)-1)+((DATE(VALUE(LEFT($A120,4)),1,4)-WEEKDAY(DATE(VALUE(LEFT($A120,4)),1,4),2)+1+(VALUE(MID($A120,7,2))-1)*7)-p_semana_referencia)/7,$F120)))))</f>
        <v/>
      </c>
      <c r="H120" s="24">
        <f>IF(COUNTIFS('PLAN_VACACIONES'!$A$4:$A$103,$C120,'PLAN_VACACIONES'!$B$4:$B$103,"&lt;="&amp;$L120,'PLAN_VACACIONES'!$C$4:$C$103,"&gt;="&amp;$L120)&gt;0,"sí","no")</f>
        <v/>
      </c>
      <c r="I120" s="4" t="n"/>
      <c r="J120" s="24">
        <f>IF($I120&lt;&gt;"",$I120,IF($G120="","",IF($H120="sí","VAC",IF(LEFT($G120,1)="B","B",$G120))))</f>
        <v/>
      </c>
      <c r="K120" s="24">
        <f>IFERROR(INDEX('TECNICOS'!$E$4:$E$19,MATCH($C120,'TECNICOS'!$B$4:$B$19,0)),"")</f>
        <v/>
      </c>
      <c r="L120" s="30">
        <f>IF($A120="","",DATE(VALUE(LEFT($A120,4)),1,4)-WEEKDAY(DATE(VALUE(LEFT($A120,4)),1,4),2)+1+(VALUE(MID($A120,7,2))-1)*7+MATCH($B120,lista_dias,0)-1)</f>
        <v/>
      </c>
      <c r="M120" s="24">
        <f>IF(OR($J120="",ISNUMBER(MATCH($J120,lista_no_disponible,0)),(IFERROR(INDEX('CALENDARIO'!$C$15:$C$214,MATCH(TEXT($L120,"yyyy-mm-dd")&amp;"|"&amp;$D120&amp;"|"&amp;"",'CALENDARIO'!$G$15:$G$214,0)),IFERROR(INDEX('CALENDARIO'!$C$15:$C$214,MATCH(TEXT($L120,"yyyy-mm-dd")&amp;"|"&amp;$D120&amp;"|",'CALENDARIO'!$G$15:$G$214,0)),IFERROR(INDEX('CALENDARIO'!$C$15:$C$214,MATCH(TEXT($L120,"yyyy-mm-dd")&amp;"||",'CALENDARIO'!$G$15:$G$214,0)),INDEX(patronHabil,WEEKDAY($L120,2))))))&lt;&gt;"sí"),0,p_horas_jornada)</f>
        <v/>
      </c>
      <c r="N120" s="24">
        <f>$A120&amp;"|"&amp;$B120&amp;"|"&amp;$C120</f>
        <v/>
      </c>
      <c r="O120" s="24">
        <f>IFERROR(INDEX('CAT_TURNOS'!$C$4:$C$22,MATCH($J120,'CAT_TURNOS'!$A$4:$A$22,0)),"")</f>
        <v/>
      </c>
      <c r="P120" s="24">
        <f>IFERROR(INDEX('CAT_TURNOS'!$D$4:$D$22,MATCH($J120,'CAT_TURNOS'!$A$4:$A$22,0)),"")</f>
        <v/>
      </c>
      <c r="Q120" s="24">
        <f>IF(AND(LEFT($G120,1)="T",$H120="no"),"sí","no")</f>
        <v/>
      </c>
    </row>
    <row r="121">
      <c r="A121" s="5" t="inlineStr">
        <is>
          <t>2026-S31</t>
        </is>
      </c>
      <c r="B121" s="5" t="inlineStr">
        <is>
          <t>sábado</t>
        </is>
      </c>
      <c r="C121" s="5" t="inlineStr">
        <is>
          <t>Carlos Pérez</t>
        </is>
      </c>
      <c r="D121" s="24">
        <f>IFERROR(INDEX('TECNICOS'!$D$4:$D$19,MATCH($C121,'TECNICOS'!$B$4:$B$19,0)),"")</f>
        <v/>
      </c>
      <c r="E121" s="24">
        <f>IFERROR(INDEX('TECNICOS'!$C$4:$C$19,MATCH($C121,'TECNICOS'!$B$4:$B$19,0)),"")</f>
        <v/>
      </c>
      <c r="F121" s="24">
        <f>COUNTIFS('TECNICOS'!$F$4:$F$19,"sí",'TECNICOS'!$C$4:$C$19,$E121,'TECNICOS'!$D$4:$D$19,$D121,'TECNICOS'!$H$4:$H$19,"sí")</f>
        <v/>
      </c>
      <c r="G121" s="24">
        <f>IF(OR($C121="",$A121="",$B121="domingo",IFERROR(INDEX('TECNICOS'!$H$4:$H$19,MATCH($C121,'TECNICOS'!$B$4:$B$19,0)),"no")&lt;&gt;"sí"),"",IF(IFERROR(INDEX('TECNICOS'!$F$4:$F$19,MATCH($C121,'TECNICOS'!$B$4:$B$19,0)),"no")&lt;&gt;"sí","B",IF(MOD((IFERROR(INDEX('TECNICOS'!$G$4:$G$19,MATCH($C121,'TECNICOS'!$B$4:$B$19,0)),0)-1)+((DATE(VALUE(LEFT($A121,4)),1,4)-WEEKDAY(DATE(VALUE(LEFT($A121,4)),1,4),2)+1+(VALUE(MID($A121,7,2))-1)*7)-p_semana_referencia)/7,$F121)&lt;($F121-3),"B"&amp;(($F121-3)-MOD((IFERROR(INDEX('TECNICOS'!$G$4:$G$19,MATCH($C121,'TECNICOS'!$B$4:$B$19,0)),0)-1)+((DATE(VALUE(LEFT($A121,4)),1,4)-WEEKDAY(DATE(VALUE(LEFT($A121,4)),1,4),2)+1+(VALUE(MID($A121,7,2))-1)*7)-p_semana_referencia)/7,$F121)),"T"&amp;($F121-MOD((IFERROR(INDEX('TECNICOS'!$G$4:$G$19,MATCH($C121,'TECNICOS'!$B$4:$B$19,0)),0)-1)+((DATE(VALUE(LEFT($A121,4)),1,4)-WEEKDAY(DATE(VALUE(LEFT($A121,4)),1,4),2)+1+(VALUE(MID($A121,7,2))-1)*7)-p_semana_referencia)/7,$F121)))))</f>
        <v/>
      </c>
      <c r="H121" s="24">
        <f>IF(COUNTIFS('PLAN_VACACIONES'!$A$4:$A$103,$C121,'PLAN_VACACIONES'!$B$4:$B$103,"&lt;="&amp;$L121,'PLAN_VACACIONES'!$C$4:$C$103,"&gt;="&amp;$L121)&gt;0,"sí","no")</f>
        <v/>
      </c>
      <c r="I121" s="4" t="n"/>
      <c r="J121" s="24">
        <f>IF($I121&lt;&gt;"",$I121,IF($G121="","",IF($H121="sí","VAC",IF(LEFT($G121,1)="B","B",$G121))))</f>
        <v/>
      </c>
      <c r="K121" s="24">
        <f>IFERROR(INDEX('TECNICOS'!$E$4:$E$19,MATCH($C121,'TECNICOS'!$B$4:$B$19,0)),"")</f>
        <v/>
      </c>
      <c r="L121" s="30">
        <f>IF($A121="","",DATE(VALUE(LEFT($A121,4)),1,4)-WEEKDAY(DATE(VALUE(LEFT($A121,4)),1,4),2)+1+(VALUE(MID($A121,7,2))-1)*7+MATCH($B121,lista_dias,0)-1)</f>
        <v/>
      </c>
      <c r="M121" s="24">
        <f>IF(OR($J121="",ISNUMBER(MATCH($J121,lista_no_disponible,0)),(IFERROR(INDEX('CALENDARIO'!$C$15:$C$214,MATCH(TEXT($L121,"yyyy-mm-dd")&amp;"|"&amp;$D121&amp;"|"&amp;"",'CALENDARIO'!$G$15:$G$214,0)),IFERROR(INDEX('CALENDARIO'!$C$15:$C$214,MATCH(TEXT($L121,"yyyy-mm-dd")&amp;"|"&amp;$D121&amp;"|",'CALENDARIO'!$G$15:$G$214,0)),IFERROR(INDEX('CALENDARIO'!$C$15:$C$214,MATCH(TEXT($L121,"yyyy-mm-dd")&amp;"||",'CALENDARIO'!$G$15:$G$214,0)),INDEX(patronHabil,WEEKDAY($L121,2))))))&lt;&gt;"sí"),0,p_horas_jornada)</f>
        <v/>
      </c>
      <c r="N121" s="24">
        <f>$A121&amp;"|"&amp;$B121&amp;"|"&amp;$C121</f>
        <v/>
      </c>
      <c r="O121" s="24">
        <f>IFERROR(INDEX('CAT_TURNOS'!$C$4:$C$22,MATCH($J121,'CAT_TURNOS'!$A$4:$A$22,0)),"")</f>
        <v/>
      </c>
      <c r="P121" s="24">
        <f>IFERROR(INDEX('CAT_TURNOS'!$D$4:$D$22,MATCH($J121,'CAT_TURNOS'!$A$4:$A$22,0)),"")</f>
        <v/>
      </c>
      <c r="Q121" s="24">
        <f>IF(AND(LEFT($G121,1)="T",$H121="no"),"sí","no")</f>
        <v/>
      </c>
    </row>
    <row r="122">
      <c r="A122" s="5" t="inlineStr">
        <is>
          <t>2026-S31</t>
        </is>
      </c>
      <c r="B122" s="5" t="inlineStr">
        <is>
          <t>domingo</t>
        </is>
      </c>
      <c r="C122" s="5" t="inlineStr">
        <is>
          <t>Carlos Pérez</t>
        </is>
      </c>
      <c r="D122" s="24">
        <f>IFERROR(INDEX('TECNICOS'!$D$4:$D$19,MATCH($C122,'TECNICOS'!$B$4:$B$19,0)),"")</f>
        <v/>
      </c>
      <c r="E122" s="24">
        <f>IFERROR(INDEX('TECNICOS'!$C$4:$C$19,MATCH($C122,'TECNICOS'!$B$4:$B$19,0)),"")</f>
        <v/>
      </c>
      <c r="F122" s="24">
        <f>COUNTIFS('TECNICOS'!$F$4:$F$19,"sí",'TECNICOS'!$C$4:$C$19,$E122,'TECNICOS'!$D$4:$D$19,$D122,'TECNICOS'!$H$4:$H$19,"sí")</f>
        <v/>
      </c>
      <c r="G122" s="24">
        <f>IF(OR($C122="",$A122="",$B122="domingo",IFERROR(INDEX('TECNICOS'!$H$4:$H$19,MATCH($C122,'TECNICOS'!$B$4:$B$19,0)),"no")&lt;&gt;"sí"),"",IF(IFERROR(INDEX('TECNICOS'!$F$4:$F$19,MATCH($C122,'TECNICOS'!$B$4:$B$19,0)),"no")&lt;&gt;"sí","B",IF(MOD((IFERROR(INDEX('TECNICOS'!$G$4:$G$19,MATCH($C122,'TECNICOS'!$B$4:$B$19,0)),0)-1)+((DATE(VALUE(LEFT($A122,4)),1,4)-WEEKDAY(DATE(VALUE(LEFT($A122,4)),1,4),2)+1+(VALUE(MID($A122,7,2))-1)*7)-p_semana_referencia)/7,$F122)&lt;($F122-3),"B"&amp;(($F122-3)-MOD((IFERROR(INDEX('TECNICOS'!$G$4:$G$19,MATCH($C122,'TECNICOS'!$B$4:$B$19,0)),0)-1)+((DATE(VALUE(LEFT($A122,4)),1,4)-WEEKDAY(DATE(VALUE(LEFT($A122,4)),1,4),2)+1+(VALUE(MID($A122,7,2))-1)*7)-p_semana_referencia)/7,$F122)),"T"&amp;($F122-MOD((IFERROR(INDEX('TECNICOS'!$G$4:$G$19,MATCH($C122,'TECNICOS'!$B$4:$B$19,0)),0)-1)+((DATE(VALUE(LEFT($A122,4)),1,4)-WEEKDAY(DATE(VALUE(LEFT($A122,4)),1,4),2)+1+(VALUE(MID($A122,7,2))-1)*7)-p_semana_referencia)/7,$F122)))))</f>
        <v/>
      </c>
      <c r="H122" s="24">
        <f>IF(COUNTIFS('PLAN_VACACIONES'!$A$4:$A$103,$C122,'PLAN_VACACIONES'!$B$4:$B$103,"&lt;="&amp;$L122,'PLAN_VACACIONES'!$C$4:$C$103,"&gt;="&amp;$L122)&gt;0,"sí","no")</f>
        <v/>
      </c>
      <c r="I122" s="4" t="n"/>
      <c r="J122" s="24">
        <f>IF($I122&lt;&gt;"",$I122,IF($G122="","",IF($H122="sí","VAC",IF(LEFT($G122,1)="B","B",$G122))))</f>
        <v/>
      </c>
      <c r="K122" s="24">
        <f>IFERROR(INDEX('TECNICOS'!$E$4:$E$19,MATCH($C122,'TECNICOS'!$B$4:$B$19,0)),"")</f>
        <v/>
      </c>
      <c r="L122" s="30">
        <f>IF($A122="","",DATE(VALUE(LEFT($A122,4)),1,4)-WEEKDAY(DATE(VALUE(LEFT($A122,4)),1,4),2)+1+(VALUE(MID($A122,7,2))-1)*7+MATCH($B122,lista_dias,0)-1)</f>
        <v/>
      </c>
      <c r="M122" s="24">
        <f>IF(OR($J122="",ISNUMBER(MATCH($J122,lista_no_disponible,0)),(IFERROR(INDEX('CALENDARIO'!$C$15:$C$214,MATCH(TEXT($L122,"yyyy-mm-dd")&amp;"|"&amp;$D122&amp;"|"&amp;"",'CALENDARIO'!$G$15:$G$214,0)),IFERROR(INDEX('CALENDARIO'!$C$15:$C$214,MATCH(TEXT($L122,"yyyy-mm-dd")&amp;"|"&amp;$D122&amp;"|",'CALENDARIO'!$G$15:$G$214,0)),IFERROR(INDEX('CALENDARIO'!$C$15:$C$214,MATCH(TEXT($L122,"yyyy-mm-dd")&amp;"||",'CALENDARIO'!$G$15:$G$214,0)),INDEX(patronHabil,WEEKDAY($L122,2))))))&lt;&gt;"sí"),0,p_horas_jornada)</f>
        <v/>
      </c>
      <c r="N122" s="24">
        <f>$A122&amp;"|"&amp;$B122&amp;"|"&amp;$C122</f>
        <v/>
      </c>
      <c r="O122" s="24">
        <f>IFERROR(INDEX('CAT_TURNOS'!$C$4:$C$22,MATCH($J122,'CAT_TURNOS'!$A$4:$A$22,0)),"")</f>
        <v/>
      </c>
      <c r="P122" s="24">
        <f>IFERROR(INDEX('CAT_TURNOS'!$D$4:$D$22,MATCH($J122,'CAT_TURNOS'!$A$4:$A$22,0)),"")</f>
        <v/>
      </c>
      <c r="Q122" s="24">
        <f>IF(AND(LEFT($G122,1)="T",$H122="no"),"sí","no")</f>
        <v/>
      </c>
    </row>
    <row r="123">
      <c r="A123" s="5" t="inlineStr">
        <is>
          <t>2026-S31</t>
        </is>
      </c>
      <c r="B123" s="5" t="inlineStr">
        <is>
          <t>lunes</t>
        </is>
      </c>
      <c r="C123" s="5" t="inlineStr">
        <is>
          <t>María Gómez</t>
        </is>
      </c>
      <c r="D123" s="24">
        <f>IFERROR(INDEX('TECNICOS'!$D$4:$D$19,MATCH($C123,'TECNICOS'!$B$4:$B$19,0)),"")</f>
        <v/>
      </c>
      <c r="E123" s="24">
        <f>IFERROR(INDEX('TECNICOS'!$C$4:$C$19,MATCH($C123,'TECNICOS'!$B$4:$B$19,0)),"")</f>
        <v/>
      </c>
      <c r="F123" s="24">
        <f>COUNTIFS('TECNICOS'!$F$4:$F$19,"sí",'TECNICOS'!$C$4:$C$19,$E123,'TECNICOS'!$D$4:$D$19,$D123,'TECNICOS'!$H$4:$H$19,"sí")</f>
        <v/>
      </c>
      <c r="G123" s="24">
        <f>IF(OR($C123="",$A123="",$B123="domingo",IFERROR(INDEX('TECNICOS'!$H$4:$H$19,MATCH($C123,'TECNICOS'!$B$4:$B$19,0)),"no")&lt;&gt;"sí"),"",IF(IFERROR(INDEX('TECNICOS'!$F$4:$F$19,MATCH($C123,'TECNICOS'!$B$4:$B$19,0)),"no")&lt;&gt;"sí","B",IF(MOD((IFERROR(INDEX('TECNICOS'!$G$4:$G$19,MATCH($C123,'TECNICOS'!$B$4:$B$19,0)),0)-1)+((DATE(VALUE(LEFT($A123,4)),1,4)-WEEKDAY(DATE(VALUE(LEFT($A123,4)),1,4),2)+1+(VALUE(MID($A123,7,2))-1)*7)-p_semana_referencia)/7,$F123)&lt;($F123-3),"B"&amp;(($F123-3)-MOD((IFERROR(INDEX('TECNICOS'!$G$4:$G$19,MATCH($C123,'TECNICOS'!$B$4:$B$19,0)),0)-1)+((DATE(VALUE(LEFT($A123,4)),1,4)-WEEKDAY(DATE(VALUE(LEFT($A123,4)),1,4),2)+1+(VALUE(MID($A123,7,2))-1)*7)-p_semana_referencia)/7,$F123)),"T"&amp;($F123-MOD((IFERROR(INDEX('TECNICOS'!$G$4:$G$19,MATCH($C123,'TECNICOS'!$B$4:$B$19,0)),0)-1)+((DATE(VALUE(LEFT($A123,4)),1,4)-WEEKDAY(DATE(VALUE(LEFT($A123,4)),1,4),2)+1+(VALUE(MID($A123,7,2))-1)*7)-p_semana_referencia)/7,$F123)))))</f>
        <v/>
      </c>
      <c r="H123" s="24">
        <f>IF(COUNTIFS('PLAN_VACACIONES'!$A$4:$A$103,$C123,'PLAN_VACACIONES'!$B$4:$B$103,"&lt;="&amp;$L123,'PLAN_VACACIONES'!$C$4:$C$103,"&gt;="&amp;$L123)&gt;0,"sí","no")</f>
        <v/>
      </c>
      <c r="I123" s="4" t="n"/>
      <c r="J123" s="24">
        <f>IF($I123&lt;&gt;"",$I123,IF($G123="","",IF($H123="sí","VAC",IF(LEFT($G123,1)="B","B",$G123))))</f>
        <v/>
      </c>
      <c r="K123" s="24">
        <f>IFERROR(INDEX('TECNICOS'!$E$4:$E$19,MATCH($C123,'TECNICOS'!$B$4:$B$19,0)),"")</f>
        <v/>
      </c>
      <c r="L123" s="30">
        <f>IF($A123="","",DATE(VALUE(LEFT($A123,4)),1,4)-WEEKDAY(DATE(VALUE(LEFT($A123,4)),1,4),2)+1+(VALUE(MID($A123,7,2))-1)*7+MATCH($B123,lista_dias,0)-1)</f>
        <v/>
      </c>
      <c r="M123" s="24">
        <f>IF(OR($J123="",ISNUMBER(MATCH($J123,lista_no_disponible,0)),(IFERROR(INDEX('CALENDARIO'!$C$15:$C$214,MATCH(TEXT($L123,"yyyy-mm-dd")&amp;"|"&amp;$D123&amp;"|"&amp;"",'CALENDARIO'!$G$15:$G$214,0)),IFERROR(INDEX('CALENDARIO'!$C$15:$C$214,MATCH(TEXT($L123,"yyyy-mm-dd")&amp;"|"&amp;$D123&amp;"|",'CALENDARIO'!$G$15:$G$214,0)),IFERROR(INDEX('CALENDARIO'!$C$15:$C$214,MATCH(TEXT($L123,"yyyy-mm-dd")&amp;"||",'CALENDARIO'!$G$15:$G$214,0)),INDEX(patronHabil,WEEKDAY($L123,2))))))&lt;&gt;"sí"),0,p_horas_jornada)</f>
        <v/>
      </c>
      <c r="N123" s="24">
        <f>$A123&amp;"|"&amp;$B123&amp;"|"&amp;$C123</f>
        <v/>
      </c>
      <c r="O123" s="24">
        <f>IFERROR(INDEX('CAT_TURNOS'!$C$4:$C$22,MATCH($J123,'CAT_TURNOS'!$A$4:$A$22,0)),"")</f>
        <v/>
      </c>
      <c r="P123" s="24">
        <f>IFERROR(INDEX('CAT_TURNOS'!$D$4:$D$22,MATCH($J123,'CAT_TURNOS'!$A$4:$A$22,0)),"")</f>
        <v/>
      </c>
      <c r="Q123" s="24">
        <f>IF(AND(LEFT($G123,1)="T",$H123="no"),"sí","no")</f>
        <v/>
      </c>
    </row>
    <row r="124">
      <c r="A124" s="5" t="inlineStr">
        <is>
          <t>2026-S31</t>
        </is>
      </c>
      <c r="B124" s="5" t="inlineStr">
        <is>
          <t>martes</t>
        </is>
      </c>
      <c r="C124" s="5" t="inlineStr">
        <is>
          <t>María Gómez</t>
        </is>
      </c>
      <c r="D124" s="24">
        <f>IFERROR(INDEX('TECNICOS'!$D$4:$D$19,MATCH($C124,'TECNICOS'!$B$4:$B$19,0)),"")</f>
        <v/>
      </c>
      <c r="E124" s="24">
        <f>IFERROR(INDEX('TECNICOS'!$C$4:$C$19,MATCH($C124,'TECNICOS'!$B$4:$B$19,0)),"")</f>
        <v/>
      </c>
      <c r="F124" s="24">
        <f>COUNTIFS('TECNICOS'!$F$4:$F$19,"sí",'TECNICOS'!$C$4:$C$19,$E124,'TECNICOS'!$D$4:$D$19,$D124,'TECNICOS'!$H$4:$H$19,"sí")</f>
        <v/>
      </c>
      <c r="G124" s="24">
        <f>IF(OR($C124="",$A124="",$B124="domingo",IFERROR(INDEX('TECNICOS'!$H$4:$H$19,MATCH($C124,'TECNICOS'!$B$4:$B$19,0)),"no")&lt;&gt;"sí"),"",IF(IFERROR(INDEX('TECNICOS'!$F$4:$F$19,MATCH($C124,'TECNICOS'!$B$4:$B$19,0)),"no")&lt;&gt;"sí","B",IF(MOD((IFERROR(INDEX('TECNICOS'!$G$4:$G$19,MATCH($C124,'TECNICOS'!$B$4:$B$19,0)),0)-1)+((DATE(VALUE(LEFT($A124,4)),1,4)-WEEKDAY(DATE(VALUE(LEFT($A124,4)),1,4),2)+1+(VALUE(MID($A124,7,2))-1)*7)-p_semana_referencia)/7,$F124)&lt;($F124-3),"B"&amp;(($F124-3)-MOD((IFERROR(INDEX('TECNICOS'!$G$4:$G$19,MATCH($C124,'TECNICOS'!$B$4:$B$19,0)),0)-1)+((DATE(VALUE(LEFT($A124,4)),1,4)-WEEKDAY(DATE(VALUE(LEFT($A124,4)),1,4),2)+1+(VALUE(MID($A124,7,2))-1)*7)-p_semana_referencia)/7,$F124)),"T"&amp;($F124-MOD((IFERROR(INDEX('TECNICOS'!$G$4:$G$19,MATCH($C124,'TECNICOS'!$B$4:$B$19,0)),0)-1)+((DATE(VALUE(LEFT($A124,4)),1,4)-WEEKDAY(DATE(VALUE(LEFT($A124,4)),1,4),2)+1+(VALUE(MID($A124,7,2))-1)*7)-p_semana_referencia)/7,$F124)))))</f>
        <v/>
      </c>
      <c r="H124" s="24">
        <f>IF(COUNTIFS('PLAN_VACACIONES'!$A$4:$A$103,$C124,'PLAN_VACACIONES'!$B$4:$B$103,"&lt;="&amp;$L124,'PLAN_VACACIONES'!$C$4:$C$103,"&gt;="&amp;$L124)&gt;0,"sí","no")</f>
        <v/>
      </c>
      <c r="I124" s="4" t="n"/>
      <c r="J124" s="24">
        <f>IF($I124&lt;&gt;"",$I124,IF($G124="","",IF($H124="sí","VAC",IF(LEFT($G124,1)="B","B",$G124))))</f>
        <v/>
      </c>
      <c r="K124" s="24">
        <f>IFERROR(INDEX('TECNICOS'!$E$4:$E$19,MATCH($C124,'TECNICOS'!$B$4:$B$19,0)),"")</f>
        <v/>
      </c>
      <c r="L124" s="30">
        <f>IF($A124="","",DATE(VALUE(LEFT($A124,4)),1,4)-WEEKDAY(DATE(VALUE(LEFT($A124,4)),1,4),2)+1+(VALUE(MID($A124,7,2))-1)*7+MATCH($B124,lista_dias,0)-1)</f>
        <v/>
      </c>
      <c r="M124" s="24">
        <f>IF(OR($J124="",ISNUMBER(MATCH($J124,lista_no_disponible,0)),(IFERROR(INDEX('CALENDARIO'!$C$15:$C$214,MATCH(TEXT($L124,"yyyy-mm-dd")&amp;"|"&amp;$D124&amp;"|"&amp;"",'CALENDARIO'!$G$15:$G$214,0)),IFERROR(INDEX('CALENDARIO'!$C$15:$C$214,MATCH(TEXT($L124,"yyyy-mm-dd")&amp;"|"&amp;$D124&amp;"|",'CALENDARIO'!$G$15:$G$214,0)),IFERROR(INDEX('CALENDARIO'!$C$15:$C$214,MATCH(TEXT($L124,"yyyy-mm-dd")&amp;"||",'CALENDARIO'!$G$15:$G$214,0)),INDEX(patronHabil,WEEKDAY($L124,2))))))&lt;&gt;"sí"),0,p_horas_jornada)</f>
        <v/>
      </c>
      <c r="N124" s="24">
        <f>$A124&amp;"|"&amp;$B124&amp;"|"&amp;$C124</f>
        <v/>
      </c>
      <c r="O124" s="24">
        <f>IFERROR(INDEX('CAT_TURNOS'!$C$4:$C$22,MATCH($J124,'CAT_TURNOS'!$A$4:$A$22,0)),"")</f>
        <v/>
      </c>
      <c r="P124" s="24">
        <f>IFERROR(INDEX('CAT_TURNOS'!$D$4:$D$22,MATCH($J124,'CAT_TURNOS'!$A$4:$A$22,0)),"")</f>
        <v/>
      </c>
      <c r="Q124" s="24">
        <f>IF(AND(LEFT($G124,1)="T",$H124="no"),"sí","no")</f>
        <v/>
      </c>
    </row>
    <row r="125">
      <c r="A125" s="5" t="inlineStr">
        <is>
          <t>2026-S31</t>
        </is>
      </c>
      <c r="B125" s="5" t="inlineStr">
        <is>
          <t>miércoles</t>
        </is>
      </c>
      <c r="C125" s="5" t="inlineStr">
        <is>
          <t>María Gómez</t>
        </is>
      </c>
      <c r="D125" s="24">
        <f>IFERROR(INDEX('TECNICOS'!$D$4:$D$19,MATCH($C125,'TECNICOS'!$B$4:$B$19,0)),"")</f>
        <v/>
      </c>
      <c r="E125" s="24">
        <f>IFERROR(INDEX('TECNICOS'!$C$4:$C$19,MATCH($C125,'TECNICOS'!$B$4:$B$19,0)),"")</f>
        <v/>
      </c>
      <c r="F125" s="24">
        <f>COUNTIFS('TECNICOS'!$F$4:$F$19,"sí",'TECNICOS'!$C$4:$C$19,$E125,'TECNICOS'!$D$4:$D$19,$D125,'TECNICOS'!$H$4:$H$19,"sí")</f>
        <v/>
      </c>
      <c r="G125" s="24">
        <f>IF(OR($C125="",$A125="",$B125="domingo",IFERROR(INDEX('TECNICOS'!$H$4:$H$19,MATCH($C125,'TECNICOS'!$B$4:$B$19,0)),"no")&lt;&gt;"sí"),"",IF(IFERROR(INDEX('TECNICOS'!$F$4:$F$19,MATCH($C125,'TECNICOS'!$B$4:$B$19,0)),"no")&lt;&gt;"sí","B",IF(MOD((IFERROR(INDEX('TECNICOS'!$G$4:$G$19,MATCH($C125,'TECNICOS'!$B$4:$B$19,0)),0)-1)+((DATE(VALUE(LEFT($A125,4)),1,4)-WEEKDAY(DATE(VALUE(LEFT($A125,4)),1,4),2)+1+(VALUE(MID($A125,7,2))-1)*7)-p_semana_referencia)/7,$F125)&lt;($F125-3),"B"&amp;(($F125-3)-MOD((IFERROR(INDEX('TECNICOS'!$G$4:$G$19,MATCH($C125,'TECNICOS'!$B$4:$B$19,0)),0)-1)+((DATE(VALUE(LEFT($A125,4)),1,4)-WEEKDAY(DATE(VALUE(LEFT($A125,4)),1,4),2)+1+(VALUE(MID($A125,7,2))-1)*7)-p_semana_referencia)/7,$F125)),"T"&amp;($F125-MOD((IFERROR(INDEX('TECNICOS'!$G$4:$G$19,MATCH($C125,'TECNICOS'!$B$4:$B$19,0)),0)-1)+((DATE(VALUE(LEFT($A125,4)),1,4)-WEEKDAY(DATE(VALUE(LEFT($A125,4)),1,4),2)+1+(VALUE(MID($A125,7,2))-1)*7)-p_semana_referencia)/7,$F125)))))</f>
        <v/>
      </c>
      <c r="H125" s="24">
        <f>IF(COUNTIFS('PLAN_VACACIONES'!$A$4:$A$103,$C125,'PLAN_VACACIONES'!$B$4:$B$103,"&lt;="&amp;$L125,'PLAN_VACACIONES'!$C$4:$C$103,"&gt;="&amp;$L125)&gt;0,"sí","no")</f>
        <v/>
      </c>
      <c r="I125" s="4" t="n"/>
      <c r="J125" s="24">
        <f>IF($I125&lt;&gt;"",$I125,IF($G125="","",IF($H125="sí","VAC",IF(LEFT($G125,1)="B","B",$G125))))</f>
        <v/>
      </c>
      <c r="K125" s="24">
        <f>IFERROR(INDEX('TECNICOS'!$E$4:$E$19,MATCH($C125,'TECNICOS'!$B$4:$B$19,0)),"")</f>
        <v/>
      </c>
      <c r="L125" s="30">
        <f>IF($A125="","",DATE(VALUE(LEFT($A125,4)),1,4)-WEEKDAY(DATE(VALUE(LEFT($A125,4)),1,4),2)+1+(VALUE(MID($A125,7,2))-1)*7+MATCH($B125,lista_dias,0)-1)</f>
        <v/>
      </c>
      <c r="M125" s="24">
        <f>IF(OR($J125="",ISNUMBER(MATCH($J125,lista_no_disponible,0)),(IFERROR(INDEX('CALENDARIO'!$C$15:$C$214,MATCH(TEXT($L125,"yyyy-mm-dd")&amp;"|"&amp;$D125&amp;"|"&amp;"",'CALENDARIO'!$G$15:$G$214,0)),IFERROR(INDEX('CALENDARIO'!$C$15:$C$214,MATCH(TEXT($L125,"yyyy-mm-dd")&amp;"|"&amp;$D125&amp;"|",'CALENDARIO'!$G$15:$G$214,0)),IFERROR(INDEX('CALENDARIO'!$C$15:$C$214,MATCH(TEXT($L125,"yyyy-mm-dd")&amp;"||",'CALENDARIO'!$G$15:$G$214,0)),INDEX(patronHabil,WEEKDAY($L125,2))))))&lt;&gt;"sí"),0,p_horas_jornada)</f>
        <v/>
      </c>
      <c r="N125" s="24">
        <f>$A125&amp;"|"&amp;$B125&amp;"|"&amp;$C125</f>
        <v/>
      </c>
      <c r="O125" s="24">
        <f>IFERROR(INDEX('CAT_TURNOS'!$C$4:$C$22,MATCH($J125,'CAT_TURNOS'!$A$4:$A$22,0)),"")</f>
        <v/>
      </c>
      <c r="P125" s="24">
        <f>IFERROR(INDEX('CAT_TURNOS'!$D$4:$D$22,MATCH($J125,'CAT_TURNOS'!$A$4:$A$22,0)),"")</f>
        <v/>
      </c>
      <c r="Q125" s="24">
        <f>IF(AND(LEFT($G125,1)="T",$H125="no"),"sí","no")</f>
        <v/>
      </c>
    </row>
    <row r="126">
      <c r="A126" s="5" t="inlineStr">
        <is>
          <t>2026-S31</t>
        </is>
      </c>
      <c r="B126" s="5" t="inlineStr">
        <is>
          <t>jueves</t>
        </is>
      </c>
      <c r="C126" s="5" t="inlineStr">
        <is>
          <t>María Gómez</t>
        </is>
      </c>
      <c r="D126" s="24">
        <f>IFERROR(INDEX('TECNICOS'!$D$4:$D$19,MATCH($C126,'TECNICOS'!$B$4:$B$19,0)),"")</f>
        <v/>
      </c>
      <c r="E126" s="24">
        <f>IFERROR(INDEX('TECNICOS'!$C$4:$C$19,MATCH($C126,'TECNICOS'!$B$4:$B$19,0)),"")</f>
        <v/>
      </c>
      <c r="F126" s="24">
        <f>COUNTIFS('TECNICOS'!$F$4:$F$19,"sí",'TECNICOS'!$C$4:$C$19,$E126,'TECNICOS'!$D$4:$D$19,$D126,'TECNICOS'!$H$4:$H$19,"sí")</f>
        <v/>
      </c>
      <c r="G126" s="24">
        <f>IF(OR($C126="",$A126="",$B126="domingo",IFERROR(INDEX('TECNICOS'!$H$4:$H$19,MATCH($C126,'TECNICOS'!$B$4:$B$19,0)),"no")&lt;&gt;"sí"),"",IF(IFERROR(INDEX('TECNICOS'!$F$4:$F$19,MATCH($C126,'TECNICOS'!$B$4:$B$19,0)),"no")&lt;&gt;"sí","B",IF(MOD((IFERROR(INDEX('TECNICOS'!$G$4:$G$19,MATCH($C126,'TECNICOS'!$B$4:$B$19,0)),0)-1)+((DATE(VALUE(LEFT($A126,4)),1,4)-WEEKDAY(DATE(VALUE(LEFT($A126,4)),1,4),2)+1+(VALUE(MID($A126,7,2))-1)*7)-p_semana_referencia)/7,$F126)&lt;($F126-3),"B"&amp;(($F126-3)-MOD((IFERROR(INDEX('TECNICOS'!$G$4:$G$19,MATCH($C126,'TECNICOS'!$B$4:$B$19,0)),0)-1)+((DATE(VALUE(LEFT($A126,4)),1,4)-WEEKDAY(DATE(VALUE(LEFT($A126,4)),1,4),2)+1+(VALUE(MID($A126,7,2))-1)*7)-p_semana_referencia)/7,$F126)),"T"&amp;($F126-MOD((IFERROR(INDEX('TECNICOS'!$G$4:$G$19,MATCH($C126,'TECNICOS'!$B$4:$B$19,0)),0)-1)+((DATE(VALUE(LEFT($A126,4)),1,4)-WEEKDAY(DATE(VALUE(LEFT($A126,4)),1,4),2)+1+(VALUE(MID($A126,7,2))-1)*7)-p_semana_referencia)/7,$F126)))))</f>
        <v/>
      </c>
      <c r="H126" s="24">
        <f>IF(COUNTIFS('PLAN_VACACIONES'!$A$4:$A$103,$C126,'PLAN_VACACIONES'!$B$4:$B$103,"&lt;="&amp;$L126,'PLAN_VACACIONES'!$C$4:$C$103,"&gt;="&amp;$L126)&gt;0,"sí","no")</f>
        <v/>
      </c>
      <c r="I126" s="4" t="n"/>
      <c r="J126" s="24">
        <f>IF($I126&lt;&gt;"",$I126,IF($G126="","",IF($H126="sí","VAC",IF(LEFT($G126,1)="B","B",$G126))))</f>
        <v/>
      </c>
      <c r="K126" s="24">
        <f>IFERROR(INDEX('TECNICOS'!$E$4:$E$19,MATCH($C126,'TECNICOS'!$B$4:$B$19,0)),"")</f>
        <v/>
      </c>
      <c r="L126" s="30">
        <f>IF($A126="","",DATE(VALUE(LEFT($A126,4)),1,4)-WEEKDAY(DATE(VALUE(LEFT($A126,4)),1,4),2)+1+(VALUE(MID($A126,7,2))-1)*7+MATCH($B126,lista_dias,0)-1)</f>
        <v/>
      </c>
      <c r="M126" s="24">
        <f>IF(OR($J126="",ISNUMBER(MATCH($J126,lista_no_disponible,0)),(IFERROR(INDEX('CALENDARIO'!$C$15:$C$214,MATCH(TEXT($L126,"yyyy-mm-dd")&amp;"|"&amp;$D126&amp;"|"&amp;"",'CALENDARIO'!$G$15:$G$214,0)),IFERROR(INDEX('CALENDARIO'!$C$15:$C$214,MATCH(TEXT($L126,"yyyy-mm-dd")&amp;"|"&amp;$D126&amp;"|",'CALENDARIO'!$G$15:$G$214,0)),IFERROR(INDEX('CALENDARIO'!$C$15:$C$214,MATCH(TEXT($L126,"yyyy-mm-dd")&amp;"||",'CALENDARIO'!$G$15:$G$214,0)),INDEX(patronHabil,WEEKDAY($L126,2))))))&lt;&gt;"sí"),0,p_horas_jornada)</f>
        <v/>
      </c>
      <c r="N126" s="24">
        <f>$A126&amp;"|"&amp;$B126&amp;"|"&amp;$C126</f>
        <v/>
      </c>
      <c r="O126" s="24">
        <f>IFERROR(INDEX('CAT_TURNOS'!$C$4:$C$22,MATCH($J126,'CAT_TURNOS'!$A$4:$A$22,0)),"")</f>
        <v/>
      </c>
      <c r="P126" s="24">
        <f>IFERROR(INDEX('CAT_TURNOS'!$D$4:$D$22,MATCH($J126,'CAT_TURNOS'!$A$4:$A$22,0)),"")</f>
        <v/>
      </c>
      <c r="Q126" s="24">
        <f>IF(AND(LEFT($G126,1)="T",$H126="no"),"sí","no")</f>
        <v/>
      </c>
    </row>
    <row r="127">
      <c r="A127" s="5" t="inlineStr">
        <is>
          <t>2026-S31</t>
        </is>
      </c>
      <c r="B127" s="5" t="inlineStr">
        <is>
          <t>viernes</t>
        </is>
      </c>
      <c r="C127" s="5" t="inlineStr">
        <is>
          <t>María Gómez</t>
        </is>
      </c>
      <c r="D127" s="24">
        <f>IFERROR(INDEX('TECNICOS'!$D$4:$D$19,MATCH($C127,'TECNICOS'!$B$4:$B$19,0)),"")</f>
        <v/>
      </c>
      <c r="E127" s="24">
        <f>IFERROR(INDEX('TECNICOS'!$C$4:$C$19,MATCH($C127,'TECNICOS'!$B$4:$B$19,0)),"")</f>
        <v/>
      </c>
      <c r="F127" s="24">
        <f>COUNTIFS('TECNICOS'!$F$4:$F$19,"sí",'TECNICOS'!$C$4:$C$19,$E127,'TECNICOS'!$D$4:$D$19,$D127,'TECNICOS'!$H$4:$H$19,"sí")</f>
        <v/>
      </c>
      <c r="G127" s="24">
        <f>IF(OR($C127="",$A127="",$B127="domingo",IFERROR(INDEX('TECNICOS'!$H$4:$H$19,MATCH($C127,'TECNICOS'!$B$4:$B$19,0)),"no")&lt;&gt;"sí"),"",IF(IFERROR(INDEX('TECNICOS'!$F$4:$F$19,MATCH($C127,'TECNICOS'!$B$4:$B$19,0)),"no")&lt;&gt;"sí","B",IF(MOD((IFERROR(INDEX('TECNICOS'!$G$4:$G$19,MATCH($C127,'TECNICOS'!$B$4:$B$19,0)),0)-1)+((DATE(VALUE(LEFT($A127,4)),1,4)-WEEKDAY(DATE(VALUE(LEFT($A127,4)),1,4),2)+1+(VALUE(MID($A127,7,2))-1)*7)-p_semana_referencia)/7,$F127)&lt;($F127-3),"B"&amp;(($F127-3)-MOD((IFERROR(INDEX('TECNICOS'!$G$4:$G$19,MATCH($C127,'TECNICOS'!$B$4:$B$19,0)),0)-1)+((DATE(VALUE(LEFT($A127,4)),1,4)-WEEKDAY(DATE(VALUE(LEFT($A127,4)),1,4),2)+1+(VALUE(MID($A127,7,2))-1)*7)-p_semana_referencia)/7,$F127)),"T"&amp;($F127-MOD((IFERROR(INDEX('TECNICOS'!$G$4:$G$19,MATCH($C127,'TECNICOS'!$B$4:$B$19,0)),0)-1)+((DATE(VALUE(LEFT($A127,4)),1,4)-WEEKDAY(DATE(VALUE(LEFT($A127,4)),1,4),2)+1+(VALUE(MID($A127,7,2))-1)*7)-p_semana_referencia)/7,$F127)))))</f>
        <v/>
      </c>
      <c r="H127" s="24">
        <f>IF(COUNTIFS('PLAN_VACACIONES'!$A$4:$A$103,$C127,'PLAN_VACACIONES'!$B$4:$B$103,"&lt;="&amp;$L127,'PLAN_VACACIONES'!$C$4:$C$103,"&gt;="&amp;$L127)&gt;0,"sí","no")</f>
        <v/>
      </c>
      <c r="I127" s="4" t="n"/>
      <c r="J127" s="24">
        <f>IF($I127&lt;&gt;"",$I127,IF($G127="","",IF($H127="sí","VAC",IF(LEFT($G127,1)="B","B",$G127))))</f>
        <v/>
      </c>
      <c r="K127" s="24">
        <f>IFERROR(INDEX('TECNICOS'!$E$4:$E$19,MATCH($C127,'TECNICOS'!$B$4:$B$19,0)),"")</f>
        <v/>
      </c>
      <c r="L127" s="30">
        <f>IF($A127="","",DATE(VALUE(LEFT($A127,4)),1,4)-WEEKDAY(DATE(VALUE(LEFT($A127,4)),1,4),2)+1+(VALUE(MID($A127,7,2))-1)*7+MATCH($B127,lista_dias,0)-1)</f>
        <v/>
      </c>
      <c r="M127" s="24">
        <f>IF(OR($J127="",ISNUMBER(MATCH($J127,lista_no_disponible,0)),(IFERROR(INDEX('CALENDARIO'!$C$15:$C$214,MATCH(TEXT($L127,"yyyy-mm-dd")&amp;"|"&amp;$D127&amp;"|"&amp;"",'CALENDARIO'!$G$15:$G$214,0)),IFERROR(INDEX('CALENDARIO'!$C$15:$C$214,MATCH(TEXT($L127,"yyyy-mm-dd")&amp;"|"&amp;$D127&amp;"|",'CALENDARIO'!$G$15:$G$214,0)),IFERROR(INDEX('CALENDARIO'!$C$15:$C$214,MATCH(TEXT($L127,"yyyy-mm-dd")&amp;"||",'CALENDARIO'!$G$15:$G$214,0)),INDEX(patronHabil,WEEKDAY($L127,2))))))&lt;&gt;"sí"),0,p_horas_jornada)</f>
        <v/>
      </c>
      <c r="N127" s="24">
        <f>$A127&amp;"|"&amp;$B127&amp;"|"&amp;$C127</f>
        <v/>
      </c>
      <c r="O127" s="24">
        <f>IFERROR(INDEX('CAT_TURNOS'!$C$4:$C$22,MATCH($J127,'CAT_TURNOS'!$A$4:$A$22,0)),"")</f>
        <v/>
      </c>
      <c r="P127" s="24">
        <f>IFERROR(INDEX('CAT_TURNOS'!$D$4:$D$22,MATCH($J127,'CAT_TURNOS'!$A$4:$A$22,0)),"")</f>
        <v/>
      </c>
      <c r="Q127" s="24">
        <f>IF(AND(LEFT($G127,1)="T",$H127="no"),"sí","no")</f>
        <v/>
      </c>
    </row>
    <row r="128">
      <c r="A128" s="5" t="inlineStr">
        <is>
          <t>2026-S31</t>
        </is>
      </c>
      <c r="B128" s="5" t="inlineStr">
        <is>
          <t>sábado</t>
        </is>
      </c>
      <c r="C128" s="5" t="inlineStr">
        <is>
          <t>María Gómez</t>
        </is>
      </c>
      <c r="D128" s="24">
        <f>IFERROR(INDEX('TECNICOS'!$D$4:$D$19,MATCH($C128,'TECNICOS'!$B$4:$B$19,0)),"")</f>
        <v/>
      </c>
      <c r="E128" s="24">
        <f>IFERROR(INDEX('TECNICOS'!$C$4:$C$19,MATCH($C128,'TECNICOS'!$B$4:$B$19,0)),"")</f>
        <v/>
      </c>
      <c r="F128" s="24">
        <f>COUNTIFS('TECNICOS'!$F$4:$F$19,"sí",'TECNICOS'!$C$4:$C$19,$E128,'TECNICOS'!$D$4:$D$19,$D128,'TECNICOS'!$H$4:$H$19,"sí")</f>
        <v/>
      </c>
      <c r="G128" s="24">
        <f>IF(OR($C128="",$A128="",$B128="domingo",IFERROR(INDEX('TECNICOS'!$H$4:$H$19,MATCH($C128,'TECNICOS'!$B$4:$B$19,0)),"no")&lt;&gt;"sí"),"",IF(IFERROR(INDEX('TECNICOS'!$F$4:$F$19,MATCH($C128,'TECNICOS'!$B$4:$B$19,0)),"no")&lt;&gt;"sí","B",IF(MOD((IFERROR(INDEX('TECNICOS'!$G$4:$G$19,MATCH($C128,'TECNICOS'!$B$4:$B$19,0)),0)-1)+((DATE(VALUE(LEFT($A128,4)),1,4)-WEEKDAY(DATE(VALUE(LEFT($A128,4)),1,4),2)+1+(VALUE(MID($A128,7,2))-1)*7)-p_semana_referencia)/7,$F128)&lt;($F128-3),"B"&amp;(($F128-3)-MOD((IFERROR(INDEX('TECNICOS'!$G$4:$G$19,MATCH($C128,'TECNICOS'!$B$4:$B$19,0)),0)-1)+((DATE(VALUE(LEFT($A128,4)),1,4)-WEEKDAY(DATE(VALUE(LEFT($A128,4)),1,4),2)+1+(VALUE(MID($A128,7,2))-1)*7)-p_semana_referencia)/7,$F128)),"T"&amp;($F128-MOD((IFERROR(INDEX('TECNICOS'!$G$4:$G$19,MATCH($C128,'TECNICOS'!$B$4:$B$19,0)),0)-1)+((DATE(VALUE(LEFT($A128,4)),1,4)-WEEKDAY(DATE(VALUE(LEFT($A128,4)),1,4),2)+1+(VALUE(MID($A128,7,2))-1)*7)-p_semana_referencia)/7,$F128)))))</f>
        <v/>
      </c>
      <c r="H128" s="24">
        <f>IF(COUNTIFS('PLAN_VACACIONES'!$A$4:$A$103,$C128,'PLAN_VACACIONES'!$B$4:$B$103,"&lt;="&amp;$L128,'PLAN_VACACIONES'!$C$4:$C$103,"&gt;="&amp;$L128)&gt;0,"sí","no")</f>
        <v/>
      </c>
      <c r="I128" s="4" t="n"/>
      <c r="J128" s="24">
        <f>IF($I128&lt;&gt;"",$I128,IF($G128="","",IF($H128="sí","VAC",IF(LEFT($G128,1)="B","B",$G128))))</f>
        <v/>
      </c>
      <c r="K128" s="24">
        <f>IFERROR(INDEX('TECNICOS'!$E$4:$E$19,MATCH($C128,'TECNICOS'!$B$4:$B$19,0)),"")</f>
        <v/>
      </c>
      <c r="L128" s="30">
        <f>IF($A128="","",DATE(VALUE(LEFT($A128,4)),1,4)-WEEKDAY(DATE(VALUE(LEFT($A128,4)),1,4),2)+1+(VALUE(MID($A128,7,2))-1)*7+MATCH($B128,lista_dias,0)-1)</f>
        <v/>
      </c>
      <c r="M128" s="24">
        <f>IF(OR($J128="",ISNUMBER(MATCH($J128,lista_no_disponible,0)),(IFERROR(INDEX('CALENDARIO'!$C$15:$C$214,MATCH(TEXT($L128,"yyyy-mm-dd")&amp;"|"&amp;$D128&amp;"|"&amp;"",'CALENDARIO'!$G$15:$G$214,0)),IFERROR(INDEX('CALENDARIO'!$C$15:$C$214,MATCH(TEXT($L128,"yyyy-mm-dd")&amp;"|"&amp;$D128&amp;"|",'CALENDARIO'!$G$15:$G$214,0)),IFERROR(INDEX('CALENDARIO'!$C$15:$C$214,MATCH(TEXT($L128,"yyyy-mm-dd")&amp;"||",'CALENDARIO'!$G$15:$G$214,0)),INDEX(patronHabil,WEEKDAY($L128,2))))))&lt;&gt;"sí"),0,p_horas_jornada)</f>
        <v/>
      </c>
      <c r="N128" s="24">
        <f>$A128&amp;"|"&amp;$B128&amp;"|"&amp;$C128</f>
        <v/>
      </c>
      <c r="O128" s="24">
        <f>IFERROR(INDEX('CAT_TURNOS'!$C$4:$C$22,MATCH($J128,'CAT_TURNOS'!$A$4:$A$22,0)),"")</f>
        <v/>
      </c>
      <c r="P128" s="24">
        <f>IFERROR(INDEX('CAT_TURNOS'!$D$4:$D$22,MATCH($J128,'CAT_TURNOS'!$A$4:$A$22,0)),"")</f>
        <v/>
      </c>
      <c r="Q128" s="24">
        <f>IF(AND(LEFT($G128,1)="T",$H128="no"),"sí","no")</f>
        <v/>
      </c>
    </row>
    <row r="129">
      <c r="A129" s="5" t="inlineStr">
        <is>
          <t>2026-S31</t>
        </is>
      </c>
      <c r="B129" s="5" t="inlineStr">
        <is>
          <t>domingo</t>
        </is>
      </c>
      <c r="C129" s="5" t="inlineStr">
        <is>
          <t>María Gómez</t>
        </is>
      </c>
      <c r="D129" s="24">
        <f>IFERROR(INDEX('TECNICOS'!$D$4:$D$19,MATCH($C129,'TECNICOS'!$B$4:$B$19,0)),"")</f>
        <v/>
      </c>
      <c r="E129" s="24">
        <f>IFERROR(INDEX('TECNICOS'!$C$4:$C$19,MATCH($C129,'TECNICOS'!$B$4:$B$19,0)),"")</f>
        <v/>
      </c>
      <c r="F129" s="24">
        <f>COUNTIFS('TECNICOS'!$F$4:$F$19,"sí",'TECNICOS'!$C$4:$C$19,$E129,'TECNICOS'!$D$4:$D$19,$D129,'TECNICOS'!$H$4:$H$19,"sí")</f>
        <v/>
      </c>
      <c r="G129" s="24">
        <f>IF(OR($C129="",$A129="",$B129="domingo",IFERROR(INDEX('TECNICOS'!$H$4:$H$19,MATCH($C129,'TECNICOS'!$B$4:$B$19,0)),"no")&lt;&gt;"sí"),"",IF(IFERROR(INDEX('TECNICOS'!$F$4:$F$19,MATCH($C129,'TECNICOS'!$B$4:$B$19,0)),"no")&lt;&gt;"sí","B",IF(MOD((IFERROR(INDEX('TECNICOS'!$G$4:$G$19,MATCH($C129,'TECNICOS'!$B$4:$B$19,0)),0)-1)+((DATE(VALUE(LEFT($A129,4)),1,4)-WEEKDAY(DATE(VALUE(LEFT($A129,4)),1,4),2)+1+(VALUE(MID($A129,7,2))-1)*7)-p_semana_referencia)/7,$F129)&lt;($F129-3),"B"&amp;(($F129-3)-MOD((IFERROR(INDEX('TECNICOS'!$G$4:$G$19,MATCH($C129,'TECNICOS'!$B$4:$B$19,0)),0)-1)+((DATE(VALUE(LEFT($A129,4)),1,4)-WEEKDAY(DATE(VALUE(LEFT($A129,4)),1,4),2)+1+(VALUE(MID($A129,7,2))-1)*7)-p_semana_referencia)/7,$F129)),"T"&amp;($F129-MOD((IFERROR(INDEX('TECNICOS'!$G$4:$G$19,MATCH($C129,'TECNICOS'!$B$4:$B$19,0)),0)-1)+((DATE(VALUE(LEFT($A129,4)),1,4)-WEEKDAY(DATE(VALUE(LEFT($A129,4)),1,4),2)+1+(VALUE(MID($A129,7,2))-1)*7)-p_semana_referencia)/7,$F129)))))</f>
        <v/>
      </c>
      <c r="H129" s="24">
        <f>IF(COUNTIFS('PLAN_VACACIONES'!$A$4:$A$103,$C129,'PLAN_VACACIONES'!$B$4:$B$103,"&lt;="&amp;$L129,'PLAN_VACACIONES'!$C$4:$C$103,"&gt;="&amp;$L129)&gt;0,"sí","no")</f>
        <v/>
      </c>
      <c r="I129" s="4" t="n"/>
      <c r="J129" s="24">
        <f>IF($I129&lt;&gt;"",$I129,IF($G129="","",IF($H129="sí","VAC",IF(LEFT($G129,1)="B","B",$G129))))</f>
        <v/>
      </c>
      <c r="K129" s="24">
        <f>IFERROR(INDEX('TECNICOS'!$E$4:$E$19,MATCH($C129,'TECNICOS'!$B$4:$B$19,0)),"")</f>
        <v/>
      </c>
      <c r="L129" s="30">
        <f>IF($A129="","",DATE(VALUE(LEFT($A129,4)),1,4)-WEEKDAY(DATE(VALUE(LEFT($A129,4)),1,4),2)+1+(VALUE(MID($A129,7,2))-1)*7+MATCH($B129,lista_dias,0)-1)</f>
        <v/>
      </c>
      <c r="M129" s="24">
        <f>IF(OR($J129="",ISNUMBER(MATCH($J129,lista_no_disponible,0)),(IFERROR(INDEX('CALENDARIO'!$C$15:$C$214,MATCH(TEXT($L129,"yyyy-mm-dd")&amp;"|"&amp;$D129&amp;"|"&amp;"",'CALENDARIO'!$G$15:$G$214,0)),IFERROR(INDEX('CALENDARIO'!$C$15:$C$214,MATCH(TEXT($L129,"yyyy-mm-dd")&amp;"|"&amp;$D129&amp;"|",'CALENDARIO'!$G$15:$G$214,0)),IFERROR(INDEX('CALENDARIO'!$C$15:$C$214,MATCH(TEXT($L129,"yyyy-mm-dd")&amp;"||",'CALENDARIO'!$G$15:$G$214,0)),INDEX(patronHabil,WEEKDAY($L129,2))))))&lt;&gt;"sí"),0,p_horas_jornada)</f>
        <v/>
      </c>
      <c r="N129" s="24">
        <f>$A129&amp;"|"&amp;$B129&amp;"|"&amp;$C129</f>
        <v/>
      </c>
      <c r="O129" s="24">
        <f>IFERROR(INDEX('CAT_TURNOS'!$C$4:$C$22,MATCH($J129,'CAT_TURNOS'!$A$4:$A$22,0)),"")</f>
        <v/>
      </c>
      <c r="P129" s="24">
        <f>IFERROR(INDEX('CAT_TURNOS'!$D$4:$D$22,MATCH($J129,'CAT_TURNOS'!$A$4:$A$22,0)),"")</f>
        <v/>
      </c>
      <c r="Q129" s="24">
        <f>IF(AND(LEFT($G129,1)="T",$H129="no"),"sí","no")</f>
        <v/>
      </c>
    </row>
    <row r="130">
      <c r="A130" s="5" t="inlineStr">
        <is>
          <t>2026-S31</t>
        </is>
      </c>
      <c r="B130" s="5" t="inlineStr">
        <is>
          <t>lunes</t>
        </is>
      </c>
      <c r="C130" s="5" t="inlineStr">
        <is>
          <t>Luis Rodríguez</t>
        </is>
      </c>
      <c r="D130" s="24">
        <f>IFERROR(INDEX('TECNICOS'!$D$4:$D$19,MATCH($C130,'TECNICOS'!$B$4:$B$19,0)),"")</f>
        <v/>
      </c>
      <c r="E130" s="24">
        <f>IFERROR(INDEX('TECNICOS'!$C$4:$C$19,MATCH($C130,'TECNICOS'!$B$4:$B$19,0)),"")</f>
        <v/>
      </c>
      <c r="F130" s="24">
        <f>COUNTIFS('TECNICOS'!$F$4:$F$19,"sí",'TECNICOS'!$C$4:$C$19,$E130,'TECNICOS'!$D$4:$D$19,$D130,'TECNICOS'!$H$4:$H$19,"sí")</f>
        <v/>
      </c>
      <c r="G130" s="24">
        <f>IF(OR($C130="",$A130="",$B130="domingo",IFERROR(INDEX('TECNICOS'!$H$4:$H$19,MATCH($C130,'TECNICOS'!$B$4:$B$19,0)),"no")&lt;&gt;"sí"),"",IF(IFERROR(INDEX('TECNICOS'!$F$4:$F$19,MATCH($C130,'TECNICOS'!$B$4:$B$19,0)),"no")&lt;&gt;"sí","B",IF(MOD((IFERROR(INDEX('TECNICOS'!$G$4:$G$19,MATCH($C130,'TECNICOS'!$B$4:$B$19,0)),0)-1)+((DATE(VALUE(LEFT($A130,4)),1,4)-WEEKDAY(DATE(VALUE(LEFT($A130,4)),1,4),2)+1+(VALUE(MID($A130,7,2))-1)*7)-p_semana_referencia)/7,$F130)&lt;($F130-3),"B"&amp;(($F130-3)-MOD((IFERROR(INDEX('TECNICOS'!$G$4:$G$19,MATCH($C130,'TECNICOS'!$B$4:$B$19,0)),0)-1)+((DATE(VALUE(LEFT($A130,4)),1,4)-WEEKDAY(DATE(VALUE(LEFT($A130,4)),1,4),2)+1+(VALUE(MID($A130,7,2))-1)*7)-p_semana_referencia)/7,$F130)),"T"&amp;($F130-MOD((IFERROR(INDEX('TECNICOS'!$G$4:$G$19,MATCH($C130,'TECNICOS'!$B$4:$B$19,0)),0)-1)+((DATE(VALUE(LEFT($A130,4)),1,4)-WEEKDAY(DATE(VALUE(LEFT($A130,4)),1,4),2)+1+(VALUE(MID($A130,7,2))-1)*7)-p_semana_referencia)/7,$F130)))))</f>
        <v/>
      </c>
      <c r="H130" s="24">
        <f>IF(COUNTIFS('PLAN_VACACIONES'!$A$4:$A$103,$C130,'PLAN_VACACIONES'!$B$4:$B$103,"&lt;="&amp;$L130,'PLAN_VACACIONES'!$C$4:$C$103,"&gt;="&amp;$L130)&gt;0,"sí","no")</f>
        <v/>
      </c>
      <c r="I130" s="4" t="n"/>
      <c r="J130" s="24">
        <f>IF($I130&lt;&gt;"",$I130,IF($G130="","",IF($H130="sí","VAC",IF(LEFT($G130,1)="B","B",$G130))))</f>
        <v/>
      </c>
      <c r="K130" s="24">
        <f>IFERROR(INDEX('TECNICOS'!$E$4:$E$19,MATCH($C130,'TECNICOS'!$B$4:$B$19,0)),"")</f>
        <v/>
      </c>
      <c r="L130" s="30">
        <f>IF($A130="","",DATE(VALUE(LEFT($A130,4)),1,4)-WEEKDAY(DATE(VALUE(LEFT($A130,4)),1,4),2)+1+(VALUE(MID($A130,7,2))-1)*7+MATCH($B130,lista_dias,0)-1)</f>
        <v/>
      </c>
      <c r="M130" s="24">
        <f>IF(OR($J130="",ISNUMBER(MATCH($J130,lista_no_disponible,0)),(IFERROR(INDEX('CALENDARIO'!$C$15:$C$214,MATCH(TEXT($L130,"yyyy-mm-dd")&amp;"|"&amp;$D130&amp;"|"&amp;"",'CALENDARIO'!$G$15:$G$214,0)),IFERROR(INDEX('CALENDARIO'!$C$15:$C$214,MATCH(TEXT($L130,"yyyy-mm-dd")&amp;"|"&amp;$D130&amp;"|",'CALENDARIO'!$G$15:$G$214,0)),IFERROR(INDEX('CALENDARIO'!$C$15:$C$214,MATCH(TEXT($L130,"yyyy-mm-dd")&amp;"||",'CALENDARIO'!$G$15:$G$214,0)),INDEX(patronHabil,WEEKDAY($L130,2))))))&lt;&gt;"sí"),0,p_horas_jornada)</f>
        <v/>
      </c>
      <c r="N130" s="24">
        <f>$A130&amp;"|"&amp;$B130&amp;"|"&amp;$C130</f>
        <v/>
      </c>
      <c r="O130" s="24">
        <f>IFERROR(INDEX('CAT_TURNOS'!$C$4:$C$22,MATCH($J130,'CAT_TURNOS'!$A$4:$A$22,0)),"")</f>
        <v/>
      </c>
      <c r="P130" s="24">
        <f>IFERROR(INDEX('CAT_TURNOS'!$D$4:$D$22,MATCH($J130,'CAT_TURNOS'!$A$4:$A$22,0)),"")</f>
        <v/>
      </c>
      <c r="Q130" s="24">
        <f>IF(AND(LEFT($G130,1)="T",$H130="no"),"sí","no")</f>
        <v/>
      </c>
    </row>
    <row r="131">
      <c r="A131" s="5" t="inlineStr">
        <is>
          <t>2026-S31</t>
        </is>
      </c>
      <c r="B131" s="5" t="inlineStr">
        <is>
          <t>martes</t>
        </is>
      </c>
      <c r="C131" s="5" t="inlineStr">
        <is>
          <t>Luis Rodríguez</t>
        </is>
      </c>
      <c r="D131" s="24">
        <f>IFERROR(INDEX('TECNICOS'!$D$4:$D$19,MATCH($C131,'TECNICOS'!$B$4:$B$19,0)),"")</f>
        <v/>
      </c>
      <c r="E131" s="24">
        <f>IFERROR(INDEX('TECNICOS'!$C$4:$C$19,MATCH($C131,'TECNICOS'!$B$4:$B$19,0)),"")</f>
        <v/>
      </c>
      <c r="F131" s="24">
        <f>COUNTIFS('TECNICOS'!$F$4:$F$19,"sí",'TECNICOS'!$C$4:$C$19,$E131,'TECNICOS'!$D$4:$D$19,$D131,'TECNICOS'!$H$4:$H$19,"sí")</f>
        <v/>
      </c>
      <c r="G131" s="24">
        <f>IF(OR($C131="",$A131="",$B131="domingo",IFERROR(INDEX('TECNICOS'!$H$4:$H$19,MATCH($C131,'TECNICOS'!$B$4:$B$19,0)),"no")&lt;&gt;"sí"),"",IF(IFERROR(INDEX('TECNICOS'!$F$4:$F$19,MATCH($C131,'TECNICOS'!$B$4:$B$19,0)),"no")&lt;&gt;"sí","B",IF(MOD((IFERROR(INDEX('TECNICOS'!$G$4:$G$19,MATCH($C131,'TECNICOS'!$B$4:$B$19,0)),0)-1)+((DATE(VALUE(LEFT($A131,4)),1,4)-WEEKDAY(DATE(VALUE(LEFT($A131,4)),1,4),2)+1+(VALUE(MID($A131,7,2))-1)*7)-p_semana_referencia)/7,$F131)&lt;($F131-3),"B"&amp;(($F131-3)-MOD((IFERROR(INDEX('TECNICOS'!$G$4:$G$19,MATCH($C131,'TECNICOS'!$B$4:$B$19,0)),0)-1)+((DATE(VALUE(LEFT($A131,4)),1,4)-WEEKDAY(DATE(VALUE(LEFT($A131,4)),1,4),2)+1+(VALUE(MID($A131,7,2))-1)*7)-p_semana_referencia)/7,$F131)),"T"&amp;($F131-MOD((IFERROR(INDEX('TECNICOS'!$G$4:$G$19,MATCH($C131,'TECNICOS'!$B$4:$B$19,0)),0)-1)+((DATE(VALUE(LEFT($A131,4)),1,4)-WEEKDAY(DATE(VALUE(LEFT($A131,4)),1,4),2)+1+(VALUE(MID($A131,7,2))-1)*7)-p_semana_referencia)/7,$F131)))))</f>
        <v/>
      </c>
      <c r="H131" s="24">
        <f>IF(COUNTIFS('PLAN_VACACIONES'!$A$4:$A$103,$C131,'PLAN_VACACIONES'!$B$4:$B$103,"&lt;="&amp;$L131,'PLAN_VACACIONES'!$C$4:$C$103,"&gt;="&amp;$L131)&gt;0,"sí","no")</f>
        <v/>
      </c>
      <c r="I131" s="4" t="n"/>
      <c r="J131" s="24">
        <f>IF($I131&lt;&gt;"",$I131,IF($G131="","",IF($H131="sí","VAC",IF(LEFT($G131,1)="B","B",$G131))))</f>
        <v/>
      </c>
      <c r="K131" s="24">
        <f>IFERROR(INDEX('TECNICOS'!$E$4:$E$19,MATCH($C131,'TECNICOS'!$B$4:$B$19,0)),"")</f>
        <v/>
      </c>
      <c r="L131" s="30">
        <f>IF($A131="","",DATE(VALUE(LEFT($A131,4)),1,4)-WEEKDAY(DATE(VALUE(LEFT($A131,4)),1,4),2)+1+(VALUE(MID($A131,7,2))-1)*7+MATCH($B131,lista_dias,0)-1)</f>
        <v/>
      </c>
      <c r="M131" s="24">
        <f>IF(OR($J131="",ISNUMBER(MATCH($J131,lista_no_disponible,0)),(IFERROR(INDEX('CALENDARIO'!$C$15:$C$214,MATCH(TEXT($L131,"yyyy-mm-dd")&amp;"|"&amp;$D131&amp;"|"&amp;"",'CALENDARIO'!$G$15:$G$214,0)),IFERROR(INDEX('CALENDARIO'!$C$15:$C$214,MATCH(TEXT($L131,"yyyy-mm-dd")&amp;"|"&amp;$D131&amp;"|",'CALENDARIO'!$G$15:$G$214,0)),IFERROR(INDEX('CALENDARIO'!$C$15:$C$214,MATCH(TEXT($L131,"yyyy-mm-dd")&amp;"||",'CALENDARIO'!$G$15:$G$214,0)),INDEX(patronHabil,WEEKDAY($L131,2))))))&lt;&gt;"sí"),0,p_horas_jornada)</f>
        <v/>
      </c>
      <c r="N131" s="24">
        <f>$A131&amp;"|"&amp;$B131&amp;"|"&amp;$C131</f>
        <v/>
      </c>
      <c r="O131" s="24">
        <f>IFERROR(INDEX('CAT_TURNOS'!$C$4:$C$22,MATCH($J131,'CAT_TURNOS'!$A$4:$A$22,0)),"")</f>
        <v/>
      </c>
      <c r="P131" s="24">
        <f>IFERROR(INDEX('CAT_TURNOS'!$D$4:$D$22,MATCH($J131,'CAT_TURNOS'!$A$4:$A$22,0)),"")</f>
        <v/>
      </c>
      <c r="Q131" s="24">
        <f>IF(AND(LEFT($G131,1)="T",$H131="no"),"sí","no")</f>
        <v/>
      </c>
    </row>
    <row r="132">
      <c r="A132" s="5" t="inlineStr">
        <is>
          <t>2026-S31</t>
        </is>
      </c>
      <c r="B132" s="5" t="inlineStr">
        <is>
          <t>miércoles</t>
        </is>
      </c>
      <c r="C132" s="5" t="inlineStr">
        <is>
          <t>Luis Rodríguez</t>
        </is>
      </c>
      <c r="D132" s="24">
        <f>IFERROR(INDEX('TECNICOS'!$D$4:$D$19,MATCH($C132,'TECNICOS'!$B$4:$B$19,0)),"")</f>
        <v/>
      </c>
      <c r="E132" s="24">
        <f>IFERROR(INDEX('TECNICOS'!$C$4:$C$19,MATCH($C132,'TECNICOS'!$B$4:$B$19,0)),"")</f>
        <v/>
      </c>
      <c r="F132" s="24">
        <f>COUNTIFS('TECNICOS'!$F$4:$F$19,"sí",'TECNICOS'!$C$4:$C$19,$E132,'TECNICOS'!$D$4:$D$19,$D132,'TECNICOS'!$H$4:$H$19,"sí")</f>
        <v/>
      </c>
      <c r="G132" s="24">
        <f>IF(OR($C132="",$A132="",$B132="domingo",IFERROR(INDEX('TECNICOS'!$H$4:$H$19,MATCH($C132,'TECNICOS'!$B$4:$B$19,0)),"no")&lt;&gt;"sí"),"",IF(IFERROR(INDEX('TECNICOS'!$F$4:$F$19,MATCH($C132,'TECNICOS'!$B$4:$B$19,0)),"no")&lt;&gt;"sí","B",IF(MOD((IFERROR(INDEX('TECNICOS'!$G$4:$G$19,MATCH($C132,'TECNICOS'!$B$4:$B$19,0)),0)-1)+((DATE(VALUE(LEFT($A132,4)),1,4)-WEEKDAY(DATE(VALUE(LEFT($A132,4)),1,4),2)+1+(VALUE(MID($A132,7,2))-1)*7)-p_semana_referencia)/7,$F132)&lt;($F132-3),"B"&amp;(($F132-3)-MOD((IFERROR(INDEX('TECNICOS'!$G$4:$G$19,MATCH($C132,'TECNICOS'!$B$4:$B$19,0)),0)-1)+((DATE(VALUE(LEFT($A132,4)),1,4)-WEEKDAY(DATE(VALUE(LEFT($A132,4)),1,4),2)+1+(VALUE(MID($A132,7,2))-1)*7)-p_semana_referencia)/7,$F132)),"T"&amp;($F132-MOD((IFERROR(INDEX('TECNICOS'!$G$4:$G$19,MATCH($C132,'TECNICOS'!$B$4:$B$19,0)),0)-1)+((DATE(VALUE(LEFT($A132,4)),1,4)-WEEKDAY(DATE(VALUE(LEFT($A132,4)),1,4),2)+1+(VALUE(MID($A132,7,2))-1)*7)-p_semana_referencia)/7,$F132)))))</f>
        <v/>
      </c>
      <c r="H132" s="24">
        <f>IF(COUNTIFS('PLAN_VACACIONES'!$A$4:$A$103,$C132,'PLAN_VACACIONES'!$B$4:$B$103,"&lt;="&amp;$L132,'PLAN_VACACIONES'!$C$4:$C$103,"&gt;="&amp;$L132)&gt;0,"sí","no")</f>
        <v/>
      </c>
      <c r="I132" s="4" t="n"/>
      <c r="J132" s="24">
        <f>IF($I132&lt;&gt;"",$I132,IF($G132="","",IF($H132="sí","VAC",IF(LEFT($G132,1)="B","B",$G132))))</f>
        <v/>
      </c>
      <c r="K132" s="24">
        <f>IFERROR(INDEX('TECNICOS'!$E$4:$E$19,MATCH($C132,'TECNICOS'!$B$4:$B$19,0)),"")</f>
        <v/>
      </c>
      <c r="L132" s="30">
        <f>IF($A132="","",DATE(VALUE(LEFT($A132,4)),1,4)-WEEKDAY(DATE(VALUE(LEFT($A132,4)),1,4),2)+1+(VALUE(MID($A132,7,2))-1)*7+MATCH($B132,lista_dias,0)-1)</f>
        <v/>
      </c>
      <c r="M132" s="24">
        <f>IF(OR($J132="",ISNUMBER(MATCH($J132,lista_no_disponible,0)),(IFERROR(INDEX('CALENDARIO'!$C$15:$C$214,MATCH(TEXT($L132,"yyyy-mm-dd")&amp;"|"&amp;$D132&amp;"|"&amp;"",'CALENDARIO'!$G$15:$G$214,0)),IFERROR(INDEX('CALENDARIO'!$C$15:$C$214,MATCH(TEXT($L132,"yyyy-mm-dd")&amp;"|"&amp;$D132&amp;"|",'CALENDARIO'!$G$15:$G$214,0)),IFERROR(INDEX('CALENDARIO'!$C$15:$C$214,MATCH(TEXT($L132,"yyyy-mm-dd")&amp;"||",'CALENDARIO'!$G$15:$G$214,0)),INDEX(patronHabil,WEEKDAY($L132,2))))))&lt;&gt;"sí"),0,p_horas_jornada)</f>
        <v/>
      </c>
      <c r="N132" s="24">
        <f>$A132&amp;"|"&amp;$B132&amp;"|"&amp;$C132</f>
        <v/>
      </c>
      <c r="O132" s="24">
        <f>IFERROR(INDEX('CAT_TURNOS'!$C$4:$C$22,MATCH($J132,'CAT_TURNOS'!$A$4:$A$22,0)),"")</f>
        <v/>
      </c>
      <c r="P132" s="24">
        <f>IFERROR(INDEX('CAT_TURNOS'!$D$4:$D$22,MATCH($J132,'CAT_TURNOS'!$A$4:$A$22,0)),"")</f>
        <v/>
      </c>
      <c r="Q132" s="24">
        <f>IF(AND(LEFT($G132,1)="T",$H132="no"),"sí","no")</f>
        <v/>
      </c>
    </row>
    <row r="133">
      <c r="A133" s="5" t="inlineStr">
        <is>
          <t>2026-S31</t>
        </is>
      </c>
      <c r="B133" s="5" t="inlineStr">
        <is>
          <t>jueves</t>
        </is>
      </c>
      <c r="C133" s="5" t="inlineStr">
        <is>
          <t>Luis Rodríguez</t>
        </is>
      </c>
      <c r="D133" s="24">
        <f>IFERROR(INDEX('TECNICOS'!$D$4:$D$19,MATCH($C133,'TECNICOS'!$B$4:$B$19,0)),"")</f>
        <v/>
      </c>
      <c r="E133" s="24">
        <f>IFERROR(INDEX('TECNICOS'!$C$4:$C$19,MATCH($C133,'TECNICOS'!$B$4:$B$19,0)),"")</f>
        <v/>
      </c>
      <c r="F133" s="24">
        <f>COUNTIFS('TECNICOS'!$F$4:$F$19,"sí",'TECNICOS'!$C$4:$C$19,$E133,'TECNICOS'!$D$4:$D$19,$D133,'TECNICOS'!$H$4:$H$19,"sí")</f>
        <v/>
      </c>
      <c r="G133" s="24">
        <f>IF(OR($C133="",$A133="",$B133="domingo",IFERROR(INDEX('TECNICOS'!$H$4:$H$19,MATCH($C133,'TECNICOS'!$B$4:$B$19,0)),"no")&lt;&gt;"sí"),"",IF(IFERROR(INDEX('TECNICOS'!$F$4:$F$19,MATCH($C133,'TECNICOS'!$B$4:$B$19,0)),"no")&lt;&gt;"sí","B",IF(MOD((IFERROR(INDEX('TECNICOS'!$G$4:$G$19,MATCH($C133,'TECNICOS'!$B$4:$B$19,0)),0)-1)+((DATE(VALUE(LEFT($A133,4)),1,4)-WEEKDAY(DATE(VALUE(LEFT($A133,4)),1,4),2)+1+(VALUE(MID($A133,7,2))-1)*7)-p_semana_referencia)/7,$F133)&lt;($F133-3),"B"&amp;(($F133-3)-MOD((IFERROR(INDEX('TECNICOS'!$G$4:$G$19,MATCH($C133,'TECNICOS'!$B$4:$B$19,0)),0)-1)+((DATE(VALUE(LEFT($A133,4)),1,4)-WEEKDAY(DATE(VALUE(LEFT($A133,4)),1,4),2)+1+(VALUE(MID($A133,7,2))-1)*7)-p_semana_referencia)/7,$F133)),"T"&amp;($F133-MOD((IFERROR(INDEX('TECNICOS'!$G$4:$G$19,MATCH($C133,'TECNICOS'!$B$4:$B$19,0)),0)-1)+((DATE(VALUE(LEFT($A133,4)),1,4)-WEEKDAY(DATE(VALUE(LEFT($A133,4)),1,4),2)+1+(VALUE(MID($A133,7,2))-1)*7)-p_semana_referencia)/7,$F133)))))</f>
        <v/>
      </c>
      <c r="H133" s="24">
        <f>IF(COUNTIFS('PLAN_VACACIONES'!$A$4:$A$103,$C133,'PLAN_VACACIONES'!$B$4:$B$103,"&lt;="&amp;$L133,'PLAN_VACACIONES'!$C$4:$C$103,"&gt;="&amp;$L133)&gt;0,"sí","no")</f>
        <v/>
      </c>
      <c r="I133" s="4" t="n"/>
      <c r="J133" s="24">
        <f>IF($I133&lt;&gt;"",$I133,IF($G133="","",IF($H133="sí","VAC",IF(LEFT($G133,1)="B","B",$G133))))</f>
        <v/>
      </c>
      <c r="K133" s="24">
        <f>IFERROR(INDEX('TECNICOS'!$E$4:$E$19,MATCH($C133,'TECNICOS'!$B$4:$B$19,0)),"")</f>
        <v/>
      </c>
      <c r="L133" s="30">
        <f>IF($A133="","",DATE(VALUE(LEFT($A133,4)),1,4)-WEEKDAY(DATE(VALUE(LEFT($A133,4)),1,4),2)+1+(VALUE(MID($A133,7,2))-1)*7+MATCH($B133,lista_dias,0)-1)</f>
        <v/>
      </c>
      <c r="M133" s="24">
        <f>IF(OR($J133="",ISNUMBER(MATCH($J133,lista_no_disponible,0)),(IFERROR(INDEX('CALENDARIO'!$C$15:$C$214,MATCH(TEXT($L133,"yyyy-mm-dd")&amp;"|"&amp;$D133&amp;"|"&amp;"",'CALENDARIO'!$G$15:$G$214,0)),IFERROR(INDEX('CALENDARIO'!$C$15:$C$214,MATCH(TEXT($L133,"yyyy-mm-dd")&amp;"|"&amp;$D133&amp;"|",'CALENDARIO'!$G$15:$G$214,0)),IFERROR(INDEX('CALENDARIO'!$C$15:$C$214,MATCH(TEXT($L133,"yyyy-mm-dd")&amp;"||",'CALENDARIO'!$G$15:$G$214,0)),INDEX(patronHabil,WEEKDAY($L133,2))))))&lt;&gt;"sí"),0,p_horas_jornada)</f>
        <v/>
      </c>
      <c r="N133" s="24">
        <f>$A133&amp;"|"&amp;$B133&amp;"|"&amp;$C133</f>
        <v/>
      </c>
      <c r="O133" s="24">
        <f>IFERROR(INDEX('CAT_TURNOS'!$C$4:$C$22,MATCH($J133,'CAT_TURNOS'!$A$4:$A$22,0)),"")</f>
        <v/>
      </c>
      <c r="P133" s="24">
        <f>IFERROR(INDEX('CAT_TURNOS'!$D$4:$D$22,MATCH($J133,'CAT_TURNOS'!$A$4:$A$22,0)),"")</f>
        <v/>
      </c>
      <c r="Q133" s="24">
        <f>IF(AND(LEFT($G133,1)="T",$H133="no"),"sí","no")</f>
        <v/>
      </c>
    </row>
    <row r="134">
      <c r="A134" s="5" t="inlineStr">
        <is>
          <t>2026-S31</t>
        </is>
      </c>
      <c r="B134" s="5" t="inlineStr">
        <is>
          <t>viernes</t>
        </is>
      </c>
      <c r="C134" s="5" t="inlineStr">
        <is>
          <t>Luis Rodríguez</t>
        </is>
      </c>
      <c r="D134" s="24">
        <f>IFERROR(INDEX('TECNICOS'!$D$4:$D$19,MATCH($C134,'TECNICOS'!$B$4:$B$19,0)),"")</f>
        <v/>
      </c>
      <c r="E134" s="24">
        <f>IFERROR(INDEX('TECNICOS'!$C$4:$C$19,MATCH($C134,'TECNICOS'!$B$4:$B$19,0)),"")</f>
        <v/>
      </c>
      <c r="F134" s="24">
        <f>COUNTIFS('TECNICOS'!$F$4:$F$19,"sí",'TECNICOS'!$C$4:$C$19,$E134,'TECNICOS'!$D$4:$D$19,$D134,'TECNICOS'!$H$4:$H$19,"sí")</f>
        <v/>
      </c>
      <c r="G134" s="24">
        <f>IF(OR($C134="",$A134="",$B134="domingo",IFERROR(INDEX('TECNICOS'!$H$4:$H$19,MATCH($C134,'TECNICOS'!$B$4:$B$19,0)),"no")&lt;&gt;"sí"),"",IF(IFERROR(INDEX('TECNICOS'!$F$4:$F$19,MATCH($C134,'TECNICOS'!$B$4:$B$19,0)),"no")&lt;&gt;"sí","B",IF(MOD((IFERROR(INDEX('TECNICOS'!$G$4:$G$19,MATCH($C134,'TECNICOS'!$B$4:$B$19,0)),0)-1)+((DATE(VALUE(LEFT($A134,4)),1,4)-WEEKDAY(DATE(VALUE(LEFT($A134,4)),1,4),2)+1+(VALUE(MID($A134,7,2))-1)*7)-p_semana_referencia)/7,$F134)&lt;($F134-3),"B"&amp;(($F134-3)-MOD((IFERROR(INDEX('TECNICOS'!$G$4:$G$19,MATCH($C134,'TECNICOS'!$B$4:$B$19,0)),0)-1)+((DATE(VALUE(LEFT($A134,4)),1,4)-WEEKDAY(DATE(VALUE(LEFT($A134,4)),1,4),2)+1+(VALUE(MID($A134,7,2))-1)*7)-p_semana_referencia)/7,$F134)),"T"&amp;($F134-MOD((IFERROR(INDEX('TECNICOS'!$G$4:$G$19,MATCH($C134,'TECNICOS'!$B$4:$B$19,0)),0)-1)+((DATE(VALUE(LEFT($A134,4)),1,4)-WEEKDAY(DATE(VALUE(LEFT($A134,4)),1,4),2)+1+(VALUE(MID($A134,7,2))-1)*7)-p_semana_referencia)/7,$F134)))))</f>
        <v/>
      </c>
      <c r="H134" s="24">
        <f>IF(COUNTIFS('PLAN_VACACIONES'!$A$4:$A$103,$C134,'PLAN_VACACIONES'!$B$4:$B$103,"&lt;="&amp;$L134,'PLAN_VACACIONES'!$C$4:$C$103,"&gt;="&amp;$L134)&gt;0,"sí","no")</f>
        <v/>
      </c>
      <c r="I134" s="4" t="n"/>
      <c r="J134" s="24">
        <f>IF($I134&lt;&gt;"",$I134,IF($G134="","",IF($H134="sí","VAC",IF(LEFT($G134,1)="B","B",$G134))))</f>
        <v/>
      </c>
      <c r="K134" s="24">
        <f>IFERROR(INDEX('TECNICOS'!$E$4:$E$19,MATCH($C134,'TECNICOS'!$B$4:$B$19,0)),"")</f>
        <v/>
      </c>
      <c r="L134" s="30">
        <f>IF($A134="","",DATE(VALUE(LEFT($A134,4)),1,4)-WEEKDAY(DATE(VALUE(LEFT($A134,4)),1,4),2)+1+(VALUE(MID($A134,7,2))-1)*7+MATCH($B134,lista_dias,0)-1)</f>
        <v/>
      </c>
      <c r="M134" s="24">
        <f>IF(OR($J134="",ISNUMBER(MATCH($J134,lista_no_disponible,0)),(IFERROR(INDEX('CALENDARIO'!$C$15:$C$214,MATCH(TEXT($L134,"yyyy-mm-dd")&amp;"|"&amp;$D134&amp;"|"&amp;"",'CALENDARIO'!$G$15:$G$214,0)),IFERROR(INDEX('CALENDARIO'!$C$15:$C$214,MATCH(TEXT($L134,"yyyy-mm-dd")&amp;"|"&amp;$D134&amp;"|",'CALENDARIO'!$G$15:$G$214,0)),IFERROR(INDEX('CALENDARIO'!$C$15:$C$214,MATCH(TEXT($L134,"yyyy-mm-dd")&amp;"||",'CALENDARIO'!$G$15:$G$214,0)),INDEX(patronHabil,WEEKDAY($L134,2))))))&lt;&gt;"sí"),0,p_horas_jornada)</f>
        <v/>
      </c>
      <c r="N134" s="24">
        <f>$A134&amp;"|"&amp;$B134&amp;"|"&amp;$C134</f>
        <v/>
      </c>
      <c r="O134" s="24">
        <f>IFERROR(INDEX('CAT_TURNOS'!$C$4:$C$22,MATCH($J134,'CAT_TURNOS'!$A$4:$A$22,0)),"")</f>
        <v/>
      </c>
      <c r="P134" s="24">
        <f>IFERROR(INDEX('CAT_TURNOS'!$D$4:$D$22,MATCH($J134,'CAT_TURNOS'!$A$4:$A$22,0)),"")</f>
        <v/>
      </c>
      <c r="Q134" s="24">
        <f>IF(AND(LEFT($G134,1)="T",$H134="no"),"sí","no")</f>
        <v/>
      </c>
    </row>
    <row r="135">
      <c r="A135" s="5" t="inlineStr">
        <is>
          <t>2026-S31</t>
        </is>
      </c>
      <c r="B135" s="5" t="inlineStr">
        <is>
          <t>sábado</t>
        </is>
      </c>
      <c r="C135" s="5" t="inlineStr">
        <is>
          <t>Luis Rodríguez</t>
        </is>
      </c>
      <c r="D135" s="24">
        <f>IFERROR(INDEX('TECNICOS'!$D$4:$D$19,MATCH($C135,'TECNICOS'!$B$4:$B$19,0)),"")</f>
        <v/>
      </c>
      <c r="E135" s="24">
        <f>IFERROR(INDEX('TECNICOS'!$C$4:$C$19,MATCH($C135,'TECNICOS'!$B$4:$B$19,0)),"")</f>
        <v/>
      </c>
      <c r="F135" s="24">
        <f>COUNTIFS('TECNICOS'!$F$4:$F$19,"sí",'TECNICOS'!$C$4:$C$19,$E135,'TECNICOS'!$D$4:$D$19,$D135,'TECNICOS'!$H$4:$H$19,"sí")</f>
        <v/>
      </c>
      <c r="G135" s="24">
        <f>IF(OR($C135="",$A135="",$B135="domingo",IFERROR(INDEX('TECNICOS'!$H$4:$H$19,MATCH($C135,'TECNICOS'!$B$4:$B$19,0)),"no")&lt;&gt;"sí"),"",IF(IFERROR(INDEX('TECNICOS'!$F$4:$F$19,MATCH($C135,'TECNICOS'!$B$4:$B$19,0)),"no")&lt;&gt;"sí","B",IF(MOD((IFERROR(INDEX('TECNICOS'!$G$4:$G$19,MATCH($C135,'TECNICOS'!$B$4:$B$19,0)),0)-1)+((DATE(VALUE(LEFT($A135,4)),1,4)-WEEKDAY(DATE(VALUE(LEFT($A135,4)),1,4),2)+1+(VALUE(MID($A135,7,2))-1)*7)-p_semana_referencia)/7,$F135)&lt;($F135-3),"B"&amp;(($F135-3)-MOD((IFERROR(INDEX('TECNICOS'!$G$4:$G$19,MATCH($C135,'TECNICOS'!$B$4:$B$19,0)),0)-1)+((DATE(VALUE(LEFT($A135,4)),1,4)-WEEKDAY(DATE(VALUE(LEFT($A135,4)),1,4),2)+1+(VALUE(MID($A135,7,2))-1)*7)-p_semana_referencia)/7,$F135)),"T"&amp;($F135-MOD((IFERROR(INDEX('TECNICOS'!$G$4:$G$19,MATCH($C135,'TECNICOS'!$B$4:$B$19,0)),0)-1)+((DATE(VALUE(LEFT($A135,4)),1,4)-WEEKDAY(DATE(VALUE(LEFT($A135,4)),1,4),2)+1+(VALUE(MID($A135,7,2))-1)*7)-p_semana_referencia)/7,$F135)))))</f>
        <v/>
      </c>
      <c r="H135" s="24">
        <f>IF(COUNTIFS('PLAN_VACACIONES'!$A$4:$A$103,$C135,'PLAN_VACACIONES'!$B$4:$B$103,"&lt;="&amp;$L135,'PLAN_VACACIONES'!$C$4:$C$103,"&gt;="&amp;$L135)&gt;0,"sí","no")</f>
        <v/>
      </c>
      <c r="I135" s="4" t="n"/>
      <c r="J135" s="24">
        <f>IF($I135&lt;&gt;"",$I135,IF($G135="","",IF($H135="sí","VAC",IF(LEFT($G135,1)="B","B",$G135))))</f>
        <v/>
      </c>
      <c r="K135" s="24">
        <f>IFERROR(INDEX('TECNICOS'!$E$4:$E$19,MATCH($C135,'TECNICOS'!$B$4:$B$19,0)),"")</f>
        <v/>
      </c>
      <c r="L135" s="30">
        <f>IF($A135="","",DATE(VALUE(LEFT($A135,4)),1,4)-WEEKDAY(DATE(VALUE(LEFT($A135,4)),1,4),2)+1+(VALUE(MID($A135,7,2))-1)*7+MATCH($B135,lista_dias,0)-1)</f>
        <v/>
      </c>
      <c r="M135" s="24">
        <f>IF(OR($J135="",ISNUMBER(MATCH($J135,lista_no_disponible,0)),(IFERROR(INDEX('CALENDARIO'!$C$15:$C$214,MATCH(TEXT($L135,"yyyy-mm-dd")&amp;"|"&amp;$D135&amp;"|"&amp;"",'CALENDARIO'!$G$15:$G$214,0)),IFERROR(INDEX('CALENDARIO'!$C$15:$C$214,MATCH(TEXT($L135,"yyyy-mm-dd")&amp;"|"&amp;$D135&amp;"|",'CALENDARIO'!$G$15:$G$214,0)),IFERROR(INDEX('CALENDARIO'!$C$15:$C$214,MATCH(TEXT($L135,"yyyy-mm-dd")&amp;"||",'CALENDARIO'!$G$15:$G$214,0)),INDEX(patronHabil,WEEKDAY($L135,2))))))&lt;&gt;"sí"),0,p_horas_jornada)</f>
        <v/>
      </c>
      <c r="N135" s="24">
        <f>$A135&amp;"|"&amp;$B135&amp;"|"&amp;$C135</f>
        <v/>
      </c>
      <c r="O135" s="24">
        <f>IFERROR(INDEX('CAT_TURNOS'!$C$4:$C$22,MATCH($J135,'CAT_TURNOS'!$A$4:$A$22,0)),"")</f>
        <v/>
      </c>
      <c r="P135" s="24">
        <f>IFERROR(INDEX('CAT_TURNOS'!$D$4:$D$22,MATCH($J135,'CAT_TURNOS'!$A$4:$A$22,0)),"")</f>
        <v/>
      </c>
      <c r="Q135" s="24">
        <f>IF(AND(LEFT($G135,1)="T",$H135="no"),"sí","no")</f>
        <v/>
      </c>
    </row>
    <row r="136">
      <c r="A136" s="5" t="inlineStr">
        <is>
          <t>2026-S31</t>
        </is>
      </c>
      <c r="B136" s="5" t="inlineStr">
        <is>
          <t>domingo</t>
        </is>
      </c>
      <c r="C136" s="5" t="inlineStr">
        <is>
          <t>Luis Rodríguez</t>
        </is>
      </c>
      <c r="D136" s="24">
        <f>IFERROR(INDEX('TECNICOS'!$D$4:$D$19,MATCH($C136,'TECNICOS'!$B$4:$B$19,0)),"")</f>
        <v/>
      </c>
      <c r="E136" s="24">
        <f>IFERROR(INDEX('TECNICOS'!$C$4:$C$19,MATCH($C136,'TECNICOS'!$B$4:$B$19,0)),"")</f>
        <v/>
      </c>
      <c r="F136" s="24">
        <f>COUNTIFS('TECNICOS'!$F$4:$F$19,"sí",'TECNICOS'!$C$4:$C$19,$E136,'TECNICOS'!$D$4:$D$19,$D136,'TECNICOS'!$H$4:$H$19,"sí")</f>
        <v/>
      </c>
      <c r="G136" s="24">
        <f>IF(OR($C136="",$A136="",$B136="domingo",IFERROR(INDEX('TECNICOS'!$H$4:$H$19,MATCH($C136,'TECNICOS'!$B$4:$B$19,0)),"no")&lt;&gt;"sí"),"",IF(IFERROR(INDEX('TECNICOS'!$F$4:$F$19,MATCH($C136,'TECNICOS'!$B$4:$B$19,0)),"no")&lt;&gt;"sí","B",IF(MOD((IFERROR(INDEX('TECNICOS'!$G$4:$G$19,MATCH($C136,'TECNICOS'!$B$4:$B$19,0)),0)-1)+((DATE(VALUE(LEFT($A136,4)),1,4)-WEEKDAY(DATE(VALUE(LEFT($A136,4)),1,4),2)+1+(VALUE(MID($A136,7,2))-1)*7)-p_semana_referencia)/7,$F136)&lt;($F136-3),"B"&amp;(($F136-3)-MOD((IFERROR(INDEX('TECNICOS'!$G$4:$G$19,MATCH($C136,'TECNICOS'!$B$4:$B$19,0)),0)-1)+((DATE(VALUE(LEFT($A136,4)),1,4)-WEEKDAY(DATE(VALUE(LEFT($A136,4)),1,4),2)+1+(VALUE(MID($A136,7,2))-1)*7)-p_semana_referencia)/7,$F136)),"T"&amp;($F136-MOD((IFERROR(INDEX('TECNICOS'!$G$4:$G$19,MATCH($C136,'TECNICOS'!$B$4:$B$19,0)),0)-1)+((DATE(VALUE(LEFT($A136,4)),1,4)-WEEKDAY(DATE(VALUE(LEFT($A136,4)),1,4),2)+1+(VALUE(MID($A136,7,2))-1)*7)-p_semana_referencia)/7,$F136)))))</f>
        <v/>
      </c>
      <c r="H136" s="24">
        <f>IF(COUNTIFS('PLAN_VACACIONES'!$A$4:$A$103,$C136,'PLAN_VACACIONES'!$B$4:$B$103,"&lt;="&amp;$L136,'PLAN_VACACIONES'!$C$4:$C$103,"&gt;="&amp;$L136)&gt;0,"sí","no")</f>
        <v/>
      </c>
      <c r="I136" s="4" t="n"/>
      <c r="J136" s="24">
        <f>IF($I136&lt;&gt;"",$I136,IF($G136="","",IF($H136="sí","VAC",IF(LEFT($G136,1)="B","B",$G136))))</f>
        <v/>
      </c>
      <c r="K136" s="24">
        <f>IFERROR(INDEX('TECNICOS'!$E$4:$E$19,MATCH($C136,'TECNICOS'!$B$4:$B$19,0)),"")</f>
        <v/>
      </c>
      <c r="L136" s="30">
        <f>IF($A136="","",DATE(VALUE(LEFT($A136,4)),1,4)-WEEKDAY(DATE(VALUE(LEFT($A136,4)),1,4),2)+1+(VALUE(MID($A136,7,2))-1)*7+MATCH($B136,lista_dias,0)-1)</f>
        <v/>
      </c>
      <c r="M136" s="24">
        <f>IF(OR($J136="",ISNUMBER(MATCH($J136,lista_no_disponible,0)),(IFERROR(INDEX('CALENDARIO'!$C$15:$C$214,MATCH(TEXT($L136,"yyyy-mm-dd")&amp;"|"&amp;$D136&amp;"|"&amp;"",'CALENDARIO'!$G$15:$G$214,0)),IFERROR(INDEX('CALENDARIO'!$C$15:$C$214,MATCH(TEXT($L136,"yyyy-mm-dd")&amp;"|"&amp;$D136&amp;"|",'CALENDARIO'!$G$15:$G$214,0)),IFERROR(INDEX('CALENDARIO'!$C$15:$C$214,MATCH(TEXT($L136,"yyyy-mm-dd")&amp;"||",'CALENDARIO'!$G$15:$G$214,0)),INDEX(patronHabil,WEEKDAY($L136,2))))))&lt;&gt;"sí"),0,p_horas_jornada)</f>
        <v/>
      </c>
      <c r="N136" s="24">
        <f>$A136&amp;"|"&amp;$B136&amp;"|"&amp;$C136</f>
        <v/>
      </c>
      <c r="O136" s="24">
        <f>IFERROR(INDEX('CAT_TURNOS'!$C$4:$C$22,MATCH($J136,'CAT_TURNOS'!$A$4:$A$22,0)),"")</f>
        <v/>
      </c>
      <c r="P136" s="24">
        <f>IFERROR(INDEX('CAT_TURNOS'!$D$4:$D$22,MATCH($J136,'CAT_TURNOS'!$A$4:$A$22,0)),"")</f>
        <v/>
      </c>
      <c r="Q136" s="24">
        <f>IF(AND(LEFT($G136,1)="T",$H136="no"),"sí","no")</f>
        <v/>
      </c>
    </row>
    <row r="137">
      <c r="A137" s="5" t="inlineStr">
        <is>
          <t>2026-S31</t>
        </is>
      </c>
      <c r="B137" s="5" t="inlineStr">
        <is>
          <t>lunes</t>
        </is>
      </c>
      <c r="C137" s="5" t="inlineStr">
        <is>
          <t>Miguel Martínez</t>
        </is>
      </c>
      <c r="D137" s="24">
        <f>IFERROR(INDEX('TECNICOS'!$D$4:$D$19,MATCH($C137,'TECNICOS'!$B$4:$B$19,0)),"")</f>
        <v/>
      </c>
      <c r="E137" s="24">
        <f>IFERROR(INDEX('TECNICOS'!$C$4:$C$19,MATCH($C137,'TECNICOS'!$B$4:$B$19,0)),"")</f>
        <v/>
      </c>
      <c r="F137" s="24">
        <f>COUNTIFS('TECNICOS'!$F$4:$F$19,"sí",'TECNICOS'!$C$4:$C$19,$E137,'TECNICOS'!$D$4:$D$19,$D137,'TECNICOS'!$H$4:$H$19,"sí")</f>
        <v/>
      </c>
      <c r="G137" s="24">
        <f>IF(OR($C137="",$A137="",$B137="domingo",IFERROR(INDEX('TECNICOS'!$H$4:$H$19,MATCH($C137,'TECNICOS'!$B$4:$B$19,0)),"no")&lt;&gt;"sí"),"",IF(IFERROR(INDEX('TECNICOS'!$F$4:$F$19,MATCH($C137,'TECNICOS'!$B$4:$B$19,0)),"no")&lt;&gt;"sí","B",IF(MOD((IFERROR(INDEX('TECNICOS'!$G$4:$G$19,MATCH($C137,'TECNICOS'!$B$4:$B$19,0)),0)-1)+((DATE(VALUE(LEFT($A137,4)),1,4)-WEEKDAY(DATE(VALUE(LEFT($A137,4)),1,4),2)+1+(VALUE(MID($A137,7,2))-1)*7)-p_semana_referencia)/7,$F137)&lt;($F137-3),"B"&amp;(($F137-3)-MOD((IFERROR(INDEX('TECNICOS'!$G$4:$G$19,MATCH($C137,'TECNICOS'!$B$4:$B$19,0)),0)-1)+((DATE(VALUE(LEFT($A137,4)),1,4)-WEEKDAY(DATE(VALUE(LEFT($A137,4)),1,4),2)+1+(VALUE(MID($A137,7,2))-1)*7)-p_semana_referencia)/7,$F137)),"T"&amp;($F137-MOD((IFERROR(INDEX('TECNICOS'!$G$4:$G$19,MATCH($C137,'TECNICOS'!$B$4:$B$19,0)),0)-1)+((DATE(VALUE(LEFT($A137,4)),1,4)-WEEKDAY(DATE(VALUE(LEFT($A137,4)),1,4),2)+1+(VALUE(MID($A137,7,2))-1)*7)-p_semana_referencia)/7,$F137)))))</f>
        <v/>
      </c>
      <c r="H137" s="24">
        <f>IF(COUNTIFS('PLAN_VACACIONES'!$A$4:$A$103,$C137,'PLAN_VACACIONES'!$B$4:$B$103,"&lt;="&amp;$L137,'PLAN_VACACIONES'!$C$4:$C$103,"&gt;="&amp;$L137)&gt;0,"sí","no")</f>
        <v/>
      </c>
      <c r="I137" s="4" t="n"/>
      <c r="J137" s="24">
        <f>IF($I137&lt;&gt;"",$I137,IF($G137="","",IF($H137="sí","VAC",IF(LEFT($G137,1)="B","B",$G137))))</f>
        <v/>
      </c>
      <c r="K137" s="24">
        <f>IFERROR(INDEX('TECNICOS'!$E$4:$E$19,MATCH($C137,'TECNICOS'!$B$4:$B$19,0)),"")</f>
        <v/>
      </c>
      <c r="L137" s="30">
        <f>IF($A137="","",DATE(VALUE(LEFT($A137,4)),1,4)-WEEKDAY(DATE(VALUE(LEFT($A137,4)),1,4),2)+1+(VALUE(MID($A137,7,2))-1)*7+MATCH($B137,lista_dias,0)-1)</f>
        <v/>
      </c>
      <c r="M137" s="24">
        <f>IF(OR($J137="",ISNUMBER(MATCH($J137,lista_no_disponible,0)),(IFERROR(INDEX('CALENDARIO'!$C$15:$C$214,MATCH(TEXT($L137,"yyyy-mm-dd")&amp;"|"&amp;$D137&amp;"|"&amp;"",'CALENDARIO'!$G$15:$G$214,0)),IFERROR(INDEX('CALENDARIO'!$C$15:$C$214,MATCH(TEXT($L137,"yyyy-mm-dd")&amp;"|"&amp;$D137&amp;"|",'CALENDARIO'!$G$15:$G$214,0)),IFERROR(INDEX('CALENDARIO'!$C$15:$C$214,MATCH(TEXT($L137,"yyyy-mm-dd")&amp;"||",'CALENDARIO'!$G$15:$G$214,0)),INDEX(patronHabil,WEEKDAY($L137,2))))))&lt;&gt;"sí"),0,p_horas_jornada)</f>
        <v/>
      </c>
      <c r="N137" s="24">
        <f>$A137&amp;"|"&amp;$B137&amp;"|"&amp;$C137</f>
        <v/>
      </c>
      <c r="O137" s="24">
        <f>IFERROR(INDEX('CAT_TURNOS'!$C$4:$C$22,MATCH($J137,'CAT_TURNOS'!$A$4:$A$22,0)),"")</f>
        <v/>
      </c>
      <c r="P137" s="24">
        <f>IFERROR(INDEX('CAT_TURNOS'!$D$4:$D$22,MATCH($J137,'CAT_TURNOS'!$A$4:$A$22,0)),"")</f>
        <v/>
      </c>
      <c r="Q137" s="24">
        <f>IF(AND(LEFT($G137,1)="T",$H137="no"),"sí","no")</f>
        <v/>
      </c>
    </row>
    <row r="138">
      <c r="A138" s="5" t="inlineStr">
        <is>
          <t>2026-S31</t>
        </is>
      </c>
      <c r="B138" s="5" t="inlineStr">
        <is>
          <t>martes</t>
        </is>
      </c>
      <c r="C138" s="5" t="inlineStr">
        <is>
          <t>Miguel Martínez</t>
        </is>
      </c>
      <c r="D138" s="24">
        <f>IFERROR(INDEX('TECNICOS'!$D$4:$D$19,MATCH($C138,'TECNICOS'!$B$4:$B$19,0)),"")</f>
        <v/>
      </c>
      <c r="E138" s="24">
        <f>IFERROR(INDEX('TECNICOS'!$C$4:$C$19,MATCH($C138,'TECNICOS'!$B$4:$B$19,0)),"")</f>
        <v/>
      </c>
      <c r="F138" s="24">
        <f>COUNTIFS('TECNICOS'!$F$4:$F$19,"sí",'TECNICOS'!$C$4:$C$19,$E138,'TECNICOS'!$D$4:$D$19,$D138,'TECNICOS'!$H$4:$H$19,"sí")</f>
        <v/>
      </c>
      <c r="G138" s="24">
        <f>IF(OR($C138="",$A138="",$B138="domingo",IFERROR(INDEX('TECNICOS'!$H$4:$H$19,MATCH($C138,'TECNICOS'!$B$4:$B$19,0)),"no")&lt;&gt;"sí"),"",IF(IFERROR(INDEX('TECNICOS'!$F$4:$F$19,MATCH($C138,'TECNICOS'!$B$4:$B$19,0)),"no")&lt;&gt;"sí","B",IF(MOD((IFERROR(INDEX('TECNICOS'!$G$4:$G$19,MATCH($C138,'TECNICOS'!$B$4:$B$19,0)),0)-1)+((DATE(VALUE(LEFT($A138,4)),1,4)-WEEKDAY(DATE(VALUE(LEFT($A138,4)),1,4),2)+1+(VALUE(MID($A138,7,2))-1)*7)-p_semana_referencia)/7,$F138)&lt;($F138-3),"B"&amp;(($F138-3)-MOD((IFERROR(INDEX('TECNICOS'!$G$4:$G$19,MATCH($C138,'TECNICOS'!$B$4:$B$19,0)),0)-1)+((DATE(VALUE(LEFT($A138,4)),1,4)-WEEKDAY(DATE(VALUE(LEFT($A138,4)),1,4),2)+1+(VALUE(MID($A138,7,2))-1)*7)-p_semana_referencia)/7,$F138)),"T"&amp;($F138-MOD((IFERROR(INDEX('TECNICOS'!$G$4:$G$19,MATCH($C138,'TECNICOS'!$B$4:$B$19,0)),0)-1)+((DATE(VALUE(LEFT($A138,4)),1,4)-WEEKDAY(DATE(VALUE(LEFT($A138,4)),1,4),2)+1+(VALUE(MID($A138,7,2))-1)*7)-p_semana_referencia)/7,$F138)))))</f>
        <v/>
      </c>
      <c r="H138" s="24">
        <f>IF(COUNTIFS('PLAN_VACACIONES'!$A$4:$A$103,$C138,'PLAN_VACACIONES'!$B$4:$B$103,"&lt;="&amp;$L138,'PLAN_VACACIONES'!$C$4:$C$103,"&gt;="&amp;$L138)&gt;0,"sí","no")</f>
        <v/>
      </c>
      <c r="I138" s="4" t="n"/>
      <c r="J138" s="24">
        <f>IF($I138&lt;&gt;"",$I138,IF($G138="","",IF($H138="sí","VAC",IF(LEFT($G138,1)="B","B",$G138))))</f>
        <v/>
      </c>
      <c r="K138" s="24">
        <f>IFERROR(INDEX('TECNICOS'!$E$4:$E$19,MATCH($C138,'TECNICOS'!$B$4:$B$19,0)),"")</f>
        <v/>
      </c>
      <c r="L138" s="30">
        <f>IF($A138="","",DATE(VALUE(LEFT($A138,4)),1,4)-WEEKDAY(DATE(VALUE(LEFT($A138,4)),1,4),2)+1+(VALUE(MID($A138,7,2))-1)*7+MATCH($B138,lista_dias,0)-1)</f>
        <v/>
      </c>
      <c r="M138" s="24">
        <f>IF(OR($J138="",ISNUMBER(MATCH($J138,lista_no_disponible,0)),(IFERROR(INDEX('CALENDARIO'!$C$15:$C$214,MATCH(TEXT($L138,"yyyy-mm-dd")&amp;"|"&amp;$D138&amp;"|"&amp;"",'CALENDARIO'!$G$15:$G$214,0)),IFERROR(INDEX('CALENDARIO'!$C$15:$C$214,MATCH(TEXT($L138,"yyyy-mm-dd")&amp;"|"&amp;$D138&amp;"|",'CALENDARIO'!$G$15:$G$214,0)),IFERROR(INDEX('CALENDARIO'!$C$15:$C$214,MATCH(TEXT($L138,"yyyy-mm-dd")&amp;"||",'CALENDARIO'!$G$15:$G$214,0)),INDEX(patronHabil,WEEKDAY($L138,2))))))&lt;&gt;"sí"),0,p_horas_jornada)</f>
        <v/>
      </c>
      <c r="N138" s="24">
        <f>$A138&amp;"|"&amp;$B138&amp;"|"&amp;$C138</f>
        <v/>
      </c>
      <c r="O138" s="24">
        <f>IFERROR(INDEX('CAT_TURNOS'!$C$4:$C$22,MATCH($J138,'CAT_TURNOS'!$A$4:$A$22,0)),"")</f>
        <v/>
      </c>
      <c r="P138" s="24">
        <f>IFERROR(INDEX('CAT_TURNOS'!$D$4:$D$22,MATCH($J138,'CAT_TURNOS'!$A$4:$A$22,0)),"")</f>
        <v/>
      </c>
      <c r="Q138" s="24">
        <f>IF(AND(LEFT($G138,1)="T",$H138="no"),"sí","no")</f>
        <v/>
      </c>
    </row>
    <row r="139">
      <c r="A139" s="5" t="inlineStr">
        <is>
          <t>2026-S31</t>
        </is>
      </c>
      <c r="B139" s="5" t="inlineStr">
        <is>
          <t>miércoles</t>
        </is>
      </c>
      <c r="C139" s="5" t="inlineStr">
        <is>
          <t>Miguel Martínez</t>
        </is>
      </c>
      <c r="D139" s="24">
        <f>IFERROR(INDEX('TECNICOS'!$D$4:$D$19,MATCH($C139,'TECNICOS'!$B$4:$B$19,0)),"")</f>
        <v/>
      </c>
      <c r="E139" s="24">
        <f>IFERROR(INDEX('TECNICOS'!$C$4:$C$19,MATCH($C139,'TECNICOS'!$B$4:$B$19,0)),"")</f>
        <v/>
      </c>
      <c r="F139" s="24">
        <f>COUNTIFS('TECNICOS'!$F$4:$F$19,"sí",'TECNICOS'!$C$4:$C$19,$E139,'TECNICOS'!$D$4:$D$19,$D139,'TECNICOS'!$H$4:$H$19,"sí")</f>
        <v/>
      </c>
      <c r="G139" s="24">
        <f>IF(OR($C139="",$A139="",$B139="domingo",IFERROR(INDEX('TECNICOS'!$H$4:$H$19,MATCH($C139,'TECNICOS'!$B$4:$B$19,0)),"no")&lt;&gt;"sí"),"",IF(IFERROR(INDEX('TECNICOS'!$F$4:$F$19,MATCH($C139,'TECNICOS'!$B$4:$B$19,0)),"no")&lt;&gt;"sí","B",IF(MOD((IFERROR(INDEX('TECNICOS'!$G$4:$G$19,MATCH($C139,'TECNICOS'!$B$4:$B$19,0)),0)-1)+((DATE(VALUE(LEFT($A139,4)),1,4)-WEEKDAY(DATE(VALUE(LEFT($A139,4)),1,4),2)+1+(VALUE(MID($A139,7,2))-1)*7)-p_semana_referencia)/7,$F139)&lt;($F139-3),"B"&amp;(($F139-3)-MOD((IFERROR(INDEX('TECNICOS'!$G$4:$G$19,MATCH($C139,'TECNICOS'!$B$4:$B$19,0)),0)-1)+((DATE(VALUE(LEFT($A139,4)),1,4)-WEEKDAY(DATE(VALUE(LEFT($A139,4)),1,4),2)+1+(VALUE(MID($A139,7,2))-1)*7)-p_semana_referencia)/7,$F139)),"T"&amp;($F139-MOD((IFERROR(INDEX('TECNICOS'!$G$4:$G$19,MATCH($C139,'TECNICOS'!$B$4:$B$19,0)),0)-1)+((DATE(VALUE(LEFT($A139,4)),1,4)-WEEKDAY(DATE(VALUE(LEFT($A139,4)),1,4),2)+1+(VALUE(MID($A139,7,2))-1)*7)-p_semana_referencia)/7,$F139)))))</f>
        <v/>
      </c>
      <c r="H139" s="24">
        <f>IF(COUNTIFS('PLAN_VACACIONES'!$A$4:$A$103,$C139,'PLAN_VACACIONES'!$B$4:$B$103,"&lt;="&amp;$L139,'PLAN_VACACIONES'!$C$4:$C$103,"&gt;="&amp;$L139)&gt;0,"sí","no")</f>
        <v/>
      </c>
      <c r="I139" s="4" t="n"/>
      <c r="J139" s="24">
        <f>IF($I139&lt;&gt;"",$I139,IF($G139="","",IF($H139="sí","VAC",IF(LEFT($G139,1)="B","B",$G139))))</f>
        <v/>
      </c>
      <c r="K139" s="24">
        <f>IFERROR(INDEX('TECNICOS'!$E$4:$E$19,MATCH($C139,'TECNICOS'!$B$4:$B$19,0)),"")</f>
        <v/>
      </c>
      <c r="L139" s="30">
        <f>IF($A139="","",DATE(VALUE(LEFT($A139,4)),1,4)-WEEKDAY(DATE(VALUE(LEFT($A139,4)),1,4),2)+1+(VALUE(MID($A139,7,2))-1)*7+MATCH($B139,lista_dias,0)-1)</f>
        <v/>
      </c>
      <c r="M139" s="24">
        <f>IF(OR($J139="",ISNUMBER(MATCH($J139,lista_no_disponible,0)),(IFERROR(INDEX('CALENDARIO'!$C$15:$C$214,MATCH(TEXT($L139,"yyyy-mm-dd")&amp;"|"&amp;$D139&amp;"|"&amp;"",'CALENDARIO'!$G$15:$G$214,0)),IFERROR(INDEX('CALENDARIO'!$C$15:$C$214,MATCH(TEXT($L139,"yyyy-mm-dd")&amp;"|"&amp;$D139&amp;"|",'CALENDARIO'!$G$15:$G$214,0)),IFERROR(INDEX('CALENDARIO'!$C$15:$C$214,MATCH(TEXT($L139,"yyyy-mm-dd")&amp;"||",'CALENDARIO'!$G$15:$G$214,0)),INDEX(patronHabil,WEEKDAY($L139,2))))))&lt;&gt;"sí"),0,p_horas_jornada)</f>
        <v/>
      </c>
      <c r="N139" s="24">
        <f>$A139&amp;"|"&amp;$B139&amp;"|"&amp;$C139</f>
        <v/>
      </c>
      <c r="O139" s="24">
        <f>IFERROR(INDEX('CAT_TURNOS'!$C$4:$C$22,MATCH($J139,'CAT_TURNOS'!$A$4:$A$22,0)),"")</f>
        <v/>
      </c>
      <c r="P139" s="24">
        <f>IFERROR(INDEX('CAT_TURNOS'!$D$4:$D$22,MATCH($J139,'CAT_TURNOS'!$A$4:$A$22,0)),"")</f>
        <v/>
      </c>
      <c r="Q139" s="24">
        <f>IF(AND(LEFT($G139,1)="T",$H139="no"),"sí","no")</f>
        <v/>
      </c>
    </row>
    <row r="140">
      <c r="A140" s="5" t="inlineStr">
        <is>
          <t>2026-S31</t>
        </is>
      </c>
      <c r="B140" s="5" t="inlineStr">
        <is>
          <t>jueves</t>
        </is>
      </c>
      <c r="C140" s="5" t="inlineStr">
        <is>
          <t>Miguel Martínez</t>
        </is>
      </c>
      <c r="D140" s="24">
        <f>IFERROR(INDEX('TECNICOS'!$D$4:$D$19,MATCH($C140,'TECNICOS'!$B$4:$B$19,0)),"")</f>
        <v/>
      </c>
      <c r="E140" s="24">
        <f>IFERROR(INDEX('TECNICOS'!$C$4:$C$19,MATCH($C140,'TECNICOS'!$B$4:$B$19,0)),"")</f>
        <v/>
      </c>
      <c r="F140" s="24">
        <f>COUNTIFS('TECNICOS'!$F$4:$F$19,"sí",'TECNICOS'!$C$4:$C$19,$E140,'TECNICOS'!$D$4:$D$19,$D140,'TECNICOS'!$H$4:$H$19,"sí")</f>
        <v/>
      </c>
      <c r="G140" s="24">
        <f>IF(OR($C140="",$A140="",$B140="domingo",IFERROR(INDEX('TECNICOS'!$H$4:$H$19,MATCH($C140,'TECNICOS'!$B$4:$B$19,0)),"no")&lt;&gt;"sí"),"",IF(IFERROR(INDEX('TECNICOS'!$F$4:$F$19,MATCH($C140,'TECNICOS'!$B$4:$B$19,0)),"no")&lt;&gt;"sí","B",IF(MOD((IFERROR(INDEX('TECNICOS'!$G$4:$G$19,MATCH($C140,'TECNICOS'!$B$4:$B$19,0)),0)-1)+((DATE(VALUE(LEFT($A140,4)),1,4)-WEEKDAY(DATE(VALUE(LEFT($A140,4)),1,4),2)+1+(VALUE(MID($A140,7,2))-1)*7)-p_semana_referencia)/7,$F140)&lt;($F140-3),"B"&amp;(($F140-3)-MOD((IFERROR(INDEX('TECNICOS'!$G$4:$G$19,MATCH($C140,'TECNICOS'!$B$4:$B$19,0)),0)-1)+((DATE(VALUE(LEFT($A140,4)),1,4)-WEEKDAY(DATE(VALUE(LEFT($A140,4)),1,4),2)+1+(VALUE(MID($A140,7,2))-1)*7)-p_semana_referencia)/7,$F140)),"T"&amp;($F140-MOD((IFERROR(INDEX('TECNICOS'!$G$4:$G$19,MATCH($C140,'TECNICOS'!$B$4:$B$19,0)),0)-1)+((DATE(VALUE(LEFT($A140,4)),1,4)-WEEKDAY(DATE(VALUE(LEFT($A140,4)),1,4),2)+1+(VALUE(MID($A140,7,2))-1)*7)-p_semana_referencia)/7,$F140)))))</f>
        <v/>
      </c>
      <c r="H140" s="24">
        <f>IF(COUNTIFS('PLAN_VACACIONES'!$A$4:$A$103,$C140,'PLAN_VACACIONES'!$B$4:$B$103,"&lt;="&amp;$L140,'PLAN_VACACIONES'!$C$4:$C$103,"&gt;="&amp;$L140)&gt;0,"sí","no")</f>
        <v/>
      </c>
      <c r="I140" s="4" t="n"/>
      <c r="J140" s="24">
        <f>IF($I140&lt;&gt;"",$I140,IF($G140="","",IF($H140="sí","VAC",IF(LEFT($G140,1)="B","B",$G140))))</f>
        <v/>
      </c>
      <c r="K140" s="24">
        <f>IFERROR(INDEX('TECNICOS'!$E$4:$E$19,MATCH($C140,'TECNICOS'!$B$4:$B$19,0)),"")</f>
        <v/>
      </c>
      <c r="L140" s="30">
        <f>IF($A140="","",DATE(VALUE(LEFT($A140,4)),1,4)-WEEKDAY(DATE(VALUE(LEFT($A140,4)),1,4),2)+1+(VALUE(MID($A140,7,2))-1)*7+MATCH($B140,lista_dias,0)-1)</f>
        <v/>
      </c>
      <c r="M140" s="24">
        <f>IF(OR($J140="",ISNUMBER(MATCH($J140,lista_no_disponible,0)),(IFERROR(INDEX('CALENDARIO'!$C$15:$C$214,MATCH(TEXT($L140,"yyyy-mm-dd")&amp;"|"&amp;$D140&amp;"|"&amp;"",'CALENDARIO'!$G$15:$G$214,0)),IFERROR(INDEX('CALENDARIO'!$C$15:$C$214,MATCH(TEXT($L140,"yyyy-mm-dd")&amp;"|"&amp;$D140&amp;"|",'CALENDARIO'!$G$15:$G$214,0)),IFERROR(INDEX('CALENDARIO'!$C$15:$C$214,MATCH(TEXT($L140,"yyyy-mm-dd")&amp;"||",'CALENDARIO'!$G$15:$G$214,0)),INDEX(patronHabil,WEEKDAY($L140,2))))))&lt;&gt;"sí"),0,p_horas_jornada)</f>
        <v/>
      </c>
      <c r="N140" s="24">
        <f>$A140&amp;"|"&amp;$B140&amp;"|"&amp;$C140</f>
        <v/>
      </c>
      <c r="O140" s="24">
        <f>IFERROR(INDEX('CAT_TURNOS'!$C$4:$C$22,MATCH($J140,'CAT_TURNOS'!$A$4:$A$22,0)),"")</f>
        <v/>
      </c>
      <c r="P140" s="24">
        <f>IFERROR(INDEX('CAT_TURNOS'!$D$4:$D$22,MATCH($J140,'CAT_TURNOS'!$A$4:$A$22,0)),"")</f>
        <v/>
      </c>
      <c r="Q140" s="24">
        <f>IF(AND(LEFT($G140,1)="T",$H140="no"),"sí","no")</f>
        <v/>
      </c>
    </row>
    <row r="141">
      <c r="A141" s="5" t="inlineStr">
        <is>
          <t>2026-S31</t>
        </is>
      </c>
      <c r="B141" s="5" t="inlineStr">
        <is>
          <t>viernes</t>
        </is>
      </c>
      <c r="C141" s="5" t="inlineStr">
        <is>
          <t>Miguel Martínez</t>
        </is>
      </c>
      <c r="D141" s="24">
        <f>IFERROR(INDEX('TECNICOS'!$D$4:$D$19,MATCH($C141,'TECNICOS'!$B$4:$B$19,0)),"")</f>
        <v/>
      </c>
      <c r="E141" s="24">
        <f>IFERROR(INDEX('TECNICOS'!$C$4:$C$19,MATCH($C141,'TECNICOS'!$B$4:$B$19,0)),"")</f>
        <v/>
      </c>
      <c r="F141" s="24">
        <f>COUNTIFS('TECNICOS'!$F$4:$F$19,"sí",'TECNICOS'!$C$4:$C$19,$E141,'TECNICOS'!$D$4:$D$19,$D141,'TECNICOS'!$H$4:$H$19,"sí")</f>
        <v/>
      </c>
      <c r="G141" s="24">
        <f>IF(OR($C141="",$A141="",$B141="domingo",IFERROR(INDEX('TECNICOS'!$H$4:$H$19,MATCH($C141,'TECNICOS'!$B$4:$B$19,0)),"no")&lt;&gt;"sí"),"",IF(IFERROR(INDEX('TECNICOS'!$F$4:$F$19,MATCH($C141,'TECNICOS'!$B$4:$B$19,0)),"no")&lt;&gt;"sí","B",IF(MOD((IFERROR(INDEX('TECNICOS'!$G$4:$G$19,MATCH($C141,'TECNICOS'!$B$4:$B$19,0)),0)-1)+((DATE(VALUE(LEFT($A141,4)),1,4)-WEEKDAY(DATE(VALUE(LEFT($A141,4)),1,4),2)+1+(VALUE(MID($A141,7,2))-1)*7)-p_semana_referencia)/7,$F141)&lt;($F141-3),"B"&amp;(($F141-3)-MOD((IFERROR(INDEX('TECNICOS'!$G$4:$G$19,MATCH($C141,'TECNICOS'!$B$4:$B$19,0)),0)-1)+((DATE(VALUE(LEFT($A141,4)),1,4)-WEEKDAY(DATE(VALUE(LEFT($A141,4)),1,4),2)+1+(VALUE(MID($A141,7,2))-1)*7)-p_semana_referencia)/7,$F141)),"T"&amp;($F141-MOD((IFERROR(INDEX('TECNICOS'!$G$4:$G$19,MATCH($C141,'TECNICOS'!$B$4:$B$19,0)),0)-1)+((DATE(VALUE(LEFT($A141,4)),1,4)-WEEKDAY(DATE(VALUE(LEFT($A141,4)),1,4),2)+1+(VALUE(MID($A141,7,2))-1)*7)-p_semana_referencia)/7,$F141)))))</f>
        <v/>
      </c>
      <c r="H141" s="24">
        <f>IF(COUNTIFS('PLAN_VACACIONES'!$A$4:$A$103,$C141,'PLAN_VACACIONES'!$B$4:$B$103,"&lt;="&amp;$L141,'PLAN_VACACIONES'!$C$4:$C$103,"&gt;="&amp;$L141)&gt;0,"sí","no")</f>
        <v/>
      </c>
      <c r="I141" s="4" t="n"/>
      <c r="J141" s="24">
        <f>IF($I141&lt;&gt;"",$I141,IF($G141="","",IF($H141="sí","VAC",IF(LEFT($G141,1)="B","B",$G141))))</f>
        <v/>
      </c>
      <c r="K141" s="24">
        <f>IFERROR(INDEX('TECNICOS'!$E$4:$E$19,MATCH($C141,'TECNICOS'!$B$4:$B$19,0)),"")</f>
        <v/>
      </c>
      <c r="L141" s="30">
        <f>IF($A141="","",DATE(VALUE(LEFT($A141,4)),1,4)-WEEKDAY(DATE(VALUE(LEFT($A141,4)),1,4),2)+1+(VALUE(MID($A141,7,2))-1)*7+MATCH($B141,lista_dias,0)-1)</f>
        <v/>
      </c>
      <c r="M141" s="24">
        <f>IF(OR($J141="",ISNUMBER(MATCH($J141,lista_no_disponible,0)),(IFERROR(INDEX('CALENDARIO'!$C$15:$C$214,MATCH(TEXT($L141,"yyyy-mm-dd")&amp;"|"&amp;$D141&amp;"|"&amp;"",'CALENDARIO'!$G$15:$G$214,0)),IFERROR(INDEX('CALENDARIO'!$C$15:$C$214,MATCH(TEXT($L141,"yyyy-mm-dd")&amp;"|"&amp;$D141&amp;"|",'CALENDARIO'!$G$15:$G$214,0)),IFERROR(INDEX('CALENDARIO'!$C$15:$C$214,MATCH(TEXT($L141,"yyyy-mm-dd")&amp;"||",'CALENDARIO'!$G$15:$G$214,0)),INDEX(patronHabil,WEEKDAY($L141,2))))))&lt;&gt;"sí"),0,p_horas_jornada)</f>
        <v/>
      </c>
      <c r="N141" s="24">
        <f>$A141&amp;"|"&amp;$B141&amp;"|"&amp;$C141</f>
        <v/>
      </c>
      <c r="O141" s="24">
        <f>IFERROR(INDEX('CAT_TURNOS'!$C$4:$C$22,MATCH($J141,'CAT_TURNOS'!$A$4:$A$22,0)),"")</f>
        <v/>
      </c>
      <c r="P141" s="24">
        <f>IFERROR(INDEX('CAT_TURNOS'!$D$4:$D$22,MATCH($J141,'CAT_TURNOS'!$A$4:$A$22,0)),"")</f>
        <v/>
      </c>
      <c r="Q141" s="24">
        <f>IF(AND(LEFT($G141,1)="T",$H141="no"),"sí","no")</f>
        <v/>
      </c>
    </row>
    <row r="142">
      <c r="A142" s="5" t="inlineStr">
        <is>
          <t>2026-S31</t>
        </is>
      </c>
      <c r="B142" s="5" t="inlineStr">
        <is>
          <t>sábado</t>
        </is>
      </c>
      <c r="C142" s="5" t="inlineStr">
        <is>
          <t>Miguel Martínez</t>
        </is>
      </c>
      <c r="D142" s="24">
        <f>IFERROR(INDEX('TECNICOS'!$D$4:$D$19,MATCH($C142,'TECNICOS'!$B$4:$B$19,0)),"")</f>
        <v/>
      </c>
      <c r="E142" s="24">
        <f>IFERROR(INDEX('TECNICOS'!$C$4:$C$19,MATCH($C142,'TECNICOS'!$B$4:$B$19,0)),"")</f>
        <v/>
      </c>
      <c r="F142" s="24">
        <f>COUNTIFS('TECNICOS'!$F$4:$F$19,"sí",'TECNICOS'!$C$4:$C$19,$E142,'TECNICOS'!$D$4:$D$19,$D142,'TECNICOS'!$H$4:$H$19,"sí")</f>
        <v/>
      </c>
      <c r="G142" s="24">
        <f>IF(OR($C142="",$A142="",$B142="domingo",IFERROR(INDEX('TECNICOS'!$H$4:$H$19,MATCH($C142,'TECNICOS'!$B$4:$B$19,0)),"no")&lt;&gt;"sí"),"",IF(IFERROR(INDEX('TECNICOS'!$F$4:$F$19,MATCH($C142,'TECNICOS'!$B$4:$B$19,0)),"no")&lt;&gt;"sí","B",IF(MOD((IFERROR(INDEX('TECNICOS'!$G$4:$G$19,MATCH($C142,'TECNICOS'!$B$4:$B$19,0)),0)-1)+((DATE(VALUE(LEFT($A142,4)),1,4)-WEEKDAY(DATE(VALUE(LEFT($A142,4)),1,4),2)+1+(VALUE(MID($A142,7,2))-1)*7)-p_semana_referencia)/7,$F142)&lt;($F142-3),"B"&amp;(($F142-3)-MOD((IFERROR(INDEX('TECNICOS'!$G$4:$G$19,MATCH($C142,'TECNICOS'!$B$4:$B$19,0)),0)-1)+((DATE(VALUE(LEFT($A142,4)),1,4)-WEEKDAY(DATE(VALUE(LEFT($A142,4)),1,4),2)+1+(VALUE(MID($A142,7,2))-1)*7)-p_semana_referencia)/7,$F142)),"T"&amp;($F142-MOD((IFERROR(INDEX('TECNICOS'!$G$4:$G$19,MATCH($C142,'TECNICOS'!$B$4:$B$19,0)),0)-1)+((DATE(VALUE(LEFT($A142,4)),1,4)-WEEKDAY(DATE(VALUE(LEFT($A142,4)),1,4),2)+1+(VALUE(MID($A142,7,2))-1)*7)-p_semana_referencia)/7,$F142)))))</f>
        <v/>
      </c>
      <c r="H142" s="24">
        <f>IF(COUNTIFS('PLAN_VACACIONES'!$A$4:$A$103,$C142,'PLAN_VACACIONES'!$B$4:$B$103,"&lt;="&amp;$L142,'PLAN_VACACIONES'!$C$4:$C$103,"&gt;="&amp;$L142)&gt;0,"sí","no")</f>
        <v/>
      </c>
      <c r="I142" s="4" t="n"/>
      <c r="J142" s="24">
        <f>IF($I142&lt;&gt;"",$I142,IF($G142="","",IF($H142="sí","VAC",IF(LEFT($G142,1)="B","B",$G142))))</f>
        <v/>
      </c>
      <c r="K142" s="24">
        <f>IFERROR(INDEX('TECNICOS'!$E$4:$E$19,MATCH($C142,'TECNICOS'!$B$4:$B$19,0)),"")</f>
        <v/>
      </c>
      <c r="L142" s="30">
        <f>IF($A142="","",DATE(VALUE(LEFT($A142,4)),1,4)-WEEKDAY(DATE(VALUE(LEFT($A142,4)),1,4),2)+1+(VALUE(MID($A142,7,2))-1)*7+MATCH($B142,lista_dias,0)-1)</f>
        <v/>
      </c>
      <c r="M142" s="24">
        <f>IF(OR($J142="",ISNUMBER(MATCH($J142,lista_no_disponible,0)),(IFERROR(INDEX('CALENDARIO'!$C$15:$C$214,MATCH(TEXT($L142,"yyyy-mm-dd")&amp;"|"&amp;$D142&amp;"|"&amp;"",'CALENDARIO'!$G$15:$G$214,0)),IFERROR(INDEX('CALENDARIO'!$C$15:$C$214,MATCH(TEXT($L142,"yyyy-mm-dd")&amp;"|"&amp;$D142&amp;"|",'CALENDARIO'!$G$15:$G$214,0)),IFERROR(INDEX('CALENDARIO'!$C$15:$C$214,MATCH(TEXT($L142,"yyyy-mm-dd")&amp;"||",'CALENDARIO'!$G$15:$G$214,0)),INDEX(patronHabil,WEEKDAY($L142,2))))))&lt;&gt;"sí"),0,p_horas_jornada)</f>
        <v/>
      </c>
      <c r="N142" s="24">
        <f>$A142&amp;"|"&amp;$B142&amp;"|"&amp;$C142</f>
        <v/>
      </c>
      <c r="O142" s="24">
        <f>IFERROR(INDEX('CAT_TURNOS'!$C$4:$C$22,MATCH($J142,'CAT_TURNOS'!$A$4:$A$22,0)),"")</f>
        <v/>
      </c>
      <c r="P142" s="24">
        <f>IFERROR(INDEX('CAT_TURNOS'!$D$4:$D$22,MATCH($J142,'CAT_TURNOS'!$A$4:$A$22,0)),"")</f>
        <v/>
      </c>
      <c r="Q142" s="24">
        <f>IF(AND(LEFT($G142,1)="T",$H142="no"),"sí","no")</f>
        <v/>
      </c>
    </row>
    <row r="143">
      <c r="A143" s="5" t="inlineStr">
        <is>
          <t>2026-S31</t>
        </is>
      </c>
      <c r="B143" s="5" t="inlineStr">
        <is>
          <t>domingo</t>
        </is>
      </c>
      <c r="C143" s="5" t="inlineStr">
        <is>
          <t>Miguel Martínez</t>
        </is>
      </c>
      <c r="D143" s="24">
        <f>IFERROR(INDEX('TECNICOS'!$D$4:$D$19,MATCH($C143,'TECNICOS'!$B$4:$B$19,0)),"")</f>
        <v/>
      </c>
      <c r="E143" s="24">
        <f>IFERROR(INDEX('TECNICOS'!$C$4:$C$19,MATCH($C143,'TECNICOS'!$B$4:$B$19,0)),"")</f>
        <v/>
      </c>
      <c r="F143" s="24">
        <f>COUNTIFS('TECNICOS'!$F$4:$F$19,"sí",'TECNICOS'!$C$4:$C$19,$E143,'TECNICOS'!$D$4:$D$19,$D143,'TECNICOS'!$H$4:$H$19,"sí")</f>
        <v/>
      </c>
      <c r="G143" s="24">
        <f>IF(OR($C143="",$A143="",$B143="domingo",IFERROR(INDEX('TECNICOS'!$H$4:$H$19,MATCH($C143,'TECNICOS'!$B$4:$B$19,0)),"no")&lt;&gt;"sí"),"",IF(IFERROR(INDEX('TECNICOS'!$F$4:$F$19,MATCH($C143,'TECNICOS'!$B$4:$B$19,0)),"no")&lt;&gt;"sí","B",IF(MOD((IFERROR(INDEX('TECNICOS'!$G$4:$G$19,MATCH($C143,'TECNICOS'!$B$4:$B$19,0)),0)-1)+((DATE(VALUE(LEFT($A143,4)),1,4)-WEEKDAY(DATE(VALUE(LEFT($A143,4)),1,4),2)+1+(VALUE(MID($A143,7,2))-1)*7)-p_semana_referencia)/7,$F143)&lt;($F143-3),"B"&amp;(($F143-3)-MOD((IFERROR(INDEX('TECNICOS'!$G$4:$G$19,MATCH($C143,'TECNICOS'!$B$4:$B$19,0)),0)-1)+((DATE(VALUE(LEFT($A143,4)),1,4)-WEEKDAY(DATE(VALUE(LEFT($A143,4)),1,4),2)+1+(VALUE(MID($A143,7,2))-1)*7)-p_semana_referencia)/7,$F143)),"T"&amp;($F143-MOD((IFERROR(INDEX('TECNICOS'!$G$4:$G$19,MATCH($C143,'TECNICOS'!$B$4:$B$19,0)),0)-1)+((DATE(VALUE(LEFT($A143,4)),1,4)-WEEKDAY(DATE(VALUE(LEFT($A143,4)),1,4),2)+1+(VALUE(MID($A143,7,2))-1)*7)-p_semana_referencia)/7,$F143)))))</f>
        <v/>
      </c>
      <c r="H143" s="24">
        <f>IF(COUNTIFS('PLAN_VACACIONES'!$A$4:$A$103,$C143,'PLAN_VACACIONES'!$B$4:$B$103,"&lt;="&amp;$L143,'PLAN_VACACIONES'!$C$4:$C$103,"&gt;="&amp;$L143)&gt;0,"sí","no")</f>
        <v/>
      </c>
      <c r="I143" s="4" t="n"/>
      <c r="J143" s="24">
        <f>IF($I143&lt;&gt;"",$I143,IF($G143="","",IF($H143="sí","VAC",IF(LEFT($G143,1)="B","B",$G143))))</f>
        <v/>
      </c>
      <c r="K143" s="24">
        <f>IFERROR(INDEX('TECNICOS'!$E$4:$E$19,MATCH($C143,'TECNICOS'!$B$4:$B$19,0)),"")</f>
        <v/>
      </c>
      <c r="L143" s="30">
        <f>IF($A143="","",DATE(VALUE(LEFT($A143,4)),1,4)-WEEKDAY(DATE(VALUE(LEFT($A143,4)),1,4),2)+1+(VALUE(MID($A143,7,2))-1)*7+MATCH($B143,lista_dias,0)-1)</f>
        <v/>
      </c>
      <c r="M143" s="24">
        <f>IF(OR($J143="",ISNUMBER(MATCH($J143,lista_no_disponible,0)),(IFERROR(INDEX('CALENDARIO'!$C$15:$C$214,MATCH(TEXT($L143,"yyyy-mm-dd")&amp;"|"&amp;$D143&amp;"|"&amp;"",'CALENDARIO'!$G$15:$G$214,0)),IFERROR(INDEX('CALENDARIO'!$C$15:$C$214,MATCH(TEXT($L143,"yyyy-mm-dd")&amp;"|"&amp;$D143&amp;"|",'CALENDARIO'!$G$15:$G$214,0)),IFERROR(INDEX('CALENDARIO'!$C$15:$C$214,MATCH(TEXT($L143,"yyyy-mm-dd")&amp;"||",'CALENDARIO'!$G$15:$G$214,0)),INDEX(patronHabil,WEEKDAY($L143,2))))))&lt;&gt;"sí"),0,p_horas_jornada)</f>
        <v/>
      </c>
      <c r="N143" s="24">
        <f>$A143&amp;"|"&amp;$B143&amp;"|"&amp;$C143</f>
        <v/>
      </c>
      <c r="O143" s="24">
        <f>IFERROR(INDEX('CAT_TURNOS'!$C$4:$C$22,MATCH($J143,'CAT_TURNOS'!$A$4:$A$22,0)),"")</f>
        <v/>
      </c>
      <c r="P143" s="24">
        <f>IFERROR(INDEX('CAT_TURNOS'!$D$4:$D$22,MATCH($J143,'CAT_TURNOS'!$A$4:$A$22,0)),"")</f>
        <v/>
      </c>
      <c r="Q143" s="24">
        <f>IF(AND(LEFT($G143,1)="T",$H143="no"),"sí","no")</f>
        <v/>
      </c>
    </row>
    <row r="144">
      <c r="A144" s="5" t="inlineStr">
        <is>
          <t>2026-S31</t>
        </is>
      </c>
      <c r="B144" s="5" t="inlineStr">
        <is>
          <t>lunes</t>
        </is>
      </c>
      <c r="C144" s="5" t="inlineStr">
        <is>
          <t>Ana Sánchez</t>
        </is>
      </c>
      <c r="D144" s="24">
        <f>IFERROR(INDEX('TECNICOS'!$D$4:$D$19,MATCH($C144,'TECNICOS'!$B$4:$B$19,0)),"")</f>
        <v/>
      </c>
      <c r="E144" s="24">
        <f>IFERROR(INDEX('TECNICOS'!$C$4:$C$19,MATCH($C144,'TECNICOS'!$B$4:$B$19,0)),"")</f>
        <v/>
      </c>
      <c r="F144" s="24">
        <f>COUNTIFS('TECNICOS'!$F$4:$F$19,"sí",'TECNICOS'!$C$4:$C$19,$E144,'TECNICOS'!$D$4:$D$19,$D144,'TECNICOS'!$H$4:$H$19,"sí")</f>
        <v/>
      </c>
      <c r="G144" s="24">
        <f>IF(OR($C144="",$A144="",$B144="domingo",IFERROR(INDEX('TECNICOS'!$H$4:$H$19,MATCH($C144,'TECNICOS'!$B$4:$B$19,0)),"no")&lt;&gt;"sí"),"",IF(IFERROR(INDEX('TECNICOS'!$F$4:$F$19,MATCH($C144,'TECNICOS'!$B$4:$B$19,0)),"no")&lt;&gt;"sí","B",IF(MOD((IFERROR(INDEX('TECNICOS'!$G$4:$G$19,MATCH($C144,'TECNICOS'!$B$4:$B$19,0)),0)-1)+((DATE(VALUE(LEFT($A144,4)),1,4)-WEEKDAY(DATE(VALUE(LEFT($A144,4)),1,4),2)+1+(VALUE(MID($A144,7,2))-1)*7)-p_semana_referencia)/7,$F144)&lt;($F144-3),"B"&amp;(($F144-3)-MOD((IFERROR(INDEX('TECNICOS'!$G$4:$G$19,MATCH($C144,'TECNICOS'!$B$4:$B$19,0)),0)-1)+((DATE(VALUE(LEFT($A144,4)),1,4)-WEEKDAY(DATE(VALUE(LEFT($A144,4)),1,4),2)+1+(VALUE(MID($A144,7,2))-1)*7)-p_semana_referencia)/7,$F144)),"T"&amp;($F144-MOD((IFERROR(INDEX('TECNICOS'!$G$4:$G$19,MATCH($C144,'TECNICOS'!$B$4:$B$19,0)),0)-1)+((DATE(VALUE(LEFT($A144,4)),1,4)-WEEKDAY(DATE(VALUE(LEFT($A144,4)),1,4),2)+1+(VALUE(MID($A144,7,2))-1)*7)-p_semana_referencia)/7,$F144)))))</f>
        <v/>
      </c>
      <c r="H144" s="24">
        <f>IF(COUNTIFS('PLAN_VACACIONES'!$A$4:$A$103,$C144,'PLAN_VACACIONES'!$B$4:$B$103,"&lt;="&amp;$L144,'PLAN_VACACIONES'!$C$4:$C$103,"&gt;="&amp;$L144)&gt;0,"sí","no")</f>
        <v/>
      </c>
      <c r="I144" s="4" t="n"/>
      <c r="J144" s="24">
        <f>IF($I144&lt;&gt;"",$I144,IF($G144="","",IF($H144="sí","VAC",IF(LEFT($G144,1)="B","B",$G144))))</f>
        <v/>
      </c>
      <c r="K144" s="24">
        <f>IFERROR(INDEX('TECNICOS'!$E$4:$E$19,MATCH($C144,'TECNICOS'!$B$4:$B$19,0)),"")</f>
        <v/>
      </c>
      <c r="L144" s="30">
        <f>IF($A144="","",DATE(VALUE(LEFT($A144,4)),1,4)-WEEKDAY(DATE(VALUE(LEFT($A144,4)),1,4),2)+1+(VALUE(MID($A144,7,2))-1)*7+MATCH($B144,lista_dias,0)-1)</f>
        <v/>
      </c>
      <c r="M144" s="24">
        <f>IF(OR($J144="",ISNUMBER(MATCH($J144,lista_no_disponible,0)),(IFERROR(INDEX('CALENDARIO'!$C$15:$C$214,MATCH(TEXT($L144,"yyyy-mm-dd")&amp;"|"&amp;$D144&amp;"|"&amp;"",'CALENDARIO'!$G$15:$G$214,0)),IFERROR(INDEX('CALENDARIO'!$C$15:$C$214,MATCH(TEXT($L144,"yyyy-mm-dd")&amp;"|"&amp;$D144&amp;"|",'CALENDARIO'!$G$15:$G$214,0)),IFERROR(INDEX('CALENDARIO'!$C$15:$C$214,MATCH(TEXT($L144,"yyyy-mm-dd")&amp;"||",'CALENDARIO'!$G$15:$G$214,0)),INDEX(patronHabil,WEEKDAY($L144,2))))))&lt;&gt;"sí"),0,p_horas_jornada)</f>
        <v/>
      </c>
      <c r="N144" s="24">
        <f>$A144&amp;"|"&amp;$B144&amp;"|"&amp;$C144</f>
        <v/>
      </c>
      <c r="O144" s="24">
        <f>IFERROR(INDEX('CAT_TURNOS'!$C$4:$C$22,MATCH($J144,'CAT_TURNOS'!$A$4:$A$22,0)),"")</f>
        <v/>
      </c>
      <c r="P144" s="24">
        <f>IFERROR(INDEX('CAT_TURNOS'!$D$4:$D$22,MATCH($J144,'CAT_TURNOS'!$A$4:$A$22,0)),"")</f>
        <v/>
      </c>
      <c r="Q144" s="24">
        <f>IF(AND(LEFT($G144,1)="T",$H144="no"),"sí","no")</f>
        <v/>
      </c>
    </row>
    <row r="145">
      <c r="A145" s="5" t="inlineStr">
        <is>
          <t>2026-S31</t>
        </is>
      </c>
      <c r="B145" s="5" t="inlineStr">
        <is>
          <t>martes</t>
        </is>
      </c>
      <c r="C145" s="5" t="inlineStr">
        <is>
          <t>Ana Sánchez</t>
        </is>
      </c>
      <c r="D145" s="24">
        <f>IFERROR(INDEX('TECNICOS'!$D$4:$D$19,MATCH($C145,'TECNICOS'!$B$4:$B$19,0)),"")</f>
        <v/>
      </c>
      <c r="E145" s="24">
        <f>IFERROR(INDEX('TECNICOS'!$C$4:$C$19,MATCH($C145,'TECNICOS'!$B$4:$B$19,0)),"")</f>
        <v/>
      </c>
      <c r="F145" s="24">
        <f>COUNTIFS('TECNICOS'!$F$4:$F$19,"sí",'TECNICOS'!$C$4:$C$19,$E145,'TECNICOS'!$D$4:$D$19,$D145,'TECNICOS'!$H$4:$H$19,"sí")</f>
        <v/>
      </c>
      <c r="G145" s="24">
        <f>IF(OR($C145="",$A145="",$B145="domingo",IFERROR(INDEX('TECNICOS'!$H$4:$H$19,MATCH($C145,'TECNICOS'!$B$4:$B$19,0)),"no")&lt;&gt;"sí"),"",IF(IFERROR(INDEX('TECNICOS'!$F$4:$F$19,MATCH($C145,'TECNICOS'!$B$4:$B$19,0)),"no")&lt;&gt;"sí","B",IF(MOD((IFERROR(INDEX('TECNICOS'!$G$4:$G$19,MATCH($C145,'TECNICOS'!$B$4:$B$19,0)),0)-1)+((DATE(VALUE(LEFT($A145,4)),1,4)-WEEKDAY(DATE(VALUE(LEFT($A145,4)),1,4),2)+1+(VALUE(MID($A145,7,2))-1)*7)-p_semana_referencia)/7,$F145)&lt;($F145-3),"B"&amp;(($F145-3)-MOD((IFERROR(INDEX('TECNICOS'!$G$4:$G$19,MATCH($C145,'TECNICOS'!$B$4:$B$19,0)),0)-1)+((DATE(VALUE(LEFT($A145,4)),1,4)-WEEKDAY(DATE(VALUE(LEFT($A145,4)),1,4),2)+1+(VALUE(MID($A145,7,2))-1)*7)-p_semana_referencia)/7,$F145)),"T"&amp;($F145-MOD((IFERROR(INDEX('TECNICOS'!$G$4:$G$19,MATCH($C145,'TECNICOS'!$B$4:$B$19,0)),0)-1)+((DATE(VALUE(LEFT($A145,4)),1,4)-WEEKDAY(DATE(VALUE(LEFT($A145,4)),1,4),2)+1+(VALUE(MID($A145,7,2))-1)*7)-p_semana_referencia)/7,$F145)))))</f>
        <v/>
      </c>
      <c r="H145" s="24">
        <f>IF(COUNTIFS('PLAN_VACACIONES'!$A$4:$A$103,$C145,'PLAN_VACACIONES'!$B$4:$B$103,"&lt;="&amp;$L145,'PLAN_VACACIONES'!$C$4:$C$103,"&gt;="&amp;$L145)&gt;0,"sí","no")</f>
        <v/>
      </c>
      <c r="I145" s="4" t="n"/>
      <c r="J145" s="24">
        <f>IF($I145&lt;&gt;"",$I145,IF($G145="","",IF($H145="sí","VAC",IF(LEFT($G145,1)="B","B",$G145))))</f>
        <v/>
      </c>
      <c r="K145" s="24">
        <f>IFERROR(INDEX('TECNICOS'!$E$4:$E$19,MATCH($C145,'TECNICOS'!$B$4:$B$19,0)),"")</f>
        <v/>
      </c>
      <c r="L145" s="30">
        <f>IF($A145="","",DATE(VALUE(LEFT($A145,4)),1,4)-WEEKDAY(DATE(VALUE(LEFT($A145,4)),1,4),2)+1+(VALUE(MID($A145,7,2))-1)*7+MATCH($B145,lista_dias,0)-1)</f>
        <v/>
      </c>
      <c r="M145" s="24">
        <f>IF(OR($J145="",ISNUMBER(MATCH($J145,lista_no_disponible,0)),(IFERROR(INDEX('CALENDARIO'!$C$15:$C$214,MATCH(TEXT($L145,"yyyy-mm-dd")&amp;"|"&amp;$D145&amp;"|"&amp;"",'CALENDARIO'!$G$15:$G$214,0)),IFERROR(INDEX('CALENDARIO'!$C$15:$C$214,MATCH(TEXT($L145,"yyyy-mm-dd")&amp;"|"&amp;$D145&amp;"|",'CALENDARIO'!$G$15:$G$214,0)),IFERROR(INDEX('CALENDARIO'!$C$15:$C$214,MATCH(TEXT($L145,"yyyy-mm-dd")&amp;"||",'CALENDARIO'!$G$15:$G$214,0)),INDEX(patronHabil,WEEKDAY($L145,2))))))&lt;&gt;"sí"),0,p_horas_jornada)</f>
        <v/>
      </c>
      <c r="N145" s="24">
        <f>$A145&amp;"|"&amp;$B145&amp;"|"&amp;$C145</f>
        <v/>
      </c>
      <c r="O145" s="24">
        <f>IFERROR(INDEX('CAT_TURNOS'!$C$4:$C$22,MATCH($J145,'CAT_TURNOS'!$A$4:$A$22,0)),"")</f>
        <v/>
      </c>
      <c r="P145" s="24">
        <f>IFERROR(INDEX('CAT_TURNOS'!$D$4:$D$22,MATCH($J145,'CAT_TURNOS'!$A$4:$A$22,0)),"")</f>
        <v/>
      </c>
      <c r="Q145" s="24">
        <f>IF(AND(LEFT($G145,1)="T",$H145="no"),"sí","no")</f>
        <v/>
      </c>
    </row>
    <row r="146">
      <c r="A146" s="5" t="inlineStr">
        <is>
          <t>2026-S31</t>
        </is>
      </c>
      <c r="B146" s="5" t="inlineStr">
        <is>
          <t>miércoles</t>
        </is>
      </c>
      <c r="C146" s="5" t="inlineStr">
        <is>
          <t>Ana Sánchez</t>
        </is>
      </c>
      <c r="D146" s="24">
        <f>IFERROR(INDEX('TECNICOS'!$D$4:$D$19,MATCH($C146,'TECNICOS'!$B$4:$B$19,0)),"")</f>
        <v/>
      </c>
      <c r="E146" s="24">
        <f>IFERROR(INDEX('TECNICOS'!$C$4:$C$19,MATCH($C146,'TECNICOS'!$B$4:$B$19,0)),"")</f>
        <v/>
      </c>
      <c r="F146" s="24">
        <f>COUNTIFS('TECNICOS'!$F$4:$F$19,"sí",'TECNICOS'!$C$4:$C$19,$E146,'TECNICOS'!$D$4:$D$19,$D146,'TECNICOS'!$H$4:$H$19,"sí")</f>
        <v/>
      </c>
      <c r="G146" s="24">
        <f>IF(OR($C146="",$A146="",$B146="domingo",IFERROR(INDEX('TECNICOS'!$H$4:$H$19,MATCH($C146,'TECNICOS'!$B$4:$B$19,0)),"no")&lt;&gt;"sí"),"",IF(IFERROR(INDEX('TECNICOS'!$F$4:$F$19,MATCH($C146,'TECNICOS'!$B$4:$B$19,0)),"no")&lt;&gt;"sí","B",IF(MOD((IFERROR(INDEX('TECNICOS'!$G$4:$G$19,MATCH($C146,'TECNICOS'!$B$4:$B$19,0)),0)-1)+((DATE(VALUE(LEFT($A146,4)),1,4)-WEEKDAY(DATE(VALUE(LEFT($A146,4)),1,4),2)+1+(VALUE(MID($A146,7,2))-1)*7)-p_semana_referencia)/7,$F146)&lt;($F146-3),"B"&amp;(($F146-3)-MOD((IFERROR(INDEX('TECNICOS'!$G$4:$G$19,MATCH($C146,'TECNICOS'!$B$4:$B$19,0)),0)-1)+((DATE(VALUE(LEFT($A146,4)),1,4)-WEEKDAY(DATE(VALUE(LEFT($A146,4)),1,4),2)+1+(VALUE(MID($A146,7,2))-1)*7)-p_semana_referencia)/7,$F146)),"T"&amp;($F146-MOD((IFERROR(INDEX('TECNICOS'!$G$4:$G$19,MATCH($C146,'TECNICOS'!$B$4:$B$19,0)),0)-1)+((DATE(VALUE(LEFT($A146,4)),1,4)-WEEKDAY(DATE(VALUE(LEFT($A146,4)),1,4),2)+1+(VALUE(MID($A146,7,2))-1)*7)-p_semana_referencia)/7,$F146)))))</f>
        <v/>
      </c>
      <c r="H146" s="24">
        <f>IF(COUNTIFS('PLAN_VACACIONES'!$A$4:$A$103,$C146,'PLAN_VACACIONES'!$B$4:$B$103,"&lt;="&amp;$L146,'PLAN_VACACIONES'!$C$4:$C$103,"&gt;="&amp;$L146)&gt;0,"sí","no")</f>
        <v/>
      </c>
      <c r="I146" s="4" t="n"/>
      <c r="J146" s="24">
        <f>IF($I146&lt;&gt;"",$I146,IF($G146="","",IF($H146="sí","VAC",IF(LEFT($G146,1)="B","B",$G146))))</f>
        <v/>
      </c>
      <c r="K146" s="24">
        <f>IFERROR(INDEX('TECNICOS'!$E$4:$E$19,MATCH($C146,'TECNICOS'!$B$4:$B$19,0)),"")</f>
        <v/>
      </c>
      <c r="L146" s="30">
        <f>IF($A146="","",DATE(VALUE(LEFT($A146,4)),1,4)-WEEKDAY(DATE(VALUE(LEFT($A146,4)),1,4),2)+1+(VALUE(MID($A146,7,2))-1)*7+MATCH($B146,lista_dias,0)-1)</f>
        <v/>
      </c>
      <c r="M146" s="24">
        <f>IF(OR($J146="",ISNUMBER(MATCH($J146,lista_no_disponible,0)),(IFERROR(INDEX('CALENDARIO'!$C$15:$C$214,MATCH(TEXT($L146,"yyyy-mm-dd")&amp;"|"&amp;$D146&amp;"|"&amp;"",'CALENDARIO'!$G$15:$G$214,0)),IFERROR(INDEX('CALENDARIO'!$C$15:$C$214,MATCH(TEXT($L146,"yyyy-mm-dd")&amp;"|"&amp;$D146&amp;"|",'CALENDARIO'!$G$15:$G$214,0)),IFERROR(INDEX('CALENDARIO'!$C$15:$C$214,MATCH(TEXT($L146,"yyyy-mm-dd")&amp;"||",'CALENDARIO'!$G$15:$G$214,0)),INDEX(patronHabil,WEEKDAY($L146,2))))))&lt;&gt;"sí"),0,p_horas_jornada)</f>
        <v/>
      </c>
      <c r="N146" s="24">
        <f>$A146&amp;"|"&amp;$B146&amp;"|"&amp;$C146</f>
        <v/>
      </c>
      <c r="O146" s="24">
        <f>IFERROR(INDEX('CAT_TURNOS'!$C$4:$C$22,MATCH($J146,'CAT_TURNOS'!$A$4:$A$22,0)),"")</f>
        <v/>
      </c>
      <c r="P146" s="24">
        <f>IFERROR(INDEX('CAT_TURNOS'!$D$4:$D$22,MATCH($J146,'CAT_TURNOS'!$A$4:$A$22,0)),"")</f>
        <v/>
      </c>
      <c r="Q146" s="24">
        <f>IF(AND(LEFT($G146,1)="T",$H146="no"),"sí","no")</f>
        <v/>
      </c>
    </row>
    <row r="147">
      <c r="A147" s="5" t="inlineStr">
        <is>
          <t>2026-S31</t>
        </is>
      </c>
      <c r="B147" s="5" t="inlineStr">
        <is>
          <t>jueves</t>
        </is>
      </c>
      <c r="C147" s="5" t="inlineStr">
        <is>
          <t>Ana Sánchez</t>
        </is>
      </c>
      <c r="D147" s="24">
        <f>IFERROR(INDEX('TECNICOS'!$D$4:$D$19,MATCH($C147,'TECNICOS'!$B$4:$B$19,0)),"")</f>
        <v/>
      </c>
      <c r="E147" s="24">
        <f>IFERROR(INDEX('TECNICOS'!$C$4:$C$19,MATCH($C147,'TECNICOS'!$B$4:$B$19,0)),"")</f>
        <v/>
      </c>
      <c r="F147" s="24">
        <f>COUNTIFS('TECNICOS'!$F$4:$F$19,"sí",'TECNICOS'!$C$4:$C$19,$E147,'TECNICOS'!$D$4:$D$19,$D147,'TECNICOS'!$H$4:$H$19,"sí")</f>
        <v/>
      </c>
      <c r="G147" s="24">
        <f>IF(OR($C147="",$A147="",$B147="domingo",IFERROR(INDEX('TECNICOS'!$H$4:$H$19,MATCH($C147,'TECNICOS'!$B$4:$B$19,0)),"no")&lt;&gt;"sí"),"",IF(IFERROR(INDEX('TECNICOS'!$F$4:$F$19,MATCH($C147,'TECNICOS'!$B$4:$B$19,0)),"no")&lt;&gt;"sí","B",IF(MOD((IFERROR(INDEX('TECNICOS'!$G$4:$G$19,MATCH($C147,'TECNICOS'!$B$4:$B$19,0)),0)-1)+((DATE(VALUE(LEFT($A147,4)),1,4)-WEEKDAY(DATE(VALUE(LEFT($A147,4)),1,4),2)+1+(VALUE(MID($A147,7,2))-1)*7)-p_semana_referencia)/7,$F147)&lt;($F147-3),"B"&amp;(($F147-3)-MOD((IFERROR(INDEX('TECNICOS'!$G$4:$G$19,MATCH($C147,'TECNICOS'!$B$4:$B$19,0)),0)-1)+((DATE(VALUE(LEFT($A147,4)),1,4)-WEEKDAY(DATE(VALUE(LEFT($A147,4)),1,4),2)+1+(VALUE(MID($A147,7,2))-1)*7)-p_semana_referencia)/7,$F147)),"T"&amp;($F147-MOD((IFERROR(INDEX('TECNICOS'!$G$4:$G$19,MATCH($C147,'TECNICOS'!$B$4:$B$19,0)),0)-1)+((DATE(VALUE(LEFT($A147,4)),1,4)-WEEKDAY(DATE(VALUE(LEFT($A147,4)),1,4),2)+1+(VALUE(MID($A147,7,2))-1)*7)-p_semana_referencia)/7,$F147)))))</f>
        <v/>
      </c>
      <c r="H147" s="24">
        <f>IF(COUNTIFS('PLAN_VACACIONES'!$A$4:$A$103,$C147,'PLAN_VACACIONES'!$B$4:$B$103,"&lt;="&amp;$L147,'PLAN_VACACIONES'!$C$4:$C$103,"&gt;="&amp;$L147)&gt;0,"sí","no")</f>
        <v/>
      </c>
      <c r="I147" s="4" t="n"/>
      <c r="J147" s="24">
        <f>IF($I147&lt;&gt;"",$I147,IF($G147="","",IF($H147="sí","VAC",IF(LEFT($G147,1)="B","B",$G147))))</f>
        <v/>
      </c>
      <c r="K147" s="24">
        <f>IFERROR(INDEX('TECNICOS'!$E$4:$E$19,MATCH($C147,'TECNICOS'!$B$4:$B$19,0)),"")</f>
        <v/>
      </c>
      <c r="L147" s="30">
        <f>IF($A147="","",DATE(VALUE(LEFT($A147,4)),1,4)-WEEKDAY(DATE(VALUE(LEFT($A147,4)),1,4),2)+1+(VALUE(MID($A147,7,2))-1)*7+MATCH($B147,lista_dias,0)-1)</f>
        <v/>
      </c>
      <c r="M147" s="24">
        <f>IF(OR($J147="",ISNUMBER(MATCH($J147,lista_no_disponible,0)),(IFERROR(INDEX('CALENDARIO'!$C$15:$C$214,MATCH(TEXT($L147,"yyyy-mm-dd")&amp;"|"&amp;$D147&amp;"|"&amp;"",'CALENDARIO'!$G$15:$G$214,0)),IFERROR(INDEX('CALENDARIO'!$C$15:$C$214,MATCH(TEXT($L147,"yyyy-mm-dd")&amp;"|"&amp;$D147&amp;"|",'CALENDARIO'!$G$15:$G$214,0)),IFERROR(INDEX('CALENDARIO'!$C$15:$C$214,MATCH(TEXT($L147,"yyyy-mm-dd")&amp;"||",'CALENDARIO'!$G$15:$G$214,0)),INDEX(patronHabil,WEEKDAY($L147,2))))))&lt;&gt;"sí"),0,p_horas_jornada)</f>
        <v/>
      </c>
      <c r="N147" s="24">
        <f>$A147&amp;"|"&amp;$B147&amp;"|"&amp;$C147</f>
        <v/>
      </c>
      <c r="O147" s="24">
        <f>IFERROR(INDEX('CAT_TURNOS'!$C$4:$C$22,MATCH($J147,'CAT_TURNOS'!$A$4:$A$22,0)),"")</f>
        <v/>
      </c>
      <c r="P147" s="24">
        <f>IFERROR(INDEX('CAT_TURNOS'!$D$4:$D$22,MATCH($J147,'CAT_TURNOS'!$A$4:$A$22,0)),"")</f>
        <v/>
      </c>
      <c r="Q147" s="24">
        <f>IF(AND(LEFT($G147,1)="T",$H147="no"),"sí","no")</f>
        <v/>
      </c>
    </row>
    <row r="148">
      <c r="A148" s="5" t="inlineStr">
        <is>
          <t>2026-S31</t>
        </is>
      </c>
      <c r="B148" s="5" t="inlineStr">
        <is>
          <t>viernes</t>
        </is>
      </c>
      <c r="C148" s="5" t="inlineStr">
        <is>
          <t>Ana Sánchez</t>
        </is>
      </c>
      <c r="D148" s="24">
        <f>IFERROR(INDEX('TECNICOS'!$D$4:$D$19,MATCH($C148,'TECNICOS'!$B$4:$B$19,0)),"")</f>
        <v/>
      </c>
      <c r="E148" s="24">
        <f>IFERROR(INDEX('TECNICOS'!$C$4:$C$19,MATCH($C148,'TECNICOS'!$B$4:$B$19,0)),"")</f>
        <v/>
      </c>
      <c r="F148" s="24">
        <f>COUNTIFS('TECNICOS'!$F$4:$F$19,"sí",'TECNICOS'!$C$4:$C$19,$E148,'TECNICOS'!$D$4:$D$19,$D148,'TECNICOS'!$H$4:$H$19,"sí")</f>
        <v/>
      </c>
      <c r="G148" s="24">
        <f>IF(OR($C148="",$A148="",$B148="domingo",IFERROR(INDEX('TECNICOS'!$H$4:$H$19,MATCH($C148,'TECNICOS'!$B$4:$B$19,0)),"no")&lt;&gt;"sí"),"",IF(IFERROR(INDEX('TECNICOS'!$F$4:$F$19,MATCH($C148,'TECNICOS'!$B$4:$B$19,0)),"no")&lt;&gt;"sí","B",IF(MOD((IFERROR(INDEX('TECNICOS'!$G$4:$G$19,MATCH($C148,'TECNICOS'!$B$4:$B$19,0)),0)-1)+((DATE(VALUE(LEFT($A148,4)),1,4)-WEEKDAY(DATE(VALUE(LEFT($A148,4)),1,4),2)+1+(VALUE(MID($A148,7,2))-1)*7)-p_semana_referencia)/7,$F148)&lt;($F148-3),"B"&amp;(($F148-3)-MOD((IFERROR(INDEX('TECNICOS'!$G$4:$G$19,MATCH($C148,'TECNICOS'!$B$4:$B$19,0)),0)-1)+((DATE(VALUE(LEFT($A148,4)),1,4)-WEEKDAY(DATE(VALUE(LEFT($A148,4)),1,4),2)+1+(VALUE(MID($A148,7,2))-1)*7)-p_semana_referencia)/7,$F148)),"T"&amp;($F148-MOD((IFERROR(INDEX('TECNICOS'!$G$4:$G$19,MATCH($C148,'TECNICOS'!$B$4:$B$19,0)),0)-1)+((DATE(VALUE(LEFT($A148,4)),1,4)-WEEKDAY(DATE(VALUE(LEFT($A148,4)),1,4),2)+1+(VALUE(MID($A148,7,2))-1)*7)-p_semana_referencia)/7,$F148)))))</f>
        <v/>
      </c>
      <c r="H148" s="24">
        <f>IF(COUNTIFS('PLAN_VACACIONES'!$A$4:$A$103,$C148,'PLAN_VACACIONES'!$B$4:$B$103,"&lt;="&amp;$L148,'PLAN_VACACIONES'!$C$4:$C$103,"&gt;="&amp;$L148)&gt;0,"sí","no")</f>
        <v/>
      </c>
      <c r="I148" s="4" t="n"/>
      <c r="J148" s="24">
        <f>IF($I148&lt;&gt;"",$I148,IF($G148="","",IF($H148="sí","VAC",IF(LEFT($G148,1)="B","B",$G148))))</f>
        <v/>
      </c>
      <c r="K148" s="24">
        <f>IFERROR(INDEX('TECNICOS'!$E$4:$E$19,MATCH($C148,'TECNICOS'!$B$4:$B$19,0)),"")</f>
        <v/>
      </c>
      <c r="L148" s="30">
        <f>IF($A148="","",DATE(VALUE(LEFT($A148,4)),1,4)-WEEKDAY(DATE(VALUE(LEFT($A148,4)),1,4),2)+1+(VALUE(MID($A148,7,2))-1)*7+MATCH($B148,lista_dias,0)-1)</f>
        <v/>
      </c>
      <c r="M148" s="24">
        <f>IF(OR($J148="",ISNUMBER(MATCH($J148,lista_no_disponible,0)),(IFERROR(INDEX('CALENDARIO'!$C$15:$C$214,MATCH(TEXT($L148,"yyyy-mm-dd")&amp;"|"&amp;$D148&amp;"|"&amp;"",'CALENDARIO'!$G$15:$G$214,0)),IFERROR(INDEX('CALENDARIO'!$C$15:$C$214,MATCH(TEXT($L148,"yyyy-mm-dd")&amp;"|"&amp;$D148&amp;"|",'CALENDARIO'!$G$15:$G$214,0)),IFERROR(INDEX('CALENDARIO'!$C$15:$C$214,MATCH(TEXT($L148,"yyyy-mm-dd")&amp;"||",'CALENDARIO'!$G$15:$G$214,0)),INDEX(patronHabil,WEEKDAY($L148,2))))))&lt;&gt;"sí"),0,p_horas_jornada)</f>
        <v/>
      </c>
      <c r="N148" s="24">
        <f>$A148&amp;"|"&amp;$B148&amp;"|"&amp;$C148</f>
        <v/>
      </c>
      <c r="O148" s="24">
        <f>IFERROR(INDEX('CAT_TURNOS'!$C$4:$C$22,MATCH($J148,'CAT_TURNOS'!$A$4:$A$22,0)),"")</f>
        <v/>
      </c>
      <c r="P148" s="24">
        <f>IFERROR(INDEX('CAT_TURNOS'!$D$4:$D$22,MATCH($J148,'CAT_TURNOS'!$A$4:$A$22,0)),"")</f>
        <v/>
      </c>
      <c r="Q148" s="24">
        <f>IF(AND(LEFT($G148,1)="T",$H148="no"),"sí","no")</f>
        <v/>
      </c>
    </row>
    <row r="149">
      <c r="A149" s="5" t="inlineStr">
        <is>
          <t>2026-S31</t>
        </is>
      </c>
      <c r="B149" s="5" t="inlineStr">
        <is>
          <t>sábado</t>
        </is>
      </c>
      <c r="C149" s="5" t="inlineStr">
        <is>
          <t>Ana Sánchez</t>
        </is>
      </c>
      <c r="D149" s="24">
        <f>IFERROR(INDEX('TECNICOS'!$D$4:$D$19,MATCH($C149,'TECNICOS'!$B$4:$B$19,0)),"")</f>
        <v/>
      </c>
      <c r="E149" s="24">
        <f>IFERROR(INDEX('TECNICOS'!$C$4:$C$19,MATCH($C149,'TECNICOS'!$B$4:$B$19,0)),"")</f>
        <v/>
      </c>
      <c r="F149" s="24">
        <f>COUNTIFS('TECNICOS'!$F$4:$F$19,"sí",'TECNICOS'!$C$4:$C$19,$E149,'TECNICOS'!$D$4:$D$19,$D149,'TECNICOS'!$H$4:$H$19,"sí")</f>
        <v/>
      </c>
      <c r="G149" s="24">
        <f>IF(OR($C149="",$A149="",$B149="domingo",IFERROR(INDEX('TECNICOS'!$H$4:$H$19,MATCH($C149,'TECNICOS'!$B$4:$B$19,0)),"no")&lt;&gt;"sí"),"",IF(IFERROR(INDEX('TECNICOS'!$F$4:$F$19,MATCH($C149,'TECNICOS'!$B$4:$B$19,0)),"no")&lt;&gt;"sí","B",IF(MOD((IFERROR(INDEX('TECNICOS'!$G$4:$G$19,MATCH($C149,'TECNICOS'!$B$4:$B$19,0)),0)-1)+((DATE(VALUE(LEFT($A149,4)),1,4)-WEEKDAY(DATE(VALUE(LEFT($A149,4)),1,4),2)+1+(VALUE(MID($A149,7,2))-1)*7)-p_semana_referencia)/7,$F149)&lt;($F149-3),"B"&amp;(($F149-3)-MOD((IFERROR(INDEX('TECNICOS'!$G$4:$G$19,MATCH($C149,'TECNICOS'!$B$4:$B$19,0)),0)-1)+((DATE(VALUE(LEFT($A149,4)),1,4)-WEEKDAY(DATE(VALUE(LEFT($A149,4)),1,4),2)+1+(VALUE(MID($A149,7,2))-1)*7)-p_semana_referencia)/7,$F149)),"T"&amp;($F149-MOD((IFERROR(INDEX('TECNICOS'!$G$4:$G$19,MATCH($C149,'TECNICOS'!$B$4:$B$19,0)),0)-1)+((DATE(VALUE(LEFT($A149,4)),1,4)-WEEKDAY(DATE(VALUE(LEFT($A149,4)),1,4),2)+1+(VALUE(MID($A149,7,2))-1)*7)-p_semana_referencia)/7,$F149)))))</f>
        <v/>
      </c>
      <c r="H149" s="24">
        <f>IF(COUNTIFS('PLAN_VACACIONES'!$A$4:$A$103,$C149,'PLAN_VACACIONES'!$B$4:$B$103,"&lt;="&amp;$L149,'PLAN_VACACIONES'!$C$4:$C$103,"&gt;="&amp;$L149)&gt;0,"sí","no")</f>
        <v/>
      </c>
      <c r="I149" s="4" t="n"/>
      <c r="J149" s="24">
        <f>IF($I149&lt;&gt;"",$I149,IF($G149="","",IF($H149="sí","VAC",IF(LEFT($G149,1)="B","B",$G149))))</f>
        <v/>
      </c>
      <c r="K149" s="24">
        <f>IFERROR(INDEX('TECNICOS'!$E$4:$E$19,MATCH($C149,'TECNICOS'!$B$4:$B$19,0)),"")</f>
        <v/>
      </c>
      <c r="L149" s="30">
        <f>IF($A149="","",DATE(VALUE(LEFT($A149,4)),1,4)-WEEKDAY(DATE(VALUE(LEFT($A149,4)),1,4),2)+1+(VALUE(MID($A149,7,2))-1)*7+MATCH($B149,lista_dias,0)-1)</f>
        <v/>
      </c>
      <c r="M149" s="24">
        <f>IF(OR($J149="",ISNUMBER(MATCH($J149,lista_no_disponible,0)),(IFERROR(INDEX('CALENDARIO'!$C$15:$C$214,MATCH(TEXT($L149,"yyyy-mm-dd")&amp;"|"&amp;$D149&amp;"|"&amp;"",'CALENDARIO'!$G$15:$G$214,0)),IFERROR(INDEX('CALENDARIO'!$C$15:$C$214,MATCH(TEXT($L149,"yyyy-mm-dd")&amp;"|"&amp;$D149&amp;"|",'CALENDARIO'!$G$15:$G$214,0)),IFERROR(INDEX('CALENDARIO'!$C$15:$C$214,MATCH(TEXT($L149,"yyyy-mm-dd")&amp;"||",'CALENDARIO'!$G$15:$G$214,0)),INDEX(patronHabil,WEEKDAY($L149,2))))))&lt;&gt;"sí"),0,p_horas_jornada)</f>
        <v/>
      </c>
      <c r="N149" s="24">
        <f>$A149&amp;"|"&amp;$B149&amp;"|"&amp;$C149</f>
        <v/>
      </c>
      <c r="O149" s="24">
        <f>IFERROR(INDEX('CAT_TURNOS'!$C$4:$C$22,MATCH($J149,'CAT_TURNOS'!$A$4:$A$22,0)),"")</f>
        <v/>
      </c>
      <c r="P149" s="24">
        <f>IFERROR(INDEX('CAT_TURNOS'!$D$4:$D$22,MATCH($J149,'CAT_TURNOS'!$A$4:$A$22,0)),"")</f>
        <v/>
      </c>
      <c r="Q149" s="24">
        <f>IF(AND(LEFT($G149,1)="T",$H149="no"),"sí","no")</f>
        <v/>
      </c>
    </row>
    <row r="150">
      <c r="A150" s="5" t="inlineStr">
        <is>
          <t>2026-S31</t>
        </is>
      </c>
      <c r="B150" s="5" t="inlineStr">
        <is>
          <t>domingo</t>
        </is>
      </c>
      <c r="C150" s="5" t="inlineStr">
        <is>
          <t>Ana Sánchez</t>
        </is>
      </c>
      <c r="D150" s="24">
        <f>IFERROR(INDEX('TECNICOS'!$D$4:$D$19,MATCH($C150,'TECNICOS'!$B$4:$B$19,0)),"")</f>
        <v/>
      </c>
      <c r="E150" s="24">
        <f>IFERROR(INDEX('TECNICOS'!$C$4:$C$19,MATCH($C150,'TECNICOS'!$B$4:$B$19,0)),"")</f>
        <v/>
      </c>
      <c r="F150" s="24">
        <f>COUNTIFS('TECNICOS'!$F$4:$F$19,"sí",'TECNICOS'!$C$4:$C$19,$E150,'TECNICOS'!$D$4:$D$19,$D150,'TECNICOS'!$H$4:$H$19,"sí")</f>
        <v/>
      </c>
      <c r="G150" s="24">
        <f>IF(OR($C150="",$A150="",$B150="domingo",IFERROR(INDEX('TECNICOS'!$H$4:$H$19,MATCH($C150,'TECNICOS'!$B$4:$B$19,0)),"no")&lt;&gt;"sí"),"",IF(IFERROR(INDEX('TECNICOS'!$F$4:$F$19,MATCH($C150,'TECNICOS'!$B$4:$B$19,0)),"no")&lt;&gt;"sí","B",IF(MOD((IFERROR(INDEX('TECNICOS'!$G$4:$G$19,MATCH($C150,'TECNICOS'!$B$4:$B$19,0)),0)-1)+((DATE(VALUE(LEFT($A150,4)),1,4)-WEEKDAY(DATE(VALUE(LEFT($A150,4)),1,4),2)+1+(VALUE(MID($A150,7,2))-1)*7)-p_semana_referencia)/7,$F150)&lt;($F150-3),"B"&amp;(($F150-3)-MOD((IFERROR(INDEX('TECNICOS'!$G$4:$G$19,MATCH($C150,'TECNICOS'!$B$4:$B$19,0)),0)-1)+((DATE(VALUE(LEFT($A150,4)),1,4)-WEEKDAY(DATE(VALUE(LEFT($A150,4)),1,4),2)+1+(VALUE(MID($A150,7,2))-1)*7)-p_semana_referencia)/7,$F150)),"T"&amp;($F150-MOD((IFERROR(INDEX('TECNICOS'!$G$4:$G$19,MATCH($C150,'TECNICOS'!$B$4:$B$19,0)),0)-1)+((DATE(VALUE(LEFT($A150,4)),1,4)-WEEKDAY(DATE(VALUE(LEFT($A150,4)),1,4),2)+1+(VALUE(MID($A150,7,2))-1)*7)-p_semana_referencia)/7,$F150)))))</f>
        <v/>
      </c>
      <c r="H150" s="24">
        <f>IF(COUNTIFS('PLAN_VACACIONES'!$A$4:$A$103,$C150,'PLAN_VACACIONES'!$B$4:$B$103,"&lt;="&amp;$L150,'PLAN_VACACIONES'!$C$4:$C$103,"&gt;="&amp;$L150)&gt;0,"sí","no")</f>
        <v/>
      </c>
      <c r="I150" s="4" t="n"/>
      <c r="J150" s="24">
        <f>IF($I150&lt;&gt;"",$I150,IF($G150="","",IF($H150="sí","VAC",IF(LEFT($G150,1)="B","B",$G150))))</f>
        <v/>
      </c>
      <c r="K150" s="24">
        <f>IFERROR(INDEX('TECNICOS'!$E$4:$E$19,MATCH($C150,'TECNICOS'!$B$4:$B$19,0)),"")</f>
        <v/>
      </c>
      <c r="L150" s="30">
        <f>IF($A150="","",DATE(VALUE(LEFT($A150,4)),1,4)-WEEKDAY(DATE(VALUE(LEFT($A150,4)),1,4),2)+1+(VALUE(MID($A150,7,2))-1)*7+MATCH($B150,lista_dias,0)-1)</f>
        <v/>
      </c>
      <c r="M150" s="24">
        <f>IF(OR($J150="",ISNUMBER(MATCH($J150,lista_no_disponible,0)),(IFERROR(INDEX('CALENDARIO'!$C$15:$C$214,MATCH(TEXT($L150,"yyyy-mm-dd")&amp;"|"&amp;$D150&amp;"|"&amp;"",'CALENDARIO'!$G$15:$G$214,0)),IFERROR(INDEX('CALENDARIO'!$C$15:$C$214,MATCH(TEXT($L150,"yyyy-mm-dd")&amp;"|"&amp;$D150&amp;"|",'CALENDARIO'!$G$15:$G$214,0)),IFERROR(INDEX('CALENDARIO'!$C$15:$C$214,MATCH(TEXT($L150,"yyyy-mm-dd")&amp;"||",'CALENDARIO'!$G$15:$G$214,0)),INDEX(patronHabil,WEEKDAY($L150,2))))))&lt;&gt;"sí"),0,p_horas_jornada)</f>
        <v/>
      </c>
      <c r="N150" s="24">
        <f>$A150&amp;"|"&amp;$B150&amp;"|"&amp;$C150</f>
        <v/>
      </c>
      <c r="O150" s="24">
        <f>IFERROR(INDEX('CAT_TURNOS'!$C$4:$C$22,MATCH($J150,'CAT_TURNOS'!$A$4:$A$22,0)),"")</f>
        <v/>
      </c>
      <c r="P150" s="24">
        <f>IFERROR(INDEX('CAT_TURNOS'!$D$4:$D$22,MATCH($J150,'CAT_TURNOS'!$A$4:$A$22,0)),"")</f>
        <v/>
      </c>
      <c r="Q150" s="24">
        <f>IF(AND(LEFT($G150,1)="T",$H150="no"),"sí","no")</f>
        <v/>
      </c>
    </row>
    <row r="151">
      <c r="A151" s="5" t="inlineStr">
        <is>
          <t>2026-S31</t>
        </is>
      </c>
      <c r="B151" s="5" t="inlineStr">
        <is>
          <t>lunes</t>
        </is>
      </c>
      <c r="C151" s="5" t="inlineStr">
        <is>
          <t>David Torres</t>
        </is>
      </c>
      <c r="D151" s="24">
        <f>IFERROR(INDEX('TECNICOS'!$D$4:$D$19,MATCH($C151,'TECNICOS'!$B$4:$B$19,0)),"")</f>
        <v/>
      </c>
      <c r="E151" s="24">
        <f>IFERROR(INDEX('TECNICOS'!$C$4:$C$19,MATCH($C151,'TECNICOS'!$B$4:$B$19,0)),"")</f>
        <v/>
      </c>
      <c r="F151" s="24">
        <f>COUNTIFS('TECNICOS'!$F$4:$F$19,"sí",'TECNICOS'!$C$4:$C$19,$E151,'TECNICOS'!$D$4:$D$19,$D151,'TECNICOS'!$H$4:$H$19,"sí")</f>
        <v/>
      </c>
      <c r="G151" s="24">
        <f>IF(OR($C151="",$A151="",$B151="domingo",IFERROR(INDEX('TECNICOS'!$H$4:$H$19,MATCH($C151,'TECNICOS'!$B$4:$B$19,0)),"no")&lt;&gt;"sí"),"",IF(IFERROR(INDEX('TECNICOS'!$F$4:$F$19,MATCH($C151,'TECNICOS'!$B$4:$B$19,0)),"no")&lt;&gt;"sí","B",IF(MOD((IFERROR(INDEX('TECNICOS'!$G$4:$G$19,MATCH($C151,'TECNICOS'!$B$4:$B$19,0)),0)-1)+((DATE(VALUE(LEFT($A151,4)),1,4)-WEEKDAY(DATE(VALUE(LEFT($A151,4)),1,4),2)+1+(VALUE(MID($A151,7,2))-1)*7)-p_semana_referencia)/7,$F151)&lt;($F151-3),"B"&amp;(($F151-3)-MOD((IFERROR(INDEX('TECNICOS'!$G$4:$G$19,MATCH($C151,'TECNICOS'!$B$4:$B$19,0)),0)-1)+((DATE(VALUE(LEFT($A151,4)),1,4)-WEEKDAY(DATE(VALUE(LEFT($A151,4)),1,4),2)+1+(VALUE(MID($A151,7,2))-1)*7)-p_semana_referencia)/7,$F151)),"T"&amp;($F151-MOD((IFERROR(INDEX('TECNICOS'!$G$4:$G$19,MATCH($C151,'TECNICOS'!$B$4:$B$19,0)),0)-1)+((DATE(VALUE(LEFT($A151,4)),1,4)-WEEKDAY(DATE(VALUE(LEFT($A151,4)),1,4),2)+1+(VALUE(MID($A151,7,2))-1)*7)-p_semana_referencia)/7,$F151)))))</f>
        <v/>
      </c>
      <c r="H151" s="24">
        <f>IF(COUNTIFS('PLAN_VACACIONES'!$A$4:$A$103,$C151,'PLAN_VACACIONES'!$B$4:$B$103,"&lt;="&amp;$L151,'PLAN_VACACIONES'!$C$4:$C$103,"&gt;="&amp;$L151)&gt;0,"sí","no")</f>
        <v/>
      </c>
      <c r="I151" s="4" t="n"/>
      <c r="J151" s="24">
        <f>IF($I151&lt;&gt;"",$I151,IF($G151="","",IF($H151="sí","VAC",IF(LEFT($G151,1)="B","B",$G151))))</f>
        <v/>
      </c>
      <c r="K151" s="24">
        <f>IFERROR(INDEX('TECNICOS'!$E$4:$E$19,MATCH($C151,'TECNICOS'!$B$4:$B$19,0)),"")</f>
        <v/>
      </c>
      <c r="L151" s="30">
        <f>IF($A151="","",DATE(VALUE(LEFT($A151,4)),1,4)-WEEKDAY(DATE(VALUE(LEFT($A151,4)),1,4),2)+1+(VALUE(MID($A151,7,2))-1)*7+MATCH($B151,lista_dias,0)-1)</f>
        <v/>
      </c>
      <c r="M151" s="24">
        <f>IF(OR($J151="",ISNUMBER(MATCH($J151,lista_no_disponible,0)),(IFERROR(INDEX('CALENDARIO'!$C$15:$C$214,MATCH(TEXT($L151,"yyyy-mm-dd")&amp;"|"&amp;$D151&amp;"|"&amp;"",'CALENDARIO'!$G$15:$G$214,0)),IFERROR(INDEX('CALENDARIO'!$C$15:$C$214,MATCH(TEXT($L151,"yyyy-mm-dd")&amp;"|"&amp;$D151&amp;"|",'CALENDARIO'!$G$15:$G$214,0)),IFERROR(INDEX('CALENDARIO'!$C$15:$C$214,MATCH(TEXT($L151,"yyyy-mm-dd")&amp;"||",'CALENDARIO'!$G$15:$G$214,0)),INDEX(patronHabil,WEEKDAY($L151,2))))))&lt;&gt;"sí"),0,p_horas_jornada)</f>
        <v/>
      </c>
      <c r="N151" s="24">
        <f>$A151&amp;"|"&amp;$B151&amp;"|"&amp;$C151</f>
        <v/>
      </c>
      <c r="O151" s="24">
        <f>IFERROR(INDEX('CAT_TURNOS'!$C$4:$C$22,MATCH($J151,'CAT_TURNOS'!$A$4:$A$22,0)),"")</f>
        <v/>
      </c>
      <c r="P151" s="24">
        <f>IFERROR(INDEX('CAT_TURNOS'!$D$4:$D$22,MATCH($J151,'CAT_TURNOS'!$A$4:$A$22,0)),"")</f>
        <v/>
      </c>
      <c r="Q151" s="24">
        <f>IF(AND(LEFT($G151,1)="T",$H151="no"),"sí","no")</f>
        <v/>
      </c>
    </row>
    <row r="152">
      <c r="A152" s="5" t="inlineStr">
        <is>
          <t>2026-S31</t>
        </is>
      </c>
      <c r="B152" s="5" t="inlineStr">
        <is>
          <t>martes</t>
        </is>
      </c>
      <c r="C152" s="5" t="inlineStr">
        <is>
          <t>David Torres</t>
        </is>
      </c>
      <c r="D152" s="24">
        <f>IFERROR(INDEX('TECNICOS'!$D$4:$D$19,MATCH($C152,'TECNICOS'!$B$4:$B$19,0)),"")</f>
        <v/>
      </c>
      <c r="E152" s="24">
        <f>IFERROR(INDEX('TECNICOS'!$C$4:$C$19,MATCH($C152,'TECNICOS'!$B$4:$B$19,0)),"")</f>
        <v/>
      </c>
      <c r="F152" s="24">
        <f>COUNTIFS('TECNICOS'!$F$4:$F$19,"sí",'TECNICOS'!$C$4:$C$19,$E152,'TECNICOS'!$D$4:$D$19,$D152,'TECNICOS'!$H$4:$H$19,"sí")</f>
        <v/>
      </c>
      <c r="G152" s="24">
        <f>IF(OR($C152="",$A152="",$B152="domingo",IFERROR(INDEX('TECNICOS'!$H$4:$H$19,MATCH($C152,'TECNICOS'!$B$4:$B$19,0)),"no")&lt;&gt;"sí"),"",IF(IFERROR(INDEX('TECNICOS'!$F$4:$F$19,MATCH($C152,'TECNICOS'!$B$4:$B$19,0)),"no")&lt;&gt;"sí","B",IF(MOD((IFERROR(INDEX('TECNICOS'!$G$4:$G$19,MATCH($C152,'TECNICOS'!$B$4:$B$19,0)),0)-1)+((DATE(VALUE(LEFT($A152,4)),1,4)-WEEKDAY(DATE(VALUE(LEFT($A152,4)),1,4),2)+1+(VALUE(MID($A152,7,2))-1)*7)-p_semana_referencia)/7,$F152)&lt;($F152-3),"B"&amp;(($F152-3)-MOD((IFERROR(INDEX('TECNICOS'!$G$4:$G$19,MATCH($C152,'TECNICOS'!$B$4:$B$19,0)),0)-1)+((DATE(VALUE(LEFT($A152,4)),1,4)-WEEKDAY(DATE(VALUE(LEFT($A152,4)),1,4),2)+1+(VALUE(MID($A152,7,2))-1)*7)-p_semana_referencia)/7,$F152)),"T"&amp;($F152-MOD((IFERROR(INDEX('TECNICOS'!$G$4:$G$19,MATCH($C152,'TECNICOS'!$B$4:$B$19,0)),0)-1)+((DATE(VALUE(LEFT($A152,4)),1,4)-WEEKDAY(DATE(VALUE(LEFT($A152,4)),1,4),2)+1+(VALUE(MID($A152,7,2))-1)*7)-p_semana_referencia)/7,$F152)))))</f>
        <v/>
      </c>
      <c r="H152" s="24">
        <f>IF(COUNTIFS('PLAN_VACACIONES'!$A$4:$A$103,$C152,'PLAN_VACACIONES'!$B$4:$B$103,"&lt;="&amp;$L152,'PLAN_VACACIONES'!$C$4:$C$103,"&gt;="&amp;$L152)&gt;0,"sí","no")</f>
        <v/>
      </c>
      <c r="I152" s="4" t="n"/>
      <c r="J152" s="24">
        <f>IF($I152&lt;&gt;"",$I152,IF($G152="","",IF($H152="sí","VAC",IF(LEFT($G152,1)="B","B",$G152))))</f>
        <v/>
      </c>
      <c r="K152" s="24">
        <f>IFERROR(INDEX('TECNICOS'!$E$4:$E$19,MATCH($C152,'TECNICOS'!$B$4:$B$19,0)),"")</f>
        <v/>
      </c>
      <c r="L152" s="30">
        <f>IF($A152="","",DATE(VALUE(LEFT($A152,4)),1,4)-WEEKDAY(DATE(VALUE(LEFT($A152,4)),1,4),2)+1+(VALUE(MID($A152,7,2))-1)*7+MATCH($B152,lista_dias,0)-1)</f>
        <v/>
      </c>
      <c r="M152" s="24">
        <f>IF(OR($J152="",ISNUMBER(MATCH($J152,lista_no_disponible,0)),(IFERROR(INDEX('CALENDARIO'!$C$15:$C$214,MATCH(TEXT($L152,"yyyy-mm-dd")&amp;"|"&amp;$D152&amp;"|"&amp;"",'CALENDARIO'!$G$15:$G$214,0)),IFERROR(INDEX('CALENDARIO'!$C$15:$C$214,MATCH(TEXT($L152,"yyyy-mm-dd")&amp;"|"&amp;$D152&amp;"|",'CALENDARIO'!$G$15:$G$214,0)),IFERROR(INDEX('CALENDARIO'!$C$15:$C$214,MATCH(TEXT($L152,"yyyy-mm-dd")&amp;"||",'CALENDARIO'!$G$15:$G$214,0)),INDEX(patronHabil,WEEKDAY($L152,2))))))&lt;&gt;"sí"),0,p_horas_jornada)</f>
        <v/>
      </c>
      <c r="N152" s="24">
        <f>$A152&amp;"|"&amp;$B152&amp;"|"&amp;$C152</f>
        <v/>
      </c>
      <c r="O152" s="24">
        <f>IFERROR(INDEX('CAT_TURNOS'!$C$4:$C$22,MATCH($J152,'CAT_TURNOS'!$A$4:$A$22,0)),"")</f>
        <v/>
      </c>
      <c r="P152" s="24">
        <f>IFERROR(INDEX('CAT_TURNOS'!$D$4:$D$22,MATCH($J152,'CAT_TURNOS'!$A$4:$A$22,0)),"")</f>
        <v/>
      </c>
      <c r="Q152" s="24">
        <f>IF(AND(LEFT($G152,1)="T",$H152="no"),"sí","no")</f>
        <v/>
      </c>
    </row>
    <row r="153">
      <c r="A153" s="5" t="inlineStr">
        <is>
          <t>2026-S31</t>
        </is>
      </c>
      <c r="B153" s="5" t="inlineStr">
        <is>
          <t>miércoles</t>
        </is>
      </c>
      <c r="C153" s="5" t="inlineStr">
        <is>
          <t>David Torres</t>
        </is>
      </c>
      <c r="D153" s="24">
        <f>IFERROR(INDEX('TECNICOS'!$D$4:$D$19,MATCH($C153,'TECNICOS'!$B$4:$B$19,0)),"")</f>
        <v/>
      </c>
      <c r="E153" s="24">
        <f>IFERROR(INDEX('TECNICOS'!$C$4:$C$19,MATCH($C153,'TECNICOS'!$B$4:$B$19,0)),"")</f>
        <v/>
      </c>
      <c r="F153" s="24">
        <f>COUNTIFS('TECNICOS'!$F$4:$F$19,"sí",'TECNICOS'!$C$4:$C$19,$E153,'TECNICOS'!$D$4:$D$19,$D153,'TECNICOS'!$H$4:$H$19,"sí")</f>
        <v/>
      </c>
      <c r="G153" s="24">
        <f>IF(OR($C153="",$A153="",$B153="domingo",IFERROR(INDEX('TECNICOS'!$H$4:$H$19,MATCH($C153,'TECNICOS'!$B$4:$B$19,0)),"no")&lt;&gt;"sí"),"",IF(IFERROR(INDEX('TECNICOS'!$F$4:$F$19,MATCH($C153,'TECNICOS'!$B$4:$B$19,0)),"no")&lt;&gt;"sí","B",IF(MOD((IFERROR(INDEX('TECNICOS'!$G$4:$G$19,MATCH($C153,'TECNICOS'!$B$4:$B$19,0)),0)-1)+((DATE(VALUE(LEFT($A153,4)),1,4)-WEEKDAY(DATE(VALUE(LEFT($A153,4)),1,4),2)+1+(VALUE(MID($A153,7,2))-1)*7)-p_semana_referencia)/7,$F153)&lt;($F153-3),"B"&amp;(($F153-3)-MOD((IFERROR(INDEX('TECNICOS'!$G$4:$G$19,MATCH($C153,'TECNICOS'!$B$4:$B$19,0)),0)-1)+((DATE(VALUE(LEFT($A153,4)),1,4)-WEEKDAY(DATE(VALUE(LEFT($A153,4)),1,4),2)+1+(VALUE(MID($A153,7,2))-1)*7)-p_semana_referencia)/7,$F153)),"T"&amp;($F153-MOD((IFERROR(INDEX('TECNICOS'!$G$4:$G$19,MATCH($C153,'TECNICOS'!$B$4:$B$19,0)),0)-1)+((DATE(VALUE(LEFT($A153,4)),1,4)-WEEKDAY(DATE(VALUE(LEFT($A153,4)),1,4),2)+1+(VALUE(MID($A153,7,2))-1)*7)-p_semana_referencia)/7,$F153)))))</f>
        <v/>
      </c>
      <c r="H153" s="24">
        <f>IF(COUNTIFS('PLAN_VACACIONES'!$A$4:$A$103,$C153,'PLAN_VACACIONES'!$B$4:$B$103,"&lt;="&amp;$L153,'PLAN_VACACIONES'!$C$4:$C$103,"&gt;="&amp;$L153)&gt;0,"sí","no")</f>
        <v/>
      </c>
      <c r="I153" s="4" t="n"/>
      <c r="J153" s="24">
        <f>IF($I153&lt;&gt;"",$I153,IF($G153="","",IF($H153="sí","VAC",IF(LEFT($G153,1)="B","B",$G153))))</f>
        <v/>
      </c>
      <c r="K153" s="24">
        <f>IFERROR(INDEX('TECNICOS'!$E$4:$E$19,MATCH($C153,'TECNICOS'!$B$4:$B$19,0)),"")</f>
        <v/>
      </c>
      <c r="L153" s="30">
        <f>IF($A153="","",DATE(VALUE(LEFT($A153,4)),1,4)-WEEKDAY(DATE(VALUE(LEFT($A153,4)),1,4),2)+1+(VALUE(MID($A153,7,2))-1)*7+MATCH($B153,lista_dias,0)-1)</f>
        <v/>
      </c>
      <c r="M153" s="24">
        <f>IF(OR($J153="",ISNUMBER(MATCH($J153,lista_no_disponible,0)),(IFERROR(INDEX('CALENDARIO'!$C$15:$C$214,MATCH(TEXT($L153,"yyyy-mm-dd")&amp;"|"&amp;$D153&amp;"|"&amp;"",'CALENDARIO'!$G$15:$G$214,0)),IFERROR(INDEX('CALENDARIO'!$C$15:$C$214,MATCH(TEXT($L153,"yyyy-mm-dd")&amp;"|"&amp;$D153&amp;"|",'CALENDARIO'!$G$15:$G$214,0)),IFERROR(INDEX('CALENDARIO'!$C$15:$C$214,MATCH(TEXT($L153,"yyyy-mm-dd")&amp;"||",'CALENDARIO'!$G$15:$G$214,0)),INDEX(patronHabil,WEEKDAY($L153,2))))))&lt;&gt;"sí"),0,p_horas_jornada)</f>
        <v/>
      </c>
      <c r="N153" s="24">
        <f>$A153&amp;"|"&amp;$B153&amp;"|"&amp;$C153</f>
        <v/>
      </c>
      <c r="O153" s="24">
        <f>IFERROR(INDEX('CAT_TURNOS'!$C$4:$C$22,MATCH($J153,'CAT_TURNOS'!$A$4:$A$22,0)),"")</f>
        <v/>
      </c>
      <c r="P153" s="24">
        <f>IFERROR(INDEX('CAT_TURNOS'!$D$4:$D$22,MATCH($J153,'CAT_TURNOS'!$A$4:$A$22,0)),"")</f>
        <v/>
      </c>
      <c r="Q153" s="24">
        <f>IF(AND(LEFT($G153,1)="T",$H153="no"),"sí","no")</f>
        <v/>
      </c>
    </row>
    <row r="154">
      <c r="A154" s="5" t="inlineStr">
        <is>
          <t>2026-S31</t>
        </is>
      </c>
      <c r="B154" s="5" t="inlineStr">
        <is>
          <t>jueves</t>
        </is>
      </c>
      <c r="C154" s="5" t="inlineStr">
        <is>
          <t>David Torres</t>
        </is>
      </c>
      <c r="D154" s="24">
        <f>IFERROR(INDEX('TECNICOS'!$D$4:$D$19,MATCH($C154,'TECNICOS'!$B$4:$B$19,0)),"")</f>
        <v/>
      </c>
      <c r="E154" s="24">
        <f>IFERROR(INDEX('TECNICOS'!$C$4:$C$19,MATCH($C154,'TECNICOS'!$B$4:$B$19,0)),"")</f>
        <v/>
      </c>
      <c r="F154" s="24">
        <f>COUNTIFS('TECNICOS'!$F$4:$F$19,"sí",'TECNICOS'!$C$4:$C$19,$E154,'TECNICOS'!$D$4:$D$19,$D154,'TECNICOS'!$H$4:$H$19,"sí")</f>
        <v/>
      </c>
      <c r="G154" s="24">
        <f>IF(OR($C154="",$A154="",$B154="domingo",IFERROR(INDEX('TECNICOS'!$H$4:$H$19,MATCH($C154,'TECNICOS'!$B$4:$B$19,0)),"no")&lt;&gt;"sí"),"",IF(IFERROR(INDEX('TECNICOS'!$F$4:$F$19,MATCH($C154,'TECNICOS'!$B$4:$B$19,0)),"no")&lt;&gt;"sí","B",IF(MOD((IFERROR(INDEX('TECNICOS'!$G$4:$G$19,MATCH($C154,'TECNICOS'!$B$4:$B$19,0)),0)-1)+((DATE(VALUE(LEFT($A154,4)),1,4)-WEEKDAY(DATE(VALUE(LEFT($A154,4)),1,4),2)+1+(VALUE(MID($A154,7,2))-1)*7)-p_semana_referencia)/7,$F154)&lt;($F154-3),"B"&amp;(($F154-3)-MOD((IFERROR(INDEX('TECNICOS'!$G$4:$G$19,MATCH($C154,'TECNICOS'!$B$4:$B$19,0)),0)-1)+((DATE(VALUE(LEFT($A154,4)),1,4)-WEEKDAY(DATE(VALUE(LEFT($A154,4)),1,4),2)+1+(VALUE(MID($A154,7,2))-1)*7)-p_semana_referencia)/7,$F154)),"T"&amp;($F154-MOD((IFERROR(INDEX('TECNICOS'!$G$4:$G$19,MATCH($C154,'TECNICOS'!$B$4:$B$19,0)),0)-1)+((DATE(VALUE(LEFT($A154,4)),1,4)-WEEKDAY(DATE(VALUE(LEFT($A154,4)),1,4),2)+1+(VALUE(MID($A154,7,2))-1)*7)-p_semana_referencia)/7,$F154)))))</f>
        <v/>
      </c>
      <c r="H154" s="24">
        <f>IF(COUNTIFS('PLAN_VACACIONES'!$A$4:$A$103,$C154,'PLAN_VACACIONES'!$B$4:$B$103,"&lt;="&amp;$L154,'PLAN_VACACIONES'!$C$4:$C$103,"&gt;="&amp;$L154)&gt;0,"sí","no")</f>
        <v/>
      </c>
      <c r="I154" s="4" t="n"/>
      <c r="J154" s="24">
        <f>IF($I154&lt;&gt;"",$I154,IF($G154="","",IF($H154="sí","VAC",IF(LEFT($G154,1)="B","B",$G154))))</f>
        <v/>
      </c>
      <c r="K154" s="24">
        <f>IFERROR(INDEX('TECNICOS'!$E$4:$E$19,MATCH($C154,'TECNICOS'!$B$4:$B$19,0)),"")</f>
        <v/>
      </c>
      <c r="L154" s="30">
        <f>IF($A154="","",DATE(VALUE(LEFT($A154,4)),1,4)-WEEKDAY(DATE(VALUE(LEFT($A154,4)),1,4),2)+1+(VALUE(MID($A154,7,2))-1)*7+MATCH($B154,lista_dias,0)-1)</f>
        <v/>
      </c>
      <c r="M154" s="24">
        <f>IF(OR($J154="",ISNUMBER(MATCH($J154,lista_no_disponible,0)),(IFERROR(INDEX('CALENDARIO'!$C$15:$C$214,MATCH(TEXT($L154,"yyyy-mm-dd")&amp;"|"&amp;$D154&amp;"|"&amp;"",'CALENDARIO'!$G$15:$G$214,0)),IFERROR(INDEX('CALENDARIO'!$C$15:$C$214,MATCH(TEXT($L154,"yyyy-mm-dd")&amp;"|"&amp;$D154&amp;"|",'CALENDARIO'!$G$15:$G$214,0)),IFERROR(INDEX('CALENDARIO'!$C$15:$C$214,MATCH(TEXT($L154,"yyyy-mm-dd")&amp;"||",'CALENDARIO'!$G$15:$G$214,0)),INDEX(patronHabil,WEEKDAY($L154,2))))))&lt;&gt;"sí"),0,p_horas_jornada)</f>
        <v/>
      </c>
      <c r="N154" s="24">
        <f>$A154&amp;"|"&amp;$B154&amp;"|"&amp;$C154</f>
        <v/>
      </c>
      <c r="O154" s="24">
        <f>IFERROR(INDEX('CAT_TURNOS'!$C$4:$C$22,MATCH($J154,'CAT_TURNOS'!$A$4:$A$22,0)),"")</f>
        <v/>
      </c>
      <c r="P154" s="24">
        <f>IFERROR(INDEX('CAT_TURNOS'!$D$4:$D$22,MATCH($J154,'CAT_TURNOS'!$A$4:$A$22,0)),"")</f>
        <v/>
      </c>
      <c r="Q154" s="24">
        <f>IF(AND(LEFT($G154,1)="T",$H154="no"),"sí","no")</f>
        <v/>
      </c>
    </row>
    <row r="155">
      <c r="A155" s="5" t="inlineStr">
        <is>
          <t>2026-S31</t>
        </is>
      </c>
      <c r="B155" s="5" t="inlineStr">
        <is>
          <t>viernes</t>
        </is>
      </c>
      <c r="C155" s="5" t="inlineStr">
        <is>
          <t>David Torres</t>
        </is>
      </c>
      <c r="D155" s="24">
        <f>IFERROR(INDEX('TECNICOS'!$D$4:$D$19,MATCH($C155,'TECNICOS'!$B$4:$B$19,0)),"")</f>
        <v/>
      </c>
      <c r="E155" s="24">
        <f>IFERROR(INDEX('TECNICOS'!$C$4:$C$19,MATCH($C155,'TECNICOS'!$B$4:$B$19,0)),"")</f>
        <v/>
      </c>
      <c r="F155" s="24">
        <f>COUNTIFS('TECNICOS'!$F$4:$F$19,"sí",'TECNICOS'!$C$4:$C$19,$E155,'TECNICOS'!$D$4:$D$19,$D155,'TECNICOS'!$H$4:$H$19,"sí")</f>
        <v/>
      </c>
      <c r="G155" s="24">
        <f>IF(OR($C155="",$A155="",$B155="domingo",IFERROR(INDEX('TECNICOS'!$H$4:$H$19,MATCH($C155,'TECNICOS'!$B$4:$B$19,0)),"no")&lt;&gt;"sí"),"",IF(IFERROR(INDEX('TECNICOS'!$F$4:$F$19,MATCH($C155,'TECNICOS'!$B$4:$B$19,0)),"no")&lt;&gt;"sí","B",IF(MOD((IFERROR(INDEX('TECNICOS'!$G$4:$G$19,MATCH($C155,'TECNICOS'!$B$4:$B$19,0)),0)-1)+((DATE(VALUE(LEFT($A155,4)),1,4)-WEEKDAY(DATE(VALUE(LEFT($A155,4)),1,4),2)+1+(VALUE(MID($A155,7,2))-1)*7)-p_semana_referencia)/7,$F155)&lt;($F155-3),"B"&amp;(($F155-3)-MOD((IFERROR(INDEX('TECNICOS'!$G$4:$G$19,MATCH($C155,'TECNICOS'!$B$4:$B$19,0)),0)-1)+((DATE(VALUE(LEFT($A155,4)),1,4)-WEEKDAY(DATE(VALUE(LEFT($A155,4)),1,4),2)+1+(VALUE(MID($A155,7,2))-1)*7)-p_semana_referencia)/7,$F155)),"T"&amp;($F155-MOD((IFERROR(INDEX('TECNICOS'!$G$4:$G$19,MATCH($C155,'TECNICOS'!$B$4:$B$19,0)),0)-1)+((DATE(VALUE(LEFT($A155,4)),1,4)-WEEKDAY(DATE(VALUE(LEFT($A155,4)),1,4),2)+1+(VALUE(MID($A155,7,2))-1)*7)-p_semana_referencia)/7,$F155)))))</f>
        <v/>
      </c>
      <c r="H155" s="24">
        <f>IF(COUNTIFS('PLAN_VACACIONES'!$A$4:$A$103,$C155,'PLAN_VACACIONES'!$B$4:$B$103,"&lt;="&amp;$L155,'PLAN_VACACIONES'!$C$4:$C$103,"&gt;="&amp;$L155)&gt;0,"sí","no")</f>
        <v/>
      </c>
      <c r="I155" s="4" t="n"/>
      <c r="J155" s="24">
        <f>IF($I155&lt;&gt;"",$I155,IF($G155="","",IF($H155="sí","VAC",IF(LEFT($G155,1)="B","B",$G155))))</f>
        <v/>
      </c>
      <c r="K155" s="24">
        <f>IFERROR(INDEX('TECNICOS'!$E$4:$E$19,MATCH($C155,'TECNICOS'!$B$4:$B$19,0)),"")</f>
        <v/>
      </c>
      <c r="L155" s="30">
        <f>IF($A155="","",DATE(VALUE(LEFT($A155,4)),1,4)-WEEKDAY(DATE(VALUE(LEFT($A155,4)),1,4),2)+1+(VALUE(MID($A155,7,2))-1)*7+MATCH($B155,lista_dias,0)-1)</f>
        <v/>
      </c>
      <c r="M155" s="24">
        <f>IF(OR($J155="",ISNUMBER(MATCH($J155,lista_no_disponible,0)),(IFERROR(INDEX('CALENDARIO'!$C$15:$C$214,MATCH(TEXT($L155,"yyyy-mm-dd")&amp;"|"&amp;$D155&amp;"|"&amp;"",'CALENDARIO'!$G$15:$G$214,0)),IFERROR(INDEX('CALENDARIO'!$C$15:$C$214,MATCH(TEXT($L155,"yyyy-mm-dd")&amp;"|"&amp;$D155&amp;"|",'CALENDARIO'!$G$15:$G$214,0)),IFERROR(INDEX('CALENDARIO'!$C$15:$C$214,MATCH(TEXT($L155,"yyyy-mm-dd")&amp;"||",'CALENDARIO'!$G$15:$G$214,0)),INDEX(patronHabil,WEEKDAY($L155,2))))))&lt;&gt;"sí"),0,p_horas_jornada)</f>
        <v/>
      </c>
      <c r="N155" s="24">
        <f>$A155&amp;"|"&amp;$B155&amp;"|"&amp;$C155</f>
        <v/>
      </c>
      <c r="O155" s="24">
        <f>IFERROR(INDEX('CAT_TURNOS'!$C$4:$C$22,MATCH($J155,'CAT_TURNOS'!$A$4:$A$22,0)),"")</f>
        <v/>
      </c>
      <c r="P155" s="24">
        <f>IFERROR(INDEX('CAT_TURNOS'!$D$4:$D$22,MATCH($J155,'CAT_TURNOS'!$A$4:$A$22,0)),"")</f>
        <v/>
      </c>
      <c r="Q155" s="24">
        <f>IF(AND(LEFT($G155,1)="T",$H155="no"),"sí","no")</f>
        <v/>
      </c>
    </row>
    <row r="156">
      <c r="A156" s="5" t="inlineStr">
        <is>
          <t>2026-S31</t>
        </is>
      </c>
      <c r="B156" s="5" t="inlineStr">
        <is>
          <t>sábado</t>
        </is>
      </c>
      <c r="C156" s="5" t="inlineStr">
        <is>
          <t>David Torres</t>
        </is>
      </c>
      <c r="D156" s="24">
        <f>IFERROR(INDEX('TECNICOS'!$D$4:$D$19,MATCH($C156,'TECNICOS'!$B$4:$B$19,0)),"")</f>
        <v/>
      </c>
      <c r="E156" s="24">
        <f>IFERROR(INDEX('TECNICOS'!$C$4:$C$19,MATCH($C156,'TECNICOS'!$B$4:$B$19,0)),"")</f>
        <v/>
      </c>
      <c r="F156" s="24">
        <f>COUNTIFS('TECNICOS'!$F$4:$F$19,"sí",'TECNICOS'!$C$4:$C$19,$E156,'TECNICOS'!$D$4:$D$19,$D156,'TECNICOS'!$H$4:$H$19,"sí")</f>
        <v/>
      </c>
      <c r="G156" s="24">
        <f>IF(OR($C156="",$A156="",$B156="domingo",IFERROR(INDEX('TECNICOS'!$H$4:$H$19,MATCH($C156,'TECNICOS'!$B$4:$B$19,0)),"no")&lt;&gt;"sí"),"",IF(IFERROR(INDEX('TECNICOS'!$F$4:$F$19,MATCH($C156,'TECNICOS'!$B$4:$B$19,0)),"no")&lt;&gt;"sí","B",IF(MOD((IFERROR(INDEX('TECNICOS'!$G$4:$G$19,MATCH($C156,'TECNICOS'!$B$4:$B$19,0)),0)-1)+((DATE(VALUE(LEFT($A156,4)),1,4)-WEEKDAY(DATE(VALUE(LEFT($A156,4)),1,4),2)+1+(VALUE(MID($A156,7,2))-1)*7)-p_semana_referencia)/7,$F156)&lt;($F156-3),"B"&amp;(($F156-3)-MOD((IFERROR(INDEX('TECNICOS'!$G$4:$G$19,MATCH($C156,'TECNICOS'!$B$4:$B$19,0)),0)-1)+((DATE(VALUE(LEFT($A156,4)),1,4)-WEEKDAY(DATE(VALUE(LEFT($A156,4)),1,4),2)+1+(VALUE(MID($A156,7,2))-1)*7)-p_semana_referencia)/7,$F156)),"T"&amp;($F156-MOD((IFERROR(INDEX('TECNICOS'!$G$4:$G$19,MATCH($C156,'TECNICOS'!$B$4:$B$19,0)),0)-1)+((DATE(VALUE(LEFT($A156,4)),1,4)-WEEKDAY(DATE(VALUE(LEFT($A156,4)),1,4),2)+1+(VALUE(MID($A156,7,2))-1)*7)-p_semana_referencia)/7,$F156)))))</f>
        <v/>
      </c>
      <c r="H156" s="24">
        <f>IF(COUNTIFS('PLAN_VACACIONES'!$A$4:$A$103,$C156,'PLAN_VACACIONES'!$B$4:$B$103,"&lt;="&amp;$L156,'PLAN_VACACIONES'!$C$4:$C$103,"&gt;="&amp;$L156)&gt;0,"sí","no")</f>
        <v/>
      </c>
      <c r="I156" s="4" t="n"/>
      <c r="J156" s="24">
        <f>IF($I156&lt;&gt;"",$I156,IF($G156="","",IF($H156="sí","VAC",IF(LEFT($G156,1)="B","B",$G156))))</f>
        <v/>
      </c>
      <c r="K156" s="24">
        <f>IFERROR(INDEX('TECNICOS'!$E$4:$E$19,MATCH($C156,'TECNICOS'!$B$4:$B$19,0)),"")</f>
        <v/>
      </c>
      <c r="L156" s="30">
        <f>IF($A156="","",DATE(VALUE(LEFT($A156,4)),1,4)-WEEKDAY(DATE(VALUE(LEFT($A156,4)),1,4),2)+1+(VALUE(MID($A156,7,2))-1)*7+MATCH($B156,lista_dias,0)-1)</f>
        <v/>
      </c>
      <c r="M156" s="24">
        <f>IF(OR($J156="",ISNUMBER(MATCH($J156,lista_no_disponible,0)),(IFERROR(INDEX('CALENDARIO'!$C$15:$C$214,MATCH(TEXT($L156,"yyyy-mm-dd")&amp;"|"&amp;$D156&amp;"|"&amp;"",'CALENDARIO'!$G$15:$G$214,0)),IFERROR(INDEX('CALENDARIO'!$C$15:$C$214,MATCH(TEXT($L156,"yyyy-mm-dd")&amp;"|"&amp;$D156&amp;"|",'CALENDARIO'!$G$15:$G$214,0)),IFERROR(INDEX('CALENDARIO'!$C$15:$C$214,MATCH(TEXT($L156,"yyyy-mm-dd")&amp;"||",'CALENDARIO'!$G$15:$G$214,0)),INDEX(patronHabil,WEEKDAY($L156,2))))))&lt;&gt;"sí"),0,p_horas_jornada)</f>
        <v/>
      </c>
      <c r="N156" s="24">
        <f>$A156&amp;"|"&amp;$B156&amp;"|"&amp;$C156</f>
        <v/>
      </c>
      <c r="O156" s="24">
        <f>IFERROR(INDEX('CAT_TURNOS'!$C$4:$C$22,MATCH($J156,'CAT_TURNOS'!$A$4:$A$22,0)),"")</f>
        <v/>
      </c>
      <c r="P156" s="24">
        <f>IFERROR(INDEX('CAT_TURNOS'!$D$4:$D$22,MATCH($J156,'CAT_TURNOS'!$A$4:$A$22,0)),"")</f>
        <v/>
      </c>
      <c r="Q156" s="24">
        <f>IF(AND(LEFT($G156,1)="T",$H156="no"),"sí","no")</f>
        <v/>
      </c>
    </row>
    <row r="157">
      <c r="A157" s="5" t="inlineStr">
        <is>
          <t>2026-S31</t>
        </is>
      </c>
      <c r="B157" s="5" t="inlineStr">
        <is>
          <t>domingo</t>
        </is>
      </c>
      <c r="C157" s="5" t="inlineStr">
        <is>
          <t>David Torres</t>
        </is>
      </c>
      <c r="D157" s="24">
        <f>IFERROR(INDEX('TECNICOS'!$D$4:$D$19,MATCH($C157,'TECNICOS'!$B$4:$B$19,0)),"")</f>
        <v/>
      </c>
      <c r="E157" s="24">
        <f>IFERROR(INDEX('TECNICOS'!$C$4:$C$19,MATCH($C157,'TECNICOS'!$B$4:$B$19,0)),"")</f>
        <v/>
      </c>
      <c r="F157" s="24">
        <f>COUNTIFS('TECNICOS'!$F$4:$F$19,"sí",'TECNICOS'!$C$4:$C$19,$E157,'TECNICOS'!$D$4:$D$19,$D157,'TECNICOS'!$H$4:$H$19,"sí")</f>
        <v/>
      </c>
      <c r="G157" s="24">
        <f>IF(OR($C157="",$A157="",$B157="domingo",IFERROR(INDEX('TECNICOS'!$H$4:$H$19,MATCH($C157,'TECNICOS'!$B$4:$B$19,0)),"no")&lt;&gt;"sí"),"",IF(IFERROR(INDEX('TECNICOS'!$F$4:$F$19,MATCH($C157,'TECNICOS'!$B$4:$B$19,0)),"no")&lt;&gt;"sí","B",IF(MOD((IFERROR(INDEX('TECNICOS'!$G$4:$G$19,MATCH($C157,'TECNICOS'!$B$4:$B$19,0)),0)-1)+((DATE(VALUE(LEFT($A157,4)),1,4)-WEEKDAY(DATE(VALUE(LEFT($A157,4)),1,4),2)+1+(VALUE(MID($A157,7,2))-1)*7)-p_semana_referencia)/7,$F157)&lt;($F157-3),"B"&amp;(($F157-3)-MOD((IFERROR(INDEX('TECNICOS'!$G$4:$G$19,MATCH($C157,'TECNICOS'!$B$4:$B$19,0)),0)-1)+((DATE(VALUE(LEFT($A157,4)),1,4)-WEEKDAY(DATE(VALUE(LEFT($A157,4)),1,4),2)+1+(VALUE(MID($A157,7,2))-1)*7)-p_semana_referencia)/7,$F157)),"T"&amp;($F157-MOD((IFERROR(INDEX('TECNICOS'!$G$4:$G$19,MATCH($C157,'TECNICOS'!$B$4:$B$19,0)),0)-1)+((DATE(VALUE(LEFT($A157,4)),1,4)-WEEKDAY(DATE(VALUE(LEFT($A157,4)),1,4),2)+1+(VALUE(MID($A157,7,2))-1)*7)-p_semana_referencia)/7,$F157)))))</f>
        <v/>
      </c>
      <c r="H157" s="24">
        <f>IF(COUNTIFS('PLAN_VACACIONES'!$A$4:$A$103,$C157,'PLAN_VACACIONES'!$B$4:$B$103,"&lt;="&amp;$L157,'PLAN_VACACIONES'!$C$4:$C$103,"&gt;="&amp;$L157)&gt;0,"sí","no")</f>
        <v/>
      </c>
      <c r="I157" s="4" t="n"/>
      <c r="J157" s="24">
        <f>IF($I157&lt;&gt;"",$I157,IF($G157="","",IF($H157="sí","VAC",IF(LEFT($G157,1)="B","B",$G157))))</f>
        <v/>
      </c>
      <c r="K157" s="24">
        <f>IFERROR(INDEX('TECNICOS'!$E$4:$E$19,MATCH($C157,'TECNICOS'!$B$4:$B$19,0)),"")</f>
        <v/>
      </c>
      <c r="L157" s="30">
        <f>IF($A157="","",DATE(VALUE(LEFT($A157,4)),1,4)-WEEKDAY(DATE(VALUE(LEFT($A157,4)),1,4),2)+1+(VALUE(MID($A157,7,2))-1)*7+MATCH($B157,lista_dias,0)-1)</f>
        <v/>
      </c>
      <c r="M157" s="24">
        <f>IF(OR($J157="",ISNUMBER(MATCH($J157,lista_no_disponible,0)),(IFERROR(INDEX('CALENDARIO'!$C$15:$C$214,MATCH(TEXT($L157,"yyyy-mm-dd")&amp;"|"&amp;$D157&amp;"|"&amp;"",'CALENDARIO'!$G$15:$G$214,0)),IFERROR(INDEX('CALENDARIO'!$C$15:$C$214,MATCH(TEXT($L157,"yyyy-mm-dd")&amp;"|"&amp;$D157&amp;"|",'CALENDARIO'!$G$15:$G$214,0)),IFERROR(INDEX('CALENDARIO'!$C$15:$C$214,MATCH(TEXT($L157,"yyyy-mm-dd")&amp;"||",'CALENDARIO'!$G$15:$G$214,0)),INDEX(patronHabil,WEEKDAY($L157,2))))))&lt;&gt;"sí"),0,p_horas_jornada)</f>
        <v/>
      </c>
      <c r="N157" s="24">
        <f>$A157&amp;"|"&amp;$B157&amp;"|"&amp;$C157</f>
        <v/>
      </c>
      <c r="O157" s="24">
        <f>IFERROR(INDEX('CAT_TURNOS'!$C$4:$C$22,MATCH($J157,'CAT_TURNOS'!$A$4:$A$22,0)),"")</f>
        <v/>
      </c>
      <c r="P157" s="24">
        <f>IFERROR(INDEX('CAT_TURNOS'!$D$4:$D$22,MATCH($J157,'CAT_TURNOS'!$A$4:$A$22,0)),"")</f>
        <v/>
      </c>
      <c r="Q157" s="24">
        <f>IF(AND(LEFT($G157,1)="T",$H157="no"),"sí","no")</f>
        <v/>
      </c>
    </row>
    <row r="158">
      <c r="A158" s="5" t="inlineStr">
        <is>
          <t>2026-S31</t>
        </is>
      </c>
      <c r="B158" s="5" t="inlineStr">
        <is>
          <t>lunes</t>
        </is>
      </c>
      <c r="C158" s="5" t="inlineStr">
        <is>
          <t>Francisco Ramírez</t>
        </is>
      </c>
      <c r="D158" s="24">
        <f>IFERROR(INDEX('TECNICOS'!$D$4:$D$19,MATCH($C158,'TECNICOS'!$B$4:$B$19,0)),"")</f>
        <v/>
      </c>
      <c r="E158" s="24">
        <f>IFERROR(INDEX('TECNICOS'!$C$4:$C$19,MATCH($C158,'TECNICOS'!$B$4:$B$19,0)),"")</f>
        <v/>
      </c>
      <c r="F158" s="24">
        <f>COUNTIFS('TECNICOS'!$F$4:$F$19,"sí",'TECNICOS'!$C$4:$C$19,$E158,'TECNICOS'!$D$4:$D$19,$D158,'TECNICOS'!$H$4:$H$19,"sí")</f>
        <v/>
      </c>
      <c r="G158" s="24">
        <f>IF(OR($C158="",$A158="",$B158="domingo",IFERROR(INDEX('TECNICOS'!$H$4:$H$19,MATCH($C158,'TECNICOS'!$B$4:$B$19,0)),"no")&lt;&gt;"sí"),"",IF(IFERROR(INDEX('TECNICOS'!$F$4:$F$19,MATCH($C158,'TECNICOS'!$B$4:$B$19,0)),"no")&lt;&gt;"sí","B",IF(MOD((IFERROR(INDEX('TECNICOS'!$G$4:$G$19,MATCH($C158,'TECNICOS'!$B$4:$B$19,0)),0)-1)+((DATE(VALUE(LEFT($A158,4)),1,4)-WEEKDAY(DATE(VALUE(LEFT($A158,4)),1,4),2)+1+(VALUE(MID($A158,7,2))-1)*7)-p_semana_referencia)/7,$F158)&lt;($F158-3),"B"&amp;(($F158-3)-MOD((IFERROR(INDEX('TECNICOS'!$G$4:$G$19,MATCH($C158,'TECNICOS'!$B$4:$B$19,0)),0)-1)+((DATE(VALUE(LEFT($A158,4)),1,4)-WEEKDAY(DATE(VALUE(LEFT($A158,4)),1,4),2)+1+(VALUE(MID($A158,7,2))-1)*7)-p_semana_referencia)/7,$F158)),"T"&amp;($F158-MOD((IFERROR(INDEX('TECNICOS'!$G$4:$G$19,MATCH($C158,'TECNICOS'!$B$4:$B$19,0)),0)-1)+((DATE(VALUE(LEFT($A158,4)),1,4)-WEEKDAY(DATE(VALUE(LEFT($A158,4)),1,4),2)+1+(VALUE(MID($A158,7,2))-1)*7)-p_semana_referencia)/7,$F158)))))</f>
        <v/>
      </c>
      <c r="H158" s="24">
        <f>IF(COUNTIFS('PLAN_VACACIONES'!$A$4:$A$103,$C158,'PLAN_VACACIONES'!$B$4:$B$103,"&lt;="&amp;$L158,'PLAN_VACACIONES'!$C$4:$C$103,"&gt;="&amp;$L158)&gt;0,"sí","no")</f>
        <v/>
      </c>
      <c r="I158" s="4" t="n"/>
      <c r="J158" s="24">
        <f>IF($I158&lt;&gt;"",$I158,IF($G158="","",IF($H158="sí","VAC",IF(LEFT($G158,1)="B","B",$G158))))</f>
        <v/>
      </c>
      <c r="K158" s="24">
        <f>IFERROR(INDEX('TECNICOS'!$E$4:$E$19,MATCH($C158,'TECNICOS'!$B$4:$B$19,0)),"")</f>
        <v/>
      </c>
      <c r="L158" s="30">
        <f>IF($A158="","",DATE(VALUE(LEFT($A158,4)),1,4)-WEEKDAY(DATE(VALUE(LEFT($A158,4)),1,4),2)+1+(VALUE(MID($A158,7,2))-1)*7+MATCH($B158,lista_dias,0)-1)</f>
        <v/>
      </c>
      <c r="M158" s="24">
        <f>IF(OR($J158="",ISNUMBER(MATCH($J158,lista_no_disponible,0)),(IFERROR(INDEX('CALENDARIO'!$C$15:$C$214,MATCH(TEXT($L158,"yyyy-mm-dd")&amp;"|"&amp;$D158&amp;"|"&amp;"",'CALENDARIO'!$G$15:$G$214,0)),IFERROR(INDEX('CALENDARIO'!$C$15:$C$214,MATCH(TEXT($L158,"yyyy-mm-dd")&amp;"|"&amp;$D158&amp;"|",'CALENDARIO'!$G$15:$G$214,0)),IFERROR(INDEX('CALENDARIO'!$C$15:$C$214,MATCH(TEXT($L158,"yyyy-mm-dd")&amp;"||",'CALENDARIO'!$G$15:$G$214,0)),INDEX(patronHabil,WEEKDAY($L158,2))))))&lt;&gt;"sí"),0,p_horas_jornada)</f>
        <v/>
      </c>
      <c r="N158" s="24">
        <f>$A158&amp;"|"&amp;$B158&amp;"|"&amp;$C158</f>
        <v/>
      </c>
      <c r="O158" s="24">
        <f>IFERROR(INDEX('CAT_TURNOS'!$C$4:$C$22,MATCH($J158,'CAT_TURNOS'!$A$4:$A$22,0)),"")</f>
        <v/>
      </c>
      <c r="P158" s="24">
        <f>IFERROR(INDEX('CAT_TURNOS'!$D$4:$D$22,MATCH($J158,'CAT_TURNOS'!$A$4:$A$22,0)),"")</f>
        <v/>
      </c>
      <c r="Q158" s="24">
        <f>IF(AND(LEFT($G158,1)="T",$H158="no"),"sí","no")</f>
        <v/>
      </c>
    </row>
    <row r="159">
      <c r="A159" s="5" t="inlineStr">
        <is>
          <t>2026-S31</t>
        </is>
      </c>
      <c r="B159" s="5" t="inlineStr">
        <is>
          <t>martes</t>
        </is>
      </c>
      <c r="C159" s="5" t="inlineStr">
        <is>
          <t>Francisco Ramírez</t>
        </is>
      </c>
      <c r="D159" s="24">
        <f>IFERROR(INDEX('TECNICOS'!$D$4:$D$19,MATCH($C159,'TECNICOS'!$B$4:$B$19,0)),"")</f>
        <v/>
      </c>
      <c r="E159" s="24">
        <f>IFERROR(INDEX('TECNICOS'!$C$4:$C$19,MATCH($C159,'TECNICOS'!$B$4:$B$19,0)),"")</f>
        <v/>
      </c>
      <c r="F159" s="24">
        <f>COUNTIFS('TECNICOS'!$F$4:$F$19,"sí",'TECNICOS'!$C$4:$C$19,$E159,'TECNICOS'!$D$4:$D$19,$D159,'TECNICOS'!$H$4:$H$19,"sí")</f>
        <v/>
      </c>
      <c r="G159" s="24">
        <f>IF(OR($C159="",$A159="",$B159="domingo",IFERROR(INDEX('TECNICOS'!$H$4:$H$19,MATCH($C159,'TECNICOS'!$B$4:$B$19,0)),"no")&lt;&gt;"sí"),"",IF(IFERROR(INDEX('TECNICOS'!$F$4:$F$19,MATCH($C159,'TECNICOS'!$B$4:$B$19,0)),"no")&lt;&gt;"sí","B",IF(MOD((IFERROR(INDEX('TECNICOS'!$G$4:$G$19,MATCH($C159,'TECNICOS'!$B$4:$B$19,0)),0)-1)+((DATE(VALUE(LEFT($A159,4)),1,4)-WEEKDAY(DATE(VALUE(LEFT($A159,4)),1,4),2)+1+(VALUE(MID($A159,7,2))-1)*7)-p_semana_referencia)/7,$F159)&lt;($F159-3),"B"&amp;(($F159-3)-MOD((IFERROR(INDEX('TECNICOS'!$G$4:$G$19,MATCH($C159,'TECNICOS'!$B$4:$B$19,0)),0)-1)+((DATE(VALUE(LEFT($A159,4)),1,4)-WEEKDAY(DATE(VALUE(LEFT($A159,4)),1,4),2)+1+(VALUE(MID($A159,7,2))-1)*7)-p_semana_referencia)/7,$F159)),"T"&amp;($F159-MOD((IFERROR(INDEX('TECNICOS'!$G$4:$G$19,MATCH($C159,'TECNICOS'!$B$4:$B$19,0)),0)-1)+((DATE(VALUE(LEFT($A159,4)),1,4)-WEEKDAY(DATE(VALUE(LEFT($A159,4)),1,4),2)+1+(VALUE(MID($A159,7,2))-1)*7)-p_semana_referencia)/7,$F159)))))</f>
        <v/>
      </c>
      <c r="H159" s="24">
        <f>IF(COUNTIFS('PLAN_VACACIONES'!$A$4:$A$103,$C159,'PLAN_VACACIONES'!$B$4:$B$103,"&lt;="&amp;$L159,'PLAN_VACACIONES'!$C$4:$C$103,"&gt;="&amp;$L159)&gt;0,"sí","no")</f>
        <v/>
      </c>
      <c r="I159" s="4" t="n"/>
      <c r="J159" s="24">
        <f>IF($I159&lt;&gt;"",$I159,IF($G159="","",IF($H159="sí","VAC",IF(LEFT($G159,1)="B","B",$G159))))</f>
        <v/>
      </c>
      <c r="K159" s="24">
        <f>IFERROR(INDEX('TECNICOS'!$E$4:$E$19,MATCH($C159,'TECNICOS'!$B$4:$B$19,0)),"")</f>
        <v/>
      </c>
      <c r="L159" s="30">
        <f>IF($A159="","",DATE(VALUE(LEFT($A159,4)),1,4)-WEEKDAY(DATE(VALUE(LEFT($A159,4)),1,4),2)+1+(VALUE(MID($A159,7,2))-1)*7+MATCH($B159,lista_dias,0)-1)</f>
        <v/>
      </c>
      <c r="M159" s="24">
        <f>IF(OR($J159="",ISNUMBER(MATCH($J159,lista_no_disponible,0)),(IFERROR(INDEX('CALENDARIO'!$C$15:$C$214,MATCH(TEXT($L159,"yyyy-mm-dd")&amp;"|"&amp;$D159&amp;"|"&amp;"",'CALENDARIO'!$G$15:$G$214,0)),IFERROR(INDEX('CALENDARIO'!$C$15:$C$214,MATCH(TEXT($L159,"yyyy-mm-dd")&amp;"|"&amp;$D159&amp;"|",'CALENDARIO'!$G$15:$G$214,0)),IFERROR(INDEX('CALENDARIO'!$C$15:$C$214,MATCH(TEXT($L159,"yyyy-mm-dd")&amp;"||",'CALENDARIO'!$G$15:$G$214,0)),INDEX(patronHabil,WEEKDAY($L159,2))))))&lt;&gt;"sí"),0,p_horas_jornada)</f>
        <v/>
      </c>
      <c r="N159" s="24">
        <f>$A159&amp;"|"&amp;$B159&amp;"|"&amp;$C159</f>
        <v/>
      </c>
      <c r="O159" s="24">
        <f>IFERROR(INDEX('CAT_TURNOS'!$C$4:$C$22,MATCH($J159,'CAT_TURNOS'!$A$4:$A$22,0)),"")</f>
        <v/>
      </c>
      <c r="P159" s="24">
        <f>IFERROR(INDEX('CAT_TURNOS'!$D$4:$D$22,MATCH($J159,'CAT_TURNOS'!$A$4:$A$22,0)),"")</f>
        <v/>
      </c>
      <c r="Q159" s="24">
        <f>IF(AND(LEFT($G159,1)="T",$H159="no"),"sí","no")</f>
        <v/>
      </c>
    </row>
    <row r="160">
      <c r="A160" s="5" t="inlineStr">
        <is>
          <t>2026-S31</t>
        </is>
      </c>
      <c r="B160" s="5" t="inlineStr">
        <is>
          <t>miércoles</t>
        </is>
      </c>
      <c r="C160" s="5" t="inlineStr">
        <is>
          <t>Francisco Ramírez</t>
        </is>
      </c>
      <c r="D160" s="24">
        <f>IFERROR(INDEX('TECNICOS'!$D$4:$D$19,MATCH($C160,'TECNICOS'!$B$4:$B$19,0)),"")</f>
        <v/>
      </c>
      <c r="E160" s="24">
        <f>IFERROR(INDEX('TECNICOS'!$C$4:$C$19,MATCH($C160,'TECNICOS'!$B$4:$B$19,0)),"")</f>
        <v/>
      </c>
      <c r="F160" s="24">
        <f>COUNTIFS('TECNICOS'!$F$4:$F$19,"sí",'TECNICOS'!$C$4:$C$19,$E160,'TECNICOS'!$D$4:$D$19,$D160,'TECNICOS'!$H$4:$H$19,"sí")</f>
        <v/>
      </c>
      <c r="G160" s="24">
        <f>IF(OR($C160="",$A160="",$B160="domingo",IFERROR(INDEX('TECNICOS'!$H$4:$H$19,MATCH($C160,'TECNICOS'!$B$4:$B$19,0)),"no")&lt;&gt;"sí"),"",IF(IFERROR(INDEX('TECNICOS'!$F$4:$F$19,MATCH($C160,'TECNICOS'!$B$4:$B$19,0)),"no")&lt;&gt;"sí","B",IF(MOD((IFERROR(INDEX('TECNICOS'!$G$4:$G$19,MATCH($C160,'TECNICOS'!$B$4:$B$19,0)),0)-1)+((DATE(VALUE(LEFT($A160,4)),1,4)-WEEKDAY(DATE(VALUE(LEFT($A160,4)),1,4),2)+1+(VALUE(MID($A160,7,2))-1)*7)-p_semana_referencia)/7,$F160)&lt;($F160-3),"B"&amp;(($F160-3)-MOD((IFERROR(INDEX('TECNICOS'!$G$4:$G$19,MATCH($C160,'TECNICOS'!$B$4:$B$19,0)),0)-1)+((DATE(VALUE(LEFT($A160,4)),1,4)-WEEKDAY(DATE(VALUE(LEFT($A160,4)),1,4),2)+1+(VALUE(MID($A160,7,2))-1)*7)-p_semana_referencia)/7,$F160)),"T"&amp;($F160-MOD((IFERROR(INDEX('TECNICOS'!$G$4:$G$19,MATCH($C160,'TECNICOS'!$B$4:$B$19,0)),0)-1)+((DATE(VALUE(LEFT($A160,4)),1,4)-WEEKDAY(DATE(VALUE(LEFT($A160,4)),1,4),2)+1+(VALUE(MID($A160,7,2))-1)*7)-p_semana_referencia)/7,$F160)))))</f>
        <v/>
      </c>
      <c r="H160" s="24">
        <f>IF(COUNTIFS('PLAN_VACACIONES'!$A$4:$A$103,$C160,'PLAN_VACACIONES'!$B$4:$B$103,"&lt;="&amp;$L160,'PLAN_VACACIONES'!$C$4:$C$103,"&gt;="&amp;$L160)&gt;0,"sí","no")</f>
        <v/>
      </c>
      <c r="I160" s="4" t="n"/>
      <c r="J160" s="24">
        <f>IF($I160&lt;&gt;"",$I160,IF($G160="","",IF($H160="sí","VAC",IF(LEFT($G160,1)="B","B",$G160))))</f>
        <v/>
      </c>
      <c r="K160" s="24">
        <f>IFERROR(INDEX('TECNICOS'!$E$4:$E$19,MATCH($C160,'TECNICOS'!$B$4:$B$19,0)),"")</f>
        <v/>
      </c>
      <c r="L160" s="30">
        <f>IF($A160="","",DATE(VALUE(LEFT($A160,4)),1,4)-WEEKDAY(DATE(VALUE(LEFT($A160,4)),1,4),2)+1+(VALUE(MID($A160,7,2))-1)*7+MATCH($B160,lista_dias,0)-1)</f>
        <v/>
      </c>
      <c r="M160" s="24">
        <f>IF(OR($J160="",ISNUMBER(MATCH($J160,lista_no_disponible,0)),(IFERROR(INDEX('CALENDARIO'!$C$15:$C$214,MATCH(TEXT($L160,"yyyy-mm-dd")&amp;"|"&amp;$D160&amp;"|"&amp;"",'CALENDARIO'!$G$15:$G$214,0)),IFERROR(INDEX('CALENDARIO'!$C$15:$C$214,MATCH(TEXT($L160,"yyyy-mm-dd")&amp;"|"&amp;$D160&amp;"|",'CALENDARIO'!$G$15:$G$214,0)),IFERROR(INDEX('CALENDARIO'!$C$15:$C$214,MATCH(TEXT($L160,"yyyy-mm-dd")&amp;"||",'CALENDARIO'!$G$15:$G$214,0)),INDEX(patronHabil,WEEKDAY($L160,2))))))&lt;&gt;"sí"),0,p_horas_jornada)</f>
        <v/>
      </c>
      <c r="N160" s="24">
        <f>$A160&amp;"|"&amp;$B160&amp;"|"&amp;$C160</f>
        <v/>
      </c>
      <c r="O160" s="24">
        <f>IFERROR(INDEX('CAT_TURNOS'!$C$4:$C$22,MATCH($J160,'CAT_TURNOS'!$A$4:$A$22,0)),"")</f>
        <v/>
      </c>
      <c r="P160" s="24">
        <f>IFERROR(INDEX('CAT_TURNOS'!$D$4:$D$22,MATCH($J160,'CAT_TURNOS'!$A$4:$A$22,0)),"")</f>
        <v/>
      </c>
      <c r="Q160" s="24">
        <f>IF(AND(LEFT($G160,1)="T",$H160="no"),"sí","no")</f>
        <v/>
      </c>
    </row>
    <row r="161">
      <c r="A161" s="5" t="inlineStr">
        <is>
          <t>2026-S31</t>
        </is>
      </c>
      <c r="B161" s="5" t="inlineStr">
        <is>
          <t>jueves</t>
        </is>
      </c>
      <c r="C161" s="5" t="inlineStr">
        <is>
          <t>Francisco Ramírez</t>
        </is>
      </c>
      <c r="D161" s="24">
        <f>IFERROR(INDEX('TECNICOS'!$D$4:$D$19,MATCH($C161,'TECNICOS'!$B$4:$B$19,0)),"")</f>
        <v/>
      </c>
      <c r="E161" s="24">
        <f>IFERROR(INDEX('TECNICOS'!$C$4:$C$19,MATCH($C161,'TECNICOS'!$B$4:$B$19,0)),"")</f>
        <v/>
      </c>
      <c r="F161" s="24">
        <f>COUNTIFS('TECNICOS'!$F$4:$F$19,"sí",'TECNICOS'!$C$4:$C$19,$E161,'TECNICOS'!$D$4:$D$19,$D161,'TECNICOS'!$H$4:$H$19,"sí")</f>
        <v/>
      </c>
      <c r="G161" s="24">
        <f>IF(OR($C161="",$A161="",$B161="domingo",IFERROR(INDEX('TECNICOS'!$H$4:$H$19,MATCH($C161,'TECNICOS'!$B$4:$B$19,0)),"no")&lt;&gt;"sí"),"",IF(IFERROR(INDEX('TECNICOS'!$F$4:$F$19,MATCH($C161,'TECNICOS'!$B$4:$B$19,0)),"no")&lt;&gt;"sí","B",IF(MOD((IFERROR(INDEX('TECNICOS'!$G$4:$G$19,MATCH($C161,'TECNICOS'!$B$4:$B$19,0)),0)-1)+((DATE(VALUE(LEFT($A161,4)),1,4)-WEEKDAY(DATE(VALUE(LEFT($A161,4)),1,4),2)+1+(VALUE(MID($A161,7,2))-1)*7)-p_semana_referencia)/7,$F161)&lt;($F161-3),"B"&amp;(($F161-3)-MOD((IFERROR(INDEX('TECNICOS'!$G$4:$G$19,MATCH($C161,'TECNICOS'!$B$4:$B$19,0)),0)-1)+((DATE(VALUE(LEFT($A161,4)),1,4)-WEEKDAY(DATE(VALUE(LEFT($A161,4)),1,4),2)+1+(VALUE(MID($A161,7,2))-1)*7)-p_semana_referencia)/7,$F161)),"T"&amp;($F161-MOD((IFERROR(INDEX('TECNICOS'!$G$4:$G$19,MATCH($C161,'TECNICOS'!$B$4:$B$19,0)),0)-1)+((DATE(VALUE(LEFT($A161,4)),1,4)-WEEKDAY(DATE(VALUE(LEFT($A161,4)),1,4),2)+1+(VALUE(MID($A161,7,2))-1)*7)-p_semana_referencia)/7,$F161)))))</f>
        <v/>
      </c>
      <c r="H161" s="24">
        <f>IF(COUNTIFS('PLAN_VACACIONES'!$A$4:$A$103,$C161,'PLAN_VACACIONES'!$B$4:$B$103,"&lt;="&amp;$L161,'PLAN_VACACIONES'!$C$4:$C$103,"&gt;="&amp;$L161)&gt;0,"sí","no")</f>
        <v/>
      </c>
      <c r="I161" s="4" t="n"/>
      <c r="J161" s="24">
        <f>IF($I161&lt;&gt;"",$I161,IF($G161="","",IF($H161="sí","VAC",IF(LEFT($G161,1)="B","B",$G161))))</f>
        <v/>
      </c>
      <c r="K161" s="24">
        <f>IFERROR(INDEX('TECNICOS'!$E$4:$E$19,MATCH($C161,'TECNICOS'!$B$4:$B$19,0)),"")</f>
        <v/>
      </c>
      <c r="L161" s="30">
        <f>IF($A161="","",DATE(VALUE(LEFT($A161,4)),1,4)-WEEKDAY(DATE(VALUE(LEFT($A161,4)),1,4),2)+1+(VALUE(MID($A161,7,2))-1)*7+MATCH($B161,lista_dias,0)-1)</f>
        <v/>
      </c>
      <c r="M161" s="24">
        <f>IF(OR($J161="",ISNUMBER(MATCH($J161,lista_no_disponible,0)),(IFERROR(INDEX('CALENDARIO'!$C$15:$C$214,MATCH(TEXT($L161,"yyyy-mm-dd")&amp;"|"&amp;$D161&amp;"|"&amp;"",'CALENDARIO'!$G$15:$G$214,0)),IFERROR(INDEX('CALENDARIO'!$C$15:$C$214,MATCH(TEXT($L161,"yyyy-mm-dd")&amp;"|"&amp;$D161&amp;"|",'CALENDARIO'!$G$15:$G$214,0)),IFERROR(INDEX('CALENDARIO'!$C$15:$C$214,MATCH(TEXT($L161,"yyyy-mm-dd")&amp;"||",'CALENDARIO'!$G$15:$G$214,0)),INDEX(patronHabil,WEEKDAY($L161,2))))))&lt;&gt;"sí"),0,p_horas_jornada)</f>
        <v/>
      </c>
      <c r="N161" s="24">
        <f>$A161&amp;"|"&amp;$B161&amp;"|"&amp;$C161</f>
        <v/>
      </c>
      <c r="O161" s="24">
        <f>IFERROR(INDEX('CAT_TURNOS'!$C$4:$C$22,MATCH($J161,'CAT_TURNOS'!$A$4:$A$22,0)),"")</f>
        <v/>
      </c>
      <c r="P161" s="24">
        <f>IFERROR(INDEX('CAT_TURNOS'!$D$4:$D$22,MATCH($J161,'CAT_TURNOS'!$A$4:$A$22,0)),"")</f>
        <v/>
      </c>
      <c r="Q161" s="24">
        <f>IF(AND(LEFT($G161,1)="T",$H161="no"),"sí","no")</f>
        <v/>
      </c>
    </row>
    <row r="162">
      <c r="A162" s="5" t="inlineStr">
        <is>
          <t>2026-S31</t>
        </is>
      </c>
      <c r="B162" s="5" t="inlineStr">
        <is>
          <t>viernes</t>
        </is>
      </c>
      <c r="C162" s="5" t="inlineStr">
        <is>
          <t>Francisco Ramírez</t>
        </is>
      </c>
      <c r="D162" s="24">
        <f>IFERROR(INDEX('TECNICOS'!$D$4:$D$19,MATCH($C162,'TECNICOS'!$B$4:$B$19,0)),"")</f>
        <v/>
      </c>
      <c r="E162" s="24">
        <f>IFERROR(INDEX('TECNICOS'!$C$4:$C$19,MATCH($C162,'TECNICOS'!$B$4:$B$19,0)),"")</f>
        <v/>
      </c>
      <c r="F162" s="24">
        <f>COUNTIFS('TECNICOS'!$F$4:$F$19,"sí",'TECNICOS'!$C$4:$C$19,$E162,'TECNICOS'!$D$4:$D$19,$D162,'TECNICOS'!$H$4:$H$19,"sí")</f>
        <v/>
      </c>
      <c r="G162" s="24">
        <f>IF(OR($C162="",$A162="",$B162="domingo",IFERROR(INDEX('TECNICOS'!$H$4:$H$19,MATCH($C162,'TECNICOS'!$B$4:$B$19,0)),"no")&lt;&gt;"sí"),"",IF(IFERROR(INDEX('TECNICOS'!$F$4:$F$19,MATCH($C162,'TECNICOS'!$B$4:$B$19,0)),"no")&lt;&gt;"sí","B",IF(MOD((IFERROR(INDEX('TECNICOS'!$G$4:$G$19,MATCH($C162,'TECNICOS'!$B$4:$B$19,0)),0)-1)+((DATE(VALUE(LEFT($A162,4)),1,4)-WEEKDAY(DATE(VALUE(LEFT($A162,4)),1,4),2)+1+(VALUE(MID($A162,7,2))-1)*7)-p_semana_referencia)/7,$F162)&lt;($F162-3),"B"&amp;(($F162-3)-MOD((IFERROR(INDEX('TECNICOS'!$G$4:$G$19,MATCH($C162,'TECNICOS'!$B$4:$B$19,0)),0)-1)+((DATE(VALUE(LEFT($A162,4)),1,4)-WEEKDAY(DATE(VALUE(LEFT($A162,4)),1,4),2)+1+(VALUE(MID($A162,7,2))-1)*7)-p_semana_referencia)/7,$F162)),"T"&amp;($F162-MOD((IFERROR(INDEX('TECNICOS'!$G$4:$G$19,MATCH($C162,'TECNICOS'!$B$4:$B$19,0)),0)-1)+((DATE(VALUE(LEFT($A162,4)),1,4)-WEEKDAY(DATE(VALUE(LEFT($A162,4)),1,4),2)+1+(VALUE(MID($A162,7,2))-1)*7)-p_semana_referencia)/7,$F162)))))</f>
        <v/>
      </c>
      <c r="H162" s="24">
        <f>IF(COUNTIFS('PLAN_VACACIONES'!$A$4:$A$103,$C162,'PLAN_VACACIONES'!$B$4:$B$103,"&lt;="&amp;$L162,'PLAN_VACACIONES'!$C$4:$C$103,"&gt;="&amp;$L162)&gt;0,"sí","no")</f>
        <v/>
      </c>
      <c r="I162" s="4" t="n"/>
      <c r="J162" s="24">
        <f>IF($I162&lt;&gt;"",$I162,IF($G162="","",IF($H162="sí","VAC",IF(LEFT($G162,1)="B","B",$G162))))</f>
        <v/>
      </c>
      <c r="K162" s="24">
        <f>IFERROR(INDEX('TECNICOS'!$E$4:$E$19,MATCH($C162,'TECNICOS'!$B$4:$B$19,0)),"")</f>
        <v/>
      </c>
      <c r="L162" s="30">
        <f>IF($A162="","",DATE(VALUE(LEFT($A162,4)),1,4)-WEEKDAY(DATE(VALUE(LEFT($A162,4)),1,4),2)+1+(VALUE(MID($A162,7,2))-1)*7+MATCH($B162,lista_dias,0)-1)</f>
        <v/>
      </c>
      <c r="M162" s="24">
        <f>IF(OR($J162="",ISNUMBER(MATCH($J162,lista_no_disponible,0)),(IFERROR(INDEX('CALENDARIO'!$C$15:$C$214,MATCH(TEXT($L162,"yyyy-mm-dd")&amp;"|"&amp;$D162&amp;"|"&amp;"",'CALENDARIO'!$G$15:$G$214,0)),IFERROR(INDEX('CALENDARIO'!$C$15:$C$214,MATCH(TEXT($L162,"yyyy-mm-dd")&amp;"|"&amp;$D162&amp;"|",'CALENDARIO'!$G$15:$G$214,0)),IFERROR(INDEX('CALENDARIO'!$C$15:$C$214,MATCH(TEXT($L162,"yyyy-mm-dd")&amp;"||",'CALENDARIO'!$G$15:$G$214,0)),INDEX(patronHabil,WEEKDAY($L162,2))))))&lt;&gt;"sí"),0,p_horas_jornada)</f>
        <v/>
      </c>
      <c r="N162" s="24">
        <f>$A162&amp;"|"&amp;$B162&amp;"|"&amp;$C162</f>
        <v/>
      </c>
      <c r="O162" s="24">
        <f>IFERROR(INDEX('CAT_TURNOS'!$C$4:$C$22,MATCH($J162,'CAT_TURNOS'!$A$4:$A$22,0)),"")</f>
        <v/>
      </c>
      <c r="P162" s="24">
        <f>IFERROR(INDEX('CAT_TURNOS'!$D$4:$D$22,MATCH($J162,'CAT_TURNOS'!$A$4:$A$22,0)),"")</f>
        <v/>
      </c>
      <c r="Q162" s="24">
        <f>IF(AND(LEFT($G162,1)="T",$H162="no"),"sí","no")</f>
        <v/>
      </c>
    </row>
    <row r="163">
      <c r="A163" s="5" t="inlineStr">
        <is>
          <t>2026-S31</t>
        </is>
      </c>
      <c r="B163" s="5" t="inlineStr">
        <is>
          <t>sábado</t>
        </is>
      </c>
      <c r="C163" s="5" t="inlineStr">
        <is>
          <t>Francisco Ramírez</t>
        </is>
      </c>
      <c r="D163" s="24">
        <f>IFERROR(INDEX('TECNICOS'!$D$4:$D$19,MATCH($C163,'TECNICOS'!$B$4:$B$19,0)),"")</f>
        <v/>
      </c>
      <c r="E163" s="24">
        <f>IFERROR(INDEX('TECNICOS'!$C$4:$C$19,MATCH($C163,'TECNICOS'!$B$4:$B$19,0)),"")</f>
        <v/>
      </c>
      <c r="F163" s="24">
        <f>COUNTIFS('TECNICOS'!$F$4:$F$19,"sí",'TECNICOS'!$C$4:$C$19,$E163,'TECNICOS'!$D$4:$D$19,$D163,'TECNICOS'!$H$4:$H$19,"sí")</f>
        <v/>
      </c>
      <c r="G163" s="24">
        <f>IF(OR($C163="",$A163="",$B163="domingo",IFERROR(INDEX('TECNICOS'!$H$4:$H$19,MATCH($C163,'TECNICOS'!$B$4:$B$19,0)),"no")&lt;&gt;"sí"),"",IF(IFERROR(INDEX('TECNICOS'!$F$4:$F$19,MATCH($C163,'TECNICOS'!$B$4:$B$19,0)),"no")&lt;&gt;"sí","B",IF(MOD((IFERROR(INDEX('TECNICOS'!$G$4:$G$19,MATCH($C163,'TECNICOS'!$B$4:$B$19,0)),0)-1)+((DATE(VALUE(LEFT($A163,4)),1,4)-WEEKDAY(DATE(VALUE(LEFT($A163,4)),1,4),2)+1+(VALUE(MID($A163,7,2))-1)*7)-p_semana_referencia)/7,$F163)&lt;($F163-3),"B"&amp;(($F163-3)-MOD((IFERROR(INDEX('TECNICOS'!$G$4:$G$19,MATCH($C163,'TECNICOS'!$B$4:$B$19,0)),0)-1)+((DATE(VALUE(LEFT($A163,4)),1,4)-WEEKDAY(DATE(VALUE(LEFT($A163,4)),1,4),2)+1+(VALUE(MID($A163,7,2))-1)*7)-p_semana_referencia)/7,$F163)),"T"&amp;($F163-MOD((IFERROR(INDEX('TECNICOS'!$G$4:$G$19,MATCH($C163,'TECNICOS'!$B$4:$B$19,0)),0)-1)+((DATE(VALUE(LEFT($A163,4)),1,4)-WEEKDAY(DATE(VALUE(LEFT($A163,4)),1,4),2)+1+(VALUE(MID($A163,7,2))-1)*7)-p_semana_referencia)/7,$F163)))))</f>
        <v/>
      </c>
      <c r="H163" s="24">
        <f>IF(COUNTIFS('PLAN_VACACIONES'!$A$4:$A$103,$C163,'PLAN_VACACIONES'!$B$4:$B$103,"&lt;="&amp;$L163,'PLAN_VACACIONES'!$C$4:$C$103,"&gt;="&amp;$L163)&gt;0,"sí","no")</f>
        <v/>
      </c>
      <c r="I163" s="4" t="n"/>
      <c r="J163" s="24">
        <f>IF($I163&lt;&gt;"",$I163,IF($G163="","",IF($H163="sí","VAC",IF(LEFT($G163,1)="B","B",$G163))))</f>
        <v/>
      </c>
      <c r="K163" s="24">
        <f>IFERROR(INDEX('TECNICOS'!$E$4:$E$19,MATCH($C163,'TECNICOS'!$B$4:$B$19,0)),"")</f>
        <v/>
      </c>
      <c r="L163" s="30">
        <f>IF($A163="","",DATE(VALUE(LEFT($A163,4)),1,4)-WEEKDAY(DATE(VALUE(LEFT($A163,4)),1,4),2)+1+(VALUE(MID($A163,7,2))-1)*7+MATCH($B163,lista_dias,0)-1)</f>
        <v/>
      </c>
      <c r="M163" s="24">
        <f>IF(OR($J163="",ISNUMBER(MATCH($J163,lista_no_disponible,0)),(IFERROR(INDEX('CALENDARIO'!$C$15:$C$214,MATCH(TEXT($L163,"yyyy-mm-dd")&amp;"|"&amp;$D163&amp;"|"&amp;"",'CALENDARIO'!$G$15:$G$214,0)),IFERROR(INDEX('CALENDARIO'!$C$15:$C$214,MATCH(TEXT($L163,"yyyy-mm-dd")&amp;"|"&amp;$D163&amp;"|",'CALENDARIO'!$G$15:$G$214,0)),IFERROR(INDEX('CALENDARIO'!$C$15:$C$214,MATCH(TEXT($L163,"yyyy-mm-dd")&amp;"||",'CALENDARIO'!$G$15:$G$214,0)),INDEX(patronHabil,WEEKDAY($L163,2))))))&lt;&gt;"sí"),0,p_horas_jornada)</f>
        <v/>
      </c>
      <c r="N163" s="24">
        <f>$A163&amp;"|"&amp;$B163&amp;"|"&amp;$C163</f>
        <v/>
      </c>
      <c r="O163" s="24">
        <f>IFERROR(INDEX('CAT_TURNOS'!$C$4:$C$22,MATCH($J163,'CAT_TURNOS'!$A$4:$A$22,0)),"")</f>
        <v/>
      </c>
      <c r="P163" s="24">
        <f>IFERROR(INDEX('CAT_TURNOS'!$D$4:$D$22,MATCH($J163,'CAT_TURNOS'!$A$4:$A$22,0)),"")</f>
        <v/>
      </c>
      <c r="Q163" s="24">
        <f>IF(AND(LEFT($G163,1)="T",$H163="no"),"sí","no")</f>
        <v/>
      </c>
    </row>
    <row r="164">
      <c r="A164" s="5" t="inlineStr">
        <is>
          <t>2026-S31</t>
        </is>
      </c>
      <c r="B164" s="5" t="inlineStr">
        <is>
          <t>domingo</t>
        </is>
      </c>
      <c r="C164" s="5" t="inlineStr">
        <is>
          <t>Francisco Ramírez</t>
        </is>
      </c>
      <c r="D164" s="24">
        <f>IFERROR(INDEX('TECNICOS'!$D$4:$D$19,MATCH($C164,'TECNICOS'!$B$4:$B$19,0)),"")</f>
        <v/>
      </c>
      <c r="E164" s="24">
        <f>IFERROR(INDEX('TECNICOS'!$C$4:$C$19,MATCH($C164,'TECNICOS'!$B$4:$B$19,0)),"")</f>
        <v/>
      </c>
      <c r="F164" s="24">
        <f>COUNTIFS('TECNICOS'!$F$4:$F$19,"sí",'TECNICOS'!$C$4:$C$19,$E164,'TECNICOS'!$D$4:$D$19,$D164,'TECNICOS'!$H$4:$H$19,"sí")</f>
        <v/>
      </c>
      <c r="G164" s="24">
        <f>IF(OR($C164="",$A164="",$B164="domingo",IFERROR(INDEX('TECNICOS'!$H$4:$H$19,MATCH($C164,'TECNICOS'!$B$4:$B$19,0)),"no")&lt;&gt;"sí"),"",IF(IFERROR(INDEX('TECNICOS'!$F$4:$F$19,MATCH($C164,'TECNICOS'!$B$4:$B$19,0)),"no")&lt;&gt;"sí","B",IF(MOD((IFERROR(INDEX('TECNICOS'!$G$4:$G$19,MATCH($C164,'TECNICOS'!$B$4:$B$19,0)),0)-1)+((DATE(VALUE(LEFT($A164,4)),1,4)-WEEKDAY(DATE(VALUE(LEFT($A164,4)),1,4),2)+1+(VALUE(MID($A164,7,2))-1)*7)-p_semana_referencia)/7,$F164)&lt;($F164-3),"B"&amp;(($F164-3)-MOD((IFERROR(INDEX('TECNICOS'!$G$4:$G$19,MATCH($C164,'TECNICOS'!$B$4:$B$19,0)),0)-1)+((DATE(VALUE(LEFT($A164,4)),1,4)-WEEKDAY(DATE(VALUE(LEFT($A164,4)),1,4),2)+1+(VALUE(MID($A164,7,2))-1)*7)-p_semana_referencia)/7,$F164)),"T"&amp;($F164-MOD((IFERROR(INDEX('TECNICOS'!$G$4:$G$19,MATCH($C164,'TECNICOS'!$B$4:$B$19,0)),0)-1)+((DATE(VALUE(LEFT($A164,4)),1,4)-WEEKDAY(DATE(VALUE(LEFT($A164,4)),1,4),2)+1+(VALUE(MID($A164,7,2))-1)*7)-p_semana_referencia)/7,$F164)))))</f>
        <v/>
      </c>
      <c r="H164" s="24">
        <f>IF(COUNTIFS('PLAN_VACACIONES'!$A$4:$A$103,$C164,'PLAN_VACACIONES'!$B$4:$B$103,"&lt;="&amp;$L164,'PLAN_VACACIONES'!$C$4:$C$103,"&gt;="&amp;$L164)&gt;0,"sí","no")</f>
        <v/>
      </c>
      <c r="I164" s="4" t="n"/>
      <c r="J164" s="24">
        <f>IF($I164&lt;&gt;"",$I164,IF($G164="","",IF($H164="sí","VAC",IF(LEFT($G164,1)="B","B",$G164))))</f>
        <v/>
      </c>
      <c r="K164" s="24">
        <f>IFERROR(INDEX('TECNICOS'!$E$4:$E$19,MATCH($C164,'TECNICOS'!$B$4:$B$19,0)),"")</f>
        <v/>
      </c>
      <c r="L164" s="30">
        <f>IF($A164="","",DATE(VALUE(LEFT($A164,4)),1,4)-WEEKDAY(DATE(VALUE(LEFT($A164,4)),1,4),2)+1+(VALUE(MID($A164,7,2))-1)*7+MATCH($B164,lista_dias,0)-1)</f>
        <v/>
      </c>
      <c r="M164" s="24">
        <f>IF(OR($J164="",ISNUMBER(MATCH($J164,lista_no_disponible,0)),(IFERROR(INDEX('CALENDARIO'!$C$15:$C$214,MATCH(TEXT($L164,"yyyy-mm-dd")&amp;"|"&amp;$D164&amp;"|"&amp;"",'CALENDARIO'!$G$15:$G$214,0)),IFERROR(INDEX('CALENDARIO'!$C$15:$C$214,MATCH(TEXT($L164,"yyyy-mm-dd")&amp;"|"&amp;$D164&amp;"|",'CALENDARIO'!$G$15:$G$214,0)),IFERROR(INDEX('CALENDARIO'!$C$15:$C$214,MATCH(TEXT($L164,"yyyy-mm-dd")&amp;"||",'CALENDARIO'!$G$15:$G$214,0)),INDEX(patronHabil,WEEKDAY($L164,2))))))&lt;&gt;"sí"),0,p_horas_jornada)</f>
        <v/>
      </c>
      <c r="N164" s="24">
        <f>$A164&amp;"|"&amp;$B164&amp;"|"&amp;$C164</f>
        <v/>
      </c>
      <c r="O164" s="24">
        <f>IFERROR(INDEX('CAT_TURNOS'!$C$4:$C$22,MATCH($J164,'CAT_TURNOS'!$A$4:$A$22,0)),"")</f>
        <v/>
      </c>
      <c r="P164" s="24">
        <f>IFERROR(INDEX('CAT_TURNOS'!$D$4:$D$22,MATCH($J164,'CAT_TURNOS'!$A$4:$A$22,0)),"")</f>
        <v/>
      </c>
      <c r="Q164" s="24">
        <f>IF(AND(LEFT($G164,1)="T",$H164="no"),"sí","no")</f>
        <v/>
      </c>
    </row>
    <row r="165">
      <c r="A165" s="5" t="inlineStr">
        <is>
          <t>2026-S31</t>
        </is>
      </c>
      <c r="B165" s="5" t="inlineStr">
        <is>
          <t>lunes</t>
        </is>
      </c>
      <c r="C165" s="5" t="inlineStr">
        <is>
          <t>Jorge Díaz</t>
        </is>
      </c>
      <c r="D165" s="24">
        <f>IFERROR(INDEX('TECNICOS'!$D$4:$D$19,MATCH($C165,'TECNICOS'!$B$4:$B$19,0)),"")</f>
        <v/>
      </c>
      <c r="E165" s="24">
        <f>IFERROR(INDEX('TECNICOS'!$C$4:$C$19,MATCH($C165,'TECNICOS'!$B$4:$B$19,0)),"")</f>
        <v/>
      </c>
      <c r="F165" s="24">
        <f>COUNTIFS('TECNICOS'!$F$4:$F$19,"sí",'TECNICOS'!$C$4:$C$19,$E165,'TECNICOS'!$D$4:$D$19,$D165,'TECNICOS'!$H$4:$H$19,"sí")</f>
        <v/>
      </c>
      <c r="G165" s="24">
        <f>IF(OR($C165="",$A165="",$B165="domingo",IFERROR(INDEX('TECNICOS'!$H$4:$H$19,MATCH($C165,'TECNICOS'!$B$4:$B$19,0)),"no")&lt;&gt;"sí"),"",IF(IFERROR(INDEX('TECNICOS'!$F$4:$F$19,MATCH($C165,'TECNICOS'!$B$4:$B$19,0)),"no")&lt;&gt;"sí","B",IF(MOD((IFERROR(INDEX('TECNICOS'!$G$4:$G$19,MATCH($C165,'TECNICOS'!$B$4:$B$19,0)),0)-1)+((DATE(VALUE(LEFT($A165,4)),1,4)-WEEKDAY(DATE(VALUE(LEFT($A165,4)),1,4),2)+1+(VALUE(MID($A165,7,2))-1)*7)-p_semana_referencia)/7,$F165)&lt;($F165-3),"B"&amp;(($F165-3)-MOD((IFERROR(INDEX('TECNICOS'!$G$4:$G$19,MATCH($C165,'TECNICOS'!$B$4:$B$19,0)),0)-1)+((DATE(VALUE(LEFT($A165,4)),1,4)-WEEKDAY(DATE(VALUE(LEFT($A165,4)),1,4),2)+1+(VALUE(MID($A165,7,2))-1)*7)-p_semana_referencia)/7,$F165)),"T"&amp;($F165-MOD((IFERROR(INDEX('TECNICOS'!$G$4:$G$19,MATCH($C165,'TECNICOS'!$B$4:$B$19,0)),0)-1)+((DATE(VALUE(LEFT($A165,4)),1,4)-WEEKDAY(DATE(VALUE(LEFT($A165,4)),1,4),2)+1+(VALUE(MID($A165,7,2))-1)*7)-p_semana_referencia)/7,$F165)))))</f>
        <v/>
      </c>
      <c r="H165" s="24">
        <f>IF(COUNTIFS('PLAN_VACACIONES'!$A$4:$A$103,$C165,'PLAN_VACACIONES'!$B$4:$B$103,"&lt;="&amp;$L165,'PLAN_VACACIONES'!$C$4:$C$103,"&gt;="&amp;$L165)&gt;0,"sí","no")</f>
        <v/>
      </c>
      <c r="I165" s="4" t="n"/>
      <c r="J165" s="24">
        <f>IF($I165&lt;&gt;"",$I165,IF($G165="","",IF($H165="sí","VAC",IF(LEFT($G165,1)="B","B",$G165))))</f>
        <v/>
      </c>
      <c r="K165" s="24">
        <f>IFERROR(INDEX('TECNICOS'!$E$4:$E$19,MATCH($C165,'TECNICOS'!$B$4:$B$19,0)),"")</f>
        <v/>
      </c>
      <c r="L165" s="30">
        <f>IF($A165="","",DATE(VALUE(LEFT($A165,4)),1,4)-WEEKDAY(DATE(VALUE(LEFT($A165,4)),1,4),2)+1+(VALUE(MID($A165,7,2))-1)*7+MATCH($B165,lista_dias,0)-1)</f>
        <v/>
      </c>
      <c r="M165" s="24">
        <f>IF(OR($J165="",ISNUMBER(MATCH($J165,lista_no_disponible,0)),(IFERROR(INDEX('CALENDARIO'!$C$15:$C$214,MATCH(TEXT($L165,"yyyy-mm-dd")&amp;"|"&amp;$D165&amp;"|"&amp;"",'CALENDARIO'!$G$15:$G$214,0)),IFERROR(INDEX('CALENDARIO'!$C$15:$C$214,MATCH(TEXT($L165,"yyyy-mm-dd")&amp;"|"&amp;$D165&amp;"|",'CALENDARIO'!$G$15:$G$214,0)),IFERROR(INDEX('CALENDARIO'!$C$15:$C$214,MATCH(TEXT($L165,"yyyy-mm-dd")&amp;"||",'CALENDARIO'!$G$15:$G$214,0)),INDEX(patronHabil,WEEKDAY($L165,2))))))&lt;&gt;"sí"),0,p_horas_jornada)</f>
        <v/>
      </c>
      <c r="N165" s="24">
        <f>$A165&amp;"|"&amp;$B165&amp;"|"&amp;$C165</f>
        <v/>
      </c>
      <c r="O165" s="24">
        <f>IFERROR(INDEX('CAT_TURNOS'!$C$4:$C$22,MATCH($J165,'CAT_TURNOS'!$A$4:$A$22,0)),"")</f>
        <v/>
      </c>
      <c r="P165" s="24">
        <f>IFERROR(INDEX('CAT_TURNOS'!$D$4:$D$22,MATCH($J165,'CAT_TURNOS'!$A$4:$A$22,0)),"")</f>
        <v/>
      </c>
      <c r="Q165" s="24">
        <f>IF(AND(LEFT($G165,1)="T",$H165="no"),"sí","no")</f>
        <v/>
      </c>
    </row>
    <row r="166">
      <c r="A166" s="5" t="inlineStr">
        <is>
          <t>2026-S31</t>
        </is>
      </c>
      <c r="B166" s="5" t="inlineStr">
        <is>
          <t>martes</t>
        </is>
      </c>
      <c r="C166" s="5" t="inlineStr">
        <is>
          <t>Jorge Díaz</t>
        </is>
      </c>
      <c r="D166" s="24">
        <f>IFERROR(INDEX('TECNICOS'!$D$4:$D$19,MATCH($C166,'TECNICOS'!$B$4:$B$19,0)),"")</f>
        <v/>
      </c>
      <c r="E166" s="24">
        <f>IFERROR(INDEX('TECNICOS'!$C$4:$C$19,MATCH($C166,'TECNICOS'!$B$4:$B$19,0)),"")</f>
        <v/>
      </c>
      <c r="F166" s="24">
        <f>COUNTIFS('TECNICOS'!$F$4:$F$19,"sí",'TECNICOS'!$C$4:$C$19,$E166,'TECNICOS'!$D$4:$D$19,$D166,'TECNICOS'!$H$4:$H$19,"sí")</f>
        <v/>
      </c>
      <c r="G166" s="24">
        <f>IF(OR($C166="",$A166="",$B166="domingo",IFERROR(INDEX('TECNICOS'!$H$4:$H$19,MATCH($C166,'TECNICOS'!$B$4:$B$19,0)),"no")&lt;&gt;"sí"),"",IF(IFERROR(INDEX('TECNICOS'!$F$4:$F$19,MATCH($C166,'TECNICOS'!$B$4:$B$19,0)),"no")&lt;&gt;"sí","B",IF(MOD((IFERROR(INDEX('TECNICOS'!$G$4:$G$19,MATCH($C166,'TECNICOS'!$B$4:$B$19,0)),0)-1)+((DATE(VALUE(LEFT($A166,4)),1,4)-WEEKDAY(DATE(VALUE(LEFT($A166,4)),1,4),2)+1+(VALUE(MID($A166,7,2))-1)*7)-p_semana_referencia)/7,$F166)&lt;($F166-3),"B"&amp;(($F166-3)-MOD((IFERROR(INDEX('TECNICOS'!$G$4:$G$19,MATCH($C166,'TECNICOS'!$B$4:$B$19,0)),0)-1)+((DATE(VALUE(LEFT($A166,4)),1,4)-WEEKDAY(DATE(VALUE(LEFT($A166,4)),1,4),2)+1+(VALUE(MID($A166,7,2))-1)*7)-p_semana_referencia)/7,$F166)),"T"&amp;($F166-MOD((IFERROR(INDEX('TECNICOS'!$G$4:$G$19,MATCH($C166,'TECNICOS'!$B$4:$B$19,0)),0)-1)+((DATE(VALUE(LEFT($A166,4)),1,4)-WEEKDAY(DATE(VALUE(LEFT($A166,4)),1,4),2)+1+(VALUE(MID($A166,7,2))-1)*7)-p_semana_referencia)/7,$F166)))))</f>
        <v/>
      </c>
      <c r="H166" s="24">
        <f>IF(COUNTIFS('PLAN_VACACIONES'!$A$4:$A$103,$C166,'PLAN_VACACIONES'!$B$4:$B$103,"&lt;="&amp;$L166,'PLAN_VACACIONES'!$C$4:$C$103,"&gt;="&amp;$L166)&gt;0,"sí","no")</f>
        <v/>
      </c>
      <c r="I166" s="4" t="n"/>
      <c r="J166" s="24">
        <f>IF($I166&lt;&gt;"",$I166,IF($G166="","",IF($H166="sí","VAC",IF(LEFT($G166,1)="B","B",$G166))))</f>
        <v/>
      </c>
      <c r="K166" s="24">
        <f>IFERROR(INDEX('TECNICOS'!$E$4:$E$19,MATCH($C166,'TECNICOS'!$B$4:$B$19,0)),"")</f>
        <v/>
      </c>
      <c r="L166" s="30">
        <f>IF($A166="","",DATE(VALUE(LEFT($A166,4)),1,4)-WEEKDAY(DATE(VALUE(LEFT($A166,4)),1,4),2)+1+(VALUE(MID($A166,7,2))-1)*7+MATCH($B166,lista_dias,0)-1)</f>
        <v/>
      </c>
      <c r="M166" s="24">
        <f>IF(OR($J166="",ISNUMBER(MATCH($J166,lista_no_disponible,0)),(IFERROR(INDEX('CALENDARIO'!$C$15:$C$214,MATCH(TEXT($L166,"yyyy-mm-dd")&amp;"|"&amp;$D166&amp;"|"&amp;"",'CALENDARIO'!$G$15:$G$214,0)),IFERROR(INDEX('CALENDARIO'!$C$15:$C$214,MATCH(TEXT($L166,"yyyy-mm-dd")&amp;"|"&amp;$D166&amp;"|",'CALENDARIO'!$G$15:$G$214,0)),IFERROR(INDEX('CALENDARIO'!$C$15:$C$214,MATCH(TEXT($L166,"yyyy-mm-dd")&amp;"||",'CALENDARIO'!$G$15:$G$214,0)),INDEX(patronHabil,WEEKDAY($L166,2))))))&lt;&gt;"sí"),0,p_horas_jornada)</f>
        <v/>
      </c>
      <c r="N166" s="24">
        <f>$A166&amp;"|"&amp;$B166&amp;"|"&amp;$C166</f>
        <v/>
      </c>
      <c r="O166" s="24">
        <f>IFERROR(INDEX('CAT_TURNOS'!$C$4:$C$22,MATCH($J166,'CAT_TURNOS'!$A$4:$A$22,0)),"")</f>
        <v/>
      </c>
      <c r="P166" s="24">
        <f>IFERROR(INDEX('CAT_TURNOS'!$D$4:$D$22,MATCH($J166,'CAT_TURNOS'!$A$4:$A$22,0)),"")</f>
        <v/>
      </c>
      <c r="Q166" s="24">
        <f>IF(AND(LEFT($G166,1)="T",$H166="no"),"sí","no")</f>
        <v/>
      </c>
    </row>
    <row r="167">
      <c r="A167" s="5" t="inlineStr">
        <is>
          <t>2026-S31</t>
        </is>
      </c>
      <c r="B167" s="5" t="inlineStr">
        <is>
          <t>miércoles</t>
        </is>
      </c>
      <c r="C167" s="5" t="inlineStr">
        <is>
          <t>Jorge Díaz</t>
        </is>
      </c>
      <c r="D167" s="24">
        <f>IFERROR(INDEX('TECNICOS'!$D$4:$D$19,MATCH($C167,'TECNICOS'!$B$4:$B$19,0)),"")</f>
        <v/>
      </c>
      <c r="E167" s="24">
        <f>IFERROR(INDEX('TECNICOS'!$C$4:$C$19,MATCH($C167,'TECNICOS'!$B$4:$B$19,0)),"")</f>
        <v/>
      </c>
      <c r="F167" s="24">
        <f>COUNTIFS('TECNICOS'!$F$4:$F$19,"sí",'TECNICOS'!$C$4:$C$19,$E167,'TECNICOS'!$D$4:$D$19,$D167,'TECNICOS'!$H$4:$H$19,"sí")</f>
        <v/>
      </c>
      <c r="G167" s="24">
        <f>IF(OR($C167="",$A167="",$B167="domingo",IFERROR(INDEX('TECNICOS'!$H$4:$H$19,MATCH($C167,'TECNICOS'!$B$4:$B$19,0)),"no")&lt;&gt;"sí"),"",IF(IFERROR(INDEX('TECNICOS'!$F$4:$F$19,MATCH($C167,'TECNICOS'!$B$4:$B$19,0)),"no")&lt;&gt;"sí","B",IF(MOD((IFERROR(INDEX('TECNICOS'!$G$4:$G$19,MATCH($C167,'TECNICOS'!$B$4:$B$19,0)),0)-1)+((DATE(VALUE(LEFT($A167,4)),1,4)-WEEKDAY(DATE(VALUE(LEFT($A167,4)),1,4),2)+1+(VALUE(MID($A167,7,2))-1)*7)-p_semana_referencia)/7,$F167)&lt;($F167-3),"B"&amp;(($F167-3)-MOD((IFERROR(INDEX('TECNICOS'!$G$4:$G$19,MATCH($C167,'TECNICOS'!$B$4:$B$19,0)),0)-1)+((DATE(VALUE(LEFT($A167,4)),1,4)-WEEKDAY(DATE(VALUE(LEFT($A167,4)),1,4),2)+1+(VALUE(MID($A167,7,2))-1)*7)-p_semana_referencia)/7,$F167)),"T"&amp;($F167-MOD((IFERROR(INDEX('TECNICOS'!$G$4:$G$19,MATCH($C167,'TECNICOS'!$B$4:$B$19,0)),0)-1)+((DATE(VALUE(LEFT($A167,4)),1,4)-WEEKDAY(DATE(VALUE(LEFT($A167,4)),1,4),2)+1+(VALUE(MID($A167,7,2))-1)*7)-p_semana_referencia)/7,$F167)))))</f>
        <v/>
      </c>
      <c r="H167" s="24">
        <f>IF(COUNTIFS('PLAN_VACACIONES'!$A$4:$A$103,$C167,'PLAN_VACACIONES'!$B$4:$B$103,"&lt;="&amp;$L167,'PLAN_VACACIONES'!$C$4:$C$103,"&gt;="&amp;$L167)&gt;0,"sí","no")</f>
        <v/>
      </c>
      <c r="I167" s="4" t="n"/>
      <c r="J167" s="24">
        <f>IF($I167&lt;&gt;"",$I167,IF($G167="","",IF($H167="sí","VAC",IF(LEFT($G167,1)="B","B",$G167))))</f>
        <v/>
      </c>
      <c r="K167" s="24">
        <f>IFERROR(INDEX('TECNICOS'!$E$4:$E$19,MATCH($C167,'TECNICOS'!$B$4:$B$19,0)),"")</f>
        <v/>
      </c>
      <c r="L167" s="30">
        <f>IF($A167="","",DATE(VALUE(LEFT($A167,4)),1,4)-WEEKDAY(DATE(VALUE(LEFT($A167,4)),1,4),2)+1+(VALUE(MID($A167,7,2))-1)*7+MATCH($B167,lista_dias,0)-1)</f>
        <v/>
      </c>
      <c r="M167" s="24">
        <f>IF(OR($J167="",ISNUMBER(MATCH($J167,lista_no_disponible,0)),(IFERROR(INDEX('CALENDARIO'!$C$15:$C$214,MATCH(TEXT($L167,"yyyy-mm-dd")&amp;"|"&amp;$D167&amp;"|"&amp;"",'CALENDARIO'!$G$15:$G$214,0)),IFERROR(INDEX('CALENDARIO'!$C$15:$C$214,MATCH(TEXT($L167,"yyyy-mm-dd")&amp;"|"&amp;$D167&amp;"|",'CALENDARIO'!$G$15:$G$214,0)),IFERROR(INDEX('CALENDARIO'!$C$15:$C$214,MATCH(TEXT($L167,"yyyy-mm-dd")&amp;"||",'CALENDARIO'!$G$15:$G$214,0)),INDEX(patronHabil,WEEKDAY($L167,2))))))&lt;&gt;"sí"),0,p_horas_jornada)</f>
        <v/>
      </c>
      <c r="N167" s="24">
        <f>$A167&amp;"|"&amp;$B167&amp;"|"&amp;$C167</f>
        <v/>
      </c>
      <c r="O167" s="24">
        <f>IFERROR(INDEX('CAT_TURNOS'!$C$4:$C$22,MATCH($J167,'CAT_TURNOS'!$A$4:$A$22,0)),"")</f>
        <v/>
      </c>
      <c r="P167" s="24">
        <f>IFERROR(INDEX('CAT_TURNOS'!$D$4:$D$22,MATCH($J167,'CAT_TURNOS'!$A$4:$A$22,0)),"")</f>
        <v/>
      </c>
      <c r="Q167" s="24">
        <f>IF(AND(LEFT($G167,1)="T",$H167="no"),"sí","no")</f>
        <v/>
      </c>
    </row>
    <row r="168">
      <c r="A168" s="5" t="inlineStr">
        <is>
          <t>2026-S31</t>
        </is>
      </c>
      <c r="B168" s="5" t="inlineStr">
        <is>
          <t>jueves</t>
        </is>
      </c>
      <c r="C168" s="5" t="inlineStr">
        <is>
          <t>Jorge Díaz</t>
        </is>
      </c>
      <c r="D168" s="24">
        <f>IFERROR(INDEX('TECNICOS'!$D$4:$D$19,MATCH($C168,'TECNICOS'!$B$4:$B$19,0)),"")</f>
        <v/>
      </c>
      <c r="E168" s="24">
        <f>IFERROR(INDEX('TECNICOS'!$C$4:$C$19,MATCH($C168,'TECNICOS'!$B$4:$B$19,0)),"")</f>
        <v/>
      </c>
      <c r="F168" s="24">
        <f>COUNTIFS('TECNICOS'!$F$4:$F$19,"sí",'TECNICOS'!$C$4:$C$19,$E168,'TECNICOS'!$D$4:$D$19,$D168,'TECNICOS'!$H$4:$H$19,"sí")</f>
        <v/>
      </c>
      <c r="G168" s="24">
        <f>IF(OR($C168="",$A168="",$B168="domingo",IFERROR(INDEX('TECNICOS'!$H$4:$H$19,MATCH($C168,'TECNICOS'!$B$4:$B$19,0)),"no")&lt;&gt;"sí"),"",IF(IFERROR(INDEX('TECNICOS'!$F$4:$F$19,MATCH($C168,'TECNICOS'!$B$4:$B$19,0)),"no")&lt;&gt;"sí","B",IF(MOD((IFERROR(INDEX('TECNICOS'!$G$4:$G$19,MATCH($C168,'TECNICOS'!$B$4:$B$19,0)),0)-1)+((DATE(VALUE(LEFT($A168,4)),1,4)-WEEKDAY(DATE(VALUE(LEFT($A168,4)),1,4),2)+1+(VALUE(MID($A168,7,2))-1)*7)-p_semana_referencia)/7,$F168)&lt;($F168-3),"B"&amp;(($F168-3)-MOD((IFERROR(INDEX('TECNICOS'!$G$4:$G$19,MATCH($C168,'TECNICOS'!$B$4:$B$19,0)),0)-1)+((DATE(VALUE(LEFT($A168,4)),1,4)-WEEKDAY(DATE(VALUE(LEFT($A168,4)),1,4),2)+1+(VALUE(MID($A168,7,2))-1)*7)-p_semana_referencia)/7,$F168)),"T"&amp;($F168-MOD((IFERROR(INDEX('TECNICOS'!$G$4:$G$19,MATCH($C168,'TECNICOS'!$B$4:$B$19,0)),0)-1)+((DATE(VALUE(LEFT($A168,4)),1,4)-WEEKDAY(DATE(VALUE(LEFT($A168,4)),1,4),2)+1+(VALUE(MID($A168,7,2))-1)*7)-p_semana_referencia)/7,$F168)))))</f>
        <v/>
      </c>
      <c r="H168" s="24">
        <f>IF(COUNTIFS('PLAN_VACACIONES'!$A$4:$A$103,$C168,'PLAN_VACACIONES'!$B$4:$B$103,"&lt;="&amp;$L168,'PLAN_VACACIONES'!$C$4:$C$103,"&gt;="&amp;$L168)&gt;0,"sí","no")</f>
        <v/>
      </c>
      <c r="I168" s="4" t="n"/>
      <c r="J168" s="24">
        <f>IF($I168&lt;&gt;"",$I168,IF($G168="","",IF($H168="sí","VAC",IF(LEFT($G168,1)="B","B",$G168))))</f>
        <v/>
      </c>
      <c r="K168" s="24">
        <f>IFERROR(INDEX('TECNICOS'!$E$4:$E$19,MATCH($C168,'TECNICOS'!$B$4:$B$19,0)),"")</f>
        <v/>
      </c>
      <c r="L168" s="30">
        <f>IF($A168="","",DATE(VALUE(LEFT($A168,4)),1,4)-WEEKDAY(DATE(VALUE(LEFT($A168,4)),1,4),2)+1+(VALUE(MID($A168,7,2))-1)*7+MATCH($B168,lista_dias,0)-1)</f>
        <v/>
      </c>
      <c r="M168" s="24">
        <f>IF(OR($J168="",ISNUMBER(MATCH($J168,lista_no_disponible,0)),(IFERROR(INDEX('CALENDARIO'!$C$15:$C$214,MATCH(TEXT($L168,"yyyy-mm-dd")&amp;"|"&amp;$D168&amp;"|"&amp;"",'CALENDARIO'!$G$15:$G$214,0)),IFERROR(INDEX('CALENDARIO'!$C$15:$C$214,MATCH(TEXT($L168,"yyyy-mm-dd")&amp;"|"&amp;$D168&amp;"|",'CALENDARIO'!$G$15:$G$214,0)),IFERROR(INDEX('CALENDARIO'!$C$15:$C$214,MATCH(TEXT($L168,"yyyy-mm-dd")&amp;"||",'CALENDARIO'!$G$15:$G$214,0)),INDEX(patronHabil,WEEKDAY($L168,2))))))&lt;&gt;"sí"),0,p_horas_jornada)</f>
        <v/>
      </c>
      <c r="N168" s="24">
        <f>$A168&amp;"|"&amp;$B168&amp;"|"&amp;$C168</f>
        <v/>
      </c>
      <c r="O168" s="24">
        <f>IFERROR(INDEX('CAT_TURNOS'!$C$4:$C$22,MATCH($J168,'CAT_TURNOS'!$A$4:$A$22,0)),"")</f>
        <v/>
      </c>
      <c r="P168" s="24">
        <f>IFERROR(INDEX('CAT_TURNOS'!$D$4:$D$22,MATCH($J168,'CAT_TURNOS'!$A$4:$A$22,0)),"")</f>
        <v/>
      </c>
      <c r="Q168" s="24">
        <f>IF(AND(LEFT($G168,1)="T",$H168="no"),"sí","no")</f>
        <v/>
      </c>
    </row>
    <row r="169">
      <c r="A169" s="5" t="inlineStr">
        <is>
          <t>2026-S31</t>
        </is>
      </c>
      <c r="B169" s="5" t="inlineStr">
        <is>
          <t>viernes</t>
        </is>
      </c>
      <c r="C169" s="5" t="inlineStr">
        <is>
          <t>Jorge Díaz</t>
        </is>
      </c>
      <c r="D169" s="24">
        <f>IFERROR(INDEX('TECNICOS'!$D$4:$D$19,MATCH($C169,'TECNICOS'!$B$4:$B$19,0)),"")</f>
        <v/>
      </c>
      <c r="E169" s="24">
        <f>IFERROR(INDEX('TECNICOS'!$C$4:$C$19,MATCH($C169,'TECNICOS'!$B$4:$B$19,0)),"")</f>
        <v/>
      </c>
      <c r="F169" s="24">
        <f>COUNTIFS('TECNICOS'!$F$4:$F$19,"sí",'TECNICOS'!$C$4:$C$19,$E169,'TECNICOS'!$D$4:$D$19,$D169,'TECNICOS'!$H$4:$H$19,"sí")</f>
        <v/>
      </c>
      <c r="G169" s="24">
        <f>IF(OR($C169="",$A169="",$B169="domingo",IFERROR(INDEX('TECNICOS'!$H$4:$H$19,MATCH($C169,'TECNICOS'!$B$4:$B$19,0)),"no")&lt;&gt;"sí"),"",IF(IFERROR(INDEX('TECNICOS'!$F$4:$F$19,MATCH($C169,'TECNICOS'!$B$4:$B$19,0)),"no")&lt;&gt;"sí","B",IF(MOD((IFERROR(INDEX('TECNICOS'!$G$4:$G$19,MATCH($C169,'TECNICOS'!$B$4:$B$19,0)),0)-1)+((DATE(VALUE(LEFT($A169,4)),1,4)-WEEKDAY(DATE(VALUE(LEFT($A169,4)),1,4),2)+1+(VALUE(MID($A169,7,2))-1)*7)-p_semana_referencia)/7,$F169)&lt;($F169-3),"B"&amp;(($F169-3)-MOD((IFERROR(INDEX('TECNICOS'!$G$4:$G$19,MATCH($C169,'TECNICOS'!$B$4:$B$19,0)),0)-1)+((DATE(VALUE(LEFT($A169,4)),1,4)-WEEKDAY(DATE(VALUE(LEFT($A169,4)),1,4),2)+1+(VALUE(MID($A169,7,2))-1)*7)-p_semana_referencia)/7,$F169)),"T"&amp;($F169-MOD((IFERROR(INDEX('TECNICOS'!$G$4:$G$19,MATCH($C169,'TECNICOS'!$B$4:$B$19,0)),0)-1)+((DATE(VALUE(LEFT($A169,4)),1,4)-WEEKDAY(DATE(VALUE(LEFT($A169,4)),1,4),2)+1+(VALUE(MID($A169,7,2))-1)*7)-p_semana_referencia)/7,$F169)))))</f>
        <v/>
      </c>
      <c r="H169" s="24">
        <f>IF(COUNTIFS('PLAN_VACACIONES'!$A$4:$A$103,$C169,'PLAN_VACACIONES'!$B$4:$B$103,"&lt;="&amp;$L169,'PLAN_VACACIONES'!$C$4:$C$103,"&gt;="&amp;$L169)&gt;0,"sí","no")</f>
        <v/>
      </c>
      <c r="I169" s="4" t="n"/>
      <c r="J169" s="24">
        <f>IF($I169&lt;&gt;"",$I169,IF($G169="","",IF($H169="sí","VAC",IF(LEFT($G169,1)="B","B",$G169))))</f>
        <v/>
      </c>
      <c r="K169" s="24">
        <f>IFERROR(INDEX('TECNICOS'!$E$4:$E$19,MATCH($C169,'TECNICOS'!$B$4:$B$19,0)),"")</f>
        <v/>
      </c>
      <c r="L169" s="30">
        <f>IF($A169="","",DATE(VALUE(LEFT($A169,4)),1,4)-WEEKDAY(DATE(VALUE(LEFT($A169,4)),1,4),2)+1+(VALUE(MID($A169,7,2))-1)*7+MATCH($B169,lista_dias,0)-1)</f>
        <v/>
      </c>
      <c r="M169" s="24">
        <f>IF(OR($J169="",ISNUMBER(MATCH($J169,lista_no_disponible,0)),(IFERROR(INDEX('CALENDARIO'!$C$15:$C$214,MATCH(TEXT($L169,"yyyy-mm-dd")&amp;"|"&amp;$D169&amp;"|"&amp;"",'CALENDARIO'!$G$15:$G$214,0)),IFERROR(INDEX('CALENDARIO'!$C$15:$C$214,MATCH(TEXT($L169,"yyyy-mm-dd")&amp;"|"&amp;$D169&amp;"|",'CALENDARIO'!$G$15:$G$214,0)),IFERROR(INDEX('CALENDARIO'!$C$15:$C$214,MATCH(TEXT($L169,"yyyy-mm-dd")&amp;"||",'CALENDARIO'!$G$15:$G$214,0)),INDEX(patronHabil,WEEKDAY($L169,2))))))&lt;&gt;"sí"),0,p_horas_jornada)</f>
        <v/>
      </c>
      <c r="N169" s="24">
        <f>$A169&amp;"|"&amp;$B169&amp;"|"&amp;$C169</f>
        <v/>
      </c>
      <c r="O169" s="24">
        <f>IFERROR(INDEX('CAT_TURNOS'!$C$4:$C$22,MATCH($J169,'CAT_TURNOS'!$A$4:$A$22,0)),"")</f>
        <v/>
      </c>
      <c r="P169" s="24">
        <f>IFERROR(INDEX('CAT_TURNOS'!$D$4:$D$22,MATCH($J169,'CAT_TURNOS'!$A$4:$A$22,0)),"")</f>
        <v/>
      </c>
      <c r="Q169" s="24">
        <f>IF(AND(LEFT($G169,1)="T",$H169="no"),"sí","no")</f>
        <v/>
      </c>
    </row>
    <row r="170">
      <c r="A170" s="5" t="inlineStr">
        <is>
          <t>2026-S31</t>
        </is>
      </c>
      <c r="B170" s="5" t="inlineStr">
        <is>
          <t>sábado</t>
        </is>
      </c>
      <c r="C170" s="5" t="inlineStr">
        <is>
          <t>Jorge Díaz</t>
        </is>
      </c>
      <c r="D170" s="24">
        <f>IFERROR(INDEX('TECNICOS'!$D$4:$D$19,MATCH($C170,'TECNICOS'!$B$4:$B$19,0)),"")</f>
        <v/>
      </c>
      <c r="E170" s="24">
        <f>IFERROR(INDEX('TECNICOS'!$C$4:$C$19,MATCH($C170,'TECNICOS'!$B$4:$B$19,0)),"")</f>
        <v/>
      </c>
      <c r="F170" s="24">
        <f>COUNTIFS('TECNICOS'!$F$4:$F$19,"sí",'TECNICOS'!$C$4:$C$19,$E170,'TECNICOS'!$D$4:$D$19,$D170,'TECNICOS'!$H$4:$H$19,"sí")</f>
        <v/>
      </c>
      <c r="G170" s="24">
        <f>IF(OR($C170="",$A170="",$B170="domingo",IFERROR(INDEX('TECNICOS'!$H$4:$H$19,MATCH($C170,'TECNICOS'!$B$4:$B$19,0)),"no")&lt;&gt;"sí"),"",IF(IFERROR(INDEX('TECNICOS'!$F$4:$F$19,MATCH($C170,'TECNICOS'!$B$4:$B$19,0)),"no")&lt;&gt;"sí","B",IF(MOD((IFERROR(INDEX('TECNICOS'!$G$4:$G$19,MATCH($C170,'TECNICOS'!$B$4:$B$19,0)),0)-1)+((DATE(VALUE(LEFT($A170,4)),1,4)-WEEKDAY(DATE(VALUE(LEFT($A170,4)),1,4),2)+1+(VALUE(MID($A170,7,2))-1)*7)-p_semana_referencia)/7,$F170)&lt;($F170-3),"B"&amp;(($F170-3)-MOD((IFERROR(INDEX('TECNICOS'!$G$4:$G$19,MATCH($C170,'TECNICOS'!$B$4:$B$19,0)),0)-1)+((DATE(VALUE(LEFT($A170,4)),1,4)-WEEKDAY(DATE(VALUE(LEFT($A170,4)),1,4),2)+1+(VALUE(MID($A170,7,2))-1)*7)-p_semana_referencia)/7,$F170)),"T"&amp;($F170-MOD((IFERROR(INDEX('TECNICOS'!$G$4:$G$19,MATCH($C170,'TECNICOS'!$B$4:$B$19,0)),0)-1)+((DATE(VALUE(LEFT($A170,4)),1,4)-WEEKDAY(DATE(VALUE(LEFT($A170,4)),1,4),2)+1+(VALUE(MID($A170,7,2))-1)*7)-p_semana_referencia)/7,$F170)))))</f>
        <v/>
      </c>
      <c r="H170" s="24">
        <f>IF(COUNTIFS('PLAN_VACACIONES'!$A$4:$A$103,$C170,'PLAN_VACACIONES'!$B$4:$B$103,"&lt;="&amp;$L170,'PLAN_VACACIONES'!$C$4:$C$103,"&gt;="&amp;$L170)&gt;0,"sí","no")</f>
        <v/>
      </c>
      <c r="I170" s="4" t="n"/>
      <c r="J170" s="24">
        <f>IF($I170&lt;&gt;"",$I170,IF($G170="","",IF($H170="sí","VAC",IF(LEFT($G170,1)="B","B",$G170))))</f>
        <v/>
      </c>
      <c r="K170" s="24">
        <f>IFERROR(INDEX('TECNICOS'!$E$4:$E$19,MATCH($C170,'TECNICOS'!$B$4:$B$19,0)),"")</f>
        <v/>
      </c>
      <c r="L170" s="30">
        <f>IF($A170="","",DATE(VALUE(LEFT($A170,4)),1,4)-WEEKDAY(DATE(VALUE(LEFT($A170,4)),1,4),2)+1+(VALUE(MID($A170,7,2))-1)*7+MATCH($B170,lista_dias,0)-1)</f>
        <v/>
      </c>
      <c r="M170" s="24">
        <f>IF(OR($J170="",ISNUMBER(MATCH($J170,lista_no_disponible,0)),(IFERROR(INDEX('CALENDARIO'!$C$15:$C$214,MATCH(TEXT($L170,"yyyy-mm-dd")&amp;"|"&amp;$D170&amp;"|"&amp;"",'CALENDARIO'!$G$15:$G$214,0)),IFERROR(INDEX('CALENDARIO'!$C$15:$C$214,MATCH(TEXT($L170,"yyyy-mm-dd")&amp;"|"&amp;$D170&amp;"|",'CALENDARIO'!$G$15:$G$214,0)),IFERROR(INDEX('CALENDARIO'!$C$15:$C$214,MATCH(TEXT($L170,"yyyy-mm-dd")&amp;"||",'CALENDARIO'!$G$15:$G$214,0)),INDEX(patronHabil,WEEKDAY($L170,2))))))&lt;&gt;"sí"),0,p_horas_jornada)</f>
        <v/>
      </c>
      <c r="N170" s="24">
        <f>$A170&amp;"|"&amp;$B170&amp;"|"&amp;$C170</f>
        <v/>
      </c>
      <c r="O170" s="24">
        <f>IFERROR(INDEX('CAT_TURNOS'!$C$4:$C$22,MATCH($J170,'CAT_TURNOS'!$A$4:$A$22,0)),"")</f>
        <v/>
      </c>
      <c r="P170" s="24">
        <f>IFERROR(INDEX('CAT_TURNOS'!$D$4:$D$22,MATCH($J170,'CAT_TURNOS'!$A$4:$A$22,0)),"")</f>
        <v/>
      </c>
      <c r="Q170" s="24">
        <f>IF(AND(LEFT($G170,1)="T",$H170="no"),"sí","no")</f>
        <v/>
      </c>
    </row>
    <row r="171">
      <c r="A171" s="5" t="inlineStr">
        <is>
          <t>2026-S31</t>
        </is>
      </c>
      <c r="B171" s="5" t="inlineStr">
        <is>
          <t>domingo</t>
        </is>
      </c>
      <c r="C171" s="5" t="inlineStr">
        <is>
          <t>Jorge Díaz</t>
        </is>
      </c>
      <c r="D171" s="24">
        <f>IFERROR(INDEX('TECNICOS'!$D$4:$D$19,MATCH($C171,'TECNICOS'!$B$4:$B$19,0)),"")</f>
        <v/>
      </c>
      <c r="E171" s="24">
        <f>IFERROR(INDEX('TECNICOS'!$C$4:$C$19,MATCH($C171,'TECNICOS'!$B$4:$B$19,0)),"")</f>
        <v/>
      </c>
      <c r="F171" s="24">
        <f>COUNTIFS('TECNICOS'!$F$4:$F$19,"sí",'TECNICOS'!$C$4:$C$19,$E171,'TECNICOS'!$D$4:$D$19,$D171,'TECNICOS'!$H$4:$H$19,"sí")</f>
        <v/>
      </c>
      <c r="G171" s="24">
        <f>IF(OR($C171="",$A171="",$B171="domingo",IFERROR(INDEX('TECNICOS'!$H$4:$H$19,MATCH($C171,'TECNICOS'!$B$4:$B$19,0)),"no")&lt;&gt;"sí"),"",IF(IFERROR(INDEX('TECNICOS'!$F$4:$F$19,MATCH($C171,'TECNICOS'!$B$4:$B$19,0)),"no")&lt;&gt;"sí","B",IF(MOD((IFERROR(INDEX('TECNICOS'!$G$4:$G$19,MATCH($C171,'TECNICOS'!$B$4:$B$19,0)),0)-1)+((DATE(VALUE(LEFT($A171,4)),1,4)-WEEKDAY(DATE(VALUE(LEFT($A171,4)),1,4),2)+1+(VALUE(MID($A171,7,2))-1)*7)-p_semana_referencia)/7,$F171)&lt;($F171-3),"B"&amp;(($F171-3)-MOD((IFERROR(INDEX('TECNICOS'!$G$4:$G$19,MATCH($C171,'TECNICOS'!$B$4:$B$19,0)),0)-1)+((DATE(VALUE(LEFT($A171,4)),1,4)-WEEKDAY(DATE(VALUE(LEFT($A171,4)),1,4),2)+1+(VALUE(MID($A171,7,2))-1)*7)-p_semana_referencia)/7,$F171)),"T"&amp;($F171-MOD((IFERROR(INDEX('TECNICOS'!$G$4:$G$19,MATCH($C171,'TECNICOS'!$B$4:$B$19,0)),0)-1)+((DATE(VALUE(LEFT($A171,4)),1,4)-WEEKDAY(DATE(VALUE(LEFT($A171,4)),1,4),2)+1+(VALUE(MID($A171,7,2))-1)*7)-p_semana_referencia)/7,$F171)))))</f>
        <v/>
      </c>
      <c r="H171" s="24">
        <f>IF(COUNTIFS('PLAN_VACACIONES'!$A$4:$A$103,$C171,'PLAN_VACACIONES'!$B$4:$B$103,"&lt;="&amp;$L171,'PLAN_VACACIONES'!$C$4:$C$103,"&gt;="&amp;$L171)&gt;0,"sí","no")</f>
        <v/>
      </c>
      <c r="I171" s="4" t="n"/>
      <c r="J171" s="24">
        <f>IF($I171&lt;&gt;"",$I171,IF($G171="","",IF($H171="sí","VAC",IF(LEFT($G171,1)="B","B",$G171))))</f>
        <v/>
      </c>
      <c r="K171" s="24">
        <f>IFERROR(INDEX('TECNICOS'!$E$4:$E$19,MATCH($C171,'TECNICOS'!$B$4:$B$19,0)),"")</f>
        <v/>
      </c>
      <c r="L171" s="30">
        <f>IF($A171="","",DATE(VALUE(LEFT($A171,4)),1,4)-WEEKDAY(DATE(VALUE(LEFT($A171,4)),1,4),2)+1+(VALUE(MID($A171,7,2))-1)*7+MATCH($B171,lista_dias,0)-1)</f>
        <v/>
      </c>
      <c r="M171" s="24">
        <f>IF(OR($J171="",ISNUMBER(MATCH($J171,lista_no_disponible,0)),(IFERROR(INDEX('CALENDARIO'!$C$15:$C$214,MATCH(TEXT($L171,"yyyy-mm-dd")&amp;"|"&amp;$D171&amp;"|"&amp;"",'CALENDARIO'!$G$15:$G$214,0)),IFERROR(INDEX('CALENDARIO'!$C$15:$C$214,MATCH(TEXT($L171,"yyyy-mm-dd")&amp;"|"&amp;$D171&amp;"|",'CALENDARIO'!$G$15:$G$214,0)),IFERROR(INDEX('CALENDARIO'!$C$15:$C$214,MATCH(TEXT($L171,"yyyy-mm-dd")&amp;"||",'CALENDARIO'!$G$15:$G$214,0)),INDEX(patronHabil,WEEKDAY($L171,2))))))&lt;&gt;"sí"),0,p_horas_jornada)</f>
        <v/>
      </c>
      <c r="N171" s="24">
        <f>$A171&amp;"|"&amp;$B171&amp;"|"&amp;$C171</f>
        <v/>
      </c>
      <c r="O171" s="24">
        <f>IFERROR(INDEX('CAT_TURNOS'!$C$4:$C$22,MATCH($J171,'CAT_TURNOS'!$A$4:$A$22,0)),"")</f>
        <v/>
      </c>
      <c r="P171" s="24">
        <f>IFERROR(INDEX('CAT_TURNOS'!$D$4:$D$22,MATCH($J171,'CAT_TURNOS'!$A$4:$A$22,0)),"")</f>
        <v/>
      </c>
      <c r="Q171" s="24">
        <f>IF(AND(LEFT($G171,1)="T",$H171="no"),"sí","no")</f>
        <v/>
      </c>
    </row>
    <row r="172">
      <c r="A172" s="5" t="inlineStr">
        <is>
          <t>2026-S31</t>
        </is>
      </c>
      <c r="B172" s="5" t="inlineStr">
        <is>
          <t>lunes</t>
        </is>
      </c>
      <c r="C172" s="5" t="inlineStr">
        <is>
          <t>Roberto Castro</t>
        </is>
      </c>
      <c r="D172" s="24">
        <f>IFERROR(INDEX('TECNICOS'!$D$4:$D$19,MATCH($C172,'TECNICOS'!$B$4:$B$19,0)),"")</f>
        <v/>
      </c>
      <c r="E172" s="24">
        <f>IFERROR(INDEX('TECNICOS'!$C$4:$C$19,MATCH($C172,'TECNICOS'!$B$4:$B$19,0)),"")</f>
        <v/>
      </c>
      <c r="F172" s="24">
        <f>COUNTIFS('TECNICOS'!$F$4:$F$19,"sí",'TECNICOS'!$C$4:$C$19,$E172,'TECNICOS'!$D$4:$D$19,$D172,'TECNICOS'!$H$4:$H$19,"sí")</f>
        <v/>
      </c>
      <c r="G172" s="24">
        <f>IF(OR($C172="",$A172="",$B172="domingo",IFERROR(INDEX('TECNICOS'!$H$4:$H$19,MATCH($C172,'TECNICOS'!$B$4:$B$19,0)),"no")&lt;&gt;"sí"),"",IF(IFERROR(INDEX('TECNICOS'!$F$4:$F$19,MATCH($C172,'TECNICOS'!$B$4:$B$19,0)),"no")&lt;&gt;"sí","B",IF(MOD((IFERROR(INDEX('TECNICOS'!$G$4:$G$19,MATCH($C172,'TECNICOS'!$B$4:$B$19,0)),0)-1)+((DATE(VALUE(LEFT($A172,4)),1,4)-WEEKDAY(DATE(VALUE(LEFT($A172,4)),1,4),2)+1+(VALUE(MID($A172,7,2))-1)*7)-p_semana_referencia)/7,$F172)&lt;($F172-3),"B"&amp;(($F172-3)-MOD((IFERROR(INDEX('TECNICOS'!$G$4:$G$19,MATCH($C172,'TECNICOS'!$B$4:$B$19,0)),0)-1)+((DATE(VALUE(LEFT($A172,4)),1,4)-WEEKDAY(DATE(VALUE(LEFT($A172,4)),1,4),2)+1+(VALUE(MID($A172,7,2))-1)*7)-p_semana_referencia)/7,$F172)),"T"&amp;($F172-MOD((IFERROR(INDEX('TECNICOS'!$G$4:$G$19,MATCH($C172,'TECNICOS'!$B$4:$B$19,0)),0)-1)+((DATE(VALUE(LEFT($A172,4)),1,4)-WEEKDAY(DATE(VALUE(LEFT($A172,4)),1,4),2)+1+(VALUE(MID($A172,7,2))-1)*7)-p_semana_referencia)/7,$F172)))))</f>
        <v/>
      </c>
      <c r="H172" s="24">
        <f>IF(COUNTIFS('PLAN_VACACIONES'!$A$4:$A$103,$C172,'PLAN_VACACIONES'!$B$4:$B$103,"&lt;="&amp;$L172,'PLAN_VACACIONES'!$C$4:$C$103,"&gt;="&amp;$L172)&gt;0,"sí","no")</f>
        <v/>
      </c>
      <c r="I172" s="4" t="n"/>
      <c r="J172" s="24">
        <f>IF($I172&lt;&gt;"",$I172,IF($G172="","",IF($H172="sí","VAC",IF(LEFT($G172,1)="B","B",$G172))))</f>
        <v/>
      </c>
      <c r="K172" s="24">
        <f>IFERROR(INDEX('TECNICOS'!$E$4:$E$19,MATCH($C172,'TECNICOS'!$B$4:$B$19,0)),"")</f>
        <v/>
      </c>
      <c r="L172" s="30">
        <f>IF($A172="","",DATE(VALUE(LEFT($A172,4)),1,4)-WEEKDAY(DATE(VALUE(LEFT($A172,4)),1,4),2)+1+(VALUE(MID($A172,7,2))-1)*7+MATCH($B172,lista_dias,0)-1)</f>
        <v/>
      </c>
      <c r="M172" s="24">
        <f>IF(OR($J172="",ISNUMBER(MATCH($J172,lista_no_disponible,0)),(IFERROR(INDEX('CALENDARIO'!$C$15:$C$214,MATCH(TEXT($L172,"yyyy-mm-dd")&amp;"|"&amp;$D172&amp;"|"&amp;"",'CALENDARIO'!$G$15:$G$214,0)),IFERROR(INDEX('CALENDARIO'!$C$15:$C$214,MATCH(TEXT($L172,"yyyy-mm-dd")&amp;"|"&amp;$D172&amp;"|",'CALENDARIO'!$G$15:$G$214,0)),IFERROR(INDEX('CALENDARIO'!$C$15:$C$214,MATCH(TEXT($L172,"yyyy-mm-dd")&amp;"||",'CALENDARIO'!$G$15:$G$214,0)),INDEX(patronHabil,WEEKDAY($L172,2))))))&lt;&gt;"sí"),0,p_horas_jornada)</f>
        <v/>
      </c>
      <c r="N172" s="24">
        <f>$A172&amp;"|"&amp;$B172&amp;"|"&amp;$C172</f>
        <v/>
      </c>
      <c r="O172" s="24">
        <f>IFERROR(INDEX('CAT_TURNOS'!$C$4:$C$22,MATCH($J172,'CAT_TURNOS'!$A$4:$A$22,0)),"")</f>
        <v/>
      </c>
      <c r="P172" s="24">
        <f>IFERROR(INDEX('CAT_TURNOS'!$D$4:$D$22,MATCH($J172,'CAT_TURNOS'!$A$4:$A$22,0)),"")</f>
        <v/>
      </c>
      <c r="Q172" s="24">
        <f>IF(AND(LEFT($G172,1)="T",$H172="no"),"sí","no")</f>
        <v/>
      </c>
    </row>
    <row r="173">
      <c r="A173" s="5" t="inlineStr">
        <is>
          <t>2026-S31</t>
        </is>
      </c>
      <c r="B173" s="5" t="inlineStr">
        <is>
          <t>martes</t>
        </is>
      </c>
      <c r="C173" s="5" t="inlineStr">
        <is>
          <t>Roberto Castro</t>
        </is>
      </c>
      <c r="D173" s="24">
        <f>IFERROR(INDEX('TECNICOS'!$D$4:$D$19,MATCH($C173,'TECNICOS'!$B$4:$B$19,0)),"")</f>
        <v/>
      </c>
      <c r="E173" s="24">
        <f>IFERROR(INDEX('TECNICOS'!$C$4:$C$19,MATCH($C173,'TECNICOS'!$B$4:$B$19,0)),"")</f>
        <v/>
      </c>
      <c r="F173" s="24">
        <f>COUNTIFS('TECNICOS'!$F$4:$F$19,"sí",'TECNICOS'!$C$4:$C$19,$E173,'TECNICOS'!$D$4:$D$19,$D173,'TECNICOS'!$H$4:$H$19,"sí")</f>
        <v/>
      </c>
      <c r="G173" s="24">
        <f>IF(OR($C173="",$A173="",$B173="domingo",IFERROR(INDEX('TECNICOS'!$H$4:$H$19,MATCH($C173,'TECNICOS'!$B$4:$B$19,0)),"no")&lt;&gt;"sí"),"",IF(IFERROR(INDEX('TECNICOS'!$F$4:$F$19,MATCH($C173,'TECNICOS'!$B$4:$B$19,0)),"no")&lt;&gt;"sí","B",IF(MOD((IFERROR(INDEX('TECNICOS'!$G$4:$G$19,MATCH($C173,'TECNICOS'!$B$4:$B$19,0)),0)-1)+((DATE(VALUE(LEFT($A173,4)),1,4)-WEEKDAY(DATE(VALUE(LEFT($A173,4)),1,4),2)+1+(VALUE(MID($A173,7,2))-1)*7)-p_semana_referencia)/7,$F173)&lt;($F173-3),"B"&amp;(($F173-3)-MOD((IFERROR(INDEX('TECNICOS'!$G$4:$G$19,MATCH($C173,'TECNICOS'!$B$4:$B$19,0)),0)-1)+((DATE(VALUE(LEFT($A173,4)),1,4)-WEEKDAY(DATE(VALUE(LEFT($A173,4)),1,4),2)+1+(VALUE(MID($A173,7,2))-1)*7)-p_semana_referencia)/7,$F173)),"T"&amp;($F173-MOD((IFERROR(INDEX('TECNICOS'!$G$4:$G$19,MATCH($C173,'TECNICOS'!$B$4:$B$19,0)),0)-1)+((DATE(VALUE(LEFT($A173,4)),1,4)-WEEKDAY(DATE(VALUE(LEFT($A173,4)),1,4),2)+1+(VALUE(MID($A173,7,2))-1)*7)-p_semana_referencia)/7,$F173)))))</f>
        <v/>
      </c>
      <c r="H173" s="24">
        <f>IF(COUNTIFS('PLAN_VACACIONES'!$A$4:$A$103,$C173,'PLAN_VACACIONES'!$B$4:$B$103,"&lt;="&amp;$L173,'PLAN_VACACIONES'!$C$4:$C$103,"&gt;="&amp;$L173)&gt;0,"sí","no")</f>
        <v/>
      </c>
      <c r="I173" s="4" t="n"/>
      <c r="J173" s="24">
        <f>IF($I173&lt;&gt;"",$I173,IF($G173="","",IF($H173="sí","VAC",IF(LEFT($G173,1)="B","B",$G173))))</f>
        <v/>
      </c>
      <c r="K173" s="24">
        <f>IFERROR(INDEX('TECNICOS'!$E$4:$E$19,MATCH($C173,'TECNICOS'!$B$4:$B$19,0)),"")</f>
        <v/>
      </c>
      <c r="L173" s="30">
        <f>IF($A173="","",DATE(VALUE(LEFT($A173,4)),1,4)-WEEKDAY(DATE(VALUE(LEFT($A173,4)),1,4),2)+1+(VALUE(MID($A173,7,2))-1)*7+MATCH($B173,lista_dias,0)-1)</f>
        <v/>
      </c>
      <c r="M173" s="24">
        <f>IF(OR($J173="",ISNUMBER(MATCH($J173,lista_no_disponible,0)),(IFERROR(INDEX('CALENDARIO'!$C$15:$C$214,MATCH(TEXT($L173,"yyyy-mm-dd")&amp;"|"&amp;$D173&amp;"|"&amp;"",'CALENDARIO'!$G$15:$G$214,0)),IFERROR(INDEX('CALENDARIO'!$C$15:$C$214,MATCH(TEXT($L173,"yyyy-mm-dd")&amp;"|"&amp;$D173&amp;"|",'CALENDARIO'!$G$15:$G$214,0)),IFERROR(INDEX('CALENDARIO'!$C$15:$C$214,MATCH(TEXT($L173,"yyyy-mm-dd")&amp;"||",'CALENDARIO'!$G$15:$G$214,0)),INDEX(patronHabil,WEEKDAY($L173,2))))))&lt;&gt;"sí"),0,p_horas_jornada)</f>
        <v/>
      </c>
      <c r="N173" s="24">
        <f>$A173&amp;"|"&amp;$B173&amp;"|"&amp;$C173</f>
        <v/>
      </c>
      <c r="O173" s="24">
        <f>IFERROR(INDEX('CAT_TURNOS'!$C$4:$C$22,MATCH($J173,'CAT_TURNOS'!$A$4:$A$22,0)),"")</f>
        <v/>
      </c>
      <c r="P173" s="24">
        <f>IFERROR(INDEX('CAT_TURNOS'!$D$4:$D$22,MATCH($J173,'CAT_TURNOS'!$A$4:$A$22,0)),"")</f>
        <v/>
      </c>
      <c r="Q173" s="24">
        <f>IF(AND(LEFT($G173,1)="T",$H173="no"),"sí","no")</f>
        <v/>
      </c>
    </row>
    <row r="174">
      <c r="A174" s="5" t="inlineStr">
        <is>
          <t>2026-S31</t>
        </is>
      </c>
      <c r="B174" s="5" t="inlineStr">
        <is>
          <t>miércoles</t>
        </is>
      </c>
      <c r="C174" s="5" t="inlineStr">
        <is>
          <t>Roberto Castro</t>
        </is>
      </c>
      <c r="D174" s="24">
        <f>IFERROR(INDEX('TECNICOS'!$D$4:$D$19,MATCH($C174,'TECNICOS'!$B$4:$B$19,0)),"")</f>
        <v/>
      </c>
      <c r="E174" s="24">
        <f>IFERROR(INDEX('TECNICOS'!$C$4:$C$19,MATCH($C174,'TECNICOS'!$B$4:$B$19,0)),"")</f>
        <v/>
      </c>
      <c r="F174" s="24">
        <f>COUNTIFS('TECNICOS'!$F$4:$F$19,"sí",'TECNICOS'!$C$4:$C$19,$E174,'TECNICOS'!$D$4:$D$19,$D174,'TECNICOS'!$H$4:$H$19,"sí")</f>
        <v/>
      </c>
      <c r="G174" s="24">
        <f>IF(OR($C174="",$A174="",$B174="domingo",IFERROR(INDEX('TECNICOS'!$H$4:$H$19,MATCH($C174,'TECNICOS'!$B$4:$B$19,0)),"no")&lt;&gt;"sí"),"",IF(IFERROR(INDEX('TECNICOS'!$F$4:$F$19,MATCH($C174,'TECNICOS'!$B$4:$B$19,0)),"no")&lt;&gt;"sí","B",IF(MOD((IFERROR(INDEX('TECNICOS'!$G$4:$G$19,MATCH($C174,'TECNICOS'!$B$4:$B$19,0)),0)-1)+((DATE(VALUE(LEFT($A174,4)),1,4)-WEEKDAY(DATE(VALUE(LEFT($A174,4)),1,4),2)+1+(VALUE(MID($A174,7,2))-1)*7)-p_semana_referencia)/7,$F174)&lt;($F174-3),"B"&amp;(($F174-3)-MOD((IFERROR(INDEX('TECNICOS'!$G$4:$G$19,MATCH($C174,'TECNICOS'!$B$4:$B$19,0)),0)-1)+((DATE(VALUE(LEFT($A174,4)),1,4)-WEEKDAY(DATE(VALUE(LEFT($A174,4)),1,4),2)+1+(VALUE(MID($A174,7,2))-1)*7)-p_semana_referencia)/7,$F174)),"T"&amp;($F174-MOD((IFERROR(INDEX('TECNICOS'!$G$4:$G$19,MATCH($C174,'TECNICOS'!$B$4:$B$19,0)),0)-1)+((DATE(VALUE(LEFT($A174,4)),1,4)-WEEKDAY(DATE(VALUE(LEFT($A174,4)),1,4),2)+1+(VALUE(MID($A174,7,2))-1)*7)-p_semana_referencia)/7,$F174)))))</f>
        <v/>
      </c>
      <c r="H174" s="24">
        <f>IF(COUNTIFS('PLAN_VACACIONES'!$A$4:$A$103,$C174,'PLAN_VACACIONES'!$B$4:$B$103,"&lt;="&amp;$L174,'PLAN_VACACIONES'!$C$4:$C$103,"&gt;="&amp;$L174)&gt;0,"sí","no")</f>
        <v/>
      </c>
      <c r="I174" s="4" t="n"/>
      <c r="J174" s="24">
        <f>IF($I174&lt;&gt;"",$I174,IF($G174="","",IF($H174="sí","VAC",IF(LEFT($G174,1)="B","B",$G174))))</f>
        <v/>
      </c>
      <c r="K174" s="24">
        <f>IFERROR(INDEX('TECNICOS'!$E$4:$E$19,MATCH($C174,'TECNICOS'!$B$4:$B$19,0)),"")</f>
        <v/>
      </c>
      <c r="L174" s="30">
        <f>IF($A174="","",DATE(VALUE(LEFT($A174,4)),1,4)-WEEKDAY(DATE(VALUE(LEFT($A174,4)),1,4),2)+1+(VALUE(MID($A174,7,2))-1)*7+MATCH($B174,lista_dias,0)-1)</f>
        <v/>
      </c>
      <c r="M174" s="24">
        <f>IF(OR($J174="",ISNUMBER(MATCH($J174,lista_no_disponible,0)),(IFERROR(INDEX('CALENDARIO'!$C$15:$C$214,MATCH(TEXT($L174,"yyyy-mm-dd")&amp;"|"&amp;$D174&amp;"|"&amp;"",'CALENDARIO'!$G$15:$G$214,0)),IFERROR(INDEX('CALENDARIO'!$C$15:$C$214,MATCH(TEXT($L174,"yyyy-mm-dd")&amp;"|"&amp;$D174&amp;"|",'CALENDARIO'!$G$15:$G$214,0)),IFERROR(INDEX('CALENDARIO'!$C$15:$C$214,MATCH(TEXT($L174,"yyyy-mm-dd")&amp;"||",'CALENDARIO'!$G$15:$G$214,0)),INDEX(patronHabil,WEEKDAY($L174,2))))))&lt;&gt;"sí"),0,p_horas_jornada)</f>
        <v/>
      </c>
      <c r="N174" s="24">
        <f>$A174&amp;"|"&amp;$B174&amp;"|"&amp;$C174</f>
        <v/>
      </c>
      <c r="O174" s="24">
        <f>IFERROR(INDEX('CAT_TURNOS'!$C$4:$C$22,MATCH($J174,'CAT_TURNOS'!$A$4:$A$22,0)),"")</f>
        <v/>
      </c>
      <c r="P174" s="24">
        <f>IFERROR(INDEX('CAT_TURNOS'!$D$4:$D$22,MATCH($J174,'CAT_TURNOS'!$A$4:$A$22,0)),"")</f>
        <v/>
      </c>
      <c r="Q174" s="24">
        <f>IF(AND(LEFT($G174,1)="T",$H174="no"),"sí","no")</f>
        <v/>
      </c>
    </row>
    <row r="175">
      <c r="A175" s="5" t="inlineStr">
        <is>
          <t>2026-S31</t>
        </is>
      </c>
      <c r="B175" s="5" t="inlineStr">
        <is>
          <t>jueves</t>
        </is>
      </c>
      <c r="C175" s="5" t="inlineStr">
        <is>
          <t>Roberto Castro</t>
        </is>
      </c>
      <c r="D175" s="24">
        <f>IFERROR(INDEX('TECNICOS'!$D$4:$D$19,MATCH($C175,'TECNICOS'!$B$4:$B$19,0)),"")</f>
        <v/>
      </c>
      <c r="E175" s="24">
        <f>IFERROR(INDEX('TECNICOS'!$C$4:$C$19,MATCH($C175,'TECNICOS'!$B$4:$B$19,0)),"")</f>
        <v/>
      </c>
      <c r="F175" s="24">
        <f>COUNTIFS('TECNICOS'!$F$4:$F$19,"sí",'TECNICOS'!$C$4:$C$19,$E175,'TECNICOS'!$D$4:$D$19,$D175,'TECNICOS'!$H$4:$H$19,"sí")</f>
        <v/>
      </c>
      <c r="G175" s="24">
        <f>IF(OR($C175="",$A175="",$B175="domingo",IFERROR(INDEX('TECNICOS'!$H$4:$H$19,MATCH($C175,'TECNICOS'!$B$4:$B$19,0)),"no")&lt;&gt;"sí"),"",IF(IFERROR(INDEX('TECNICOS'!$F$4:$F$19,MATCH($C175,'TECNICOS'!$B$4:$B$19,0)),"no")&lt;&gt;"sí","B",IF(MOD((IFERROR(INDEX('TECNICOS'!$G$4:$G$19,MATCH($C175,'TECNICOS'!$B$4:$B$19,0)),0)-1)+((DATE(VALUE(LEFT($A175,4)),1,4)-WEEKDAY(DATE(VALUE(LEFT($A175,4)),1,4),2)+1+(VALUE(MID($A175,7,2))-1)*7)-p_semana_referencia)/7,$F175)&lt;($F175-3),"B"&amp;(($F175-3)-MOD((IFERROR(INDEX('TECNICOS'!$G$4:$G$19,MATCH($C175,'TECNICOS'!$B$4:$B$19,0)),0)-1)+((DATE(VALUE(LEFT($A175,4)),1,4)-WEEKDAY(DATE(VALUE(LEFT($A175,4)),1,4),2)+1+(VALUE(MID($A175,7,2))-1)*7)-p_semana_referencia)/7,$F175)),"T"&amp;($F175-MOD((IFERROR(INDEX('TECNICOS'!$G$4:$G$19,MATCH($C175,'TECNICOS'!$B$4:$B$19,0)),0)-1)+((DATE(VALUE(LEFT($A175,4)),1,4)-WEEKDAY(DATE(VALUE(LEFT($A175,4)),1,4),2)+1+(VALUE(MID($A175,7,2))-1)*7)-p_semana_referencia)/7,$F175)))))</f>
        <v/>
      </c>
      <c r="H175" s="24">
        <f>IF(COUNTIFS('PLAN_VACACIONES'!$A$4:$A$103,$C175,'PLAN_VACACIONES'!$B$4:$B$103,"&lt;="&amp;$L175,'PLAN_VACACIONES'!$C$4:$C$103,"&gt;="&amp;$L175)&gt;0,"sí","no")</f>
        <v/>
      </c>
      <c r="I175" s="4" t="n"/>
      <c r="J175" s="24">
        <f>IF($I175&lt;&gt;"",$I175,IF($G175="","",IF($H175="sí","VAC",IF(LEFT($G175,1)="B","B",$G175))))</f>
        <v/>
      </c>
      <c r="K175" s="24">
        <f>IFERROR(INDEX('TECNICOS'!$E$4:$E$19,MATCH($C175,'TECNICOS'!$B$4:$B$19,0)),"")</f>
        <v/>
      </c>
      <c r="L175" s="30">
        <f>IF($A175="","",DATE(VALUE(LEFT($A175,4)),1,4)-WEEKDAY(DATE(VALUE(LEFT($A175,4)),1,4),2)+1+(VALUE(MID($A175,7,2))-1)*7+MATCH($B175,lista_dias,0)-1)</f>
        <v/>
      </c>
      <c r="M175" s="24">
        <f>IF(OR($J175="",ISNUMBER(MATCH($J175,lista_no_disponible,0)),(IFERROR(INDEX('CALENDARIO'!$C$15:$C$214,MATCH(TEXT($L175,"yyyy-mm-dd")&amp;"|"&amp;$D175&amp;"|"&amp;"",'CALENDARIO'!$G$15:$G$214,0)),IFERROR(INDEX('CALENDARIO'!$C$15:$C$214,MATCH(TEXT($L175,"yyyy-mm-dd")&amp;"|"&amp;$D175&amp;"|",'CALENDARIO'!$G$15:$G$214,0)),IFERROR(INDEX('CALENDARIO'!$C$15:$C$214,MATCH(TEXT($L175,"yyyy-mm-dd")&amp;"||",'CALENDARIO'!$G$15:$G$214,0)),INDEX(patronHabil,WEEKDAY($L175,2))))))&lt;&gt;"sí"),0,p_horas_jornada)</f>
        <v/>
      </c>
      <c r="N175" s="24">
        <f>$A175&amp;"|"&amp;$B175&amp;"|"&amp;$C175</f>
        <v/>
      </c>
      <c r="O175" s="24">
        <f>IFERROR(INDEX('CAT_TURNOS'!$C$4:$C$22,MATCH($J175,'CAT_TURNOS'!$A$4:$A$22,0)),"")</f>
        <v/>
      </c>
      <c r="P175" s="24">
        <f>IFERROR(INDEX('CAT_TURNOS'!$D$4:$D$22,MATCH($J175,'CAT_TURNOS'!$A$4:$A$22,0)),"")</f>
        <v/>
      </c>
      <c r="Q175" s="24">
        <f>IF(AND(LEFT($G175,1)="T",$H175="no"),"sí","no")</f>
        <v/>
      </c>
    </row>
    <row r="176">
      <c r="A176" s="5" t="inlineStr">
        <is>
          <t>2026-S31</t>
        </is>
      </c>
      <c r="B176" s="5" t="inlineStr">
        <is>
          <t>viernes</t>
        </is>
      </c>
      <c r="C176" s="5" t="inlineStr">
        <is>
          <t>Roberto Castro</t>
        </is>
      </c>
      <c r="D176" s="24">
        <f>IFERROR(INDEX('TECNICOS'!$D$4:$D$19,MATCH($C176,'TECNICOS'!$B$4:$B$19,0)),"")</f>
        <v/>
      </c>
      <c r="E176" s="24">
        <f>IFERROR(INDEX('TECNICOS'!$C$4:$C$19,MATCH($C176,'TECNICOS'!$B$4:$B$19,0)),"")</f>
        <v/>
      </c>
      <c r="F176" s="24">
        <f>COUNTIFS('TECNICOS'!$F$4:$F$19,"sí",'TECNICOS'!$C$4:$C$19,$E176,'TECNICOS'!$D$4:$D$19,$D176,'TECNICOS'!$H$4:$H$19,"sí")</f>
        <v/>
      </c>
      <c r="G176" s="24">
        <f>IF(OR($C176="",$A176="",$B176="domingo",IFERROR(INDEX('TECNICOS'!$H$4:$H$19,MATCH($C176,'TECNICOS'!$B$4:$B$19,0)),"no")&lt;&gt;"sí"),"",IF(IFERROR(INDEX('TECNICOS'!$F$4:$F$19,MATCH($C176,'TECNICOS'!$B$4:$B$19,0)),"no")&lt;&gt;"sí","B",IF(MOD((IFERROR(INDEX('TECNICOS'!$G$4:$G$19,MATCH($C176,'TECNICOS'!$B$4:$B$19,0)),0)-1)+((DATE(VALUE(LEFT($A176,4)),1,4)-WEEKDAY(DATE(VALUE(LEFT($A176,4)),1,4),2)+1+(VALUE(MID($A176,7,2))-1)*7)-p_semana_referencia)/7,$F176)&lt;($F176-3),"B"&amp;(($F176-3)-MOD((IFERROR(INDEX('TECNICOS'!$G$4:$G$19,MATCH($C176,'TECNICOS'!$B$4:$B$19,0)),0)-1)+((DATE(VALUE(LEFT($A176,4)),1,4)-WEEKDAY(DATE(VALUE(LEFT($A176,4)),1,4),2)+1+(VALUE(MID($A176,7,2))-1)*7)-p_semana_referencia)/7,$F176)),"T"&amp;($F176-MOD((IFERROR(INDEX('TECNICOS'!$G$4:$G$19,MATCH($C176,'TECNICOS'!$B$4:$B$19,0)),0)-1)+((DATE(VALUE(LEFT($A176,4)),1,4)-WEEKDAY(DATE(VALUE(LEFT($A176,4)),1,4),2)+1+(VALUE(MID($A176,7,2))-1)*7)-p_semana_referencia)/7,$F176)))))</f>
        <v/>
      </c>
      <c r="H176" s="24">
        <f>IF(COUNTIFS('PLAN_VACACIONES'!$A$4:$A$103,$C176,'PLAN_VACACIONES'!$B$4:$B$103,"&lt;="&amp;$L176,'PLAN_VACACIONES'!$C$4:$C$103,"&gt;="&amp;$L176)&gt;0,"sí","no")</f>
        <v/>
      </c>
      <c r="I176" s="4" t="n"/>
      <c r="J176" s="24">
        <f>IF($I176&lt;&gt;"",$I176,IF($G176="","",IF($H176="sí","VAC",IF(LEFT($G176,1)="B","B",$G176))))</f>
        <v/>
      </c>
      <c r="K176" s="24">
        <f>IFERROR(INDEX('TECNICOS'!$E$4:$E$19,MATCH($C176,'TECNICOS'!$B$4:$B$19,0)),"")</f>
        <v/>
      </c>
      <c r="L176" s="30">
        <f>IF($A176="","",DATE(VALUE(LEFT($A176,4)),1,4)-WEEKDAY(DATE(VALUE(LEFT($A176,4)),1,4),2)+1+(VALUE(MID($A176,7,2))-1)*7+MATCH($B176,lista_dias,0)-1)</f>
        <v/>
      </c>
      <c r="M176" s="24">
        <f>IF(OR($J176="",ISNUMBER(MATCH($J176,lista_no_disponible,0)),(IFERROR(INDEX('CALENDARIO'!$C$15:$C$214,MATCH(TEXT($L176,"yyyy-mm-dd")&amp;"|"&amp;$D176&amp;"|"&amp;"",'CALENDARIO'!$G$15:$G$214,0)),IFERROR(INDEX('CALENDARIO'!$C$15:$C$214,MATCH(TEXT($L176,"yyyy-mm-dd")&amp;"|"&amp;$D176&amp;"|",'CALENDARIO'!$G$15:$G$214,0)),IFERROR(INDEX('CALENDARIO'!$C$15:$C$214,MATCH(TEXT($L176,"yyyy-mm-dd")&amp;"||",'CALENDARIO'!$G$15:$G$214,0)),INDEX(patronHabil,WEEKDAY($L176,2))))))&lt;&gt;"sí"),0,p_horas_jornada)</f>
        <v/>
      </c>
      <c r="N176" s="24">
        <f>$A176&amp;"|"&amp;$B176&amp;"|"&amp;$C176</f>
        <v/>
      </c>
      <c r="O176" s="24">
        <f>IFERROR(INDEX('CAT_TURNOS'!$C$4:$C$22,MATCH($J176,'CAT_TURNOS'!$A$4:$A$22,0)),"")</f>
        <v/>
      </c>
      <c r="P176" s="24">
        <f>IFERROR(INDEX('CAT_TURNOS'!$D$4:$D$22,MATCH($J176,'CAT_TURNOS'!$A$4:$A$22,0)),"")</f>
        <v/>
      </c>
      <c r="Q176" s="24">
        <f>IF(AND(LEFT($G176,1)="T",$H176="no"),"sí","no")</f>
        <v/>
      </c>
    </row>
    <row r="177">
      <c r="A177" s="5" t="inlineStr">
        <is>
          <t>2026-S31</t>
        </is>
      </c>
      <c r="B177" s="5" t="inlineStr">
        <is>
          <t>sábado</t>
        </is>
      </c>
      <c r="C177" s="5" t="inlineStr">
        <is>
          <t>Roberto Castro</t>
        </is>
      </c>
      <c r="D177" s="24">
        <f>IFERROR(INDEX('TECNICOS'!$D$4:$D$19,MATCH($C177,'TECNICOS'!$B$4:$B$19,0)),"")</f>
        <v/>
      </c>
      <c r="E177" s="24">
        <f>IFERROR(INDEX('TECNICOS'!$C$4:$C$19,MATCH($C177,'TECNICOS'!$B$4:$B$19,0)),"")</f>
        <v/>
      </c>
      <c r="F177" s="24">
        <f>COUNTIFS('TECNICOS'!$F$4:$F$19,"sí",'TECNICOS'!$C$4:$C$19,$E177,'TECNICOS'!$D$4:$D$19,$D177,'TECNICOS'!$H$4:$H$19,"sí")</f>
        <v/>
      </c>
      <c r="G177" s="24">
        <f>IF(OR($C177="",$A177="",$B177="domingo",IFERROR(INDEX('TECNICOS'!$H$4:$H$19,MATCH($C177,'TECNICOS'!$B$4:$B$19,0)),"no")&lt;&gt;"sí"),"",IF(IFERROR(INDEX('TECNICOS'!$F$4:$F$19,MATCH($C177,'TECNICOS'!$B$4:$B$19,0)),"no")&lt;&gt;"sí","B",IF(MOD((IFERROR(INDEX('TECNICOS'!$G$4:$G$19,MATCH($C177,'TECNICOS'!$B$4:$B$19,0)),0)-1)+((DATE(VALUE(LEFT($A177,4)),1,4)-WEEKDAY(DATE(VALUE(LEFT($A177,4)),1,4),2)+1+(VALUE(MID($A177,7,2))-1)*7)-p_semana_referencia)/7,$F177)&lt;($F177-3),"B"&amp;(($F177-3)-MOD((IFERROR(INDEX('TECNICOS'!$G$4:$G$19,MATCH($C177,'TECNICOS'!$B$4:$B$19,0)),0)-1)+((DATE(VALUE(LEFT($A177,4)),1,4)-WEEKDAY(DATE(VALUE(LEFT($A177,4)),1,4),2)+1+(VALUE(MID($A177,7,2))-1)*7)-p_semana_referencia)/7,$F177)),"T"&amp;($F177-MOD((IFERROR(INDEX('TECNICOS'!$G$4:$G$19,MATCH($C177,'TECNICOS'!$B$4:$B$19,0)),0)-1)+((DATE(VALUE(LEFT($A177,4)),1,4)-WEEKDAY(DATE(VALUE(LEFT($A177,4)),1,4),2)+1+(VALUE(MID($A177,7,2))-1)*7)-p_semana_referencia)/7,$F177)))))</f>
        <v/>
      </c>
      <c r="H177" s="24">
        <f>IF(COUNTIFS('PLAN_VACACIONES'!$A$4:$A$103,$C177,'PLAN_VACACIONES'!$B$4:$B$103,"&lt;="&amp;$L177,'PLAN_VACACIONES'!$C$4:$C$103,"&gt;="&amp;$L177)&gt;0,"sí","no")</f>
        <v/>
      </c>
      <c r="I177" s="4" t="n"/>
      <c r="J177" s="24">
        <f>IF($I177&lt;&gt;"",$I177,IF($G177="","",IF($H177="sí","VAC",IF(LEFT($G177,1)="B","B",$G177))))</f>
        <v/>
      </c>
      <c r="K177" s="24">
        <f>IFERROR(INDEX('TECNICOS'!$E$4:$E$19,MATCH($C177,'TECNICOS'!$B$4:$B$19,0)),"")</f>
        <v/>
      </c>
      <c r="L177" s="30">
        <f>IF($A177="","",DATE(VALUE(LEFT($A177,4)),1,4)-WEEKDAY(DATE(VALUE(LEFT($A177,4)),1,4),2)+1+(VALUE(MID($A177,7,2))-1)*7+MATCH($B177,lista_dias,0)-1)</f>
        <v/>
      </c>
      <c r="M177" s="24">
        <f>IF(OR($J177="",ISNUMBER(MATCH($J177,lista_no_disponible,0)),(IFERROR(INDEX('CALENDARIO'!$C$15:$C$214,MATCH(TEXT($L177,"yyyy-mm-dd")&amp;"|"&amp;$D177&amp;"|"&amp;"",'CALENDARIO'!$G$15:$G$214,0)),IFERROR(INDEX('CALENDARIO'!$C$15:$C$214,MATCH(TEXT($L177,"yyyy-mm-dd")&amp;"|"&amp;$D177&amp;"|",'CALENDARIO'!$G$15:$G$214,0)),IFERROR(INDEX('CALENDARIO'!$C$15:$C$214,MATCH(TEXT($L177,"yyyy-mm-dd")&amp;"||",'CALENDARIO'!$G$15:$G$214,0)),INDEX(patronHabil,WEEKDAY($L177,2))))))&lt;&gt;"sí"),0,p_horas_jornada)</f>
        <v/>
      </c>
      <c r="N177" s="24">
        <f>$A177&amp;"|"&amp;$B177&amp;"|"&amp;$C177</f>
        <v/>
      </c>
      <c r="O177" s="24">
        <f>IFERROR(INDEX('CAT_TURNOS'!$C$4:$C$22,MATCH($J177,'CAT_TURNOS'!$A$4:$A$22,0)),"")</f>
        <v/>
      </c>
      <c r="P177" s="24">
        <f>IFERROR(INDEX('CAT_TURNOS'!$D$4:$D$22,MATCH($J177,'CAT_TURNOS'!$A$4:$A$22,0)),"")</f>
        <v/>
      </c>
      <c r="Q177" s="24">
        <f>IF(AND(LEFT($G177,1)="T",$H177="no"),"sí","no")</f>
        <v/>
      </c>
    </row>
    <row r="178">
      <c r="A178" s="5" t="inlineStr">
        <is>
          <t>2026-S31</t>
        </is>
      </c>
      <c r="B178" s="5" t="inlineStr">
        <is>
          <t>domingo</t>
        </is>
      </c>
      <c r="C178" s="5" t="inlineStr">
        <is>
          <t>Roberto Castro</t>
        </is>
      </c>
      <c r="D178" s="24">
        <f>IFERROR(INDEX('TECNICOS'!$D$4:$D$19,MATCH($C178,'TECNICOS'!$B$4:$B$19,0)),"")</f>
        <v/>
      </c>
      <c r="E178" s="24">
        <f>IFERROR(INDEX('TECNICOS'!$C$4:$C$19,MATCH($C178,'TECNICOS'!$B$4:$B$19,0)),"")</f>
        <v/>
      </c>
      <c r="F178" s="24">
        <f>COUNTIFS('TECNICOS'!$F$4:$F$19,"sí",'TECNICOS'!$C$4:$C$19,$E178,'TECNICOS'!$D$4:$D$19,$D178,'TECNICOS'!$H$4:$H$19,"sí")</f>
        <v/>
      </c>
      <c r="G178" s="24">
        <f>IF(OR($C178="",$A178="",$B178="domingo",IFERROR(INDEX('TECNICOS'!$H$4:$H$19,MATCH($C178,'TECNICOS'!$B$4:$B$19,0)),"no")&lt;&gt;"sí"),"",IF(IFERROR(INDEX('TECNICOS'!$F$4:$F$19,MATCH($C178,'TECNICOS'!$B$4:$B$19,0)),"no")&lt;&gt;"sí","B",IF(MOD((IFERROR(INDEX('TECNICOS'!$G$4:$G$19,MATCH($C178,'TECNICOS'!$B$4:$B$19,0)),0)-1)+((DATE(VALUE(LEFT($A178,4)),1,4)-WEEKDAY(DATE(VALUE(LEFT($A178,4)),1,4),2)+1+(VALUE(MID($A178,7,2))-1)*7)-p_semana_referencia)/7,$F178)&lt;($F178-3),"B"&amp;(($F178-3)-MOD((IFERROR(INDEX('TECNICOS'!$G$4:$G$19,MATCH($C178,'TECNICOS'!$B$4:$B$19,0)),0)-1)+((DATE(VALUE(LEFT($A178,4)),1,4)-WEEKDAY(DATE(VALUE(LEFT($A178,4)),1,4),2)+1+(VALUE(MID($A178,7,2))-1)*7)-p_semana_referencia)/7,$F178)),"T"&amp;($F178-MOD((IFERROR(INDEX('TECNICOS'!$G$4:$G$19,MATCH($C178,'TECNICOS'!$B$4:$B$19,0)),0)-1)+((DATE(VALUE(LEFT($A178,4)),1,4)-WEEKDAY(DATE(VALUE(LEFT($A178,4)),1,4),2)+1+(VALUE(MID($A178,7,2))-1)*7)-p_semana_referencia)/7,$F178)))))</f>
        <v/>
      </c>
      <c r="H178" s="24">
        <f>IF(COUNTIFS('PLAN_VACACIONES'!$A$4:$A$103,$C178,'PLAN_VACACIONES'!$B$4:$B$103,"&lt;="&amp;$L178,'PLAN_VACACIONES'!$C$4:$C$103,"&gt;="&amp;$L178)&gt;0,"sí","no")</f>
        <v/>
      </c>
      <c r="I178" s="4" t="n"/>
      <c r="J178" s="24">
        <f>IF($I178&lt;&gt;"",$I178,IF($G178="","",IF($H178="sí","VAC",IF(LEFT($G178,1)="B","B",$G178))))</f>
        <v/>
      </c>
      <c r="K178" s="24">
        <f>IFERROR(INDEX('TECNICOS'!$E$4:$E$19,MATCH($C178,'TECNICOS'!$B$4:$B$19,0)),"")</f>
        <v/>
      </c>
      <c r="L178" s="30">
        <f>IF($A178="","",DATE(VALUE(LEFT($A178,4)),1,4)-WEEKDAY(DATE(VALUE(LEFT($A178,4)),1,4),2)+1+(VALUE(MID($A178,7,2))-1)*7+MATCH($B178,lista_dias,0)-1)</f>
        <v/>
      </c>
      <c r="M178" s="24">
        <f>IF(OR($J178="",ISNUMBER(MATCH($J178,lista_no_disponible,0)),(IFERROR(INDEX('CALENDARIO'!$C$15:$C$214,MATCH(TEXT($L178,"yyyy-mm-dd")&amp;"|"&amp;$D178&amp;"|"&amp;"",'CALENDARIO'!$G$15:$G$214,0)),IFERROR(INDEX('CALENDARIO'!$C$15:$C$214,MATCH(TEXT($L178,"yyyy-mm-dd")&amp;"|"&amp;$D178&amp;"|",'CALENDARIO'!$G$15:$G$214,0)),IFERROR(INDEX('CALENDARIO'!$C$15:$C$214,MATCH(TEXT($L178,"yyyy-mm-dd")&amp;"||",'CALENDARIO'!$G$15:$G$214,0)),INDEX(patronHabil,WEEKDAY($L178,2))))))&lt;&gt;"sí"),0,p_horas_jornada)</f>
        <v/>
      </c>
      <c r="N178" s="24">
        <f>$A178&amp;"|"&amp;$B178&amp;"|"&amp;$C178</f>
        <v/>
      </c>
      <c r="O178" s="24">
        <f>IFERROR(INDEX('CAT_TURNOS'!$C$4:$C$22,MATCH($J178,'CAT_TURNOS'!$A$4:$A$22,0)),"")</f>
        <v/>
      </c>
      <c r="P178" s="24">
        <f>IFERROR(INDEX('CAT_TURNOS'!$D$4:$D$22,MATCH($J178,'CAT_TURNOS'!$A$4:$A$22,0)),"")</f>
        <v/>
      </c>
      <c r="Q178" s="24">
        <f>IF(AND(LEFT($G178,1)="T",$H178="no"),"sí","no")</f>
        <v/>
      </c>
    </row>
    <row r="179">
      <c r="A179" s="5" t="inlineStr">
        <is>
          <t>2026-S31</t>
        </is>
      </c>
      <c r="B179" s="5" t="inlineStr">
        <is>
          <t>lunes</t>
        </is>
      </c>
      <c r="C179" s="5" t="inlineStr">
        <is>
          <t>Laura Morales</t>
        </is>
      </c>
      <c r="D179" s="24">
        <f>IFERROR(INDEX('TECNICOS'!$D$4:$D$19,MATCH($C179,'TECNICOS'!$B$4:$B$19,0)),"")</f>
        <v/>
      </c>
      <c r="E179" s="24">
        <f>IFERROR(INDEX('TECNICOS'!$C$4:$C$19,MATCH($C179,'TECNICOS'!$B$4:$B$19,0)),"")</f>
        <v/>
      </c>
      <c r="F179" s="24">
        <f>COUNTIFS('TECNICOS'!$F$4:$F$19,"sí",'TECNICOS'!$C$4:$C$19,$E179,'TECNICOS'!$D$4:$D$19,$D179,'TECNICOS'!$H$4:$H$19,"sí")</f>
        <v/>
      </c>
      <c r="G179" s="24">
        <f>IF(OR($C179="",$A179="",$B179="domingo",IFERROR(INDEX('TECNICOS'!$H$4:$H$19,MATCH($C179,'TECNICOS'!$B$4:$B$19,0)),"no")&lt;&gt;"sí"),"",IF(IFERROR(INDEX('TECNICOS'!$F$4:$F$19,MATCH($C179,'TECNICOS'!$B$4:$B$19,0)),"no")&lt;&gt;"sí","B",IF(MOD((IFERROR(INDEX('TECNICOS'!$G$4:$G$19,MATCH($C179,'TECNICOS'!$B$4:$B$19,0)),0)-1)+((DATE(VALUE(LEFT($A179,4)),1,4)-WEEKDAY(DATE(VALUE(LEFT($A179,4)),1,4),2)+1+(VALUE(MID($A179,7,2))-1)*7)-p_semana_referencia)/7,$F179)&lt;($F179-3),"B"&amp;(($F179-3)-MOD((IFERROR(INDEX('TECNICOS'!$G$4:$G$19,MATCH($C179,'TECNICOS'!$B$4:$B$19,0)),0)-1)+((DATE(VALUE(LEFT($A179,4)),1,4)-WEEKDAY(DATE(VALUE(LEFT($A179,4)),1,4),2)+1+(VALUE(MID($A179,7,2))-1)*7)-p_semana_referencia)/7,$F179)),"T"&amp;($F179-MOD((IFERROR(INDEX('TECNICOS'!$G$4:$G$19,MATCH($C179,'TECNICOS'!$B$4:$B$19,0)),0)-1)+((DATE(VALUE(LEFT($A179,4)),1,4)-WEEKDAY(DATE(VALUE(LEFT($A179,4)),1,4),2)+1+(VALUE(MID($A179,7,2))-1)*7)-p_semana_referencia)/7,$F179)))))</f>
        <v/>
      </c>
      <c r="H179" s="24">
        <f>IF(COUNTIFS('PLAN_VACACIONES'!$A$4:$A$103,$C179,'PLAN_VACACIONES'!$B$4:$B$103,"&lt;="&amp;$L179,'PLAN_VACACIONES'!$C$4:$C$103,"&gt;="&amp;$L179)&gt;0,"sí","no")</f>
        <v/>
      </c>
      <c r="I179" s="4" t="n"/>
      <c r="J179" s="24">
        <f>IF($I179&lt;&gt;"",$I179,IF($G179="","",IF($H179="sí","VAC",IF(LEFT($G179,1)="B","B",$G179))))</f>
        <v/>
      </c>
      <c r="K179" s="24">
        <f>IFERROR(INDEX('TECNICOS'!$E$4:$E$19,MATCH($C179,'TECNICOS'!$B$4:$B$19,0)),"")</f>
        <v/>
      </c>
      <c r="L179" s="30">
        <f>IF($A179="","",DATE(VALUE(LEFT($A179,4)),1,4)-WEEKDAY(DATE(VALUE(LEFT($A179,4)),1,4),2)+1+(VALUE(MID($A179,7,2))-1)*7+MATCH($B179,lista_dias,0)-1)</f>
        <v/>
      </c>
      <c r="M179" s="24">
        <f>IF(OR($J179="",ISNUMBER(MATCH($J179,lista_no_disponible,0)),(IFERROR(INDEX('CALENDARIO'!$C$15:$C$214,MATCH(TEXT($L179,"yyyy-mm-dd")&amp;"|"&amp;$D179&amp;"|"&amp;"",'CALENDARIO'!$G$15:$G$214,0)),IFERROR(INDEX('CALENDARIO'!$C$15:$C$214,MATCH(TEXT($L179,"yyyy-mm-dd")&amp;"|"&amp;$D179&amp;"|",'CALENDARIO'!$G$15:$G$214,0)),IFERROR(INDEX('CALENDARIO'!$C$15:$C$214,MATCH(TEXT($L179,"yyyy-mm-dd")&amp;"||",'CALENDARIO'!$G$15:$G$214,0)),INDEX(patronHabil,WEEKDAY($L179,2))))))&lt;&gt;"sí"),0,p_horas_jornada)</f>
        <v/>
      </c>
      <c r="N179" s="24">
        <f>$A179&amp;"|"&amp;$B179&amp;"|"&amp;$C179</f>
        <v/>
      </c>
      <c r="O179" s="24">
        <f>IFERROR(INDEX('CAT_TURNOS'!$C$4:$C$22,MATCH($J179,'CAT_TURNOS'!$A$4:$A$22,0)),"")</f>
        <v/>
      </c>
      <c r="P179" s="24">
        <f>IFERROR(INDEX('CAT_TURNOS'!$D$4:$D$22,MATCH($J179,'CAT_TURNOS'!$A$4:$A$22,0)),"")</f>
        <v/>
      </c>
      <c r="Q179" s="24">
        <f>IF(AND(LEFT($G179,1)="T",$H179="no"),"sí","no")</f>
        <v/>
      </c>
    </row>
    <row r="180">
      <c r="A180" s="5" t="inlineStr">
        <is>
          <t>2026-S31</t>
        </is>
      </c>
      <c r="B180" s="5" t="inlineStr">
        <is>
          <t>martes</t>
        </is>
      </c>
      <c r="C180" s="5" t="inlineStr">
        <is>
          <t>Laura Morales</t>
        </is>
      </c>
      <c r="D180" s="24">
        <f>IFERROR(INDEX('TECNICOS'!$D$4:$D$19,MATCH($C180,'TECNICOS'!$B$4:$B$19,0)),"")</f>
        <v/>
      </c>
      <c r="E180" s="24">
        <f>IFERROR(INDEX('TECNICOS'!$C$4:$C$19,MATCH($C180,'TECNICOS'!$B$4:$B$19,0)),"")</f>
        <v/>
      </c>
      <c r="F180" s="24">
        <f>COUNTIFS('TECNICOS'!$F$4:$F$19,"sí",'TECNICOS'!$C$4:$C$19,$E180,'TECNICOS'!$D$4:$D$19,$D180,'TECNICOS'!$H$4:$H$19,"sí")</f>
        <v/>
      </c>
      <c r="G180" s="24">
        <f>IF(OR($C180="",$A180="",$B180="domingo",IFERROR(INDEX('TECNICOS'!$H$4:$H$19,MATCH($C180,'TECNICOS'!$B$4:$B$19,0)),"no")&lt;&gt;"sí"),"",IF(IFERROR(INDEX('TECNICOS'!$F$4:$F$19,MATCH($C180,'TECNICOS'!$B$4:$B$19,0)),"no")&lt;&gt;"sí","B",IF(MOD((IFERROR(INDEX('TECNICOS'!$G$4:$G$19,MATCH($C180,'TECNICOS'!$B$4:$B$19,0)),0)-1)+((DATE(VALUE(LEFT($A180,4)),1,4)-WEEKDAY(DATE(VALUE(LEFT($A180,4)),1,4),2)+1+(VALUE(MID($A180,7,2))-1)*7)-p_semana_referencia)/7,$F180)&lt;($F180-3),"B"&amp;(($F180-3)-MOD((IFERROR(INDEX('TECNICOS'!$G$4:$G$19,MATCH($C180,'TECNICOS'!$B$4:$B$19,0)),0)-1)+((DATE(VALUE(LEFT($A180,4)),1,4)-WEEKDAY(DATE(VALUE(LEFT($A180,4)),1,4),2)+1+(VALUE(MID($A180,7,2))-1)*7)-p_semana_referencia)/7,$F180)),"T"&amp;($F180-MOD((IFERROR(INDEX('TECNICOS'!$G$4:$G$19,MATCH($C180,'TECNICOS'!$B$4:$B$19,0)),0)-1)+((DATE(VALUE(LEFT($A180,4)),1,4)-WEEKDAY(DATE(VALUE(LEFT($A180,4)),1,4),2)+1+(VALUE(MID($A180,7,2))-1)*7)-p_semana_referencia)/7,$F180)))))</f>
        <v/>
      </c>
      <c r="H180" s="24">
        <f>IF(COUNTIFS('PLAN_VACACIONES'!$A$4:$A$103,$C180,'PLAN_VACACIONES'!$B$4:$B$103,"&lt;="&amp;$L180,'PLAN_VACACIONES'!$C$4:$C$103,"&gt;="&amp;$L180)&gt;0,"sí","no")</f>
        <v/>
      </c>
      <c r="I180" s="4" t="n"/>
      <c r="J180" s="24">
        <f>IF($I180&lt;&gt;"",$I180,IF($G180="","",IF($H180="sí","VAC",IF(LEFT($G180,1)="B","B",$G180))))</f>
        <v/>
      </c>
      <c r="K180" s="24">
        <f>IFERROR(INDEX('TECNICOS'!$E$4:$E$19,MATCH($C180,'TECNICOS'!$B$4:$B$19,0)),"")</f>
        <v/>
      </c>
      <c r="L180" s="30">
        <f>IF($A180="","",DATE(VALUE(LEFT($A180,4)),1,4)-WEEKDAY(DATE(VALUE(LEFT($A180,4)),1,4),2)+1+(VALUE(MID($A180,7,2))-1)*7+MATCH($B180,lista_dias,0)-1)</f>
        <v/>
      </c>
      <c r="M180" s="24">
        <f>IF(OR($J180="",ISNUMBER(MATCH($J180,lista_no_disponible,0)),(IFERROR(INDEX('CALENDARIO'!$C$15:$C$214,MATCH(TEXT($L180,"yyyy-mm-dd")&amp;"|"&amp;$D180&amp;"|"&amp;"",'CALENDARIO'!$G$15:$G$214,0)),IFERROR(INDEX('CALENDARIO'!$C$15:$C$214,MATCH(TEXT($L180,"yyyy-mm-dd")&amp;"|"&amp;$D180&amp;"|",'CALENDARIO'!$G$15:$G$214,0)),IFERROR(INDEX('CALENDARIO'!$C$15:$C$214,MATCH(TEXT($L180,"yyyy-mm-dd")&amp;"||",'CALENDARIO'!$G$15:$G$214,0)),INDEX(patronHabil,WEEKDAY($L180,2))))))&lt;&gt;"sí"),0,p_horas_jornada)</f>
        <v/>
      </c>
      <c r="N180" s="24">
        <f>$A180&amp;"|"&amp;$B180&amp;"|"&amp;$C180</f>
        <v/>
      </c>
      <c r="O180" s="24">
        <f>IFERROR(INDEX('CAT_TURNOS'!$C$4:$C$22,MATCH($J180,'CAT_TURNOS'!$A$4:$A$22,0)),"")</f>
        <v/>
      </c>
      <c r="P180" s="24">
        <f>IFERROR(INDEX('CAT_TURNOS'!$D$4:$D$22,MATCH($J180,'CAT_TURNOS'!$A$4:$A$22,0)),"")</f>
        <v/>
      </c>
      <c r="Q180" s="24">
        <f>IF(AND(LEFT($G180,1)="T",$H180="no"),"sí","no")</f>
        <v/>
      </c>
    </row>
    <row r="181">
      <c r="A181" s="5" t="inlineStr">
        <is>
          <t>2026-S31</t>
        </is>
      </c>
      <c r="B181" s="5" t="inlineStr">
        <is>
          <t>miércoles</t>
        </is>
      </c>
      <c r="C181" s="5" t="inlineStr">
        <is>
          <t>Laura Morales</t>
        </is>
      </c>
      <c r="D181" s="24">
        <f>IFERROR(INDEX('TECNICOS'!$D$4:$D$19,MATCH($C181,'TECNICOS'!$B$4:$B$19,0)),"")</f>
        <v/>
      </c>
      <c r="E181" s="24">
        <f>IFERROR(INDEX('TECNICOS'!$C$4:$C$19,MATCH($C181,'TECNICOS'!$B$4:$B$19,0)),"")</f>
        <v/>
      </c>
      <c r="F181" s="24">
        <f>COUNTIFS('TECNICOS'!$F$4:$F$19,"sí",'TECNICOS'!$C$4:$C$19,$E181,'TECNICOS'!$D$4:$D$19,$D181,'TECNICOS'!$H$4:$H$19,"sí")</f>
        <v/>
      </c>
      <c r="G181" s="24">
        <f>IF(OR($C181="",$A181="",$B181="domingo",IFERROR(INDEX('TECNICOS'!$H$4:$H$19,MATCH($C181,'TECNICOS'!$B$4:$B$19,0)),"no")&lt;&gt;"sí"),"",IF(IFERROR(INDEX('TECNICOS'!$F$4:$F$19,MATCH($C181,'TECNICOS'!$B$4:$B$19,0)),"no")&lt;&gt;"sí","B",IF(MOD((IFERROR(INDEX('TECNICOS'!$G$4:$G$19,MATCH($C181,'TECNICOS'!$B$4:$B$19,0)),0)-1)+((DATE(VALUE(LEFT($A181,4)),1,4)-WEEKDAY(DATE(VALUE(LEFT($A181,4)),1,4),2)+1+(VALUE(MID($A181,7,2))-1)*7)-p_semana_referencia)/7,$F181)&lt;($F181-3),"B"&amp;(($F181-3)-MOD((IFERROR(INDEX('TECNICOS'!$G$4:$G$19,MATCH($C181,'TECNICOS'!$B$4:$B$19,0)),0)-1)+((DATE(VALUE(LEFT($A181,4)),1,4)-WEEKDAY(DATE(VALUE(LEFT($A181,4)),1,4),2)+1+(VALUE(MID($A181,7,2))-1)*7)-p_semana_referencia)/7,$F181)),"T"&amp;($F181-MOD((IFERROR(INDEX('TECNICOS'!$G$4:$G$19,MATCH($C181,'TECNICOS'!$B$4:$B$19,0)),0)-1)+((DATE(VALUE(LEFT($A181,4)),1,4)-WEEKDAY(DATE(VALUE(LEFT($A181,4)),1,4),2)+1+(VALUE(MID($A181,7,2))-1)*7)-p_semana_referencia)/7,$F181)))))</f>
        <v/>
      </c>
      <c r="H181" s="24">
        <f>IF(COUNTIFS('PLAN_VACACIONES'!$A$4:$A$103,$C181,'PLAN_VACACIONES'!$B$4:$B$103,"&lt;="&amp;$L181,'PLAN_VACACIONES'!$C$4:$C$103,"&gt;="&amp;$L181)&gt;0,"sí","no")</f>
        <v/>
      </c>
      <c r="I181" s="4" t="n"/>
      <c r="J181" s="24">
        <f>IF($I181&lt;&gt;"",$I181,IF($G181="","",IF($H181="sí","VAC",IF(LEFT($G181,1)="B","B",$G181))))</f>
        <v/>
      </c>
      <c r="K181" s="24">
        <f>IFERROR(INDEX('TECNICOS'!$E$4:$E$19,MATCH($C181,'TECNICOS'!$B$4:$B$19,0)),"")</f>
        <v/>
      </c>
      <c r="L181" s="30">
        <f>IF($A181="","",DATE(VALUE(LEFT($A181,4)),1,4)-WEEKDAY(DATE(VALUE(LEFT($A181,4)),1,4),2)+1+(VALUE(MID($A181,7,2))-1)*7+MATCH($B181,lista_dias,0)-1)</f>
        <v/>
      </c>
      <c r="M181" s="24">
        <f>IF(OR($J181="",ISNUMBER(MATCH($J181,lista_no_disponible,0)),(IFERROR(INDEX('CALENDARIO'!$C$15:$C$214,MATCH(TEXT($L181,"yyyy-mm-dd")&amp;"|"&amp;$D181&amp;"|"&amp;"",'CALENDARIO'!$G$15:$G$214,0)),IFERROR(INDEX('CALENDARIO'!$C$15:$C$214,MATCH(TEXT($L181,"yyyy-mm-dd")&amp;"|"&amp;$D181&amp;"|",'CALENDARIO'!$G$15:$G$214,0)),IFERROR(INDEX('CALENDARIO'!$C$15:$C$214,MATCH(TEXT($L181,"yyyy-mm-dd")&amp;"||",'CALENDARIO'!$G$15:$G$214,0)),INDEX(patronHabil,WEEKDAY($L181,2))))))&lt;&gt;"sí"),0,p_horas_jornada)</f>
        <v/>
      </c>
      <c r="N181" s="24">
        <f>$A181&amp;"|"&amp;$B181&amp;"|"&amp;$C181</f>
        <v/>
      </c>
      <c r="O181" s="24">
        <f>IFERROR(INDEX('CAT_TURNOS'!$C$4:$C$22,MATCH($J181,'CAT_TURNOS'!$A$4:$A$22,0)),"")</f>
        <v/>
      </c>
      <c r="P181" s="24">
        <f>IFERROR(INDEX('CAT_TURNOS'!$D$4:$D$22,MATCH($J181,'CAT_TURNOS'!$A$4:$A$22,0)),"")</f>
        <v/>
      </c>
      <c r="Q181" s="24">
        <f>IF(AND(LEFT($G181,1)="T",$H181="no"),"sí","no")</f>
        <v/>
      </c>
    </row>
    <row r="182">
      <c r="A182" s="5" t="inlineStr">
        <is>
          <t>2026-S31</t>
        </is>
      </c>
      <c r="B182" s="5" t="inlineStr">
        <is>
          <t>jueves</t>
        </is>
      </c>
      <c r="C182" s="5" t="inlineStr">
        <is>
          <t>Laura Morales</t>
        </is>
      </c>
      <c r="D182" s="24">
        <f>IFERROR(INDEX('TECNICOS'!$D$4:$D$19,MATCH($C182,'TECNICOS'!$B$4:$B$19,0)),"")</f>
        <v/>
      </c>
      <c r="E182" s="24">
        <f>IFERROR(INDEX('TECNICOS'!$C$4:$C$19,MATCH($C182,'TECNICOS'!$B$4:$B$19,0)),"")</f>
        <v/>
      </c>
      <c r="F182" s="24">
        <f>COUNTIFS('TECNICOS'!$F$4:$F$19,"sí",'TECNICOS'!$C$4:$C$19,$E182,'TECNICOS'!$D$4:$D$19,$D182,'TECNICOS'!$H$4:$H$19,"sí")</f>
        <v/>
      </c>
      <c r="G182" s="24">
        <f>IF(OR($C182="",$A182="",$B182="domingo",IFERROR(INDEX('TECNICOS'!$H$4:$H$19,MATCH($C182,'TECNICOS'!$B$4:$B$19,0)),"no")&lt;&gt;"sí"),"",IF(IFERROR(INDEX('TECNICOS'!$F$4:$F$19,MATCH($C182,'TECNICOS'!$B$4:$B$19,0)),"no")&lt;&gt;"sí","B",IF(MOD((IFERROR(INDEX('TECNICOS'!$G$4:$G$19,MATCH($C182,'TECNICOS'!$B$4:$B$19,0)),0)-1)+((DATE(VALUE(LEFT($A182,4)),1,4)-WEEKDAY(DATE(VALUE(LEFT($A182,4)),1,4),2)+1+(VALUE(MID($A182,7,2))-1)*7)-p_semana_referencia)/7,$F182)&lt;($F182-3),"B"&amp;(($F182-3)-MOD((IFERROR(INDEX('TECNICOS'!$G$4:$G$19,MATCH($C182,'TECNICOS'!$B$4:$B$19,0)),0)-1)+((DATE(VALUE(LEFT($A182,4)),1,4)-WEEKDAY(DATE(VALUE(LEFT($A182,4)),1,4),2)+1+(VALUE(MID($A182,7,2))-1)*7)-p_semana_referencia)/7,$F182)),"T"&amp;($F182-MOD((IFERROR(INDEX('TECNICOS'!$G$4:$G$19,MATCH($C182,'TECNICOS'!$B$4:$B$19,0)),0)-1)+((DATE(VALUE(LEFT($A182,4)),1,4)-WEEKDAY(DATE(VALUE(LEFT($A182,4)),1,4),2)+1+(VALUE(MID($A182,7,2))-1)*7)-p_semana_referencia)/7,$F182)))))</f>
        <v/>
      </c>
      <c r="H182" s="24">
        <f>IF(COUNTIFS('PLAN_VACACIONES'!$A$4:$A$103,$C182,'PLAN_VACACIONES'!$B$4:$B$103,"&lt;="&amp;$L182,'PLAN_VACACIONES'!$C$4:$C$103,"&gt;="&amp;$L182)&gt;0,"sí","no")</f>
        <v/>
      </c>
      <c r="I182" s="4" t="n"/>
      <c r="J182" s="24">
        <f>IF($I182&lt;&gt;"",$I182,IF($G182="","",IF($H182="sí","VAC",IF(LEFT($G182,1)="B","B",$G182))))</f>
        <v/>
      </c>
      <c r="K182" s="24">
        <f>IFERROR(INDEX('TECNICOS'!$E$4:$E$19,MATCH($C182,'TECNICOS'!$B$4:$B$19,0)),"")</f>
        <v/>
      </c>
      <c r="L182" s="30">
        <f>IF($A182="","",DATE(VALUE(LEFT($A182,4)),1,4)-WEEKDAY(DATE(VALUE(LEFT($A182,4)),1,4),2)+1+(VALUE(MID($A182,7,2))-1)*7+MATCH($B182,lista_dias,0)-1)</f>
        <v/>
      </c>
      <c r="M182" s="24">
        <f>IF(OR($J182="",ISNUMBER(MATCH($J182,lista_no_disponible,0)),(IFERROR(INDEX('CALENDARIO'!$C$15:$C$214,MATCH(TEXT($L182,"yyyy-mm-dd")&amp;"|"&amp;$D182&amp;"|"&amp;"",'CALENDARIO'!$G$15:$G$214,0)),IFERROR(INDEX('CALENDARIO'!$C$15:$C$214,MATCH(TEXT($L182,"yyyy-mm-dd")&amp;"|"&amp;$D182&amp;"|",'CALENDARIO'!$G$15:$G$214,0)),IFERROR(INDEX('CALENDARIO'!$C$15:$C$214,MATCH(TEXT($L182,"yyyy-mm-dd")&amp;"||",'CALENDARIO'!$G$15:$G$214,0)),INDEX(patronHabil,WEEKDAY($L182,2))))))&lt;&gt;"sí"),0,p_horas_jornada)</f>
        <v/>
      </c>
      <c r="N182" s="24">
        <f>$A182&amp;"|"&amp;$B182&amp;"|"&amp;$C182</f>
        <v/>
      </c>
      <c r="O182" s="24">
        <f>IFERROR(INDEX('CAT_TURNOS'!$C$4:$C$22,MATCH($J182,'CAT_TURNOS'!$A$4:$A$22,0)),"")</f>
        <v/>
      </c>
      <c r="P182" s="24">
        <f>IFERROR(INDEX('CAT_TURNOS'!$D$4:$D$22,MATCH($J182,'CAT_TURNOS'!$A$4:$A$22,0)),"")</f>
        <v/>
      </c>
      <c r="Q182" s="24">
        <f>IF(AND(LEFT($G182,1)="T",$H182="no"),"sí","no")</f>
        <v/>
      </c>
    </row>
    <row r="183">
      <c r="A183" s="5" t="inlineStr">
        <is>
          <t>2026-S31</t>
        </is>
      </c>
      <c r="B183" s="5" t="inlineStr">
        <is>
          <t>viernes</t>
        </is>
      </c>
      <c r="C183" s="5" t="inlineStr">
        <is>
          <t>Laura Morales</t>
        </is>
      </c>
      <c r="D183" s="24">
        <f>IFERROR(INDEX('TECNICOS'!$D$4:$D$19,MATCH($C183,'TECNICOS'!$B$4:$B$19,0)),"")</f>
        <v/>
      </c>
      <c r="E183" s="24">
        <f>IFERROR(INDEX('TECNICOS'!$C$4:$C$19,MATCH($C183,'TECNICOS'!$B$4:$B$19,0)),"")</f>
        <v/>
      </c>
      <c r="F183" s="24">
        <f>COUNTIFS('TECNICOS'!$F$4:$F$19,"sí",'TECNICOS'!$C$4:$C$19,$E183,'TECNICOS'!$D$4:$D$19,$D183,'TECNICOS'!$H$4:$H$19,"sí")</f>
        <v/>
      </c>
      <c r="G183" s="24">
        <f>IF(OR($C183="",$A183="",$B183="domingo",IFERROR(INDEX('TECNICOS'!$H$4:$H$19,MATCH($C183,'TECNICOS'!$B$4:$B$19,0)),"no")&lt;&gt;"sí"),"",IF(IFERROR(INDEX('TECNICOS'!$F$4:$F$19,MATCH($C183,'TECNICOS'!$B$4:$B$19,0)),"no")&lt;&gt;"sí","B",IF(MOD((IFERROR(INDEX('TECNICOS'!$G$4:$G$19,MATCH($C183,'TECNICOS'!$B$4:$B$19,0)),0)-1)+((DATE(VALUE(LEFT($A183,4)),1,4)-WEEKDAY(DATE(VALUE(LEFT($A183,4)),1,4),2)+1+(VALUE(MID($A183,7,2))-1)*7)-p_semana_referencia)/7,$F183)&lt;($F183-3),"B"&amp;(($F183-3)-MOD((IFERROR(INDEX('TECNICOS'!$G$4:$G$19,MATCH($C183,'TECNICOS'!$B$4:$B$19,0)),0)-1)+((DATE(VALUE(LEFT($A183,4)),1,4)-WEEKDAY(DATE(VALUE(LEFT($A183,4)),1,4),2)+1+(VALUE(MID($A183,7,2))-1)*7)-p_semana_referencia)/7,$F183)),"T"&amp;($F183-MOD((IFERROR(INDEX('TECNICOS'!$G$4:$G$19,MATCH($C183,'TECNICOS'!$B$4:$B$19,0)),0)-1)+((DATE(VALUE(LEFT($A183,4)),1,4)-WEEKDAY(DATE(VALUE(LEFT($A183,4)),1,4),2)+1+(VALUE(MID($A183,7,2))-1)*7)-p_semana_referencia)/7,$F183)))))</f>
        <v/>
      </c>
      <c r="H183" s="24">
        <f>IF(COUNTIFS('PLAN_VACACIONES'!$A$4:$A$103,$C183,'PLAN_VACACIONES'!$B$4:$B$103,"&lt;="&amp;$L183,'PLAN_VACACIONES'!$C$4:$C$103,"&gt;="&amp;$L183)&gt;0,"sí","no")</f>
        <v/>
      </c>
      <c r="I183" s="4" t="n"/>
      <c r="J183" s="24">
        <f>IF($I183&lt;&gt;"",$I183,IF($G183="","",IF($H183="sí","VAC",IF(LEFT($G183,1)="B","B",$G183))))</f>
        <v/>
      </c>
      <c r="K183" s="24">
        <f>IFERROR(INDEX('TECNICOS'!$E$4:$E$19,MATCH($C183,'TECNICOS'!$B$4:$B$19,0)),"")</f>
        <v/>
      </c>
      <c r="L183" s="30">
        <f>IF($A183="","",DATE(VALUE(LEFT($A183,4)),1,4)-WEEKDAY(DATE(VALUE(LEFT($A183,4)),1,4),2)+1+(VALUE(MID($A183,7,2))-1)*7+MATCH($B183,lista_dias,0)-1)</f>
        <v/>
      </c>
      <c r="M183" s="24">
        <f>IF(OR($J183="",ISNUMBER(MATCH($J183,lista_no_disponible,0)),(IFERROR(INDEX('CALENDARIO'!$C$15:$C$214,MATCH(TEXT($L183,"yyyy-mm-dd")&amp;"|"&amp;$D183&amp;"|"&amp;"",'CALENDARIO'!$G$15:$G$214,0)),IFERROR(INDEX('CALENDARIO'!$C$15:$C$214,MATCH(TEXT($L183,"yyyy-mm-dd")&amp;"|"&amp;$D183&amp;"|",'CALENDARIO'!$G$15:$G$214,0)),IFERROR(INDEX('CALENDARIO'!$C$15:$C$214,MATCH(TEXT($L183,"yyyy-mm-dd")&amp;"||",'CALENDARIO'!$G$15:$G$214,0)),INDEX(patronHabil,WEEKDAY($L183,2))))))&lt;&gt;"sí"),0,p_horas_jornada)</f>
        <v/>
      </c>
      <c r="N183" s="24">
        <f>$A183&amp;"|"&amp;$B183&amp;"|"&amp;$C183</f>
        <v/>
      </c>
      <c r="O183" s="24">
        <f>IFERROR(INDEX('CAT_TURNOS'!$C$4:$C$22,MATCH($J183,'CAT_TURNOS'!$A$4:$A$22,0)),"")</f>
        <v/>
      </c>
      <c r="P183" s="24">
        <f>IFERROR(INDEX('CAT_TURNOS'!$D$4:$D$22,MATCH($J183,'CAT_TURNOS'!$A$4:$A$22,0)),"")</f>
        <v/>
      </c>
      <c r="Q183" s="24">
        <f>IF(AND(LEFT($G183,1)="T",$H183="no"),"sí","no")</f>
        <v/>
      </c>
    </row>
    <row r="184">
      <c r="A184" s="5" t="inlineStr">
        <is>
          <t>2026-S31</t>
        </is>
      </c>
      <c r="B184" s="5" t="inlineStr">
        <is>
          <t>sábado</t>
        </is>
      </c>
      <c r="C184" s="5" t="inlineStr">
        <is>
          <t>Laura Morales</t>
        </is>
      </c>
      <c r="D184" s="24">
        <f>IFERROR(INDEX('TECNICOS'!$D$4:$D$19,MATCH($C184,'TECNICOS'!$B$4:$B$19,0)),"")</f>
        <v/>
      </c>
      <c r="E184" s="24">
        <f>IFERROR(INDEX('TECNICOS'!$C$4:$C$19,MATCH($C184,'TECNICOS'!$B$4:$B$19,0)),"")</f>
        <v/>
      </c>
      <c r="F184" s="24">
        <f>COUNTIFS('TECNICOS'!$F$4:$F$19,"sí",'TECNICOS'!$C$4:$C$19,$E184,'TECNICOS'!$D$4:$D$19,$D184,'TECNICOS'!$H$4:$H$19,"sí")</f>
        <v/>
      </c>
      <c r="G184" s="24">
        <f>IF(OR($C184="",$A184="",$B184="domingo",IFERROR(INDEX('TECNICOS'!$H$4:$H$19,MATCH($C184,'TECNICOS'!$B$4:$B$19,0)),"no")&lt;&gt;"sí"),"",IF(IFERROR(INDEX('TECNICOS'!$F$4:$F$19,MATCH($C184,'TECNICOS'!$B$4:$B$19,0)),"no")&lt;&gt;"sí","B",IF(MOD((IFERROR(INDEX('TECNICOS'!$G$4:$G$19,MATCH($C184,'TECNICOS'!$B$4:$B$19,0)),0)-1)+((DATE(VALUE(LEFT($A184,4)),1,4)-WEEKDAY(DATE(VALUE(LEFT($A184,4)),1,4),2)+1+(VALUE(MID($A184,7,2))-1)*7)-p_semana_referencia)/7,$F184)&lt;($F184-3),"B"&amp;(($F184-3)-MOD((IFERROR(INDEX('TECNICOS'!$G$4:$G$19,MATCH($C184,'TECNICOS'!$B$4:$B$19,0)),0)-1)+((DATE(VALUE(LEFT($A184,4)),1,4)-WEEKDAY(DATE(VALUE(LEFT($A184,4)),1,4),2)+1+(VALUE(MID($A184,7,2))-1)*7)-p_semana_referencia)/7,$F184)),"T"&amp;($F184-MOD((IFERROR(INDEX('TECNICOS'!$G$4:$G$19,MATCH($C184,'TECNICOS'!$B$4:$B$19,0)),0)-1)+((DATE(VALUE(LEFT($A184,4)),1,4)-WEEKDAY(DATE(VALUE(LEFT($A184,4)),1,4),2)+1+(VALUE(MID($A184,7,2))-1)*7)-p_semana_referencia)/7,$F184)))))</f>
        <v/>
      </c>
      <c r="H184" s="24">
        <f>IF(COUNTIFS('PLAN_VACACIONES'!$A$4:$A$103,$C184,'PLAN_VACACIONES'!$B$4:$B$103,"&lt;="&amp;$L184,'PLAN_VACACIONES'!$C$4:$C$103,"&gt;="&amp;$L184)&gt;0,"sí","no")</f>
        <v/>
      </c>
      <c r="I184" s="4" t="n"/>
      <c r="J184" s="24">
        <f>IF($I184&lt;&gt;"",$I184,IF($G184="","",IF($H184="sí","VAC",IF(LEFT($G184,1)="B","B",$G184))))</f>
        <v/>
      </c>
      <c r="K184" s="24">
        <f>IFERROR(INDEX('TECNICOS'!$E$4:$E$19,MATCH($C184,'TECNICOS'!$B$4:$B$19,0)),"")</f>
        <v/>
      </c>
      <c r="L184" s="30">
        <f>IF($A184="","",DATE(VALUE(LEFT($A184,4)),1,4)-WEEKDAY(DATE(VALUE(LEFT($A184,4)),1,4),2)+1+(VALUE(MID($A184,7,2))-1)*7+MATCH($B184,lista_dias,0)-1)</f>
        <v/>
      </c>
      <c r="M184" s="24">
        <f>IF(OR($J184="",ISNUMBER(MATCH($J184,lista_no_disponible,0)),(IFERROR(INDEX('CALENDARIO'!$C$15:$C$214,MATCH(TEXT($L184,"yyyy-mm-dd")&amp;"|"&amp;$D184&amp;"|"&amp;"",'CALENDARIO'!$G$15:$G$214,0)),IFERROR(INDEX('CALENDARIO'!$C$15:$C$214,MATCH(TEXT($L184,"yyyy-mm-dd")&amp;"|"&amp;$D184&amp;"|",'CALENDARIO'!$G$15:$G$214,0)),IFERROR(INDEX('CALENDARIO'!$C$15:$C$214,MATCH(TEXT($L184,"yyyy-mm-dd")&amp;"||",'CALENDARIO'!$G$15:$G$214,0)),INDEX(patronHabil,WEEKDAY($L184,2))))))&lt;&gt;"sí"),0,p_horas_jornada)</f>
        <v/>
      </c>
      <c r="N184" s="24">
        <f>$A184&amp;"|"&amp;$B184&amp;"|"&amp;$C184</f>
        <v/>
      </c>
      <c r="O184" s="24">
        <f>IFERROR(INDEX('CAT_TURNOS'!$C$4:$C$22,MATCH($J184,'CAT_TURNOS'!$A$4:$A$22,0)),"")</f>
        <v/>
      </c>
      <c r="P184" s="24">
        <f>IFERROR(INDEX('CAT_TURNOS'!$D$4:$D$22,MATCH($J184,'CAT_TURNOS'!$A$4:$A$22,0)),"")</f>
        <v/>
      </c>
      <c r="Q184" s="24">
        <f>IF(AND(LEFT($G184,1)="T",$H184="no"),"sí","no")</f>
        <v/>
      </c>
    </row>
    <row r="185">
      <c r="A185" s="5" t="inlineStr">
        <is>
          <t>2026-S31</t>
        </is>
      </c>
      <c r="B185" s="5" t="inlineStr">
        <is>
          <t>domingo</t>
        </is>
      </c>
      <c r="C185" s="5" t="inlineStr">
        <is>
          <t>Laura Morales</t>
        </is>
      </c>
      <c r="D185" s="24">
        <f>IFERROR(INDEX('TECNICOS'!$D$4:$D$19,MATCH($C185,'TECNICOS'!$B$4:$B$19,0)),"")</f>
        <v/>
      </c>
      <c r="E185" s="24">
        <f>IFERROR(INDEX('TECNICOS'!$C$4:$C$19,MATCH($C185,'TECNICOS'!$B$4:$B$19,0)),"")</f>
        <v/>
      </c>
      <c r="F185" s="24">
        <f>COUNTIFS('TECNICOS'!$F$4:$F$19,"sí",'TECNICOS'!$C$4:$C$19,$E185,'TECNICOS'!$D$4:$D$19,$D185,'TECNICOS'!$H$4:$H$19,"sí")</f>
        <v/>
      </c>
      <c r="G185" s="24">
        <f>IF(OR($C185="",$A185="",$B185="domingo",IFERROR(INDEX('TECNICOS'!$H$4:$H$19,MATCH($C185,'TECNICOS'!$B$4:$B$19,0)),"no")&lt;&gt;"sí"),"",IF(IFERROR(INDEX('TECNICOS'!$F$4:$F$19,MATCH($C185,'TECNICOS'!$B$4:$B$19,0)),"no")&lt;&gt;"sí","B",IF(MOD((IFERROR(INDEX('TECNICOS'!$G$4:$G$19,MATCH($C185,'TECNICOS'!$B$4:$B$19,0)),0)-1)+((DATE(VALUE(LEFT($A185,4)),1,4)-WEEKDAY(DATE(VALUE(LEFT($A185,4)),1,4),2)+1+(VALUE(MID($A185,7,2))-1)*7)-p_semana_referencia)/7,$F185)&lt;($F185-3),"B"&amp;(($F185-3)-MOD((IFERROR(INDEX('TECNICOS'!$G$4:$G$19,MATCH($C185,'TECNICOS'!$B$4:$B$19,0)),0)-1)+((DATE(VALUE(LEFT($A185,4)),1,4)-WEEKDAY(DATE(VALUE(LEFT($A185,4)),1,4),2)+1+(VALUE(MID($A185,7,2))-1)*7)-p_semana_referencia)/7,$F185)),"T"&amp;($F185-MOD((IFERROR(INDEX('TECNICOS'!$G$4:$G$19,MATCH($C185,'TECNICOS'!$B$4:$B$19,0)),0)-1)+((DATE(VALUE(LEFT($A185,4)),1,4)-WEEKDAY(DATE(VALUE(LEFT($A185,4)),1,4),2)+1+(VALUE(MID($A185,7,2))-1)*7)-p_semana_referencia)/7,$F185)))))</f>
        <v/>
      </c>
      <c r="H185" s="24">
        <f>IF(COUNTIFS('PLAN_VACACIONES'!$A$4:$A$103,$C185,'PLAN_VACACIONES'!$B$4:$B$103,"&lt;="&amp;$L185,'PLAN_VACACIONES'!$C$4:$C$103,"&gt;="&amp;$L185)&gt;0,"sí","no")</f>
        <v/>
      </c>
      <c r="I185" s="4" t="n"/>
      <c r="J185" s="24">
        <f>IF($I185&lt;&gt;"",$I185,IF($G185="","",IF($H185="sí","VAC",IF(LEFT($G185,1)="B","B",$G185))))</f>
        <v/>
      </c>
      <c r="K185" s="24">
        <f>IFERROR(INDEX('TECNICOS'!$E$4:$E$19,MATCH($C185,'TECNICOS'!$B$4:$B$19,0)),"")</f>
        <v/>
      </c>
      <c r="L185" s="30">
        <f>IF($A185="","",DATE(VALUE(LEFT($A185,4)),1,4)-WEEKDAY(DATE(VALUE(LEFT($A185,4)),1,4),2)+1+(VALUE(MID($A185,7,2))-1)*7+MATCH($B185,lista_dias,0)-1)</f>
        <v/>
      </c>
      <c r="M185" s="24">
        <f>IF(OR($J185="",ISNUMBER(MATCH($J185,lista_no_disponible,0)),(IFERROR(INDEX('CALENDARIO'!$C$15:$C$214,MATCH(TEXT($L185,"yyyy-mm-dd")&amp;"|"&amp;$D185&amp;"|"&amp;"",'CALENDARIO'!$G$15:$G$214,0)),IFERROR(INDEX('CALENDARIO'!$C$15:$C$214,MATCH(TEXT($L185,"yyyy-mm-dd")&amp;"|"&amp;$D185&amp;"|",'CALENDARIO'!$G$15:$G$214,0)),IFERROR(INDEX('CALENDARIO'!$C$15:$C$214,MATCH(TEXT($L185,"yyyy-mm-dd")&amp;"||",'CALENDARIO'!$G$15:$G$214,0)),INDEX(patronHabil,WEEKDAY($L185,2))))))&lt;&gt;"sí"),0,p_horas_jornada)</f>
        <v/>
      </c>
      <c r="N185" s="24">
        <f>$A185&amp;"|"&amp;$B185&amp;"|"&amp;$C185</f>
        <v/>
      </c>
      <c r="O185" s="24">
        <f>IFERROR(INDEX('CAT_TURNOS'!$C$4:$C$22,MATCH($J185,'CAT_TURNOS'!$A$4:$A$22,0)),"")</f>
        <v/>
      </c>
      <c r="P185" s="24">
        <f>IFERROR(INDEX('CAT_TURNOS'!$D$4:$D$22,MATCH($J185,'CAT_TURNOS'!$A$4:$A$22,0)),"")</f>
        <v/>
      </c>
      <c r="Q185" s="24">
        <f>IF(AND(LEFT($G185,1)="T",$H185="no"),"sí","no")</f>
        <v/>
      </c>
    </row>
    <row r="186">
      <c r="A186" s="5" t="inlineStr">
        <is>
          <t>2026-S31</t>
        </is>
      </c>
      <c r="B186" s="5" t="inlineStr">
        <is>
          <t>lunes</t>
        </is>
      </c>
      <c r="C186" s="5" t="inlineStr">
        <is>
          <t>Ricardo Ortiz</t>
        </is>
      </c>
      <c r="D186" s="24">
        <f>IFERROR(INDEX('TECNICOS'!$D$4:$D$19,MATCH($C186,'TECNICOS'!$B$4:$B$19,0)),"")</f>
        <v/>
      </c>
      <c r="E186" s="24">
        <f>IFERROR(INDEX('TECNICOS'!$C$4:$C$19,MATCH($C186,'TECNICOS'!$B$4:$B$19,0)),"")</f>
        <v/>
      </c>
      <c r="F186" s="24">
        <f>COUNTIFS('TECNICOS'!$F$4:$F$19,"sí",'TECNICOS'!$C$4:$C$19,$E186,'TECNICOS'!$D$4:$D$19,$D186,'TECNICOS'!$H$4:$H$19,"sí")</f>
        <v/>
      </c>
      <c r="G186" s="24">
        <f>IF(OR($C186="",$A186="",$B186="domingo",IFERROR(INDEX('TECNICOS'!$H$4:$H$19,MATCH($C186,'TECNICOS'!$B$4:$B$19,0)),"no")&lt;&gt;"sí"),"",IF(IFERROR(INDEX('TECNICOS'!$F$4:$F$19,MATCH($C186,'TECNICOS'!$B$4:$B$19,0)),"no")&lt;&gt;"sí","B",IF(MOD((IFERROR(INDEX('TECNICOS'!$G$4:$G$19,MATCH($C186,'TECNICOS'!$B$4:$B$19,0)),0)-1)+((DATE(VALUE(LEFT($A186,4)),1,4)-WEEKDAY(DATE(VALUE(LEFT($A186,4)),1,4),2)+1+(VALUE(MID($A186,7,2))-1)*7)-p_semana_referencia)/7,$F186)&lt;($F186-3),"B"&amp;(($F186-3)-MOD((IFERROR(INDEX('TECNICOS'!$G$4:$G$19,MATCH($C186,'TECNICOS'!$B$4:$B$19,0)),0)-1)+((DATE(VALUE(LEFT($A186,4)),1,4)-WEEKDAY(DATE(VALUE(LEFT($A186,4)),1,4),2)+1+(VALUE(MID($A186,7,2))-1)*7)-p_semana_referencia)/7,$F186)),"T"&amp;($F186-MOD((IFERROR(INDEX('TECNICOS'!$G$4:$G$19,MATCH($C186,'TECNICOS'!$B$4:$B$19,0)),0)-1)+((DATE(VALUE(LEFT($A186,4)),1,4)-WEEKDAY(DATE(VALUE(LEFT($A186,4)),1,4),2)+1+(VALUE(MID($A186,7,2))-1)*7)-p_semana_referencia)/7,$F186)))))</f>
        <v/>
      </c>
      <c r="H186" s="24">
        <f>IF(COUNTIFS('PLAN_VACACIONES'!$A$4:$A$103,$C186,'PLAN_VACACIONES'!$B$4:$B$103,"&lt;="&amp;$L186,'PLAN_VACACIONES'!$C$4:$C$103,"&gt;="&amp;$L186)&gt;0,"sí","no")</f>
        <v/>
      </c>
      <c r="I186" s="4" t="n"/>
      <c r="J186" s="24">
        <f>IF($I186&lt;&gt;"",$I186,IF($G186="","",IF($H186="sí","VAC",IF(LEFT($G186,1)="B","B",$G186))))</f>
        <v/>
      </c>
      <c r="K186" s="24">
        <f>IFERROR(INDEX('TECNICOS'!$E$4:$E$19,MATCH($C186,'TECNICOS'!$B$4:$B$19,0)),"")</f>
        <v/>
      </c>
      <c r="L186" s="30">
        <f>IF($A186="","",DATE(VALUE(LEFT($A186,4)),1,4)-WEEKDAY(DATE(VALUE(LEFT($A186,4)),1,4),2)+1+(VALUE(MID($A186,7,2))-1)*7+MATCH($B186,lista_dias,0)-1)</f>
        <v/>
      </c>
      <c r="M186" s="24">
        <f>IF(OR($J186="",ISNUMBER(MATCH($J186,lista_no_disponible,0)),(IFERROR(INDEX('CALENDARIO'!$C$15:$C$214,MATCH(TEXT($L186,"yyyy-mm-dd")&amp;"|"&amp;$D186&amp;"|"&amp;"",'CALENDARIO'!$G$15:$G$214,0)),IFERROR(INDEX('CALENDARIO'!$C$15:$C$214,MATCH(TEXT($L186,"yyyy-mm-dd")&amp;"|"&amp;$D186&amp;"|",'CALENDARIO'!$G$15:$G$214,0)),IFERROR(INDEX('CALENDARIO'!$C$15:$C$214,MATCH(TEXT($L186,"yyyy-mm-dd")&amp;"||",'CALENDARIO'!$G$15:$G$214,0)),INDEX(patronHabil,WEEKDAY($L186,2))))))&lt;&gt;"sí"),0,p_horas_jornada)</f>
        <v/>
      </c>
      <c r="N186" s="24">
        <f>$A186&amp;"|"&amp;$B186&amp;"|"&amp;$C186</f>
        <v/>
      </c>
      <c r="O186" s="24">
        <f>IFERROR(INDEX('CAT_TURNOS'!$C$4:$C$22,MATCH($J186,'CAT_TURNOS'!$A$4:$A$22,0)),"")</f>
        <v/>
      </c>
      <c r="P186" s="24">
        <f>IFERROR(INDEX('CAT_TURNOS'!$D$4:$D$22,MATCH($J186,'CAT_TURNOS'!$A$4:$A$22,0)),"")</f>
        <v/>
      </c>
      <c r="Q186" s="24">
        <f>IF(AND(LEFT($G186,1)="T",$H186="no"),"sí","no")</f>
        <v/>
      </c>
    </row>
    <row r="187">
      <c r="A187" s="5" t="inlineStr">
        <is>
          <t>2026-S31</t>
        </is>
      </c>
      <c r="B187" s="5" t="inlineStr">
        <is>
          <t>martes</t>
        </is>
      </c>
      <c r="C187" s="5" t="inlineStr">
        <is>
          <t>Ricardo Ortiz</t>
        </is>
      </c>
      <c r="D187" s="24">
        <f>IFERROR(INDEX('TECNICOS'!$D$4:$D$19,MATCH($C187,'TECNICOS'!$B$4:$B$19,0)),"")</f>
        <v/>
      </c>
      <c r="E187" s="24">
        <f>IFERROR(INDEX('TECNICOS'!$C$4:$C$19,MATCH($C187,'TECNICOS'!$B$4:$B$19,0)),"")</f>
        <v/>
      </c>
      <c r="F187" s="24">
        <f>COUNTIFS('TECNICOS'!$F$4:$F$19,"sí",'TECNICOS'!$C$4:$C$19,$E187,'TECNICOS'!$D$4:$D$19,$D187,'TECNICOS'!$H$4:$H$19,"sí")</f>
        <v/>
      </c>
      <c r="G187" s="24">
        <f>IF(OR($C187="",$A187="",$B187="domingo",IFERROR(INDEX('TECNICOS'!$H$4:$H$19,MATCH($C187,'TECNICOS'!$B$4:$B$19,0)),"no")&lt;&gt;"sí"),"",IF(IFERROR(INDEX('TECNICOS'!$F$4:$F$19,MATCH($C187,'TECNICOS'!$B$4:$B$19,0)),"no")&lt;&gt;"sí","B",IF(MOD((IFERROR(INDEX('TECNICOS'!$G$4:$G$19,MATCH($C187,'TECNICOS'!$B$4:$B$19,0)),0)-1)+((DATE(VALUE(LEFT($A187,4)),1,4)-WEEKDAY(DATE(VALUE(LEFT($A187,4)),1,4),2)+1+(VALUE(MID($A187,7,2))-1)*7)-p_semana_referencia)/7,$F187)&lt;($F187-3),"B"&amp;(($F187-3)-MOD((IFERROR(INDEX('TECNICOS'!$G$4:$G$19,MATCH($C187,'TECNICOS'!$B$4:$B$19,0)),0)-1)+((DATE(VALUE(LEFT($A187,4)),1,4)-WEEKDAY(DATE(VALUE(LEFT($A187,4)),1,4),2)+1+(VALUE(MID($A187,7,2))-1)*7)-p_semana_referencia)/7,$F187)),"T"&amp;($F187-MOD((IFERROR(INDEX('TECNICOS'!$G$4:$G$19,MATCH($C187,'TECNICOS'!$B$4:$B$19,0)),0)-1)+((DATE(VALUE(LEFT($A187,4)),1,4)-WEEKDAY(DATE(VALUE(LEFT($A187,4)),1,4),2)+1+(VALUE(MID($A187,7,2))-1)*7)-p_semana_referencia)/7,$F187)))))</f>
        <v/>
      </c>
      <c r="H187" s="24">
        <f>IF(COUNTIFS('PLAN_VACACIONES'!$A$4:$A$103,$C187,'PLAN_VACACIONES'!$B$4:$B$103,"&lt;="&amp;$L187,'PLAN_VACACIONES'!$C$4:$C$103,"&gt;="&amp;$L187)&gt;0,"sí","no")</f>
        <v/>
      </c>
      <c r="I187" s="4" t="n"/>
      <c r="J187" s="24">
        <f>IF($I187&lt;&gt;"",$I187,IF($G187="","",IF($H187="sí","VAC",IF(LEFT($G187,1)="B","B",$G187))))</f>
        <v/>
      </c>
      <c r="K187" s="24">
        <f>IFERROR(INDEX('TECNICOS'!$E$4:$E$19,MATCH($C187,'TECNICOS'!$B$4:$B$19,0)),"")</f>
        <v/>
      </c>
      <c r="L187" s="30">
        <f>IF($A187="","",DATE(VALUE(LEFT($A187,4)),1,4)-WEEKDAY(DATE(VALUE(LEFT($A187,4)),1,4),2)+1+(VALUE(MID($A187,7,2))-1)*7+MATCH($B187,lista_dias,0)-1)</f>
        <v/>
      </c>
      <c r="M187" s="24">
        <f>IF(OR($J187="",ISNUMBER(MATCH($J187,lista_no_disponible,0)),(IFERROR(INDEX('CALENDARIO'!$C$15:$C$214,MATCH(TEXT($L187,"yyyy-mm-dd")&amp;"|"&amp;$D187&amp;"|"&amp;"",'CALENDARIO'!$G$15:$G$214,0)),IFERROR(INDEX('CALENDARIO'!$C$15:$C$214,MATCH(TEXT($L187,"yyyy-mm-dd")&amp;"|"&amp;$D187&amp;"|",'CALENDARIO'!$G$15:$G$214,0)),IFERROR(INDEX('CALENDARIO'!$C$15:$C$214,MATCH(TEXT($L187,"yyyy-mm-dd")&amp;"||",'CALENDARIO'!$G$15:$G$214,0)),INDEX(patronHabil,WEEKDAY($L187,2))))))&lt;&gt;"sí"),0,p_horas_jornada)</f>
        <v/>
      </c>
      <c r="N187" s="24">
        <f>$A187&amp;"|"&amp;$B187&amp;"|"&amp;$C187</f>
        <v/>
      </c>
      <c r="O187" s="24">
        <f>IFERROR(INDEX('CAT_TURNOS'!$C$4:$C$22,MATCH($J187,'CAT_TURNOS'!$A$4:$A$22,0)),"")</f>
        <v/>
      </c>
      <c r="P187" s="24">
        <f>IFERROR(INDEX('CAT_TURNOS'!$D$4:$D$22,MATCH($J187,'CAT_TURNOS'!$A$4:$A$22,0)),"")</f>
        <v/>
      </c>
      <c r="Q187" s="24">
        <f>IF(AND(LEFT($G187,1)="T",$H187="no"),"sí","no")</f>
        <v/>
      </c>
    </row>
    <row r="188">
      <c r="A188" s="5" t="inlineStr">
        <is>
          <t>2026-S31</t>
        </is>
      </c>
      <c r="B188" s="5" t="inlineStr">
        <is>
          <t>miércoles</t>
        </is>
      </c>
      <c r="C188" s="5" t="inlineStr">
        <is>
          <t>Ricardo Ortiz</t>
        </is>
      </c>
      <c r="D188" s="24">
        <f>IFERROR(INDEX('TECNICOS'!$D$4:$D$19,MATCH($C188,'TECNICOS'!$B$4:$B$19,0)),"")</f>
        <v/>
      </c>
      <c r="E188" s="24">
        <f>IFERROR(INDEX('TECNICOS'!$C$4:$C$19,MATCH($C188,'TECNICOS'!$B$4:$B$19,0)),"")</f>
        <v/>
      </c>
      <c r="F188" s="24">
        <f>COUNTIFS('TECNICOS'!$F$4:$F$19,"sí",'TECNICOS'!$C$4:$C$19,$E188,'TECNICOS'!$D$4:$D$19,$D188,'TECNICOS'!$H$4:$H$19,"sí")</f>
        <v/>
      </c>
      <c r="G188" s="24">
        <f>IF(OR($C188="",$A188="",$B188="domingo",IFERROR(INDEX('TECNICOS'!$H$4:$H$19,MATCH($C188,'TECNICOS'!$B$4:$B$19,0)),"no")&lt;&gt;"sí"),"",IF(IFERROR(INDEX('TECNICOS'!$F$4:$F$19,MATCH($C188,'TECNICOS'!$B$4:$B$19,0)),"no")&lt;&gt;"sí","B",IF(MOD((IFERROR(INDEX('TECNICOS'!$G$4:$G$19,MATCH($C188,'TECNICOS'!$B$4:$B$19,0)),0)-1)+((DATE(VALUE(LEFT($A188,4)),1,4)-WEEKDAY(DATE(VALUE(LEFT($A188,4)),1,4),2)+1+(VALUE(MID($A188,7,2))-1)*7)-p_semana_referencia)/7,$F188)&lt;($F188-3),"B"&amp;(($F188-3)-MOD((IFERROR(INDEX('TECNICOS'!$G$4:$G$19,MATCH($C188,'TECNICOS'!$B$4:$B$19,0)),0)-1)+((DATE(VALUE(LEFT($A188,4)),1,4)-WEEKDAY(DATE(VALUE(LEFT($A188,4)),1,4),2)+1+(VALUE(MID($A188,7,2))-1)*7)-p_semana_referencia)/7,$F188)),"T"&amp;($F188-MOD((IFERROR(INDEX('TECNICOS'!$G$4:$G$19,MATCH($C188,'TECNICOS'!$B$4:$B$19,0)),0)-1)+((DATE(VALUE(LEFT($A188,4)),1,4)-WEEKDAY(DATE(VALUE(LEFT($A188,4)),1,4),2)+1+(VALUE(MID($A188,7,2))-1)*7)-p_semana_referencia)/7,$F188)))))</f>
        <v/>
      </c>
      <c r="H188" s="24">
        <f>IF(COUNTIFS('PLAN_VACACIONES'!$A$4:$A$103,$C188,'PLAN_VACACIONES'!$B$4:$B$103,"&lt;="&amp;$L188,'PLAN_VACACIONES'!$C$4:$C$103,"&gt;="&amp;$L188)&gt;0,"sí","no")</f>
        <v/>
      </c>
      <c r="I188" s="4" t="n"/>
      <c r="J188" s="24">
        <f>IF($I188&lt;&gt;"",$I188,IF($G188="","",IF($H188="sí","VAC",IF(LEFT($G188,1)="B","B",$G188))))</f>
        <v/>
      </c>
      <c r="K188" s="24">
        <f>IFERROR(INDEX('TECNICOS'!$E$4:$E$19,MATCH($C188,'TECNICOS'!$B$4:$B$19,0)),"")</f>
        <v/>
      </c>
      <c r="L188" s="30">
        <f>IF($A188="","",DATE(VALUE(LEFT($A188,4)),1,4)-WEEKDAY(DATE(VALUE(LEFT($A188,4)),1,4),2)+1+(VALUE(MID($A188,7,2))-1)*7+MATCH($B188,lista_dias,0)-1)</f>
        <v/>
      </c>
      <c r="M188" s="24">
        <f>IF(OR($J188="",ISNUMBER(MATCH($J188,lista_no_disponible,0)),(IFERROR(INDEX('CALENDARIO'!$C$15:$C$214,MATCH(TEXT($L188,"yyyy-mm-dd")&amp;"|"&amp;$D188&amp;"|"&amp;"",'CALENDARIO'!$G$15:$G$214,0)),IFERROR(INDEX('CALENDARIO'!$C$15:$C$214,MATCH(TEXT($L188,"yyyy-mm-dd")&amp;"|"&amp;$D188&amp;"|",'CALENDARIO'!$G$15:$G$214,0)),IFERROR(INDEX('CALENDARIO'!$C$15:$C$214,MATCH(TEXT($L188,"yyyy-mm-dd")&amp;"||",'CALENDARIO'!$G$15:$G$214,0)),INDEX(patronHabil,WEEKDAY($L188,2))))))&lt;&gt;"sí"),0,p_horas_jornada)</f>
        <v/>
      </c>
      <c r="N188" s="24">
        <f>$A188&amp;"|"&amp;$B188&amp;"|"&amp;$C188</f>
        <v/>
      </c>
      <c r="O188" s="24">
        <f>IFERROR(INDEX('CAT_TURNOS'!$C$4:$C$22,MATCH($J188,'CAT_TURNOS'!$A$4:$A$22,0)),"")</f>
        <v/>
      </c>
      <c r="P188" s="24">
        <f>IFERROR(INDEX('CAT_TURNOS'!$D$4:$D$22,MATCH($J188,'CAT_TURNOS'!$A$4:$A$22,0)),"")</f>
        <v/>
      </c>
      <c r="Q188" s="24">
        <f>IF(AND(LEFT($G188,1)="T",$H188="no"),"sí","no")</f>
        <v/>
      </c>
    </row>
    <row r="189">
      <c r="A189" s="5" t="inlineStr">
        <is>
          <t>2026-S31</t>
        </is>
      </c>
      <c r="B189" s="5" t="inlineStr">
        <is>
          <t>jueves</t>
        </is>
      </c>
      <c r="C189" s="5" t="inlineStr">
        <is>
          <t>Ricardo Ortiz</t>
        </is>
      </c>
      <c r="D189" s="24">
        <f>IFERROR(INDEX('TECNICOS'!$D$4:$D$19,MATCH($C189,'TECNICOS'!$B$4:$B$19,0)),"")</f>
        <v/>
      </c>
      <c r="E189" s="24">
        <f>IFERROR(INDEX('TECNICOS'!$C$4:$C$19,MATCH($C189,'TECNICOS'!$B$4:$B$19,0)),"")</f>
        <v/>
      </c>
      <c r="F189" s="24">
        <f>COUNTIFS('TECNICOS'!$F$4:$F$19,"sí",'TECNICOS'!$C$4:$C$19,$E189,'TECNICOS'!$D$4:$D$19,$D189,'TECNICOS'!$H$4:$H$19,"sí")</f>
        <v/>
      </c>
      <c r="G189" s="24">
        <f>IF(OR($C189="",$A189="",$B189="domingo",IFERROR(INDEX('TECNICOS'!$H$4:$H$19,MATCH($C189,'TECNICOS'!$B$4:$B$19,0)),"no")&lt;&gt;"sí"),"",IF(IFERROR(INDEX('TECNICOS'!$F$4:$F$19,MATCH($C189,'TECNICOS'!$B$4:$B$19,0)),"no")&lt;&gt;"sí","B",IF(MOD((IFERROR(INDEX('TECNICOS'!$G$4:$G$19,MATCH($C189,'TECNICOS'!$B$4:$B$19,0)),0)-1)+((DATE(VALUE(LEFT($A189,4)),1,4)-WEEKDAY(DATE(VALUE(LEFT($A189,4)),1,4),2)+1+(VALUE(MID($A189,7,2))-1)*7)-p_semana_referencia)/7,$F189)&lt;($F189-3),"B"&amp;(($F189-3)-MOD((IFERROR(INDEX('TECNICOS'!$G$4:$G$19,MATCH($C189,'TECNICOS'!$B$4:$B$19,0)),0)-1)+((DATE(VALUE(LEFT($A189,4)),1,4)-WEEKDAY(DATE(VALUE(LEFT($A189,4)),1,4),2)+1+(VALUE(MID($A189,7,2))-1)*7)-p_semana_referencia)/7,$F189)),"T"&amp;($F189-MOD((IFERROR(INDEX('TECNICOS'!$G$4:$G$19,MATCH($C189,'TECNICOS'!$B$4:$B$19,0)),0)-1)+((DATE(VALUE(LEFT($A189,4)),1,4)-WEEKDAY(DATE(VALUE(LEFT($A189,4)),1,4),2)+1+(VALUE(MID($A189,7,2))-1)*7)-p_semana_referencia)/7,$F189)))))</f>
        <v/>
      </c>
      <c r="H189" s="24">
        <f>IF(COUNTIFS('PLAN_VACACIONES'!$A$4:$A$103,$C189,'PLAN_VACACIONES'!$B$4:$B$103,"&lt;="&amp;$L189,'PLAN_VACACIONES'!$C$4:$C$103,"&gt;="&amp;$L189)&gt;0,"sí","no")</f>
        <v/>
      </c>
      <c r="I189" s="4" t="n"/>
      <c r="J189" s="24">
        <f>IF($I189&lt;&gt;"",$I189,IF($G189="","",IF($H189="sí","VAC",IF(LEFT($G189,1)="B","B",$G189))))</f>
        <v/>
      </c>
      <c r="K189" s="24">
        <f>IFERROR(INDEX('TECNICOS'!$E$4:$E$19,MATCH($C189,'TECNICOS'!$B$4:$B$19,0)),"")</f>
        <v/>
      </c>
      <c r="L189" s="30">
        <f>IF($A189="","",DATE(VALUE(LEFT($A189,4)),1,4)-WEEKDAY(DATE(VALUE(LEFT($A189,4)),1,4),2)+1+(VALUE(MID($A189,7,2))-1)*7+MATCH($B189,lista_dias,0)-1)</f>
        <v/>
      </c>
      <c r="M189" s="24">
        <f>IF(OR($J189="",ISNUMBER(MATCH($J189,lista_no_disponible,0)),(IFERROR(INDEX('CALENDARIO'!$C$15:$C$214,MATCH(TEXT($L189,"yyyy-mm-dd")&amp;"|"&amp;$D189&amp;"|"&amp;"",'CALENDARIO'!$G$15:$G$214,0)),IFERROR(INDEX('CALENDARIO'!$C$15:$C$214,MATCH(TEXT($L189,"yyyy-mm-dd")&amp;"|"&amp;$D189&amp;"|",'CALENDARIO'!$G$15:$G$214,0)),IFERROR(INDEX('CALENDARIO'!$C$15:$C$214,MATCH(TEXT($L189,"yyyy-mm-dd")&amp;"||",'CALENDARIO'!$G$15:$G$214,0)),INDEX(patronHabil,WEEKDAY($L189,2))))))&lt;&gt;"sí"),0,p_horas_jornada)</f>
        <v/>
      </c>
      <c r="N189" s="24">
        <f>$A189&amp;"|"&amp;$B189&amp;"|"&amp;$C189</f>
        <v/>
      </c>
      <c r="O189" s="24">
        <f>IFERROR(INDEX('CAT_TURNOS'!$C$4:$C$22,MATCH($J189,'CAT_TURNOS'!$A$4:$A$22,0)),"")</f>
        <v/>
      </c>
      <c r="P189" s="24">
        <f>IFERROR(INDEX('CAT_TURNOS'!$D$4:$D$22,MATCH($J189,'CAT_TURNOS'!$A$4:$A$22,0)),"")</f>
        <v/>
      </c>
      <c r="Q189" s="24">
        <f>IF(AND(LEFT($G189,1)="T",$H189="no"),"sí","no")</f>
        <v/>
      </c>
    </row>
    <row r="190">
      <c r="A190" s="5" t="inlineStr">
        <is>
          <t>2026-S31</t>
        </is>
      </c>
      <c r="B190" s="5" t="inlineStr">
        <is>
          <t>viernes</t>
        </is>
      </c>
      <c r="C190" s="5" t="inlineStr">
        <is>
          <t>Ricardo Ortiz</t>
        </is>
      </c>
      <c r="D190" s="24">
        <f>IFERROR(INDEX('TECNICOS'!$D$4:$D$19,MATCH($C190,'TECNICOS'!$B$4:$B$19,0)),"")</f>
        <v/>
      </c>
      <c r="E190" s="24">
        <f>IFERROR(INDEX('TECNICOS'!$C$4:$C$19,MATCH($C190,'TECNICOS'!$B$4:$B$19,0)),"")</f>
        <v/>
      </c>
      <c r="F190" s="24">
        <f>COUNTIFS('TECNICOS'!$F$4:$F$19,"sí",'TECNICOS'!$C$4:$C$19,$E190,'TECNICOS'!$D$4:$D$19,$D190,'TECNICOS'!$H$4:$H$19,"sí")</f>
        <v/>
      </c>
      <c r="G190" s="24">
        <f>IF(OR($C190="",$A190="",$B190="domingo",IFERROR(INDEX('TECNICOS'!$H$4:$H$19,MATCH($C190,'TECNICOS'!$B$4:$B$19,0)),"no")&lt;&gt;"sí"),"",IF(IFERROR(INDEX('TECNICOS'!$F$4:$F$19,MATCH($C190,'TECNICOS'!$B$4:$B$19,0)),"no")&lt;&gt;"sí","B",IF(MOD((IFERROR(INDEX('TECNICOS'!$G$4:$G$19,MATCH($C190,'TECNICOS'!$B$4:$B$19,0)),0)-1)+((DATE(VALUE(LEFT($A190,4)),1,4)-WEEKDAY(DATE(VALUE(LEFT($A190,4)),1,4),2)+1+(VALUE(MID($A190,7,2))-1)*7)-p_semana_referencia)/7,$F190)&lt;($F190-3),"B"&amp;(($F190-3)-MOD((IFERROR(INDEX('TECNICOS'!$G$4:$G$19,MATCH($C190,'TECNICOS'!$B$4:$B$19,0)),0)-1)+((DATE(VALUE(LEFT($A190,4)),1,4)-WEEKDAY(DATE(VALUE(LEFT($A190,4)),1,4),2)+1+(VALUE(MID($A190,7,2))-1)*7)-p_semana_referencia)/7,$F190)),"T"&amp;($F190-MOD((IFERROR(INDEX('TECNICOS'!$G$4:$G$19,MATCH($C190,'TECNICOS'!$B$4:$B$19,0)),0)-1)+((DATE(VALUE(LEFT($A190,4)),1,4)-WEEKDAY(DATE(VALUE(LEFT($A190,4)),1,4),2)+1+(VALUE(MID($A190,7,2))-1)*7)-p_semana_referencia)/7,$F190)))))</f>
        <v/>
      </c>
      <c r="H190" s="24">
        <f>IF(COUNTIFS('PLAN_VACACIONES'!$A$4:$A$103,$C190,'PLAN_VACACIONES'!$B$4:$B$103,"&lt;="&amp;$L190,'PLAN_VACACIONES'!$C$4:$C$103,"&gt;="&amp;$L190)&gt;0,"sí","no")</f>
        <v/>
      </c>
      <c r="I190" s="4" t="n"/>
      <c r="J190" s="24">
        <f>IF($I190&lt;&gt;"",$I190,IF($G190="","",IF($H190="sí","VAC",IF(LEFT($G190,1)="B","B",$G190))))</f>
        <v/>
      </c>
      <c r="K190" s="24">
        <f>IFERROR(INDEX('TECNICOS'!$E$4:$E$19,MATCH($C190,'TECNICOS'!$B$4:$B$19,0)),"")</f>
        <v/>
      </c>
      <c r="L190" s="30">
        <f>IF($A190="","",DATE(VALUE(LEFT($A190,4)),1,4)-WEEKDAY(DATE(VALUE(LEFT($A190,4)),1,4),2)+1+(VALUE(MID($A190,7,2))-1)*7+MATCH($B190,lista_dias,0)-1)</f>
        <v/>
      </c>
      <c r="M190" s="24">
        <f>IF(OR($J190="",ISNUMBER(MATCH($J190,lista_no_disponible,0)),(IFERROR(INDEX('CALENDARIO'!$C$15:$C$214,MATCH(TEXT($L190,"yyyy-mm-dd")&amp;"|"&amp;$D190&amp;"|"&amp;"",'CALENDARIO'!$G$15:$G$214,0)),IFERROR(INDEX('CALENDARIO'!$C$15:$C$214,MATCH(TEXT($L190,"yyyy-mm-dd")&amp;"|"&amp;$D190&amp;"|",'CALENDARIO'!$G$15:$G$214,0)),IFERROR(INDEX('CALENDARIO'!$C$15:$C$214,MATCH(TEXT($L190,"yyyy-mm-dd")&amp;"||",'CALENDARIO'!$G$15:$G$214,0)),INDEX(patronHabil,WEEKDAY($L190,2))))))&lt;&gt;"sí"),0,p_horas_jornada)</f>
        <v/>
      </c>
      <c r="N190" s="24">
        <f>$A190&amp;"|"&amp;$B190&amp;"|"&amp;$C190</f>
        <v/>
      </c>
      <c r="O190" s="24">
        <f>IFERROR(INDEX('CAT_TURNOS'!$C$4:$C$22,MATCH($J190,'CAT_TURNOS'!$A$4:$A$22,0)),"")</f>
        <v/>
      </c>
      <c r="P190" s="24">
        <f>IFERROR(INDEX('CAT_TURNOS'!$D$4:$D$22,MATCH($J190,'CAT_TURNOS'!$A$4:$A$22,0)),"")</f>
        <v/>
      </c>
      <c r="Q190" s="24">
        <f>IF(AND(LEFT($G190,1)="T",$H190="no"),"sí","no")</f>
        <v/>
      </c>
    </row>
    <row r="191">
      <c r="A191" s="5" t="inlineStr">
        <is>
          <t>2026-S31</t>
        </is>
      </c>
      <c r="B191" s="5" t="inlineStr">
        <is>
          <t>sábado</t>
        </is>
      </c>
      <c r="C191" s="5" t="inlineStr">
        <is>
          <t>Ricardo Ortiz</t>
        </is>
      </c>
      <c r="D191" s="24">
        <f>IFERROR(INDEX('TECNICOS'!$D$4:$D$19,MATCH($C191,'TECNICOS'!$B$4:$B$19,0)),"")</f>
        <v/>
      </c>
      <c r="E191" s="24">
        <f>IFERROR(INDEX('TECNICOS'!$C$4:$C$19,MATCH($C191,'TECNICOS'!$B$4:$B$19,0)),"")</f>
        <v/>
      </c>
      <c r="F191" s="24">
        <f>COUNTIFS('TECNICOS'!$F$4:$F$19,"sí",'TECNICOS'!$C$4:$C$19,$E191,'TECNICOS'!$D$4:$D$19,$D191,'TECNICOS'!$H$4:$H$19,"sí")</f>
        <v/>
      </c>
      <c r="G191" s="24">
        <f>IF(OR($C191="",$A191="",$B191="domingo",IFERROR(INDEX('TECNICOS'!$H$4:$H$19,MATCH($C191,'TECNICOS'!$B$4:$B$19,0)),"no")&lt;&gt;"sí"),"",IF(IFERROR(INDEX('TECNICOS'!$F$4:$F$19,MATCH($C191,'TECNICOS'!$B$4:$B$19,0)),"no")&lt;&gt;"sí","B",IF(MOD((IFERROR(INDEX('TECNICOS'!$G$4:$G$19,MATCH($C191,'TECNICOS'!$B$4:$B$19,0)),0)-1)+((DATE(VALUE(LEFT($A191,4)),1,4)-WEEKDAY(DATE(VALUE(LEFT($A191,4)),1,4),2)+1+(VALUE(MID($A191,7,2))-1)*7)-p_semana_referencia)/7,$F191)&lt;($F191-3),"B"&amp;(($F191-3)-MOD((IFERROR(INDEX('TECNICOS'!$G$4:$G$19,MATCH($C191,'TECNICOS'!$B$4:$B$19,0)),0)-1)+((DATE(VALUE(LEFT($A191,4)),1,4)-WEEKDAY(DATE(VALUE(LEFT($A191,4)),1,4),2)+1+(VALUE(MID($A191,7,2))-1)*7)-p_semana_referencia)/7,$F191)),"T"&amp;($F191-MOD((IFERROR(INDEX('TECNICOS'!$G$4:$G$19,MATCH($C191,'TECNICOS'!$B$4:$B$19,0)),0)-1)+((DATE(VALUE(LEFT($A191,4)),1,4)-WEEKDAY(DATE(VALUE(LEFT($A191,4)),1,4),2)+1+(VALUE(MID($A191,7,2))-1)*7)-p_semana_referencia)/7,$F191)))))</f>
        <v/>
      </c>
      <c r="H191" s="24">
        <f>IF(COUNTIFS('PLAN_VACACIONES'!$A$4:$A$103,$C191,'PLAN_VACACIONES'!$B$4:$B$103,"&lt;="&amp;$L191,'PLAN_VACACIONES'!$C$4:$C$103,"&gt;="&amp;$L191)&gt;0,"sí","no")</f>
        <v/>
      </c>
      <c r="I191" s="4" t="n"/>
      <c r="J191" s="24">
        <f>IF($I191&lt;&gt;"",$I191,IF($G191="","",IF($H191="sí","VAC",IF(LEFT($G191,1)="B","B",$G191))))</f>
        <v/>
      </c>
      <c r="K191" s="24">
        <f>IFERROR(INDEX('TECNICOS'!$E$4:$E$19,MATCH($C191,'TECNICOS'!$B$4:$B$19,0)),"")</f>
        <v/>
      </c>
      <c r="L191" s="30">
        <f>IF($A191="","",DATE(VALUE(LEFT($A191,4)),1,4)-WEEKDAY(DATE(VALUE(LEFT($A191,4)),1,4),2)+1+(VALUE(MID($A191,7,2))-1)*7+MATCH($B191,lista_dias,0)-1)</f>
        <v/>
      </c>
      <c r="M191" s="24">
        <f>IF(OR($J191="",ISNUMBER(MATCH($J191,lista_no_disponible,0)),(IFERROR(INDEX('CALENDARIO'!$C$15:$C$214,MATCH(TEXT($L191,"yyyy-mm-dd")&amp;"|"&amp;$D191&amp;"|"&amp;"",'CALENDARIO'!$G$15:$G$214,0)),IFERROR(INDEX('CALENDARIO'!$C$15:$C$214,MATCH(TEXT($L191,"yyyy-mm-dd")&amp;"|"&amp;$D191&amp;"|",'CALENDARIO'!$G$15:$G$214,0)),IFERROR(INDEX('CALENDARIO'!$C$15:$C$214,MATCH(TEXT($L191,"yyyy-mm-dd")&amp;"||",'CALENDARIO'!$G$15:$G$214,0)),INDEX(patronHabil,WEEKDAY($L191,2))))))&lt;&gt;"sí"),0,p_horas_jornada)</f>
        <v/>
      </c>
      <c r="N191" s="24">
        <f>$A191&amp;"|"&amp;$B191&amp;"|"&amp;$C191</f>
        <v/>
      </c>
      <c r="O191" s="24">
        <f>IFERROR(INDEX('CAT_TURNOS'!$C$4:$C$22,MATCH($J191,'CAT_TURNOS'!$A$4:$A$22,0)),"")</f>
        <v/>
      </c>
      <c r="P191" s="24">
        <f>IFERROR(INDEX('CAT_TURNOS'!$D$4:$D$22,MATCH($J191,'CAT_TURNOS'!$A$4:$A$22,0)),"")</f>
        <v/>
      </c>
      <c r="Q191" s="24">
        <f>IF(AND(LEFT($G191,1)="T",$H191="no"),"sí","no")</f>
        <v/>
      </c>
    </row>
    <row r="192">
      <c r="A192" s="5" t="inlineStr">
        <is>
          <t>2026-S31</t>
        </is>
      </c>
      <c r="B192" s="5" t="inlineStr">
        <is>
          <t>domingo</t>
        </is>
      </c>
      <c r="C192" s="5" t="inlineStr">
        <is>
          <t>Ricardo Ortiz</t>
        </is>
      </c>
      <c r="D192" s="24">
        <f>IFERROR(INDEX('TECNICOS'!$D$4:$D$19,MATCH($C192,'TECNICOS'!$B$4:$B$19,0)),"")</f>
        <v/>
      </c>
      <c r="E192" s="24">
        <f>IFERROR(INDEX('TECNICOS'!$C$4:$C$19,MATCH($C192,'TECNICOS'!$B$4:$B$19,0)),"")</f>
        <v/>
      </c>
      <c r="F192" s="24">
        <f>COUNTIFS('TECNICOS'!$F$4:$F$19,"sí",'TECNICOS'!$C$4:$C$19,$E192,'TECNICOS'!$D$4:$D$19,$D192,'TECNICOS'!$H$4:$H$19,"sí")</f>
        <v/>
      </c>
      <c r="G192" s="24">
        <f>IF(OR($C192="",$A192="",$B192="domingo",IFERROR(INDEX('TECNICOS'!$H$4:$H$19,MATCH($C192,'TECNICOS'!$B$4:$B$19,0)),"no")&lt;&gt;"sí"),"",IF(IFERROR(INDEX('TECNICOS'!$F$4:$F$19,MATCH($C192,'TECNICOS'!$B$4:$B$19,0)),"no")&lt;&gt;"sí","B",IF(MOD((IFERROR(INDEX('TECNICOS'!$G$4:$G$19,MATCH($C192,'TECNICOS'!$B$4:$B$19,0)),0)-1)+((DATE(VALUE(LEFT($A192,4)),1,4)-WEEKDAY(DATE(VALUE(LEFT($A192,4)),1,4),2)+1+(VALUE(MID($A192,7,2))-1)*7)-p_semana_referencia)/7,$F192)&lt;($F192-3),"B"&amp;(($F192-3)-MOD((IFERROR(INDEX('TECNICOS'!$G$4:$G$19,MATCH($C192,'TECNICOS'!$B$4:$B$19,0)),0)-1)+((DATE(VALUE(LEFT($A192,4)),1,4)-WEEKDAY(DATE(VALUE(LEFT($A192,4)),1,4),2)+1+(VALUE(MID($A192,7,2))-1)*7)-p_semana_referencia)/7,$F192)),"T"&amp;($F192-MOD((IFERROR(INDEX('TECNICOS'!$G$4:$G$19,MATCH($C192,'TECNICOS'!$B$4:$B$19,0)),0)-1)+((DATE(VALUE(LEFT($A192,4)),1,4)-WEEKDAY(DATE(VALUE(LEFT($A192,4)),1,4),2)+1+(VALUE(MID($A192,7,2))-1)*7)-p_semana_referencia)/7,$F192)))))</f>
        <v/>
      </c>
      <c r="H192" s="24">
        <f>IF(COUNTIFS('PLAN_VACACIONES'!$A$4:$A$103,$C192,'PLAN_VACACIONES'!$B$4:$B$103,"&lt;="&amp;$L192,'PLAN_VACACIONES'!$C$4:$C$103,"&gt;="&amp;$L192)&gt;0,"sí","no")</f>
        <v/>
      </c>
      <c r="I192" s="4" t="n"/>
      <c r="J192" s="24">
        <f>IF($I192&lt;&gt;"",$I192,IF($G192="","",IF($H192="sí","VAC",IF(LEFT($G192,1)="B","B",$G192))))</f>
        <v/>
      </c>
      <c r="K192" s="24">
        <f>IFERROR(INDEX('TECNICOS'!$E$4:$E$19,MATCH($C192,'TECNICOS'!$B$4:$B$19,0)),"")</f>
        <v/>
      </c>
      <c r="L192" s="30">
        <f>IF($A192="","",DATE(VALUE(LEFT($A192,4)),1,4)-WEEKDAY(DATE(VALUE(LEFT($A192,4)),1,4),2)+1+(VALUE(MID($A192,7,2))-1)*7+MATCH($B192,lista_dias,0)-1)</f>
        <v/>
      </c>
      <c r="M192" s="24">
        <f>IF(OR($J192="",ISNUMBER(MATCH($J192,lista_no_disponible,0)),(IFERROR(INDEX('CALENDARIO'!$C$15:$C$214,MATCH(TEXT($L192,"yyyy-mm-dd")&amp;"|"&amp;$D192&amp;"|"&amp;"",'CALENDARIO'!$G$15:$G$214,0)),IFERROR(INDEX('CALENDARIO'!$C$15:$C$214,MATCH(TEXT($L192,"yyyy-mm-dd")&amp;"|"&amp;$D192&amp;"|",'CALENDARIO'!$G$15:$G$214,0)),IFERROR(INDEX('CALENDARIO'!$C$15:$C$214,MATCH(TEXT($L192,"yyyy-mm-dd")&amp;"||",'CALENDARIO'!$G$15:$G$214,0)),INDEX(patronHabil,WEEKDAY($L192,2))))))&lt;&gt;"sí"),0,p_horas_jornada)</f>
        <v/>
      </c>
      <c r="N192" s="24">
        <f>$A192&amp;"|"&amp;$B192&amp;"|"&amp;$C192</f>
        <v/>
      </c>
      <c r="O192" s="24">
        <f>IFERROR(INDEX('CAT_TURNOS'!$C$4:$C$22,MATCH($J192,'CAT_TURNOS'!$A$4:$A$22,0)),"")</f>
        <v/>
      </c>
      <c r="P192" s="24">
        <f>IFERROR(INDEX('CAT_TURNOS'!$D$4:$D$22,MATCH($J192,'CAT_TURNOS'!$A$4:$A$22,0)),"")</f>
        <v/>
      </c>
      <c r="Q192" s="24">
        <f>IF(AND(LEFT($G192,1)="T",$H192="no"),"sí","no")</f>
        <v/>
      </c>
    </row>
    <row r="193">
      <c r="A193" s="5" t="inlineStr">
        <is>
          <t>2026-S31</t>
        </is>
      </c>
      <c r="B193" s="5" t="inlineStr">
        <is>
          <t>lunes</t>
        </is>
      </c>
      <c r="C193" s="5" t="inlineStr">
        <is>
          <t>Eduardo Silva</t>
        </is>
      </c>
      <c r="D193" s="24">
        <f>IFERROR(INDEX('TECNICOS'!$D$4:$D$19,MATCH($C193,'TECNICOS'!$B$4:$B$19,0)),"")</f>
        <v/>
      </c>
      <c r="E193" s="24">
        <f>IFERROR(INDEX('TECNICOS'!$C$4:$C$19,MATCH($C193,'TECNICOS'!$B$4:$B$19,0)),"")</f>
        <v/>
      </c>
      <c r="F193" s="24">
        <f>COUNTIFS('TECNICOS'!$F$4:$F$19,"sí",'TECNICOS'!$C$4:$C$19,$E193,'TECNICOS'!$D$4:$D$19,$D193,'TECNICOS'!$H$4:$H$19,"sí")</f>
        <v/>
      </c>
      <c r="G193" s="24">
        <f>IF(OR($C193="",$A193="",$B193="domingo",IFERROR(INDEX('TECNICOS'!$H$4:$H$19,MATCH($C193,'TECNICOS'!$B$4:$B$19,0)),"no")&lt;&gt;"sí"),"",IF(IFERROR(INDEX('TECNICOS'!$F$4:$F$19,MATCH($C193,'TECNICOS'!$B$4:$B$19,0)),"no")&lt;&gt;"sí","B",IF(MOD((IFERROR(INDEX('TECNICOS'!$G$4:$G$19,MATCH($C193,'TECNICOS'!$B$4:$B$19,0)),0)-1)+((DATE(VALUE(LEFT($A193,4)),1,4)-WEEKDAY(DATE(VALUE(LEFT($A193,4)),1,4),2)+1+(VALUE(MID($A193,7,2))-1)*7)-p_semana_referencia)/7,$F193)&lt;($F193-3),"B"&amp;(($F193-3)-MOD((IFERROR(INDEX('TECNICOS'!$G$4:$G$19,MATCH($C193,'TECNICOS'!$B$4:$B$19,0)),0)-1)+((DATE(VALUE(LEFT($A193,4)),1,4)-WEEKDAY(DATE(VALUE(LEFT($A193,4)),1,4),2)+1+(VALUE(MID($A193,7,2))-1)*7)-p_semana_referencia)/7,$F193)),"T"&amp;($F193-MOD((IFERROR(INDEX('TECNICOS'!$G$4:$G$19,MATCH($C193,'TECNICOS'!$B$4:$B$19,0)),0)-1)+((DATE(VALUE(LEFT($A193,4)),1,4)-WEEKDAY(DATE(VALUE(LEFT($A193,4)),1,4),2)+1+(VALUE(MID($A193,7,2))-1)*7)-p_semana_referencia)/7,$F193)))))</f>
        <v/>
      </c>
      <c r="H193" s="24">
        <f>IF(COUNTIFS('PLAN_VACACIONES'!$A$4:$A$103,$C193,'PLAN_VACACIONES'!$B$4:$B$103,"&lt;="&amp;$L193,'PLAN_VACACIONES'!$C$4:$C$103,"&gt;="&amp;$L193)&gt;0,"sí","no")</f>
        <v/>
      </c>
      <c r="I193" s="4" t="n"/>
      <c r="J193" s="24">
        <f>IF($I193&lt;&gt;"",$I193,IF($G193="","",IF($H193="sí","VAC",IF(LEFT($G193,1)="B","B",$G193))))</f>
        <v/>
      </c>
      <c r="K193" s="24">
        <f>IFERROR(INDEX('TECNICOS'!$E$4:$E$19,MATCH($C193,'TECNICOS'!$B$4:$B$19,0)),"")</f>
        <v/>
      </c>
      <c r="L193" s="30">
        <f>IF($A193="","",DATE(VALUE(LEFT($A193,4)),1,4)-WEEKDAY(DATE(VALUE(LEFT($A193,4)),1,4),2)+1+(VALUE(MID($A193,7,2))-1)*7+MATCH($B193,lista_dias,0)-1)</f>
        <v/>
      </c>
      <c r="M193" s="24">
        <f>IF(OR($J193="",ISNUMBER(MATCH($J193,lista_no_disponible,0)),(IFERROR(INDEX('CALENDARIO'!$C$15:$C$214,MATCH(TEXT($L193,"yyyy-mm-dd")&amp;"|"&amp;$D193&amp;"|"&amp;"",'CALENDARIO'!$G$15:$G$214,0)),IFERROR(INDEX('CALENDARIO'!$C$15:$C$214,MATCH(TEXT($L193,"yyyy-mm-dd")&amp;"|"&amp;$D193&amp;"|",'CALENDARIO'!$G$15:$G$214,0)),IFERROR(INDEX('CALENDARIO'!$C$15:$C$214,MATCH(TEXT($L193,"yyyy-mm-dd")&amp;"||",'CALENDARIO'!$G$15:$G$214,0)),INDEX(patronHabil,WEEKDAY($L193,2))))))&lt;&gt;"sí"),0,p_horas_jornada)</f>
        <v/>
      </c>
      <c r="N193" s="24">
        <f>$A193&amp;"|"&amp;$B193&amp;"|"&amp;$C193</f>
        <v/>
      </c>
      <c r="O193" s="24">
        <f>IFERROR(INDEX('CAT_TURNOS'!$C$4:$C$22,MATCH($J193,'CAT_TURNOS'!$A$4:$A$22,0)),"")</f>
        <v/>
      </c>
      <c r="P193" s="24">
        <f>IFERROR(INDEX('CAT_TURNOS'!$D$4:$D$22,MATCH($J193,'CAT_TURNOS'!$A$4:$A$22,0)),"")</f>
        <v/>
      </c>
      <c r="Q193" s="24">
        <f>IF(AND(LEFT($G193,1)="T",$H193="no"),"sí","no")</f>
        <v/>
      </c>
    </row>
    <row r="194">
      <c r="A194" s="5" t="inlineStr">
        <is>
          <t>2026-S31</t>
        </is>
      </c>
      <c r="B194" s="5" t="inlineStr">
        <is>
          <t>martes</t>
        </is>
      </c>
      <c r="C194" s="5" t="inlineStr">
        <is>
          <t>Eduardo Silva</t>
        </is>
      </c>
      <c r="D194" s="24">
        <f>IFERROR(INDEX('TECNICOS'!$D$4:$D$19,MATCH($C194,'TECNICOS'!$B$4:$B$19,0)),"")</f>
        <v/>
      </c>
      <c r="E194" s="24">
        <f>IFERROR(INDEX('TECNICOS'!$C$4:$C$19,MATCH($C194,'TECNICOS'!$B$4:$B$19,0)),"")</f>
        <v/>
      </c>
      <c r="F194" s="24">
        <f>COUNTIFS('TECNICOS'!$F$4:$F$19,"sí",'TECNICOS'!$C$4:$C$19,$E194,'TECNICOS'!$D$4:$D$19,$D194,'TECNICOS'!$H$4:$H$19,"sí")</f>
        <v/>
      </c>
      <c r="G194" s="24">
        <f>IF(OR($C194="",$A194="",$B194="domingo",IFERROR(INDEX('TECNICOS'!$H$4:$H$19,MATCH($C194,'TECNICOS'!$B$4:$B$19,0)),"no")&lt;&gt;"sí"),"",IF(IFERROR(INDEX('TECNICOS'!$F$4:$F$19,MATCH($C194,'TECNICOS'!$B$4:$B$19,0)),"no")&lt;&gt;"sí","B",IF(MOD((IFERROR(INDEX('TECNICOS'!$G$4:$G$19,MATCH($C194,'TECNICOS'!$B$4:$B$19,0)),0)-1)+((DATE(VALUE(LEFT($A194,4)),1,4)-WEEKDAY(DATE(VALUE(LEFT($A194,4)),1,4),2)+1+(VALUE(MID($A194,7,2))-1)*7)-p_semana_referencia)/7,$F194)&lt;($F194-3),"B"&amp;(($F194-3)-MOD((IFERROR(INDEX('TECNICOS'!$G$4:$G$19,MATCH($C194,'TECNICOS'!$B$4:$B$19,0)),0)-1)+((DATE(VALUE(LEFT($A194,4)),1,4)-WEEKDAY(DATE(VALUE(LEFT($A194,4)),1,4),2)+1+(VALUE(MID($A194,7,2))-1)*7)-p_semana_referencia)/7,$F194)),"T"&amp;($F194-MOD((IFERROR(INDEX('TECNICOS'!$G$4:$G$19,MATCH($C194,'TECNICOS'!$B$4:$B$19,0)),0)-1)+((DATE(VALUE(LEFT($A194,4)),1,4)-WEEKDAY(DATE(VALUE(LEFT($A194,4)),1,4),2)+1+(VALUE(MID($A194,7,2))-1)*7)-p_semana_referencia)/7,$F194)))))</f>
        <v/>
      </c>
      <c r="H194" s="24">
        <f>IF(COUNTIFS('PLAN_VACACIONES'!$A$4:$A$103,$C194,'PLAN_VACACIONES'!$B$4:$B$103,"&lt;="&amp;$L194,'PLAN_VACACIONES'!$C$4:$C$103,"&gt;="&amp;$L194)&gt;0,"sí","no")</f>
        <v/>
      </c>
      <c r="I194" s="4" t="n"/>
      <c r="J194" s="24">
        <f>IF($I194&lt;&gt;"",$I194,IF($G194="","",IF($H194="sí","VAC",IF(LEFT($G194,1)="B","B",$G194))))</f>
        <v/>
      </c>
      <c r="K194" s="24">
        <f>IFERROR(INDEX('TECNICOS'!$E$4:$E$19,MATCH($C194,'TECNICOS'!$B$4:$B$19,0)),"")</f>
        <v/>
      </c>
      <c r="L194" s="30">
        <f>IF($A194="","",DATE(VALUE(LEFT($A194,4)),1,4)-WEEKDAY(DATE(VALUE(LEFT($A194,4)),1,4),2)+1+(VALUE(MID($A194,7,2))-1)*7+MATCH($B194,lista_dias,0)-1)</f>
        <v/>
      </c>
      <c r="M194" s="24">
        <f>IF(OR($J194="",ISNUMBER(MATCH($J194,lista_no_disponible,0)),(IFERROR(INDEX('CALENDARIO'!$C$15:$C$214,MATCH(TEXT($L194,"yyyy-mm-dd")&amp;"|"&amp;$D194&amp;"|"&amp;"",'CALENDARIO'!$G$15:$G$214,0)),IFERROR(INDEX('CALENDARIO'!$C$15:$C$214,MATCH(TEXT($L194,"yyyy-mm-dd")&amp;"|"&amp;$D194&amp;"|",'CALENDARIO'!$G$15:$G$214,0)),IFERROR(INDEX('CALENDARIO'!$C$15:$C$214,MATCH(TEXT($L194,"yyyy-mm-dd")&amp;"||",'CALENDARIO'!$G$15:$G$214,0)),INDEX(patronHabil,WEEKDAY($L194,2))))))&lt;&gt;"sí"),0,p_horas_jornada)</f>
        <v/>
      </c>
      <c r="N194" s="24">
        <f>$A194&amp;"|"&amp;$B194&amp;"|"&amp;$C194</f>
        <v/>
      </c>
      <c r="O194" s="24">
        <f>IFERROR(INDEX('CAT_TURNOS'!$C$4:$C$22,MATCH($J194,'CAT_TURNOS'!$A$4:$A$22,0)),"")</f>
        <v/>
      </c>
      <c r="P194" s="24">
        <f>IFERROR(INDEX('CAT_TURNOS'!$D$4:$D$22,MATCH($J194,'CAT_TURNOS'!$A$4:$A$22,0)),"")</f>
        <v/>
      </c>
      <c r="Q194" s="24">
        <f>IF(AND(LEFT($G194,1)="T",$H194="no"),"sí","no")</f>
        <v/>
      </c>
    </row>
    <row r="195">
      <c r="A195" s="5" t="inlineStr">
        <is>
          <t>2026-S31</t>
        </is>
      </c>
      <c r="B195" s="5" t="inlineStr">
        <is>
          <t>miércoles</t>
        </is>
      </c>
      <c r="C195" s="5" t="inlineStr">
        <is>
          <t>Eduardo Silva</t>
        </is>
      </c>
      <c r="D195" s="24">
        <f>IFERROR(INDEX('TECNICOS'!$D$4:$D$19,MATCH($C195,'TECNICOS'!$B$4:$B$19,0)),"")</f>
        <v/>
      </c>
      <c r="E195" s="24">
        <f>IFERROR(INDEX('TECNICOS'!$C$4:$C$19,MATCH($C195,'TECNICOS'!$B$4:$B$19,0)),"")</f>
        <v/>
      </c>
      <c r="F195" s="24">
        <f>COUNTIFS('TECNICOS'!$F$4:$F$19,"sí",'TECNICOS'!$C$4:$C$19,$E195,'TECNICOS'!$D$4:$D$19,$D195,'TECNICOS'!$H$4:$H$19,"sí")</f>
        <v/>
      </c>
      <c r="G195" s="24">
        <f>IF(OR($C195="",$A195="",$B195="domingo",IFERROR(INDEX('TECNICOS'!$H$4:$H$19,MATCH($C195,'TECNICOS'!$B$4:$B$19,0)),"no")&lt;&gt;"sí"),"",IF(IFERROR(INDEX('TECNICOS'!$F$4:$F$19,MATCH($C195,'TECNICOS'!$B$4:$B$19,0)),"no")&lt;&gt;"sí","B",IF(MOD((IFERROR(INDEX('TECNICOS'!$G$4:$G$19,MATCH($C195,'TECNICOS'!$B$4:$B$19,0)),0)-1)+((DATE(VALUE(LEFT($A195,4)),1,4)-WEEKDAY(DATE(VALUE(LEFT($A195,4)),1,4),2)+1+(VALUE(MID($A195,7,2))-1)*7)-p_semana_referencia)/7,$F195)&lt;($F195-3),"B"&amp;(($F195-3)-MOD((IFERROR(INDEX('TECNICOS'!$G$4:$G$19,MATCH($C195,'TECNICOS'!$B$4:$B$19,0)),0)-1)+((DATE(VALUE(LEFT($A195,4)),1,4)-WEEKDAY(DATE(VALUE(LEFT($A195,4)),1,4),2)+1+(VALUE(MID($A195,7,2))-1)*7)-p_semana_referencia)/7,$F195)),"T"&amp;($F195-MOD((IFERROR(INDEX('TECNICOS'!$G$4:$G$19,MATCH($C195,'TECNICOS'!$B$4:$B$19,0)),0)-1)+((DATE(VALUE(LEFT($A195,4)),1,4)-WEEKDAY(DATE(VALUE(LEFT($A195,4)),1,4),2)+1+(VALUE(MID($A195,7,2))-1)*7)-p_semana_referencia)/7,$F195)))))</f>
        <v/>
      </c>
      <c r="H195" s="24">
        <f>IF(COUNTIFS('PLAN_VACACIONES'!$A$4:$A$103,$C195,'PLAN_VACACIONES'!$B$4:$B$103,"&lt;="&amp;$L195,'PLAN_VACACIONES'!$C$4:$C$103,"&gt;="&amp;$L195)&gt;0,"sí","no")</f>
        <v/>
      </c>
      <c r="I195" s="4" t="n"/>
      <c r="J195" s="24">
        <f>IF($I195&lt;&gt;"",$I195,IF($G195="","",IF($H195="sí","VAC",IF(LEFT($G195,1)="B","B",$G195))))</f>
        <v/>
      </c>
      <c r="K195" s="24">
        <f>IFERROR(INDEX('TECNICOS'!$E$4:$E$19,MATCH($C195,'TECNICOS'!$B$4:$B$19,0)),"")</f>
        <v/>
      </c>
      <c r="L195" s="30">
        <f>IF($A195="","",DATE(VALUE(LEFT($A195,4)),1,4)-WEEKDAY(DATE(VALUE(LEFT($A195,4)),1,4),2)+1+(VALUE(MID($A195,7,2))-1)*7+MATCH($B195,lista_dias,0)-1)</f>
        <v/>
      </c>
      <c r="M195" s="24">
        <f>IF(OR($J195="",ISNUMBER(MATCH($J195,lista_no_disponible,0)),(IFERROR(INDEX('CALENDARIO'!$C$15:$C$214,MATCH(TEXT($L195,"yyyy-mm-dd")&amp;"|"&amp;$D195&amp;"|"&amp;"",'CALENDARIO'!$G$15:$G$214,0)),IFERROR(INDEX('CALENDARIO'!$C$15:$C$214,MATCH(TEXT($L195,"yyyy-mm-dd")&amp;"|"&amp;$D195&amp;"|",'CALENDARIO'!$G$15:$G$214,0)),IFERROR(INDEX('CALENDARIO'!$C$15:$C$214,MATCH(TEXT($L195,"yyyy-mm-dd")&amp;"||",'CALENDARIO'!$G$15:$G$214,0)),INDEX(patronHabil,WEEKDAY($L195,2))))))&lt;&gt;"sí"),0,p_horas_jornada)</f>
        <v/>
      </c>
      <c r="N195" s="24">
        <f>$A195&amp;"|"&amp;$B195&amp;"|"&amp;$C195</f>
        <v/>
      </c>
      <c r="O195" s="24">
        <f>IFERROR(INDEX('CAT_TURNOS'!$C$4:$C$22,MATCH($J195,'CAT_TURNOS'!$A$4:$A$22,0)),"")</f>
        <v/>
      </c>
      <c r="P195" s="24">
        <f>IFERROR(INDEX('CAT_TURNOS'!$D$4:$D$22,MATCH($J195,'CAT_TURNOS'!$A$4:$A$22,0)),"")</f>
        <v/>
      </c>
      <c r="Q195" s="24">
        <f>IF(AND(LEFT($G195,1)="T",$H195="no"),"sí","no")</f>
        <v/>
      </c>
    </row>
    <row r="196">
      <c r="A196" s="5" t="inlineStr">
        <is>
          <t>2026-S31</t>
        </is>
      </c>
      <c r="B196" s="5" t="inlineStr">
        <is>
          <t>jueves</t>
        </is>
      </c>
      <c r="C196" s="5" t="inlineStr">
        <is>
          <t>Eduardo Silva</t>
        </is>
      </c>
      <c r="D196" s="24">
        <f>IFERROR(INDEX('TECNICOS'!$D$4:$D$19,MATCH($C196,'TECNICOS'!$B$4:$B$19,0)),"")</f>
        <v/>
      </c>
      <c r="E196" s="24">
        <f>IFERROR(INDEX('TECNICOS'!$C$4:$C$19,MATCH($C196,'TECNICOS'!$B$4:$B$19,0)),"")</f>
        <v/>
      </c>
      <c r="F196" s="24">
        <f>COUNTIFS('TECNICOS'!$F$4:$F$19,"sí",'TECNICOS'!$C$4:$C$19,$E196,'TECNICOS'!$D$4:$D$19,$D196,'TECNICOS'!$H$4:$H$19,"sí")</f>
        <v/>
      </c>
      <c r="G196" s="24">
        <f>IF(OR($C196="",$A196="",$B196="domingo",IFERROR(INDEX('TECNICOS'!$H$4:$H$19,MATCH($C196,'TECNICOS'!$B$4:$B$19,0)),"no")&lt;&gt;"sí"),"",IF(IFERROR(INDEX('TECNICOS'!$F$4:$F$19,MATCH($C196,'TECNICOS'!$B$4:$B$19,0)),"no")&lt;&gt;"sí","B",IF(MOD((IFERROR(INDEX('TECNICOS'!$G$4:$G$19,MATCH($C196,'TECNICOS'!$B$4:$B$19,0)),0)-1)+((DATE(VALUE(LEFT($A196,4)),1,4)-WEEKDAY(DATE(VALUE(LEFT($A196,4)),1,4),2)+1+(VALUE(MID($A196,7,2))-1)*7)-p_semana_referencia)/7,$F196)&lt;($F196-3),"B"&amp;(($F196-3)-MOD((IFERROR(INDEX('TECNICOS'!$G$4:$G$19,MATCH($C196,'TECNICOS'!$B$4:$B$19,0)),0)-1)+((DATE(VALUE(LEFT($A196,4)),1,4)-WEEKDAY(DATE(VALUE(LEFT($A196,4)),1,4),2)+1+(VALUE(MID($A196,7,2))-1)*7)-p_semana_referencia)/7,$F196)),"T"&amp;($F196-MOD((IFERROR(INDEX('TECNICOS'!$G$4:$G$19,MATCH($C196,'TECNICOS'!$B$4:$B$19,0)),0)-1)+((DATE(VALUE(LEFT($A196,4)),1,4)-WEEKDAY(DATE(VALUE(LEFT($A196,4)),1,4),2)+1+(VALUE(MID($A196,7,2))-1)*7)-p_semana_referencia)/7,$F196)))))</f>
        <v/>
      </c>
      <c r="H196" s="24">
        <f>IF(COUNTIFS('PLAN_VACACIONES'!$A$4:$A$103,$C196,'PLAN_VACACIONES'!$B$4:$B$103,"&lt;="&amp;$L196,'PLAN_VACACIONES'!$C$4:$C$103,"&gt;="&amp;$L196)&gt;0,"sí","no")</f>
        <v/>
      </c>
      <c r="I196" s="4" t="n"/>
      <c r="J196" s="24">
        <f>IF($I196&lt;&gt;"",$I196,IF($G196="","",IF($H196="sí","VAC",IF(LEFT($G196,1)="B","B",$G196))))</f>
        <v/>
      </c>
      <c r="K196" s="24">
        <f>IFERROR(INDEX('TECNICOS'!$E$4:$E$19,MATCH($C196,'TECNICOS'!$B$4:$B$19,0)),"")</f>
        <v/>
      </c>
      <c r="L196" s="30">
        <f>IF($A196="","",DATE(VALUE(LEFT($A196,4)),1,4)-WEEKDAY(DATE(VALUE(LEFT($A196,4)),1,4),2)+1+(VALUE(MID($A196,7,2))-1)*7+MATCH($B196,lista_dias,0)-1)</f>
        <v/>
      </c>
      <c r="M196" s="24">
        <f>IF(OR($J196="",ISNUMBER(MATCH($J196,lista_no_disponible,0)),(IFERROR(INDEX('CALENDARIO'!$C$15:$C$214,MATCH(TEXT($L196,"yyyy-mm-dd")&amp;"|"&amp;$D196&amp;"|"&amp;"",'CALENDARIO'!$G$15:$G$214,0)),IFERROR(INDEX('CALENDARIO'!$C$15:$C$214,MATCH(TEXT($L196,"yyyy-mm-dd")&amp;"|"&amp;$D196&amp;"|",'CALENDARIO'!$G$15:$G$214,0)),IFERROR(INDEX('CALENDARIO'!$C$15:$C$214,MATCH(TEXT($L196,"yyyy-mm-dd")&amp;"||",'CALENDARIO'!$G$15:$G$214,0)),INDEX(patronHabil,WEEKDAY($L196,2))))))&lt;&gt;"sí"),0,p_horas_jornada)</f>
        <v/>
      </c>
      <c r="N196" s="24">
        <f>$A196&amp;"|"&amp;$B196&amp;"|"&amp;$C196</f>
        <v/>
      </c>
      <c r="O196" s="24">
        <f>IFERROR(INDEX('CAT_TURNOS'!$C$4:$C$22,MATCH($J196,'CAT_TURNOS'!$A$4:$A$22,0)),"")</f>
        <v/>
      </c>
      <c r="P196" s="24">
        <f>IFERROR(INDEX('CAT_TURNOS'!$D$4:$D$22,MATCH($J196,'CAT_TURNOS'!$A$4:$A$22,0)),"")</f>
        <v/>
      </c>
      <c r="Q196" s="24">
        <f>IF(AND(LEFT($G196,1)="T",$H196="no"),"sí","no")</f>
        <v/>
      </c>
    </row>
    <row r="197">
      <c r="A197" s="5" t="inlineStr">
        <is>
          <t>2026-S31</t>
        </is>
      </c>
      <c r="B197" s="5" t="inlineStr">
        <is>
          <t>viernes</t>
        </is>
      </c>
      <c r="C197" s="5" t="inlineStr">
        <is>
          <t>Eduardo Silva</t>
        </is>
      </c>
      <c r="D197" s="24">
        <f>IFERROR(INDEX('TECNICOS'!$D$4:$D$19,MATCH($C197,'TECNICOS'!$B$4:$B$19,0)),"")</f>
        <v/>
      </c>
      <c r="E197" s="24">
        <f>IFERROR(INDEX('TECNICOS'!$C$4:$C$19,MATCH($C197,'TECNICOS'!$B$4:$B$19,0)),"")</f>
        <v/>
      </c>
      <c r="F197" s="24">
        <f>COUNTIFS('TECNICOS'!$F$4:$F$19,"sí",'TECNICOS'!$C$4:$C$19,$E197,'TECNICOS'!$D$4:$D$19,$D197,'TECNICOS'!$H$4:$H$19,"sí")</f>
        <v/>
      </c>
      <c r="G197" s="24">
        <f>IF(OR($C197="",$A197="",$B197="domingo",IFERROR(INDEX('TECNICOS'!$H$4:$H$19,MATCH($C197,'TECNICOS'!$B$4:$B$19,0)),"no")&lt;&gt;"sí"),"",IF(IFERROR(INDEX('TECNICOS'!$F$4:$F$19,MATCH($C197,'TECNICOS'!$B$4:$B$19,0)),"no")&lt;&gt;"sí","B",IF(MOD((IFERROR(INDEX('TECNICOS'!$G$4:$G$19,MATCH($C197,'TECNICOS'!$B$4:$B$19,0)),0)-1)+((DATE(VALUE(LEFT($A197,4)),1,4)-WEEKDAY(DATE(VALUE(LEFT($A197,4)),1,4),2)+1+(VALUE(MID($A197,7,2))-1)*7)-p_semana_referencia)/7,$F197)&lt;($F197-3),"B"&amp;(($F197-3)-MOD((IFERROR(INDEX('TECNICOS'!$G$4:$G$19,MATCH($C197,'TECNICOS'!$B$4:$B$19,0)),0)-1)+((DATE(VALUE(LEFT($A197,4)),1,4)-WEEKDAY(DATE(VALUE(LEFT($A197,4)),1,4),2)+1+(VALUE(MID($A197,7,2))-1)*7)-p_semana_referencia)/7,$F197)),"T"&amp;($F197-MOD((IFERROR(INDEX('TECNICOS'!$G$4:$G$19,MATCH($C197,'TECNICOS'!$B$4:$B$19,0)),0)-1)+((DATE(VALUE(LEFT($A197,4)),1,4)-WEEKDAY(DATE(VALUE(LEFT($A197,4)),1,4),2)+1+(VALUE(MID($A197,7,2))-1)*7)-p_semana_referencia)/7,$F197)))))</f>
        <v/>
      </c>
      <c r="H197" s="24">
        <f>IF(COUNTIFS('PLAN_VACACIONES'!$A$4:$A$103,$C197,'PLAN_VACACIONES'!$B$4:$B$103,"&lt;="&amp;$L197,'PLAN_VACACIONES'!$C$4:$C$103,"&gt;="&amp;$L197)&gt;0,"sí","no")</f>
        <v/>
      </c>
      <c r="I197" s="4" t="n"/>
      <c r="J197" s="24">
        <f>IF($I197&lt;&gt;"",$I197,IF($G197="","",IF($H197="sí","VAC",IF(LEFT($G197,1)="B","B",$G197))))</f>
        <v/>
      </c>
      <c r="K197" s="24">
        <f>IFERROR(INDEX('TECNICOS'!$E$4:$E$19,MATCH($C197,'TECNICOS'!$B$4:$B$19,0)),"")</f>
        <v/>
      </c>
      <c r="L197" s="30">
        <f>IF($A197="","",DATE(VALUE(LEFT($A197,4)),1,4)-WEEKDAY(DATE(VALUE(LEFT($A197,4)),1,4),2)+1+(VALUE(MID($A197,7,2))-1)*7+MATCH($B197,lista_dias,0)-1)</f>
        <v/>
      </c>
      <c r="M197" s="24">
        <f>IF(OR($J197="",ISNUMBER(MATCH($J197,lista_no_disponible,0)),(IFERROR(INDEX('CALENDARIO'!$C$15:$C$214,MATCH(TEXT($L197,"yyyy-mm-dd")&amp;"|"&amp;$D197&amp;"|"&amp;"",'CALENDARIO'!$G$15:$G$214,0)),IFERROR(INDEX('CALENDARIO'!$C$15:$C$214,MATCH(TEXT($L197,"yyyy-mm-dd")&amp;"|"&amp;$D197&amp;"|",'CALENDARIO'!$G$15:$G$214,0)),IFERROR(INDEX('CALENDARIO'!$C$15:$C$214,MATCH(TEXT($L197,"yyyy-mm-dd")&amp;"||",'CALENDARIO'!$G$15:$G$214,0)),INDEX(patronHabil,WEEKDAY($L197,2))))))&lt;&gt;"sí"),0,p_horas_jornada)</f>
        <v/>
      </c>
      <c r="N197" s="24">
        <f>$A197&amp;"|"&amp;$B197&amp;"|"&amp;$C197</f>
        <v/>
      </c>
      <c r="O197" s="24">
        <f>IFERROR(INDEX('CAT_TURNOS'!$C$4:$C$22,MATCH($J197,'CAT_TURNOS'!$A$4:$A$22,0)),"")</f>
        <v/>
      </c>
      <c r="P197" s="24">
        <f>IFERROR(INDEX('CAT_TURNOS'!$D$4:$D$22,MATCH($J197,'CAT_TURNOS'!$A$4:$A$22,0)),"")</f>
        <v/>
      </c>
      <c r="Q197" s="24">
        <f>IF(AND(LEFT($G197,1)="T",$H197="no"),"sí","no")</f>
        <v/>
      </c>
    </row>
    <row r="198">
      <c r="A198" s="5" t="inlineStr">
        <is>
          <t>2026-S31</t>
        </is>
      </c>
      <c r="B198" s="5" t="inlineStr">
        <is>
          <t>sábado</t>
        </is>
      </c>
      <c r="C198" s="5" t="inlineStr">
        <is>
          <t>Eduardo Silva</t>
        </is>
      </c>
      <c r="D198" s="24">
        <f>IFERROR(INDEX('TECNICOS'!$D$4:$D$19,MATCH($C198,'TECNICOS'!$B$4:$B$19,0)),"")</f>
        <v/>
      </c>
      <c r="E198" s="24">
        <f>IFERROR(INDEX('TECNICOS'!$C$4:$C$19,MATCH($C198,'TECNICOS'!$B$4:$B$19,0)),"")</f>
        <v/>
      </c>
      <c r="F198" s="24">
        <f>COUNTIFS('TECNICOS'!$F$4:$F$19,"sí",'TECNICOS'!$C$4:$C$19,$E198,'TECNICOS'!$D$4:$D$19,$D198,'TECNICOS'!$H$4:$H$19,"sí")</f>
        <v/>
      </c>
      <c r="G198" s="24">
        <f>IF(OR($C198="",$A198="",$B198="domingo",IFERROR(INDEX('TECNICOS'!$H$4:$H$19,MATCH($C198,'TECNICOS'!$B$4:$B$19,0)),"no")&lt;&gt;"sí"),"",IF(IFERROR(INDEX('TECNICOS'!$F$4:$F$19,MATCH($C198,'TECNICOS'!$B$4:$B$19,0)),"no")&lt;&gt;"sí","B",IF(MOD((IFERROR(INDEX('TECNICOS'!$G$4:$G$19,MATCH($C198,'TECNICOS'!$B$4:$B$19,0)),0)-1)+((DATE(VALUE(LEFT($A198,4)),1,4)-WEEKDAY(DATE(VALUE(LEFT($A198,4)),1,4),2)+1+(VALUE(MID($A198,7,2))-1)*7)-p_semana_referencia)/7,$F198)&lt;($F198-3),"B"&amp;(($F198-3)-MOD((IFERROR(INDEX('TECNICOS'!$G$4:$G$19,MATCH($C198,'TECNICOS'!$B$4:$B$19,0)),0)-1)+((DATE(VALUE(LEFT($A198,4)),1,4)-WEEKDAY(DATE(VALUE(LEFT($A198,4)),1,4),2)+1+(VALUE(MID($A198,7,2))-1)*7)-p_semana_referencia)/7,$F198)),"T"&amp;($F198-MOD((IFERROR(INDEX('TECNICOS'!$G$4:$G$19,MATCH($C198,'TECNICOS'!$B$4:$B$19,0)),0)-1)+((DATE(VALUE(LEFT($A198,4)),1,4)-WEEKDAY(DATE(VALUE(LEFT($A198,4)),1,4),2)+1+(VALUE(MID($A198,7,2))-1)*7)-p_semana_referencia)/7,$F198)))))</f>
        <v/>
      </c>
      <c r="H198" s="24">
        <f>IF(COUNTIFS('PLAN_VACACIONES'!$A$4:$A$103,$C198,'PLAN_VACACIONES'!$B$4:$B$103,"&lt;="&amp;$L198,'PLAN_VACACIONES'!$C$4:$C$103,"&gt;="&amp;$L198)&gt;0,"sí","no")</f>
        <v/>
      </c>
      <c r="I198" s="4" t="n"/>
      <c r="J198" s="24">
        <f>IF($I198&lt;&gt;"",$I198,IF($G198="","",IF($H198="sí","VAC",IF(LEFT($G198,1)="B","B",$G198))))</f>
        <v/>
      </c>
      <c r="K198" s="24">
        <f>IFERROR(INDEX('TECNICOS'!$E$4:$E$19,MATCH($C198,'TECNICOS'!$B$4:$B$19,0)),"")</f>
        <v/>
      </c>
      <c r="L198" s="30">
        <f>IF($A198="","",DATE(VALUE(LEFT($A198,4)),1,4)-WEEKDAY(DATE(VALUE(LEFT($A198,4)),1,4),2)+1+(VALUE(MID($A198,7,2))-1)*7+MATCH($B198,lista_dias,0)-1)</f>
        <v/>
      </c>
      <c r="M198" s="24">
        <f>IF(OR($J198="",ISNUMBER(MATCH($J198,lista_no_disponible,0)),(IFERROR(INDEX('CALENDARIO'!$C$15:$C$214,MATCH(TEXT($L198,"yyyy-mm-dd")&amp;"|"&amp;$D198&amp;"|"&amp;"",'CALENDARIO'!$G$15:$G$214,0)),IFERROR(INDEX('CALENDARIO'!$C$15:$C$214,MATCH(TEXT($L198,"yyyy-mm-dd")&amp;"|"&amp;$D198&amp;"|",'CALENDARIO'!$G$15:$G$214,0)),IFERROR(INDEX('CALENDARIO'!$C$15:$C$214,MATCH(TEXT($L198,"yyyy-mm-dd")&amp;"||",'CALENDARIO'!$G$15:$G$214,0)),INDEX(patronHabil,WEEKDAY($L198,2))))))&lt;&gt;"sí"),0,p_horas_jornada)</f>
        <v/>
      </c>
      <c r="N198" s="24">
        <f>$A198&amp;"|"&amp;$B198&amp;"|"&amp;$C198</f>
        <v/>
      </c>
      <c r="O198" s="24">
        <f>IFERROR(INDEX('CAT_TURNOS'!$C$4:$C$22,MATCH($J198,'CAT_TURNOS'!$A$4:$A$22,0)),"")</f>
        <v/>
      </c>
      <c r="P198" s="24">
        <f>IFERROR(INDEX('CAT_TURNOS'!$D$4:$D$22,MATCH($J198,'CAT_TURNOS'!$A$4:$A$22,0)),"")</f>
        <v/>
      </c>
      <c r="Q198" s="24">
        <f>IF(AND(LEFT($G198,1)="T",$H198="no"),"sí","no")</f>
        <v/>
      </c>
    </row>
    <row r="199">
      <c r="A199" s="5" t="inlineStr">
        <is>
          <t>2026-S31</t>
        </is>
      </c>
      <c r="B199" s="5" t="inlineStr">
        <is>
          <t>domingo</t>
        </is>
      </c>
      <c r="C199" s="5" t="inlineStr">
        <is>
          <t>Eduardo Silva</t>
        </is>
      </c>
      <c r="D199" s="24">
        <f>IFERROR(INDEX('TECNICOS'!$D$4:$D$19,MATCH($C199,'TECNICOS'!$B$4:$B$19,0)),"")</f>
        <v/>
      </c>
      <c r="E199" s="24">
        <f>IFERROR(INDEX('TECNICOS'!$C$4:$C$19,MATCH($C199,'TECNICOS'!$B$4:$B$19,0)),"")</f>
        <v/>
      </c>
      <c r="F199" s="24">
        <f>COUNTIFS('TECNICOS'!$F$4:$F$19,"sí",'TECNICOS'!$C$4:$C$19,$E199,'TECNICOS'!$D$4:$D$19,$D199,'TECNICOS'!$H$4:$H$19,"sí")</f>
        <v/>
      </c>
      <c r="G199" s="24">
        <f>IF(OR($C199="",$A199="",$B199="domingo",IFERROR(INDEX('TECNICOS'!$H$4:$H$19,MATCH($C199,'TECNICOS'!$B$4:$B$19,0)),"no")&lt;&gt;"sí"),"",IF(IFERROR(INDEX('TECNICOS'!$F$4:$F$19,MATCH($C199,'TECNICOS'!$B$4:$B$19,0)),"no")&lt;&gt;"sí","B",IF(MOD((IFERROR(INDEX('TECNICOS'!$G$4:$G$19,MATCH($C199,'TECNICOS'!$B$4:$B$19,0)),0)-1)+((DATE(VALUE(LEFT($A199,4)),1,4)-WEEKDAY(DATE(VALUE(LEFT($A199,4)),1,4),2)+1+(VALUE(MID($A199,7,2))-1)*7)-p_semana_referencia)/7,$F199)&lt;($F199-3),"B"&amp;(($F199-3)-MOD((IFERROR(INDEX('TECNICOS'!$G$4:$G$19,MATCH($C199,'TECNICOS'!$B$4:$B$19,0)),0)-1)+((DATE(VALUE(LEFT($A199,4)),1,4)-WEEKDAY(DATE(VALUE(LEFT($A199,4)),1,4),2)+1+(VALUE(MID($A199,7,2))-1)*7)-p_semana_referencia)/7,$F199)),"T"&amp;($F199-MOD((IFERROR(INDEX('TECNICOS'!$G$4:$G$19,MATCH($C199,'TECNICOS'!$B$4:$B$19,0)),0)-1)+((DATE(VALUE(LEFT($A199,4)),1,4)-WEEKDAY(DATE(VALUE(LEFT($A199,4)),1,4),2)+1+(VALUE(MID($A199,7,2))-1)*7)-p_semana_referencia)/7,$F199)))))</f>
        <v/>
      </c>
      <c r="H199" s="24">
        <f>IF(COUNTIFS('PLAN_VACACIONES'!$A$4:$A$103,$C199,'PLAN_VACACIONES'!$B$4:$B$103,"&lt;="&amp;$L199,'PLAN_VACACIONES'!$C$4:$C$103,"&gt;="&amp;$L199)&gt;0,"sí","no")</f>
        <v/>
      </c>
      <c r="I199" s="4" t="n"/>
      <c r="J199" s="24">
        <f>IF($I199&lt;&gt;"",$I199,IF($G199="","",IF($H199="sí","VAC",IF(LEFT($G199,1)="B","B",$G199))))</f>
        <v/>
      </c>
      <c r="K199" s="24">
        <f>IFERROR(INDEX('TECNICOS'!$E$4:$E$19,MATCH($C199,'TECNICOS'!$B$4:$B$19,0)),"")</f>
        <v/>
      </c>
      <c r="L199" s="30">
        <f>IF($A199="","",DATE(VALUE(LEFT($A199,4)),1,4)-WEEKDAY(DATE(VALUE(LEFT($A199,4)),1,4),2)+1+(VALUE(MID($A199,7,2))-1)*7+MATCH($B199,lista_dias,0)-1)</f>
        <v/>
      </c>
      <c r="M199" s="24">
        <f>IF(OR($J199="",ISNUMBER(MATCH($J199,lista_no_disponible,0)),(IFERROR(INDEX('CALENDARIO'!$C$15:$C$214,MATCH(TEXT($L199,"yyyy-mm-dd")&amp;"|"&amp;$D199&amp;"|"&amp;"",'CALENDARIO'!$G$15:$G$214,0)),IFERROR(INDEX('CALENDARIO'!$C$15:$C$214,MATCH(TEXT($L199,"yyyy-mm-dd")&amp;"|"&amp;$D199&amp;"|",'CALENDARIO'!$G$15:$G$214,0)),IFERROR(INDEX('CALENDARIO'!$C$15:$C$214,MATCH(TEXT($L199,"yyyy-mm-dd")&amp;"||",'CALENDARIO'!$G$15:$G$214,0)),INDEX(patronHabil,WEEKDAY($L199,2))))))&lt;&gt;"sí"),0,p_horas_jornada)</f>
        <v/>
      </c>
      <c r="N199" s="24">
        <f>$A199&amp;"|"&amp;$B199&amp;"|"&amp;$C199</f>
        <v/>
      </c>
      <c r="O199" s="24">
        <f>IFERROR(INDEX('CAT_TURNOS'!$C$4:$C$22,MATCH($J199,'CAT_TURNOS'!$A$4:$A$22,0)),"")</f>
        <v/>
      </c>
      <c r="P199" s="24">
        <f>IFERROR(INDEX('CAT_TURNOS'!$D$4:$D$22,MATCH($J199,'CAT_TURNOS'!$A$4:$A$22,0)),"")</f>
        <v/>
      </c>
      <c r="Q199" s="24">
        <f>IF(AND(LEFT($G199,1)="T",$H199="no"),"sí","no")</f>
        <v/>
      </c>
    </row>
    <row r="200">
      <c r="A200" s="5" t="inlineStr">
        <is>
          <t>2026-S31</t>
        </is>
      </c>
      <c r="B200" s="5" t="inlineStr">
        <is>
          <t>lunes</t>
        </is>
      </c>
      <c r="C200" s="5" t="inlineStr">
        <is>
          <t>Gabriela Rojas</t>
        </is>
      </c>
      <c r="D200" s="24">
        <f>IFERROR(INDEX('TECNICOS'!$D$4:$D$19,MATCH($C200,'TECNICOS'!$B$4:$B$19,0)),"")</f>
        <v/>
      </c>
      <c r="E200" s="24">
        <f>IFERROR(INDEX('TECNICOS'!$C$4:$C$19,MATCH($C200,'TECNICOS'!$B$4:$B$19,0)),"")</f>
        <v/>
      </c>
      <c r="F200" s="24">
        <f>COUNTIFS('TECNICOS'!$F$4:$F$19,"sí",'TECNICOS'!$C$4:$C$19,$E200,'TECNICOS'!$D$4:$D$19,$D200,'TECNICOS'!$H$4:$H$19,"sí")</f>
        <v/>
      </c>
      <c r="G200" s="24">
        <f>IF(OR($C200="",$A200="",$B200="domingo",IFERROR(INDEX('TECNICOS'!$H$4:$H$19,MATCH($C200,'TECNICOS'!$B$4:$B$19,0)),"no")&lt;&gt;"sí"),"",IF(IFERROR(INDEX('TECNICOS'!$F$4:$F$19,MATCH($C200,'TECNICOS'!$B$4:$B$19,0)),"no")&lt;&gt;"sí","B",IF(MOD((IFERROR(INDEX('TECNICOS'!$G$4:$G$19,MATCH($C200,'TECNICOS'!$B$4:$B$19,0)),0)-1)+((DATE(VALUE(LEFT($A200,4)),1,4)-WEEKDAY(DATE(VALUE(LEFT($A200,4)),1,4),2)+1+(VALUE(MID($A200,7,2))-1)*7)-p_semana_referencia)/7,$F200)&lt;($F200-3),"B"&amp;(($F200-3)-MOD((IFERROR(INDEX('TECNICOS'!$G$4:$G$19,MATCH($C200,'TECNICOS'!$B$4:$B$19,0)),0)-1)+((DATE(VALUE(LEFT($A200,4)),1,4)-WEEKDAY(DATE(VALUE(LEFT($A200,4)),1,4),2)+1+(VALUE(MID($A200,7,2))-1)*7)-p_semana_referencia)/7,$F200)),"T"&amp;($F200-MOD((IFERROR(INDEX('TECNICOS'!$G$4:$G$19,MATCH($C200,'TECNICOS'!$B$4:$B$19,0)),0)-1)+((DATE(VALUE(LEFT($A200,4)),1,4)-WEEKDAY(DATE(VALUE(LEFT($A200,4)),1,4),2)+1+(VALUE(MID($A200,7,2))-1)*7)-p_semana_referencia)/7,$F200)))))</f>
        <v/>
      </c>
      <c r="H200" s="24">
        <f>IF(COUNTIFS('PLAN_VACACIONES'!$A$4:$A$103,$C200,'PLAN_VACACIONES'!$B$4:$B$103,"&lt;="&amp;$L200,'PLAN_VACACIONES'!$C$4:$C$103,"&gt;="&amp;$L200)&gt;0,"sí","no")</f>
        <v/>
      </c>
      <c r="I200" s="4" t="n"/>
      <c r="J200" s="24">
        <f>IF($I200&lt;&gt;"",$I200,IF($G200="","",IF($H200="sí","VAC",IF(LEFT($G200,1)="B","B",$G200))))</f>
        <v/>
      </c>
      <c r="K200" s="24">
        <f>IFERROR(INDEX('TECNICOS'!$E$4:$E$19,MATCH($C200,'TECNICOS'!$B$4:$B$19,0)),"")</f>
        <v/>
      </c>
      <c r="L200" s="30">
        <f>IF($A200="","",DATE(VALUE(LEFT($A200,4)),1,4)-WEEKDAY(DATE(VALUE(LEFT($A200,4)),1,4),2)+1+(VALUE(MID($A200,7,2))-1)*7+MATCH($B200,lista_dias,0)-1)</f>
        <v/>
      </c>
      <c r="M200" s="24">
        <f>IF(OR($J200="",ISNUMBER(MATCH($J200,lista_no_disponible,0)),(IFERROR(INDEX('CALENDARIO'!$C$15:$C$214,MATCH(TEXT($L200,"yyyy-mm-dd")&amp;"|"&amp;$D200&amp;"|"&amp;"",'CALENDARIO'!$G$15:$G$214,0)),IFERROR(INDEX('CALENDARIO'!$C$15:$C$214,MATCH(TEXT($L200,"yyyy-mm-dd")&amp;"|"&amp;$D200&amp;"|",'CALENDARIO'!$G$15:$G$214,0)),IFERROR(INDEX('CALENDARIO'!$C$15:$C$214,MATCH(TEXT($L200,"yyyy-mm-dd")&amp;"||",'CALENDARIO'!$G$15:$G$214,0)),INDEX(patronHabil,WEEKDAY($L200,2))))))&lt;&gt;"sí"),0,p_horas_jornada)</f>
        <v/>
      </c>
      <c r="N200" s="24">
        <f>$A200&amp;"|"&amp;$B200&amp;"|"&amp;$C200</f>
        <v/>
      </c>
      <c r="O200" s="24">
        <f>IFERROR(INDEX('CAT_TURNOS'!$C$4:$C$22,MATCH($J200,'CAT_TURNOS'!$A$4:$A$22,0)),"")</f>
        <v/>
      </c>
      <c r="P200" s="24">
        <f>IFERROR(INDEX('CAT_TURNOS'!$D$4:$D$22,MATCH($J200,'CAT_TURNOS'!$A$4:$A$22,0)),"")</f>
        <v/>
      </c>
      <c r="Q200" s="24">
        <f>IF(AND(LEFT($G200,1)="T",$H200="no"),"sí","no")</f>
        <v/>
      </c>
    </row>
    <row r="201">
      <c r="A201" s="5" t="inlineStr">
        <is>
          <t>2026-S31</t>
        </is>
      </c>
      <c r="B201" s="5" t="inlineStr">
        <is>
          <t>martes</t>
        </is>
      </c>
      <c r="C201" s="5" t="inlineStr">
        <is>
          <t>Gabriela Rojas</t>
        </is>
      </c>
      <c r="D201" s="24">
        <f>IFERROR(INDEX('TECNICOS'!$D$4:$D$19,MATCH($C201,'TECNICOS'!$B$4:$B$19,0)),"")</f>
        <v/>
      </c>
      <c r="E201" s="24">
        <f>IFERROR(INDEX('TECNICOS'!$C$4:$C$19,MATCH($C201,'TECNICOS'!$B$4:$B$19,0)),"")</f>
        <v/>
      </c>
      <c r="F201" s="24">
        <f>COUNTIFS('TECNICOS'!$F$4:$F$19,"sí",'TECNICOS'!$C$4:$C$19,$E201,'TECNICOS'!$D$4:$D$19,$D201,'TECNICOS'!$H$4:$H$19,"sí")</f>
        <v/>
      </c>
      <c r="G201" s="24">
        <f>IF(OR($C201="",$A201="",$B201="domingo",IFERROR(INDEX('TECNICOS'!$H$4:$H$19,MATCH($C201,'TECNICOS'!$B$4:$B$19,0)),"no")&lt;&gt;"sí"),"",IF(IFERROR(INDEX('TECNICOS'!$F$4:$F$19,MATCH($C201,'TECNICOS'!$B$4:$B$19,0)),"no")&lt;&gt;"sí","B",IF(MOD((IFERROR(INDEX('TECNICOS'!$G$4:$G$19,MATCH($C201,'TECNICOS'!$B$4:$B$19,0)),0)-1)+((DATE(VALUE(LEFT($A201,4)),1,4)-WEEKDAY(DATE(VALUE(LEFT($A201,4)),1,4),2)+1+(VALUE(MID($A201,7,2))-1)*7)-p_semana_referencia)/7,$F201)&lt;($F201-3),"B"&amp;(($F201-3)-MOD((IFERROR(INDEX('TECNICOS'!$G$4:$G$19,MATCH($C201,'TECNICOS'!$B$4:$B$19,0)),0)-1)+((DATE(VALUE(LEFT($A201,4)),1,4)-WEEKDAY(DATE(VALUE(LEFT($A201,4)),1,4),2)+1+(VALUE(MID($A201,7,2))-1)*7)-p_semana_referencia)/7,$F201)),"T"&amp;($F201-MOD((IFERROR(INDEX('TECNICOS'!$G$4:$G$19,MATCH($C201,'TECNICOS'!$B$4:$B$19,0)),0)-1)+((DATE(VALUE(LEFT($A201,4)),1,4)-WEEKDAY(DATE(VALUE(LEFT($A201,4)),1,4),2)+1+(VALUE(MID($A201,7,2))-1)*7)-p_semana_referencia)/7,$F201)))))</f>
        <v/>
      </c>
      <c r="H201" s="24">
        <f>IF(COUNTIFS('PLAN_VACACIONES'!$A$4:$A$103,$C201,'PLAN_VACACIONES'!$B$4:$B$103,"&lt;="&amp;$L201,'PLAN_VACACIONES'!$C$4:$C$103,"&gt;="&amp;$L201)&gt;0,"sí","no")</f>
        <v/>
      </c>
      <c r="I201" s="4" t="n"/>
      <c r="J201" s="24">
        <f>IF($I201&lt;&gt;"",$I201,IF($G201="","",IF($H201="sí","VAC",IF(LEFT($G201,1)="B","B",$G201))))</f>
        <v/>
      </c>
      <c r="K201" s="24">
        <f>IFERROR(INDEX('TECNICOS'!$E$4:$E$19,MATCH($C201,'TECNICOS'!$B$4:$B$19,0)),"")</f>
        <v/>
      </c>
      <c r="L201" s="30">
        <f>IF($A201="","",DATE(VALUE(LEFT($A201,4)),1,4)-WEEKDAY(DATE(VALUE(LEFT($A201,4)),1,4),2)+1+(VALUE(MID($A201,7,2))-1)*7+MATCH($B201,lista_dias,0)-1)</f>
        <v/>
      </c>
      <c r="M201" s="24">
        <f>IF(OR($J201="",ISNUMBER(MATCH($J201,lista_no_disponible,0)),(IFERROR(INDEX('CALENDARIO'!$C$15:$C$214,MATCH(TEXT($L201,"yyyy-mm-dd")&amp;"|"&amp;$D201&amp;"|"&amp;"",'CALENDARIO'!$G$15:$G$214,0)),IFERROR(INDEX('CALENDARIO'!$C$15:$C$214,MATCH(TEXT($L201,"yyyy-mm-dd")&amp;"|"&amp;$D201&amp;"|",'CALENDARIO'!$G$15:$G$214,0)),IFERROR(INDEX('CALENDARIO'!$C$15:$C$214,MATCH(TEXT($L201,"yyyy-mm-dd")&amp;"||",'CALENDARIO'!$G$15:$G$214,0)),INDEX(patronHabil,WEEKDAY($L201,2))))))&lt;&gt;"sí"),0,p_horas_jornada)</f>
        <v/>
      </c>
      <c r="N201" s="24">
        <f>$A201&amp;"|"&amp;$B201&amp;"|"&amp;$C201</f>
        <v/>
      </c>
      <c r="O201" s="24">
        <f>IFERROR(INDEX('CAT_TURNOS'!$C$4:$C$22,MATCH($J201,'CAT_TURNOS'!$A$4:$A$22,0)),"")</f>
        <v/>
      </c>
      <c r="P201" s="24">
        <f>IFERROR(INDEX('CAT_TURNOS'!$D$4:$D$22,MATCH($J201,'CAT_TURNOS'!$A$4:$A$22,0)),"")</f>
        <v/>
      </c>
      <c r="Q201" s="24">
        <f>IF(AND(LEFT($G201,1)="T",$H201="no"),"sí","no")</f>
        <v/>
      </c>
    </row>
    <row r="202">
      <c r="A202" s="5" t="inlineStr">
        <is>
          <t>2026-S31</t>
        </is>
      </c>
      <c r="B202" s="5" t="inlineStr">
        <is>
          <t>miércoles</t>
        </is>
      </c>
      <c r="C202" s="5" t="inlineStr">
        <is>
          <t>Gabriela Rojas</t>
        </is>
      </c>
      <c r="D202" s="24">
        <f>IFERROR(INDEX('TECNICOS'!$D$4:$D$19,MATCH($C202,'TECNICOS'!$B$4:$B$19,0)),"")</f>
        <v/>
      </c>
      <c r="E202" s="24">
        <f>IFERROR(INDEX('TECNICOS'!$C$4:$C$19,MATCH($C202,'TECNICOS'!$B$4:$B$19,0)),"")</f>
        <v/>
      </c>
      <c r="F202" s="24">
        <f>COUNTIFS('TECNICOS'!$F$4:$F$19,"sí",'TECNICOS'!$C$4:$C$19,$E202,'TECNICOS'!$D$4:$D$19,$D202,'TECNICOS'!$H$4:$H$19,"sí")</f>
        <v/>
      </c>
      <c r="G202" s="24">
        <f>IF(OR($C202="",$A202="",$B202="domingo",IFERROR(INDEX('TECNICOS'!$H$4:$H$19,MATCH($C202,'TECNICOS'!$B$4:$B$19,0)),"no")&lt;&gt;"sí"),"",IF(IFERROR(INDEX('TECNICOS'!$F$4:$F$19,MATCH($C202,'TECNICOS'!$B$4:$B$19,0)),"no")&lt;&gt;"sí","B",IF(MOD((IFERROR(INDEX('TECNICOS'!$G$4:$G$19,MATCH($C202,'TECNICOS'!$B$4:$B$19,0)),0)-1)+((DATE(VALUE(LEFT($A202,4)),1,4)-WEEKDAY(DATE(VALUE(LEFT($A202,4)),1,4),2)+1+(VALUE(MID($A202,7,2))-1)*7)-p_semana_referencia)/7,$F202)&lt;($F202-3),"B"&amp;(($F202-3)-MOD((IFERROR(INDEX('TECNICOS'!$G$4:$G$19,MATCH($C202,'TECNICOS'!$B$4:$B$19,0)),0)-1)+((DATE(VALUE(LEFT($A202,4)),1,4)-WEEKDAY(DATE(VALUE(LEFT($A202,4)),1,4),2)+1+(VALUE(MID($A202,7,2))-1)*7)-p_semana_referencia)/7,$F202)),"T"&amp;($F202-MOD((IFERROR(INDEX('TECNICOS'!$G$4:$G$19,MATCH($C202,'TECNICOS'!$B$4:$B$19,0)),0)-1)+((DATE(VALUE(LEFT($A202,4)),1,4)-WEEKDAY(DATE(VALUE(LEFT($A202,4)),1,4),2)+1+(VALUE(MID($A202,7,2))-1)*7)-p_semana_referencia)/7,$F202)))))</f>
        <v/>
      </c>
      <c r="H202" s="24">
        <f>IF(COUNTIFS('PLAN_VACACIONES'!$A$4:$A$103,$C202,'PLAN_VACACIONES'!$B$4:$B$103,"&lt;="&amp;$L202,'PLAN_VACACIONES'!$C$4:$C$103,"&gt;="&amp;$L202)&gt;0,"sí","no")</f>
        <v/>
      </c>
      <c r="I202" s="4" t="n"/>
      <c r="J202" s="24">
        <f>IF($I202&lt;&gt;"",$I202,IF($G202="","",IF($H202="sí","VAC",IF(LEFT($G202,1)="B","B",$G202))))</f>
        <v/>
      </c>
      <c r="K202" s="24">
        <f>IFERROR(INDEX('TECNICOS'!$E$4:$E$19,MATCH($C202,'TECNICOS'!$B$4:$B$19,0)),"")</f>
        <v/>
      </c>
      <c r="L202" s="30">
        <f>IF($A202="","",DATE(VALUE(LEFT($A202,4)),1,4)-WEEKDAY(DATE(VALUE(LEFT($A202,4)),1,4),2)+1+(VALUE(MID($A202,7,2))-1)*7+MATCH($B202,lista_dias,0)-1)</f>
        <v/>
      </c>
      <c r="M202" s="24">
        <f>IF(OR($J202="",ISNUMBER(MATCH($J202,lista_no_disponible,0)),(IFERROR(INDEX('CALENDARIO'!$C$15:$C$214,MATCH(TEXT($L202,"yyyy-mm-dd")&amp;"|"&amp;$D202&amp;"|"&amp;"",'CALENDARIO'!$G$15:$G$214,0)),IFERROR(INDEX('CALENDARIO'!$C$15:$C$214,MATCH(TEXT($L202,"yyyy-mm-dd")&amp;"|"&amp;$D202&amp;"|",'CALENDARIO'!$G$15:$G$214,0)),IFERROR(INDEX('CALENDARIO'!$C$15:$C$214,MATCH(TEXT($L202,"yyyy-mm-dd")&amp;"||",'CALENDARIO'!$G$15:$G$214,0)),INDEX(patronHabil,WEEKDAY($L202,2))))))&lt;&gt;"sí"),0,p_horas_jornada)</f>
        <v/>
      </c>
      <c r="N202" s="24">
        <f>$A202&amp;"|"&amp;$B202&amp;"|"&amp;$C202</f>
        <v/>
      </c>
      <c r="O202" s="24">
        <f>IFERROR(INDEX('CAT_TURNOS'!$C$4:$C$22,MATCH($J202,'CAT_TURNOS'!$A$4:$A$22,0)),"")</f>
        <v/>
      </c>
      <c r="P202" s="24">
        <f>IFERROR(INDEX('CAT_TURNOS'!$D$4:$D$22,MATCH($J202,'CAT_TURNOS'!$A$4:$A$22,0)),"")</f>
        <v/>
      </c>
      <c r="Q202" s="24">
        <f>IF(AND(LEFT($G202,1)="T",$H202="no"),"sí","no")</f>
        <v/>
      </c>
    </row>
    <row r="203">
      <c r="A203" s="5" t="inlineStr">
        <is>
          <t>2026-S31</t>
        </is>
      </c>
      <c r="B203" s="5" t="inlineStr">
        <is>
          <t>jueves</t>
        </is>
      </c>
      <c r="C203" s="5" t="inlineStr">
        <is>
          <t>Gabriela Rojas</t>
        </is>
      </c>
      <c r="D203" s="24">
        <f>IFERROR(INDEX('TECNICOS'!$D$4:$D$19,MATCH($C203,'TECNICOS'!$B$4:$B$19,0)),"")</f>
        <v/>
      </c>
      <c r="E203" s="24">
        <f>IFERROR(INDEX('TECNICOS'!$C$4:$C$19,MATCH($C203,'TECNICOS'!$B$4:$B$19,0)),"")</f>
        <v/>
      </c>
      <c r="F203" s="24">
        <f>COUNTIFS('TECNICOS'!$F$4:$F$19,"sí",'TECNICOS'!$C$4:$C$19,$E203,'TECNICOS'!$D$4:$D$19,$D203,'TECNICOS'!$H$4:$H$19,"sí")</f>
        <v/>
      </c>
      <c r="G203" s="24">
        <f>IF(OR($C203="",$A203="",$B203="domingo",IFERROR(INDEX('TECNICOS'!$H$4:$H$19,MATCH($C203,'TECNICOS'!$B$4:$B$19,0)),"no")&lt;&gt;"sí"),"",IF(IFERROR(INDEX('TECNICOS'!$F$4:$F$19,MATCH($C203,'TECNICOS'!$B$4:$B$19,0)),"no")&lt;&gt;"sí","B",IF(MOD((IFERROR(INDEX('TECNICOS'!$G$4:$G$19,MATCH($C203,'TECNICOS'!$B$4:$B$19,0)),0)-1)+((DATE(VALUE(LEFT($A203,4)),1,4)-WEEKDAY(DATE(VALUE(LEFT($A203,4)),1,4),2)+1+(VALUE(MID($A203,7,2))-1)*7)-p_semana_referencia)/7,$F203)&lt;($F203-3),"B"&amp;(($F203-3)-MOD((IFERROR(INDEX('TECNICOS'!$G$4:$G$19,MATCH($C203,'TECNICOS'!$B$4:$B$19,0)),0)-1)+((DATE(VALUE(LEFT($A203,4)),1,4)-WEEKDAY(DATE(VALUE(LEFT($A203,4)),1,4),2)+1+(VALUE(MID($A203,7,2))-1)*7)-p_semana_referencia)/7,$F203)),"T"&amp;($F203-MOD((IFERROR(INDEX('TECNICOS'!$G$4:$G$19,MATCH($C203,'TECNICOS'!$B$4:$B$19,0)),0)-1)+((DATE(VALUE(LEFT($A203,4)),1,4)-WEEKDAY(DATE(VALUE(LEFT($A203,4)),1,4),2)+1+(VALUE(MID($A203,7,2))-1)*7)-p_semana_referencia)/7,$F203)))))</f>
        <v/>
      </c>
      <c r="H203" s="24">
        <f>IF(COUNTIFS('PLAN_VACACIONES'!$A$4:$A$103,$C203,'PLAN_VACACIONES'!$B$4:$B$103,"&lt;="&amp;$L203,'PLAN_VACACIONES'!$C$4:$C$103,"&gt;="&amp;$L203)&gt;0,"sí","no")</f>
        <v/>
      </c>
      <c r="I203" s="4" t="n"/>
      <c r="J203" s="24">
        <f>IF($I203&lt;&gt;"",$I203,IF($G203="","",IF($H203="sí","VAC",IF(LEFT($G203,1)="B","B",$G203))))</f>
        <v/>
      </c>
      <c r="K203" s="24">
        <f>IFERROR(INDEX('TECNICOS'!$E$4:$E$19,MATCH($C203,'TECNICOS'!$B$4:$B$19,0)),"")</f>
        <v/>
      </c>
      <c r="L203" s="30">
        <f>IF($A203="","",DATE(VALUE(LEFT($A203,4)),1,4)-WEEKDAY(DATE(VALUE(LEFT($A203,4)),1,4),2)+1+(VALUE(MID($A203,7,2))-1)*7+MATCH($B203,lista_dias,0)-1)</f>
        <v/>
      </c>
      <c r="M203" s="24">
        <f>IF(OR($J203="",ISNUMBER(MATCH($J203,lista_no_disponible,0)),(IFERROR(INDEX('CALENDARIO'!$C$15:$C$214,MATCH(TEXT($L203,"yyyy-mm-dd")&amp;"|"&amp;$D203&amp;"|"&amp;"",'CALENDARIO'!$G$15:$G$214,0)),IFERROR(INDEX('CALENDARIO'!$C$15:$C$214,MATCH(TEXT($L203,"yyyy-mm-dd")&amp;"|"&amp;$D203&amp;"|",'CALENDARIO'!$G$15:$G$214,0)),IFERROR(INDEX('CALENDARIO'!$C$15:$C$214,MATCH(TEXT($L203,"yyyy-mm-dd")&amp;"||",'CALENDARIO'!$G$15:$G$214,0)),INDEX(patronHabil,WEEKDAY($L203,2))))))&lt;&gt;"sí"),0,p_horas_jornada)</f>
        <v/>
      </c>
      <c r="N203" s="24">
        <f>$A203&amp;"|"&amp;$B203&amp;"|"&amp;$C203</f>
        <v/>
      </c>
      <c r="O203" s="24">
        <f>IFERROR(INDEX('CAT_TURNOS'!$C$4:$C$22,MATCH($J203,'CAT_TURNOS'!$A$4:$A$22,0)),"")</f>
        <v/>
      </c>
      <c r="P203" s="24">
        <f>IFERROR(INDEX('CAT_TURNOS'!$D$4:$D$22,MATCH($J203,'CAT_TURNOS'!$A$4:$A$22,0)),"")</f>
        <v/>
      </c>
      <c r="Q203" s="24">
        <f>IF(AND(LEFT($G203,1)="T",$H203="no"),"sí","no")</f>
        <v/>
      </c>
    </row>
    <row r="204">
      <c r="A204" s="5" t="inlineStr">
        <is>
          <t>2026-S31</t>
        </is>
      </c>
      <c r="B204" s="5" t="inlineStr">
        <is>
          <t>viernes</t>
        </is>
      </c>
      <c r="C204" s="5" t="inlineStr">
        <is>
          <t>Gabriela Rojas</t>
        </is>
      </c>
      <c r="D204" s="24">
        <f>IFERROR(INDEX('TECNICOS'!$D$4:$D$19,MATCH($C204,'TECNICOS'!$B$4:$B$19,0)),"")</f>
        <v/>
      </c>
      <c r="E204" s="24">
        <f>IFERROR(INDEX('TECNICOS'!$C$4:$C$19,MATCH($C204,'TECNICOS'!$B$4:$B$19,0)),"")</f>
        <v/>
      </c>
      <c r="F204" s="24">
        <f>COUNTIFS('TECNICOS'!$F$4:$F$19,"sí",'TECNICOS'!$C$4:$C$19,$E204,'TECNICOS'!$D$4:$D$19,$D204,'TECNICOS'!$H$4:$H$19,"sí")</f>
        <v/>
      </c>
      <c r="G204" s="24">
        <f>IF(OR($C204="",$A204="",$B204="domingo",IFERROR(INDEX('TECNICOS'!$H$4:$H$19,MATCH($C204,'TECNICOS'!$B$4:$B$19,0)),"no")&lt;&gt;"sí"),"",IF(IFERROR(INDEX('TECNICOS'!$F$4:$F$19,MATCH($C204,'TECNICOS'!$B$4:$B$19,0)),"no")&lt;&gt;"sí","B",IF(MOD((IFERROR(INDEX('TECNICOS'!$G$4:$G$19,MATCH($C204,'TECNICOS'!$B$4:$B$19,0)),0)-1)+((DATE(VALUE(LEFT($A204,4)),1,4)-WEEKDAY(DATE(VALUE(LEFT($A204,4)),1,4),2)+1+(VALUE(MID($A204,7,2))-1)*7)-p_semana_referencia)/7,$F204)&lt;($F204-3),"B"&amp;(($F204-3)-MOD((IFERROR(INDEX('TECNICOS'!$G$4:$G$19,MATCH($C204,'TECNICOS'!$B$4:$B$19,0)),0)-1)+((DATE(VALUE(LEFT($A204,4)),1,4)-WEEKDAY(DATE(VALUE(LEFT($A204,4)),1,4),2)+1+(VALUE(MID($A204,7,2))-1)*7)-p_semana_referencia)/7,$F204)),"T"&amp;($F204-MOD((IFERROR(INDEX('TECNICOS'!$G$4:$G$19,MATCH($C204,'TECNICOS'!$B$4:$B$19,0)),0)-1)+((DATE(VALUE(LEFT($A204,4)),1,4)-WEEKDAY(DATE(VALUE(LEFT($A204,4)),1,4),2)+1+(VALUE(MID($A204,7,2))-1)*7)-p_semana_referencia)/7,$F204)))))</f>
        <v/>
      </c>
      <c r="H204" s="24">
        <f>IF(COUNTIFS('PLAN_VACACIONES'!$A$4:$A$103,$C204,'PLAN_VACACIONES'!$B$4:$B$103,"&lt;="&amp;$L204,'PLAN_VACACIONES'!$C$4:$C$103,"&gt;="&amp;$L204)&gt;0,"sí","no")</f>
        <v/>
      </c>
      <c r="I204" s="4" t="n"/>
      <c r="J204" s="24">
        <f>IF($I204&lt;&gt;"",$I204,IF($G204="","",IF($H204="sí","VAC",IF(LEFT($G204,1)="B","B",$G204))))</f>
        <v/>
      </c>
      <c r="K204" s="24">
        <f>IFERROR(INDEX('TECNICOS'!$E$4:$E$19,MATCH($C204,'TECNICOS'!$B$4:$B$19,0)),"")</f>
        <v/>
      </c>
      <c r="L204" s="30">
        <f>IF($A204="","",DATE(VALUE(LEFT($A204,4)),1,4)-WEEKDAY(DATE(VALUE(LEFT($A204,4)),1,4),2)+1+(VALUE(MID($A204,7,2))-1)*7+MATCH($B204,lista_dias,0)-1)</f>
        <v/>
      </c>
      <c r="M204" s="24">
        <f>IF(OR($J204="",ISNUMBER(MATCH($J204,lista_no_disponible,0)),(IFERROR(INDEX('CALENDARIO'!$C$15:$C$214,MATCH(TEXT($L204,"yyyy-mm-dd")&amp;"|"&amp;$D204&amp;"|"&amp;"",'CALENDARIO'!$G$15:$G$214,0)),IFERROR(INDEX('CALENDARIO'!$C$15:$C$214,MATCH(TEXT($L204,"yyyy-mm-dd")&amp;"|"&amp;$D204&amp;"|",'CALENDARIO'!$G$15:$G$214,0)),IFERROR(INDEX('CALENDARIO'!$C$15:$C$214,MATCH(TEXT($L204,"yyyy-mm-dd")&amp;"||",'CALENDARIO'!$G$15:$G$214,0)),INDEX(patronHabil,WEEKDAY($L204,2))))))&lt;&gt;"sí"),0,p_horas_jornada)</f>
        <v/>
      </c>
      <c r="N204" s="24">
        <f>$A204&amp;"|"&amp;$B204&amp;"|"&amp;$C204</f>
        <v/>
      </c>
      <c r="O204" s="24">
        <f>IFERROR(INDEX('CAT_TURNOS'!$C$4:$C$22,MATCH($J204,'CAT_TURNOS'!$A$4:$A$22,0)),"")</f>
        <v/>
      </c>
      <c r="P204" s="24">
        <f>IFERROR(INDEX('CAT_TURNOS'!$D$4:$D$22,MATCH($J204,'CAT_TURNOS'!$A$4:$A$22,0)),"")</f>
        <v/>
      </c>
      <c r="Q204" s="24">
        <f>IF(AND(LEFT($G204,1)="T",$H204="no"),"sí","no")</f>
        <v/>
      </c>
    </row>
    <row r="205">
      <c r="A205" s="5" t="inlineStr">
        <is>
          <t>2026-S31</t>
        </is>
      </c>
      <c r="B205" s="5" t="inlineStr">
        <is>
          <t>sábado</t>
        </is>
      </c>
      <c r="C205" s="5" t="inlineStr">
        <is>
          <t>Gabriela Rojas</t>
        </is>
      </c>
      <c r="D205" s="24">
        <f>IFERROR(INDEX('TECNICOS'!$D$4:$D$19,MATCH($C205,'TECNICOS'!$B$4:$B$19,0)),"")</f>
        <v/>
      </c>
      <c r="E205" s="24">
        <f>IFERROR(INDEX('TECNICOS'!$C$4:$C$19,MATCH($C205,'TECNICOS'!$B$4:$B$19,0)),"")</f>
        <v/>
      </c>
      <c r="F205" s="24">
        <f>COUNTIFS('TECNICOS'!$F$4:$F$19,"sí",'TECNICOS'!$C$4:$C$19,$E205,'TECNICOS'!$D$4:$D$19,$D205,'TECNICOS'!$H$4:$H$19,"sí")</f>
        <v/>
      </c>
      <c r="G205" s="24">
        <f>IF(OR($C205="",$A205="",$B205="domingo",IFERROR(INDEX('TECNICOS'!$H$4:$H$19,MATCH($C205,'TECNICOS'!$B$4:$B$19,0)),"no")&lt;&gt;"sí"),"",IF(IFERROR(INDEX('TECNICOS'!$F$4:$F$19,MATCH($C205,'TECNICOS'!$B$4:$B$19,0)),"no")&lt;&gt;"sí","B",IF(MOD((IFERROR(INDEX('TECNICOS'!$G$4:$G$19,MATCH($C205,'TECNICOS'!$B$4:$B$19,0)),0)-1)+((DATE(VALUE(LEFT($A205,4)),1,4)-WEEKDAY(DATE(VALUE(LEFT($A205,4)),1,4),2)+1+(VALUE(MID($A205,7,2))-1)*7)-p_semana_referencia)/7,$F205)&lt;($F205-3),"B"&amp;(($F205-3)-MOD((IFERROR(INDEX('TECNICOS'!$G$4:$G$19,MATCH($C205,'TECNICOS'!$B$4:$B$19,0)),0)-1)+((DATE(VALUE(LEFT($A205,4)),1,4)-WEEKDAY(DATE(VALUE(LEFT($A205,4)),1,4),2)+1+(VALUE(MID($A205,7,2))-1)*7)-p_semana_referencia)/7,$F205)),"T"&amp;($F205-MOD((IFERROR(INDEX('TECNICOS'!$G$4:$G$19,MATCH($C205,'TECNICOS'!$B$4:$B$19,0)),0)-1)+((DATE(VALUE(LEFT($A205,4)),1,4)-WEEKDAY(DATE(VALUE(LEFT($A205,4)),1,4),2)+1+(VALUE(MID($A205,7,2))-1)*7)-p_semana_referencia)/7,$F205)))))</f>
        <v/>
      </c>
      <c r="H205" s="24">
        <f>IF(COUNTIFS('PLAN_VACACIONES'!$A$4:$A$103,$C205,'PLAN_VACACIONES'!$B$4:$B$103,"&lt;="&amp;$L205,'PLAN_VACACIONES'!$C$4:$C$103,"&gt;="&amp;$L205)&gt;0,"sí","no")</f>
        <v/>
      </c>
      <c r="I205" s="4" t="n"/>
      <c r="J205" s="24">
        <f>IF($I205&lt;&gt;"",$I205,IF($G205="","",IF($H205="sí","VAC",IF(LEFT($G205,1)="B","B",$G205))))</f>
        <v/>
      </c>
      <c r="K205" s="24">
        <f>IFERROR(INDEX('TECNICOS'!$E$4:$E$19,MATCH($C205,'TECNICOS'!$B$4:$B$19,0)),"")</f>
        <v/>
      </c>
      <c r="L205" s="30">
        <f>IF($A205="","",DATE(VALUE(LEFT($A205,4)),1,4)-WEEKDAY(DATE(VALUE(LEFT($A205,4)),1,4),2)+1+(VALUE(MID($A205,7,2))-1)*7+MATCH($B205,lista_dias,0)-1)</f>
        <v/>
      </c>
      <c r="M205" s="24">
        <f>IF(OR($J205="",ISNUMBER(MATCH($J205,lista_no_disponible,0)),(IFERROR(INDEX('CALENDARIO'!$C$15:$C$214,MATCH(TEXT($L205,"yyyy-mm-dd")&amp;"|"&amp;$D205&amp;"|"&amp;"",'CALENDARIO'!$G$15:$G$214,0)),IFERROR(INDEX('CALENDARIO'!$C$15:$C$214,MATCH(TEXT($L205,"yyyy-mm-dd")&amp;"|"&amp;$D205&amp;"|",'CALENDARIO'!$G$15:$G$214,0)),IFERROR(INDEX('CALENDARIO'!$C$15:$C$214,MATCH(TEXT($L205,"yyyy-mm-dd")&amp;"||",'CALENDARIO'!$G$15:$G$214,0)),INDEX(patronHabil,WEEKDAY($L205,2))))))&lt;&gt;"sí"),0,p_horas_jornada)</f>
        <v/>
      </c>
      <c r="N205" s="24">
        <f>$A205&amp;"|"&amp;$B205&amp;"|"&amp;$C205</f>
        <v/>
      </c>
      <c r="O205" s="24">
        <f>IFERROR(INDEX('CAT_TURNOS'!$C$4:$C$22,MATCH($J205,'CAT_TURNOS'!$A$4:$A$22,0)),"")</f>
        <v/>
      </c>
      <c r="P205" s="24">
        <f>IFERROR(INDEX('CAT_TURNOS'!$D$4:$D$22,MATCH($J205,'CAT_TURNOS'!$A$4:$A$22,0)),"")</f>
        <v/>
      </c>
      <c r="Q205" s="24">
        <f>IF(AND(LEFT($G205,1)="T",$H205="no"),"sí","no")</f>
        <v/>
      </c>
    </row>
    <row r="206">
      <c r="A206" s="5" t="inlineStr">
        <is>
          <t>2026-S31</t>
        </is>
      </c>
      <c r="B206" s="5" t="inlineStr">
        <is>
          <t>domingo</t>
        </is>
      </c>
      <c r="C206" s="5" t="inlineStr">
        <is>
          <t>Gabriela Rojas</t>
        </is>
      </c>
      <c r="D206" s="24">
        <f>IFERROR(INDEX('TECNICOS'!$D$4:$D$19,MATCH($C206,'TECNICOS'!$B$4:$B$19,0)),"")</f>
        <v/>
      </c>
      <c r="E206" s="24">
        <f>IFERROR(INDEX('TECNICOS'!$C$4:$C$19,MATCH($C206,'TECNICOS'!$B$4:$B$19,0)),"")</f>
        <v/>
      </c>
      <c r="F206" s="24">
        <f>COUNTIFS('TECNICOS'!$F$4:$F$19,"sí",'TECNICOS'!$C$4:$C$19,$E206,'TECNICOS'!$D$4:$D$19,$D206,'TECNICOS'!$H$4:$H$19,"sí")</f>
        <v/>
      </c>
      <c r="G206" s="24">
        <f>IF(OR($C206="",$A206="",$B206="domingo",IFERROR(INDEX('TECNICOS'!$H$4:$H$19,MATCH($C206,'TECNICOS'!$B$4:$B$19,0)),"no")&lt;&gt;"sí"),"",IF(IFERROR(INDEX('TECNICOS'!$F$4:$F$19,MATCH($C206,'TECNICOS'!$B$4:$B$19,0)),"no")&lt;&gt;"sí","B",IF(MOD((IFERROR(INDEX('TECNICOS'!$G$4:$G$19,MATCH($C206,'TECNICOS'!$B$4:$B$19,0)),0)-1)+((DATE(VALUE(LEFT($A206,4)),1,4)-WEEKDAY(DATE(VALUE(LEFT($A206,4)),1,4),2)+1+(VALUE(MID($A206,7,2))-1)*7)-p_semana_referencia)/7,$F206)&lt;($F206-3),"B"&amp;(($F206-3)-MOD((IFERROR(INDEX('TECNICOS'!$G$4:$G$19,MATCH($C206,'TECNICOS'!$B$4:$B$19,0)),0)-1)+((DATE(VALUE(LEFT($A206,4)),1,4)-WEEKDAY(DATE(VALUE(LEFT($A206,4)),1,4),2)+1+(VALUE(MID($A206,7,2))-1)*7)-p_semana_referencia)/7,$F206)),"T"&amp;($F206-MOD((IFERROR(INDEX('TECNICOS'!$G$4:$G$19,MATCH($C206,'TECNICOS'!$B$4:$B$19,0)),0)-1)+((DATE(VALUE(LEFT($A206,4)),1,4)-WEEKDAY(DATE(VALUE(LEFT($A206,4)),1,4),2)+1+(VALUE(MID($A206,7,2))-1)*7)-p_semana_referencia)/7,$F206)))))</f>
        <v/>
      </c>
      <c r="H206" s="24">
        <f>IF(COUNTIFS('PLAN_VACACIONES'!$A$4:$A$103,$C206,'PLAN_VACACIONES'!$B$4:$B$103,"&lt;="&amp;$L206,'PLAN_VACACIONES'!$C$4:$C$103,"&gt;="&amp;$L206)&gt;0,"sí","no")</f>
        <v/>
      </c>
      <c r="I206" s="4" t="n"/>
      <c r="J206" s="24">
        <f>IF($I206&lt;&gt;"",$I206,IF($G206="","",IF($H206="sí","VAC",IF(LEFT($G206,1)="B","B",$G206))))</f>
        <v/>
      </c>
      <c r="K206" s="24">
        <f>IFERROR(INDEX('TECNICOS'!$E$4:$E$19,MATCH($C206,'TECNICOS'!$B$4:$B$19,0)),"")</f>
        <v/>
      </c>
      <c r="L206" s="30">
        <f>IF($A206="","",DATE(VALUE(LEFT($A206,4)),1,4)-WEEKDAY(DATE(VALUE(LEFT($A206,4)),1,4),2)+1+(VALUE(MID($A206,7,2))-1)*7+MATCH($B206,lista_dias,0)-1)</f>
        <v/>
      </c>
      <c r="M206" s="24">
        <f>IF(OR($J206="",ISNUMBER(MATCH($J206,lista_no_disponible,0)),(IFERROR(INDEX('CALENDARIO'!$C$15:$C$214,MATCH(TEXT($L206,"yyyy-mm-dd")&amp;"|"&amp;$D206&amp;"|"&amp;"",'CALENDARIO'!$G$15:$G$214,0)),IFERROR(INDEX('CALENDARIO'!$C$15:$C$214,MATCH(TEXT($L206,"yyyy-mm-dd")&amp;"|"&amp;$D206&amp;"|",'CALENDARIO'!$G$15:$G$214,0)),IFERROR(INDEX('CALENDARIO'!$C$15:$C$214,MATCH(TEXT($L206,"yyyy-mm-dd")&amp;"||",'CALENDARIO'!$G$15:$G$214,0)),INDEX(patronHabil,WEEKDAY($L206,2))))))&lt;&gt;"sí"),0,p_horas_jornada)</f>
        <v/>
      </c>
      <c r="N206" s="24">
        <f>$A206&amp;"|"&amp;$B206&amp;"|"&amp;$C206</f>
        <v/>
      </c>
      <c r="O206" s="24">
        <f>IFERROR(INDEX('CAT_TURNOS'!$C$4:$C$22,MATCH($J206,'CAT_TURNOS'!$A$4:$A$22,0)),"")</f>
        <v/>
      </c>
      <c r="P206" s="24">
        <f>IFERROR(INDEX('CAT_TURNOS'!$D$4:$D$22,MATCH($J206,'CAT_TURNOS'!$A$4:$A$22,0)),"")</f>
        <v/>
      </c>
      <c r="Q206" s="24">
        <f>IF(AND(LEFT($G206,1)="T",$H206="no"),"sí","no")</f>
        <v/>
      </c>
    </row>
    <row r="207">
      <c r="A207" s="5" t="inlineStr">
        <is>
          <t>2026-S31</t>
        </is>
      </c>
      <c r="B207" s="5" t="inlineStr">
        <is>
          <t>lunes</t>
        </is>
      </c>
      <c r="C207" s="5" t="inlineStr">
        <is>
          <t>Fernando Mendoza</t>
        </is>
      </c>
      <c r="D207" s="24">
        <f>IFERROR(INDEX('TECNICOS'!$D$4:$D$19,MATCH($C207,'TECNICOS'!$B$4:$B$19,0)),"")</f>
        <v/>
      </c>
      <c r="E207" s="24">
        <f>IFERROR(INDEX('TECNICOS'!$C$4:$C$19,MATCH($C207,'TECNICOS'!$B$4:$B$19,0)),"")</f>
        <v/>
      </c>
      <c r="F207" s="24">
        <f>COUNTIFS('TECNICOS'!$F$4:$F$19,"sí",'TECNICOS'!$C$4:$C$19,$E207,'TECNICOS'!$D$4:$D$19,$D207,'TECNICOS'!$H$4:$H$19,"sí")</f>
        <v/>
      </c>
      <c r="G207" s="24">
        <f>IF(OR($C207="",$A207="",$B207="domingo",IFERROR(INDEX('TECNICOS'!$H$4:$H$19,MATCH($C207,'TECNICOS'!$B$4:$B$19,0)),"no")&lt;&gt;"sí"),"",IF(IFERROR(INDEX('TECNICOS'!$F$4:$F$19,MATCH($C207,'TECNICOS'!$B$4:$B$19,0)),"no")&lt;&gt;"sí","B",IF(MOD((IFERROR(INDEX('TECNICOS'!$G$4:$G$19,MATCH($C207,'TECNICOS'!$B$4:$B$19,0)),0)-1)+((DATE(VALUE(LEFT($A207,4)),1,4)-WEEKDAY(DATE(VALUE(LEFT($A207,4)),1,4),2)+1+(VALUE(MID($A207,7,2))-1)*7)-p_semana_referencia)/7,$F207)&lt;($F207-3),"B"&amp;(($F207-3)-MOD((IFERROR(INDEX('TECNICOS'!$G$4:$G$19,MATCH($C207,'TECNICOS'!$B$4:$B$19,0)),0)-1)+((DATE(VALUE(LEFT($A207,4)),1,4)-WEEKDAY(DATE(VALUE(LEFT($A207,4)),1,4),2)+1+(VALUE(MID($A207,7,2))-1)*7)-p_semana_referencia)/7,$F207)),"T"&amp;($F207-MOD((IFERROR(INDEX('TECNICOS'!$G$4:$G$19,MATCH($C207,'TECNICOS'!$B$4:$B$19,0)),0)-1)+((DATE(VALUE(LEFT($A207,4)),1,4)-WEEKDAY(DATE(VALUE(LEFT($A207,4)),1,4),2)+1+(VALUE(MID($A207,7,2))-1)*7)-p_semana_referencia)/7,$F207)))))</f>
        <v/>
      </c>
      <c r="H207" s="24">
        <f>IF(COUNTIFS('PLAN_VACACIONES'!$A$4:$A$103,$C207,'PLAN_VACACIONES'!$B$4:$B$103,"&lt;="&amp;$L207,'PLAN_VACACIONES'!$C$4:$C$103,"&gt;="&amp;$L207)&gt;0,"sí","no")</f>
        <v/>
      </c>
      <c r="I207" s="4" t="n"/>
      <c r="J207" s="24">
        <f>IF($I207&lt;&gt;"",$I207,IF($G207="","",IF($H207="sí","VAC",IF(LEFT($G207,1)="B","B",$G207))))</f>
        <v/>
      </c>
      <c r="K207" s="24">
        <f>IFERROR(INDEX('TECNICOS'!$E$4:$E$19,MATCH($C207,'TECNICOS'!$B$4:$B$19,0)),"")</f>
        <v/>
      </c>
      <c r="L207" s="30">
        <f>IF($A207="","",DATE(VALUE(LEFT($A207,4)),1,4)-WEEKDAY(DATE(VALUE(LEFT($A207,4)),1,4),2)+1+(VALUE(MID($A207,7,2))-1)*7+MATCH($B207,lista_dias,0)-1)</f>
        <v/>
      </c>
      <c r="M207" s="24">
        <f>IF(OR($J207="",ISNUMBER(MATCH($J207,lista_no_disponible,0)),(IFERROR(INDEX('CALENDARIO'!$C$15:$C$214,MATCH(TEXT($L207,"yyyy-mm-dd")&amp;"|"&amp;$D207&amp;"|"&amp;"",'CALENDARIO'!$G$15:$G$214,0)),IFERROR(INDEX('CALENDARIO'!$C$15:$C$214,MATCH(TEXT($L207,"yyyy-mm-dd")&amp;"|"&amp;$D207&amp;"|",'CALENDARIO'!$G$15:$G$214,0)),IFERROR(INDEX('CALENDARIO'!$C$15:$C$214,MATCH(TEXT($L207,"yyyy-mm-dd")&amp;"||",'CALENDARIO'!$G$15:$G$214,0)),INDEX(patronHabil,WEEKDAY($L207,2))))))&lt;&gt;"sí"),0,p_horas_jornada)</f>
        <v/>
      </c>
      <c r="N207" s="24">
        <f>$A207&amp;"|"&amp;$B207&amp;"|"&amp;$C207</f>
        <v/>
      </c>
      <c r="O207" s="24">
        <f>IFERROR(INDEX('CAT_TURNOS'!$C$4:$C$22,MATCH($J207,'CAT_TURNOS'!$A$4:$A$22,0)),"")</f>
        <v/>
      </c>
      <c r="P207" s="24">
        <f>IFERROR(INDEX('CAT_TURNOS'!$D$4:$D$22,MATCH($J207,'CAT_TURNOS'!$A$4:$A$22,0)),"")</f>
        <v/>
      </c>
      <c r="Q207" s="24">
        <f>IF(AND(LEFT($G207,1)="T",$H207="no"),"sí","no")</f>
        <v/>
      </c>
    </row>
    <row r="208">
      <c r="A208" s="5" t="inlineStr">
        <is>
          <t>2026-S31</t>
        </is>
      </c>
      <c r="B208" s="5" t="inlineStr">
        <is>
          <t>martes</t>
        </is>
      </c>
      <c r="C208" s="5" t="inlineStr">
        <is>
          <t>Fernando Mendoza</t>
        </is>
      </c>
      <c r="D208" s="24">
        <f>IFERROR(INDEX('TECNICOS'!$D$4:$D$19,MATCH($C208,'TECNICOS'!$B$4:$B$19,0)),"")</f>
        <v/>
      </c>
      <c r="E208" s="24">
        <f>IFERROR(INDEX('TECNICOS'!$C$4:$C$19,MATCH($C208,'TECNICOS'!$B$4:$B$19,0)),"")</f>
        <v/>
      </c>
      <c r="F208" s="24">
        <f>COUNTIFS('TECNICOS'!$F$4:$F$19,"sí",'TECNICOS'!$C$4:$C$19,$E208,'TECNICOS'!$D$4:$D$19,$D208,'TECNICOS'!$H$4:$H$19,"sí")</f>
        <v/>
      </c>
      <c r="G208" s="24">
        <f>IF(OR($C208="",$A208="",$B208="domingo",IFERROR(INDEX('TECNICOS'!$H$4:$H$19,MATCH($C208,'TECNICOS'!$B$4:$B$19,0)),"no")&lt;&gt;"sí"),"",IF(IFERROR(INDEX('TECNICOS'!$F$4:$F$19,MATCH($C208,'TECNICOS'!$B$4:$B$19,0)),"no")&lt;&gt;"sí","B",IF(MOD((IFERROR(INDEX('TECNICOS'!$G$4:$G$19,MATCH($C208,'TECNICOS'!$B$4:$B$19,0)),0)-1)+((DATE(VALUE(LEFT($A208,4)),1,4)-WEEKDAY(DATE(VALUE(LEFT($A208,4)),1,4),2)+1+(VALUE(MID($A208,7,2))-1)*7)-p_semana_referencia)/7,$F208)&lt;($F208-3),"B"&amp;(($F208-3)-MOD((IFERROR(INDEX('TECNICOS'!$G$4:$G$19,MATCH($C208,'TECNICOS'!$B$4:$B$19,0)),0)-1)+((DATE(VALUE(LEFT($A208,4)),1,4)-WEEKDAY(DATE(VALUE(LEFT($A208,4)),1,4),2)+1+(VALUE(MID($A208,7,2))-1)*7)-p_semana_referencia)/7,$F208)),"T"&amp;($F208-MOD((IFERROR(INDEX('TECNICOS'!$G$4:$G$19,MATCH($C208,'TECNICOS'!$B$4:$B$19,0)),0)-1)+((DATE(VALUE(LEFT($A208,4)),1,4)-WEEKDAY(DATE(VALUE(LEFT($A208,4)),1,4),2)+1+(VALUE(MID($A208,7,2))-1)*7)-p_semana_referencia)/7,$F208)))))</f>
        <v/>
      </c>
      <c r="H208" s="24">
        <f>IF(COUNTIFS('PLAN_VACACIONES'!$A$4:$A$103,$C208,'PLAN_VACACIONES'!$B$4:$B$103,"&lt;="&amp;$L208,'PLAN_VACACIONES'!$C$4:$C$103,"&gt;="&amp;$L208)&gt;0,"sí","no")</f>
        <v/>
      </c>
      <c r="I208" s="4" t="n"/>
      <c r="J208" s="24">
        <f>IF($I208&lt;&gt;"",$I208,IF($G208="","",IF($H208="sí","VAC",IF(LEFT($G208,1)="B","B",$G208))))</f>
        <v/>
      </c>
      <c r="K208" s="24">
        <f>IFERROR(INDEX('TECNICOS'!$E$4:$E$19,MATCH($C208,'TECNICOS'!$B$4:$B$19,0)),"")</f>
        <v/>
      </c>
      <c r="L208" s="30">
        <f>IF($A208="","",DATE(VALUE(LEFT($A208,4)),1,4)-WEEKDAY(DATE(VALUE(LEFT($A208,4)),1,4),2)+1+(VALUE(MID($A208,7,2))-1)*7+MATCH($B208,lista_dias,0)-1)</f>
        <v/>
      </c>
      <c r="M208" s="24">
        <f>IF(OR($J208="",ISNUMBER(MATCH($J208,lista_no_disponible,0)),(IFERROR(INDEX('CALENDARIO'!$C$15:$C$214,MATCH(TEXT($L208,"yyyy-mm-dd")&amp;"|"&amp;$D208&amp;"|"&amp;"",'CALENDARIO'!$G$15:$G$214,0)),IFERROR(INDEX('CALENDARIO'!$C$15:$C$214,MATCH(TEXT($L208,"yyyy-mm-dd")&amp;"|"&amp;$D208&amp;"|",'CALENDARIO'!$G$15:$G$214,0)),IFERROR(INDEX('CALENDARIO'!$C$15:$C$214,MATCH(TEXT($L208,"yyyy-mm-dd")&amp;"||",'CALENDARIO'!$G$15:$G$214,0)),INDEX(patronHabil,WEEKDAY($L208,2))))))&lt;&gt;"sí"),0,p_horas_jornada)</f>
        <v/>
      </c>
      <c r="N208" s="24">
        <f>$A208&amp;"|"&amp;$B208&amp;"|"&amp;$C208</f>
        <v/>
      </c>
      <c r="O208" s="24">
        <f>IFERROR(INDEX('CAT_TURNOS'!$C$4:$C$22,MATCH($J208,'CAT_TURNOS'!$A$4:$A$22,0)),"")</f>
        <v/>
      </c>
      <c r="P208" s="24">
        <f>IFERROR(INDEX('CAT_TURNOS'!$D$4:$D$22,MATCH($J208,'CAT_TURNOS'!$A$4:$A$22,0)),"")</f>
        <v/>
      </c>
      <c r="Q208" s="24">
        <f>IF(AND(LEFT($G208,1)="T",$H208="no"),"sí","no")</f>
        <v/>
      </c>
    </row>
    <row r="209">
      <c r="A209" s="5" t="inlineStr">
        <is>
          <t>2026-S31</t>
        </is>
      </c>
      <c r="B209" s="5" t="inlineStr">
        <is>
          <t>miércoles</t>
        </is>
      </c>
      <c r="C209" s="5" t="inlineStr">
        <is>
          <t>Fernando Mendoza</t>
        </is>
      </c>
      <c r="D209" s="24">
        <f>IFERROR(INDEX('TECNICOS'!$D$4:$D$19,MATCH($C209,'TECNICOS'!$B$4:$B$19,0)),"")</f>
        <v/>
      </c>
      <c r="E209" s="24">
        <f>IFERROR(INDEX('TECNICOS'!$C$4:$C$19,MATCH($C209,'TECNICOS'!$B$4:$B$19,0)),"")</f>
        <v/>
      </c>
      <c r="F209" s="24">
        <f>COUNTIFS('TECNICOS'!$F$4:$F$19,"sí",'TECNICOS'!$C$4:$C$19,$E209,'TECNICOS'!$D$4:$D$19,$D209,'TECNICOS'!$H$4:$H$19,"sí")</f>
        <v/>
      </c>
      <c r="G209" s="24">
        <f>IF(OR($C209="",$A209="",$B209="domingo",IFERROR(INDEX('TECNICOS'!$H$4:$H$19,MATCH($C209,'TECNICOS'!$B$4:$B$19,0)),"no")&lt;&gt;"sí"),"",IF(IFERROR(INDEX('TECNICOS'!$F$4:$F$19,MATCH($C209,'TECNICOS'!$B$4:$B$19,0)),"no")&lt;&gt;"sí","B",IF(MOD((IFERROR(INDEX('TECNICOS'!$G$4:$G$19,MATCH($C209,'TECNICOS'!$B$4:$B$19,0)),0)-1)+((DATE(VALUE(LEFT($A209,4)),1,4)-WEEKDAY(DATE(VALUE(LEFT($A209,4)),1,4),2)+1+(VALUE(MID($A209,7,2))-1)*7)-p_semana_referencia)/7,$F209)&lt;($F209-3),"B"&amp;(($F209-3)-MOD((IFERROR(INDEX('TECNICOS'!$G$4:$G$19,MATCH($C209,'TECNICOS'!$B$4:$B$19,0)),0)-1)+((DATE(VALUE(LEFT($A209,4)),1,4)-WEEKDAY(DATE(VALUE(LEFT($A209,4)),1,4),2)+1+(VALUE(MID($A209,7,2))-1)*7)-p_semana_referencia)/7,$F209)),"T"&amp;($F209-MOD((IFERROR(INDEX('TECNICOS'!$G$4:$G$19,MATCH($C209,'TECNICOS'!$B$4:$B$19,0)),0)-1)+((DATE(VALUE(LEFT($A209,4)),1,4)-WEEKDAY(DATE(VALUE(LEFT($A209,4)),1,4),2)+1+(VALUE(MID($A209,7,2))-1)*7)-p_semana_referencia)/7,$F209)))))</f>
        <v/>
      </c>
      <c r="H209" s="24">
        <f>IF(COUNTIFS('PLAN_VACACIONES'!$A$4:$A$103,$C209,'PLAN_VACACIONES'!$B$4:$B$103,"&lt;="&amp;$L209,'PLAN_VACACIONES'!$C$4:$C$103,"&gt;="&amp;$L209)&gt;0,"sí","no")</f>
        <v/>
      </c>
      <c r="I209" s="4" t="n"/>
      <c r="J209" s="24">
        <f>IF($I209&lt;&gt;"",$I209,IF($G209="","",IF($H209="sí","VAC",IF(LEFT($G209,1)="B","B",$G209))))</f>
        <v/>
      </c>
      <c r="K209" s="24">
        <f>IFERROR(INDEX('TECNICOS'!$E$4:$E$19,MATCH($C209,'TECNICOS'!$B$4:$B$19,0)),"")</f>
        <v/>
      </c>
      <c r="L209" s="30">
        <f>IF($A209="","",DATE(VALUE(LEFT($A209,4)),1,4)-WEEKDAY(DATE(VALUE(LEFT($A209,4)),1,4),2)+1+(VALUE(MID($A209,7,2))-1)*7+MATCH($B209,lista_dias,0)-1)</f>
        <v/>
      </c>
      <c r="M209" s="24">
        <f>IF(OR($J209="",ISNUMBER(MATCH($J209,lista_no_disponible,0)),(IFERROR(INDEX('CALENDARIO'!$C$15:$C$214,MATCH(TEXT($L209,"yyyy-mm-dd")&amp;"|"&amp;$D209&amp;"|"&amp;"",'CALENDARIO'!$G$15:$G$214,0)),IFERROR(INDEX('CALENDARIO'!$C$15:$C$214,MATCH(TEXT($L209,"yyyy-mm-dd")&amp;"|"&amp;$D209&amp;"|",'CALENDARIO'!$G$15:$G$214,0)),IFERROR(INDEX('CALENDARIO'!$C$15:$C$214,MATCH(TEXT($L209,"yyyy-mm-dd")&amp;"||",'CALENDARIO'!$G$15:$G$214,0)),INDEX(patronHabil,WEEKDAY($L209,2))))))&lt;&gt;"sí"),0,p_horas_jornada)</f>
        <v/>
      </c>
      <c r="N209" s="24">
        <f>$A209&amp;"|"&amp;$B209&amp;"|"&amp;$C209</f>
        <v/>
      </c>
      <c r="O209" s="24">
        <f>IFERROR(INDEX('CAT_TURNOS'!$C$4:$C$22,MATCH($J209,'CAT_TURNOS'!$A$4:$A$22,0)),"")</f>
        <v/>
      </c>
      <c r="P209" s="24">
        <f>IFERROR(INDEX('CAT_TURNOS'!$D$4:$D$22,MATCH($J209,'CAT_TURNOS'!$A$4:$A$22,0)),"")</f>
        <v/>
      </c>
      <c r="Q209" s="24">
        <f>IF(AND(LEFT($G209,1)="T",$H209="no"),"sí","no")</f>
        <v/>
      </c>
    </row>
    <row r="210">
      <c r="A210" s="5" t="inlineStr">
        <is>
          <t>2026-S31</t>
        </is>
      </c>
      <c r="B210" s="5" t="inlineStr">
        <is>
          <t>jueves</t>
        </is>
      </c>
      <c r="C210" s="5" t="inlineStr">
        <is>
          <t>Fernando Mendoza</t>
        </is>
      </c>
      <c r="D210" s="24">
        <f>IFERROR(INDEX('TECNICOS'!$D$4:$D$19,MATCH($C210,'TECNICOS'!$B$4:$B$19,0)),"")</f>
        <v/>
      </c>
      <c r="E210" s="24">
        <f>IFERROR(INDEX('TECNICOS'!$C$4:$C$19,MATCH($C210,'TECNICOS'!$B$4:$B$19,0)),"")</f>
        <v/>
      </c>
      <c r="F210" s="24">
        <f>COUNTIFS('TECNICOS'!$F$4:$F$19,"sí",'TECNICOS'!$C$4:$C$19,$E210,'TECNICOS'!$D$4:$D$19,$D210,'TECNICOS'!$H$4:$H$19,"sí")</f>
        <v/>
      </c>
      <c r="G210" s="24">
        <f>IF(OR($C210="",$A210="",$B210="domingo",IFERROR(INDEX('TECNICOS'!$H$4:$H$19,MATCH($C210,'TECNICOS'!$B$4:$B$19,0)),"no")&lt;&gt;"sí"),"",IF(IFERROR(INDEX('TECNICOS'!$F$4:$F$19,MATCH($C210,'TECNICOS'!$B$4:$B$19,0)),"no")&lt;&gt;"sí","B",IF(MOD((IFERROR(INDEX('TECNICOS'!$G$4:$G$19,MATCH($C210,'TECNICOS'!$B$4:$B$19,0)),0)-1)+((DATE(VALUE(LEFT($A210,4)),1,4)-WEEKDAY(DATE(VALUE(LEFT($A210,4)),1,4),2)+1+(VALUE(MID($A210,7,2))-1)*7)-p_semana_referencia)/7,$F210)&lt;($F210-3),"B"&amp;(($F210-3)-MOD((IFERROR(INDEX('TECNICOS'!$G$4:$G$19,MATCH($C210,'TECNICOS'!$B$4:$B$19,0)),0)-1)+((DATE(VALUE(LEFT($A210,4)),1,4)-WEEKDAY(DATE(VALUE(LEFT($A210,4)),1,4),2)+1+(VALUE(MID($A210,7,2))-1)*7)-p_semana_referencia)/7,$F210)),"T"&amp;($F210-MOD((IFERROR(INDEX('TECNICOS'!$G$4:$G$19,MATCH($C210,'TECNICOS'!$B$4:$B$19,0)),0)-1)+((DATE(VALUE(LEFT($A210,4)),1,4)-WEEKDAY(DATE(VALUE(LEFT($A210,4)),1,4),2)+1+(VALUE(MID($A210,7,2))-1)*7)-p_semana_referencia)/7,$F210)))))</f>
        <v/>
      </c>
      <c r="H210" s="24">
        <f>IF(COUNTIFS('PLAN_VACACIONES'!$A$4:$A$103,$C210,'PLAN_VACACIONES'!$B$4:$B$103,"&lt;="&amp;$L210,'PLAN_VACACIONES'!$C$4:$C$103,"&gt;="&amp;$L210)&gt;0,"sí","no")</f>
        <v/>
      </c>
      <c r="I210" s="4" t="n"/>
      <c r="J210" s="24">
        <f>IF($I210&lt;&gt;"",$I210,IF($G210="","",IF($H210="sí","VAC",IF(LEFT($G210,1)="B","B",$G210))))</f>
        <v/>
      </c>
      <c r="K210" s="24">
        <f>IFERROR(INDEX('TECNICOS'!$E$4:$E$19,MATCH($C210,'TECNICOS'!$B$4:$B$19,0)),"")</f>
        <v/>
      </c>
      <c r="L210" s="30">
        <f>IF($A210="","",DATE(VALUE(LEFT($A210,4)),1,4)-WEEKDAY(DATE(VALUE(LEFT($A210,4)),1,4),2)+1+(VALUE(MID($A210,7,2))-1)*7+MATCH($B210,lista_dias,0)-1)</f>
        <v/>
      </c>
      <c r="M210" s="24">
        <f>IF(OR($J210="",ISNUMBER(MATCH($J210,lista_no_disponible,0)),(IFERROR(INDEX('CALENDARIO'!$C$15:$C$214,MATCH(TEXT($L210,"yyyy-mm-dd")&amp;"|"&amp;$D210&amp;"|"&amp;"",'CALENDARIO'!$G$15:$G$214,0)),IFERROR(INDEX('CALENDARIO'!$C$15:$C$214,MATCH(TEXT($L210,"yyyy-mm-dd")&amp;"|"&amp;$D210&amp;"|",'CALENDARIO'!$G$15:$G$214,0)),IFERROR(INDEX('CALENDARIO'!$C$15:$C$214,MATCH(TEXT($L210,"yyyy-mm-dd")&amp;"||",'CALENDARIO'!$G$15:$G$214,0)),INDEX(patronHabil,WEEKDAY($L210,2))))))&lt;&gt;"sí"),0,p_horas_jornada)</f>
        <v/>
      </c>
      <c r="N210" s="24">
        <f>$A210&amp;"|"&amp;$B210&amp;"|"&amp;$C210</f>
        <v/>
      </c>
      <c r="O210" s="24">
        <f>IFERROR(INDEX('CAT_TURNOS'!$C$4:$C$22,MATCH($J210,'CAT_TURNOS'!$A$4:$A$22,0)),"")</f>
        <v/>
      </c>
      <c r="P210" s="24">
        <f>IFERROR(INDEX('CAT_TURNOS'!$D$4:$D$22,MATCH($J210,'CAT_TURNOS'!$A$4:$A$22,0)),"")</f>
        <v/>
      </c>
      <c r="Q210" s="24">
        <f>IF(AND(LEFT($G210,1)="T",$H210="no"),"sí","no")</f>
        <v/>
      </c>
    </row>
    <row r="211">
      <c r="A211" s="5" t="inlineStr">
        <is>
          <t>2026-S31</t>
        </is>
      </c>
      <c r="B211" s="5" t="inlineStr">
        <is>
          <t>viernes</t>
        </is>
      </c>
      <c r="C211" s="5" t="inlineStr">
        <is>
          <t>Fernando Mendoza</t>
        </is>
      </c>
      <c r="D211" s="24">
        <f>IFERROR(INDEX('TECNICOS'!$D$4:$D$19,MATCH($C211,'TECNICOS'!$B$4:$B$19,0)),"")</f>
        <v/>
      </c>
      <c r="E211" s="24">
        <f>IFERROR(INDEX('TECNICOS'!$C$4:$C$19,MATCH($C211,'TECNICOS'!$B$4:$B$19,0)),"")</f>
        <v/>
      </c>
      <c r="F211" s="24">
        <f>COUNTIFS('TECNICOS'!$F$4:$F$19,"sí",'TECNICOS'!$C$4:$C$19,$E211,'TECNICOS'!$D$4:$D$19,$D211,'TECNICOS'!$H$4:$H$19,"sí")</f>
        <v/>
      </c>
      <c r="G211" s="24">
        <f>IF(OR($C211="",$A211="",$B211="domingo",IFERROR(INDEX('TECNICOS'!$H$4:$H$19,MATCH($C211,'TECNICOS'!$B$4:$B$19,0)),"no")&lt;&gt;"sí"),"",IF(IFERROR(INDEX('TECNICOS'!$F$4:$F$19,MATCH($C211,'TECNICOS'!$B$4:$B$19,0)),"no")&lt;&gt;"sí","B",IF(MOD((IFERROR(INDEX('TECNICOS'!$G$4:$G$19,MATCH($C211,'TECNICOS'!$B$4:$B$19,0)),0)-1)+((DATE(VALUE(LEFT($A211,4)),1,4)-WEEKDAY(DATE(VALUE(LEFT($A211,4)),1,4),2)+1+(VALUE(MID($A211,7,2))-1)*7)-p_semana_referencia)/7,$F211)&lt;($F211-3),"B"&amp;(($F211-3)-MOD((IFERROR(INDEX('TECNICOS'!$G$4:$G$19,MATCH($C211,'TECNICOS'!$B$4:$B$19,0)),0)-1)+((DATE(VALUE(LEFT($A211,4)),1,4)-WEEKDAY(DATE(VALUE(LEFT($A211,4)),1,4),2)+1+(VALUE(MID($A211,7,2))-1)*7)-p_semana_referencia)/7,$F211)),"T"&amp;($F211-MOD((IFERROR(INDEX('TECNICOS'!$G$4:$G$19,MATCH($C211,'TECNICOS'!$B$4:$B$19,0)),0)-1)+((DATE(VALUE(LEFT($A211,4)),1,4)-WEEKDAY(DATE(VALUE(LEFT($A211,4)),1,4),2)+1+(VALUE(MID($A211,7,2))-1)*7)-p_semana_referencia)/7,$F211)))))</f>
        <v/>
      </c>
      <c r="H211" s="24">
        <f>IF(COUNTIFS('PLAN_VACACIONES'!$A$4:$A$103,$C211,'PLAN_VACACIONES'!$B$4:$B$103,"&lt;="&amp;$L211,'PLAN_VACACIONES'!$C$4:$C$103,"&gt;="&amp;$L211)&gt;0,"sí","no")</f>
        <v/>
      </c>
      <c r="I211" s="4" t="n"/>
      <c r="J211" s="24">
        <f>IF($I211&lt;&gt;"",$I211,IF($G211="","",IF($H211="sí","VAC",IF(LEFT($G211,1)="B","B",$G211))))</f>
        <v/>
      </c>
      <c r="K211" s="24">
        <f>IFERROR(INDEX('TECNICOS'!$E$4:$E$19,MATCH($C211,'TECNICOS'!$B$4:$B$19,0)),"")</f>
        <v/>
      </c>
      <c r="L211" s="30">
        <f>IF($A211="","",DATE(VALUE(LEFT($A211,4)),1,4)-WEEKDAY(DATE(VALUE(LEFT($A211,4)),1,4),2)+1+(VALUE(MID($A211,7,2))-1)*7+MATCH($B211,lista_dias,0)-1)</f>
        <v/>
      </c>
      <c r="M211" s="24">
        <f>IF(OR($J211="",ISNUMBER(MATCH($J211,lista_no_disponible,0)),(IFERROR(INDEX('CALENDARIO'!$C$15:$C$214,MATCH(TEXT($L211,"yyyy-mm-dd")&amp;"|"&amp;$D211&amp;"|"&amp;"",'CALENDARIO'!$G$15:$G$214,0)),IFERROR(INDEX('CALENDARIO'!$C$15:$C$214,MATCH(TEXT($L211,"yyyy-mm-dd")&amp;"|"&amp;$D211&amp;"|",'CALENDARIO'!$G$15:$G$214,0)),IFERROR(INDEX('CALENDARIO'!$C$15:$C$214,MATCH(TEXT($L211,"yyyy-mm-dd")&amp;"||",'CALENDARIO'!$G$15:$G$214,0)),INDEX(patronHabil,WEEKDAY($L211,2))))))&lt;&gt;"sí"),0,p_horas_jornada)</f>
        <v/>
      </c>
      <c r="N211" s="24">
        <f>$A211&amp;"|"&amp;$B211&amp;"|"&amp;$C211</f>
        <v/>
      </c>
      <c r="O211" s="24">
        <f>IFERROR(INDEX('CAT_TURNOS'!$C$4:$C$22,MATCH($J211,'CAT_TURNOS'!$A$4:$A$22,0)),"")</f>
        <v/>
      </c>
      <c r="P211" s="24">
        <f>IFERROR(INDEX('CAT_TURNOS'!$D$4:$D$22,MATCH($J211,'CAT_TURNOS'!$A$4:$A$22,0)),"")</f>
        <v/>
      </c>
      <c r="Q211" s="24">
        <f>IF(AND(LEFT($G211,1)="T",$H211="no"),"sí","no")</f>
        <v/>
      </c>
    </row>
    <row r="212">
      <c r="A212" s="5" t="inlineStr">
        <is>
          <t>2026-S31</t>
        </is>
      </c>
      <c r="B212" s="5" t="inlineStr">
        <is>
          <t>sábado</t>
        </is>
      </c>
      <c r="C212" s="5" t="inlineStr">
        <is>
          <t>Fernando Mendoza</t>
        </is>
      </c>
      <c r="D212" s="24">
        <f>IFERROR(INDEX('TECNICOS'!$D$4:$D$19,MATCH($C212,'TECNICOS'!$B$4:$B$19,0)),"")</f>
        <v/>
      </c>
      <c r="E212" s="24">
        <f>IFERROR(INDEX('TECNICOS'!$C$4:$C$19,MATCH($C212,'TECNICOS'!$B$4:$B$19,0)),"")</f>
        <v/>
      </c>
      <c r="F212" s="24">
        <f>COUNTIFS('TECNICOS'!$F$4:$F$19,"sí",'TECNICOS'!$C$4:$C$19,$E212,'TECNICOS'!$D$4:$D$19,$D212,'TECNICOS'!$H$4:$H$19,"sí")</f>
        <v/>
      </c>
      <c r="G212" s="24">
        <f>IF(OR($C212="",$A212="",$B212="domingo",IFERROR(INDEX('TECNICOS'!$H$4:$H$19,MATCH($C212,'TECNICOS'!$B$4:$B$19,0)),"no")&lt;&gt;"sí"),"",IF(IFERROR(INDEX('TECNICOS'!$F$4:$F$19,MATCH($C212,'TECNICOS'!$B$4:$B$19,0)),"no")&lt;&gt;"sí","B",IF(MOD((IFERROR(INDEX('TECNICOS'!$G$4:$G$19,MATCH($C212,'TECNICOS'!$B$4:$B$19,0)),0)-1)+((DATE(VALUE(LEFT($A212,4)),1,4)-WEEKDAY(DATE(VALUE(LEFT($A212,4)),1,4),2)+1+(VALUE(MID($A212,7,2))-1)*7)-p_semana_referencia)/7,$F212)&lt;($F212-3),"B"&amp;(($F212-3)-MOD((IFERROR(INDEX('TECNICOS'!$G$4:$G$19,MATCH($C212,'TECNICOS'!$B$4:$B$19,0)),0)-1)+((DATE(VALUE(LEFT($A212,4)),1,4)-WEEKDAY(DATE(VALUE(LEFT($A212,4)),1,4),2)+1+(VALUE(MID($A212,7,2))-1)*7)-p_semana_referencia)/7,$F212)),"T"&amp;($F212-MOD((IFERROR(INDEX('TECNICOS'!$G$4:$G$19,MATCH($C212,'TECNICOS'!$B$4:$B$19,0)),0)-1)+((DATE(VALUE(LEFT($A212,4)),1,4)-WEEKDAY(DATE(VALUE(LEFT($A212,4)),1,4),2)+1+(VALUE(MID($A212,7,2))-1)*7)-p_semana_referencia)/7,$F212)))))</f>
        <v/>
      </c>
      <c r="H212" s="24">
        <f>IF(COUNTIFS('PLAN_VACACIONES'!$A$4:$A$103,$C212,'PLAN_VACACIONES'!$B$4:$B$103,"&lt;="&amp;$L212,'PLAN_VACACIONES'!$C$4:$C$103,"&gt;="&amp;$L212)&gt;0,"sí","no")</f>
        <v/>
      </c>
      <c r="I212" s="4" t="n"/>
      <c r="J212" s="24">
        <f>IF($I212&lt;&gt;"",$I212,IF($G212="","",IF($H212="sí","VAC",IF(LEFT($G212,1)="B","B",$G212))))</f>
        <v/>
      </c>
      <c r="K212" s="24">
        <f>IFERROR(INDEX('TECNICOS'!$E$4:$E$19,MATCH($C212,'TECNICOS'!$B$4:$B$19,0)),"")</f>
        <v/>
      </c>
      <c r="L212" s="30">
        <f>IF($A212="","",DATE(VALUE(LEFT($A212,4)),1,4)-WEEKDAY(DATE(VALUE(LEFT($A212,4)),1,4),2)+1+(VALUE(MID($A212,7,2))-1)*7+MATCH($B212,lista_dias,0)-1)</f>
        <v/>
      </c>
      <c r="M212" s="24">
        <f>IF(OR($J212="",ISNUMBER(MATCH($J212,lista_no_disponible,0)),(IFERROR(INDEX('CALENDARIO'!$C$15:$C$214,MATCH(TEXT($L212,"yyyy-mm-dd")&amp;"|"&amp;$D212&amp;"|"&amp;"",'CALENDARIO'!$G$15:$G$214,0)),IFERROR(INDEX('CALENDARIO'!$C$15:$C$214,MATCH(TEXT($L212,"yyyy-mm-dd")&amp;"|"&amp;$D212&amp;"|",'CALENDARIO'!$G$15:$G$214,0)),IFERROR(INDEX('CALENDARIO'!$C$15:$C$214,MATCH(TEXT($L212,"yyyy-mm-dd")&amp;"||",'CALENDARIO'!$G$15:$G$214,0)),INDEX(patronHabil,WEEKDAY($L212,2))))))&lt;&gt;"sí"),0,p_horas_jornada)</f>
        <v/>
      </c>
      <c r="N212" s="24">
        <f>$A212&amp;"|"&amp;$B212&amp;"|"&amp;$C212</f>
        <v/>
      </c>
      <c r="O212" s="24">
        <f>IFERROR(INDEX('CAT_TURNOS'!$C$4:$C$22,MATCH($J212,'CAT_TURNOS'!$A$4:$A$22,0)),"")</f>
        <v/>
      </c>
      <c r="P212" s="24">
        <f>IFERROR(INDEX('CAT_TURNOS'!$D$4:$D$22,MATCH($J212,'CAT_TURNOS'!$A$4:$A$22,0)),"")</f>
        <v/>
      </c>
      <c r="Q212" s="24">
        <f>IF(AND(LEFT($G212,1)="T",$H212="no"),"sí","no")</f>
        <v/>
      </c>
    </row>
    <row r="213">
      <c r="A213" s="5" t="inlineStr">
        <is>
          <t>2026-S31</t>
        </is>
      </c>
      <c r="B213" s="5" t="inlineStr">
        <is>
          <t>domingo</t>
        </is>
      </c>
      <c r="C213" s="5" t="inlineStr">
        <is>
          <t>Fernando Mendoza</t>
        </is>
      </c>
      <c r="D213" s="24">
        <f>IFERROR(INDEX('TECNICOS'!$D$4:$D$19,MATCH($C213,'TECNICOS'!$B$4:$B$19,0)),"")</f>
        <v/>
      </c>
      <c r="E213" s="24">
        <f>IFERROR(INDEX('TECNICOS'!$C$4:$C$19,MATCH($C213,'TECNICOS'!$B$4:$B$19,0)),"")</f>
        <v/>
      </c>
      <c r="F213" s="24">
        <f>COUNTIFS('TECNICOS'!$F$4:$F$19,"sí",'TECNICOS'!$C$4:$C$19,$E213,'TECNICOS'!$D$4:$D$19,$D213,'TECNICOS'!$H$4:$H$19,"sí")</f>
        <v/>
      </c>
      <c r="G213" s="24">
        <f>IF(OR($C213="",$A213="",$B213="domingo",IFERROR(INDEX('TECNICOS'!$H$4:$H$19,MATCH($C213,'TECNICOS'!$B$4:$B$19,0)),"no")&lt;&gt;"sí"),"",IF(IFERROR(INDEX('TECNICOS'!$F$4:$F$19,MATCH($C213,'TECNICOS'!$B$4:$B$19,0)),"no")&lt;&gt;"sí","B",IF(MOD((IFERROR(INDEX('TECNICOS'!$G$4:$G$19,MATCH($C213,'TECNICOS'!$B$4:$B$19,0)),0)-1)+((DATE(VALUE(LEFT($A213,4)),1,4)-WEEKDAY(DATE(VALUE(LEFT($A213,4)),1,4),2)+1+(VALUE(MID($A213,7,2))-1)*7)-p_semana_referencia)/7,$F213)&lt;($F213-3),"B"&amp;(($F213-3)-MOD((IFERROR(INDEX('TECNICOS'!$G$4:$G$19,MATCH($C213,'TECNICOS'!$B$4:$B$19,0)),0)-1)+((DATE(VALUE(LEFT($A213,4)),1,4)-WEEKDAY(DATE(VALUE(LEFT($A213,4)),1,4),2)+1+(VALUE(MID($A213,7,2))-1)*7)-p_semana_referencia)/7,$F213)),"T"&amp;($F213-MOD((IFERROR(INDEX('TECNICOS'!$G$4:$G$19,MATCH($C213,'TECNICOS'!$B$4:$B$19,0)),0)-1)+((DATE(VALUE(LEFT($A213,4)),1,4)-WEEKDAY(DATE(VALUE(LEFT($A213,4)),1,4),2)+1+(VALUE(MID($A213,7,2))-1)*7)-p_semana_referencia)/7,$F213)))))</f>
        <v/>
      </c>
      <c r="H213" s="24">
        <f>IF(COUNTIFS('PLAN_VACACIONES'!$A$4:$A$103,$C213,'PLAN_VACACIONES'!$B$4:$B$103,"&lt;="&amp;$L213,'PLAN_VACACIONES'!$C$4:$C$103,"&gt;="&amp;$L213)&gt;0,"sí","no")</f>
        <v/>
      </c>
      <c r="I213" s="4" t="n"/>
      <c r="J213" s="24">
        <f>IF($I213&lt;&gt;"",$I213,IF($G213="","",IF($H213="sí","VAC",IF(LEFT($G213,1)="B","B",$G213))))</f>
        <v/>
      </c>
      <c r="K213" s="24">
        <f>IFERROR(INDEX('TECNICOS'!$E$4:$E$19,MATCH($C213,'TECNICOS'!$B$4:$B$19,0)),"")</f>
        <v/>
      </c>
      <c r="L213" s="30">
        <f>IF($A213="","",DATE(VALUE(LEFT($A213,4)),1,4)-WEEKDAY(DATE(VALUE(LEFT($A213,4)),1,4),2)+1+(VALUE(MID($A213,7,2))-1)*7+MATCH($B213,lista_dias,0)-1)</f>
        <v/>
      </c>
      <c r="M213" s="24">
        <f>IF(OR($J213="",ISNUMBER(MATCH($J213,lista_no_disponible,0)),(IFERROR(INDEX('CALENDARIO'!$C$15:$C$214,MATCH(TEXT($L213,"yyyy-mm-dd")&amp;"|"&amp;$D213&amp;"|"&amp;"",'CALENDARIO'!$G$15:$G$214,0)),IFERROR(INDEX('CALENDARIO'!$C$15:$C$214,MATCH(TEXT($L213,"yyyy-mm-dd")&amp;"|"&amp;$D213&amp;"|",'CALENDARIO'!$G$15:$G$214,0)),IFERROR(INDEX('CALENDARIO'!$C$15:$C$214,MATCH(TEXT($L213,"yyyy-mm-dd")&amp;"||",'CALENDARIO'!$G$15:$G$214,0)),INDEX(patronHabil,WEEKDAY($L213,2))))))&lt;&gt;"sí"),0,p_horas_jornada)</f>
        <v/>
      </c>
      <c r="N213" s="24">
        <f>$A213&amp;"|"&amp;$B213&amp;"|"&amp;$C213</f>
        <v/>
      </c>
      <c r="O213" s="24">
        <f>IFERROR(INDEX('CAT_TURNOS'!$C$4:$C$22,MATCH($J213,'CAT_TURNOS'!$A$4:$A$22,0)),"")</f>
        <v/>
      </c>
      <c r="P213" s="24">
        <f>IFERROR(INDEX('CAT_TURNOS'!$D$4:$D$22,MATCH($J213,'CAT_TURNOS'!$A$4:$A$22,0)),"")</f>
        <v/>
      </c>
      <c r="Q213" s="24">
        <f>IF(AND(LEFT($G213,1)="T",$H213="no"),"sí","no")</f>
        <v/>
      </c>
    </row>
    <row r="214">
      <c r="A214" s="5" t="inlineStr">
        <is>
          <t>2026-S31</t>
        </is>
      </c>
      <c r="B214" s="5" t="inlineStr">
        <is>
          <t>lunes</t>
        </is>
      </c>
      <c r="C214" s="5" t="inlineStr">
        <is>
          <t>Alberto Vargas</t>
        </is>
      </c>
      <c r="D214" s="24">
        <f>IFERROR(INDEX('TECNICOS'!$D$4:$D$19,MATCH($C214,'TECNICOS'!$B$4:$B$19,0)),"")</f>
        <v/>
      </c>
      <c r="E214" s="24">
        <f>IFERROR(INDEX('TECNICOS'!$C$4:$C$19,MATCH($C214,'TECNICOS'!$B$4:$B$19,0)),"")</f>
        <v/>
      </c>
      <c r="F214" s="24">
        <f>COUNTIFS('TECNICOS'!$F$4:$F$19,"sí",'TECNICOS'!$C$4:$C$19,$E214,'TECNICOS'!$D$4:$D$19,$D214,'TECNICOS'!$H$4:$H$19,"sí")</f>
        <v/>
      </c>
      <c r="G214" s="24">
        <f>IF(OR($C214="",$A214="",$B214="domingo",IFERROR(INDEX('TECNICOS'!$H$4:$H$19,MATCH($C214,'TECNICOS'!$B$4:$B$19,0)),"no")&lt;&gt;"sí"),"",IF(IFERROR(INDEX('TECNICOS'!$F$4:$F$19,MATCH($C214,'TECNICOS'!$B$4:$B$19,0)),"no")&lt;&gt;"sí","B",IF(MOD((IFERROR(INDEX('TECNICOS'!$G$4:$G$19,MATCH($C214,'TECNICOS'!$B$4:$B$19,0)),0)-1)+((DATE(VALUE(LEFT($A214,4)),1,4)-WEEKDAY(DATE(VALUE(LEFT($A214,4)),1,4),2)+1+(VALUE(MID($A214,7,2))-1)*7)-p_semana_referencia)/7,$F214)&lt;($F214-3),"B"&amp;(($F214-3)-MOD((IFERROR(INDEX('TECNICOS'!$G$4:$G$19,MATCH($C214,'TECNICOS'!$B$4:$B$19,0)),0)-1)+((DATE(VALUE(LEFT($A214,4)),1,4)-WEEKDAY(DATE(VALUE(LEFT($A214,4)),1,4),2)+1+(VALUE(MID($A214,7,2))-1)*7)-p_semana_referencia)/7,$F214)),"T"&amp;($F214-MOD((IFERROR(INDEX('TECNICOS'!$G$4:$G$19,MATCH($C214,'TECNICOS'!$B$4:$B$19,0)),0)-1)+((DATE(VALUE(LEFT($A214,4)),1,4)-WEEKDAY(DATE(VALUE(LEFT($A214,4)),1,4),2)+1+(VALUE(MID($A214,7,2))-1)*7)-p_semana_referencia)/7,$F214)))))</f>
        <v/>
      </c>
      <c r="H214" s="24">
        <f>IF(COUNTIFS('PLAN_VACACIONES'!$A$4:$A$103,$C214,'PLAN_VACACIONES'!$B$4:$B$103,"&lt;="&amp;$L214,'PLAN_VACACIONES'!$C$4:$C$103,"&gt;="&amp;$L214)&gt;0,"sí","no")</f>
        <v/>
      </c>
      <c r="I214" s="4" t="n"/>
      <c r="J214" s="24">
        <f>IF($I214&lt;&gt;"",$I214,IF($G214="","",IF($H214="sí","VAC",IF(LEFT($G214,1)="B","B",$G214))))</f>
        <v/>
      </c>
      <c r="K214" s="24">
        <f>IFERROR(INDEX('TECNICOS'!$E$4:$E$19,MATCH($C214,'TECNICOS'!$B$4:$B$19,0)),"")</f>
        <v/>
      </c>
      <c r="L214" s="30">
        <f>IF($A214="","",DATE(VALUE(LEFT($A214,4)),1,4)-WEEKDAY(DATE(VALUE(LEFT($A214,4)),1,4),2)+1+(VALUE(MID($A214,7,2))-1)*7+MATCH($B214,lista_dias,0)-1)</f>
        <v/>
      </c>
      <c r="M214" s="24">
        <f>IF(OR($J214="",ISNUMBER(MATCH($J214,lista_no_disponible,0)),(IFERROR(INDEX('CALENDARIO'!$C$15:$C$214,MATCH(TEXT($L214,"yyyy-mm-dd")&amp;"|"&amp;$D214&amp;"|"&amp;"",'CALENDARIO'!$G$15:$G$214,0)),IFERROR(INDEX('CALENDARIO'!$C$15:$C$214,MATCH(TEXT($L214,"yyyy-mm-dd")&amp;"|"&amp;$D214&amp;"|",'CALENDARIO'!$G$15:$G$214,0)),IFERROR(INDEX('CALENDARIO'!$C$15:$C$214,MATCH(TEXT($L214,"yyyy-mm-dd")&amp;"||",'CALENDARIO'!$G$15:$G$214,0)),INDEX(patronHabil,WEEKDAY($L214,2))))))&lt;&gt;"sí"),0,p_horas_jornada)</f>
        <v/>
      </c>
      <c r="N214" s="24">
        <f>$A214&amp;"|"&amp;$B214&amp;"|"&amp;$C214</f>
        <v/>
      </c>
      <c r="O214" s="24">
        <f>IFERROR(INDEX('CAT_TURNOS'!$C$4:$C$22,MATCH($J214,'CAT_TURNOS'!$A$4:$A$22,0)),"")</f>
        <v/>
      </c>
      <c r="P214" s="24">
        <f>IFERROR(INDEX('CAT_TURNOS'!$D$4:$D$22,MATCH($J214,'CAT_TURNOS'!$A$4:$A$22,0)),"")</f>
        <v/>
      </c>
      <c r="Q214" s="24">
        <f>IF(AND(LEFT($G214,1)="T",$H214="no"),"sí","no")</f>
        <v/>
      </c>
    </row>
    <row r="215">
      <c r="A215" s="5" t="inlineStr">
        <is>
          <t>2026-S31</t>
        </is>
      </c>
      <c r="B215" s="5" t="inlineStr">
        <is>
          <t>martes</t>
        </is>
      </c>
      <c r="C215" s="5" t="inlineStr">
        <is>
          <t>Alberto Vargas</t>
        </is>
      </c>
      <c r="D215" s="24">
        <f>IFERROR(INDEX('TECNICOS'!$D$4:$D$19,MATCH($C215,'TECNICOS'!$B$4:$B$19,0)),"")</f>
        <v/>
      </c>
      <c r="E215" s="24">
        <f>IFERROR(INDEX('TECNICOS'!$C$4:$C$19,MATCH($C215,'TECNICOS'!$B$4:$B$19,0)),"")</f>
        <v/>
      </c>
      <c r="F215" s="24">
        <f>COUNTIFS('TECNICOS'!$F$4:$F$19,"sí",'TECNICOS'!$C$4:$C$19,$E215,'TECNICOS'!$D$4:$D$19,$D215,'TECNICOS'!$H$4:$H$19,"sí")</f>
        <v/>
      </c>
      <c r="G215" s="24">
        <f>IF(OR($C215="",$A215="",$B215="domingo",IFERROR(INDEX('TECNICOS'!$H$4:$H$19,MATCH($C215,'TECNICOS'!$B$4:$B$19,0)),"no")&lt;&gt;"sí"),"",IF(IFERROR(INDEX('TECNICOS'!$F$4:$F$19,MATCH($C215,'TECNICOS'!$B$4:$B$19,0)),"no")&lt;&gt;"sí","B",IF(MOD((IFERROR(INDEX('TECNICOS'!$G$4:$G$19,MATCH($C215,'TECNICOS'!$B$4:$B$19,0)),0)-1)+((DATE(VALUE(LEFT($A215,4)),1,4)-WEEKDAY(DATE(VALUE(LEFT($A215,4)),1,4),2)+1+(VALUE(MID($A215,7,2))-1)*7)-p_semana_referencia)/7,$F215)&lt;($F215-3),"B"&amp;(($F215-3)-MOD((IFERROR(INDEX('TECNICOS'!$G$4:$G$19,MATCH($C215,'TECNICOS'!$B$4:$B$19,0)),0)-1)+((DATE(VALUE(LEFT($A215,4)),1,4)-WEEKDAY(DATE(VALUE(LEFT($A215,4)),1,4),2)+1+(VALUE(MID($A215,7,2))-1)*7)-p_semana_referencia)/7,$F215)),"T"&amp;($F215-MOD((IFERROR(INDEX('TECNICOS'!$G$4:$G$19,MATCH($C215,'TECNICOS'!$B$4:$B$19,0)),0)-1)+((DATE(VALUE(LEFT($A215,4)),1,4)-WEEKDAY(DATE(VALUE(LEFT($A215,4)),1,4),2)+1+(VALUE(MID($A215,7,2))-1)*7)-p_semana_referencia)/7,$F215)))))</f>
        <v/>
      </c>
      <c r="H215" s="24">
        <f>IF(COUNTIFS('PLAN_VACACIONES'!$A$4:$A$103,$C215,'PLAN_VACACIONES'!$B$4:$B$103,"&lt;="&amp;$L215,'PLAN_VACACIONES'!$C$4:$C$103,"&gt;="&amp;$L215)&gt;0,"sí","no")</f>
        <v/>
      </c>
      <c r="I215" s="4" t="n"/>
      <c r="J215" s="24">
        <f>IF($I215&lt;&gt;"",$I215,IF($G215="","",IF($H215="sí","VAC",IF(LEFT($G215,1)="B","B",$G215))))</f>
        <v/>
      </c>
      <c r="K215" s="24">
        <f>IFERROR(INDEX('TECNICOS'!$E$4:$E$19,MATCH($C215,'TECNICOS'!$B$4:$B$19,0)),"")</f>
        <v/>
      </c>
      <c r="L215" s="30">
        <f>IF($A215="","",DATE(VALUE(LEFT($A215,4)),1,4)-WEEKDAY(DATE(VALUE(LEFT($A215,4)),1,4),2)+1+(VALUE(MID($A215,7,2))-1)*7+MATCH($B215,lista_dias,0)-1)</f>
        <v/>
      </c>
      <c r="M215" s="24">
        <f>IF(OR($J215="",ISNUMBER(MATCH($J215,lista_no_disponible,0)),(IFERROR(INDEX('CALENDARIO'!$C$15:$C$214,MATCH(TEXT($L215,"yyyy-mm-dd")&amp;"|"&amp;$D215&amp;"|"&amp;"",'CALENDARIO'!$G$15:$G$214,0)),IFERROR(INDEX('CALENDARIO'!$C$15:$C$214,MATCH(TEXT($L215,"yyyy-mm-dd")&amp;"|"&amp;$D215&amp;"|",'CALENDARIO'!$G$15:$G$214,0)),IFERROR(INDEX('CALENDARIO'!$C$15:$C$214,MATCH(TEXT($L215,"yyyy-mm-dd")&amp;"||",'CALENDARIO'!$G$15:$G$214,0)),INDEX(patronHabil,WEEKDAY($L215,2))))))&lt;&gt;"sí"),0,p_horas_jornada)</f>
        <v/>
      </c>
      <c r="N215" s="24">
        <f>$A215&amp;"|"&amp;$B215&amp;"|"&amp;$C215</f>
        <v/>
      </c>
      <c r="O215" s="24">
        <f>IFERROR(INDEX('CAT_TURNOS'!$C$4:$C$22,MATCH($J215,'CAT_TURNOS'!$A$4:$A$22,0)),"")</f>
        <v/>
      </c>
      <c r="P215" s="24">
        <f>IFERROR(INDEX('CAT_TURNOS'!$D$4:$D$22,MATCH($J215,'CAT_TURNOS'!$A$4:$A$22,0)),"")</f>
        <v/>
      </c>
      <c r="Q215" s="24">
        <f>IF(AND(LEFT($G215,1)="T",$H215="no"),"sí","no")</f>
        <v/>
      </c>
    </row>
    <row r="216">
      <c r="A216" s="5" t="inlineStr">
        <is>
          <t>2026-S31</t>
        </is>
      </c>
      <c r="B216" s="5" t="inlineStr">
        <is>
          <t>miércoles</t>
        </is>
      </c>
      <c r="C216" s="5" t="inlineStr">
        <is>
          <t>Alberto Vargas</t>
        </is>
      </c>
      <c r="D216" s="24">
        <f>IFERROR(INDEX('TECNICOS'!$D$4:$D$19,MATCH($C216,'TECNICOS'!$B$4:$B$19,0)),"")</f>
        <v/>
      </c>
      <c r="E216" s="24">
        <f>IFERROR(INDEX('TECNICOS'!$C$4:$C$19,MATCH($C216,'TECNICOS'!$B$4:$B$19,0)),"")</f>
        <v/>
      </c>
      <c r="F216" s="24">
        <f>COUNTIFS('TECNICOS'!$F$4:$F$19,"sí",'TECNICOS'!$C$4:$C$19,$E216,'TECNICOS'!$D$4:$D$19,$D216,'TECNICOS'!$H$4:$H$19,"sí")</f>
        <v/>
      </c>
      <c r="G216" s="24">
        <f>IF(OR($C216="",$A216="",$B216="domingo",IFERROR(INDEX('TECNICOS'!$H$4:$H$19,MATCH($C216,'TECNICOS'!$B$4:$B$19,0)),"no")&lt;&gt;"sí"),"",IF(IFERROR(INDEX('TECNICOS'!$F$4:$F$19,MATCH($C216,'TECNICOS'!$B$4:$B$19,0)),"no")&lt;&gt;"sí","B",IF(MOD((IFERROR(INDEX('TECNICOS'!$G$4:$G$19,MATCH($C216,'TECNICOS'!$B$4:$B$19,0)),0)-1)+((DATE(VALUE(LEFT($A216,4)),1,4)-WEEKDAY(DATE(VALUE(LEFT($A216,4)),1,4),2)+1+(VALUE(MID($A216,7,2))-1)*7)-p_semana_referencia)/7,$F216)&lt;($F216-3),"B"&amp;(($F216-3)-MOD((IFERROR(INDEX('TECNICOS'!$G$4:$G$19,MATCH($C216,'TECNICOS'!$B$4:$B$19,0)),0)-1)+((DATE(VALUE(LEFT($A216,4)),1,4)-WEEKDAY(DATE(VALUE(LEFT($A216,4)),1,4),2)+1+(VALUE(MID($A216,7,2))-1)*7)-p_semana_referencia)/7,$F216)),"T"&amp;($F216-MOD((IFERROR(INDEX('TECNICOS'!$G$4:$G$19,MATCH($C216,'TECNICOS'!$B$4:$B$19,0)),0)-1)+((DATE(VALUE(LEFT($A216,4)),1,4)-WEEKDAY(DATE(VALUE(LEFT($A216,4)),1,4),2)+1+(VALUE(MID($A216,7,2))-1)*7)-p_semana_referencia)/7,$F216)))))</f>
        <v/>
      </c>
      <c r="H216" s="24">
        <f>IF(COUNTIFS('PLAN_VACACIONES'!$A$4:$A$103,$C216,'PLAN_VACACIONES'!$B$4:$B$103,"&lt;="&amp;$L216,'PLAN_VACACIONES'!$C$4:$C$103,"&gt;="&amp;$L216)&gt;0,"sí","no")</f>
        <v/>
      </c>
      <c r="I216" s="4" t="n"/>
      <c r="J216" s="24">
        <f>IF($I216&lt;&gt;"",$I216,IF($G216="","",IF($H216="sí","VAC",IF(LEFT($G216,1)="B","B",$G216))))</f>
        <v/>
      </c>
      <c r="K216" s="24">
        <f>IFERROR(INDEX('TECNICOS'!$E$4:$E$19,MATCH($C216,'TECNICOS'!$B$4:$B$19,0)),"")</f>
        <v/>
      </c>
      <c r="L216" s="30">
        <f>IF($A216="","",DATE(VALUE(LEFT($A216,4)),1,4)-WEEKDAY(DATE(VALUE(LEFT($A216,4)),1,4),2)+1+(VALUE(MID($A216,7,2))-1)*7+MATCH($B216,lista_dias,0)-1)</f>
        <v/>
      </c>
      <c r="M216" s="24">
        <f>IF(OR($J216="",ISNUMBER(MATCH($J216,lista_no_disponible,0)),(IFERROR(INDEX('CALENDARIO'!$C$15:$C$214,MATCH(TEXT($L216,"yyyy-mm-dd")&amp;"|"&amp;$D216&amp;"|"&amp;"",'CALENDARIO'!$G$15:$G$214,0)),IFERROR(INDEX('CALENDARIO'!$C$15:$C$214,MATCH(TEXT($L216,"yyyy-mm-dd")&amp;"|"&amp;$D216&amp;"|",'CALENDARIO'!$G$15:$G$214,0)),IFERROR(INDEX('CALENDARIO'!$C$15:$C$214,MATCH(TEXT($L216,"yyyy-mm-dd")&amp;"||",'CALENDARIO'!$G$15:$G$214,0)),INDEX(patronHabil,WEEKDAY($L216,2))))))&lt;&gt;"sí"),0,p_horas_jornada)</f>
        <v/>
      </c>
      <c r="N216" s="24">
        <f>$A216&amp;"|"&amp;$B216&amp;"|"&amp;$C216</f>
        <v/>
      </c>
      <c r="O216" s="24">
        <f>IFERROR(INDEX('CAT_TURNOS'!$C$4:$C$22,MATCH($J216,'CAT_TURNOS'!$A$4:$A$22,0)),"")</f>
        <v/>
      </c>
      <c r="P216" s="24">
        <f>IFERROR(INDEX('CAT_TURNOS'!$D$4:$D$22,MATCH($J216,'CAT_TURNOS'!$A$4:$A$22,0)),"")</f>
        <v/>
      </c>
      <c r="Q216" s="24">
        <f>IF(AND(LEFT($G216,1)="T",$H216="no"),"sí","no")</f>
        <v/>
      </c>
    </row>
    <row r="217">
      <c r="A217" s="5" t="inlineStr">
        <is>
          <t>2026-S31</t>
        </is>
      </c>
      <c r="B217" s="5" t="inlineStr">
        <is>
          <t>jueves</t>
        </is>
      </c>
      <c r="C217" s="5" t="inlineStr">
        <is>
          <t>Alberto Vargas</t>
        </is>
      </c>
      <c r="D217" s="24">
        <f>IFERROR(INDEX('TECNICOS'!$D$4:$D$19,MATCH($C217,'TECNICOS'!$B$4:$B$19,0)),"")</f>
        <v/>
      </c>
      <c r="E217" s="24">
        <f>IFERROR(INDEX('TECNICOS'!$C$4:$C$19,MATCH($C217,'TECNICOS'!$B$4:$B$19,0)),"")</f>
        <v/>
      </c>
      <c r="F217" s="24">
        <f>COUNTIFS('TECNICOS'!$F$4:$F$19,"sí",'TECNICOS'!$C$4:$C$19,$E217,'TECNICOS'!$D$4:$D$19,$D217,'TECNICOS'!$H$4:$H$19,"sí")</f>
        <v/>
      </c>
      <c r="G217" s="24">
        <f>IF(OR($C217="",$A217="",$B217="domingo",IFERROR(INDEX('TECNICOS'!$H$4:$H$19,MATCH($C217,'TECNICOS'!$B$4:$B$19,0)),"no")&lt;&gt;"sí"),"",IF(IFERROR(INDEX('TECNICOS'!$F$4:$F$19,MATCH($C217,'TECNICOS'!$B$4:$B$19,0)),"no")&lt;&gt;"sí","B",IF(MOD((IFERROR(INDEX('TECNICOS'!$G$4:$G$19,MATCH($C217,'TECNICOS'!$B$4:$B$19,0)),0)-1)+((DATE(VALUE(LEFT($A217,4)),1,4)-WEEKDAY(DATE(VALUE(LEFT($A217,4)),1,4),2)+1+(VALUE(MID($A217,7,2))-1)*7)-p_semana_referencia)/7,$F217)&lt;($F217-3),"B"&amp;(($F217-3)-MOD((IFERROR(INDEX('TECNICOS'!$G$4:$G$19,MATCH($C217,'TECNICOS'!$B$4:$B$19,0)),0)-1)+((DATE(VALUE(LEFT($A217,4)),1,4)-WEEKDAY(DATE(VALUE(LEFT($A217,4)),1,4),2)+1+(VALUE(MID($A217,7,2))-1)*7)-p_semana_referencia)/7,$F217)),"T"&amp;($F217-MOD((IFERROR(INDEX('TECNICOS'!$G$4:$G$19,MATCH($C217,'TECNICOS'!$B$4:$B$19,0)),0)-1)+((DATE(VALUE(LEFT($A217,4)),1,4)-WEEKDAY(DATE(VALUE(LEFT($A217,4)),1,4),2)+1+(VALUE(MID($A217,7,2))-1)*7)-p_semana_referencia)/7,$F217)))))</f>
        <v/>
      </c>
      <c r="H217" s="24">
        <f>IF(COUNTIFS('PLAN_VACACIONES'!$A$4:$A$103,$C217,'PLAN_VACACIONES'!$B$4:$B$103,"&lt;="&amp;$L217,'PLAN_VACACIONES'!$C$4:$C$103,"&gt;="&amp;$L217)&gt;0,"sí","no")</f>
        <v/>
      </c>
      <c r="I217" s="4" t="n"/>
      <c r="J217" s="24">
        <f>IF($I217&lt;&gt;"",$I217,IF($G217="","",IF($H217="sí","VAC",IF(LEFT($G217,1)="B","B",$G217))))</f>
        <v/>
      </c>
      <c r="K217" s="24">
        <f>IFERROR(INDEX('TECNICOS'!$E$4:$E$19,MATCH($C217,'TECNICOS'!$B$4:$B$19,0)),"")</f>
        <v/>
      </c>
      <c r="L217" s="30">
        <f>IF($A217="","",DATE(VALUE(LEFT($A217,4)),1,4)-WEEKDAY(DATE(VALUE(LEFT($A217,4)),1,4),2)+1+(VALUE(MID($A217,7,2))-1)*7+MATCH($B217,lista_dias,0)-1)</f>
        <v/>
      </c>
      <c r="M217" s="24">
        <f>IF(OR($J217="",ISNUMBER(MATCH($J217,lista_no_disponible,0)),(IFERROR(INDEX('CALENDARIO'!$C$15:$C$214,MATCH(TEXT($L217,"yyyy-mm-dd")&amp;"|"&amp;$D217&amp;"|"&amp;"",'CALENDARIO'!$G$15:$G$214,0)),IFERROR(INDEX('CALENDARIO'!$C$15:$C$214,MATCH(TEXT($L217,"yyyy-mm-dd")&amp;"|"&amp;$D217&amp;"|",'CALENDARIO'!$G$15:$G$214,0)),IFERROR(INDEX('CALENDARIO'!$C$15:$C$214,MATCH(TEXT($L217,"yyyy-mm-dd")&amp;"||",'CALENDARIO'!$G$15:$G$214,0)),INDEX(patronHabil,WEEKDAY($L217,2))))))&lt;&gt;"sí"),0,p_horas_jornada)</f>
        <v/>
      </c>
      <c r="N217" s="24">
        <f>$A217&amp;"|"&amp;$B217&amp;"|"&amp;$C217</f>
        <v/>
      </c>
      <c r="O217" s="24">
        <f>IFERROR(INDEX('CAT_TURNOS'!$C$4:$C$22,MATCH($J217,'CAT_TURNOS'!$A$4:$A$22,0)),"")</f>
        <v/>
      </c>
      <c r="P217" s="24">
        <f>IFERROR(INDEX('CAT_TURNOS'!$D$4:$D$22,MATCH($J217,'CAT_TURNOS'!$A$4:$A$22,0)),"")</f>
        <v/>
      </c>
      <c r="Q217" s="24">
        <f>IF(AND(LEFT($G217,1)="T",$H217="no"),"sí","no")</f>
        <v/>
      </c>
    </row>
    <row r="218">
      <c r="A218" s="5" t="inlineStr">
        <is>
          <t>2026-S31</t>
        </is>
      </c>
      <c r="B218" s="5" t="inlineStr">
        <is>
          <t>viernes</t>
        </is>
      </c>
      <c r="C218" s="5" t="inlineStr">
        <is>
          <t>Alberto Vargas</t>
        </is>
      </c>
      <c r="D218" s="24">
        <f>IFERROR(INDEX('TECNICOS'!$D$4:$D$19,MATCH($C218,'TECNICOS'!$B$4:$B$19,0)),"")</f>
        <v/>
      </c>
      <c r="E218" s="24">
        <f>IFERROR(INDEX('TECNICOS'!$C$4:$C$19,MATCH($C218,'TECNICOS'!$B$4:$B$19,0)),"")</f>
        <v/>
      </c>
      <c r="F218" s="24">
        <f>COUNTIFS('TECNICOS'!$F$4:$F$19,"sí",'TECNICOS'!$C$4:$C$19,$E218,'TECNICOS'!$D$4:$D$19,$D218,'TECNICOS'!$H$4:$H$19,"sí")</f>
        <v/>
      </c>
      <c r="G218" s="24">
        <f>IF(OR($C218="",$A218="",$B218="domingo",IFERROR(INDEX('TECNICOS'!$H$4:$H$19,MATCH($C218,'TECNICOS'!$B$4:$B$19,0)),"no")&lt;&gt;"sí"),"",IF(IFERROR(INDEX('TECNICOS'!$F$4:$F$19,MATCH($C218,'TECNICOS'!$B$4:$B$19,0)),"no")&lt;&gt;"sí","B",IF(MOD((IFERROR(INDEX('TECNICOS'!$G$4:$G$19,MATCH($C218,'TECNICOS'!$B$4:$B$19,0)),0)-1)+((DATE(VALUE(LEFT($A218,4)),1,4)-WEEKDAY(DATE(VALUE(LEFT($A218,4)),1,4),2)+1+(VALUE(MID($A218,7,2))-1)*7)-p_semana_referencia)/7,$F218)&lt;($F218-3),"B"&amp;(($F218-3)-MOD((IFERROR(INDEX('TECNICOS'!$G$4:$G$19,MATCH($C218,'TECNICOS'!$B$4:$B$19,0)),0)-1)+((DATE(VALUE(LEFT($A218,4)),1,4)-WEEKDAY(DATE(VALUE(LEFT($A218,4)),1,4),2)+1+(VALUE(MID($A218,7,2))-1)*7)-p_semana_referencia)/7,$F218)),"T"&amp;($F218-MOD((IFERROR(INDEX('TECNICOS'!$G$4:$G$19,MATCH($C218,'TECNICOS'!$B$4:$B$19,0)),0)-1)+((DATE(VALUE(LEFT($A218,4)),1,4)-WEEKDAY(DATE(VALUE(LEFT($A218,4)),1,4),2)+1+(VALUE(MID($A218,7,2))-1)*7)-p_semana_referencia)/7,$F218)))))</f>
        <v/>
      </c>
      <c r="H218" s="24">
        <f>IF(COUNTIFS('PLAN_VACACIONES'!$A$4:$A$103,$C218,'PLAN_VACACIONES'!$B$4:$B$103,"&lt;="&amp;$L218,'PLAN_VACACIONES'!$C$4:$C$103,"&gt;="&amp;$L218)&gt;0,"sí","no")</f>
        <v/>
      </c>
      <c r="I218" s="4" t="n"/>
      <c r="J218" s="24">
        <f>IF($I218&lt;&gt;"",$I218,IF($G218="","",IF($H218="sí","VAC",IF(LEFT($G218,1)="B","B",$G218))))</f>
        <v/>
      </c>
      <c r="K218" s="24">
        <f>IFERROR(INDEX('TECNICOS'!$E$4:$E$19,MATCH($C218,'TECNICOS'!$B$4:$B$19,0)),"")</f>
        <v/>
      </c>
      <c r="L218" s="30">
        <f>IF($A218="","",DATE(VALUE(LEFT($A218,4)),1,4)-WEEKDAY(DATE(VALUE(LEFT($A218,4)),1,4),2)+1+(VALUE(MID($A218,7,2))-1)*7+MATCH($B218,lista_dias,0)-1)</f>
        <v/>
      </c>
      <c r="M218" s="24">
        <f>IF(OR($J218="",ISNUMBER(MATCH($J218,lista_no_disponible,0)),(IFERROR(INDEX('CALENDARIO'!$C$15:$C$214,MATCH(TEXT($L218,"yyyy-mm-dd")&amp;"|"&amp;$D218&amp;"|"&amp;"",'CALENDARIO'!$G$15:$G$214,0)),IFERROR(INDEX('CALENDARIO'!$C$15:$C$214,MATCH(TEXT($L218,"yyyy-mm-dd")&amp;"|"&amp;$D218&amp;"|",'CALENDARIO'!$G$15:$G$214,0)),IFERROR(INDEX('CALENDARIO'!$C$15:$C$214,MATCH(TEXT($L218,"yyyy-mm-dd")&amp;"||",'CALENDARIO'!$G$15:$G$214,0)),INDEX(patronHabil,WEEKDAY($L218,2))))))&lt;&gt;"sí"),0,p_horas_jornada)</f>
        <v/>
      </c>
      <c r="N218" s="24">
        <f>$A218&amp;"|"&amp;$B218&amp;"|"&amp;$C218</f>
        <v/>
      </c>
      <c r="O218" s="24">
        <f>IFERROR(INDEX('CAT_TURNOS'!$C$4:$C$22,MATCH($J218,'CAT_TURNOS'!$A$4:$A$22,0)),"")</f>
        <v/>
      </c>
      <c r="P218" s="24">
        <f>IFERROR(INDEX('CAT_TURNOS'!$D$4:$D$22,MATCH($J218,'CAT_TURNOS'!$A$4:$A$22,0)),"")</f>
        <v/>
      </c>
      <c r="Q218" s="24">
        <f>IF(AND(LEFT($G218,1)="T",$H218="no"),"sí","no")</f>
        <v/>
      </c>
    </row>
    <row r="219">
      <c r="A219" s="5" t="inlineStr">
        <is>
          <t>2026-S31</t>
        </is>
      </c>
      <c r="B219" s="5" t="inlineStr">
        <is>
          <t>sábado</t>
        </is>
      </c>
      <c r="C219" s="5" t="inlineStr">
        <is>
          <t>Alberto Vargas</t>
        </is>
      </c>
      <c r="D219" s="24">
        <f>IFERROR(INDEX('TECNICOS'!$D$4:$D$19,MATCH($C219,'TECNICOS'!$B$4:$B$19,0)),"")</f>
        <v/>
      </c>
      <c r="E219" s="24">
        <f>IFERROR(INDEX('TECNICOS'!$C$4:$C$19,MATCH($C219,'TECNICOS'!$B$4:$B$19,0)),"")</f>
        <v/>
      </c>
      <c r="F219" s="24">
        <f>COUNTIFS('TECNICOS'!$F$4:$F$19,"sí",'TECNICOS'!$C$4:$C$19,$E219,'TECNICOS'!$D$4:$D$19,$D219,'TECNICOS'!$H$4:$H$19,"sí")</f>
        <v/>
      </c>
      <c r="G219" s="24">
        <f>IF(OR($C219="",$A219="",$B219="domingo",IFERROR(INDEX('TECNICOS'!$H$4:$H$19,MATCH($C219,'TECNICOS'!$B$4:$B$19,0)),"no")&lt;&gt;"sí"),"",IF(IFERROR(INDEX('TECNICOS'!$F$4:$F$19,MATCH($C219,'TECNICOS'!$B$4:$B$19,0)),"no")&lt;&gt;"sí","B",IF(MOD((IFERROR(INDEX('TECNICOS'!$G$4:$G$19,MATCH($C219,'TECNICOS'!$B$4:$B$19,0)),0)-1)+((DATE(VALUE(LEFT($A219,4)),1,4)-WEEKDAY(DATE(VALUE(LEFT($A219,4)),1,4),2)+1+(VALUE(MID($A219,7,2))-1)*7)-p_semana_referencia)/7,$F219)&lt;($F219-3),"B"&amp;(($F219-3)-MOD((IFERROR(INDEX('TECNICOS'!$G$4:$G$19,MATCH($C219,'TECNICOS'!$B$4:$B$19,0)),0)-1)+((DATE(VALUE(LEFT($A219,4)),1,4)-WEEKDAY(DATE(VALUE(LEFT($A219,4)),1,4),2)+1+(VALUE(MID($A219,7,2))-1)*7)-p_semana_referencia)/7,$F219)),"T"&amp;($F219-MOD((IFERROR(INDEX('TECNICOS'!$G$4:$G$19,MATCH($C219,'TECNICOS'!$B$4:$B$19,0)),0)-1)+((DATE(VALUE(LEFT($A219,4)),1,4)-WEEKDAY(DATE(VALUE(LEFT($A219,4)),1,4),2)+1+(VALUE(MID($A219,7,2))-1)*7)-p_semana_referencia)/7,$F219)))))</f>
        <v/>
      </c>
      <c r="H219" s="24">
        <f>IF(COUNTIFS('PLAN_VACACIONES'!$A$4:$A$103,$C219,'PLAN_VACACIONES'!$B$4:$B$103,"&lt;="&amp;$L219,'PLAN_VACACIONES'!$C$4:$C$103,"&gt;="&amp;$L219)&gt;0,"sí","no")</f>
        <v/>
      </c>
      <c r="I219" s="4" t="n"/>
      <c r="J219" s="24">
        <f>IF($I219&lt;&gt;"",$I219,IF($G219="","",IF($H219="sí","VAC",IF(LEFT($G219,1)="B","B",$G219))))</f>
        <v/>
      </c>
      <c r="K219" s="24">
        <f>IFERROR(INDEX('TECNICOS'!$E$4:$E$19,MATCH($C219,'TECNICOS'!$B$4:$B$19,0)),"")</f>
        <v/>
      </c>
      <c r="L219" s="30">
        <f>IF($A219="","",DATE(VALUE(LEFT($A219,4)),1,4)-WEEKDAY(DATE(VALUE(LEFT($A219,4)),1,4),2)+1+(VALUE(MID($A219,7,2))-1)*7+MATCH($B219,lista_dias,0)-1)</f>
        <v/>
      </c>
      <c r="M219" s="24">
        <f>IF(OR($J219="",ISNUMBER(MATCH($J219,lista_no_disponible,0)),(IFERROR(INDEX('CALENDARIO'!$C$15:$C$214,MATCH(TEXT($L219,"yyyy-mm-dd")&amp;"|"&amp;$D219&amp;"|"&amp;"",'CALENDARIO'!$G$15:$G$214,0)),IFERROR(INDEX('CALENDARIO'!$C$15:$C$214,MATCH(TEXT($L219,"yyyy-mm-dd")&amp;"|"&amp;$D219&amp;"|",'CALENDARIO'!$G$15:$G$214,0)),IFERROR(INDEX('CALENDARIO'!$C$15:$C$214,MATCH(TEXT($L219,"yyyy-mm-dd")&amp;"||",'CALENDARIO'!$G$15:$G$214,0)),INDEX(patronHabil,WEEKDAY($L219,2))))))&lt;&gt;"sí"),0,p_horas_jornada)</f>
        <v/>
      </c>
      <c r="N219" s="24">
        <f>$A219&amp;"|"&amp;$B219&amp;"|"&amp;$C219</f>
        <v/>
      </c>
      <c r="O219" s="24">
        <f>IFERROR(INDEX('CAT_TURNOS'!$C$4:$C$22,MATCH($J219,'CAT_TURNOS'!$A$4:$A$22,0)),"")</f>
        <v/>
      </c>
      <c r="P219" s="24">
        <f>IFERROR(INDEX('CAT_TURNOS'!$D$4:$D$22,MATCH($J219,'CAT_TURNOS'!$A$4:$A$22,0)),"")</f>
        <v/>
      </c>
      <c r="Q219" s="24">
        <f>IF(AND(LEFT($G219,1)="T",$H219="no"),"sí","no")</f>
        <v/>
      </c>
    </row>
    <row r="220">
      <c r="A220" s="5" t="inlineStr">
        <is>
          <t>2026-S31</t>
        </is>
      </c>
      <c r="B220" s="5" t="inlineStr">
        <is>
          <t>domingo</t>
        </is>
      </c>
      <c r="C220" s="5" t="inlineStr">
        <is>
          <t>Alberto Vargas</t>
        </is>
      </c>
      <c r="D220" s="24">
        <f>IFERROR(INDEX('TECNICOS'!$D$4:$D$19,MATCH($C220,'TECNICOS'!$B$4:$B$19,0)),"")</f>
        <v/>
      </c>
      <c r="E220" s="24">
        <f>IFERROR(INDEX('TECNICOS'!$C$4:$C$19,MATCH($C220,'TECNICOS'!$B$4:$B$19,0)),"")</f>
        <v/>
      </c>
      <c r="F220" s="24">
        <f>COUNTIFS('TECNICOS'!$F$4:$F$19,"sí",'TECNICOS'!$C$4:$C$19,$E220,'TECNICOS'!$D$4:$D$19,$D220,'TECNICOS'!$H$4:$H$19,"sí")</f>
        <v/>
      </c>
      <c r="G220" s="24">
        <f>IF(OR($C220="",$A220="",$B220="domingo",IFERROR(INDEX('TECNICOS'!$H$4:$H$19,MATCH($C220,'TECNICOS'!$B$4:$B$19,0)),"no")&lt;&gt;"sí"),"",IF(IFERROR(INDEX('TECNICOS'!$F$4:$F$19,MATCH($C220,'TECNICOS'!$B$4:$B$19,0)),"no")&lt;&gt;"sí","B",IF(MOD((IFERROR(INDEX('TECNICOS'!$G$4:$G$19,MATCH($C220,'TECNICOS'!$B$4:$B$19,0)),0)-1)+((DATE(VALUE(LEFT($A220,4)),1,4)-WEEKDAY(DATE(VALUE(LEFT($A220,4)),1,4),2)+1+(VALUE(MID($A220,7,2))-1)*7)-p_semana_referencia)/7,$F220)&lt;($F220-3),"B"&amp;(($F220-3)-MOD((IFERROR(INDEX('TECNICOS'!$G$4:$G$19,MATCH($C220,'TECNICOS'!$B$4:$B$19,0)),0)-1)+((DATE(VALUE(LEFT($A220,4)),1,4)-WEEKDAY(DATE(VALUE(LEFT($A220,4)),1,4),2)+1+(VALUE(MID($A220,7,2))-1)*7)-p_semana_referencia)/7,$F220)),"T"&amp;($F220-MOD((IFERROR(INDEX('TECNICOS'!$G$4:$G$19,MATCH($C220,'TECNICOS'!$B$4:$B$19,0)),0)-1)+((DATE(VALUE(LEFT($A220,4)),1,4)-WEEKDAY(DATE(VALUE(LEFT($A220,4)),1,4),2)+1+(VALUE(MID($A220,7,2))-1)*7)-p_semana_referencia)/7,$F220)))))</f>
        <v/>
      </c>
      <c r="H220" s="24">
        <f>IF(COUNTIFS('PLAN_VACACIONES'!$A$4:$A$103,$C220,'PLAN_VACACIONES'!$B$4:$B$103,"&lt;="&amp;$L220,'PLAN_VACACIONES'!$C$4:$C$103,"&gt;="&amp;$L220)&gt;0,"sí","no")</f>
        <v/>
      </c>
      <c r="I220" s="4" t="n"/>
      <c r="J220" s="24">
        <f>IF($I220&lt;&gt;"",$I220,IF($G220="","",IF($H220="sí","VAC",IF(LEFT($G220,1)="B","B",$G220))))</f>
        <v/>
      </c>
      <c r="K220" s="24">
        <f>IFERROR(INDEX('TECNICOS'!$E$4:$E$19,MATCH($C220,'TECNICOS'!$B$4:$B$19,0)),"")</f>
        <v/>
      </c>
      <c r="L220" s="30">
        <f>IF($A220="","",DATE(VALUE(LEFT($A220,4)),1,4)-WEEKDAY(DATE(VALUE(LEFT($A220,4)),1,4),2)+1+(VALUE(MID($A220,7,2))-1)*7+MATCH($B220,lista_dias,0)-1)</f>
        <v/>
      </c>
      <c r="M220" s="24">
        <f>IF(OR($J220="",ISNUMBER(MATCH($J220,lista_no_disponible,0)),(IFERROR(INDEX('CALENDARIO'!$C$15:$C$214,MATCH(TEXT($L220,"yyyy-mm-dd")&amp;"|"&amp;$D220&amp;"|"&amp;"",'CALENDARIO'!$G$15:$G$214,0)),IFERROR(INDEX('CALENDARIO'!$C$15:$C$214,MATCH(TEXT($L220,"yyyy-mm-dd")&amp;"|"&amp;$D220&amp;"|",'CALENDARIO'!$G$15:$G$214,0)),IFERROR(INDEX('CALENDARIO'!$C$15:$C$214,MATCH(TEXT($L220,"yyyy-mm-dd")&amp;"||",'CALENDARIO'!$G$15:$G$214,0)),INDEX(patronHabil,WEEKDAY($L220,2))))))&lt;&gt;"sí"),0,p_horas_jornada)</f>
        <v/>
      </c>
      <c r="N220" s="24">
        <f>$A220&amp;"|"&amp;$B220&amp;"|"&amp;$C220</f>
        <v/>
      </c>
      <c r="O220" s="24">
        <f>IFERROR(INDEX('CAT_TURNOS'!$C$4:$C$22,MATCH($J220,'CAT_TURNOS'!$A$4:$A$22,0)),"")</f>
        <v/>
      </c>
      <c r="P220" s="24">
        <f>IFERROR(INDEX('CAT_TURNOS'!$D$4:$D$22,MATCH($J220,'CAT_TURNOS'!$A$4:$A$22,0)),"")</f>
        <v/>
      </c>
      <c r="Q220" s="24">
        <f>IF(AND(LEFT($G220,1)="T",$H220="no"),"sí","no")</f>
        <v/>
      </c>
    </row>
    <row r="221">
      <c r="A221" s="5" t="inlineStr">
        <is>
          <t>2026-S31</t>
        </is>
      </c>
      <c r="B221" s="5" t="inlineStr">
        <is>
          <t>lunes</t>
        </is>
      </c>
      <c r="C221" s="5" t="inlineStr">
        <is>
          <t>Daniela Medina</t>
        </is>
      </c>
      <c r="D221" s="24">
        <f>IFERROR(INDEX('TECNICOS'!$D$4:$D$19,MATCH($C221,'TECNICOS'!$B$4:$B$19,0)),"")</f>
        <v/>
      </c>
      <c r="E221" s="24">
        <f>IFERROR(INDEX('TECNICOS'!$C$4:$C$19,MATCH($C221,'TECNICOS'!$B$4:$B$19,0)),"")</f>
        <v/>
      </c>
      <c r="F221" s="24">
        <f>COUNTIFS('TECNICOS'!$F$4:$F$19,"sí",'TECNICOS'!$C$4:$C$19,$E221,'TECNICOS'!$D$4:$D$19,$D221,'TECNICOS'!$H$4:$H$19,"sí")</f>
        <v/>
      </c>
      <c r="G221" s="24">
        <f>IF(OR($C221="",$A221="",$B221="domingo",IFERROR(INDEX('TECNICOS'!$H$4:$H$19,MATCH($C221,'TECNICOS'!$B$4:$B$19,0)),"no")&lt;&gt;"sí"),"",IF(IFERROR(INDEX('TECNICOS'!$F$4:$F$19,MATCH($C221,'TECNICOS'!$B$4:$B$19,0)),"no")&lt;&gt;"sí","B",IF(MOD((IFERROR(INDEX('TECNICOS'!$G$4:$G$19,MATCH($C221,'TECNICOS'!$B$4:$B$19,0)),0)-1)+((DATE(VALUE(LEFT($A221,4)),1,4)-WEEKDAY(DATE(VALUE(LEFT($A221,4)),1,4),2)+1+(VALUE(MID($A221,7,2))-1)*7)-p_semana_referencia)/7,$F221)&lt;($F221-3),"B"&amp;(($F221-3)-MOD((IFERROR(INDEX('TECNICOS'!$G$4:$G$19,MATCH($C221,'TECNICOS'!$B$4:$B$19,0)),0)-1)+((DATE(VALUE(LEFT($A221,4)),1,4)-WEEKDAY(DATE(VALUE(LEFT($A221,4)),1,4),2)+1+(VALUE(MID($A221,7,2))-1)*7)-p_semana_referencia)/7,$F221)),"T"&amp;($F221-MOD((IFERROR(INDEX('TECNICOS'!$G$4:$G$19,MATCH($C221,'TECNICOS'!$B$4:$B$19,0)),0)-1)+((DATE(VALUE(LEFT($A221,4)),1,4)-WEEKDAY(DATE(VALUE(LEFT($A221,4)),1,4),2)+1+(VALUE(MID($A221,7,2))-1)*7)-p_semana_referencia)/7,$F221)))))</f>
        <v/>
      </c>
      <c r="H221" s="24">
        <f>IF(COUNTIFS('PLAN_VACACIONES'!$A$4:$A$103,$C221,'PLAN_VACACIONES'!$B$4:$B$103,"&lt;="&amp;$L221,'PLAN_VACACIONES'!$C$4:$C$103,"&gt;="&amp;$L221)&gt;0,"sí","no")</f>
        <v/>
      </c>
      <c r="I221" s="4" t="n"/>
      <c r="J221" s="24">
        <f>IF($I221&lt;&gt;"",$I221,IF($G221="","",IF($H221="sí","VAC",IF(LEFT($G221,1)="B","B",$G221))))</f>
        <v/>
      </c>
      <c r="K221" s="24">
        <f>IFERROR(INDEX('TECNICOS'!$E$4:$E$19,MATCH($C221,'TECNICOS'!$B$4:$B$19,0)),"")</f>
        <v/>
      </c>
      <c r="L221" s="30">
        <f>IF($A221="","",DATE(VALUE(LEFT($A221,4)),1,4)-WEEKDAY(DATE(VALUE(LEFT($A221,4)),1,4),2)+1+(VALUE(MID($A221,7,2))-1)*7+MATCH($B221,lista_dias,0)-1)</f>
        <v/>
      </c>
      <c r="M221" s="24">
        <f>IF(OR($J221="",ISNUMBER(MATCH($J221,lista_no_disponible,0)),(IFERROR(INDEX('CALENDARIO'!$C$15:$C$214,MATCH(TEXT($L221,"yyyy-mm-dd")&amp;"|"&amp;$D221&amp;"|"&amp;"",'CALENDARIO'!$G$15:$G$214,0)),IFERROR(INDEX('CALENDARIO'!$C$15:$C$214,MATCH(TEXT($L221,"yyyy-mm-dd")&amp;"|"&amp;$D221&amp;"|",'CALENDARIO'!$G$15:$G$214,0)),IFERROR(INDEX('CALENDARIO'!$C$15:$C$214,MATCH(TEXT($L221,"yyyy-mm-dd")&amp;"||",'CALENDARIO'!$G$15:$G$214,0)),INDEX(patronHabil,WEEKDAY($L221,2))))))&lt;&gt;"sí"),0,p_horas_jornada)</f>
        <v/>
      </c>
      <c r="N221" s="24">
        <f>$A221&amp;"|"&amp;$B221&amp;"|"&amp;$C221</f>
        <v/>
      </c>
      <c r="O221" s="24">
        <f>IFERROR(INDEX('CAT_TURNOS'!$C$4:$C$22,MATCH($J221,'CAT_TURNOS'!$A$4:$A$22,0)),"")</f>
        <v/>
      </c>
      <c r="P221" s="24">
        <f>IFERROR(INDEX('CAT_TURNOS'!$D$4:$D$22,MATCH($J221,'CAT_TURNOS'!$A$4:$A$22,0)),"")</f>
        <v/>
      </c>
      <c r="Q221" s="24">
        <f>IF(AND(LEFT($G221,1)="T",$H221="no"),"sí","no")</f>
        <v/>
      </c>
    </row>
    <row r="222">
      <c r="A222" s="5" t="inlineStr">
        <is>
          <t>2026-S31</t>
        </is>
      </c>
      <c r="B222" s="5" t="inlineStr">
        <is>
          <t>martes</t>
        </is>
      </c>
      <c r="C222" s="5" t="inlineStr">
        <is>
          <t>Daniela Medina</t>
        </is>
      </c>
      <c r="D222" s="24">
        <f>IFERROR(INDEX('TECNICOS'!$D$4:$D$19,MATCH($C222,'TECNICOS'!$B$4:$B$19,0)),"")</f>
        <v/>
      </c>
      <c r="E222" s="24">
        <f>IFERROR(INDEX('TECNICOS'!$C$4:$C$19,MATCH($C222,'TECNICOS'!$B$4:$B$19,0)),"")</f>
        <v/>
      </c>
      <c r="F222" s="24">
        <f>COUNTIFS('TECNICOS'!$F$4:$F$19,"sí",'TECNICOS'!$C$4:$C$19,$E222,'TECNICOS'!$D$4:$D$19,$D222,'TECNICOS'!$H$4:$H$19,"sí")</f>
        <v/>
      </c>
      <c r="G222" s="24">
        <f>IF(OR($C222="",$A222="",$B222="domingo",IFERROR(INDEX('TECNICOS'!$H$4:$H$19,MATCH($C222,'TECNICOS'!$B$4:$B$19,0)),"no")&lt;&gt;"sí"),"",IF(IFERROR(INDEX('TECNICOS'!$F$4:$F$19,MATCH($C222,'TECNICOS'!$B$4:$B$19,0)),"no")&lt;&gt;"sí","B",IF(MOD((IFERROR(INDEX('TECNICOS'!$G$4:$G$19,MATCH($C222,'TECNICOS'!$B$4:$B$19,0)),0)-1)+((DATE(VALUE(LEFT($A222,4)),1,4)-WEEKDAY(DATE(VALUE(LEFT($A222,4)),1,4),2)+1+(VALUE(MID($A222,7,2))-1)*7)-p_semana_referencia)/7,$F222)&lt;($F222-3),"B"&amp;(($F222-3)-MOD((IFERROR(INDEX('TECNICOS'!$G$4:$G$19,MATCH($C222,'TECNICOS'!$B$4:$B$19,0)),0)-1)+((DATE(VALUE(LEFT($A222,4)),1,4)-WEEKDAY(DATE(VALUE(LEFT($A222,4)),1,4),2)+1+(VALUE(MID($A222,7,2))-1)*7)-p_semana_referencia)/7,$F222)),"T"&amp;($F222-MOD((IFERROR(INDEX('TECNICOS'!$G$4:$G$19,MATCH($C222,'TECNICOS'!$B$4:$B$19,0)),0)-1)+((DATE(VALUE(LEFT($A222,4)),1,4)-WEEKDAY(DATE(VALUE(LEFT($A222,4)),1,4),2)+1+(VALUE(MID($A222,7,2))-1)*7)-p_semana_referencia)/7,$F222)))))</f>
        <v/>
      </c>
      <c r="H222" s="24">
        <f>IF(COUNTIFS('PLAN_VACACIONES'!$A$4:$A$103,$C222,'PLAN_VACACIONES'!$B$4:$B$103,"&lt;="&amp;$L222,'PLAN_VACACIONES'!$C$4:$C$103,"&gt;="&amp;$L222)&gt;0,"sí","no")</f>
        <v/>
      </c>
      <c r="I222" s="4" t="n"/>
      <c r="J222" s="24">
        <f>IF($I222&lt;&gt;"",$I222,IF($G222="","",IF($H222="sí","VAC",IF(LEFT($G222,1)="B","B",$G222))))</f>
        <v/>
      </c>
      <c r="K222" s="24">
        <f>IFERROR(INDEX('TECNICOS'!$E$4:$E$19,MATCH($C222,'TECNICOS'!$B$4:$B$19,0)),"")</f>
        <v/>
      </c>
      <c r="L222" s="30">
        <f>IF($A222="","",DATE(VALUE(LEFT($A222,4)),1,4)-WEEKDAY(DATE(VALUE(LEFT($A222,4)),1,4),2)+1+(VALUE(MID($A222,7,2))-1)*7+MATCH($B222,lista_dias,0)-1)</f>
        <v/>
      </c>
      <c r="M222" s="24">
        <f>IF(OR($J222="",ISNUMBER(MATCH($J222,lista_no_disponible,0)),(IFERROR(INDEX('CALENDARIO'!$C$15:$C$214,MATCH(TEXT($L222,"yyyy-mm-dd")&amp;"|"&amp;$D222&amp;"|"&amp;"",'CALENDARIO'!$G$15:$G$214,0)),IFERROR(INDEX('CALENDARIO'!$C$15:$C$214,MATCH(TEXT($L222,"yyyy-mm-dd")&amp;"|"&amp;$D222&amp;"|",'CALENDARIO'!$G$15:$G$214,0)),IFERROR(INDEX('CALENDARIO'!$C$15:$C$214,MATCH(TEXT($L222,"yyyy-mm-dd")&amp;"||",'CALENDARIO'!$G$15:$G$214,0)),INDEX(patronHabil,WEEKDAY($L222,2))))))&lt;&gt;"sí"),0,p_horas_jornada)</f>
        <v/>
      </c>
      <c r="N222" s="24">
        <f>$A222&amp;"|"&amp;$B222&amp;"|"&amp;$C222</f>
        <v/>
      </c>
      <c r="O222" s="24">
        <f>IFERROR(INDEX('CAT_TURNOS'!$C$4:$C$22,MATCH($J222,'CAT_TURNOS'!$A$4:$A$22,0)),"")</f>
        <v/>
      </c>
      <c r="P222" s="24">
        <f>IFERROR(INDEX('CAT_TURNOS'!$D$4:$D$22,MATCH($J222,'CAT_TURNOS'!$A$4:$A$22,0)),"")</f>
        <v/>
      </c>
      <c r="Q222" s="24">
        <f>IF(AND(LEFT($G222,1)="T",$H222="no"),"sí","no")</f>
        <v/>
      </c>
    </row>
    <row r="223">
      <c r="A223" s="5" t="inlineStr">
        <is>
          <t>2026-S31</t>
        </is>
      </c>
      <c r="B223" s="5" t="inlineStr">
        <is>
          <t>miércoles</t>
        </is>
      </c>
      <c r="C223" s="5" t="inlineStr">
        <is>
          <t>Daniela Medina</t>
        </is>
      </c>
      <c r="D223" s="24">
        <f>IFERROR(INDEX('TECNICOS'!$D$4:$D$19,MATCH($C223,'TECNICOS'!$B$4:$B$19,0)),"")</f>
        <v/>
      </c>
      <c r="E223" s="24">
        <f>IFERROR(INDEX('TECNICOS'!$C$4:$C$19,MATCH($C223,'TECNICOS'!$B$4:$B$19,0)),"")</f>
        <v/>
      </c>
      <c r="F223" s="24">
        <f>COUNTIFS('TECNICOS'!$F$4:$F$19,"sí",'TECNICOS'!$C$4:$C$19,$E223,'TECNICOS'!$D$4:$D$19,$D223,'TECNICOS'!$H$4:$H$19,"sí")</f>
        <v/>
      </c>
      <c r="G223" s="24">
        <f>IF(OR($C223="",$A223="",$B223="domingo",IFERROR(INDEX('TECNICOS'!$H$4:$H$19,MATCH($C223,'TECNICOS'!$B$4:$B$19,0)),"no")&lt;&gt;"sí"),"",IF(IFERROR(INDEX('TECNICOS'!$F$4:$F$19,MATCH($C223,'TECNICOS'!$B$4:$B$19,0)),"no")&lt;&gt;"sí","B",IF(MOD((IFERROR(INDEX('TECNICOS'!$G$4:$G$19,MATCH($C223,'TECNICOS'!$B$4:$B$19,0)),0)-1)+((DATE(VALUE(LEFT($A223,4)),1,4)-WEEKDAY(DATE(VALUE(LEFT($A223,4)),1,4),2)+1+(VALUE(MID($A223,7,2))-1)*7)-p_semana_referencia)/7,$F223)&lt;($F223-3),"B"&amp;(($F223-3)-MOD((IFERROR(INDEX('TECNICOS'!$G$4:$G$19,MATCH($C223,'TECNICOS'!$B$4:$B$19,0)),0)-1)+((DATE(VALUE(LEFT($A223,4)),1,4)-WEEKDAY(DATE(VALUE(LEFT($A223,4)),1,4),2)+1+(VALUE(MID($A223,7,2))-1)*7)-p_semana_referencia)/7,$F223)),"T"&amp;($F223-MOD((IFERROR(INDEX('TECNICOS'!$G$4:$G$19,MATCH($C223,'TECNICOS'!$B$4:$B$19,0)),0)-1)+((DATE(VALUE(LEFT($A223,4)),1,4)-WEEKDAY(DATE(VALUE(LEFT($A223,4)),1,4),2)+1+(VALUE(MID($A223,7,2))-1)*7)-p_semana_referencia)/7,$F223)))))</f>
        <v/>
      </c>
      <c r="H223" s="24">
        <f>IF(COUNTIFS('PLAN_VACACIONES'!$A$4:$A$103,$C223,'PLAN_VACACIONES'!$B$4:$B$103,"&lt;="&amp;$L223,'PLAN_VACACIONES'!$C$4:$C$103,"&gt;="&amp;$L223)&gt;0,"sí","no")</f>
        <v/>
      </c>
      <c r="I223" s="4" t="n"/>
      <c r="J223" s="24">
        <f>IF($I223&lt;&gt;"",$I223,IF($G223="","",IF($H223="sí","VAC",IF(LEFT($G223,1)="B","B",$G223))))</f>
        <v/>
      </c>
      <c r="K223" s="24">
        <f>IFERROR(INDEX('TECNICOS'!$E$4:$E$19,MATCH($C223,'TECNICOS'!$B$4:$B$19,0)),"")</f>
        <v/>
      </c>
      <c r="L223" s="30">
        <f>IF($A223="","",DATE(VALUE(LEFT($A223,4)),1,4)-WEEKDAY(DATE(VALUE(LEFT($A223,4)),1,4),2)+1+(VALUE(MID($A223,7,2))-1)*7+MATCH($B223,lista_dias,0)-1)</f>
        <v/>
      </c>
      <c r="M223" s="24">
        <f>IF(OR($J223="",ISNUMBER(MATCH($J223,lista_no_disponible,0)),(IFERROR(INDEX('CALENDARIO'!$C$15:$C$214,MATCH(TEXT($L223,"yyyy-mm-dd")&amp;"|"&amp;$D223&amp;"|"&amp;"",'CALENDARIO'!$G$15:$G$214,0)),IFERROR(INDEX('CALENDARIO'!$C$15:$C$214,MATCH(TEXT($L223,"yyyy-mm-dd")&amp;"|"&amp;$D223&amp;"|",'CALENDARIO'!$G$15:$G$214,0)),IFERROR(INDEX('CALENDARIO'!$C$15:$C$214,MATCH(TEXT($L223,"yyyy-mm-dd")&amp;"||",'CALENDARIO'!$G$15:$G$214,0)),INDEX(patronHabil,WEEKDAY($L223,2))))))&lt;&gt;"sí"),0,p_horas_jornada)</f>
        <v/>
      </c>
      <c r="N223" s="24">
        <f>$A223&amp;"|"&amp;$B223&amp;"|"&amp;$C223</f>
        <v/>
      </c>
      <c r="O223" s="24">
        <f>IFERROR(INDEX('CAT_TURNOS'!$C$4:$C$22,MATCH($J223,'CAT_TURNOS'!$A$4:$A$22,0)),"")</f>
        <v/>
      </c>
      <c r="P223" s="24">
        <f>IFERROR(INDEX('CAT_TURNOS'!$D$4:$D$22,MATCH($J223,'CAT_TURNOS'!$A$4:$A$22,0)),"")</f>
        <v/>
      </c>
      <c r="Q223" s="24">
        <f>IF(AND(LEFT($G223,1)="T",$H223="no"),"sí","no")</f>
        <v/>
      </c>
    </row>
    <row r="224">
      <c r="A224" s="5" t="inlineStr">
        <is>
          <t>2026-S31</t>
        </is>
      </c>
      <c r="B224" s="5" t="inlineStr">
        <is>
          <t>jueves</t>
        </is>
      </c>
      <c r="C224" s="5" t="inlineStr">
        <is>
          <t>Daniela Medina</t>
        </is>
      </c>
      <c r="D224" s="24">
        <f>IFERROR(INDEX('TECNICOS'!$D$4:$D$19,MATCH($C224,'TECNICOS'!$B$4:$B$19,0)),"")</f>
        <v/>
      </c>
      <c r="E224" s="24">
        <f>IFERROR(INDEX('TECNICOS'!$C$4:$C$19,MATCH($C224,'TECNICOS'!$B$4:$B$19,0)),"")</f>
        <v/>
      </c>
      <c r="F224" s="24">
        <f>COUNTIFS('TECNICOS'!$F$4:$F$19,"sí",'TECNICOS'!$C$4:$C$19,$E224,'TECNICOS'!$D$4:$D$19,$D224,'TECNICOS'!$H$4:$H$19,"sí")</f>
        <v/>
      </c>
      <c r="G224" s="24">
        <f>IF(OR($C224="",$A224="",$B224="domingo",IFERROR(INDEX('TECNICOS'!$H$4:$H$19,MATCH($C224,'TECNICOS'!$B$4:$B$19,0)),"no")&lt;&gt;"sí"),"",IF(IFERROR(INDEX('TECNICOS'!$F$4:$F$19,MATCH($C224,'TECNICOS'!$B$4:$B$19,0)),"no")&lt;&gt;"sí","B",IF(MOD((IFERROR(INDEX('TECNICOS'!$G$4:$G$19,MATCH($C224,'TECNICOS'!$B$4:$B$19,0)),0)-1)+((DATE(VALUE(LEFT($A224,4)),1,4)-WEEKDAY(DATE(VALUE(LEFT($A224,4)),1,4),2)+1+(VALUE(MID($A224,7,2))-1)*7)-p_semana_referencia)/7,$F224)&lt;($F224-3),"B"&amp;(($F224-3)-MOD((IFERROR(INDEX('TECNICOS'!$G$4:$G$19,MATCH($C224,'TECNICOS'!$B$4:$B$19,0)),0)-1)+((DATE(VALUE(LEFT($A224,4)),1,4)-WEEKDAY(DATE(VALUE(LEFT($A224,4)),1,4),2)+1+(VALUE(MID($A224,7,2))-1)*7)-p_semana_referencia)/7,$F224)),"T"&amp;($F224-MOD((IFERROR(INDEX('TECNICOS'!$G$4:$G$19,MATCH($C224,'TECNICOS'!$B$4:$B$19,0)),0)-1)+((DATE(VALUE(LEFT($A224,4)),1,4)-WEEKDAY(DATE(VALUE(LEFT($A224,4)),1,4),2)+1+(VALUE(MID($A224,7,2))-1)*7)-p_semana_referencia)/7,$F224)))))</f>
        <v/>
      </c>
      <c r="H224" s="24">
        <f>IF(COUNTIFS('PLAN_VACACIONES'!$A$4:$A$103,$C224,'PLAN_VACACIONES'!$B$4:$B$103,"&lt;="&amp;$L224,'PLAN_VACACIONES'!$C$4:$C$103,"&gt;="&amp;$L224)&gt;0,"sí","no")</f>
        <v/>
      </c>
      <c r="I224" s="4" t="n"/>
      <c r="J224" s="24">
        <f>IF($I224&lt;&gt;"",$I224,IF($G224="","",IF($H224="sí","VAC",IF(LEFT($G224,1)="B","B",$G224))))</f>
        <v/>
      </c>
      <c r="K224" s="24">
        <f>IFERROR(INDEX('TECNICOS'!$E$4:$E$19,MATCH($C224,'TECNICOS'!$B$4:$B$19,0)),"")</f>
        <v/>
      </c>
      <c r="L224" s="30">
        <f>IF($A224="","",DATE(VALUE(LEFT($A224,4)),1,4)-WEEKDAY(DATE(VALUE(LEFT($A224,4)),1,4),2)+1+(VALUE(MID($A224,7,2))-1)*7+MATCH($B224,lista_dias,0)-1)</f>
        <v/>
      </c>
      <c r="M224" s="24">
        <f>IF(OR($J224="",ISNUMBER(MATCH($J224,lista_no_disponible,0)),(IFERROR(INDEX('CALENDARIO'!$C$15:$C$214,MATCH(TEXT($L224,"yyyy-mm-dd")&amp;"|"&amp;$D224&amp;"|"&amp;"",'CALENDARIO'!$G$15:$G$214,0)),IFERROR(INDEX('CALENDARIO'!$C$15:$C$214,MATCH(TEXT($L224,"yyyy-mm-dd")&amp;"|"&amp;$D224&amp;"|",'CALENDARIO'!$G$15:$G$214,0)),IFERROR(INDEX('CALENDARIO'!$C$15:$C$214,MATCH(TEXT($L224,"yyyy-mm-dd")&amp;"||",'CALENDARIO'!$G$15:$G$214,0)),INDEX(patronHabil,WEEKDAY($L224,2))))))&lt;&gt;"sí"),0,p_horas_jornada)</f>
        <v/>
      </c>
      <c r="N224" s="24">
        <f>$A224&amp;"|"&amp;$B224&amp;"|"&amp;$C224</f>
        <v/>
      </c>
      <c r="O224" s="24">
        <f>IFERROR(INDEX('CAT_TURNOS'!$C$4:$C$22,MATCH($J224,'CAT_TURNOS'!$A$4:$A$22,0)),"")</f>
        <v/>
      </c>
      <c r="P224" s="24">
        <f>IFERROR(INDEX('CAT_TURNOS'!$D$4:$D$22,MATCH($J224,'CAT_TURNOS'!$A$4:$A$22,0)),"")</f>
        <v/>
      </c>
      <c r="Q224" s="24">
        <f>IF(AND(LEFT($G224,1)="T",$H224="no"),"sí","no")</f>
        <v/>
      </c>
    </row>
    <row r="225">
      <c r="A225" s="5" t="inlineStr">
        <is>
          <t>2026-S31</t>
        </is>
      </c>
      <c r="B225" s="5" t="inlineStr">
        <is>
          <t>viernes</t>
        </is>
      </c>
      <c r="C225" s="5" t="inlineStr">
        <is>
          <t>Daniela Medina</t>
        </is>
      </c>
      <c r="D225" s="24">
        <f>IFERROR(INDEX('TECNICOS'!$D$4:$D$19,MATCH($C225,'TECNICOS'!$B$4:$B$19,0)),"")</f>
        <v/>
      </c>
      <c r="E225" s="24">
        <f>IFERROR(INDEX('TECNICOS'!$C$4:$C$19,MATCH($C225,'TECNICOS'!$B$4:$B$19,0)),"")</f>
        <v/>
      </c>
      <c r="F225" s="24">
        <f>COUNTIFS('TECNICOS'!$F$4:$F$19,"sí",'TECNICOS'!$C$4:$C$19,$E225,'TECNICOS'!$D$4:$D$19,$D225,'TECNICOS'!$H$4:$H$19,"sí")</f>
        <v/>
      </c>
      <c r="G225" s="24">
        <f>IF(OR($C225="",$A225="",$B225="domingo",IFERROR(INDEX('TECNICOS'!$H$4:$H$19,MATCH($C225,'TECNICOS'!$B$4:$B$19,0)),"no")&lt;&gt;"sí"),"",IF(IFERROR(INDEX('TECNICOS'!$F$4:$F$19,MATCH($C225,'TECNICOS'!$B$4:$B$19,0)),"no")&lt;&gt;"sí","B",IF(MOD((IFERROR(INDEX('TECNICOS'!$G$4:$G$19,MATCH($C225,'TECNICOS'!$B$4:$B$19,0)),0)-1)+((DATE(VALUE(LEFT($A225,4)),1,4)-WEEKDAY(DATE(VALUE(LEFT($A225,4)),1,4),2)+1+(VALUE(MID($A225,7,2))-1)*7)-p_semana_referencia)/7,$F225)&lt;($F225-3),"B"&amp;(($F225-3)-MOD((IFERROR(INDEX('TECNICOS'!$G$4:$G$19,MATCH($C225,'TECNICOS'!$B$4:$B$19,0)),0)-1)+((DATE(VALUE(LEFT($A225,4)),1,4)-WEEKDAY(DATE(VALUE(LEFT($A225,4)),1,4),2)+1+(VALUE(MID($A225,7,2))-1)*7)-p_semana_referencia)/7,$F225)),"T"&amp;($F225-MOD((IFERROR(INDEX('TECNICOS'!$G$4:$G$19,MATCH($C225,'TECNICOS'!$B$4:$B$19,0)),0)-1)+((DATE(VALUE(LEFT($A225,4)),1,4)-WEEKDAY(DATE(VALUE(LEFT($A225,4)),1,4),2)+1+(VALUE(MID($A225,7,2))-1)*7)-p_semana_referencia)/7,$F225)))))</f>
        <v/>
      </c>
      <c r="H225" s="24">
        <f>IF(COUNTIFS('PLAN_VACACIONES'!$A$4:$A$103,$C225,'PLAN_VACACIONES'!$B$4:$B$103,"&lt;="&amp;$L225,'PLAN_VACACIONES'!$C$4:$C$103,"&gt;="&amp;$L225)&gt;0,"sí","no")</f>
        <v/>
      </c>
      <c r="I225" s="4" t="n"/>
      <c r="J225" s="24">
        <f>IF($I225&lt;&gt;"",$I225,IF($G225="","",IF($H225="sí","VAC",IF(LEFT($G225,1)="B","B",$G225))))</f>
        <v/>
      </c>
      <c r="K225" s="24">
        <f>IFERROR(INDEX('TECNICOS'!$E$4:$E$19,MATCH($C225,'TECNICOS'!$B$4:$B$19,0)),"")</f>
        <v/>
      </c>
      <c r="L225" s="30">
        <f>IF($A225="","",DATE(VALUE(LEFT($A225,4)),1,4)-WEEKDAY(DATE(VALUE(LEFT($A225,4)),1,4),2)+1+(VALUE(MID($A225,7,2))-1)*7+MATCH($B225,lista_dias,0)-1)</f>
        <v/>
      </c>
      <c r="M225" s="24">
        <f>IF(OR($J225="",ISNUMBER(MATCH($J225,lista_no_disponible,0)),(IFERROR(INDEX('CALENDARIO'!$C$15:$C$214,MATCH(TEXT($L225,"yyyy-mm-dd")&amp;"|"&amp;$D225&amp;"|"&amp;"",'CALENDARIO'!$G$15:$G$214,0)),IFERROR(INDEX('CALENDARIO'!$C$15:$C$214,MATCH(TEXT($L225,"yyyy-mm-dd")&amp;"|"&amp;$D225&amp;"|",'CALENDARIO'!$G$15:$G$214,0)),IFERROR(INDEX('CALENDARIO'!$C$15:$C$214,MATCH(TEXT($L225,"yyyy-mm-dd")&amp;"||",'CALENDARIO'!$G$15:$G$214,0)),INDEX(patronHabil,WEEKDAY($L225,2))))))&lt;&gt;"sí"),0,p_horas_jornada)</f>
        <v/>
      </c>
      <c r="N225" s="24">
        <f>$A225&amp;"|"&amp;$B225&amp;"|"&amp;$C225</f>
        <v/>
      </c>
      <c r="O225" s="24">
        <f>IFERROR(INDEX('CAT_TURNOS'!$C$4:$C$22,MATCH($J225,'CAT_TURNOS'!$A$4:$A$22,0)),"")</f>
        <v/>
      </c>
      <c r="P225" s="24">
        <f>IFERROR(INDEX('CAT_TURNOS'!$D$4:$D$22,MATCH($J225,'CAT_TURNOS'!$A$4:$A$22,0)),"")</f>
        <v/>
      </c>
      <c r="Q225" s="24">
        <f>IF(AND(LEFT($G225,1)="T",$H225="no"),"sí","no")</f>
        <v/>
      </c>
    </row>
    <row r="226">
      <c r="A226" s="5" t="inlineStr">
        <is>
          <t>2026-S31</t>
        </is>
      </c>
      <c r="B226" s="5" t="inlineStr">
        <is>
          <t>sábado</t>
        </is>
      </c>
      <c r="C226" s="5" t="inlineStr">
        <is>
          <t>Daniela Medina</t>
        </is>
      </c>
      <c r="D226" s="24">
        <f>IFERROR(INDEX('TECNICOS'!$D$4:$D$19,MATCH($C226,'TECNICOS'!$B$4:$B$19,0)),"")</f>
        <v/>
      </c>
      <c r="E226" s="24">
        <f>IFERROR(INDEX('TECNICOS'!$C$4:$C$19,MATCH($C226,'TECNICOS'!$B$4:$B$19,0)),"")</f>
        <v/>
      </c>
      <c r="F226" s="24">
        <f>COUNTIFS('TECNICOS'!$F$4:$F$19,"sí",'TECNICOS'!$C$4:$C$19,$E226,'TECNICOS'!$D$4:$D$19,$D226,'TECNICOS'!$H$4:$H$19,"sí")</f>
        <v/>
      </c>
      <c r="G226" s="24">
        <f>IF(OR($C226="",$A226="",$B226="domingo",IFERROR(INDEX('TECNICOS'!$H$4:$H$19,MATCH($C226,'TECNICOS'!$B$4:$B$19,0)),"no")&lt;&gt;"sí"),"",IF(IFERROR(INDEX('TECNICOS'!$F$4:$F$19,MATCH($C226,'TECNICOS'!$B$4:$B$19,0)),"no")&lt;&gt;"sí","B",IF(MOD((IFERROR(INDEX('TECNICOS'!$G$4:$G$19,MATCH($C226,'TECNICOS'!$B$4:$B$19,0)),0)-1)+((DATE(VALUE(LEFT($A226,4)),1,4)-WEEKDAY(DATE(VALUE(LEFT($A226,4)),1,4),2)+1+(VALUE(MID($A226,7,2))-1)*7)-p_semana_referencia)/7,$F226)&lt;($F226-3),"B"&amp;(($F226-3)-MOD((IFERROR(INDEX('TECNICOS'!$G$4:$G$19,MATCH($C226,'TECNICOS'!$B$4:$B$19,0)),0)-1)+((DATE(VALUE(LEFT($A226,4)),1,4)-WEEKDAY(DATE(VALUE(LEFT($A226,4)),1,4),2)+1+(VALUE(MID($A226,7,2))-1)*7)-p_semana_referencia)/7,$F226)),"T"&amp;($F226-MOD((IFERROR(INDEX('TECNICOS'!$G$4:$G$19,MATCH($C226,'TECNICOS'!$B$4:$B$19,0)),0)-1)+((DATE(VALUE(LEFT($A226,4)),1,4)-WEEKDAY(DATE(VALUE(LEFT($A226,4)),1,4),2)+1+(VALUE(MID($A226,7,2))-1)*7)-p_semana_referencia)/7,$F226)))))</f>
        <v/>
      </c>
      <c r="H226" s="24">
        <f>IF(COUNTIFS('PLAN_VACACIONES'!$A$4:$A$103,$C226,'PLAN_VACACIONES'!$B$4:$B$103,"&lt;="&amp;$L226,'PLAN_VACACIONES'!$C$4:$C$103,"&gt;="&amp;$L226)&gt;0,"sí","no")</f>
        <v/>
      </c>
      <c r="I226" s="4" t="n"/>
      <c r="J226" s="24">
        <f>IF($I226&lt;&gt;"",$I226,IF($G226="","",IF($H226="sí","VAC",IF(LEFT($G226,1)="B","B",$G226))))</f>
        <v/>
      </c>
      <c r="K226" s="24">
        <f>IFERROR(INDEX('TECNICOS'!$E$4:$E$19,MATCH($C226,'TECNICOS'!$B$4:$B$19,0)),"")</f>
        <v/>
      </c>
      <c r="L226" s="30">
        <f>IF($A226="","",DATE(VALUE(LEFT($A226,4)),1,4)-WEEKDAY(DATE(VALUE(LEFT($A226,4)),1,4),2)+1+(VALUE(MID($A226,7,2))-1)*7+MATCH($B226,lista_dias,0)-1)</f>
        <v/>
      </c>
      <c r="M226" s="24">
        <f>IF(OR($J226="",ISNUMBER(MATCH($J226,lista_no_disponible,0)),(IFERROR(INDEX('CALENDARIO'!$C$15:$C$214,MATCH(TEXT($L226,"yyyy-mm-dd")&amp;"|"&amp;$D226&amp;"|"&amp;"",'CALENDARIO'!$G$15:$G$214,0)),IFERROR(INDEX('CALENDARIO'!$C$15:$C$214,MATCH(TEXT($L226,"yyyy-mm-dd")&amp;"|"&amp;$D226&amp;"|",'CALENDARIO'!$G$15:$G$214,0)),IFERROR(INDEX('CALENDARIO'!$C$15:$C$214,MATCH(TEXT($L226,"yyyy-mm-dd")&amp;"||",'CALENDARIO'!$G$15:$G$214,0)),INDEX(patronHabil,WEEKDAY($L226,2))))))&lt;&gt;"sí"),0,p_horas_jornada)</f>
        <v/>
      </c>
      <c r="N226" s="24">
        <f>$A226&amp;"|"&amp;$B226&amp;"|"&amp;$C226</f>
        <v/>
      </c>
      <c r="O226" s="24">
        <f>IFERROR(INDEX('CAT_TURNOS'!$C$4:$C$22,MATCH($J226,'CAT_TURNOS'!$A$4:$A$22,0)),"")</f>
        <v/>
      </c>
      <c r="P226" s="24">
        <f>IFERROR(INDEX('CAT_TURNOS'!$D$4:$D$22,MATCH($J226,'CAT_TURNOS'!$A$4:$A$22,0)),"")</f>
        <v/>
      </c>
      <c r="Q226" s="24">
        <f>IF(AND(LEFT($G226,1)="T",$H226="no"),"sí","no")</f>
        <v/>
      </c>
    </row>
    <row r="227">
      <c r="A227" s="5" t="inlineStr">
        <is>
          <t>2026-S31</t>
        </is>
      </c>
      <c r="B227" s="5" t="inlineStr">
        <is>
          <t>domingo</t>
        </is>
      </c>
      <c r="C227" s="5" t="inlineStr">
        <is>
          <t>Daniela Medina</t>
        </is>
      </c>
      <c r="D227" s="24">
        <f>IFERROR(INDEX('TECNICOS'!$D$4:$D$19,MATCH($C227,'TECNICOS'!$B$4:$B$19,0)),"")</f>
        <v/>
      </c>
      <c r="E227" s="24">
        <f>IFERROR(INDEX('TECNICOS'!$C$4:$C$19,MATCH($C227,'TECNICOS'!$B$4:$B$19,0)),"")</f>
        <v/>
      </c>
      <c r="F227" s="24">
        <f>COUNTIFS('TECNICOS'!$F$4:$F$19,"sí",'TECNICOS'!$C$4:$C$19,$E227,'TECNICOS'!$D$4:$D$19,$D227,'TECNICOS'!$H$4:$H$19,"sí")</f>
        <v/>
      </c>
      <c r="G227" s="24">
        <f>IF(OR($C227="",$A227="",$B227="domingo",IFERROR(INDEX('TECNICOS'!$H$4:$H$19,MATCH($C227,'TECNICOS'!$B$4:$B$19,0)),"no")&lt;&gt;"sí"),"",IF(IFERROR(INDEX('TECNICOS'!$F$4:$F$19,MATCH($C227,'TECNICOS'!$B$4:$B$19,0)),"no")&lt;&gt;"sí","B",IF(MOD((IFERROR(INDEX('TECNICOS'!$G$4:$G$19,MATCH($C227,'TECNICOS'!$B$4:$B$19,0)),0)-1)+((DATE(VALUE(LEFT($A227,4)),1,4)-WEEKDAY(DATE(VALUE(LEFT($A227,4)),1,4),2)+1+(VALUE(MID($A227,7,2))-1)*7)-p_semana_referencia)/7,$F227)&lt;($F227-3),"B"&amp;(($F227-3)-MOD((IFERROR(INDEX('TECNICOS'!$G$4:$G$19,MATCH($C227,'TECNICOS'!$B$4:$B$19,0)),0)-1)+((DATE(VALUE(LEFT($A227,4)),1,4)-WEEKDAY(DATE(VALUE(LEFT($A227,4)),1,4),2)+1+(VALUE(MID($A227,7,2))-1)*7)-p_semana_referencia)/7,$F227)),"T"&amp;($F227-MOD((IFERROR(INDEX('TECNICOS'!$G$4:$G$19,MATCH($C227,'TECNICOS'!$B$4:$B$19,0)),0)-1)+((DATE(VALUE(LEFT($A227,4)),1,4)-WEEKDAY(DATE(VALUE(LEFT($A227,4)),1,4),2)+1+(VALUE(MID($A227,7,2))-1)*7)-p_semana_referencia)/7,$F227)))))</f>
        <v/>
      </c>
      <c r="H227" s="24">
        <f>IF(COUNTIFS('PLAN_VACACIONES'!$A$4:$A$103,$C227,'PLAN_VACACIONES'!$B$4:$B$103,"&lt;="&amp;$L227,'PLAN_VACACIONES'!$C$4:$C$103,"&gt;="&amp;$L227)&gt;0,"sí","no")</f>
        <v/>
      </c>
      <c r="I227" s="4" t="n"/>
      <c r="J227" s="24">
        <f>IF($I227&lt;&gt;"",$I227,IF($G227="","",IF($H227="sí","VAC",IF(LEFT($G227,1)="B","B",$G227))))</f>
        <v/>
      </c>
      <c r="K227" s="24">
        <f>IFERROR(INDEX('TECNICOS'!$E$4:$E$19,MATCH($C227,'TECNICOS'!$B$4:$B$19,0)),"")</f>
        <v/>
      </c>
      <c r="L227" s="30">
        <f>IF($A227="","",DATE(VALUE(LEFT($A227,4)),1,4)-WEEKDAY(DATE(VALUE(LEFT($A227,4)),1,4),2)+1+(VALUE(MID($A227,7,2))-1)*7+MATCH($B227,lista_dias,0)-1)</f>
        <v/>
      </c>
      <c r="M227" s="24">
        <f>IF(OR($J227="",ISNUMBER(MATCH($J227,lista_no_disponible,0)),(IFERROR(INDEX('CALENDARIO'!$C$15:$C$214,MATCH(TEXT($L227,"yyyy-mm-dd")&amp;"|"&amp;$D227&amp;"|"&amp;"",'CALENDARIO'!$G$15:$G$214,0)),IFERROR(INDEX('CALENDARIO'!$C$15:$C$214,MATCH(TEXT($L227,"yyyy-mm-dd")&amp;"|"&amp;$D227&amp;"|",'CALENDARIO'!$G$15:$G$214,0)),IFERROR(INDEX('CALENDARIO'!$C$15:$C$214,MATCH(TEXT($L227,"yyyy-mm-dd")&amp;"||",'CALENDARIO'!$G$15:$G$214,0)),INDEX(patronHabil,WEEKDAY($L227,2))))))&lt;&gt;"sí"),0,p_horas_jornada)</f>
        <v/>
      </c>
      <c r="N227" s="24">
        <f>$A227&amp;"|"&amp;$B227&amp;"|"&amp;$C227</f>
        <v/>
      </c>
      <c r="O227" s="24">
        <f>IFERROR(INDEX('CAT_TURNOS'!$C$4:$C$22,MATCH($J227,'CAT_TURNOS'!$A$4:$A$22,0)),"")</f>
        <v/>
      </c>
      <c r="P227" s="24">
        <f>IFERROR(INDEX('CAT_TURNOS'!$D$4:$D$22,MATCH($J227,'CAT_TURNOS'!$A$4:$A$22,0)),"")</f>
        <v/>
      </c>
      <c r="Q227" s="24">
        <f>IF(AND(LEFT($G227,1)="T",$H227="no"),"sí","no")</f>
        <v/>
      </c>
    </row>
    <row r="228">
      <c r="A228" s="5" t="inlineStr">
        <is>
          <t>2026-S32</t>
        </is>
      </c>
      <c r="B228" s="5" t="inlineStr">
        <is>
          <t>lunes</t>
        </is>
      </c>
      <c r="C228" s="5" t="inlineStr">
        <is>
          <t>Carlos Pérez</t>
        </is>
      </c>
      <c r="D228" s="24">
        <f>IFERROR(INDEX('TECNICOS'!$D$4:$D$19,MATCH($C228,'TECNICOS'!$B$4:$B$19,0)),"")</f>
        <v/>
      </c>
      <c r="E228" s="24">
        <f>IFERROR(INDEX('TECNICOS'!$C$4:$C$19,MATCH($C228,'TECNICOS'!$B$4:$B$19,0)),"")</f>
        <v/>
      </c>
      <c r="F228" s="24">
        <f>COUNTIFS('TECNICOS'!$F$4:$F$19,"sí",'TECNICOS'!$C$4:$C$19,$E228,'TECNICOS'!$D$4:$D$19,$D228,'TECNICOS'!$H$4:$H$19,"sí")</f>
        <v/>
      </c>
      <c r="G228" s="24">
        <f>IF(OR($C228="",$A228="",$B228="domingo",IFERROR(INDEX('TECNICOS'!$H$4:$H$19,MATCH($C228,'TECNICOS'!$B$4:$B$19,0)),"no")&lt;&gt;"sí"),"",IF(IFERROR(INDEX('TECNICOS'!$F$4:$F$19,MATCH($C228,'TECNICOS'!$B$4:$B$19,0)),"no")&lt;&gt;"sí","B",IF(MOD((IFERROR(INDEX('TECNICOS'!$G$4:$G$19,MATCH($C228,'TECNICOS'!$B$4:$B$19,0)),0)-1)+((DATE(VALUE(LEFT($A228,4)),1,4)-WEEKDAY(DATE(VALUE(LEFT($A228,4)),1,4),2)+1+(VALUE(MID($A228,7,2))-1)*7)-p_semana_referencia)/7,$F228)&lt;($F228-3),"B"&amp;(($F228-3)-MOD((IFERROR(INDEX('TECNICOS'!$G$4:$G$19,MATCH($C228,'TECNICOS'!$B$4:$B$19,0)),0)-1)+((DATE(VALUE(LEFT($A228,4)),1,4)-WEEKDAY(DATE(VALUE(LEFT($A228,4)),1,4),2)+1+(VALUE(MID($A228,7,2))-1)*7)-p_semana_referencia)/7,$F228)),"T"&amp;($F228-MOD((IFERROR(INDEX('TECNICOS'!$G$4:$G$19,MATCH($C228,'TECNICOS'!$B$4:$B$19,0)),0)-1)+((DATE(VALUE(LEFT($A228,4)),1,4)-WEEKDAY(DATE(VALUE(LEFT($A228,4)),1,4),2)+1+(VALUE(MID($A228,7,2))-1)*7)-p_semana_referencia)/7,$F228)))))</f>
        <v/>
      </c>
      <c r="H228" s="24">
        <f>IF(COUNTIFS('PLAN_VACACIONES'!$A$4:$A$103,$C228,'PLAN_VACACIONES'!$B$4:$B$103,"&lt;="&amp;$L228,'PLAN_VACACIONES'!$C$4:$C$103,"&gt;="&amp;$L228)&gt;0,"sí","no")</f>
        <v/>
      </c>
      <c r="I228" s="4" t="n"/>
      <c r="J228" s="24">
        <f>IF($I228&lt;&gt;"",$I228,IF($G228="","",IF($H228="sí","VAC",IF(LEFT($G228,1)="B","B",$G228))))</f>
        <v/>
      </c>
      <c r="K228" s="24">
        <f>IFERROR(INDEX('TECNICOS'!$E$4:$E$19,MATCH($C228,'TECNICOS'!$B$4:$B$19,0)),"")</f>
        <v/>
      </c>
      <c r="L228" s="30">
        <f>IF($A228="","",DATE(VALUE(LEFT($A228,4)),1,4)-WEEKDAY(DATE(VALUE(LEFT($A228,4)),1,4),2)+1+(VALUE(MID($A228,7,2))-1)*7+MATCH($B228,lista_dias,0)-1)</f>
        <v/>
      </c>
      <c r="M228" s="24">
        <f>IF(OR($J228="",ISNUMBER(MATCH($J228,lista_no_disponible,0)),(IFERROR(INDEX('CALENDARIO'!$C$15:$C$214,MATCH(TEXT($L228,"yyyy-mm-dd")&amp;"|"&amp;$D228&amp;"|"&amp;"",'CALENDARIO'!$G$15:$G$214,0)),IFERROR(INDEX('CALENDARIO'!$C$15:$C$214,MATCH(TEXT($L228,"yyyy-mm-dd")&amp;"|"&amp;$D228&amp;"|",'CALENDARIO'!$G$15:$G$214,0)),IFERROR(INDEX('CALENDARIO'!$C$15:$C$214,MATCH(TEXT($L228,"yyyy-mm-dd")&amp;"||",'CALENDARIO'!$G$15:$G$214,0)),INDEX(patronHabil,WEEKDAY($L228,2))))))&lt;&gt;"sí"),0,p_horas_jornada)</f>
        <v/>
      </c>
      <c r="N228" s="24">
        <f>$A228&amp;"|"&amp;$B228&amp;"|"&amp;$C228</f>
        <v/>
      </c>
      <c r="O228" s="24">
        <f>IFERROR(INDEX('CAT_TURNOS'!$C$4:$C$22,MATCH($J228,'CAT_TURNOS'!$A$4:$A$22,0)),"")</f>
        <v/>
      </c>
      <c r="P228" s="24">
        <f>IFERROR(INDEX('CAT_TURNOS'!$D$4:$D$22,MATCH($J228,'CAT_TURNOS'!$A$4:$A$22,0)),"")</f>
        <v/>
      </c>
      <c r="Q228" s="24">
        <f>IF(AND(LEFT($G228,1)="T",$H228="no"),"sí","no")</f>
        <v/>
      </c>
    </row>
    <row r="229">
      <c r="A229" s="5" t="inlineStr">
        <is>
          <t>2026-S32</t>
        </is>
      </c>
      <c r="B229" s="5" t="inlineStr">
        <is>
          <t>martes</t>
        </is>
      </c>
      <c r="C229" s="5" t="inlineStr">
        <is>
          <t>Carlos Pérez</t>
        </is>
      </c>
      <c r="D229" s="24">
        <f>IFERROR(INDEX('TECNICOS'!$D$4:$D$19,MATCH($C229,'TECNICOS'!$B$4:$B$19,0)),"")</f>
        <v/>
      </c>
      <c r="E229" s="24">
        <f>IFERROR(INDEX('TECNICOS'!$C$4:$C$19,MATCH($C229,'TECNICOS'!$B$4:$B$19,0)),"")</f>
        <v/>
      </c>
      <c r="F229" s="24">
        <f>COUNTIFS('TECNICOS'!$F$4:$F$19,"sí",'TECNICOS'!$C$4:$C$19,$E229,'TECNICOS'!$D$4:$D$19,$D229,'TECNICOS'!$H$4:$H$19,"sí")</f>
        <v/>
      </c>
      <c r="G229" s="24">
        <f>IF(OR($C229="",$A229="",$B229="domingo",IFERROR(INDEX('TECNICOS'!$H$4:$H$19,MATCH($C229,'TECNICOS'!$B$4:$B$19,0)),"no")&lt;&gt;"sí"),"",IF(IFERROR(INDEX('TECNICOS'!$F$4:$F$19,MATCH($C229,'TECNICOS'!$B$4:$B$19,0)),"no")&lt;&gt;"sí","B",IF(MOD((IFERROR(INDEX('TECNICOS'!$G$4:$G$19,MATCH($C229,'TECNICOS'!$B$4:$B$19,0)),0)-1)+((DATE(VALUE(LEFT($A229,4)),1,4)-WEEKDAY(DATE(VALUE(LEFT($A229,4)),1,4),2)+1+(VALUE(MID($A229,7,2))-1)*7)-p_semana_referencia)/7,$F229)&lt;($F229-3),"B"&amp;(($F229-3)-MOD((IFERROR(INDEX('TECNICOS'!$G$4:$G$19,MATCH($C229,'TECNICOS'!$B$4:$B$19,0)),0)-1)+((DATE(VALUE(LEFT($A229,4)),1,4)-WEEKDAY(DATE(VALUE(LEFT($A229,4)),1,4),2)+1+(VALUE(MID($A229,7,2))-1)*7)-p_semana_referencia)/7,$F229)),"T"&amp;($F229-MOD((IFERROR(INDEX('TECNICOS'!$G$4:$G$19,MATCH($C229,'TECNICOS'!$B$4:$B$19,0)),0)-1)+((DATE(VALUE(LEFT($A229,4)),1,4)-WEEKDAY(DATE(VALUE(LEFT($A229,4)),1,4),2)+1+(VALUE(MID($A229,7,2))-1)*7)-p_semana_referencia)/7,$F229)))))</f>
        <v/>
      </c>
      <c r="H229" s="24">
        <f>IF(COUNTIFS('PLAN_VACACIONES'!$A$4:$A$103,$C229,'PLAN_VACACIONES'!$B$4:$B$103,"&lt;="&amp;$L229,'PLAN_VACACIONES'!$C$4:$C$103,"&gt;="&amp;$L229)&gt;0,"sí","no")</f>
        <v/>
      </c>
      <c r="I229" s="4" t="n"/>
      <c r="J229" s="24">
        <f>IF($I229&lt;&gt;"",$I229,IF($G229="","",IF($H229="sí","VAC",IF(LEFT($G229,1)="B","B",$G229))))</f>
        <v/>
      </c>
      <c r="K229" s="24">
        <f>IFERROR(INDEX('TECNICOS'!$E$4:$E$19,MATCH($C229,'TECNICOS'!$B$4:$B$19,0)),"")</f>
        <v/>
      </c>
      <c r="L229" s="30">
        <f>IF($A229="","",DATE(VALUE(LEFT($A229,4)),1,4)-WEEKDAY(DATE(VALUE(LEFT($A229,4)),1,4),2)+1+(VALUE(MID($A229,7,2))-1)*7+MATCH($B229,lista_dias,0)-1)</f>
        <v/>
      </c>
      <c r="M229" s="24">
        <f>IF(OR($J229="",ISNUMBER(MATCH($J229,lista_no_disponible,0)),(IFERROR(INDEX('CALENDARIO'!$C$15:$C$214,MATCH(TEXT($L229,"yyyy-mm-dd")&amp;"|"&amp;$D229&amp;"|"&amp;"",'CALENDARIO'!$G$15:$G$214,0)),IFERROR(INDEX('CALENDARIO'!$C$15:$C$214,MATCH(TEXT($L229,"yyyy-mm-dd")&amp;"|"&amp;$D229&amp;"|",'CALENDARIO'!$G$15:$G$214,0)),IFERROR(INDEX('CALENDARIO'!$C$15:$C$214,MATCH(TEXT($L229,"yyyy-mm-dd")&amp;"||",'CALENDARIO'!$G$15:$G$214,0)),INDEX(patronHabil,WEEKDAY($L229,2))))))&lt;&gt;"sí"),0,p_horas_jornada)</f>
        <v/>
      </c>
      <c r="N229" s="24">
        <f>$A229&amp;"|"&amp;$B229&amp;"|"&amp;$C229</f>
        <v/>
      </c>
      <c r="O229" s="24">
        <f>IFERROR(INDEX('CAT_TURNOS'!$C$4:$C$22,MATCH($J229,'CAT_TURNOS'!$A$4:$A$22,0)),"")</f>
        <v/>
      </c>
      <c r="P229" s="24">
        <f>IFERROR(INDEX('CAT_TURNOS'!$D$4:$D$22,MATCH($J229,'CAT_TURNOS'!$A$4:$A$22,0)),"")</f>
        <v/>
      </c>
      <c r="Q229" s="24">
        <f>IF(AND(LEFT($G229,1)="T",$H229="no"),"sí","no")</f>
        <v/>
      </c>
    </row>
    <row r="230">
      <c r="A230" s="5" t="inlineStr">
        <is>
          <t>2026-S32</t>
        </is>
      </c>
      <c r="B230" s="5" t="inlineStr">
        <is>
          <t>miércoles</t>
        </is>
      </c>
      <c r="C230" s="5" t="inlineStr">
        <is>
          <t>Carlos Pérez</t>
        </is>
      </c>
      <c r="D230" s="24">
        <f>IFERROR(INDEX('TECNICOS'!$D$4:$D$19,MATCH($C230,'TECNICOS'!$B$4:$B$19,0)),"")</f>
        <v/>
      </c>
      <c r="E230" s="24">
        <f>IFERROR(INDEX('TECNICOS'!$C$4:$C$19,MATCH($C230,'TECNICOS'!$B$4:$B$19,0)),"")</f>
        <v/>
      </c>
      <c r="F230" s="24">
        <f>COUNTIFS('TECNICOS'!$F$4:$F$19,"sí",'TECNICOS'!$C$4:$C$19,$E230,'TECNICOS'!$D$4:$D$19,$D230,'TECNICOS'!$H$4:$H$19,"sí")</f>
        <v/>
      </c>
      <c r="G230" s="24">
        <f>IF(OR($C230="",$A230="",$B230="domingo",IFERROR(INDEX('TECNICOS'!$H$4:$H$19,MATCH($C230,'TECNICOS'!$B$4:$B$19,0)),"no")&lt;&gt;"sí"),"",IF(IFERROR(INDEX('TECNICOS'!$F$4:$F$19,MATCH($C230,'TECNICOS'!$B$4:$B$19,0)),"no")&lt;&gt;"sí","B",IF(MOD((IFERROR(INDEX('TECNICOS'!$G$4:$G$19,MATCH($C230,'TECNICOS'!$B$4:$B$19,0)),0)-1)+((DATE(VALUE(LEFT($A230,4)),1,4)-WEEKDAY(DATE(VALUE(LEFT($A230,4)),1,4),2)+1+(VALUE(MID($A230,7,2))-1)*7)-p_semana_referencia)/7,$F230)&lt;($F230-3),"B"&amp;(($F230-3)-MOD((IFERROR(INDEX('TECNICOS'!$G$4:$G$19,MATCH($C230,'TECNICOS'!$B$4:$B$19,0)),0)-1)+((DATE(VALUE(LEFT($A230,4)),1,4)-WEEKDAY(DATE(VALUE(LEFT($A230,4)),1,4),2)+1+(VALUE(MID($A230,7,2))-1)*7)-p_semana_referencia)/7,$F230)),"T"&amp;($F230-MOD((IFERROR(INDEX('TECNICOS'!$G$4:$G$19,MATCH($C230,'TECNICOS'!$B$4:$B$19,0)),0)-1)+((DATE(VALUE(LEFT($A230,4)),1,4)-WEEKDAY(DATE(VALUE(LEFT($A230,4)),1,4),2)+1+(VALUE(MID($A230,7,2))-1)*7)-p_semana_referencia)/7,$F230)))))</f>
        <v/>
      </c>
      <c r="H230" s="24">
        <f>IF(COUNTIFS('PLAN_VACACIONES'!$A$4:$A$103,$C230,'PLAN_VACACIONES'!$B$4:$B$103,"&lt;="&amp;$L230,'PLAN_VACACIONES'!$C$4:$C$103,"&gt;="&amp;$L230)&gt;0,"sí","no")</f>
        <v/>
      </c>
      <c r="I230" s="4" t="n"/>
      <c r="J230" s="24">
        <f>IF($I230&lt;&gt;"",$I230,IF($G230="","",IF($H230="sí","VAC",IF(LEFT($G230,1)="B","B",$G230))))</f>
        <v/>
      </c>
      <c r="K230" s="24">
        <f>IFERROR(INDEX('TECNICOS'!$E$4:$E$19,MATCH($C230,'TECNICOS'!$B$4:$B$19,0)),"")</f>
        <v/>
      </c>
      <c r="L230" s="30">
        <f>IF($A230="","",DATE(VALUE(LEFT($A230,4)),1,4)-WEEKDAY(DATE(VALUE(LEFT($A230,4)),1,4),2)+1+(VALUE(MID($A230,7,2))-1)*7+MATCH($B230,lista_dias,0)-1)</f>
        <v/>
      </c>
      <c r="M230" s="24">
        <f>IF(OR($J230="",ISNUMBER(MATCH($J230,lista_no_disponible,0)),(IFERROR(INDEX('CALENDARIO'!$C$15:$C$214,MATCH(TEXT($L230,"yyyy-mm-dd")&amp;"|"&amp;$D230&amp;"|"&amp;"",'CALENDARIO'!$G$15:$G$214,0)),IFERROR(INDEX('CALENDARIO'!$C$15:$C$214,MATCH(TEXT($L230,"yyyy-mm-dd")&amp;"|"&amp;$D230&amp;"|",'CALENDARIO'!$G$15:$G$214,0)),IFERROR(INDEX('CALENDARIO'!$C$15:$C$214,MATCH(TEXT($L230,"yyyy-mm-dd")&amp;"||",'CALENDARIO'!$G$15:$G$214,0)),INDEX(patronHabil,WEEKDAY($L230,2))))))&lt;&gt;"sí"),0,p_horas_jornada)</f>
        <v/>
      </c>
      <c r="N230" s="24">
        <f>$A230&amp;"|"&amp;$B230&amp;"|"&amp;$C230</f>
        <v/>
      </c>
      <c r="O230" s="24">
        <f>IFERROR(INDEX('CAT_TURNOS'!$C$4:$C$22,MATCH($J230,'CAT_TURNOS'!$A$4:$A$22,0)),"")</f>
        <v/>
      </c>
      <c r="P230" s="24">
        <f>IFERROR(INDEX('CAT_TURNOS'!$D$4:$D$22,MATCH($J230,'CAT_TURNOS'!$A$4:$A$22,0)),"")</f>
        <v/>
      </c>
      <c r="Q230" s="24">
        <f>IF(AND(LEFT($G230,1)="T",$H230="no"),"sí","no")</f>
        <v/>
      </c>
    </row>
    <row r="231">
      <c r="A231" s="5" t="inlineStr">
        <is>
          <t>2026-S32</t>
        </is>
      </c>
      <c r="B231" s="5" t="inlineStr">
        <is>
          <t>jueves</t>
        </is>
      </c>
      <c r="C231" s="5" t="inlineStr">
        <is>
          <t>Carlos Pérez</t>
        </is>
      </c>
      <c r="D231" s="24">
        <f>IFERROR(INDEX('TECNICOS'!$D$4:$D$19,MATCH($C231,'TECNICOS'!$B$4:$B$19,0)),"")</f>
        <v/>
      </c>
      <c r="E231" s="24">
        <f>IFERROR(INDEX('TECNICOS'!$C$4:$C$19,MATCH($C231,'TECNICOS'!$B$4:$B$19,0)),"")</f>
        <v/>
      </c>
      <c r="F231" s="24">
        <f>COUNTIFS('TECNICOS'!$F$4:$F$19,"sí",'TECNICOS'!$C$4:$C$19,$E231,'TECNICOS'!$D$4:$D$19,$D231,'TECNICOS'!$H$4:$H$19,"sí")</f>
        <v/>
      </c>
      <c r="G231" s="24">
        <f>IF(OR($C231="",$A231="",$B231="domingo",IFERROR(INDEX('TECNICOS'!$H$4:$H$19,MATCH($C231,'TECNICOS'!$B$4:$B$19,0)),"no")&lt;&gt;"sí"),"",IF(IFERROR(INDEX('TECNICOS'!$F$4:$F$19,MATCH($C231,'TECNICOS'!$B$4:$B$19,0)),"no")&lt;&gt;"sí","B",IF(MOD((IFERROR(INDEX('TECNICOS'!$G$4:$G$19,MATCH($C231,'TECNICOS'!$B$4:$B$19,0)),0)-1)+((DATE(VALUE(LEFT($A231,4)),1,4)-WEEKDAY(DATE(VALUE(LEFT($A231,4)),1,4),2)+1+(VALUE(MID($A231,7,2))-1)*7)-p_semana_referencia)/7,$F231)&lt;($F231-3),"B"&amp;(($F231-3)-MOD((IFERROR(INDEX('TECNICOS'!$G$4:$G$19,MATCH($C231,'TECNICOS'!$B$4:$B$19,0)),0)-1)+((DATE(VALUE(LEFT($A231,4)),1,4)-WEEKDAY(DATE(VALUE(LEFT($A231,4)),1,4),2)+1+(VALUE(MID($A231,7,2))-1)*7)-p_semana_referencia)/7,$F231)),"T"&amp;($F231-MOD((IFERROR(INDEX('TECNICOS'!$G$4:$G$19,MATCH($C231,'TECNICOS'!$B$4:$B$19,0)),0)-1)+((DATE(VALUE(LEFT($A231,4)),1,4)-WEEKDAY(DATE(VALUE(LEFT($A231,4)),1,4),2)+1+(VALUE(MID($A231,7,2))-1)*7)-p_semana_referencia)/7,$F231)))))</f>
        <v/>
      </c>
      <c r="H231" s="24">
        <f>IF(COUNTIFS('PLAN_VACACIONES'!$A$4:$A$103,$C231,'PLAN_VACACIONES'!$B$4:$B$103,"&lt;="&amp;$L231,'PLAN_VACACIONES'!$C$4:$C$103,"&gt;="&amp;$L231)&gt;0,"sí","no")</f>
        <v/>
      </c>
      <c r="I231" s="4" t="n"/>
      <c r="J231" s="24">
        <f>IF($I231&lt;&gt;"",$I231,IF($G231="","",IF($H231="sí","VAC",IF(LEFT($G231,1)="B","B",$G231))))</f>
        <v/>
      </c>
      <c r="K231" s="24">
        <f>IFERROR(INDEX('TECNICOS'!$E$4:$E$19,MATCH($C231,'TECNICOS'!$B$4:$B$19,0)),"")</f>
        <v/>
      </c>
      <c r="L231" s="30">
        <f>IF($A231="","",DATE(VALUE(LEFT($A231,4)),1,4)-WEEKDAY(DATE(VALUE(LEFT($A231,4)),1,4),2)+1+(VALUE(MID($A231,7,2))-1)*7+MATCH($B231,lista_dias,0)-1)</f>
        <v/>
      </c>
      <c r="M231" s="24">
        <f>IF(OR($J231="",ISNUMBER(MATCH($J231,lista_no_disponible,0)),(IFERROR(INDEX('CALENDARIO'!$C$15:$C$214,MATCH(TEXT($L231,"yyyy-mm-dd")&amp;"|"&amp;$D231&amp;"|"&amp;"",'CALENDARIO'!$G$15:$G$214,0)),IFERROR(INDEX('CALENDARIO'!$C$15:$C$214,MATCH(TEXT($L231,"yyyy-mm-dd")&amp;"|"&amp;$D231&amp;"|",'CALENDARIO'!$G$15:$G$214,0)),IFERROR(INDEX('CALENDARIO'!$C$15:$C$214,MATCH(TEXT($L231,"yyyy-mm-dd")&amp;"||",'CALENDARIO'!$G$15:$G$214,0)),INDEX(patronHabil,WEEKDAY($L231,2))))))&lt;&gt;"sí"),0,p_horas_jornada)</f>
        <v/>
      </c>
      <c r="N231" s="24">
        <f>$A231&amp;"|"&amp;$B231&amp;"|"&amp;$C231</f>
        <v/>
      </c>
      <c r="O231" s="24">
        <f>IFERROR(INDEX('CAT_TURNOS'!$C$4:$C$22,MATCH($J231,'CAT_TURNOS'!$A$4:$A$22,0)),"")</f>
        <v/>
      </c>
      <c r="P231" s="24">
        <f>IFERROR(INDEX('CAT_TURNOS'!$D$4:$D$22,MATCH($J231,'CAT_TURNOS'!$A$4:$A$22,0)),"")</f>
        <v/>
      </c>
      <c r="Q231" s="24">
        <f>IF(AND(LEFT($G231,1)="T",$H231="no"),"sí","no")</f>
        <v/>
      </c>
    </row>
    <row r="232">
      <c r="A232" s="5" t="inlineStr">
        <is>
          <t>2026-S32</t>
        </is>
      </c>
      <c r="B232" s="5" t="inlineStr">
        <is>
          <t>viernes</t>
        </is>
      </c>
      <c r="C232" s="5" t="inlineStr">
        <is>
          <t>Carlos Pérez</t>
        </is>
      </c>
      <c r="D232" s="24">
        <f>IFERROR(INDEX('TECNICOS'!$D$4:$D$19,MATCH($C232,'TECNICOS'!$B$4:$B$19,0)),"")</f>
        <v/>
      </c>
      <c r="E232" s="24">
        <f>IFERROR(INDEX('TECNICOS'!$C$4:$C$19,MATCH($C232,'TECNICOS'!$B$4:$B$19,0)),"")</f>
        <v/>
      </c>
      <c r="F232" s="24">
        <f>COUNTIFS('TECNICOS'!$F$4:$F$19,"sí",'TECNICOS'!$C$4:$C$19,$E232,'TECNICOS'!$D$4:$D$19,$D232,'TECNICOS'!$H$4:$H$19,"sí")</f>
        <v/>
      </c>
      <c r="G232" s="24">
        <f>IF(OR($C232="",$A232="",$B232="domingo",IFERROR(INDEX('TECNICOS'!$H$4:$H$19,MATCH($C232,'TECNICOS'!$B$4:$B$19,0)),"no")&lt;&gt;"sí"),"",IF(IFERROR(INDEX('TECNICOS'!$F$4:$F$19,MATCH($C232,'TECNICOS'!$B$4:$B$19,0)),"no")&lt;&gt;"sí","B",IF(MOD((IFERROR(INDEX('TECNICOS'!$G$4:$G$19,MATCH($C232,'TECNICOS'!$B$4:$B$19,0)),0)-1)+((DATE(VALUE(LEFT($A232,4)),1,4)-WEEKDAY(DATE(VALUE(LEFT($A232,4)),1,4),2)+1+(VALUE(MID($A232,7,2))-1)*7)-p_semana_referencia)/7,$F232)&lt;($F232-3),"B"&amp;(($F232-3)-MOD((IFERROR(INDEX('TECNICOS'!$G$4:$G$19,MATCH($C232,'TECNICOS'!$B$4:$B$19,0)),0)-1)+((DATE(VALUE(LEFT($A232,4)),1,4)-WEEKDAY(DATE(VALUE(LEFT($A232,4)),1,4),2)+1+(VALUE(MID($A232,7,2))-1)*7)-p_semana_referencia)/7,$F232)),"T"&amp;($F232-MOD((IFERROR(INDEX('TECNICOS'!$G$4:$G$19,MATCH($C232,'TECNICOS'!$B$4:$B$19,0)),0)-1)+((DATE(VALUE(LEFT($A232,4)),1,4)-WEEKDAY(DATE(VALUE(LEFT($A232,4)),1,4),2)+1+(VALUE(MID($A232,7,2))-1)*7)-p_semana_referencia)/7,$F232)))))</f>
        <v/>
      </c>
      <c r="H232" s="24">
        <f>IF(COUNTIFS('PLAN_VACACIONES'!$A$4:$A$103,$C232,'PLAN_VACACIONES'!$B$4:$B$103,"&lt;="&amp;$L232,'PLAN_VACACIONES'!$C$4:$C$103,"&gt;="&amp;$L232)&gt;0,"sí","no")</f>
        <v/>
      </c>
      <c r="I232" s="4" t="n"/>
      <c r="J232" s="24">
        <f>IF($I232&lt;&gt;"",$I232,IF($G232="","",IF($H232="sí","VAC",IF(LEFT($G232,1)="B","B",$G232))))</f>
        <v/>
      </c>
      <c r="K232" s="24">
        <f>IFERROR(INDEX('TECNICOS'!$E$4:$E$19,MATCH($C232,'TECNICOS'!$B$4:$B$19,0)),"")</f>
        <v/>
      </c>
      <c r="L232" s="30">
        <f>IF($A232="","",DATE(VALUE(LEFT($A232,4)),1,4)-WEEKDAY(DATE(VALUE(LEFT($A232,4)),1,4),2)+1+(VALUE(MID($A232,7,2))-1)*7+MATCH($B232,lista_dias,0)-1)</f>
        <v/>
      </c>
      <c r="M232" s="24">
        <f>IF(OR($J232="",ISNUMBER(MATCH($J232,lista_no_disponible,0)),(IFERROR(INDEX('CALENDARIO'!$C$15:$C$214,MATCH(TEXT($L232,"yyyy-mm-dd")&amp;"|"&amp;$D232&amp;"|"&amp;"",'CALENDARIO'!$G$15:$G$214,0)),IFERROR(INDEX('CALENDARIO'!$C$15:$C$214,MATCH(TEXT($L232,"yyyy-mm-dd")&amp;"|"&amp;$D232&amp;"|",'CALENDARIO'!$G$15:$G$214,0)),IFERROR(INDEX('CALENDARIO'!$C$15:$C$214,MATCH(TEXT($L232,"yyyy-mm-dd")&amp;"||",'CALENDARIO'!$G$15:$G$214,0)),INDEX(patronHabil,WEEKDAY($L232,2))))))&lt;&gt;"sí"),0,p_horas_jornada)</f>
        <v/>
      </c>
      <c r="N232" s="24">
        <f>$A232&amp;"|"&amp;$B232&amp;"|"&amp;$C232</f>
        <v/>
      </c>
      <c r="O232" s="24">
        <f>IFERROR(INDEX('CAT_TURNOS'!$C$4:$C$22,MATCH($J232,'CAT_TURNOS'!$A$4:$A$22,0)),"")</f>
        <v/>
      </c>
      <c r="P232" s="24">
        <f>IFERROR(INDEX('CAT_TURNOS'!$D$4:$D$22,MATCH($J232,'CAT_TURNOS'!$A$4:$A$22,0)),"")</f>
        <v/>
      </c>
      <c r="Q232" s="24">
        <f>IF(AND(LEFT($G232,1)="T",$H232="no"),"sí","no")</f>
        <v/>
      </c>
    </row>
    <row r="233">
      <c r="A233" s="5" t="inlineStr">
        <is>
          <t>2026-S32</t>
        </is>
      </c>
      <c r="B233" s="5" t="inlineStr">
        <is>
          <t>sábado</t>
        </is>
      </c>
      <c r="C233" s="5" t="inlineStr">
        <is>
          <t>Carlos Pérez</t>
        </is>
      </c>
      <c r="D233" s="24">
        <f>IFERROR(INDEX('TECNICOS'!$D$4:$D$19,MATCH($C233,'TECNICOS'!$B$4:$B$19,0)),"")</f>
        <v/>
      </c>
      <c r="E233" s="24">
        <f>IFERROR(INDEX('TECNICOS'!$C$4:$C$19,MATCH($C233,'TECNICOS'!$B$4:$B$19,0)),"")</f>
        <v/>
      </c>
      <c r="F233" s="24">
        <f>COUNTIFS('TECNICOS'!$F$4:$F$19,"sí",'TECNICOS'!$C$4:$C$19,$E233,'TECNICOS'!$D$4:$D$19,$D233,'TECNICOS'!$H$4:$H$19,"sí")</f>
        <v/>
      </c>
      <c r="G233" s="24">
        <f>IF(OR($C233="",$A233="",$B233="domingo",IFERROR(INDEX('TECNICOS'!$H$4:$H$19,MATCH($C233,'TECNICOS'!$B$4:$B$19,0)),"no")&lt;&gt;"sí"),"",IF(IFERROR(INDEX('TECNICOS'!$F$4:$F$19,MATCH($C233,'TECNICOS'!$B$4:$B$19,0)),"no")&lt;&gt;"sí","B",IF(MOD((IFERROR(INDEX('TECNICOS'!$G$4:$G$19,MATCH($C233,'TECNICOS'!$B$4:$B$19,0)),0)-1)+((DATE(VALUE(LEFT($A233,4)),1,4)-WEEKDAY(DATE(VALUE(LEFT($A233,4)),1,4),2)+1+(VALUE(MID($A233,7,2))-1)*7)-p_semana_referencia)/7,$F233)&lt;($F233-3),"B"&amp;(($F233-3)-MOD((IFERROR(INDEX('TECNICOS'!$G$4:$G$19,MATCH($C233,'TECNICOS'!$B$4:$B$19,0)),0)-1)+((DATE(VALUE(LEFT($A233,4)),1,4)-WEEKDAY(DATE(VALUE(LEFT($A233,4)),1,4),2)+1+(VALUE(MID($A233,7,2))-1)*7)-p_semana_referencia)/7,$F233)),"T"&amp;($F233-MOD((IFERROR(INDEX('TECNICOS'!$G$4:$G$19,MATCH($C233,'TECNICOS'!$B$4:$B$19,0)),0)-1)+((DATE(VALUE(LEFT($A233,4)),1,4)-WEEKDAY(DATE(VALUE(LEFT($A233,4)),1,4),2)+1+(VALUE(MID($A233,7,2))-1)*7)-p_semana_referencia)/7,$F233)))))</f>
        <v/>
      </c>
      <c r="H233" s="24">
        <f>IF(COUNTIFS('PLAN_VACACIONES'!$A$4:$A$103,$C233,'PLAN_VACACIONES'!$B$4:$B$103,"&lt;="&amp;$L233,'PLAN_VACACIONES'!$C$4:$C$103,"&gt;="&amp;$L233)&gt;0,"sí","no")</f>
        <v/>
      </c>
      <c r="I233" s="4" t="n"/>
      <c r="J233" s="24">
        <f>IF($I233&lt;&gt;"",$I233,IF($G233="","",IF($H233="sí","VAC",IF(LEFT($G233,1)="B","B",$G233))))</f>
        <v/>
      </c>
      <c r="K233" s="24">
        <f>IFERROR(INDEX('TECNICOS'!$E$4:$E$19,MATCH($C233,'TECNICOS'!$B$4:$B$19,0)),"")</f>
        <v/>
      </c>
      <c r="L233" s="30">
        <f>IF($A233="","",DATE(VALUE(LEFT($A233,4)),1,4)-WEEKDAY(DATE(VALUE(LEFT($A233,4)),1,4),2)+1+(VALUE(MID($A233,7,2))-1)*7+MATCH($B233,lista_dias,0)-1)</f>
        <v/>
      </c>
      <c r="M233" s="24">
        <f>IF(OR($J233="",ISNUMBER(MATCH($J233,lista_no_disponible,0)),(IFERROR(INDEX('CALENDARIO'!$C$15:$C$214,MATCH(TEXT($L233,"yyyy-mm-dd")&amp;"|"&amp;$D233&amp;"|"&amp;"",'CALENDARIO'!$G$15:$G$214,0)),IFERROR(INDEX('CALENDARIO'!$C$15:$C$214,MATCH(TEXT($L233,"yyyy-mm-dd")&amp;"|"&amp;$D233&amp;"|",'CALENDARIO'!$G$15:$G$214,0)),IFERROR(INDEX('CALENDARIO'!$C$15:$C$214,MATCH(TEXT($L233,"yyyy-mm-dd")&amp;"||",'CALENDARIO'!$G$15:$G$214,0)),INDEX(patronHabil,WEEKDAY($L233,2))))))&lt;&gt;"sí"),0,p_horas_jornada)</f>
        <v/>
      </c>
      <c r="N233" s="24">
        <f>$A233&amp;"|"&amp;$B233&amp;"|"&amp;$C233</f>
        <v/>
      </c>
      <c r="O233" s="24">
        <f>IFERROR(INDEX('CAT_TURNOS'!$C$4:$C$22,MATCH($J233,'CAT_TURNOS'!$A$4:$A$22,0)),"")</f>
        <v/>
      </c>
      <c r="P233" s="24">
        <f>IFERROR(INDEX('CAT_TURNOS'!$D$4:$D$22,MATCH($J233,'CAT_TURNOS'!$A$4:$A$22,0)),"")</f>
        <v/>
      </c>
      <c r="Q233" s="24">
        <f>IF(AND(LEFT($G233,1)="T",$H233="no"),"sí","no")</f>
        <v/>
      </c>
    </row>
    <row r="234">
      <c r="A234" s="5" t="inlineStr">
        <is>
          <t>2026-S32</t>
        </is>
      </c>
      <c r="B234" s="5" t="inlineStr">
        <is>
          <t>domingo</t>
        </is>
      </c>
      <c r="C234" s="5" t="inlineStr">
        <is>
          <t>Carlos Pérez</t>
        </is>
      </c>
      <c r="D234" s="24">
        <f>IFERROR(INDEX('TECNICOS'!$D$4:$D$19,MATCH($C234,'TECNICOS'!$B$4:$B$19,0)),"")</f>
        <v/>
      </c>
      <c r="E234" s="24">
        <f>IFERROR(INDEX('TECNICOS'!$C$4:$C$19,MATCH($C234,'TECNICOS'!$B$4:$B$19,0)),"")</f>
        <v/>
      </c>
      <c r="F234" s="24">
        <f>COUNTIFS('TECNICOS'!$F$4:$F$19,"sí",'TECNICOS'!$C$4:$C$19,$E234,'TECNICOS'!$D$4:$D$19,$D234,'TECNICOS'!$H$4:$H$19,"sí")</f>
        <v/>
      </c>
      <c r="G234" s="24">
        <f>IF(OR($C234="",$A234="",$B234="domingo",IFERROR(INDEX('TECNICOS'!$H$4:$H$19,MATCH($C234,'TECNICOS'!$B$4:$B$19,0)),"no")&lt;&gt;"sí"),"",IF(IFERROR(INDEX('TECNICOS'!$F$4:$F$19,MATCH($C234,'TECNICOS'!$B$4:$B$19,0)),"no")&lt;&gt;"sí","B",IF(MOD((IFERROR(INDEX('TECNICOS'!$G$4:$G$19,MATCH($C234,'TECNICOS'!$B$4:$B$19,0)),0)-1)+((DATE(VALUE(LEFT($A234,4)),1,4)-WEEKDAY(DATE(VALUE(LEFT($A234,4)),1,4),2)+1+(VALUE(MID($A234,7,2))-1)*7)-p_semana_referencia)/7,$F234)&lt;($F234-3),"B"&amp;(($F234-3)-MOD((IFERROR(INDEX('TECNICOS'!$G$4:$G$19,MATCH($C234,'TECNICOS'!$B$4:$B$19,0)),0)-1)+((DATE(VALUE(LEFT($A234,4)),1,4)-WEEKDAY(DATE(VALUE(LEFT($A234,4)),1,4),2)+1+(VALUE(MID($A234,7,2))-1)*7)-p_semana_referencia)/7,$F234)),"T"&amp;($F234-MOD((IFERROR(INDEX('TECNICOS'!$G$4:$G$19,MATCH($C234,'TECNICOS'!$B$4:$B$19,0)),0)-1)+((DATE(VALUE(LEFT($A234,4)),1,4)-WEEKDAY(DATE(VALUE(LEFT($A234,4)),1,4),2)+1+(VALUE(MID($A234,7,2))-1)*7)-p_semana_referencia)/7,$F234)))))</f>
        <v/>
      </c>
      <c r="H234" s="24">
        <f>IF(COUNTIFS('PLAN_VACACIONES'!$A$4:$A$103,$C234,'PLAN_VACACIONES'!$B$4:$B$103,"&lt;="&amp;$L234,'PLAN_VACACIONES'!$C$4:$C$103,"&gt;="&amp;$L234)&gt;0,"sí","no")</f>
        <v/>
      </c>
      <c r="I234" s="4" t="n"/>
      <c r="J234" s="24">
        <f>IF($I234&lt;&gt;"",$I234,IF($G234="","",IF($H234="sí","VAC",IF(LEFT($G234,1)="B","B",$G234))))</f>
        <v/>
      </c>
      <c r="K234" s="24">
        <f>IFERROR(INDEX('TECNICOS'!$E$4:$E$19,MATCH($C234,'TECNICOS'!$B$4:$B$19,0)),"")</f>
        <v/>
      </c>
      <c r="L234" s="30">
        <f>IF($A234="","",DATE(VALUE(LEFT($A234,4)),1,4)-WEEKDAY(DATE(VALUE(LEFT($A234,4)),1,4),2)+1+(VALUE(MID($A234,7,2))-1)*7+MATCH($B234,lista_dias,0)-1)</f>
        <v/>
      </c>
      <c r="M234" s="24">
        <f>IF(OR($J234="",ISNUMBER(MATCH($J234,lista_no_disponible,0)),(IFERROR(INDEX('CALENDARIO'!$C$15:$C$214,MATCH(TEXT($L234,"yyyy-mm-dd")&amp;"|"&amp;$D234&amp;"|"&amp;"",'CALENDARIO'!$G$15:$G$214,0)),IFERROR(INDEX('CALENDARIO'!$C$15:$C$214,MATCH(TEXT($L234,"yyyy-mm-dd")&amp;"|"&amp;$D234&amp;"|",'CALENDARIO'!$G$15:$G$214,0)),IFERROR(INDEX('CALENDARIO'!$C$15:$C$214,MATCH(TEXT($L234,"yyyy-mm-dd")&amp;"||",'CALENDARIO'!$G$15:$G$214,0)),INDEX(patronHabil,WEEKDAY($L234,2))))))&lt;&gt;"sí"),0,p_horas_jornada)</f>
        <v/>
      </c>
      <c r="N234" s="24">
        <f>$A234&amp;"|"&amp;$B234&amp;"|"&amp;$C234</f>
        <v/>
      </c>
      <c r="O234" s="24">
        <f>IFERROR(INDEX('CAT_TURNOS'!$C$4:$C$22,MATCH($J234,'CAT_TURNOS'!$A$4:$A$22,0)),"")</f>
        <v/>
      </c>
      <c r="P234" s="24">
        <f>IFERROR(INDEX('CAT_TURNOS'!$D$4:$D$22,MATCH($J234,'CAT_TURNOS'!$A$4:$A$22,0)),"")</f>
        <v/>
      </c>
      <c r="Q234" s="24">
        <f>IF(AND(LEFT($G234,1)="T",$H234="no"),"sí","no")</f>
        <v/>
      </c>
    </row>
    <row r="235">
      <c r="A235" s="5" t="inlineStr">
        <is>
          <t>2026-S32</t>
        </is>
      </c>
      <c r="B235" s="5" t="inlineStr">
        <is>
          <t>lunes</t>
        </is>
      </c>
      <c r="C235" s="5" t="inlineStr">
        <is>
          <t>María Gómez</t>
        </is>
      </c>
      <c r="D235" s="24">
        <f>IFERROR(INDEX('TECNICOS'!$D$4:$D$19,MATCH($C235,'TECNICOS'!$B$4:$B$19,0)),"")</f>
        <v/>
      </c>
      <c r="E235" s="24">
        <f>IFERROR(INDEX('TECNICOS'!$C$4:$C$19,MATCH($C235,'TECNICOS'!$B$4:$B$19,0)),"")</f>
        <v/>
      </c>
      <c r="F235" s="24">
        <f>COUNTIFS('TECNICOS'!$F$4:$F$19,"sí",'TECNICOS'!$C$4:$C$19,$E235,'TECNICOS'!$D$4:$D$19,$D235,'TECNICOS'!$H$4:$H$19,"sí")</f>
        <v/>
      </c>
      <c r="G235" s="24">
        <f>IF(OR($C235="",$A235="",$B235="domingo",IFERROR(INDEX('TECNICOS'!$H$4:$H$19,MATCH($C235,'TECNICOS'!$B$4:$B$19,0)),"no")&lt;&gt;"sí"),"",IF(IFERROR(INDEX('TECNICOS'!$F$4:$F$19,MATCH($C235,'TECNICOS'!$B$4:$B$19,0)),"no")&lt;&gt;"sí","B",IF(MOD((IFERROR(INDEX('TECNICOS'!$G$4:$G$19,MATCH($C235,'TECNICOS'!$B$4:$B$19,0)),0)-1)+((DATE(VALUE(LEFT($A235,4)),1,4)-WEEKDAY(DATE(VALUE(LEFT($A235,4)),1,4),2)+1+(VALUE(MID($A235,7,2))-1)*7)-p_semana_referencia)/7,$F235)&lt;($F235-3),"B"&amp;(($F235-3)-MOD((IFERROR(INDEX('TECNICOS'!$G$4:$G$19,MATCH($C235,'TECNICOS'!$B$4:$B$19,0)),0)-1)+((DATE(VALUE(LEFT($A235,4)),1,4)-WEEKDAY(DATE(VALUE(LEFT($A235,4)),1,4),2)+1+(VALUE(MID($A235,7,2))-1)*7)-p_semana_referencia)/7,$F235)),"T"&amp;($F235-MOD((IFERROR(INDEX('TECNICOS'!$G$4:$G$19,MATCH($C235,'TECNICOS'!$B$4:$B$19,0)),0)-1)+((DATE(VALUE(LEFT($A235,4)),1,4)-WEEKDAY(DATE(VALUE(LEFT($A235,4)),1,4),2)+1+(VALUE(MID($A235,7,2))-1)*7)-p_semana_referencia)/7,$F235)))))</f>
        <v/>
      </c>
      <c r="H235" s="24">
        <f>IF(COUNTIFS('PLAN_VACACIONES'!$A$4:$A$103,$C235,'PLAN_VACACIONES'!$B$4:$B$103,"&lt;="&amp;$L235,'PLAN_VACACIONES'!$C$4:$C$103,"&gt;="&amp;$L235)&gt;0,"sí","no")</f>
        <v/>
      </c>
      <c r="I235" s="4" t="n"/>
      <c r="J235" s="24">
        <f>IF($I235&lt;&gt;"",$I235,IF($G235="","",IF($H235="sí","VAC",IF(LEFT($G235,1)="B","B",$G235))))</f>
        <v/>
      </c>
      <c r="K235" s="24">
        <f>IFERROR(INDEX('TECNICOS'!$E$4:$E$19,MATCH($C235,'TECNICOS'!$B$4:$B$19,0)),"")</f>
        <v/>
      </c>
      <c r="L235" s="30">
        <f>IF($A235="","",DATE(VALUE(LEFT($A235,4)),1,4)-WEEKDAY(DATE(VALUE(LEFT($A235,4)),1,4),2)+1+(VALUE(MID($A235,7,2))-1)*7+MATCH($B235,lista_dias,0)-1)</f>
        <v/>
      </c>
      <c r="M235" s="24">
        <f>IF(OR($J235="",ISNUMBER(MATCH($J235,lista_no_disponible,0)),(IFERROR(INDEX('CALENDARIO'!$C$15:$C$214,MATCH(TEXT($L235,"yyyy-mm-dd")&amp;"|"&amp;$D235&amp;"|"&amp;"",'CALENDARIO'!$G$15:$G$214,0)),IFERROR(INDEX('CALENDARIO'!$C$15:$C$214,MATCH(TEXT($L235,"yyyy-mm-dd")&amp;"|"&amp;$D235&amp;"|",'CALENDARIO'!$G$15:$G$214,0)),IFERROR(INDEX('CALENDARIO'!$C$15:$C$214,MATCH(TEXT($L235,"yyyy-mm-dd")&amp;"||",'CALENDARIO'!$G$15:$G$214,0)),INDEX(patronHabil,WEEKDAY($L235,2))))))&lt;&gt;"sí"),0,p_horas_jornada)</f>
        <v/>
      </c>
      <c r="N235" s="24">
        <f>$A235&amp;"|"&amp;$B235&amp;"|"&amp;$C235</f>
        <v/>
      </c>
      <c r="O235" s="24">
        <f>IFERROR(INDEX('CAT_TURNOS'!$C$4:$C$22,MATCH($J235,'CAT_TURNOS'!$A$4:$A$22,0)),"")</f>
        <v/>
      </c>
      <c r="P235" s="24">
        <f>IFERROR(INDEX('CAT_TURNOS'!$D$4:$D$22,MATCH($J235,'CAT_TURNOS'!$A$4:$A$22,0)),"")</f>
        <v/>
      </c>
      <c r="Q235" s="24">
        <f>IF(AND(LEFT($G235,1)="T",$H235="no"),"sí","no")</f>
        <v/>
      </c>
    </row>
    <row r="236">
      <c r="A236" s="5" t="inlineStr">
        <is>
          <t>2026-S32</t>
        </is>
      </c>
      <c r="B236" s="5" t="inlineStr">
        <is>
          <t>martes</t>
        </is>
      </c>
      <c r="C236" s="5" t="inlineStr">
        <is>
          <t>María Gómez</t>
        </is>
      </c>
      <c r="D236" s="24">
        <f>IFERROR(INDEX('TECNICOS'!$D$4:$D$19,MATCH($C236,'TECNICOS'!$B$4:$B$19,0)),"")</f>
        <v/>
      </c>
      <c r="E236" s="24">
        <f>IFERROR(INDEX('TECNICOS'!$C$4:$C$19,MATCH($C236,'TECNICOS'!$B$4:$B$19,0)),"")</f>
        <v/>
      </c>
      <c r="F236" s="24">
        <f>COUNTIFS('TECNICOS'!$F$4:$F$19,"sí",'TECNICOS'!$C$4:$C$19,$E236,'TECNICOS'!$D$4:$D$19,$D236,'TECNICOS'!$H$4:$H$19,"sí")</f>
        <v/>
      </c>
      <c r="G236" s="24">
        <f>IF(OR($C236="",$A236="",$B236="domingo",IFERROR(INDEX('TECNICOS'!$H$4:$H$19,MATCH($C236,'TECNICOS'!$B$4:$B$19,0)),"no")&lt;&gt;"sí"),"",IF(IFERROR(INDEX('TECNICOS'!$F$4:$F$19,MATCH($C236,'TECNICOS'!$B$4:$B$19,0)),"no")&lt;&gt;"sí","B",IF(MOD((IFERROR(INDEX('TECNICOS'!$G$4:$G$19,MATCH($C236,'TECNICOS'!$B$4:$B$19,0)),0)-1)+((DATE(VALUE(LEFT($A236,4)),1,4)-WEEKDAY(DATE(VALUE(LEFT($A236,4)),1,4),2)+1+(VALUE(MID($A236,7,2))-1)*7)-p_semana_referencia)/7,$F236)&lt;($F236-3),"B"&amp;(($F236-3)-MOD((IFERROR(INDEX('TECNICOS'!$G$4:$G$19,MATCH($C236,'TECNICOS'!$B$4:$B$19,0)),0)-1)+((DATE(VALUE(LEFT($A236,4)),1,4)-WEEKDAY(DATE(VALUE(LEFT($A236,4)),1,4),2)+1+(VALUE(MID($A236,7,2))-1)*7)-p_semana_referencia)/7,$F236)),"T"&amp;($F236-MOD((IFERROR(INDEX('TECNICOS'!$G$4:$G$19,MATCH($C236,'TECNICOS'!$B$4:$B$19,0)),0)-1)+((DATE(VALUE(LEFT($A236,4)),1,4)-WEEKDAY(DATE(VALUE(LEFT($A236,4)),1,4),2)+1+(VALUE(MID($A236,7,2))-1)*7)-p_semana_referencia)/7,$F236)))))</f>
        <v/>
      </c>
      <c r="H236" s="24">
        <f>IF(COUNTIFS('PLAN_VACACIONES'!$A$4:$A$103,$C236,'PLAN_VACACIONES'!$B$4:$B$103,"&lt;="&amp;$L236,'PLAN_VACACIONES'!$C$4:$C$103,"&gt;="&amp;$L236)&gt;0,"sí","no")</f>
        <v/>
      </c>
      <c r="I236" s="4" t="n"/>
      <c r="J236" s="24">
        <f>IF($I236&lt;&gt;"",$I236,IF($G236="","",IF($H236="sí","VAC",IF(LEFT($G236,1)="B","B",$G236))))</f>
        <v/>
      </c>
      <c r="K236" s="24">
        <f>IFERROR(INDEX('TECNICOS'!$E$4:$E$19,MATCH($C236,'TECNICOS'!$B$4:$B$19,0)),"")</f>
        <v/>
      </c>
      <c r="L236" s="30">
        <f>IF($A236="","",DATE(VALUE(LEFT($A236,4)),1,4)-WEEKDAY(DATE(VALUE(LEFT($A236,4)),1,4),2)+1+(VALUE(MID($A236,7,2))-1)*7+MATCH($B236,lista_dias,0)-1)</f>
        <v/>
      </c>
      <c r="M236" s="24">
        <f>IF(OR($J236="",ISNUMBER(MATCH($J236,lista_no_disponible,0)),(IFERROR(INDEX('CALENDARIO'!$C$15:$C$214,MATCH(TEXT($L236,"yyyy-mm-dd")&amp;"|"&amp;$D236&amp;"|"&amp;"",'CALENDARIO'!$G$15:$G$214,0)),IFERROR(INDEX('CALENDARIO'!$C$15:$C$214,MATCH(TEXT($L236,"yyyy-mm-dd")&amp;"|"&amp;$D236&amp;"|",'CALENDARIO'!$G$15:$G$214,0)),IFERROR(INDEX('CALENDARIO'!$C$15:$C$214,MATCH(TEXT($L236,"yyyy-mm-dd")&amp;"||",'CALENDARIO'!$G$15:$G$214,0)),INDEX(patronHabil,WEEKDAY($L236,2))))))&lt;&gt;"sí"),0,p_horas_jornada)</f>
        <v/>
      </c>
      <c r="N236" s="24">
        <f>$A236&amp;"|"&amp;$B236&amp;"|"&amp;$C236</f>
        <v/>
      </c>
      <c r="O236" s="24">
        <f>IFERROR(INDEX('CAT_TURNOS'!$C$4:$C$22,MATCH($J236,'CAT_TURNOS'!$A$4:$A$22,0)),"")</f>
        <v/>
      </c>
      <c r="P236" s="24">
        <f>IFERROR(INDEX('CAT_TURNOS'!$D$4:$D$22,MATCH($J236,'CAT_TURNOS'!$A$4:$A$22,0)),"")</f>
        <v/>
      </c>
      <c r="Q236" s="24">
        <f>IF(AND(LEFT($G236,1)="T",$H236="no"),"sí","no")</f>
        <v/>
      </c>
    </row>
    <row r="237">
      <c r="A237" s="5" t="inlineStr">
        <is>
          <t>2026-S32</t>
        </is>
      </c>
      <c r="B237" s="5" t="inlineStr">
        <is>
          <t>miércoles</t>
        </is>
      </c>
      <c r="C237" s="5" t="inlineStr">
        <is>
          <t>María Gómez</t>
        </is>
      </c>
      <c r="D237" s="24">
        <f>IFERROR(INDEX('TECNICOS'!$D$4:$D$19,MATCH($C237,'TECNICOS'!$B$4:$B$19,0)),"")</f>
        <v/>
      </c>
      <c r="E237" s="24">
        <f>IFERROR(INDEX('TECNICOS'!$C$4:$C$19,MATCH($C237,'TECNICOS'!$B$4:$B$19,0)),"")</f>
        <v/>
      </c>
      <c r="F237" s="24">
        <f>COUNTIFS('TECNICOS'!$F$4:$F$19,"sí",'TECNICOS'!$C$4:$C$19,$E237,'TECNICOS'!$D$4:$D$19,$D237,'TECNICOS'!$H$4:$H$19,"sí")</f>
        <v/>
      </c>
      <c r="G237" s="24">
        <f>IF(OR($C237="",$A237="",$B237="domingo",IFERROR(INDEX('TECNICOS'!$H$4:$H$19,MATCH($C237,'TECNICOS'!$B$4:$B$19,0)),"no")&lt;&gt;"sí"),"",IF(IFERROR(INDEX('TECNICOS'!$F$4:$F$19,MATCH($C237,'TECNICOS'!$B$4:$B$19,0)),"no")&lt;&gt;"sí","B",IF(MOD((IFERROR(INDEX('TECNICOS'!$G$4:$G$19,MATCH($C237,'TECNICOS'!$B$4:$B$19,0)),0)-1)+((DATE(VALUE(LEFT($A237,4)),1,4)-WEEKDAY(DATE(VALUE(LEFT($A237,4)),1,4),2)+1+(VALUE(MID($A237,7,2))-1)*7)-p_semana_referencia)/7,$F237)&lt;($F237-3),"B"&amp;(($F237-3)-MOD((IFERROR(INDEX('TECNICOS'!$G$4:$G$19,MATCH($C237,'TECNICOS'!$B$4:$B$19,0)),0)-1)+((DATE(VALUE(LEFT($A237,4)),1,4)-WEEKDAY(DATE(VALUE(LEFT($A237,4)),1,4),2)+1+(VALUE(MID($A237,7,2))-1)*7)-p_semana_referencia)/7,$F237)),"T"&amp;($F237-MOD((IFERROR(INDEX('TECNICOS'!$G$4:$G$19,MATCH($C237,'TECNICOS'!$B$4:$B$19,0)),0)-1)+((DATE(VALUE(LEFT($A237,4)),1,4)-WEEKDAY(DATE(VALUE(LEFT($A237,4)),1,4),2)+1+(VALUE(MID($A237,7,2))-1)*7)-p_semana_referencia)/7,$F237)))))</f>
        <v/>
      </c>
      <c r="H237" s="24">
        <f>IF(COUNTIFS('PLAN_VACACIONES'!$A$4:$A$103,$C237,'PLAN_VACACIONES'!$B$4:$B$103,"&lt;="&amp;$L237,'PLAN_VACACIONES'!$C$4:$C$103,"&gt;="&amp;$L237)&gt;0,"sí","no")</f>
        <v/>
      </c>
      <c r="I237" s="4" t="n"/>
      <c r="J237" s="24">
        <f>IF($I237&lt;&gt;"",$I237,IF($G237="","",IF($H237="sí","VAC",IF(LEFT($G237,1)="B","B",$G237))))</f>
        <v/>
      </c>
      <c r="K237" s="24">
        <f>IFERROR(INDEX('TECNICOS'!$E$4:$E$19,MATCH($C237,'TECNICOS'!$B$4:$B$19,0)),"")</f>
        <v/>
      </c>
      <c r="L237" s="30">
        <f>IF($A237="","",DATE(VALUE(LEFT($A237,4)),1,4)-WEEKDAY(DATE(VALUE(LEFT($A237,4)),1,4),2)+1+(VALUE(MID($A237,7,2))-1)*7+MATCH($B237,lista_dias,0)-1)</f>
        <v/>
      </c>
      <c r="M237" s="24">
        <f>IF(OR($J237="",ISNUMBER(MATCH($J237,lista_no_disponible,0)),(IFERROR(INDEX('CALENDARIO'!$C$15:$C$214,MATCH(TEXT($L237,"yyyy-mm-dd")&amp;"|"&amp;$D237&amp;"|"&amp;"",'CALENDARIO'!$G$15:$G$214,0)),IFERROR(INDEX('CALENDARIO'!$C$15:$C$214,MATCH(TEXT($L237,"yyyy-mm-dd")&amp;"|"&amp;$D237&amp;"|",'CALENDARIO'!$G$15:$G$214,0)),IFERROR(INDEX('CALENDARIO'!$C$15:$C$214,MATCH(TEXT($L237,"yyyy-mm-dd")&amp;"||",'CALENDARIO'!$G$15:$G$214,0)),INDEX(patronHabil,WEEKDAY($L237,2))))))&lt;&gt;"sí"),0,p_horas_jornada)</f>
        <v/>
      </c>
      <c r="N237" s="24">
        <f>$A237&amp;"|"&amp;$B237&amp;"|"&amp;$C237</f>
        <v/>
      </c>
      <c r="O237" s="24">
        <f>IFERROR(INDEX('CAT_TURNOS'!$C$4:$C$22,MATCH($J237,'CAT_TURNOS'!$A$4:$A$22,0)),"")</f>
        <v/>
      </c>
      <c r="P237" s="24">
        <f>IFERROR(INDEX('CAT_TURNOS'!$D$4:$D$22,MATCH($J237,'CAT_TURNOS'!$A$4:$A$22,0)),"")</f>
        <v/>
      </c>
      <c r="Q237" s="24">
        <f>IF(AND(LEFT($G237,1)="T",$H237="no"),"sí","no")</f>
        <v/>
      </c>
    </row>
    <row r="238">
      <c r="A238" s="5" t="inlineStr">
        <is>
          <t>2026-S32</t>
        </is>
      </c>
      <c r="B238" s="5" t="inlineStr">
        <is>
          <t>jueves</t>
        </is>
      </c>
      <c r="C238" s="5" t="inlineStr">
        <is>
          <t>María Gómez</t>
        </is>
      </c>
      <c r="D238" s="24">
        <f>IFERROR(INDEX('TECNICOS'!$D$4:$D$19,MATCH($C238,'TECNICOS'!$B$4:$B$19,0)),"")</f>
        <v/>
      </c>
      <c r="E238" s="24">
        <f>IFERROR(INDEX('TECNICOS'!$C$4:$C$19,MATCH($C238,'TECNICOS'!$B$4:$B$19,0)),"")</f>
        <v/>
      </c>
      <c r="F238" s="24">
        <f>COUNTIFS('TECNICOS'!$F$4:$F$19,"sí",'TECNICOS'!$C$4:$C$19,$E238,'TECNICOS'!$D$4:$D$19,$D238,'TECNICOS'!$H$4:$H$19,"sí")</f>
        <v/>
      </c>
      <c r="G238" s="24">
        <f>IF(OR($C238="",$A238="",$B238="domingo",IFERROR(INDEX('TECNICOS'!$H$4:$H$19,MATCH($C238,'TECNICOS'!$B$4:$B$19,0)),"no")&lt;&gt;"sí"),"",IF(IFERROR(INDEX('TECNICOS'!$F$4:$F$19,MATCH($C238,'TECNICOS'!$B$4:$B$19,0)),"no")&lt;&gt;"sí","B",IF(MOD((IFERROR(INDEX('TECNICOS'!$G$4:$G$19,MATCH($C238,'TECNICOS'!$B$4:$B$19,0)),0)-1)+((DATE(VALUE(LEFT($A238,4)),1,4)-WEEKDAY(DATE(VALUE(LEFT($A238,4)),1,4),2)+1+(VALUE(MID($A238,7,2))-1)*7)-p_semana_referencia)/7,$F238)&lt;($F238-3),"B"&amp;(($F238-3)-MOD((IFERROR(INDEX('TECNICOS'!$G$4:$G$19,MATCH($C238,'TECNICOS'!$B$4:$B$19,0)),0)-1)+((DATE(VALUE(LEFT($A238,4)),1,4)-WEEKDAY(DATE(VALUE(LEFT($A238,4)),1,4),2)+1+(VALUE(MID($A238,7,2))-1)*7)-p_semana_referencia)/7,$F238)),"T"&amp;($F238-MOD((IFERROR(INDEX('TECNICOS'!$G$4:$G$19,MATCH($C238,'TECNICOS'!$B$4:$B$19,0)),0)-1)+((DATE(VALUE(LEFT($A238,4)),1,4)-WEEKDAY(DATE(VALUE(LEFT($A238,4)),1,4),2)+1+(VALUE(MID($A238,7,2))-1)*7)-p_semana_referencia)/7,$F238)))))</f>
        <v/>
      </c>
      <c r="H238" s="24">
        <f>IF(COUNTIFS('PLAN_VACACIONES'!$A$4:$A$103,$C238,'PLAN_VACACIONES'!$B$4:$B$103,"&lt;="&amp;$L238,'PLAN_VACACIONES'!$C$4:$C$103,"&gt;="&amp;$L238)&gt;0,"sí","no")</f>
        <v/>
      </c>
      <c r="I238" s="4" t="n"/>
      <c r="J238" s="24">
        <f>IF($I238&lt;&gt;"",$I238,IF($G238="","",IF($H238="sí","VAC",IF(LEFT($G238,1)="B","B",$G238))))</f>
        <v/>
      </c>
      <c r="K238" s="24">
        <f>IFERROR(INDEX('TECNICOS'!$E$4:$E$19,MATCH($C238,'TECNICOS'!$B$4:$B$19,0)),"")</f>
        <v/>
      </c>
      <c r="L238" s="30">
        <f>IF($A238="","",DATE(VALUE(LEFT($A238,4)),1,4)-WEEKDAY(DATE(VALUE(LEFT($A238,4)),1,4),2)+1+(VALUE(MID($A238,7,2))-1)*7+MATCH($B238,lista_dias,0)-1)</f>
        <v/>
      </c>
      <c r="M238" s="24">
        <f>IF(OR($J238="",ISNUMBER(MATCH($J238,lista_no_disponible,0)),(IFERROR(INDEX('CALENDARIO'!$C$15:$C$214,MATCH(TEXT($L238,"yyyy-mm-dd")&amp;"|"&amp;$D238&amp;"|"&amp;"",'CALENDARIO'!$G$15:$G$214,0)),IFERROR(INDEX('CALENDARIO'!$C$15:$C$214,MATCH(TEXT($L238,"yyyy-mm-dd")&amp;"|"&amp;$D238&amp;"|",'CALENDARIO'!$G$15:$G$214,0)),IFERROR(INDEX('CALENDARIO'!$C$15:$C$214,MATCH(TEXT($L238,"yyyy-mm-dd")&amp;"||",'CALENDARIO'!$G$15:$G$214,0)),INDEX(patronHabil,WEEKDAY($L238,2))))))&lt;&gt;"sí"),0,p_horas_jornada)</f>
        <v/>
      </c>
      <c r="N238" s="24">
        <f>$A238&amp;"|"&amp;$B238&amp;"|"&amp;$C238</f>
        <v/>
      </c>
      <c r="O238" s="24">
        <f>IFERROR(INDEX('CAT_TURNOS'!$C$4:$C$22,MATCH($J238,'CAT_TURNOS'!$A$4:$A$22,0)),"")</f>
        <v/>
      </c>
      <c r="P238" s="24">
        <f>IFERROR(INDEX('CAT_TURNOS'!$D$4:$D$22,MATCH($J238,'CAT_TURNOS'!$A$4:$A$22,0)),"")</f>
        <v/>
      </c>
      <c r="Q238" s="24">
        <f>IF(AND(LEFT($G238,1)="T",$H238="no"),"sí","no")</f>
        <v/>
      </c>
    </row>
    <row r="239">
      <c r="A239" s="5" t="inlineStr">
        <is>
          <t>2026-S32</t>
        </is>
      </c>
      <c r="B239" s="5" t="inlineStr">
        <is>
          <t>viernes</t>
        </is>
      </c>
      <c r="C239" s="5" t="inlineStr">
        <is>
          <t>María Gómez</t>
        </is>
      </c>
      <c r="D239" s="24">
        <f>IFERROR(INDEX('TECNICOS'!$D$4:$D$19,MATCH($C239,'TECNICOS'!$B$4:$B$19,0)),"")</f>
        <v/>
      </c>
      <c r="E239" s="24">
        <f>IFERROR(INDEX('TECNICOS'!$C$4:$C$19,MATCH($C239,'TECNICOS'!$B$4:$B$19,0)),"")</f>
        <v/>
      </c>
      <c r="F239" s="24">
        <f>COUNTIFS('TECNICOS'!$F$4:$F$19,"sí",'TECNICOS'!$C$4:$C$19,$E239,'TECNICOS'!$D$4:$D$19,$D239,'TECNICOS'!$H$4:$H$19,"sí")</f>
        <v/>
      </c>
      <c r="G239" s="24">
        <f>IF(OR($C239="",$A239="",$B239="domingo",IFERROR(INDEX('TECNICOS'!$H$4:$H$19,MATCH($C239,'TECNICOS'!$B$4:$B$19,0)),"no")&lt;&gt;"sí"),"",IF(IFERROR(INDEX('TECNICOS'!$F$4:$F$19,MATCH($C239,'TECNICOS'!$B$4:$B$19,0)),"no")&lt;&gt;"sí","B",IF(MOD((IFERROR(INDEX('TECNICOS'!$G$4:$G$19,MATCH($C239,'TECNICOS'!$B$4:$B$19,0)),0)-1)+((DATE(VALUE(LEFT($A239,4)),1,4)-WEEKDAY(DATE(VALUE(LEFT($A239,4)),1,4),2)+1+(VALUE(MID($A239,7,2))-1)*7)-p_semana_referencia)/7,$F239)&lt;($F239-3),"B"&amp;(($F239-3)-MOD((IFERROR(INDEX('TECNICOS'!$G$4:$G$19,MATCH($C239,'TECNICOS'!$B$4:$B$19,0)),0)-1)+((DATE(VALUE(LEFT($A239,4)),1,4)-WEEKDAY(DATE(VALUE(LEFT($A239,4)),1,4),2)+1+(VALUE(MID($A239,7,2))-1)*7)-p_semana_referencia)/7,$F239)),"T"&amp;($F239-MOD((IFERROR(INDEX('TECNICOS'!$G$4:$G$19,MATCH($C239,'TECNICOS'!$B$4:$B$19,0)),0)-1)+((DATE(VALUE(LEFT($A239,4)),1,4)-WEEKDAY(DATE(VALUE(LEFT($A239,4)),1,4),2)+1+(VALUE(MID($A239,7,2))-1)*7)-p_semana_referencia)/7,$F239)))))</f>
        <v/>
      </c>
      <c r="H239" s="24">
        <f>IF(COUNTIFS('PLAN_VACACIONES'!$A$4:$A$103,$C239,'PLAN_VACACIONES'!$B$4:$B$103,"&lt;="&amp;$L239,'PLAN_VACACIONES'!$C$4:$C$103,"&gt;="&amp;$L239)&gt;0,"sí","no")</f>
        <v/>
      </c>
      <c r="I239" s="4" t="n"/>
      <c r="J239" s="24">
        <f>IF($I239&lt;&gt;"",$I239,IF($G239="","",IF($H239="sí","VAC",IF(LEFT($G239,1)="B","B",$G239))))</f>
        <v/>
      </c>
      <c r="K239" s="24">
        <f>IFERROR(INDEX('TECNICOS'!$E$4:$E$19,MATCH($C239,'TECNICOS'!$B$4:$B$19,0)),"")</f>
        <v/>
      </c>
      <c r="L239" s="30">
        <f>IF($A239="","",DATE(VALUE(LEFT($A239,4)),1,4)-WEEKDAY(DATE(VALUE(LEFT($A239,4)),1,4),2)+1+(VALUE(MID($A239,7,2))-1)*7+MATCH($B239,lista_dias,0)-1)</f>
        <v/>
      </c>
      <c r="M239" s="24">
        <f>IF(OR($J239="",ISNUMBER(MATCH($J239,lista_no_disponible,0)),(IFERROR(INDEX('CALENDARIO'!$C$15:$C$214,MATCH(TEXT($L239,"yyyy-mm-dd")&amp;"|"&amp;$D239&amp;"|"&amp;"",'CALENDARIO'!$G$15:$G$214,0)),IFERROR(INDEX('CALENDARIO'!$C$15:$C$214,MATCH(TEXT($L239,"yyyy-mm-dd")&amp;"|"&amp;$D239&amp;"|",'CALENDARIO'!$G$15:$G$214,0)),IFERROR(INDEX('CALENDARIO'!$C$15:$C$214,MATCH(TEXT($L239,"yyyy-mm-dd")&amp;"||",'CALENDARIO'!$G$15:$G$214,0)),INDEX(patronHabil,WEEKDAY($L239,2))))))&lt;&gt;"sí"),0,p_horas_jornada)</f>
        <v/>
      </c>
      <c r="N239" s="24">
        <f>$A239&amp;"|"&amp;$B239&amp;"|"&amp;$C239</f>
        <v/>
      </c>
      <c r="O239" s="24">
        <f>IFERROR(INDEX('CAT_TURNOS'!$C$4:$C$22,MATCH($J239,'CAT_TURNOS'!$A$4:$A$22,0)),"")</f>
        <v/>
      </c>
      <c r="P239" s="24">
        <f>IFERROR(INDEX('CAT_TURNOS'!$D$4:$D$22,MATCH($J239,'CAT_TURNOS'!$A$4:$A$22,0)),"")</f>
        <v/>
      </c>
      <c r="Q239" s="24">
        <f>IF(AND(LEFT($G239,1)="T",$H239="no"),"sí","no")</f>
        <v/>
      </c>
    </row>
    <row r="240">
      <c r="A240" s="5" t="inlineStr">
        <is>
          <t>2026-S32</t>
        </is>
      </c>
      <c r="B240" s="5" t="inlineStr">
        <is>
          <t>sábado</t>
        </is>
      </c>
      <c r="C240" s="5" t="inlineStr">
        <is>
          <t>María Gómez</t>
        </is>
      </c>
      <c r="D240" s="24">
        <f>IFERROR(INDEX('TECNICOS'!$D$4:$D$19,MATCH($C240,'TECNICOS'!$B$4:$B$19,0)),"")</f>
        <v/>
      </c>
      <c r="E240" s="24">
        <f>IFERROR(INDEX('TECNICOS'!$C$4:$C$19,MATCH($C240,'TECNICOS'!$B$4:$B$19,0)),"")</f>
        <v/>
      </c>
      <c r="F240" s="24">
        <f>COUNTIFS('TECNICOS'!$F$4:$F$19,"sí",'TECNICOS'!$C$4:$C$19,$E240,'TECNICOS'!$D$4:$D$19,$D240,'TECNICOS'!$H$4:$H$19,"sí")</f>
        <v/>
      </c>
      <c r="G240" s="24">
        <f>IF(OR($C240="",$A240="",$B240="domingo",IFERROR(INDEX('TECNICOS'!$H$4:$H$19,MATCH($C240,'TECNICOS'!$B$4:$B$19,0)),"no")&lt;&gt;"sí"),"",IF(IFERROR(INDEX('TECNICOS'!$F$4:$F$19,MATCH($C240,'TECNICOS'!$B$4:$B$19,0)),"no")&lt;&gt;"sí","B",IF(MOD((IFERROR(INDEX('TECNICOS'!$G$4:$G$19,MATCH($C240,'TECNICOS'!$B$4:$B$19,0)),0)-1)+((DATE(VALUE(LEFT($A240,4)),1,4)-WEEKDAY(DATE(VALUE(LEFT($A240,4)),1,4),2)+1+(VALUE(MID($A240,7,2))-1)*7)-p_semana_referencia)/7,$F240)&lt;($F240-3),"B"&amp;(($F240-3)-MOD((IFERROR(INDEX('TECNICOS'!$G$4:$G$19,MATCH($C240,'TECNICOS'!$B$4:$B$19,0)),0)-1)+((DATE(VALUE(LEFT($A240,4)),1,4)-WEEKDAY(DATE(VALUE(LEFT($A240,4)),1,4),2)+1+(VALUE(MID($A240,7,2))-1)*7)-p_semana_referencia)/7,$F240)),"T"&amp;($F240-MOD((IFERROR(INDEX('TECNICOS'!$G$4:$G$19,MATCH($C240,'TECNICOS'!$B$4:$B$19,0)),0)-1)+((DATE(VALUE(LEFT($A240,4)),1,4)-WEEKDAY(DATE(VALUE(LEFT($A240,4)),1,4),2)+1+(VALUE(MID($A240,7,2))-1)*7)-p_semana_referencia)/7,$F240)))))</f>
        <v/>
      </c>
      <c r="H240" s="24">
        <f>IF(COUNTIFS('PLAN_VACACIONES'!$A$4:$A$103,$C240,'PLAN_VACACIONES'!$B$4:$B$103,"&lt;="&amp;$L240,'PLAN_VACACIONES'!$C$4:$C$103,"&gt;="&amp;$L240)&gt;0,"sí","no")</f>
        <v/>
      </c>
      <c r="I240" s="4" t="n"/>
      <c r="J240" s="24">
        <f>IF($I240&lt;&gt;"",$I240,IF($G240="","",IF($H240="sí","VAC",IF(LEFT($G240,1)="B","B",$G240))))</f>
        <v/>
      </c>
      <c r="K240" s="24">
        <f>IFERROR(INDEX('TECNICOS'!$E$4:$E$19,MATCH($C240,'TECNICOS'!$B$4:$B$19,0)),"")</f>
        <v/>
      </c>
      <c r="L240" s="30">
        <f>IF($A240="","",DATE(VALUE(LEFT($A240,4)),1,4)-WEEKDAY(DATE(VALUE(LEFT($A240,4)),1,4),2)+1+(VALUE(MID($A240,7,2))-1)*7+MATCH($B240,lista_dias,0)-1)</f>
        <v/>
      </c>
      <c r="M240" s="24">
        <f>IF(OR($J240="",ISNUMBER(MATCH($J240,lista_no_disponible,0)),(IFERROR(INDEX('CALENDARIO'!$C$15:$C$214,MATCH(TEXT($L240,"yyyy-mm-dd")&amp;"|"&amp;$D240&amp;"|"&amp;"",'CALENDARIO'!$G$15:$G$214,0)),IFERROR(INDEX('CALENDARIO'!$C$15:$C$214,MATCH(TEXT($L240,"yyyy-mm-dd")&amp;"|"&amp;$D240&amp;"|",'CALENDARIO'!$G$15:$G$214,0)),IFERROR(INDEX('CALENDARIO'!$C$15:$C$214,MATCH(TEXT($L240,"yyyy-mm-dd")&amp;"||",'CALENDARIO'!$G$15:$G$214,0)),INDEX(patronHabil,WEEKDAY($L240,2))))))&lt;&gt;"sí"),0,p_horas_jornada)</f>
        <v/>
      </c>
      <c r="N240" s="24">
        <f>$A240&amp;"|"&amp;$B240&amp;"|"&amp;$C240</f>
        <v/>
      </c>
      <c r="O240" s="24">
        <f>IFERROR(INDEX('CAT_TURNOS'!$C$4:$C$22,MATCH($J240,'CAT_TURNOS'!$A$4:$A$22,0)),"")</f>
        <v/>
      </c>
      <c r="P240" s="24">
        <f>IFERROR(INDEX('CAT_TURNOS'!$D$4:$D$22,MATCH($J240,'CAT_TURNOS'!$A$4:$A$22,0)),"")</f>
        <v/>
      </c>
      <c r="Q240" s="24">
        <f>IF(AND(LEFT($G240,1)="T",$H240="no"),"sí","no")</f>
        <v/>
      </c>
    </row>
    <row r="241">
      <c r="A241" s="5" t="inlineStr">
        <is>
          <t>2026-S32</t>
        </is>
      </c>
      <c r="B241" s="5" t="inlineStr">
        <is>
          <t>domingo</t>
        </is>
      </c>
      <c r="C241" s="5" t="inlineStr">
        <is>
          <t>María Gómez</t>
        </is>
      </c>
      <c r="D241" s="24">
        <f>IFERROR(INDEX('TECNICOS'!$D$4:$D$19,MATCH($C241,'TECNICOS'!$B$4:$B$19,0)),"")</f>
        <v/>
      </c>
      <c r="E241" s="24">
        <f>IFERROR(INDEX('TECNICOS'!$C$4:$C$19,MATCH($C241,'TECNICOS'!$B$4:$B$19,0)),"")</f>
        <v/>
      </c>
      <c r="F241" s="24">
        <f>COUNTIFS('TECNICOS'!$F$4:$F$19,"sí",'TECNICOS'!$C$4:$C$19,$E241,'TECNICOS'!$D$4:$D$19,$D241,'TECNICOS'!$H$4:$H$19,"sí")</f>
        <v/>
      </c>
      <c r="G241" s="24">
        <f>IF(OR($C241="",$A241="",$B241="domingo",IFERROR(INDEX('TECNICOS'!$H$4:$H$19,MATCH($C241,'TECNICOS'!$B$4:$B$19,0)),"no")&lt;&gt;"sí"),"",IF(IFERROR(INDEX('TECNICOS'!$F$4:$F$19,MATCH($C241,'TECNICOS'!$B$4:$B$19,0)),"no")&lt;&gt;"sí","B",IF(MOD((IFERROR(INDEX('TECNICOS'!$G$4:$G$19,MATCH($C241,'TECNICOS'!$B$4:$B$19,0)),0)-1)+((DATE(VALUE(LEFT($A241,4)),1,4)-WEEKDAY(DATE(VALUE(LEFT($A241,4)),1,4),2)+1+(VALUE(MID($A241,7,2))-1)*7)-p_semana_referencia)/7,$F241)&lt;($F241-3),"B"&amp;(($F241-3)-MOD((IFERROR(INDEX('TECNICOS'!$G$4:$G$19,MATCH($C241,'TECNICOS'!$B$4:$B$19,0)),0)-1)+((DATE(VALUE(LEFT($A241,4)),1,4)-WEEKDAY(DATE(VALUE(LEFT($A241,4)),1,4),2)+1+(VALUE(MID($A241,7,2))-1)*7)-p_semana_referencia)/7,$F241)),"T"&amp;($F241-MOD((IFERROR(INDEX('TECNICOS'!$G$4:$G$19,MATCH($C241,'TECNICOS'!$B$4:$B$19,0)),0)-1)+((DATE(VALUE(LEFT($A241,4)),1,4)-WEEKDAY(DATE(VALUE(LEFT($A241,4)),1,4),2)+1+(VALUE(MID($A241,7,2))-1)*7)-p_semana_referencia)/7,$F241)))))</f>
        <v/>
      </c>
      <c r="H241" s="24">
        <f>IF(COUNTIFS('PLAN_VACACIONES'!$A$4:$A$103,$C241,'PLAN_VACACIONES'!$B$4:$B$103,"&lt;="&amp;$L241,'PLAN_VACACIONES'!$C$4:$C$103,"&gt;="&amp;$L241)&gt;0,"sí","no")</f>
        <v/>
      </c>
      <c r="I241" s="4" t="n"/>
      <c r="J241" s="24">
        <f>IF($I241&lt;&gt;"",$I241,IF($G241="","",IF($H241="sí","VAC",IF(LEFT($G241,1)="B","B",$G241))))</f>
        <v/>
      </c>
      <c r="K241" s="24">
        <f>IFERROR(INDEX('TECNICOS'!$E$4:$E$19,MATCH($C241,'TECNICOS'!$B$4:$B$19,0)),"")</f>
        <v/>
      </c>
      <c r="L241" s="30">
        <f>IF($A241="","",DATE(VALUE(LEFT($A241,4)),1,4)-WEEKDAY(DATE(VALUE(LEFT($A241,4)),1,4),2)+1+(VALUE(MID($A241,7,2))-1)*7+MATCH($B241,lista_dias,0)-1)</f>
        <v/>
      </c>
      <c r="M241" s="24">
        <f>IF(OR($J241="",ISNUMBER(MATCH($J241,lista_no_disponible,0)),(IFERROR(INDEX('CALENDARIO'!$C$15:$C$214,MATCH(TEXT($L241,"yyyy-mm-dd")&amp;"|"&amp;$D241&amp;"|"&amp;"",'CALENDARIO'!$G$15:$G$214,0)),IFERROR(INDEX('CALENDARIO'!$C$15:$C$214,MATCH(TEXT($L241,"yyyy-mm-dd")&amp;"|"&amp;$D241&amp;"|",'CALENDARIO'!$G$15:$G$214,0)),IFERROR(INDEX('CALENDARIO'!$C$15:$C$214,MATCH(TEXT($L241,"yyyy-mm-dd")&amp;"||",'CALENDARIO'!$G$15:$G$214,0)),INDEX(patronHabil,WEEKDAY($L241,2))))))&lt;&gt;"sí"),0,p_horas_jornada)</f>
        <v/>
      </c>
      <c r="N241" s="24">
        <f>$A241&amp;"|"&amp;$B241&amp;"|"&amp;$C241</f>
        <v/>
      </c>
      <c r="O241" s="24">
        <f>IFERROR(INDEX('CAT_TURNOS'!$C$4:$C$22,MATCH($J241,'CAT_TURNOS'!$A$4:$A$22,0)),"")</f>
        <v/>
      </c>
      <c r="P241" s="24">
        <f>IFERROR(INDEX('CAT_TURNOS'!$D$4:$D$22,MATCH($J241,'CAT_TURNOS'!$A$4:$A$22,0)),"")</f>
        <v/>
      </c>
      <c r="Q241" s="24">
        <f>IF(AND(LEFT($G241,1)="T",$H241="no"),"sí","no")</f>
        <v/>
      </c>
    </row>
    <row r="242">
      <c r="A242" s="5" t="inlineStr">
        <is>
          <t>2026-S32</t>
        </is>
      </c>
      <c r="B242" s="5" t="inlineStr">
        <is>
          <t>lunes</t>
        </is>
      </c>
      <c r="C242" s="5" t="inlineStr">
        <is>
          <t>Luis Rodríguez</t>
        </is>
      </c>
      <c r="D242" s="24">
        <f>IFERROR(INDEX('TECNICOS'!$D$4:$D$19,MATCH($C242,'TECNICOS'!$B$4:$B$19,0)),"")</f>
        <v/>
      </c>
      <c r="E242" s="24">
        <f>IFERROR(INDEX('TECNICOS'!$C$4:$C$19,MATCH($C242,'TECNICOS'!$B$4:$B$19,0)),"")</f>
        <v/>
      </c>
      <c r="F242" s="24">
        <f>COUNTIFS('TECNICOS'!$F$4:$F$19,"sí",'TECNICOS'!$C$4:$C$19,$E242,'TECNICOS'!$D$4:$D$19,$D242,'TECNICOS'!$H$4:$H$19,"sí")</f>
        <v/>
      </c>
      <c r="G242" s="24">
        <f>IF(OR($C242="",$A242="",$B242="domingo",IFERROR(INDEX('TECNICOS'!$H$4:$H$19,MATCH($C242,'TECNICOS'!$B$4:$B$19,0)),"no")&lt;&gt;"sí"),"",IF(IFERROR(INDEX('TECNICOS'!$F$4:$F$19,MATCH($C242,'TECNICOS'!$B$4:$B$19,0)),"no")&lt;&gt;"sí","B",IF(MOD((IFERROR(INDEX('TECNICOS'!$G$4:$G$19,MATCH($C242,'TECNICOS'!$B$4:$B$19,0)),0)-1)+((DATE(VALUE(LEFT($A242,4)),1,4)-WEEKDAY(DATE(VALUE(LEFT($A242,4)),1,4),2)+1+(VALUE(MID($A242,7,2))-1)*7)-p_semana_referencia)/7,$F242)&lt;($F242-3),"B"&amp;(($F242-3)-MOD((IFERROR(INDEX('TECNICOS'!$G$4:$G$19,MATCH($C242,'TECNICOS'!$B$4:$B$19,0)),0)-1)+((DATE(VALUE(LEFT($A242,4)),1,4)-WEEKDAY(DATE(VALUE(LEFT($A242,4)),1,4),2)+1+(VALUE(MID($A242,7,2))-1)*7)-p_semana_referencia)/7,$F242)),"T"&amp;($F242-MOD((IFERROR(INDEX('TECNICOS'!$G$4:$G$19,MATCH($C242,'TECNICOS'!$B$4:$B$19,0)),0)-1)+((DATE(VALUE(LEFT($A242,4)),1,4)-WEEKDAY(DATE(VALUE(LEFT($A242,4)),1,4),2)+1+(VALUE(MID($A242,7,2))-1)*7)-p_semana_referencia)/7,$F242)))))</f>
        <v/>
      </c>
      <c r="H242" s="24">
        <f>IF(COUNTIFS('PLAN_VACACIONES'!$A$4:$A$103,$C242,'PLAN_VACACIONES'!$B$4:$B$103,"&lt;="&amp;$L242,'PLAN_VACACIONES'!$C$4:$C$103,"&gt;="&amp;$L242)&gt;0,"sí","no")</f>
        <v/>
      </c>
      <c r="I242" s="4" t="n"/>
      <c r="J242" s="24">
        <f>IF($I242&lt;&gt;"",$I242,IF($G242="","",IF($H242="sí","VAC",IF(LEFT($G242,1)="B","B",$G242))))</f>
        <v/>
      </c>
      <c r="K242" s="24">
        <f>IFERROR(INDEX('TECNICOS'!$E$4:$E$19,MATCH($C242,'TECNICOS'!$B$4:$B$19,0)),"")</f>
        <v/>
      </c>
      <c r="L242" s="30">
        <f>IF($A242="","",DATE(VALUE(LEFT($A242,4)),1,4)-WEEKDAY(DATE(VALUE(LEFT($A242,4)),1,4),2)+1+(VALUE(MID($A242,7,2))-1)*7+MATCH($B242,lista_dias,0)-1)</f>
        <v/>
      </c>
      <c r="M242" s="24">
        <f>IF(OR($J242="",ISNUMBER(MATCH($J242,lista_no_disponible,0)),(IFERROR(INDEX('CALENDARIO'!$C$15:$C$214,MATCH(TEXT($L242,"yyyy-mm-dd")&amp;"|"&amp;$D242&amp;"|"&amp;"",'CALENDARIO'!$G$15:$G$214,0)),IFERROR(INDEX('CALENDARIO'!$C$15:$C$214,MATCH(TEXT($L242,"yyyy-mm-dd")&amp;"|"&amp;$D242&amp;"|",'CALENDARIO'!$G$15:$G$214,0)),IFERROR(INDEX('CALENDARIO'!$C$15:$C$214,MATCH(TEXT($L242,"yyyy-mm-dd")&amp;"||",'CALENDARIO'!$G$15:$G$214,0)),INDEX(patronHabil,WEEKDAY($L242,2))))))&lt;&gt;"sí"),0,p_horas_jornada)</f>
        <v/>
      </c>
      <c r="N242" s="24">
        <f>$A242&amp;"|"&amp;$B242&amp;"|"&amp;$C242</f>
        <v/>
      </c>
      <c r="O242" s="24">
        <f>IFERROR(INDEX('CAT_TURNOS'!$C$4:$C$22,MATCH($J242,'CAT_TURNOS'!$A$4:$A$22,0)),"")</f>
        <v/>
      </c>
      <c r="P242" s="24">
        <f>IFERROR(INDEX('CAT_TURNOS'!$D$4:$D$22,MATCH($J242,'CAT_TURNOS'!$A$4:$A$22,0)),"")</f>
        <v/>
      </c>
      <c r="Q242" s="24">
        <f>IF(AND(LEFT($G242,1)="T",$H242="no"),"sí","no")</f>
        <v/>
      </c>
    </row>
    <row r="243">
      <c r="A243" s="5" t="inlineStr">
        <is>
          <t>2026-S32</t>
        </is>
      </c>
      <c r="B243" s="5" t="inlineStr">
        <is>
          <t>martes</t>
        </is>
      </c>
      <c r="C243" s="5" t="inlineStr">
        <is>
          <t>Luis Rodríguez</t>
        </is>
      </c>
      <c r="D243" s="24">
        <f>IFERROR(INDEX('TECNICOS'!$D$4:$D$19,MATCH($C243,'TECNICOS'!$B$4:$B$19,0)),"")</f>
        <v/>
      </c>
      <c r="E243" s="24">
        <f>IFERROR(INDEX('TECNICOS'!$C$4:$C$19,MATCH($C243,'TECNICOS'!$B$4:$B$19,0)),"")</f>
        <v/>
      </c>
      <c r="F243" s="24">
        <f>COUNTIFS('TECNICOS'!$F$4:$F$19,"sí",'TECNICOS'!$C$4:$C$19,$E243,'TECNICOS'!$D$4:$D$19,$D243,'TECNICOS'!$H$4:$H$19,"sí")</f>
        <v/>
      </c>
      <c r="G243" s="24">
        <f>IF(OR($C243="",$A243="",$B243="domingo",IFERROR(INDEX('TECNICOS'!$H$4:$H$19,MATCH($C243,'TECNICOS'!$B$4:$B$19,0)),"no")&lt;&gt;"sí"),"",IF(IFERROR(INDEX('TECNICOS'!$F$4:$F$19,MATCH($C243,'TECNICOS'!$B$4:$B$19,0)),"no")&lt;&gt;"sí","B",IF(MOD((IFERROR(INDEX('TECNICOS'!$G$4:$G$19,MATCH($C243,'TECNICOS'!$B$4:$B$19,0)),0)-1)+((DATE(VALUE(LEFT($A243,4)),1,4)-WEEKDAY(DATE(VALUE(LEFT($A243,4)),1,4),2)+1+(VALUE(MID($A243,7,2))-1)*7)-p_semana_referencia)/7,$F243)&lt;($F243-3),"B"&amp;(($F243-3)-MOD((IFERROR(INDEX('TECNICOS'!$G$4:$G$19,MATCH($C243,'TECNICOS'!$B$4:$B$19,0)),0)-1)+((DATE(VALUE(LEFT($A243,4)),1,4)-WEEKDAY(DATE(VALUE(LEFT($A243,4)),1,4),2)+1+(VALUE(MID($A243,7,2))-1)*7)-p_semana_referencia)/7,$F243)),"T"&amp;($F243-MOD((IFERROR(INDEX('TECNICOS'!$G$4:$G$19,MATCH($C243,'TECNICOS'!$B$4:$B$19,0)),0)-1)+((DATE(VALUE(LEFT($A243,4)),1,4)-WEEKDAY(DATE(VALUE(LEFT($A243,4)),1,4),2)+1+(VALUE(MID($A243,7,2))-1)*7)-p_semana_referencia)/7,$F243)))))</f>
        <v/>
      </c>
      <c r="H243" s="24">
        <f>IF(COUNTIFS('PLAN_VACACIONES'!$A$4:$A$103,$C243,'PLAN_VACACIONES'!$B$4:$B$103,"&lt;="&amp;$L243,'PLAN_VACACIONES'!$C$4:$C$103,"&gt;="&amp;$L243)&gt;0,"sí","no")</f>
        <v/>
      </c>
      <c r="I243" s="4" t="n"/>
      <c r="J243" s="24">
        <f>IF($I243&lt;&gt;"",$I243,IF($G243="","",IF($H243="sí","VAC",IF(LEFT($G243,1)="B","B",$G243))))</f>
        <v/>
      </c>
      <c r="K243" s="24">
        <f>IFERROR(INDEX('TECNICOS'!$E$4:$E$19,MATCH($C243,'TECNICOS'!$B$4:$B$19,0)),"")</f>
        <v/>
      </c>
      <c r="L243" s="30">
        <f>IF($A243="","",DATE(VALUE(LEFT($A243,4)),1,4)-WEEKDAY(DATE(VALUE(LEFT($A243,4)),1,4),2)+1+(VALUE(MID($A243,7,2))-1)*7+MATCH($B243,lista_dias,0)-1)</f>
        <v/>
      </c>
      <c r="M243" s="24">
        <f>IF(OR($J243="",ISNUMBER(MATCH($J243,lista_no_disponible,0)),(IFERROR(INDEX('CALENDARIO'!$C$15:$C$214,MATCH(TEXT($L243,"yyyy-mm-dd")&amp;"|"&amp;$D243&amp;"|"&amp;"",'CALENDARIO'!$G$15:$G$214,0)),IFERROR(INDEX('CALENDARIO'!$C$15:$C$214,MATCH(TEXT($L243,"yyyy-mm-dd")&amp;"|"&amp;$D243&amp;"|",'CALENDARIO'!$G$15:$G$214,0)),IFERROR(INDEX('CALENDARIO'!$C$15:$C$214,MATCH(TEXT($L243,"yyyy-mm-dd")&amp;"||",'CALENDARIO'!$G$15:$G$214,0)),INDEX(patronHabil,WEEKDAY($L243,2))))))&lt;&gt;"sí"),0,p_horas_jornada)</f>
        <v/>
      </c>
      <c r="N243" s="24">
        <f>$A243&amp;"|"&amp;$B243&amp;"|"&amp;$C243</f>
        <v/>
      </c>
      <c r="O243" s="24">
        <f>IFERROR(INDEX('CAT_TURNOS'!$C$4:$C$22,MATCH($J243,'CAT_TURNOS'!$A$4:$A$22,0)),"")</f>
        <v/>
      </c>
      <c r="P243" s="24">
        <f>IFERROR(INDEX('CAT_TURNOS'!$D$4:$D$22,MATCH($J243,'CAT_TURNOS'!$A$4:$A$22,0)),"")</f>
        <v/>
      </c>
      <c r="Q243" s="24">
        <f>IF(AND(LEFT($G243,1)="T",$H243="no"),"sí","no")</f>
        <v/>
      </c>
    </row>
    <row r="244">
      <c r="A244" s="5" t="inlineStr">
        <is>
          <t>2026-S32</t>
        </is>
      </c>
      <c r="B244" s="5" t="inlineStr">
        <is>
          <t>miércoles</t>
        </is>
      </c>
      <c r="C244" s="5" t="inlineStr">
        <is>
          <t>Luis Rodríguez</t>
        </is>
      </c>
      <c r="D244" s="24">
        <f>IFERROR(INDEX('TECNICOS'!$D$4:$D$19,MATCH($C244,'TECNICOS'!$B$4:$B$19,0)),"")</f>
        <v/>
      </c>
      <c r="E244" s="24">
        <f>IFERROR(INDEX('TECNICOS'!$C$4:$C$19,MATCH($C244,'TECNICOS'!$B$4:$B$19,0)),"")</f>
        <v/>
      </c>
      <c r="F244" s="24">
        <f>COUNTIFS('TECNICOS'!$F$4:$F$19,"sí",'TECNICOS'!$C$4:$C$19,$E244,'TECNICOS'!$D$4:$D$19,$D244,'TECNICOS'!$H$4:$H$19,"sí")</f>
        <v/>
      </c>
      <c r="G244" s="24">
        <f>IF(OR($C244="",$A244="",$B244="domingo",IFERROR(INDEX('TECNICOS'!$H$4:$H$19,MATCH($C244,'TECNICOS'!$B$4:$B$19,0)),"no")&lt;&gt;"sí"),"",IF(IFERROR(INDEX('TECNICOS'!$F$4:$F$19,MATCH($C244,'TECNICOS'!$B$4:$B$19,0)),"no")&lt;&gt;"sí","B",IF(MOD((IFERROR(INDEX('TECNICOS'!$G$4:$G$19,MATCH($C244,'TECNICOS'!$B$4:$B$19,0)),0)-1)+((DATE(VALUE(LEFT($A244,4)),1,4)-WEEKDAY(DATE(VALUE(LEFT($A244,4)),1,4),2)+1+(VALUE(MID($A244,7,2))-1)*7)-p_semana_referencia)/7,$F244)&lt;($F244-3),"B"&amp;(($F244-3)-MOD((IFERROR(INDEX('TECNICOS'!$G$4:$G$19,MATCH($C244,'TECNICOS'!$B$4:$B$19,0)),0)-1)+((DATE(VALUE(LEFT($A244,4)),1,4)-WEEKDAY(DATE(VALUE(LEFT($A244,4)),1,4),2)+1+(VALUE(MID($A244,7,2))-1)*7)-p_semana_referencia)/7,$F244)),"T"&amp;($F244-MOD((IFERROR(INDEX('TECNICOS'!$G$4:$G$19,MATCH($C244,'TECNICOS'!$B$4:$B$19,0)),0)-1)+((DATE(VALUE(LEFT($A244,4)),1,4)-WEEKDAY(DATE(VALUE(LEFT($A244,4)),1,4),2)+1+(VALUE(MID($A244,7,2))-1)*7)-p_semana_referencia)/7,$F244)))))</f>
        <v/>
      </c>
      <c r="H244" s="24">
        <f>IF(COUNTIFS('PLAN_VACACIONES'!$A$4:$A$103,$C244,'PLAN_VACACIONES'!$B$4:$B$103,"&lt;="&amp;$L244,'PLAN_VACACIONES'!$C$4:$C$103,"&gt;="&amp;$L244)&gt;0,"sí","no")</f>
        <v/>
      </c>
      <c r="I244" s="4" t="n"/>
      <c r="J244" s="24">
        <f>IF($I244&lt;&gt;"",$I244,IF($G244="","",IF($H244="sí","VAC",IF(LEFT($G244,1)="B","B",$G244))))</f>
        <v/>
      </c>
      <c r="K244" s="24">
        <f>IFERROR(INDEX('TECNICOS'!$E$4:$E$19,MATCH($C244,'TECNICOS'!$B$4:$B$19,0)),"")</f>
        <v/>
      </c>
      <c r="L244" s="30">
        <f>IF($A244="","",DATE(VALUE(LEFT($A244,4)),1,4)-WEEKDAY(DATE(VALUE(LEFT($A244,4)),1,4),2)+1+(VALUE(MID($A244,7,2))-1)*7+MATCH($B244,lista_dias,0)-1)</f>
        <v/>
      </c>
      <c r="M244" s="24">
        <f>IF(OR($J244="",ISNUMBER(MATCH($J244,lista_no_disponible,0)),(IFERROR(INDEX('CALENDARIO'!$C$15:$C$214,MATCH(TEXT($L244,"yyyy-mm-dd")&amp;"|"&amp;$D244&amp;"|"&amp;"",'CALENDARIO'!$G$15:$G$214,0)),IFERROR(INDEX('CALENDARIO'!$C$15:$C$214,MATCH(TEXT($L244,"yyyy-mm-dd")&amp;"|"&amp;$D244&amp;"|",'CALENDARIO'!$G$15:$G$214,0)),IFERROR(INDEX('CALENDARIO'!$C$15:$C$214,MATCH(TEXT($L244,"yyyy-mm-dd")&amp;"||",'CALENDARIO'!$G$15:$G$214,0)),INDEX(patronHabil,WEEKDAY($L244,2))))))&lt;&gt;"sí"),0,p_horas_jornada)</f>
        <v/>
      </c>
      <c r="N244" s="24">
        <f>$A244&amp;"|"&amp;$B244&amp;"|"&amp;$C244</f>
        <v/>
      </c>
      <c r="O244" s="24">
        <f>IFERROR(INDEX('CAT_TURNOS'!$C$4:$C$22,MATCH($J244,'CAT_TURNOS'!$A$4:$A$22,0)),"")</f>
        <v/>
      </c>
      <c r="P244" s="24">
        <f>IFERROR(INDEX('CAT_TURNOS'!$D$4:$D$22,MATCH($J244,'CAT_TURNOS'!$A$4:$A$22,0)),"")</f>
        <v/>
      </c>
      <c r="Q244" s="24">
        <f>IF(AND(LEFT($G244,1)="T",$H244="no"),"sí","no")</f>
        <v/>
      </c>
    </row>
    <row r="245">
      <c r="A245" s="5" t="inlineStr">
        <is>
          <t>2026-S32</t>
        </is>
      </c>
      <c r="B245" s="5" t="inlineStr">
        <is>
          <t>jueves</t>
        </is>
      </c>
      <c r="C245" s="5" t="inlineStr">
        <is>
          <t>Luis Rodríguez</t>
        </is>
      </c>
      <c r="D245" s="24">
        <f>IFERROR(INDEX('TECNICOS'!$D$4:$D$19,MATCH($C245,'TECNICOS'!$B$4:$B$19,0)),"")</f>
        <v/>
      </c>
      <c r="E245" s="24">
        <f>IFERROR(INDEX('TECNICOS'!$C$4:$C$19,MATCH($C245,'TECNICOS'!$B$4:$B$19,0)),"")</f>
        <v/>
      </c>
      <c r="F245" s="24">
        <f>COUNTIFS('TECNICOS'!$F$4:$F$19,"sí",'TECNICOS'!$C$4:$C$19,$E245,'TECNICOS'!$D$4:$D$19,$D245,'TECNICOS'!$H$4:$H$19,"sí")</f>
        <v/>
      </c>
      <c r="G245" s="24">
        <f>IF(OR($C245="",$A245="",$B245="domingo",IFERROR(INDEX('TECNICOS'!$H$4:$H$19,MATCH($C245,'TECNICOS'!$B$4:$B$19,0)),"no")&lt;&gt;"sí"),"",IF(IFERROR(INDEX('TECNICOS'!$F$4:$F$19,MATCH($C245,'TECNICOS'!$B$4:$B$19,0)),"no")&lt;&gt;"sí","B",IF(MOD((IFERROR(INDEX('TECNICOS'!$G$4:$G$19,MATCH($C245,'TECNICOS'!$B$4:$B$19,0)),0)-1)+((DATE(VALUE(LEFT($A245,4)),1,4)-WEEKDAY(DATE(VALUE(LEFT($A245,4)),1,4),2)+1+(VALUE(MID($A245,7,2))-1)*7)-p_semana_referencia)/7,$F245)&lt;($F245-3),"B"&amp;(($F245-3)-MOD((IFERROR(INDEX('TECNICOS'!$G$4:$G$19,MATCH($C245,'TECNICOS'!$B$4:$B$19,0)),0)-1)+((DATE(VALUE(LEFT($A245,4)),1,4)-WEEKDAY(DATE(VALUE(LEFT($A245,4)),1,4),2)+1+(VALUE(MID($A245,7,2))-1)*7)-p_semana_referencia)/7,$F245)),"T"&amp;($F245-MOD((IFERROR(INDEX('TECNICOS'!$G$4:$G$19,MATCH($C245,'TECNICOS'!$B$4:$B$19,0)),0)-1)+((DATE(VALUE(LEFT($A245,4)),1,4)-WEEKDAY(DATE(VALUE(LEFT($A245,4)),1,4),2)+1+(VALUE(MID($A245,7,2))-1)*7)-p_semana_referencia)/7,$F245)))))</f>
        <v/>
      </c>
      <c r="H245" s="24">
        <f>IF(COUNTIFS('PLAN_VACACIONES'!$A$4:$A$103,$C245,'PLAN_VACACIONES'!$B$4:$B$103,"&lt;="&amp;$L245,'PLAN_VACACIONES'!$C$4:$C$103,"&gt;="&amp;$L245)&gt;0,"sí","no")</f>
        <v/>
      </c>
      <c r="I245" s="4" t="n"/>
      <c r="J245" s="24">
        <f>IF($I245&lt;&gt;"",$I245,IF($G245="","",IF($H245="sí","VAC",IF(LEFT($G245,1)="B","B",$G245))))</f>
        <v/>
      </c>
      <c r="K245" s="24">
        <f>IFERROR(INDEX('TECNICOS'!$E$4:$E$19,MATCH($C245,'TECNICOS'!$B$4:$B$19,0)),"")</f>
        <v/>
      </c>
      <c r="L245" s="30">
        <f>IF($A245="","",DATE(VALUE(LEFT($A245,4)),1,4)-WEEKDAY(DATE(VALUE(LEFT($A245,4)),1,4),2)+1+(VALUE(MID($A245,7,2))-1)*7+MATCH($B245,lista_dias,0)-1)</f>
        <v/>
      </c>
      <c r="M245" s="24">
        <f>IF(OR($J245="",ISNUMBER(MATCH($J245,lista_no_disponible,0)),(IFERROR(INDEX('CALENDARIO'!$C$15:$C$214,MATCH(TEXT($L245,"yyyy-mm-dd")&amp;"|"&amp;$D245&amp;"|"&amp;"",'CALENDARIO'!$G$15:$G$214,0)),IFERROR(INDEX('CALENDARIO'!$C$15:$C$214,MATCH(TEXT($L245,"yyyy-mm-dd")&amp;"|"&amp;$D245&amp;"|",'CALENDARIO'!$G$15:$G$214,0)),IFERROR(INDEX('CALENDARIO'!$C$15:$C$214,MATCH(TEXT($L245,"yyyy-mm-dd")&amp;"||",'CALENDARIO'!$G$15:$G$214,0)),INDEX(patronHabil,WEEKDAY($L245,2))))))&lt;&gt;"sí"),0,p_horas_jornada)</f>
        <v/>
      </c>
      <c r="N245" s="24">
        <f>$A245&amp;"|"&amp;$B245&amp;"|"&amp;$C245</f>
        <v/>
      </c>
      <c r="O245" s="24">
        <f>IFERROR(INDEX('CAT_TURNOS'!$C$4:$C$22,MATCH($J245,'CAT_TURNOS'!$A$4:$A$22,0)),"")</f>
        <v/>
      </c>
      <c r="P245" s="24">
        <f>IFERROR(INDEX('CAT_TURNOS'!$D$4:$D$22,MATCH($J245,'CAT_TURNOS'!$A$4:$A$22,0)),"")</f>
        <v/>
      </c>
      <c r="Q245" s="24">
        <f>IF(AND(LEFT($G245,1)="T",$H245="no"),"sí","no")</f>
        <v/>
      </c>
    </row>
    <row r="246">
      <c r="A246" s="5" t="inlineStr">
        <is>
          <t>2026-S32</t>
        </is>
      </c>
      <c r="B246" s="5" t="inlineStr">
        <is>
          <t>viernes</t>
        </is>
      </c>
      <c r="C246" s="5" t="inlineStr">
        <is>
          <t>Luis Rodríguez</t>
        </is>
      </c>
      <c r="D246" s="24">
        <f>IFERROR(INDEX('TECNICOS'!$D$4:$D$19,MATCH($C246,'TECNICOS'!$B$4:$B$19,0)),"")</f>
        <v/>
      </c>
      <c r="E246" s="24">
        <f>IFERROR(INDEX('TECNICOS'!$C$4:$C$19,MATCH($C246,'TECNICOS'!$B$4:$B$19,0)),"")</f>
        <v/>
      </c>
      <c r="F246" s="24">
        <f>COUNTIFS('TECNICOS'!$F$4:$F$19,"sí",'TECNICOS'!$C$4:$C$19,$E246,'TECNICOS'!$D$4:$D$19,$D246,'TECNICOS'!$H$4:$H$19,"sí")</f>
        <v/>
      </c>
      <c r="G246" s="24">
        <f>IF(OR($C246="",$A246="",$B246="domingo",IFERROR(INDEX('TECNICOS'!$H$4:$H$19,MATCH($C246,'TECNICOS'!$B$4:$B$19,0)),"no")&lt;&gt;"sí"),"",IF(IFERROR(INDEX('TECNICOS'!$F$4:$F$19,MATCH($C246,'TECNICOS'!$B$4:$B$19,0)),"no")&lt;&gt;"sí","B",IF(MOD((IFERROR(INDEX('TECNICOS'!$G$4:$G$19,MATCH($C246,'TECNICOS'!$B$4:$B$19,0)),0)-1)+((DATE(VALUE(LEFT($A246,4)),1,4)-WEEKDAY(DATE(VALUE(LEFT($A246,4)),1,4),2)+1+(VALUE(MID($A246,7,2))-1)*7)-p_semana_referencia)/7,$F246)&lt;($F246-3),"B"&amp;(($F246-3)-MOD((IFERROR(INDEX('TECNICOS'!$G$4:$G$19,MATCH($C246,'TECNICOS'!$B$4:$B$19,0)),0)-1)+((DATE(VALUE(LEFT($A246,4)),1,4)-WEEKDAY(DATE(VALUE(LEFT($A246,4)),1,4),2)+1+(VALUE(MID($A246,7,2))-1)*7)-p_semana_referencia)/7,$F246)),"T"&amp;($F246-MOD((IFERROR(INDEX('TECNICOS'!$G$4:$G$19,MATCH($C246,'TECNICOS'!$B$4:$B$19,0)),0)-1)+((DATE(VALUE(LEFT($A246,4)),1,4)-WEEKDAY(DATE(VALUE(LEFT($A246,4)),1,4),2)+1+(VALUE(MID($A246,7,2))-1)*7)-p_semana_referencia)/7,$F246)))))</f>
        <v/>
      </c>
      <c r="H246" s="24">
        <f>IF(COUNTIFS('PLAN_VACACIONES'!$A$4:$A$103,$C246,'PLAN_VACACIONES'!$B$4:$B$103,"&lt;="&amp;$L246,'PLAN_VACACIONES'!$C$4:$C$103,"&gt;="&amp;$L246)&gt;0,"sí","no")</f>
        <v/>
      </c>
      <c r="I246" s="4" t="n"/>
      <c r="J246" s="24">
        <f>IF($I246&lt;&gt;"",$I246,IF($G246="","",IF($H246="sí","VAC",IF(LEFT($G246,1)="B","B",$G246))))</f>
        <v/>
      </c>
      <c r="K246" s="24">
        <f>IFERROR(INDEX('TECNICOS'!$E$4:$E$19,MATCH($C246,'TECNICOS'!$B$4:$B$19,0)),"")</f>
        <v/>
      </c>
      <c r="L246" s="30">
        <f>IF($A246="","",DATE(VALUE(LEFT($A246,4)),1,4)-WEEKDAY(DATE(VALUE(LEFT($A246,4)),1,4),2)+1+(VALUE(MID($A246,7,2))-1)*7+MATCH($B246,lista_dias,0)-1)</f>
        <v/>
      </c>
      <c r="M246" s="24">
        <f>IF(OR($J246="",ISNUMBER(MATCH($J246,lista_no_disponible,0)),(IFERROR(INDEX('CALENDARIO'!$C$15:$C$214,MATCH(TEXT($L246,"yyyy-mm-dd")&amp;"|"&amp;$D246&amp;"|"&amp;"",'CALENDARIO'!$G$15:$G$214,0)),IFERROR(INDEX('CALENDARIO'!$C$15:$C$214,MATCH(TEXT($L246,"yyyy-mm-dd")&amp;"|"&amp;$D246&amp;"|",'CALENDARIO'!$G$15:$G$214,0)),IFERROR(INDEX('CALENDARIO'!$C$15:$C$214,MATCH(TEXT($L246,"yyyy-mm-dd")&amp;"||",'CALENDARIO'!$G$15:$G$214,0)),INDEX(patronHabil,WEEKDAY($L246,2))))))&lt;&gt;"sí"),0,p_horas_jornada)</f>
        <v/>
      </c>
      <c r="N246" s="24">
        <f>$A246&amp;"|"&amp;$B246&amp;"|"&amp;$C246</f>
        <v/>
      </c>
      <c r="O246" s="24">
        <f>IFERROR(INDEX('CAT_TURNOS'!$C$4:$C$22,MATCH($J246,'CAT_TURNOS'!$A$4:$A$22,0)),"")</f>
        <v/>
      </c>
      <c r="P246" s="24">
        <f>IFERROR(INDEX('CAT_TURNOS'!$D$4:$D$22,MATCH($J246,'CAT_TURNOS'!$A$4:$A$22,0)),"")</f>
        <v/>
      </c>
      <c r="Q246" s="24">
        <f>IF(AND(LEFT($G246,1)="T",$H246="no"),"sí","no")</f>
        <v/>
      </c>
    </row>
    <row r="247">
      <c r="A247" s="5" t="inlineStr">
        <is>
          <t>2026-S32</t>
        </is>
      </c>
      <c r="B247" s="5" t="inlineStr">
        <is>
          <t>sábado</t>
        </is>
      </c>
      <c r="C247" s="5" t="inlineStr">
        <is>
          <t>Luis Rodríguez</t>
        </is>
      </c>
      <c r="D247" s="24">
        <f>IFERROR(INDEX('TECNICOS'!$D$4:$D$19,MATCH($C247,'TECNICOS'!$B$4:$B$19,0)),"")</f>
        <v/>
      </c>
      <c r="E247" s="24">
        <f>IFERROR(INDEX('TECNICOS'!$C$4:$C$19,MATCH($C247,'TECNICOS'!$B$4:$B$19,0)),"")</f>
        <v/>
      </c>
      <c r="F247" s="24">
        <f>COUNTIFS('TECNICOS'!$F$4:$F$19,"sí",'TECNICOS'!$C$4:$C$19,$E247,'TECNICOS'!$D$4:$D$19,$D247,'TECNICOS'!$H$4:$H$19,"sí")</f>
        <v/>
      </c>
      <c r="G247" s="24">
        <f>IF(OR($C247="",$A247="",$B247="domingo",IFERROR(INDEX('TECNICOS'!$H$4:$H$19,MATCH($C247,'TECNICOS'!$B$4:$B$19,0)),"no")&lt;&gt;"sí"),"",IF(IFERROR(INDEX('TECNICOS'!$F$4:$F$19,MATCH($C247,'TECNICOS'!$B$4:$B$19,0)),"no")&lt;&gt;"sí","B",IF(MOD((IFERROR(INDEX('TECNICOS'!$G$4:$G$19,MATCH($C247,'TECNICOS'!$B$4:$B$19,0)),0)-1)+((DATE(VALUE(LEFT($A247,4)),1,4)-WEEKDAY(DATE(VALUE(LEFT($A247,4)),1,4),2)+1+(VALUE(MID($A247,7,2))-1)*7)-p_semana_referencia)/7,$F247)&lt;($F247-3),"B"&amp;(($F247-3)-MOD((IFERROR(INDEX('TECNICOS'!$G$4:$G$19,MATCH($C247,'TECNICOS'!$B$4:$B$19,0)),0)-1)+((DATE(VALUE(LEFT($A247,4)),1,4)-WEEKDAY(DATE(VALUE(LEFT($A247,4)),1,4),2)+1+(VALUE(MID($A247,7,2))-1)*7)-p_semana_referencia)/7,$F247)),"T"&amp;($F247-MOD((IFERROR(INDEX('TECNICOS'!$G$4:$G$19,MATCH($C247,'TECNICOS'!$B$4:$B$19,0)),0)-1)+((DATE(VALUE(LEFT($A247,4)),1,4)-WEEKDAY(DATE(VALUE(LEFT($A247,4)),1,4),2)+1+(VALUE(MID($A247,7,2))-1)*7)-p_semana_referencia)/7,$F247)))))</f>
        <v/>
      </c>
      <c r="H247" s="24">
        <f>IF(COUNTIFS('PLAN_VACACIONES'!$A$4:$A$103,$C247,'PLAN_VACACIONES'!$B$4:$B$103,"&lt;="&amp;$L247,'PLAN_VACACIONES'!$C$4:$C$103,"&gt;="&amp;$L247)&gt;0,"sí","no")</f>
        <v/>
      </c>
      <c r="I247" s="4" t="n"/>
      <c r="J247" s="24">
        <f>IF($I247&lt;&gt;"",$I247,IF($G247="","",IF($H247="sí","VAC",IF(LEFT($G247,1)="B","B",$G247))))</f>
        <v/>
      </c>
      <c r="K247" s="24">
        <f>IFERROR(INDEX('TECNICOS'!$E$4:$E$19,MATCH($C247,'TECNICOS'!$B$4:$B$19,0)),"")</f>
        <v/>
      </c>
      <c r="L247" s="30">
        <f>IF($A247="","",DATE(VALUE(LEFT($A247,4)),1,4)-WEEKDAY(DATE(VALUE(LEFT($A247,4)),1,4),2)+1+(VALUE(MID($A247,7,2))-1)*7+MATCH($B247,lista_dias,0)-1)</f>
        <v/>
      </c>
      <c r="M247" s="24">
        <f>IF(OR($J247="",ISNUMBER(MATCH($J247,lista_no_disponible,0)),(IFERROR(INDEX('CALENDARIO'!$C$15:$C$214,MATCH(TEXT($L247,"yyyy-mm-dd")&amp;"|"&amp;$D247&amp;"|"&amp;"",'CALENDARIO'!$G$15:$G$214,0)),IFERROR(INDEX('CALENDARIO'!$C$15:$C$214,MATCH(TEXT($L247,"yyyy-mm-dd")&amp;"|"&amp;$D247&amp;"|",'CALENDARIO'!$G$15:$G$214,0)),IFERROR(INDEX('CALENDARIO'!$C$15:$C$214,MATCH(TEXT($L247,"yyyy-mm-dd")&amp;"||",'CALENDARIO'!$G$15:$G$214,0)),INDEX(patronHabil,WEEKDAY($L247,2))))))&lt;&gt;"sí"),0,p_horas_jornada)</f>
        <v/>
      </c>
      <c r="N247" s="24">
        <f>$A247&amp;"|"&amp;$B247&amp;"|"&amp;$C247</f>
        <v/>
      </c>
      <c r="O247" s="24">
        <f>IFERROR(INDEX('CAT_TURNOS'!$C$4:$C$22,MATCH($J247,'CAT_TURNOS'!$A$4:$A$22,0)),"")</f>
        <v/>
      </c>
      <c r="P247" s="24">
        <f>IFERROR(INDEX('CAT_TURNOS'!$D$4:$D$22,MATCH($J247,'CAT_TURNOS'!$A$4:$A$22,0)),"")</f>
        <v/>
      </c>
      <c r="Q247" s="24">
        <f>IF(AND(LEFT($G247,1)="T",$H247="no"),"sí","no")</f>
        <v/>
      </c>
    </row>
    <row r="248">
      <c r="A248" s="5" t="inlineStr">
        <is>
          <t>2026-S32</t>
        </is>
      </c>
      <c r="B248" s="5" t="inlineStr">
        <is>
          <t>domingo</t>
        </is>
      </c>
      <c r="C248" s="5" t="inlineStr">
        <is>
          <t>Luis Rodríguez</t>
        </is>
      </c>
      <c r="D248" s="24">
        <f>IFERROR(INDEX('TECNICOS'!$D$4:$D$19,MATCH($C248,'TECNICOS'!$B$4:$B$19,0)),"")</f>
        <v/>
      </c>
      <c r="E248" s="24">
        <f>IFERROR(INDEX('TECNICOS'!$C$4:$C$19,MATCH($C248,'TECNICOS'!$B$4:$B$19,0)),"")</f>
        <v/>
      </c>
      <c r="F248" s="24">
        <f>COUNTIFS('TECNICOS'!$F$4:$F$19,"sí",'TECNICOS'!$C$4:$C$19,$E248,'TECNICOS'!$D$4:$D$19,$D248,'TECNICOS'!$H$4:$H$19,"sí")</f>
        <v/>
      </c>
      <c r="G248" s="24">
        <f>IF(OR($C248="",$A248="",$B248="domingo",IFERROR(INDEX('TECNICOS'!$H$4:$H$19,MATCH($C248,'TECNICOS'!$B$4:$B$19,0)),"no")&lt;&gt;"sí"),"",IF(IFERROR(INDEX('TECNICOS'!$F$4:$F$19,MATCH($C248,'TECNICOS'!$B$4:$B$19,0)),"no")&lt;&gt;"sí","B",IF(MOD((IFERROR(INDEX('TECNICOS'!$G$4:$G$19,MATCH($C248,'TECNICOS'!$B$4:$B$19,0)),0)-1)+((DATE(VALUE(LEFT($A248,4)),1,4)-WEEKDAY(DATE(VALUE(LEFT($A248,4)),1,4),2)+1+(VALUE(MID($A248,7,2))-1)*7)-p_semana_referencia)/7,$F248)&lt;($F248-3),"B"&amp;(($F248-3)-MOD((IFERROR(INDEX('TECNICOS'!$G$4:$G$19,MATCH($C248,'TECNICOS'!$B$4:$B$19,0)),0)-1)+((DATE(VALUE(LEFT($A248,4)),1,4)-WEEKDAY(DATE(VALUE(LEFT($A248,4)),1,4),2)+1+(VALUE(MID($A248,7,2))-1)*7)-p_semana_referencia)/7,$F248)),"T"&amp;($F248-MOD((IFERROR(INDEX('TECNICOS'!$G$4:$G$19,MATCH($C248,'TECNICOS'!$B$4:$B$19,0)),0)-1)+((DATE(VALUE(LEFT($A248,4)),1,4)-WEEKDAY(DATE(VALUE(LEFT($A248,4)),1,4),2)+1+(VALUE(MID($A248,7,2))-1)*7)-p_semana_referencia)/7,$F248)))))</f>
        <v/>
      </c>
      <c r="H248" s="24">
        <f>IF(COUNTIFS('PLAN_VACACIONES'!$A$4:$A$103,$C248,'PLAN_VACACIONES'!$B$4:$B$103,"&lt;="&amp;$L248,'PLAN_VACACIONES'!$C$4:$C$103,"&gt;="&amp;$L248)&gt;0,"sí","no")</f>
        <v/>
      </c>
      <c r="I248" s="4" t="n"/>
      <c r="J248" s="24">
        <f>IF($I248&lt;&gt;"",$I248,IF($G248="","",IF($H248="sí","VAC",IF(LEFT($G248,1)="B","B",$G248))))</f>
        <v/>
      </c>
      <c r="K248" s="24">
        <f>IFERROR(INDEX('TECNICOS'!$E$4:$E$19,MATCH($C248,'TECNICOS'!$B$4:$B$19,0)),"")</f>
        <v/>
      </c>
      <c r="L248" s="30">
        <f>IF($A248="","",DATE(VALUE(LEFT($A248,4)),1,4)-WEEKDAY(DATE(VALUE(LEFT($A248,4)),1,4),2)+1+(VALUE(MID($A248,7,2))-1)*7+MATCH($B248,lista_dias,0)-1)</f>
        <v/>
      </c>
      <c r="M248" s="24">
        <f>IF(OR($J248="",ISNUMBER(MATCH($J248,lista_no_disponible,0)),(IFERROR(INDEX('CALENDARIO'!$C$15:$C$214,MATCH(TEXT($L248,"yyyy-mm-dd")&amp;"|"&amp;$D248&amp;"|"&amp;"",'CALENDARIO'!$G$15:$G$214,0)),IFERROR(INDEX('CALENDARIO'!$C$15:$C$214,MATCH(TEXT($L248,"yyyy-mm-dd")&amp;"|"&amp;$D248&amp;"|",'CALENDARIO'!$G$15:$G$214,0)),IFERROR(INDEX('CALENDARIO'!$C$15:$C$214,MATCH(TEXT($L248,"yyyy-mm-dd")&amp;"||",'CALENDARIO'!$G$15:$G$214,0)),INDEX(patronHabil,WEEKDAY($L248,2))))))&lt;&gt;"sí"),0,p_horas_jornada)</f>
        <v/>
      </c>
      <c r="N248" s="24">
        <f>$A248&amp;"|"&amp;$B248&amp;"|"&amp;$C248</f>
        <v/>
      </c>
      <c r="O248" s="24">
        <f>IFERROR(INDEX('CAT_TURNOS'!$C$4:$C$22,MATCH($J248,'CAT_TURNOS'!$A$4:$A$22,0)),"")</f>
        <v/>
      </c>
      <c r="P248" s="24">
        <f>IFERROR(INDEX('CAT_TURNOS'!$D$4:$D$22,MATCH($J248,'CAT_TURNOS'!$A$4:$A$22,0)),"")</f>
        <v/>
      </c>
      <c r="Q248" s="24">
        <f>IF(AND(LEFT($G248,1)="T",$H248="no"),"sí","no")</f>
        <v/>
      </c>
    </row>
    <row r="249">
      <c r="A249" s="5" t="inlineStr">
        <is>
          <t>2026-S32</t>
        </is>
      </c>
      <c r="B249" s="5" t="inlineStr">
        <is>
          <t>lunes</t>
        </is>
      </c>
      <c r="C249" s="5" t="inlineStr">
        <is>
          <t>Miguel Martínez</t>
        </is>
      </c>
      <c r="D249" s="24">
        <f>IFERROR(INDEX('TECNICOS'!$D$4:$D$19,MATCH($C249,'TECNICOS'!$B$4:$B$19,0)),"")</f>
        <v/>
      </c>
      <c r="E249" s="24">
        <f>IFERROR(INDEX('TECNICOS'!$C$4:$C$19,MATCH($C249,'TECNICOS'!$B$4:$B$19,0)),"")</f>
        <v/>
      </c>
      <c r="F249" s="24">
        <f>COUNTIFS('TECNICOS'!$F$4:$F$19,"sí",'TECNICOS'!$C$4:$C$19,$E249,'TECNICOS'!$D$4:$D$19,$D249,'TECNICOS'!$H$4:$H$19,"sí")</f>
        <v/>
      </c>
      <c r="G249" s="24">
        <f>IF(OR($C249="",$A249="",$B249="domingo",IFERROR(INDEX('TECNICOS'!$H$4:$H$19,MATCH($C249,'TECNICOS'!$B$4:$B$19,0)),"no")&lt;&gt;"sí"),"",IF(IFERROR(INDEX('TECNICOS'!$F$4:$F$19,MATCH($C249,'TECNICOS'!$B$4:$B$19,0)),"no")&lt;&gt;"sí","B",IF(MOD((IFERROR(INDEX('TECNICOS'!$G$4:$G$19,MATCH($C249,'TECNICOS'!$B$4:$B$19,0)),0)-1)+((DATE(VALUE(LEFT($A249,4)),1,4)-WEEKDAY(DATE(VALUE(LEFT($A249,4)),1,4),2)+1+(VALUE(MID($A249,7,2))-1)*7)-p_semana_referencia)/7,$F249)&lt;($F249-3),"B"&amp;(($F249-3)-MOD((IFERROR(INDEX('TECNICOS'!$G$4:$G$19,MATCH($C249,'TECNICOS'!$B$4:$B$19,0)),0)-1)+((DATE(VALUE(LEFT($A249,4)),1,4)-WEEKDAY(DATE(VALUE(LEFT($A249,4)),1,4),2)+1+(VALUE(MID($A249,7,2))-1)*7)-p_semana_referencia)/7,$F249)),"T"&amp;($F249-MOD((IFERROR(INDEX('TECNICOS'!$G$4:$G$19,MATCH($C249,'TECNICOS'!$B$4:$B$19,0)),0)-1)+((DATE(VALUE(LEFT($A249,4)),1,4)-WEEKDAY(DATE(VALUE(LEFT($A249,4)),1,4),2)+1+(VALUE(MID($A249,7,2))-1)*7)-p_semana_referencia)/7,$F249)))))</f>
        <v/>
      </c>
      <c r="H249" s="24">
        <f>IF(COUNTIFS('PLAN_VACACIONES'!$A$4:$A$103,$C249,'PLAN_VACACIONES'!$B$4:$B$103,"&lt;="&amp;$L249,'PLAN_VACACIONES'!$C$4:$C$103,"&gt;="&amp;$L249)&gt;0,"sí","no")</f>
        <v/>
      </c>
      <c r="I249" s="4" t="n"/>
      <c r="J249" s="24">
        <f>IF($I249&lt;&gt;"",$I249,IF($G249="","",IF($H249="sí","VAC",IF(LEFT($G249,1)="B","B",$G249))))</f>
        <v/>
      </c>
      <c r="K249" s="24">
        <f>IFERROR(INDEX('TECNICOS'!$E$4:$E$19,MATCH($C249,'TECNICOS'!$B$4:$B$19,0)),"")</f>
        <v/>
      </c>
      <c r="L249" s="30">
        <f>IF($A249="","",DATE(VALUE(LEFT($A249,4)),1,4)-WEEKDAY(DATE(VALUE(LEFT($A249,4)),1,4),2)+1+(VALUE(MID($A249,7,2))-1)*7+MATCH($B249,lista_dias,0)-1)</f>
        <v/>
      </c>
      <c r="M249" s="24">
        <f>IF(OR($J249="",ISNUMBER(MATCH($J249,lista_no_disponible,0)),(IFERROR(INDEX('CALENDARIO'!$C$15:$C$214,MATCH(TEXT($L249,"yyyy-mm-dd")&amp;"|"&amp;$D249&amp;"|"&amp;"",'CALENDARIO'!$G$15:$G$214,0)),IFERROR(INDEX('CALENDARIO'!$C$15:$C$214,MATCH(TEXT($L249,"yyyy-mm-dd")&amp;"|"&amp;$D249&amp;"|",'CALENDARIO'!$G$15:$G$214,0)),IFERROR(INDEX('CALENDARIO'!$C$15:$C$214,MATCH(TEXT($L249,"yyyy-mm-dd")&amp;"||",'CALENDARIO'!$G$15:$G$214,0)),INDEX(patronHabil,WEEKDAY($L249,2))))))&lt;&gt;"sí"),0,p_horas_jornada)</f>
        <v/>
      </c>
      <c r="N249" s="24">
        <f>$A249&amp;"|"&amp;$B249&amp;"|"&amp;$C249</f>
        <v/>
      </c>
      <c r="O249" s="24">
        <f>IFERROR(INDEX('CAT_TURNOS'!$C$4:$C$22,MATCH($J249,'CAT_TURNOS'!$A$4:$A$22,0)),"")</f>
        <v/>
      </c>
      <c r="P249" s="24">
        <f>IFERROR(INDEX('CAT_TURNOS'!$D$4:$D$22,MATCH($J249,'CAT_TURNOS'!$A$4:$A$22,0)),"")</f>
        <v/>
      </c>
      <c r="Q249" s="24">
        <f>IF(AND(LEFT($G249,1)="T",$H249="no"),"sí","no")</f>
        <v/>
      </c>
    </row>
    <row r="250">
      <c r="A250" s="5" t="inlineStr">
        <is>
          <t>2026-S32</t>
        </is>
      </c>
      <c r="B250" s="5" t="inlineStr">
        <is>
          <t>martes</t>
        </is>
      </c>
      <c r="C250" s="5" t="inlineStr">
        <is>
          <t>Miguel Martínez</t>
        </is>
      </c>
      <c r="D250" s="24">
        <f>IFERROR(INDEX('TECNICOS'!$D$4:$D$19,MATCH($C250,'TECNICOS'!$B$4:$B$19,0)),"")</f>
        <v/>
      </c>
      <c r="E250" s="24">
        <f>IFERROR(INDEX('TECNICOS'!$C$4:$C$19,MATCH($C250,'TECNICOS'!$B$4:$B$19,0)),"")</f>
        <v/>
      </c>
      <c r="F250" s="24">
        <f>COUNTIFS('TECNICOS'!$F$4:$F$19,"sí",'TECNICOS'!$C$4:$C$19,$E250,'TECNICOS'!$D$4:$D$19,$D250,'TECNICOS'!$H$4:$H$19,"sí")</f>
        <v/>
      </c>
      <c r="G250" s="24">
        <f>IF(OR($C250="",$A250="",$B250="domingo",IFERROR(INDEX('TECNICOS'!$H$4:$H$19,MATCH($C250,'TECNICOS'!$B$4:$B$19,0)),"no")&lt;&gt;"sí"),"",IF(IFERROR(INDEX('TECNICOS'!$F$4:$F$19,MATCH($C250,'TECNICOS'!$B$4:$B$19,0)),"no")&lt;&gt;"sí","B",IF(MOD((IFERROR(INDEX('TECNICOS'!$G$4:$G$19,MATCH($C250,'TECNICOS'!$B$4:$B$19,0)),0)-1)+((DATE(VALUE(LEFT($A250,4)),1,4)-WEEKDAY(DATE(VALUE(LEFT($A250,4)),1,4),2)+1+(VALUE(MID($A250,7,2))-1)*7)-p_semana_referencia)/7,$F250)&lt;($F250-3),"B"&amp;(($F250-3)-MOD((IFERROR(INDEX('TECNICOS'!$G$4:$G$19,MATCH($C250,'TECNICOS'!$B$4:$B$19,0)),0)-1)+((DATE(VALUE(LEFT($A250,4)),1,4)-WEEKDAY(DATE(VALUE(LEFT($A250,4)),1,4),2)+1+(VALUE(MID($A250,7,2))-1)*7)-p_semana_referencia)/7,$F250)),"T"&amp;($F250-MOD((IFERROR(INDEX('TECNICOS'!$G$4:$G$19,MATCH($C250,'TECNICOS'!$B$4:$B$19,0)),0)-1)+((DATE(VALUE(LEFT($A250,4)),1,4)-WEEKDAY(DATE(VALUE(LEFT($A250,4)),1,4),2)+1+(VALUE(MID($A250,7,2))-1)*7)-p_semana_referencia)/7,$F250)))))</f>
        <v/>
      </c>
      <c r="H250" s="24">
        <f>IF(COUNTIFS('PLAN_VACACIONES'!$A$4:$A$103,$C250,'PLAN_VACACIONES'!$B$4:$B$103,"&lt;="&amp;$L250,'PLAN_VACACIONES'!$C$4:$C$103,"&gt;="&amp;$L250)&gt;0,"sí","no")</f>
        <v/>
      </c>
      <c r="I250" s="4" t="n"/>
      <c r="J250" s="24">
        <f>IF($I250&lt;&gt;"",$I250,IF($G250="","",IF($H250="sí","VAC",IF(LEFT($G250,1)="B","B",$G250))))</f>
        <v/>
      </c>
      <c r="K250" s="24">
        <f>IFERROR(INDEX('TECNICOS'!$E$4:$E$19,MATCH($C250,'TECNICOS'!$B$4:$B$19,0)),"")</f>
        <v/>
      </c>
      <c r="L250" s="30">
        <f>IF($A250="","",DATE(VALUE(LEFT($A250,4)),1,4)-WEEKDAY(DATE(VALUE(LEFT($A250,4)),1,4),2)+1+(VALUE(MID($A250,7,2))-1)*7+MATCH($B250,lista_dias,0)-1)</f>
        <v/>
      </c>
      <c r="M250" s="24">
        <f>IF(OR($J250="",ISNUMBER(MATCH($J250,lista_no_disponible,0)),(IFERROR(INDEX('CALENDARIO'!$C$15:$C$214,MATCH(TEXT($L250,"yyyy-mm-dd")&amp;"|"&amp;$D250&amp;"|"&amp;"",'CALENDARIO'!$G$15:$G$214,0)),IFERROR(INDEX('CALENDARIO'!$C$15:$C$214,MATCH(TEXT($L250,"yyyy-mm-dd")&amp;"|"&amp;$D250&amp;"|",'CALENDARIO'!$G$15:$G$214,0)),IFERROR(INDEX('CALENDARIO'!$C$15:$C$214,MATCH(TEXT($L250,"yyyy-mm-dd")&amp;"||",'CALENDARIO'!$G$15:$G$214,0)),INDEX(patronHabil,WEEKDAY($L250,2))))))&lt;&gt;"sí"),0,p_horas_jornada)</f>
        <v/>
      </c>
      <c r="N250" s="24">
        <f>$A250&amp;"|"&amp;$B250&amp;"|"&amp;$C250</f>
        <v/>
      </c>
      <c r="O250" s="24">
        <f>IFERROR(INDEX('CAT_TURNOS'!$C$4:$C$22,MATCH($J250,'CAT_TURNOS'!$A$4:$A$22,0)),"")</f>
        <v/>
      </c>
      <c r="P250" s="24">
        <f>IFERROR(INDEX('CAT_TURNOS'!$D$4:$D$22,MATCH($J250,'CAT_TURNOS'!$A$4:$A$22,0)),"")</f>
        <v/>
      </c>
      <c r="Q250" s="24">
        <f>IF(AND(LEFT($G250,1)="T",$H250="no"),"sí","no")</f>
        <v/>
      </c>
    </row>
    <row r="251">
      <c r="A251" s="5" t="inlineStr">
        <is>
          <t>2026-S32</t>
        </is>
      </c>
      <c r="B251" s="5" t="inlineStr">
        <is>
          <t>miércoles</t>
        </is>
      </c>
      <c r="C251" s="5" t="inlineStr">
        <is>
          <t>Miguel Martínez</t>
        </is>
      </c>
      <c r="D251" s="24">
        <f>IFERROR(INDEX('TECNICOS'!$D$4:$D$19,MATCH($C251,'TECNICOS'!$B$4:$B$19,0)),"")</f>
        <v/>
      </c>
      <c r="E251" s="24">
        <f>IFERROR(INDEX('TECNICOS'!$C$4:$C$19,MATCH($C251,'TECNICOS'!$B$4:$B$19,0)),"")</f>
        <v/>
      </c>
      <c r="F251" s="24">
        <f>COUNTIFS('TECNICOS'!$F$4:$F$19,"sí",'TECNICOS'!$C$4:$C$19,$E251,'TECNICOS'!$D$4:$D$19,$D251,'TECNICOS'!$H$4:$H$19,"sí")</f>
        <v/>
      </c>
      <c r="G251" s="24">
        <f>IF(OR($C251="",$A251="",$B251="domingo",IFERROR(INDEX('TECNICOS'!$H$4:$H$19,MATCH($C251,'TECNICOS'!$B$4:$B$19,0)),"no")&lt;&gt;"sí"),"",IF(IFERROR(INDEX('TECNICOS'!$F$4:$F$19,MATCH($C251,'TECNICOS'!$B$4:$B$19,0)),"no")&lt;&gt;"sí","B",IF(MOD((IFERROR(INDEX('TECNICOS'!$G$4:$G$19,MATCH($C251,'TECNICOS'!$B$4:$B$19,0)),0)-1)+((DATE(VALUE(LEFT($A251,4)),1,4)-WEEKDAY(DATE(VALUE(LEFT($A251,4)),1,4),2)+1+(VALUE(MID($A251,7,2))-1)*7)-p_semana_referencia)/7,$F251)&lt;($F251-3),"B"&amp;(($F251-3)-MOD((IFERROR(INDEX('TECNICOS'!$G$4:$G$19,MATCH($C251,'TECNICOS'!$B$4:$B$19,0)),0)-1)+((DATE(VALUE(LEFT($A251,4)),1,4)-WEEKDAY(DATE(VALUE(LEFT($A251,4)),1,4),2)+1+(VALUE(MID($A251,7,2))-1)*7)-p_semana_referencia)/7,$F251)),"T"&amp;($F251-MOD((IFERROR(INDEX('TECNICOS'!$G$4:$G$19,MATCH($C251,'TECNICOS'!$B$4:$B$19,0)),0)-1)+((DATE(VALUE(LEFT($A251,4)),1,4)-WEEKDAY(DATE(VALUE(LEFT($A251,4)),1,4),2)+1+(VALUE(MID($A251,7,2))-1)*7)-p_semana_referencia)/7,$F251)))))</f>
        <v/>
      </c>
      <c r="H251" s="24">
        <f>IF(COUNTIFS('PLAN_VACACIONES'!$A$4:$A$103,$C251,'PLAN_VACACIONES'!$B$4:$B$103,"&lt;="&amp;$L251,'PLAN_VACACIONES'!$C$4:$C$103,"&gt;="&amp;$L251)&gt;0,"sí","no")</f>
        <v/>
      </c>
      <c r="I251" s="4" t="n"/>
      <c r="J251" s="24">
        <f>IF($I251&lt;&gt;"",$I251,IF($G251="","",IF($H251="sí","VAC",IF(LEFT($G251,1)="B","B",$G251))))</f>
        <v/>
      </c>
      <c r="K251" s="24">
        <f>IFERROR(INDEX('TECNICOS'!$E$4:$E$19,MATCH($C251,'TECNICOS'!$B$4:$B$19,0)),"")</f>
        <v/>
      </c>
      <c r="L251" s="30">
        <f>IF($A251="","",DATE(VALUE(LEFT($A251,4)),1,4)-WEEKDAY(DATE(VALUE(LEFT($A251,4)),1,4),2)+1+(VALUE(MID($A251,7,2))-1)*7+MATCH($B251,lista_dias,0)-1)</f>
        <v/>
      </c>
      <c r="M251" s="24">
        <f>IF(OR($J251="",ISNUMBER(MATCH($J251,lista_no_disponible,0)),(IFERROR(INDEX('CALENDARIO'!$C$15:$C$214,MATCH(TEXT($L251,"yyyy-mm-dd")&amp;"|"&amp;$D251&amp;"|"&amp;"",'CALENDARIO'!$G$15:$G$214,0)),IFERROR(INDEX('CALENDARIO'!$C$15:$C$214,MATCH(TEXT($L251,"yyyy-mm-dd")&amp;"|"&amp;$D251&amp;"|",'CALENDARIO'!$G$15:$G$214,0)),IFERROR(INDEX('CALENDARIO'!$C$15:$C$214,MATCH(TEXT($L251,"yyyy-mm-dd")&amp;"||",'CALENDARIO'!$G$15:$G$214,0)),INDEX(patronHabil,WEEKDAY($L251,2))))))&lt;&gt;"sí"),0,p_horas_jornada)</f>
        <v/>
      </c>
      <c r="N251" s="24">
        <f>$A251&amp;"|"&amp;$B251&amp;"|"&amp;$C251</f>
        <v/>
      </c>
      <c r="O251" s="24">
        <f>IFERROR(INDEX('CAT_TURNOS'!$C$4:$C$22,MATCH($J251,'CAT_TURNOS'!$A$4:$A$22,0)),"")</f>
        <v/>
      </c>
      <c r="P251" s="24">
        <f>IFERROR(INDEX('CAT_TURNOS'!$D$4:$D$22,MATCH($J251,'CAT_TURNOS'!$A$4:$A$22,0)),"")</f>
        <v/>
      </c>
      <c r="Q251" s="24">
        <f>IF(AND(LEFT($G251,1)="T",$H251="no"),"sí","no")</f>
        <v/>
      </c>
    </row>
    <row r="252">
      <c r="A252" s="5" t="inlineStr">
        <is>
          <t>2026-S32</t>
        </is>
      </c>
      <c r="B252" s="5" t="inlineStr">
        <is>
          <t>jueves</t>
        </is>
      </c>
      <c r="C252" s="5" t="inlineStr">
        <is>
          <t>Miguel Martínez</t>
        </is>
      </c>
      <c r="D252" s="24">
        <f>IFERROR(INDEX('TECNICOS'!$D$4:$D$19,MATCH($C252,'TECNICOS'!$B$4:$B$19,0)),"")</f>
        <v/>
      </c>
      <c r="E252" s="24">
        <f>IFERROR(INDEX('TECNICOS'!$C$4:$C$19,MATCH($C252,'TECNICOS'!$B$4:$B$19,0)),"")</f>
        <v/>
      </c>
      <c r="F252" s="24">
        <f>COUNTIFS('TECNICOS'!$F$4:$F$19,"sí",'TECNICOS'!$C$4:$C$19,$E252,'TECNICOS'!$D$4:$D$19,$D252,'TECNICOS'!$H$4:$H$19,"sí")</f>
        <v/>
      </c>
      <c r="G252" s="24">
        <f>IF(OR($C252="",$A252="",$B252="domingo",IFERROR(INDEX('TECNICOS'!$H$4:$H$19,MATCH($C252,'TECNICOS'!$B$4:$B$19,0)),"no")&lt;&gt;"sí"),"",IF(IFERROR(INDEX('TECNICOS'!$F$4:$F$19,MATCH($C252,'TECNICOS'!$B$4:$B$19,0)),"no")&lt;&gt;"sí","B",IF(MOD((IFERROR(INDEX('TECNICOS'!$G$4:$G$19,MATCH($C252,'TECNICOS'!$B$4:$B$19,0)),0)-1)+((DATE(VALUE(LEFT($A252,4)),1,4)-WEEKDAY(DATE(VALUE(LEFT($A252,4)),1,4),2)+1+(VALUE(MID($A252,7,2))-1)*7)-p_semana_referencia)/7,$F252)&lt;($F252-3),"B"&amp;(($F252-3)-MOD((IFERROR(INDEX('TECNICOS'!$G$4:$G$19,MATCH($C252,'TECNICOS'!$B$4:$B$19,0)),0)-1)+((DATE(VALUE(LEFT($A252,4)),1,4)-WEEKDAY(DATE(VALUE(LEFT($A252,4)),1,4),2)+1+(VALUE(MID($A252,7,2))-1)*7)-p_semana_referencia)/7,$F252)),"T"&amp;($F252-MOD((IFERROR(INDEX('TECNICOS'!$G$4:$G$19,MATCH($C252,'TECNICOS'!$B$4:$B$19,0)),0)-1)+((DATE(VALUE(LEFT($A252,4)),1,4)-WEEKDAY(DATE(VALUE(LEFT($A252,4)),1,4),2)+1+(VALUE(MID($A252,7,2))-1)*7)-p_semana_referencia)/7,$F252)))))</f>
        <v/>
      </c>
      <c r="H252" s="24">
        <f>IF(COUNTIFS('PLAN_VACACIONES'!$A$4:$A$103,$C252,'PLAN_VACACIONES'!$B$4:$B$103,"&lt;="&amp;$L252,'PLAN_VACACIONES'!$C$4:$C$103,"&gt;="&amp;$L252)&gt;0,"sí","no")</f>
        <v/>
      </c>
      <c r="I252" s="4" t="n"/>
      <c r="J252" s="24">
        <f>IF($I252&lt;&gt;"",$I252,IF($G252="","",IF($H252="sí","VAC",IF(LEFT($G252,1)="B","B",$G252))))</f>
        <v/>
      </c>
      <c r="K252" s="24">
        <f>IFERROR(INDEX('TECNICOS'!$E$4:$E$19,MATCH($C252,'TECNICOS'!$B$4:$B$19,0)),"")</f>
        <v/>
      </c>
      <c r="L252" s="30">
        <f>IF($A252="","",DATE(VALUE(LEFT($A252,4)),1,4)-WEEKDAY(DATE(VALUE(LEFT($A252,4)),1,4),2)+1+(VALUE(MID($A252,7,2))-1)*7+MATCH($B252,lista_dias,0)-1)</f>
        <v/>
      </c>
      <c r="M252" s="24">
        <f>IF(OR($J252="",ISNUMBER(MATCH($J252,lista_no_disponible,0)),(IFERROR(INDEX('CALENDARIO'!$C$15:$C$214,MATCH(TEXT($L252,"yyyy-mm-dd")&amp;"|"&amp;$D252&amp;"|"&amp;"",'CALENDARIO'!$G$15:$G$214,0)),IFERROR(INDEX('CALENDARIO'!$C$15:$C$214,MATCH(TEXT($L252,"yyyy-mm-dd")&amp;"|"&amp;$D252&amp;"|",'CALENDARIO'!$G$15:$G$214,0)),IFERROR(INDEX('CALENDARIO'!$C$15:$C$214,MATCH(TEXT($L252,"yyyy-mm-dd")&amp;"||",'CALENDARIO'!$G$15:$G$214,0)),INDEX(patronHabil,WEEKDAY($L252,2))))))&lt;&gt;"sí"),0,p_horas_jornada)</f>
        <v/>
      </c>
      <c r="N252" s="24">
        <f>$A252&amp;"|"&amp;$B252&amp;"|"&amp;$C252</f>
        <v/>
      </c>
      <c r="O252" s="24">
        <f>IFERROR(INDEX('CAT_TURNOS'!$C$4:$C$22,MATCH($J252,'CAT_TURNOS'!$A$4:$A$22,0)),"")</f>
        <v/>
      </c>
      <c r="P252" s="24">
        <f>IFERROR(INDEX('CAT_TURNOS'!$D$4:$D$22,MATCH($J252,'CAT_TURNOS'!$A$4:$A$22,0)),"")</f>
        <v/>
      </c>
      <c r="Q252" s="24">
        <f>IF(AND(LEFT($G252,1)="T",$H252="no"),"sí","no")</f>
        <v/>
      </c>
    </row>
    <row r="253">
      <c r="A253" s="5" t="inlineStr">
        <is>
          <t>2026-S32</t>
        </is>
      </c>
      <c r="B253" s="5" t="inlineStr">
        <is>
          <t>viernes</t>
        </is>
      </c>
      <c r="C253" s="5" t="inlineStr">
        <is>
          <t>Miguel Martínez</t>
        </is>
      </c>
      <c r="D253" s="24">
        <f>IFERROR(INDEX('TECNICOS'!$D$4:$D$19,MATCH($C253,'TECNICOS'!$B$4:$B$19,0)),"")</f>
        <v/>
      </c>
      <c r="E253" s="24">
        <f>IFERROR(INDEX('TECNICOS'!$C$4:$C$19,MATCH($C253,'TECNICOS'!$B$4:$B$19,0)),"")</f>
        <v/>
      </c>
      <c r="F253" s="24">
        <f>COUNTIFS('TECNICOS'!$F$4:$F$19,"sí",'TECNICOS'!$C$4:$C$19,$E253,'TECNICOS'!$D$4:$D$19,$D253,'TECNICOS'!$H$4:$H$19,"sí")</f>
        <v/>
      </c>
      <c r="G253" s="24">
        <f>IF(OR($C253="",$A253="",$B253="domingo",IFERROR(INDEX('TECNICOS'!$H$4:$H$19,MATCH($C253,'TECNICOS'!$B$4:$B$19,0)),"no")&lt;&gt;"sí"),"",IF(IFERROR(INDEX('TECNICOS'!$F$4:$F$19,MATCH($C253,'TECNICOS'!$B$4:$B$19,0)),"no")&lt;&gt;"sí","B",IF(MOD((IFERROR(INDEX('TECNICOS'!$G$4:$G$19,MATCH($C253,'TECNICOS'!$B$4:$B$19,0)),0)-1)+((DATE(VALUE(LEFT($A253,4)),1,4)-WEEKDAY(DATE(VALUE(LEFT($A253,4)),1,4),2)+1+(VALUE(MID($A253,7,2))-1)*7)-p_semana_referencia)/7,$F253)&lt;($F253-3),"B"&amp;(($F253-3)-MOD((IFERROR(INDEX('TECNICOS'!$G$4:$G$19,MATCH($C253,'TECNICOS'!$B$4:$B$19,0)),0)-1)+((DATE(VALUE(LEFT($A253,4)),1,4)-WEEKDAY(DATE(VALUE(LEFT($A253,4)),1,4),2)+1+(VALUE(MID($A253,7,2))-1)*7)-p_semana_referencia)/7,$F253)),"T"&amp;($F253-MOD((IFERROR(INDEX('TECNICOS'!$G$4:$G$19,MATCH($C253,'TECNICOS'!$B$4:$B$19,0)),0)-1)+((DATE(VALUE(LEFT($A253,4)),1,4)-WEEKDAY(DATE(VALUE(LEFT($A253,4)),1,4),2)+1+(VALUE(MID($A253,7,2))-1)*7)-p_semana_referencia)/7,$F253)))))</f>
        <v/>
      </c>
      <c r="H253" s="24">
        <f>IF(COUNTIFS('PLAN_VACACIONES'!$A$4:$A$103,$C253,'PLAN_VACACIONES'!$B$4:$B$103,"&lt;="&amp;$L253,'PLAN_VACACIONES'!$C$4:$C$103,"&gt;="&amp;$L253)&gt;0,"sí","no")</f>
        <v/>
      </c>
      <c r="I253" s="4" t="n"/>
      <c r="J253" s="24">
        <f>IF($I253&lt;&gt;"",$I253,IF($G253="","",IF($H253="sí","VAC",IF(LEFT($G253,1)="B","B",$G253))))</f>
        <v/>
      </c>
      <c r="K253" s="24">
        <f>IFERROR(INDEX('TECNICOS'!$E$4:$E$19,MATCH($C253,'TECNICOS'!$B$4:$B$19,0)),"")</f>
        <v/>
      </c>
      <c r="L253" s="30">
        <f>IF($A253="","",DATE(VALUE(LEFT($A253,4)),1,4)-WEEKDAY(DATE(VALUE(LEFT($A253,4)),1,4),2)+1+(VALUE(MID($A253,7,2))-1)*7+MATCH($B253,lista_dias,0)-1)</f>
        <v/>
      </c>
      <c r="M253" s="24">
        <f>IF(OR($J253="",ISNUMBER(MATCH($J253,lista_no_disponible,0)),(IFERROR(INDEX('CALENDARIO'!$C$15:$C$214,MATCH(TEXT($L253,"yyyy-mm-dd")&amp;"|"&amp;$D253&amp;"|"&amp;"",'CALENDARIO'!$G$15:$G$214,0)),IFERROR(INDEX('CALENDARIO'!$C$15:$C$214,MATCH(TEXT($L253,"yyyy-mm-dd")&amp;"|"&amp;$D253&amp;"|",'CALENDARIO'!$G$15:$G$214,0)),IFERROR(INDEX('CALENDARIO'!$C$15:$C$214,MATCH(TEXT($L253,"yyyy-mm-dd")&amp;"||",'CALENDARIO'!$G$15:$G$214,0)),INDEX(patronHabil,WEEKDAY($L253,2))))))&lt;&gt;"sí"),0,p_horas_jornada)</f>
        <v/>
      </c>
      <c r="N253" s="24">
        <f>$A253&amp;"|"&amp;$B253&amp;"|"&amp;$C253</f>
        <v/>
      </c>
      <c r="O253" s="24">
        <f>IFERROR(INDEX('CAT_TURNOS'!$C$4:$C$22,MATCH($J253,'CAT_TURNOS'!$A$4:$A$22,0)),"")</f>
        <v/>
      </c>
      <c r="P253" s="24">
        <f>IFERROR(INDEX('CAT_TURNOS'!$D$4:$D$22,MATCH($J253,'CAT_TURNOS'!$A$4:$A$22,0)),"")</f>
        <v/>
      </c>
      <c r="Q253" s="24">
        <f>IF(AND(LEFT($G253,1)="T",$H253="no"),"sí","no")</f>
        <v/>
      </c>
    </row>
    <row r="254">
      <c r="A254" s="5" t="inlineStr">
        <is>
          <t>2026-S32</t>
        </is>
      </c>
      <c r="B254" s="5" t="inlineStr">
        <is>
          <t>sábado</t>
        </is>
      </c>
      <c r="C254" s="5" t="inlineStr">
        <is>
          <t>Miguel Martínez</t>
        </is>
      </c>
      <c r="D254" s="24">
        <f>IFERROR(INDEX('TECNICOS'!$D$4:$D$19,MATCH($C254,'TECNICOS'!$B$4:$B$19,0)),"")</f>
        <v/>
      </c>
      <c r="E254" s="24">
        <f>IFERROR(INDEX('TECNICOS'!$C$4:$C$19,MATCH($C254,'TECNICOS'!$B$4:$B$19,0)),"")</f>
        <v/>
      </c>
      <c r="F254" s="24">
        <f>COUNTIFS('TECNICOS'!$F$4:$F$19,"sí",'TECNICOS'!$C$4:$C$19,$E254,'TECNICOS'!$D$4:$D$19,$D254,'TECNICOS'!$H$4:$H$19,"sí")</f>
        <v/>
      </c>
      <c r="G254" s="24">
        <f>IF(OR($C254="",$A254="",$B254="domingo",IFERROR(INDEX('TECNICOS'!$H$4:$H$19,MATCH($C254,'TECNICOS'!$B$4:$B$19,0)),"no")&lt;&gt;"sí"),"",IF(IFERROR(INDEX('TECNICOS'!$F$4:$F$19,MATCH($C254,'TECNICOS'!$B$4:$B$19,0)),"no")&lt;&gt;"sí","B",IF(MOD((IFERROR(INDEX('TECNICOS'!$G$4:$G$19,MATCH($C254,'TECNICOS'!$B$4:$B$19,0)),0)-1)+((DATE(VALUE(LEFT($A254,4)),1,4)-WEEKDAY(DATE(VALUE(LEFT($A254,4)),1,4),2)+1+(VALUE(MID($A254,7,2))-1)*7)-p_semana_referencia)/7,$F254)&lt;($F254-3),"B"&amp;(($F254-3)-MOD((IFERROR(INDEX('TECNICOS'!$G$4:$G$19,MATCH($C254,'TECNICOS'!$B$4:$B$19,0)),0)-1)+((DATE(VALUE(LEFT($A254,4)),1,4)-WEEKDAY(DATE(VALUE(LEFT($A254,4)),1,4),2)+1+(VALUE(MID($A254,7,2))-1)*7)-p_semana_referencia)/7,$F254)),"T"&amp;($F254-MOD((IFERROR(INDEX('TECNICOS'!$G$4:$G$19,MATCH($C254,'TECNICOS'!$B$4:$B$19,0)),0)-1)+((DATE(VALUE(LEFT($A254,4)),1,4)-WEEKDAY(DATE(VALUE(LEFT($A254,4)),1,4),2)+1+(VALUE(MID($A254,7,2))-1)*7)-p_semana_referencia)/7,$F254)))))</f>
        <v/>
      </c>
      <c r="H254" s="24">
        <f>IF(COUNTIFS('PLAN_VACACIONES'!$A$4:$A$103,$C254,'PLAN_VACACIONES'!$B$4:$B$103,"&lt;="&amp;$L254,'PLAN_VACACIONES'!$C$4:$C$103,"&gt;="&amp;$L254)&gt;0,"sí","no")</f>
        <v/>
      </c>
      <c r="I254" s="4" t="n"/>
      <c r="J254" s="24">
        <f>IF($I254&lt;&gt;"",$I254,IF($G254="","",IF($H254="sí","VAC",IF(LEFT($G254,1)="B","B",$G254))))</f>
        <v/>
      </c>
      <c r="K254" s="24">
        <f>IFERROR(INDEX('TECNICOS'!$E$4:$E$19,MATCH($C254,'TECNICOS'!$B$4:$B$19,0)),"")</f>
        <v/>
      </c>
      <c r="L254" s="30">
        <f>IF($A254="","",DATE(VALUE(LEFT($A254,4)),1,4)-WEEKDAY(DATE(VALUE(LEFT($A254,4)),1,4),2)+1+(VALUE(MID($A254,7,2))-1)*7+MATCH($B254,lista_dias,0)-1)</f>
        <v/>
      </c>
      <c r="M254" s="24">
        <f>IF(OR($J254="",ISNUMBER(MATCH($J254,lista_no_disponible,0)),(IFERROR(INDEX('CALENDARIO'!$C$15:$C$214,MATCH(TEXT($L254,"yyyy-mm-dd")&amp;"|"&amp;$D254&amp;"|"&amp;"",'CALENDARIO'!$G$15:$G$214,0)),IFERROR(INDEX('CALENDARIO'!$C$15:$C$214,MATCH(TEXT($L254,"yyyy-mm-dd")&amp;"|"&amp;$D254&amp;"|",'CALENDARIO'!$G$15:$G$214,0)),IFERROR(INDEX('CALENDARIO'!$C$15:$C$214,MATCH(TEXT($L254,"yyyy-mm-dd")&amp;"||",'CALENDARIO'!$G$15:$G$214,0)),INDEX(patronHabil,WEEKDAY($L254,2))))))&lt;&gt;"sí"),0,p_horas_jornada)</f>
        <v/>
      </c>
      <c r="N254" s="24">
        <f>$A254&amp;"|"&amp;$B254&amp;"|"&amp;$C254</f>
        <v/>
      </c>
      <c r="O254" s="24">
        <f>IFERROR(INDEX('CAT_TURNOS'!$C$4:$C$22,MATCH($J254,'CAT_TURNOS'!$A$4:$A$22,0)),"")</f>
        <v/>
      </c>
      <c r="P254" s="24">
        <f>IFERROR(INDEX('CAT_TURNOS'!$D$4:$D$22,MATCH($J254,'CAT_TURNOS'!$A$4:$A$22,0)),"")</f>
        <v/>
      </c>
      <c r="Q254" s="24">
        <f>IF(AND(LEFT($G254,1)="T",$H254="no"),"sí","no")</f>
        <v/>
      </c>
    </row>
    <row r="255">
      <c r="A255" s="5" t="inlineStr">
        <is>
          <t>2026-S32</t>
        </is>
      </c>
      <c r="B255" s="5" t="inlineStr">
        <is>
          <t>domingo</t>
        </is>
      </c>
      <c r="C255" s="5" t="inlineStr">
        <is>
          <t>Miguel Martínez</t>
        </is>
      </c>
      <c r="D255" s="24">
        <f>IFERROR(INDEX('TECNICOS'!$D$4:$D$19,MATCH($C255,'TECNICOS'!$B$4:$B$19,0)),"")</f>
        <v/>
      </c>
      <c r="E255" s="24">
        <f>IFERROR(INDEX('TECNICOS'!$C$4:$C$19,MATCH($C255,'TECNICOS'!$B$4:$B$19,0)),"")</f>
        <v/>
      </c>
      <c r="F255" s="24">
        <f>COUNTIFS('TECNICOS'!$F$4:$F$19,"sí",'TECNICOS'!$C$4:$C$19,$E255,'TECNICOS'!$D$4:$D$19,$D255,'TECNICOS'!$H$4:$H$19,"sí")</f>
        <v/>
      </c>
      <c r="G255" s="24">
        <f>IF(OR($C255="",$A255="",$B255="domingo",IFERROR(INDEX('TECNICOS'!$H$4:$H$19,MATCH($C255,'TECNICOS'!$B$4:$B$19,0)),"no")&lt;&gt;"sí"),"",IF(IFERROR(INDEX('TECNICOS'!$F$4:$F$19,MATCH($C255,'TECNICOS'!$B$4:$B$19,0)),"no")&lt;&gt;"sí","B",IF(MOD((IFERROR(INDEX('TECNICOS'!$G$4:$G$19,MATCH($C255,'TECNICOS'!$B$4:$B$19,0)),0)-1)+((DATE(VALUE(LEFT($A255,4)),1,4)-WEEKDAY(DATE(VALUE(LEFT($A255,4)),1,4),2)+1+(VALUE(MID($A255,7,2))-1)*7)-p_semana_referencia)/7,$F255)&lt;($F255-3),"B"&amp;(($F255-3)-MOD((IFERROR(INDEX('TECNICOS'!$G$4:$G$19,MATCH($C255,'TECNICOS'!$B$4:$B$19,0)),0)-1)+((DATE(VALUE(LEFT($A255,4)),1,4)-WEEKDAY(DATE(VALUE(LEFT($A255,4)),1,4),2)+1+(VALUE(MID($A255,7,2))-1)*7)-p_semana_referencia)/7,$F255)),"T"&amp;($F255-MOD((IFERROR(INDEX('TECNICOS'!$G$4:$G$19,MATCH($C255,'TECNICOS'!$B$4:$B$19,0)),0)-1)+((DATE(VALUE(LEFT($A255,4)),1,4)-WEEKDAY(DATE(VALUE(LEFT($A255,4)),1,4),2)+1+(VALUE(MID($A255,7,2))-1)*7)-p_semana_referencia)/7,$F255)))))</f>
        <v/>
      </c>
      <c r="H255" s="24">
        <f>IF(COUNTIFS('PLAN_VACACIONES'!$A$4:$A$103,$C255,'PLAN_VACACIONES'!$B$4:$B$103,"&lt;="&amp;$L255,'PLAN_VACACIONES'!$C$4:$C$103,"&gt;="&amp;$L255)&gt;0,"sí","no")</f>
        <v/>
      </c>
      <c r="I255" s="4" t="n"/>
      <c r="J255" s="24">
        <f>IF($I255&lt;&gt;"",$I255,IF($G255="","",IF($H255="sí","VAC",IF(LEFT($G255,1)="B","B",$G255))))</f>
        <v/>
      </c>
      <c r="K255" s="24">
        <f>IFERROR(INDEX('TECNICOS'!$E$4:$E$19,MATCH($C255,'TECNICOS'!$B$4:$B$19,0)),"")</f>
        <v/>
      </c>
      <c r="L255" s="30">
        <f>IF($A255="","",DATE(VALUE(LEFT($A255,4)),1,4)-WEEKDAY(DATE(VALUE(LEFT($A255,4)),1,4),2)+1+(VALUE(MID($A255,7,2))-1)*7+MATCH($B255,lista_dias,0)-1)</f>
        <v/>
      </c>
      <c r="M255" s="24">
        <f>IF(OR($J255="",ISNUMBER(MATCH($J255,lista_no_disponible,0)),(IFERROR(INDEX('CALENDARIO'!$C$15:$C$214,MATCH(TEXT($L255,"yyyy-mm-dd")&amp;"|"&amp;$D255&amp;"|"&amp;"",'CALENDARIO'!$G$15:$G$214,0)),IFERROR(INDEX('CALENDARIO'!$C$15:$C$214,MATCH(TEXT($L255,"yyyy-mm-dd")&amp;"|"&amp;$D255&amp;"|",'CALENDARIO'!$G$15:$G$214,0)),IFERROR(INDEX('CALENDARIO'!$C$15:$C$214,MATCH(TEXT($L255,"yyyy-mm-dd")&amp;"||",'CALENDARIO'!$G$15:$G$214,0)),INDEX(patronHabil,WEEKDAY($L255,2))))))&lt;&gt;"sí"),0,p_horas_jornada)</f>
        <v/>
      </c>
      <c r="N255" s="24">
        <f>$A255&amp;"|"&amp;$B255&amp;"|"&amp;$C255</f>
        <v/>
      </c>
      <c r="O255" s="24">
        <f>IFERROR(INDEX('CAT_TURNOS'!$C$4:$C$22,MATCH($J255,'CAT_TURNOS'!$A$4:$A$22,0)),"")</f>
        <v/>
      </c>
      <c r="P255" s="24">
        <f>IFERROR(INDEX('CAT_TURNOS'!$D$4:$D$22,MATCH($J255,'CAT_TURNOS'!$A$4:$A$22,0)),"")</f>
        <v/>
      </c>
      <c r="Q255" s="24">
        <f>IF(AND(LEFT($G255,1)="T",$H255="no"),"sí","no")</f>
        <v/>
      </c>
    </row>
    <row r="256">
      <c r="A256" s="5" t="inlineStr">
        <is>
          <t>2026-S32</t>
        </is>
      </c>
      <c r="B256" s="5" t="inlineStr">
        <is>
          <t>lunes</t>
        </is>
      </c>
      <c r="C256" s="5" t="inlineStr">
        <is>
          <t>Ana Sánchez</t>
        </is>
      </c>
      <c r="D256" s="24">
        <f>IFERROR(INDEX('TECNICOS'!$D$4:$D$19,MATCH($C256,'TECNICOS'!$B$4:$B$19,0)),"")</f>
        <v/>
      </c>
      <c r="E256" s="24">
        <f>IFERROR(INDEX('TECNICOS'!$C$4:$C$19,MATCH($C256,'TECNICOS'!$B$4:$B$19,0)),"")</f>
        <v/>
      </c>
      <c r="F256" s="24">
        <f>COUNTIFS('TECNICOS'!$F$4:$F$19,"sí",'TECNICOS'!$C$4:$C$19,$E256,'TECNICOS'!$D$4:$D$19,$D256,'TECNICOS'!$H$4:$H$19,"sí")</f>
        <v/>
      </c>
      <c r="G256" s="24">
        <f>IF(OR($C256="",$A256="",$B256="domingo",IFERROR(INDEX('TECNICOS'!$H$4:$H$19,MATCH($C256,'TECNICOS'!$B$4:$B$19,0)),"no")&lt;&gt;"sí"),"",IF(IFERROR(INDEX('TECNICOS'!$F$4:$F$19,MATCH($C256,'TECNICOS'!$B$4:$B$19,0)),"no")&lt;&gt;"sí","B",IF(MOD((IFERROR(INDEX('TECNICOS'!$G$4:$G$19,MATCH($C256,'TECNICOS'!$B$4:$B$19,0)),0)-1)+((DATE(VALUE(LEFT($A256,4)),1,4)-WEEKDAY(DATE(VALUE(LEFT($A256,4)),1,4),2)+1+(VALUE(MID($A256,7,2))-1)*7)-p_semana_referencia)/7,$F256)&lt;($F256-3),"B"&amp;(($F256-3)-MOD((IFERROR(INDEX('TECNICOS'!$G$4:$G$19,MATCH($C256,'TECNICOS'!$B$4:$B$19,0)),0)-1)+((DATE(VALUE(LEFT($A256,4)),1,4)-WEEKDAY(DATE(VALUE(LEFT($A256,4)),1,4),2)+1+(VALUE(MID($A256,7,2))-1)*7)-p_semana_referencia)/7,$F256)),"T"&amp;($F256-MOD((IFERROR(INDEX('TECNICOS'!$G$4:$G$19,MATCH($C256,'TECNICOS'!$B$4:$B$19,0)),0)-1)+((DATE(VALUE(LEFT($A256,4)),1,4)-WEEKDAY(DATE(VALUE(LEFT($A256,4)),1,4),2)+1+(VALUE(MID($A256,7,2))-1)*7)-p_semana_referencia)/7,$F256)))))</f>
        <v/>
      </c>
      <c r="H256" s="24">
        <f>IF(COUNTIFS('PLAN_VACACIONES'!$A$4:$A$103,$C256,'PLAN_VACACIONES'!$B$4:$B$103,"&lt;="&amp;$L256,'PLAN_VACACIONES'!$C$4:$C$103,"&gt;="&amp;$L256)&gt;0,"sí","no")</f>
        <v/>
      </c>
      <c r="I256" s="4" t="n"/>
      <c r="J256" s="24">
        <f>IF($I256&lt;&gt;"",$I256,IF($G256="","",IF($H256="sí","VAC",IF(LEFT($G256,1)="B","B",$G256))))</f>
        <v/>
      </c>
      <c r="K256" s="24">
        <f>IFERROR(INDEX('TECNICOS'!$E$4:$E$19,MATCH($C256,'TECNICOS'!$B$4:$B$19,0)),"")</f>
        <v/>
      </c>
      <c r="L256" s="30">
        <f>IF($A256="","",DATE(VALUE(LEFT($A256,4)),1,4)-WEEKDAY(DATE(VALUE(LEFT($A256,4)),1,4),2)+1+(VALUE(MID($A256,7,2))-1)*7+MATCH($B256,lista_dias,0)-1)</f>
        <v/>
      </c>
      <c r="M256" s="24">
        <f>IF(OR($J256="",ISNUMBER(MATCH($J256,lista_no_disponible,0)),(IFERROR(INDEX('CALENDARIO'!$C$15:$C$214,MATCH(TEXT($L256,"yyyy-mm-dd")&amp;"|"&amp;$D256&amp;"|"&amp;"",'CALENDARIO'!$G$15:$G$214,0)),IFERROR(INDEX('CALENDARIO'!$C$15:$C$214,MATCH(TEXT($L256,"yyyy-mm-dd")&amp;"|"&amp;$D256&amp;"|",'CALENDARIO'!$G$15:$G$214,0)),IFERROR(INDEX('CALENDARIO'!$C$15:$C$214,MATCH(TEXT($L256,"yyyy-mm-dd")&amp;"||",'CALENDARIO'!$G$15:$G$214,0)),INDEX(patronHabil,WEEKDAY($L256,2))))))&lt;&gt;"sí"),0,p_horas_jornada)</f>
        <v/>
      </c>
      <c r="N256" s="24">
        <f>$A256&amp;"|"&amp;$B256&amp;"|"&amp;$C256</f>
        <v/>
      </c>
      <c r="O256" s="24">
        <f>IFERROR(INDEX('CAT_TURNOS'!$C$4:$C$22,MATCH($J256,'CAT_TURNOS'!$A$4:$A$22,0)),"")</f>
        <v/>
      </c>
      <c r="P256" s="24">
        <f>IFERROR(INDEX('CAT_TURNOS'!$D$4:$D$22,MATCH($J256,'CAT_TURNOS'!$A$4:$A$22,0)),"")</f>
        <v/>
      </c>
      <c r="Q256" s="24">
        <f>IF(AND(LEFT($G256,1)="T",$H256="no"),"sí","no")</f>
        <v/>
      </c>
    </row>
    <row r="257">
      <c r="A257" s="5" t="inlineStr">
        <is>
          <t>2026-S32</t>
        </is>
      </c>
      <c r="B257" s="5" t="inlineStr">
        <is>
          <t>martes</t>
        </is>
      </c>
      <c r="C257" s="5" t="inlineStr">
        <is>
          <t>Ana Sánchez</t>
        </is>
      </c>
      <c r="D257" s="24">
        <f>IFERROR(INDEX('TECNICOS'!$D$4:$D$19,MATCH($C257,'TECNICOS'!$B$4:$B$19,0)),"")</f>
        <v/>
      </c>
      <c r="E257" s="24">
        <f>IFERROR(INDEX('TECNICOS'!$C$4:$C$19,MATCH($C257,'TECNICOS'!$B$4:$B$19,0)),"")</f>
        <v/>
      </c>
      <c r="F257" s="24">
        <f>COUNTIFS('TECNICOS'!$F$4:$F$19,"sí",'TECNICOS'!$C$4:$C$19,$E257,'TECNICOS'!$D$4:$D$19,$D257,'TECNICOS'!$H$4:$H$19,"sí")</f>
        <v/>
      </c>
      <c r="G257" s="24">
        <f>IF(OR($C257="",$A257="",$B257="domingo",IFERROR(INDEX('TECNICOS'!$H$4:$H$19,MATCH($C257,'TECNICOS'!$B$4:$B$19,0)),"no")&lt;&gt;"sí"),"",IF(IFERROR(INDEX('TECNICOS'!$F$4:$F$19,MATCH($C257,'TECNICOS'!$B$4:$B$19,0)),"no")&lt;&gt;"sí","B",IF(MOD((IFERROR(INDEX('TECNICOS'!$G$4:$G$19,MATCH($C257,'TECNICOS'!$B$4:$B$19,0)),0)-1)+((DATE(VALUE(LEFT($A257,4)),1,4)-WEEKDAY(DATE(VALUE(LEFT($A257,4)),1,4),2)+1+(VALUE(MID($A257,7,2))-1)*7)-p_semana_referencia)/7,$F257)&lt;($F257-3),"B"&amp;(($F257-3)-MOD((IFERROR(INDEX('TECNICOS'!$G$4:$G$19,MATCH($C257,'TECNICOS'!$B$4:$B$19,0)),0)-1)+((DATE(VALUE(LEFT($A257,4)),1,4)-WEEKDAY(DATE(VALUE(LEFT($A257,4)),1,4),2)+1+(VALUE(MID($A257,7,2))-1)*7)-p_semana_referencia)/7,$F257)),"T"&amp;($F257-MOD((IFERROR(INDEX('TECNICOS'!$G$4:$G$19,MATCH($C257,'TECNICOS'!$B$4:$B$19,0)),0)-1)+((DATE(VALUE(LEFT($A257,4)),1,4)-WEEKDAY(DATE(VALUE(LEFT($A257,4)),1,4),2)+1+(VALUE(MID($A257,7,2))-1)*7)-p_semana_referencia)/7,$F257)))))</f>
        <v/>
      </c>
      <c r="H257" s="24">
        <f>IF(COUNTIFS('PLAN_VACACIONES'!$A$4:$A$103,$C257,'PLAN_VACACIONES'!$B$4:$B$103,"&lt;="&amp;$L257,'PLAN_VACACIONES'!$C$4:$C$103,"&gt;="&amp;$L257)&gt;0,"sí","no")</f>
        <v/>
      </c>
      <c r="I257" s="4" t="n"/>
      <c r="J257" s="24">
        <f>IF($I257&lt;&gt;"",$I257,IF($G257="","",IF($H257="sí","VAC",IF(LEFT($G257,1)="B","B",$G257))))</f>
        <v/>
      </c>
      <c r="K257" s="24">
        <f>IFERROR(INDEX('TECNICOS'!$E$4:$E$19,MATCH($C257,'TECNICOS'!$B$4:$B$19,0)),"")</f>
        <v/>
      </c>
      <c r="L257" s="30">
        <f>IF($A257="","",DATE(VALUE(LEFT($A257,4)),1,4)-WEEKDAY(DATE(VALUE(LEFT($A257,4)),1,4),2)+1+(VALUE(MID($A257,7,2))-1)*7+MATCH($B257,lista_dias,0)-1)</f>
        <v/>
      </c>
      <c r="M257" s="24">
        <f>IF(OR($J257="",ISNUMBER(MATCH($J257,lista_no_disponible,0)),(IFERROR(INDEX('CALENDARIO'!$C$15:$C$214,MATCH(TEXT($L257,"yyyy-mm-dd")&amp;"|"&amp;$D257&amp;"|"&amp;"",'CALENDARIO'!$G$15:$G$214,0)),IFERROR(INDEX('CALENDARIO'!$C$15:$C$214,MATCH(TEXT($L257,"yyyy-mm-dd")&amp;"|"&amp;$D257&amp;"|",'CALENDARIO'!$G$15:$G$214,0)),IFERROR(INDEX('CALENDARIO'!$C$15:$C$214,MATCH(TEXT($L257,"yyyy-mm-dd")&amp;"||",'CALENDARIO'!$G$15:$G$214,0)),INDEX(patronHabil,WEEKDAY($L257,2))))))&lt;&gt;"sí"),0,p_horas_jornada)</f>
        <v/>
      </c>
      <c r="N257" s="24">
        <f>$A257&amp;"|"&amp;$B257&amp;"|"&amp;$C257</f>
        <v/>
      </c>
      <c r="O257" s="24">
        <f>IFERROR(INDEX('CAT_TURNOS'!$C$4:$C$22,MATCH($J257,'CAT_TURNOS'!$A$4:$A$22,0)),"")</f>
        <v/>
      </c>
      <c r="P257" s="24">
        <f>IFERROR(INDEX('CAT_TURNOS'!$D$4:$D$22,MATCH($J257,'CAT_TURNOS'!$A$4:$A$22,0)),"")</f>
        <v/>
      </c>
      <c r="Q257" s="24">
        <f>IF(AND(LEFT($G257,1)="T",$H257="no"),"sí","no")</f>
        <v/>
      </c>
    </row>
    <row r="258">
      <c r="A258" s="5" t="inlineStr">
        <is>
          <t>2026-S32</t>
        </is>
      </c>
      <c r="B258" s="5" t="inlineStr">
        <is>
          <t>miércoles</t>
        </is>
      </c>
      <c r="C258" s="5" t="inlineStr">
        <is>
          <t>Ana Sánchez</t>
        </is>
      </c>
      <c r="D258" s="24">
        <f>IFERROR(INDEX('TECNICOS'!$D$4:$D$19,MATCH($C258,'TECNICOS'!$B$4:$B$19,0)),"")</f>
        <v/>
      </c>
      <c r="E258" s="24">
        <f>IFERROR(INDEX('TECNICOS'!$C$4:$C$19,MATCH($C258,'TECNICOS'!$B$4:$B$19,0)),"")</f>
        <v/>
      </c>
      <c r="F258" s="24">
        <f>COUNTIFS('TECNICOS'!$F$4:$F$19,"sí",'TECNICOS'!$C$4:$C$19,$E258,'TECNICOS'!$D$4:$D$19,$D258,'TECNICOS'!$H$4:$H$19,"sí")</f>
        <v/>
      </c>
      <c r="G258" s="24">
        <f>IF(OR($C258="",$A258="",$B258="domingo",IFERROR(INDEX('TECNICOS'!$H$4:$H$19,MATCH($C258,'TECNICOS'!$B$4:$B$19,0)),"no")&lt;&gt;"sí"),"",IF(IFERROR(INDEX('TECNICOS'!$F$4:$F$19,MATCH($C258,'TECNICOS'!$B$4:$B$19,0)),"no")&lt;&gt;"sí","B",IF(MOD((IFERROR(INDEX('TECNICOS'!$G$4:$G$19,MATCH($C258,'TECNICOS'!$B$4:$B$19,0)),0)-1)+((DATE(VALUE(LEFT($A258,4)),1,4)-WEEKDAY(DATE(VALUE(LEFT($A258,4)),1,4),2)+1+(VALUE(MID($A258,7,2))-1)*7)-p_semana_referencia)/7,$F258)&lt;($F258-3),"B"&amp;(($F258-3)-MOD((IFERROR(INDEX('TECNICOS'!$G$4:$G$19,MATCH($C258,'TECNICOS'!$B$4:$B$19,0)),0)-1)+((DATE(VALUE(LEFT($A258,4)),1,4)-WEEKDAY(DATE(VALUE(LEFT($A258,4)),1,4),2)+1+(VALUE(MID($A258,7,2))-1)*7)-p_semana_referencia)/7,$F258)),"T"&amp;($F258-MOD((IFERROR(INDEX('TECNICOS'!$G$4:$G$19,MATCH($C258,'TECNICOS'!$B$4:$B$19,0)),0)-1)+((DATE(VALUE(LEFT($A258,4)),1,4)-WEEKDAY(DATE(VALUE(LEFT($A258,4)),1,4),2)+1+(VALUE(MID($A258,7,2))-1)*7)-p_semana_referencia)/7,$F258)))))</f>
        <v/>
      </c>
      <c r="H258" s="24">
        <f>IF(COUNTIFS('PLAN_VACACIONES'!$A$4:$A$103,$C258,'PLAN_VACACIONES'!$B$4:$B$103,"&lt;="&amp;$L258,'PLAN_VACACIONES'!$C$4:$C$103,"&gt;="&amp;$L258)&gt;0,"sí","no")</f>
        <v/>
      </c>
      <c r="I258" s="4" t="n"/>
      <c r="J258" s="24">
        <f>IF($I258&lt;&gt;"",$I258,IF($G258="","",IF($H258="sí","VAC",IF(LEFT($G258,1)="B","B",$G258))))</f>
        <v/>
      </c>
      <c r="K258" s="24">
        <f>IFERROR(INDEX('TECNICOS'!$E$4:$E$19,MATCH($C258,'TECNICOS'!$B$4:$B$19,0)),"")</f>
        <v/>
      </c>
      <c r="L258" s="30">
        <f>IF($A258="","",DATE(VALUE(LEFT($A258,4)),1,4)-WEEKDAY(DATE(VALUE(LEFT($A258,4)),1,4),2)+1+(VALUE(MID($A258,7,2))-1)*7+MATCH($B258,lista_dias,0)-1)</f>
        <v/>
      </c>
      <c r="M258" s="24">
        <f>IF(OR($J258="",ISNUMBER(MATCH($J258,lista_no_disponible,0)),(IFERROR(INDEX('CALENDARIO'!$C$15:$C$214,MATCH(TEXT($L258,"yyyy-mm-dd")&amp;"|"&amp;$D258&amp;"|"&amp;"",'CALENDARIO'!$G$15:$G$214,0)),IFERROR(INDEX('CALENDARIO'!$C$15:$C$214,MATCH(TEXT($L258,"yyyy-mm-dd")&amp;"|"&amp;$D258&amp;"|",'CALENDARIO'!$G$15:$G$214,0)),IFERROR(INDEX('CALENDARIO'!$C$15:$C$214,MATCH(TEXT($L258,"yyyy-mm-dd")&amp;"||",'CALENDARIO'!$G$15:$G$214,0)),INDEX(patronHabil,WEEKDAY($L258,2))))))&lt;&gt;"sí"),0,p_horas_jornada)</f>
        <v/>
      </c>
      <c r="N258" s="24">
        <f>$A258&amp;"|"&amp;$B258&amp;"|"&amp;$C258</f>
        <v/>
      </c>
      <c r="O258" s="24">
        <f>IFERROR(INDEX('CAT_TURNOS'!$C$4:$C$22,MATCH($J258,'CAT_TURNOS'!$A$4:$A$22,0)),"")</f>
        <v/>
      </c>
      <c r="P258" s="24">
        <f>IFERROR(INDEX('CAT_TURNOS'!$D$4:$D$22,MATCH($J258,'CAT_TURNOS'!$A$4:$A$22,0)),"")</f>
        <v/>
      </c>
      <c r="Q258" s="24">
        <f>IF(AND(LEFT($G258,1)="T",$H258="no"),"sí","no")</f>
        <v/>
      </c>
    </row>
    <row r="259">
      <c r="A259" s="5" t="inlineStr">
        <is>
          <t>2026-S32</t>
        </is>
      </c>
      <c r="B259" s="5" t="inlineStr">
        <is>
          <t>jueves</t>
        </is>
      </c>
      <c r="C259" s="5" t="inlineStr">
        <is>
          <t>Ana Sánchez</t>
        </is>
      </c>
      <c r="D259" s="24">
        <f>IFERROR(INDEX('TECNICOS'!$D$4:$D$19,MATCH($C259,'TECNICOS'!$B$4:$B$19,0)),"")</f>
        <v/>
      </c>
      <c r="E259" s="24">
        <f>IFERROR(INDEX('TECNICOS'!$C$4:$C$19,MATCH($C259,'TECNICOS'!$B$4:$B$19,0)),"")</f>
        <v/>
      </c>
      <c r="F259" s="24">
        <f>COUNTIFS('TECNICOS'!$F$4:$F$19,"sí",'TECNICOS'!$C$4:$C$19,$E259,'TECNICOS'!$D$4:$D$19,$D259,'TECNICOS'!$H$4:$H$19,"sí")</f>
        <v/>
      </c>
      <c r="G259" s="24">
        <f>IF(OR($C259="",$A259="",$B259="domingo",IFERROR(INDEX('TECNICOS'!$H$4:$H$19,MATCH($C259,'TECNICOS'!$B$4:$B$19,0)),"no")&lt;&gt;"sí"),"",IF(IFERROR(INDEX('TECNICOS'!$F$4:$F$19,MATCH($C259,'TECNICOS'!$B$4:$B$19,0)),"no")&lt;&gt;"sí","B",IF(MOD((IFERROR(INDEX('TECNICOS'!$G$4:$G$19,MATCH($C259,'TECNICOS'!$B$4:$B$19,0)),0)-1)+((DATE(VALUE(LEFT($A259,4)),1,4)-WEEKDAY(DATE(VALUE(LEFT($A259,4)),1,4),2)+1+(VALUE(MID($A259,7,2))-1)*7)-p_semana_referencia)/7,$F259)&lt;($F259-3),"B"&amp;(($F259-3)-MOD((IFERROR(INDEX('TECNICOS'!$G$4:$G$19,MATCH($C259,'TECNICOS'!$B$4:$B$19,0)),0)-1)+((DATE(VALUE(LEFT($A259,4)),1,4)-WEEKDAY(DATE(VALUE(LEFT($A259,4)),1,4),2)+1+(VALUE(MID($A259,7,2))-1)*7)-p_semana_referencia)/7,$F259)),"T"&amp;($F259-MOD((IFERROR(INDEX('TECNICOS'!$G$4:$G$19,MATCH($C259,'TECNICOS'!$B$4:$B$19,0)),0)-1)+((DATE(VALUE(LEFT($A259,4)),1,4)-WEEKDAY(DATE(VALUE(LEFT($A259,4)),1,4),2)+1+(VALUE(MID($A259,7,2))-1)*7)-p_semana_referencia)/7,$F259)))))</f>
        <v/>
      </c>
      <c r="H259" s="24">
        <f>IF(COUNTIFS('PLAN_VACACIONES'!$A$4:$A$103,$C259,'PLAN_VACACIONES'!$B$4:$B$103,"&lt;="&amp;$L259,'PLAN_VACACIONES'!$C$4:$C$103,"&gt;="&amp;$L259)&gt;0,"sí","no")</f>
        <v/>
      </c>
      <c r="I259" s="4" t="n"/>
      <c r="J259" s="24">
        <f>IF($I259&lt;&gt;"",$I259,IF($G259="","",IF($H259="sí","VAC",IF(LEFT($G259,1)="B","B",$G259))))</f>
        <v/>
      </c>
      <c r="K259" s="24">
        <f>IFERROR(INDEX('TECNICOS'!$E$4:$E$19,MATCH($C259,'TECNICOS'!$B$4:$B$19,0)),"")</f>
        <v/>
      </c>
      <c r="L259" s="30">
        <f>IF($A259="","",DATE(VALUE(LEFT($A259,4)),1,4)-WEEKDAY(DATE(VALUE(LEFT($A259,4)),1,4),2)+1+(VALUE(MID($A259,7,2))-1)*7+MATCH($B259,lista_dias,0)-1)</f>
        <v/>
      </c>
      <c r="M259" s="24">
        <f>IF(OR($J259="",ISNUMBER(MATCH($J259,lista_no_disponible,0)),(IFERROR(INDEX('CALENDARIO'!$C$15:$C$214,MATCH(TEXT($L259,"yyyy-mm-dd")&amp;"|"&amp;$D259&amp;"|"&amp;"",'CALENDARIO'!$G$15:$G$214,0)),IFERROR(INDEX('CALENDARIO'!$C$15:$C$214,MATCH(TEXT($L259,"yyyy-mm-dd")&amp;"|"&amp;$D259&amp;"|",'CALENDARIO'!$G$15:$G$214,0)),IFERROR(INDEX('CALENDARIO'!$C$15:$C$214,MATCH(TEXT($L259,"yyyy-mm-dd")&amp;"||",'CALENDARIO'!$G$15:$G$214,0)),INDEX(patronHabil,WEEKDAY($L259,2))))))&lt;&gt;"sí"),0,p_horas_jornada)</f>
        <v/>
      </c>
      <c r="N259" s="24">
        <f>$A259&amp;"|"&amp;$B259&amp;"|"&amp;$C259</f>
        <v/>
      </c>
      <c r="O259" s="24">
        <f>IFERROR(INDEX('CAT_TURNOS'!$C$4:$C$22,MATCH($J259,'CAT_TURNOS'!$A$4:$A$22,0)),"")</f>
        <v/>
      </c>
      <c r="P259" s="24">
        <f>IFERROR(INDEX('CAT_TURNOS'!$D$4:$D$22,MATCH($J259,'CAT_TURNOS'!$A$4:$A$22,0)),"")</f>
        <v/>
      </c>
      <c r="Q259" s="24">
        <f>IF(AND(LEFT($G259,1)="T",$H259="no"),"sí","no")</f>
        <v/>
      </c>
    </row>
    <row r="260">
      <c r="A260" s="5" t="inlineStr">
        <is>
          <t>2026-S32</t>
        </is>
      </c>
      <c r="B260" s="5" t="inlineStr">
        <is>
          <t>viernes</t>
        </is>
      </c>
      <c r="C260" s="5" t="inlineStr">
        <is>
          <t>Ana Sánchez</t>
        </is>
      </c>
      <c r="D260" s="24">
        <f>IFERROR(INDEX('TECNICOS'!$D$4:$D$19,MATCH($C260,'TECNICOS'!$B$4:$B$19,0)),"")</f>
        <v/>
      </c>
      <c r="E260" s="24">
        <f>IFERROR(INDEX('TECNICOS'!$C$4:$C$19,MATCH($C260,'TECNICOS'!$B$4:$B$19,0)),"")</f>
        <v/>
      </c>
      <c r="F260" s="24">
        <f>COUNTIFS('TECNICOS'!$F$4:$F$19,"sí",'TECNICOS'!$C$4:$C$19,$E260,'TECNICOS'!$D$4:$D$19,$D260,'TECNICOS'!$H$4:$H$19,"sí")</f>
        <v/>
      </c>
      <c r="G260" s="24">
        <f>IF(OR($C260="",$A260="",$B260="domingo",IFERROR(INDEX('TECNICOS'!$H$4:$H$19,MATCH($C260,'TECNICOS'!$B$4:$B$19,0)),"no")&lt;&gt;"sí"),"",IF(IFERROR(INDEX('TECNICOS'!$F$4:$F$19,MATCH($C260,'TECNICOS'!$B$4:$B$19,0)),"no")&lt;&gt;"sí","B",IF(MOD((IFERROR(INDEX('TECNICOS'!$G$4:$G$19,MATCH($C260,'TECNICOS'!$B$4:$B$19,0)),0)-1)+((DATE(VALUE(LEFT($A260,4)),1,4)-WEEKDAY(DATE(VALUE(LEFT($A260,4)),1,4),2)+1+(VALUE(MID($A260,7,2))-1)*7)-p_semana_referencia)/7,$F260)&lt;($F260-3),"B"&amp;(($F260-3)-MOD((IFERROR(INDEX('TECNICOS'!$G$4:$G$19,MATCH($C260,'TECNICOS'!$B$4:$B$19,0)),0)-1)+((DATE(VALUE(LEFT($A260,4)),1,4)-WEEKDAY(DATE(VALUE(LEFT($A260,4)),1,4),2)+1+(VALUE(MID($A260,7,2))-1)*7)-p_semana_referencia)/7,$F260)),"T"&amp;($F260-MOD((IFERROR(INDEX('TECNICOS'!$G$4:$G$19,MATCH($C260,'TECNICOS'!$B$4:$B$19,0)),0)-1)+((DATE(VALUE(LEFT($A260,4)),1,4)-WEEKDAY(DATE(VALUE(LEFT($A260,4)),1,4),2)+1+(VALUE(MID($A260,7,2))-1)*7)-p_semana_referencia)/7,$F260)))))</f>
        <v/>
      </c>
      <c r="H260" s="24">
        <f>IF(COUNTIFS('PLAN_VACACIONES'!$A$4:$A$103,$C260,'PLAN_VACACIONES'!$B$4:$B$103,"&lt;="&amp;$L260,'PLAN_VACACIONES'!$C$4:$C$103,"&gt;="&amp;$L260)&gt;0,"sí","no")</f>
        <v/>
      </c>
      <c r="I260" s="4" t="n"/>
      <c r="J260" s="24">
        <f>IF($I260&lt;&gt;"",$I260,IF($G260="","",IF($H260="sí","VAC",IF(LEFT($G260,1)="B","B",$G260))))</f>
        <v/>
      </c>
      <c r="K260" s="24">
        <f>IFERROR(INDEX('TECNICOS'!$E$4:$E$19,MATCH($C260,'TECNICOS'!$B$4:$B$19,0)),"")</f>
        <v/>
      </c>
      <c r="L260" s="30">
        <f>IF($A260="","",DATE(VALUE(LEFT($A260,4)),1,4)-WEEKDAY(DATE(VALUE(LEFT($A260,4)),1,4),2)+1+(VALUE(MID($A260,7,2))-1)*7+MATCH($B260,lista_dias,0)-1)</f>
        <v/>
      </c>
      <c r="M260" s="24">
        <f>IF(OR($J260="",ISNUMBER(MATCH($J260,lista_no_disponible,0)),(IFERROR(INDEX('CALENDARIO'!$C$15:$C$214,MATCH(TEXT($L260,"yyyy-mm-dd")&amp;"|"&amp;$D260&amp;"|"&amp;"",'CALENDARIO'!$G$15:$G$214,0)),IFERROR(INDEX('CALENDARIO'!$C$15:$C$214,MATCH(TEXT($L260,"yyyy-mm-dd")&amp;"|"&amp;$D260&amp;"|",'CALENDARIO'!$G$15:$G$214,0)),IFERROR(INDEX('CALENDARIO'!$C$15:$C$214,MATCH(TEXT($L260,"yyyy-mm-dd")&amp;"||",'CALENDARIO'!$G$15:$G$214,0)),INDEX(patronHabil,WEEKDAY($L260,2))))))&lt;&gt;"sí"),0,p_horas_jornada)</f>
        <v/>
      </c>
      <c r="N260" s="24">
        <f>$A260&amp;"|"&amp;$B260&amp;"|"&amp;$C260</f>
        <v/>
      </c>
      <c r="O260" s="24">
        <f>IFERROR(INDEX('CAT_TURNOS'!$C$4:$C$22,MATCH($J260,'CAT_TURNOS'!$A$4:$A$22,0)),"")</f>
        <v/>
      </c>
      <c r="P260" s="24">
        <f>IFERROR(INDEX('CAT_TURNOS'!$D$4:$D$22,MATCH($J260,'CAT_TURNOS'!$A$4:$A$22,0)),"")</f>
        <v/>
      </c>
      <c r="Q260" s="24">
        <f>IF(AND(LEFT($G260,1)="T",$H260="no"),"sí","no")</f>
        <v/>
      </c>
    </row>
    <row r="261">
      <c r="A261" s="5" t="inlineStr">
        <is>
          <t>2026-S32</t>
        </is>
      </c>
      <c r="B261" s="5" t="inlineStr">
        <is>
          <t>sábado</t>
        </is>
      </c>
      <c r="C261" s="5" t="inlineStr">
        <is>
          <t>Ana Sánchez</t>
        </is>
      </c>
      <c r="D261" s="24">
        <f>IFERROR(INDEX('TECNICOS'!$D$4:$D$19,MATCH($C261,'TECNICOS'!$B$4:$B$19,0)),"")</f>
        <v/>
      </c>
      <c r="E261" s="24">
        <f>IFERROR(INDEX('TECNICOS'!$C$4:$C$19,MATCH($C261,'TECNICOS'!$B$4:$B$19,0)),"")</f>
        <v/>
      </c>
      <c r="F261" s="24">
        <f>COUNTIFS('TECNICOS'!$F$4:$F$19,"sí",'TECNICOS'!$C$4:$C$19,$E261,'TECNICOS'!$D$4:$D$19,$D261,'TECNICOS'!$H$4:$H$19,"sí")</f>
        <v/>
      </c>
      <c r="G261" s="24">
        <f>IF(OR($C261="",$A261="",$B261="domingo",IFERROR(INDEX('TECNICOS'!$H$4:$H$19,MATCH($C261,'TECNICOS'!$B$4:$B$19,0)),"no")&lt;&gt;"sí"),"",IF(IFERROR(INDEX('TECNICOS'!$F$4:$F$19,MATCH($C261,'TECNICOS'!$B$4:$B$19,0)),"no")&lt;&gt;"sí","B",IF(MOD((IFERROR(INDEX('TECNICOS'!$G$4:$G$19,MATCH($C261,'TECNICOS'!$B$4:$B$19,0)),0)-1)+((DATE(VALUE(LEFT($A261,4)),1,4)-WEEKDAY(DATE(VALUE(LEFT($A261,4)),1,4),2)+1+(VALUE(MID($A261,7,2))-1)*7)-p_semana_referencia)/7,$F261)&lt;($F261-3),"B"&amp;(($F261-3)-MOD((IFERROR(INDEX('TECNICOS'!$G$4:$G$19,MATCH($C261,'TECNICOS'!$B$4:$B$19,0)),0)-1)+((DATE(VALUE(LEFT($A261,4)),1,4)-WEEKDAY(DATE(VALUE(LEFT($A261,4)),1,4),2)+1+(VALUE(MID($A261,7,2))-1)*7)-p_semana_referencia)/7,$F261)),"T"&amp;($F261-MOD((IFERROR(INDEX('TECNICOS'!$G$4:$G$19,MATCH($C261,'TECNICOS'!$B$4:$B$19,0)),0)-1)+((DATE(VALUE(LEFT($A261,4)),1,4)-WEEKDAY(DATE(VALUE(LEFT($A261,4)),1,4),2)+1+(VALUE(MID($A261,7,2))-1)*7)-p_semana_referencia)/7,$F261)))))</f>
        <v/>
      </c>
      <c r="H261" s="24">
        <f>IF(COUNTIFS('PLAN_VACACIONES'!$A$4:$A$103,$C261,'PLAN_VACACIONES'!$B$4:$B$103,"&lt;="&amp;$L261,'PLAN_VACACIONES'!$C$4:$C$103,"&gt;="&amp;$L261)&gt;0,"sí","no")</f>
        <v/>
      </c>
      <c r="I261" s="4" t="n"/>
      <c r="J261" s="24">
        <f>IF($I261&lt;&gt;"",$I261,IF($G261="","",IF($H261="sí","VAC",IF(LEFT($G261,1)="B","B",$G261))))</f>
        <v/>
      </c>
      <c r="K261" s="24">
        <f>IFERROR(INDEX('TECNICOS'!$E$4:$E$19,MATCH($C261,'TECNICOS'!$B$4:$B$19,0)),"")</f>
        <v/>
      </c>
      <c r="L261" s="30">
        <f>IF($A261="","",DATE(VALUE(LEFT($A261,4)),1,4)-WEEKDAY(DATE(VALUE(LEFT($A261,4)),1,4),2)+1+(VALUE(MID($A261,7,2))-1)*7+MATCH($B261,lista_dias,0)-1)</f>
        <v/>
      </c>
      <c r="M261" s="24">
        <f>IF(OR($J261="",ISNUMBER(MATCH($J261,lista_no_disponible,0)),(IFERROR(INDEX('CALENDARIO'!$C$15:$C$214,MATCH(TEXT($L261,"yyyy-mm-dd")&amp;"|"&amp;$D261&amp;"|"&amp;"",'CALENDARIO'!$G$15:$G$214,0)),IFERROR(INDEX('CALENDARIO'!$C$15:$C$214,MATCH(TEXT($L261,"yyyy-mm-dd")&amp;"|"&amp;$D261&amp;"|",'CALENDARIO'!$G$15:$G$214,0)),IFERROR(INDEX('CALENDARIO'!$C$15:$C$214,MATCH(TEXT($L261,"yyyy-mm-dd")&amp;"||",'CALENDARIO'!$G$15:$G$214,0)),INDEX(patronHabil,WEEKDAY($L261,2))))))&lt;&gt;"sí"),0,p_horas_jornada)</f>
        <v/>
      </c>
      <c r="N261" s="24">
        <f>$A261&amp;"|"&amp;$B261&amp;"|"&amp;$C261</f>
        <v/>
      </c>
      <c r="O261" s="24">
        <f>IFERROR(INDEX('CAT_TURNOS'!$C$4:$C$22,MATCH($J261,'CAT_TURNOS'!$A$4:$A$22,0)),"")</f>
        <v/>
      </c>
      <c r="P261" s="24">
        <f>IFERROR(INDEX('CAT_TURNOS'!$D$4:$D$22,MATCH($J261,'CAT_TURNOS'!$A$4:$A$22,0)),"")</f>
        <v/>
      </c>
      <c r="Q261" s="24">
        <f>IF(AND(LEFT($G261,1)="T",$H261="no"),"sí","no")</f>
        <v/>
      </c>
    </row>
    <row r="262">
      <c r="A262" s="5" t="inlineStr">
        <is>
          <t>2026-S32</t>
        </is>
      </c>
      <c r="B262" s="5" t="inlineStr">
        <is>
          <t>domingo</t>
        </is>
      </c>
      <c r="C262" s="5" t="inlineStr">
        <is>
          <t>Ana Sánchez</t>
        </is>
      </c>
      <c r="D262" s="24">
        <f>IFERROR(INDEX('TECNICOS'!$D$4:$D$19,MATCH($C262,'TECNICOS'!$B$4:$B$19,0)),"")</f>
        <v/>
      </c>
      <c r="E262" s="24">
        <f>IFERROR(INDEX('TECNICOS'!$C$4:$C$19,MATCH($C262,'TECNICOS'!$B$4:$B$19,0)),"")</f>
        <v/>
      </c>
      <c r="F262" s="24">
        <f>COUNTIFS('TECNICOS'!$F$4:$F$19,"sí",'TECNICOS'!$C$4:$C$19,$E262,'TECNICOS'!$D$4:$D$19,$D262,'TECNICOS'!$H$4:$H$19,"sí")</f>
        <v/>
      </c>
      <c r="G262" s="24">
        <f>IF(OR($C262="",$A262="",$B262="domingo",IFERROR(INDEX('TECNICOS'!$H$4:$H$19,MATCH($C262,'TECNICOS'!$B$4:$B$19,0)),"no")&lt;&gt;"sí"),"",IF(IFERROR(INDEX('TECNICOS'!$F$4:$F$19,MATCH($C262,'TECNICOS'!$B$4:$B$19,0)),"no")&lt;&gt;"sí","B",IF(MOD((IFERROR(INDEX('TECNICOS'!$G$4:$G$19,MATCH($C262,'TECNICOS'!$B$4:$B$19,0)),0)-1)+((DATE(VALUE(LEFT($A262,4)),1,4)-WEEKDAY(DATE(VALUE(LEFT($A262,4)),1,4),2)+1+(VALUE(MID($A262,7,2))-1)*7)-p_semana_referencia)/7,$F262)&lt;($F262-3),"B"&amp;(($F262-3)-MOD((IFERROR(INDEX('TECNICOS'!$G$4:$G$19,MATCH($C262,'TECNICOS'!$B$4:$B$19,0)),0)-1)+((DATE(VALUE(LEFT($A262,4)),1,4)-WEEKDAY(DATE(VALUE(LEFT($A262,4)),1,4),2)+1+(VALUE(MID($A262,7,2))-1)*7)-p_semana_referencia)/7,$F262)),"T"&amp;($F262-MOD((IFERROR(INDEX('TECNICOS'!$G$4:$G$19,MATCH($C262,'TECNICOS'!$B$4:$B$19,0)),0)-1)+((DATE(VALUE(LEFT($A262,4)),1,4)-WEEKDAY(DATE(VALUE(LEFT($A262,4)),1,4),2)+1+(VALUE(MID($A262,7,2))-1)*7)-p_semana_referencia)/7,$F262)))))</f>
        <v/>
      </c>
      <c r="H262" s="24">
        <f>IF(COUNTIFS('PLAN_VACACIONES'!$A$4:$A$103,$C262,'PLAN_VACACIONES'!$B$4:$B$103,"&lt;="&amp;$L262,'PLAN_VACACIONES'!$C$4:$C$103,"&gt;="&amp;$L262)&gt;0,"sí","no")</f>
        <v/>
      </c>
      <c r="I262" s="4" t="n"/>
      <c r="J262" s="24">
        <f>IF($I262&lt;&gt;"",$I262,IF($G262="","",IF($H262="sí","VAC",IF(LEFT($G262,1)="B","B",$G262))))</f>
        <v/>
      </c>
      <c r="K262" s="24">
        <f>IFERROR(INDEX('TECNICOS'!$E$4:$E$19,MATCH($C262,'TECNICOS'!$B$4:$B$19,0)),"")</f>
        <v/>
      </c>
      <c r="L262" s="30">
        <f>IF($A262="","",DATE(VALUE(LEFT($A262,4)),1,4)-WEEKDAY(DATE(VALUE(LEFT($A262,4)),1,4),2)+1+(VALUE(MID($A262,7,2))-1)*7+MATCH($B262,lista_dias,0)-1)</f>
        <v/>
      </c>
      <c r="M262" s="24">
        <f>IF(OR($J262="",ISNUMBER(MATCH($J262,lista_no_disponible,0)),(IFERROR(INDEX('CALENDARIO'!$C$15:$C$214,MATCH(TEXT($L262,"yyyy-mm-dd")&amp;"|"&amp;$D262&amp;"|"&amp;"",'CALENDARIO'!$G$15:$G$214,0)),IFERROR(INDEX('CALENDARIO'!$C$15:$C$214,MATCH(TEXT($L262,"yyyy-mm-dd")&amp;"|"&amp;$D262&amp;"|",'CALENDARIO'!$G$15:$G$214,0)),IFERROR(INDEX('CALENDARIO'!$C$15:$C$214,MATCH(TEXT($L262,"yyyy-mm-dd")&amp;"||",'CALENDARIO'!$G$15:$G$214,0)),INDEX(patronHabil,WEEKDAY($L262,2))))))&lt;&gt;"sí"),0,p_horas_jornada)</f>
        <v/>
      </c>
      <c r="N262" s="24">
        <f>$A262&amp;"|"&amp;$B262&amp;"|"&amp;$C262</f>
        <v/>
      </c>
      <c r="O262" s="24">
        <f>IFERROR(INDEX('CAT_TURNOS'!$C$4:$C$22,MATCH($J262,'CAT_TURNOS'!$A$4:$A$22,0)),"")</f>
        <v/>
      </c>
      <c r="P262" s="24">
        <f>IFERROR(INDEX('CAT_TURNOS'!$D$4:$D$22,MATCH($J262,'CAT_TURNOS'!$A$4:$A$22,0)),"")</f>
        <v/>
      </c>
      <c r="Q262" s="24">
        <f>IF(AND(LEFT($G262,1)="T",$H262="no"),"sí","no")</f>
        <v/>
      </c>
    </row>
    <row r="263">
      <c r="A263" s="5" t="inlineStr">
        <is>
          <t>2026-S32</t>
        </is>
      </c>
      <c r="B263" s="5" t="inlineStr">
        <is>
          <t>lunes</t>
        </is>
      </c>
      <c r="C263" s="5" t="inlineStr">
        <is>
          <t>David Torres</t>
        </is>
      </c>
      <c r="D263" s="24">
        <f>IFERROR(INDEX('TECNICOS'!$D$4:$D$19,MATCH($C263,'TECNICOS'!$B$4:$B$19,0)),"")</f>
        <v/>
      </c>
      <c r="E263" s="24">
        <f>IFERROR(INDEX('TECNICOS'!$C$4:$C$19,MATCH($C263,'TECNICOS'!$B$4:$B$19,0)),"")</f>
        <v/>
      </c>
      <c r="F263" s="24">
        <f>COUNTIFS('TECNICOS'!$F$4:$F$19,"sí",'TECNICOS'!$C$4:$C$19,$E263,'TECNICOS'!$D$4:$D$19,$D263,'TECNICOS'!$H$4:$H$19,"sí")</f>
        <v/>
      </c>
      <c r="G263" s="24">
        <f>IF(OR($C263="",$A263="",$B263="domingo",IFERROR(INDEX('TECNICOS'!$H$4:$H$19,MATCH($C263,'TECNICOS'!$B$4:$B$19,0)),"no")&lt;&gt;"sí"),"",IF(IFERROR(INDEX('TECNICOS'!$F$4:$F$19,MATCH($C263,'TECNICOS'!$B$4:$B$19,0)),"no")&lt;&gt;"sí","B",IF(MOD((IFERROR(INDEX('TECNICOS'!$G$4:$G$19,MATCH($C263,'TECNICOS'!$B$4:$B$19,0)),0)-1)+((DATE(VALUE(LEFT($A263,4)),1,4)-WEEKDAY(DATE(VALUE(LEFT($A263,4)),1,4),2)+1+(VALUE(MID($A263,7,2))-1)*7)-p_semana_referencia)/7,$F263)&lt;($F263-3),"B"&amp;(($F263-3)-MOD((IFERROR(INDEX('TECNICOS'!$G$4:$G$19,MATCH($C263,'TECNICOS'!$B$4:$B$19,0)),0)-1)+((DATE(VALUE(LEFT($A263,4)),1,4)-WEEKDAY(DATE(VALUE(LEFT($A263,4)),1,4),2)+1+(VALUE(MID($A263,7,2))-1)*7)-p_semana_referencia)/7,$F263)),"T"&amp;($F263-MOD((IFERROR(INDEX('TECNICOS'!$G$4:$G$19,MATCH($C263,'TECNICOS'!$B$4:$B$19,0)),0)-1)+((DATE(VALUE(LEFT($A263,4)),1,4)-WEEKDAY(DATE(VALUE(LEFT($A263,4)),1,4),2)+1+(VALUE(MID($A263,7,2))-1)*7)-p_semana_referencia)/7,$F263)))))</f>
        <v/>
      </c>
      <c r="H263" s="24">
        <f>IF(COUNTIFS('PLAN_VACACIONES'!$A$4:$A$103,$C263,'PLAN_VACACIONES'!$B$4:$B$103,"&lt;="&amp;$L263,'PLAN_VACACIONES'!$C$4:$C$103,"&gt;="&amp;$L263)&gt;0,"sí","no")</f>
        <v/>
      </c>
      <c r="I263" s="4" t="n"/>
      <c r="J263" s="24">
        <f>IF($I263&lt;&gt;"",$I263,IF($G263="","",IF($H263="sí","VAC",IF(LEFT($G263,1)="B","B",$G263))))</f>
        <v/>
      </c>
      <c r="K263" s="24">
        <f>IFERROR(INDEX('TECNICOS'!$E$4:$E$19,MATCH($C263,'TECNICOS'!$B$4:$B$19,0)),"")</f>
        <v/>
      </c>
      <c r="L263" s="30">
        <f>IF($A263="","",DATE(VALUE(LEFT($A263,4)),1,4)-WEEKDAY(DATE(VALUE(LEFT($A263,4)),1,4),2)+1+(VALUE(MID($A263,7,2))-1)*7+MATCH($B263,lista_dias,0)-1)</f>
        <v/>
      </c>
      <c r="M263" s="24">
        <f>IF(OR($J263="",ISNUMBER(MATCH($J263,lista_no_disponible,0)),(IFERROR(INDEX('CALENDARIO'!$C$15:$C$214,MATCH(TEXT($L263,"yyyy-mm-dd")&amp;"|"&amp;$D263&amp;"|"&amp;"",'CALENDARIO'!$G$15:$G$214,0)),IFERROR(INDEX('CALENDARIO'!$C$15:$C$214,MATCH(TEXT($L263,"yyyy-mm-dd")&amp;"|"&amp;$D263&amp;"|",'CALENDARIO'!$G$15:$G$214,0)),IFERROR(INDEX('CALENDARIO'!$C$15:$C$214,MATCH(TEXT($L263,"yyyy-mm-dd")&amp;"||",'CALENDARIO'!$G$15:$G$214,0)),INDEX(patronHabil,WEEKDAY($L263,2))))))&lt;&gt;"sí"),0,p_horas_jornada)</f>
        <v/>
      </c>
      <c r="N263" s="24">
        <f>$A263&amp;"|"&amp;$B263&amp;"|"&amp;$C263</f>
        <v/>
      </c>
      <c r="O263" s="24">
        <f>IFERROR(INDEX('CAT_TURNOS'!$C$4:$C$22,MATCH($J263,'CAT_TURNOS'!$A$4:$A$22,0)),"")</f>
        <v/>
      </c>
      <c r="P263" s="24">
        <f>IFERROR(INDEX('CAT_TURNOS'!$D$4:$D$22,MATCH($J263,'CAT_TURNOS'!$A$4:$A$22,0)),"")</f>
        <v/>
      </c>
      <c r="Q263" s="24">
        <f>IF(AND(LEFT($G263,1)="T",$H263="no"),"sí","no")</f>
        <v/>
      </c>
    </row>
    <row r="264">
      <c r="A264" s="5" t="inlineStr">
        <is>
          <t>2026-S32</t>
        </is>
      </c>
      <c r="B264" s="5" t="inlineStr">
        <is>
          <t>martes</t>
        </is>
      </c>
      <c r="C264" s="5" t="inlineStr">
        <is>
          <t>David Torres</t>
        </is>
      </c>
      <c r="D264" s="24">
        <f>IFERROR(INDEX('TECNICOS'!$D$4:$D$19,MATCH($C264,'TECNICOS'!$B$4:$B$19,0)),"")</f>
        <v/>
      </c>
      <c r="E264" s="24">
        <f>IFERROR(INDEX('TECNICOS'!$C$4:$C$19,MATCH($C264,'TECNICOS'!$B$4:$B$19,0)),"")</f>
        <v/>
      </c>
      <c r="F264" s="24">
        <f>COUNTIFS('TECNICOS'!$F$4:$F$19,"sí",'TECNICOS'!$C$4:$C$19,$E264,'TECNICOS'!$D$4:$D$19,$D264,'TECNICOS'!$H$4:$H$19,"sí")</f>
        <v/>
      </c>
      <c r="G264" s="24">
        <f>IF(OR($C264="",$A264="",$B264="domingo",IFERROR(INDEX('TECNICOS'!$H$4:$H$19,MATCH($C264,'TECNICOS'!$B$4:$B$19,0)),"no")&lt;&gt;"sí"),"",IF(IFERROR(INDEX('TECNICOS'!$F$4:$F$19,MATCH($C264,'TECNICOS'!$B$4:$B$19,0)),"no")&lt;&gt;"sí","B",IF(MOD((IFERROR(INDEX('TECNICOS'!$G$4:$G$19,MATCH($C264,'TECNICOS'!$B$4:$B$19,0)),0)-1)+((DATE(VALUE(LEFT($A264,4)),1,4)-WEEKDAY(DATE(VALUE(LEFT($A264,4)),1,4),2)+1+(VALUE(MID($A264,7,2))-1)*7)-p_semana_referencia)/7,$F264)&lt;($F264-3),"B"&amp;(($F264-3)-MOD((IFERROR(INDEX('TECNICOS'!$G$4:$G$19,MATCH($C264,'TECNICOS'!$B$4:$B$19,0)),0)-1)+((DATE(VALUE(LEFT($A264,4)),1,4)-WEEKDAY(DATE(VALUE(LEFT($A264,4)),1,4),2)+1+(VALUE(MID($A264,7,2))-1)*7)-p_semana_referencia)/7,$F264)),"T"&amp;($F264-MOD((IFERROR(INDEX('TECNICOS'!$G$4:$G$19,MATCH($C264,'TECNICOS'!$B$4:$B$19,0)),0)-1)+((DATE(VALUE(LEFT($A264,4)),1,4)-WEEKDAY(DATE(VALUE(LEFT($A264,4)),1,4),2)+1+(VALUE(MID($A264,7,2))-1)*7)-p_semana_referencia)/7,$F264)))))</f>
        <v/>
      </c>
      <c r="H264" s="24">
        <f>IF(COUNTIFS('PLAN_VACACIONES'!$A$4:$A$103,$C264,'PLAN_VACACIONES'!$B$4:$B$103,"&lt;="&amp;$L264,'PLAN_VACACIONES'!$C$4:$C$103,"&gt;="&amp;$L264)&gt;0,"sí","no")</f>
        <v/>
      </c>
      <c r="I264" s="4" t="n"/>
      <c r="J264" s="24">
        <f>IF($I264&lt;&gt;"",$I264,IF($G264="","",IF($H264="sí","VAC",IF(LEFT($G264,1)="B","B",$G264))))</f>
        <v/>
      </c>
      <c r="K264" s="24">
        <f>IFERROR(INDEX('TECNICOS'!$E$4:$E$19,MATCH($C264,'TECNICOS'!$B$4:$B$19,0)),"")</f>
        <v/>
      </c>
      <c r="L264" s="30">
        <f>IF($A264="","",DATE(VALUE(LEFT($A264,4)),1,4)-WEEKDAY(DATE(VALUE(LEFT($A264,4)),1,4),2)+1+(VALUE(MID($A264,7,2))-1)*7+MATCH($B264,lista_dias,0)-1)</f>
        <v/>
      </c>
      <c r="M264" s="24">
        <f>IF(OR($J264="",ISNUMBER(MATCH($J264,lista_no_disponible,0)),(IFERROR(INDEX('CALENDARIO'!$C$15:$C$214,MATCH(TEXT($L264,"yyyy-mm-dd")&amp;"|"&amp;$D264&amp;"|"&amp;"",'CALENDARIO'!$G$15:$G$214,0)),IFERROR(INDEX('CALENDARIO'!$C$15:$C$214,MATCH(TEXT($L264,"yyyy-mm-dd")&amp;"|"&amp;$D264&amp;"|",'CALENDARIO'!$G$15:$G$214,0)),IFERROR(INDEX('CALENDARIO'!$C$15:$C$214,MATCH(TEXT($L264,"yyyy-mm-dd")&amp;"||",'CALENDARIO'!$G$15:$G$214,0)),INDEX(patronHabil,WEEKDAY($L264,2))))))&lt;&gt;"sí"),0,p_horas_jornada)</f>
        <v/>
      </c>
      <c r="N264" s="24">
        <f>$A264&amp;"|"&amp;$B264&amp;"|"&amp;$C264</f>
        <v/>
      </c>
      <c r="O264" s="24">
        <f>IFERROR(INDEX('CAT_TURNOS'!$C$4:$C$22,MATCH($J264,'CAT_TURNOS'!$A$4:$A$22,0)),"")</f>
        <v/>
      </c>
      <c r="P264" s="24">
        <f>IFERROR(INDEX('CAT_TURNOS'!$D$4:$D$22,MATCH($J264,'CAT_TURNOS'!$A$4:$A$22,0)),"")</f>
        <v/>
      </c>
      <c r="Q264" s="24">
        <f>IF(AND(LEFT($G264,1)="T",$H264="no"),"sí","no")</f>
        <v/>
      </c>
    </row>
    <row r="265">
      <c r="A265" s="5" t="inlineStr">
        <is>
          <t>2026-S32</t>
        </is>
      </c>
      <c r="B265" s="5" t="inlineStr">
        <is>
          <t>miércoles</t>
        </is>
      </c>
      <c r="C265" s="5" t="inlineStr">
        <is>
          <t>David Torres</t>
        </is>
      </c>
      <c r="D265" s="24">
        <f>IFERROR(INDEX('TECNICOS'!$D$4:$D$19,MATCH($C265,'TECNICOS'!$B$4:$B$19,0)),"")</f>
        <v/>
      </c>
      <c r="E265" s="24">
        <f>IFERROR(INDEX('TECNICOS'!$C$4:$C$19,MATCH($C265,'TECNICOS'!$B$4:$B$19,0)),"")</f>
        <v/>
      </c>
      <c r="F265" s="24">
        <f>COUNTIFS('TECNICOS'!$F$4:$F$19,"sí",'TECNICOS'!$C$4:$C$19,$E265,'TECNICOS'!$D$4:$D$19,$D265,'TECNICOS'!$H$4:$H$19,"sí")</f>
        <v/>
      </c>
      <c r="G265" s="24">
        <f>IF(OR($C265="",$A265="",$B265="domingo",IFERROR(INDEX('TECNICOS'!$H$4:$H$19,MATCH($C265,'TECNICOS'!$B$4:$B$19,0)),"no")&lt;&gt;"sí"),"",IF(IFERROR(INDEX('TECNICOS'!$F$4:$F$19,MATCH($C265,'TECNICOS'!$B$4:$B$19,0)),"no")&lt;&gt;"sí","B",IF(MOD((IFERROR(INDEX('TECNICOS'!$G$4:$G$19,MATCH($C265,'TECNICOS'!$B$4:$B$19,0)),0)-1)+((DATE(VALUE(LEFT($A265,4)),1,4)-WEEKDAY(DATE(VALUE(LEFT($A265,4)),1,4),2)+1+(VALUE(MID($A265,7,2))-1)*7)-p_semana_referencia)/7,$F265)&lt;($F265-3),"B"&amp;(($F265-3)-MOD((IFERROR(INDEX('TECNICOS'!$G$4:$G$19,MATCH($C265,'TECNICOS'!$B$4:$B$19,0)),0)-1)+((DATE(VALUE(LEFT($A265,4)),1,4)-WEEKDAY(DATE(VALUE(LEFT($A265,4)),1,4),2)+1+(VALUE(MID($A265,7,2))-1)*7)-p_semana_referencia)/7,$F265)),"T"&amp;($F265-MOD((IFERROR(INDEX('TECNICOS'!$G$4:$G$19,MATCH($C265,'TECNICOS'!$B$4:$B$19,0)),0)-1)+((DATE(VALUE(LEFT($A265,4)),1,4)-WEEKDAY(DATE(VALUE(LEFT($A265,4)),1,4),2)+1+(VALUE(MID($A265,7,2))-1)*7)-p_semana_referencia)/7,$F265)))))</f>
        <v/>
      </c>
      <c r="H265" s="24">
        <f>IF(COUNTIFS('PLAN_VACACIONES'!$A$4:$A$103,$C265,'PLAN_VACACIONES'!$B$4:$B$103,"&lt;="&amp;$L265,'PLAN_VACACIONES'!$C$4:$C$103,"&gt;="&amp;$L265)&gt;0,"sí","no")</f>
        <v/>
      </c>
      <c r="I265" s="4" t="n"/>
      <c r="J265" s="24">
        <f>IF($I265&lt;&gt;"",$I265,IF($G265="","",IF($H265="sí","VAC",IF(LEFT($G265,1)="B","B",$G265))))</f>
        <v/>
      </c>
      <c r="K265" s="24">
        <f>IFERROR(INDEX('TECNICOS'!$E$4:$E$19,MATCH($C265,'TECNICOS'!$B$4:$B$19,0)),"")</f>
        <v/>
      </c>
      <c r="L265" s="30">
        <f>IF($A265="","",DATE(VALUE(LEFT($A265,4)),1,4)-WEEKDAY(DATE(VALUE(LEFT($A265,4)),1,4),2)+1+(VALUE(MID($A265,7,2))-1)*7+MATCH($B265,lista_dias,0)-1)</f>
        <v/>
      </c>
      <c r="M265" s="24">
        <f>IF(OR($J265="",ISNUMBER(MATCH($J265,lista_no_disponible,0)),(IFERROR(INDEX('CALENDARIO'!$C$15:$C$214,MATCH(TEXT($L265,"yyyy-mm-dd")&amp;"|"&amp;$D265&amp;"|"&amp;"",'CALENDARIO'!$G$15:$G$214,0)),IFERROR(INDEX('CALENDARIO'!$C$15:$C$214,MATCH(TEXT($L265,"yyyy-mm-dd")&amp;"|"&amp;$D265&amp;"|",'CALENDARIO'!$G$15:$G$214,0)),IFERROR(INDEX('CALENDARIO'!$C$15:$C$214,MATCH(TEXT($L265,"yyyy-mm-dd")&amp;"||",'CALENDARIO'!$G$15:$G$214,0)),INDEX(patronHabil,WEEKDAY($L265,2))))))&lt;&gt;"sí"),0,p_horas_jornada)</f>
        <v/>
      </c>
      <c r="N265" s="24">
        <f>$A265&amp;"|"&amp;$B265&amp;"|"&amp;$C265</f>
        <v/>
      </c>
      <c r="O265" s="24">
        <f>IFERROR(INDEX('CAT_TURNOS'!$C$4:$C$22,MATCH($J265,'CAT_TURNOS'!$A$4:$A$22,0)),"")</f>
        <v/>
      </c>
      <c r="P265" s="24">
        <f>IFERROR(INDEX('CAT_TURNOS'!$D$4:$D$22,MATCH($J265,'CAT_TURNOS'!$A$4:$A$22,0)),"")</f>
        <v/>
      </c>
      <c r="Q265" s="24">
        <f>IF(AND(LEFT($G265,1)="T",$H265="no"),"sí","no")</f>
        <v/>
      </c>
    </row>
    <row r="266">
      <c r="A266" s="5" t="inlineStr">
        <is>
          <t>2026-S32</t>
        </is>
      </c>
      <c r="B266" s="5" t="inlineStr">
        <is>
          <t>jueves</t>
        </is>
      </c>
      <c r="C266" s="5" t="inlineStr">
        <is>
          <t>David Torres</t>
        </is>
      </c>
      <c r="D266" s="24">
        <f>IFERROR(INDEX('TECNICOS'!$D$4:$D$19,MATCH($C266,'TECNICOS'!$B$4:$B$19,0)),"")</f>
        <v/>
      </c>
      <c r="E266" s="24">
        <f>IFERROR(INDEX('TECNICOS'!$C$4:$C$19,MATCH($C266,'TECNICOS'!$B$4:$B$19,0)),"")</f>
        <v/>
      </c>
      <c r="F266" s="24">
        <f>COUNTIFS('TECNICOS'!$F$4:$F$19,"sí",'TECNICOS'!$C$4:$C$19,$E266,'TECNICOS'!$D$4:$D$19,$D266,'TECNICOS'!$H$4:$H$19,"sí")</f>
        <v/>
      </c>
      <c r="G266" s="24">
        <f>IF(OR($C266="",$A266="",$B266="domingo",IFERROR(INDEX('TECNICOS'!$H$4:$H$19,MATCH($C266,'TECNICOS'!$B$4:$B$19,0)),"no")&lt;&gt;"sí"),"",IF(IFERROR(INDEX('TECNICOS'!$F$4:$F$19,MATCH($C266,'TECNICOS'!$B$4:$B$19,0)),"no")&lt;&gt;"sí","B",IF(MOD((IFERROR(INDEX('TECNICOS'!$G$4:$G$19,MATCH($C266,'TECNICOS'!$B$4:$B$19,0)),0)-1)+((DATE(VALUE(LEFT($A266,4)),1,4)-WEEKDAY(DATE(VALUE(LEFT($A266,4)),1,4),2)+1+(VALUE(MID($A266,7,2))-1)*7)-p_semana_referencia)/7,$F266)&lt;($F266-3),"B"&amp;(($F266-3)-MOD((IFERROR(INDEX('TECNICOS'!$G$4:$G$19,MATCH($C266,'TECNICOS'!$B$4:$B$19,0)),0)-1)+((DATE(VALUE(LEFT($A266,4)),1,4)-WEEKDAY(DATE(VALUE(LEFT($A266,4)),1,4),2)+1+(VALUE(MID($A266,7,2))-1)*7)-p_semana_referencia)/7,$F266)),"T"&amp;($F266-MOD((IFERROR(INDEX('TECNICOS'!$G$4:$G$19,MATCH($C266,'TECNICOS'!$B$4:$B$19,0)),0)-1)+((DATE(VALUE(LEFT($A266,4)),1,4)-WEEKDAY(DATE(VALUE(LEFT($A266,4)),1,4),2)+1+(VALUE(MID($A266,7,2))-1)*7)-p_semana_referencia)/7,$F266)))))</f>
        <v/>
      </c>
      <c r="H266" s="24">
        <f>IF(COUNTIFS('PLAN_VACACIONES'!$A$4:$A$103,$C266,'PLAN_VACACIONES'!$B$4:$B$103,"&lt;="&amp;$L266,'PLAN_VACACIONES'!$C$4:$C$103,"&gt;="&amp;$L266)&gt;0,"sí","no")</f>
        <v/>
      </c>
      <c r="I266" s="4" t="n"/>
      <c r="J266" s="24">
        <f>IF($I266&lt;&gt;"",$I266,IF($G266="","",IF($H266="sí","VAC",IF(LEFT($G266,1)="B","B",$G266))))</f>
        <v/>
      </c>
      <c r="K266" s="24">
        <f>IFERROR(INDEX('TECNICOS'!$E$4:$E$19,MATCH($C266,'TECNICOS'!$B$4:$B$19,0)),"")</f>
        <v/>
      </c>
      <c r="L266" s="30">
        <f>IF($A266="","",DATE(VALUE(LEFT($A266,4)),1,4)-WEEKDAY(DATE(VALUE(LEFT($A266,4)),1,4),2)+1+(VALUE(MID($A266,7,2))-1)*7+MATCH($B266,lista_dias,0)-1)</f>
        <v/>
      </c>
      <c r="M266" s="24">
        <f>IF(OR($J266="",ISNUMBER(MATCH($J266,lista_no_disponible,0)),(IFERROR(INDEX('CALENDARIO'!$C$15:$C$214,MATCH(TEXT($L266,"yyyy-mm-dd")&amp;"|"&amp;$D266&amp;"|"&amp;"",'CALENDARIO'!$G$15:$G$214,0)),IFERROR(INDEX('CALENDARIO'!$C$15:$C$214,MATCH(TEXT($L266,"yyyy-mm-dd")&amp;"|"&amp;$D266&amp;"|",'CALENDARIO'!$G$15:$G$214,0)),IFERROR(INDEX('CALENDARIO'!$C$15:$C$214,MATCH(TEXT($L266,"yyyy-mm-dd")&amp;"||",'CALENDARIO'!$G$15:$G$214,0)),INDEX(patronHabil,WEEKDAY($L266,2))))))&lt;&gt;"sí"),0,p_horas_jornada)</f>
        <v/>
      </c>
      <c r="N266" s="24">
        <f>$A266&amp;"|"&amp;$B266&amp;"|"&amp;$C266</f>
        <v/>
      </c>
      <c r="O266" s="24">
        <f>IFERROR(INDEX('CAT_TURNOS'!$C$4:$C$22,MATCH($J266,'CAT_TURNOS'!$A$4:$A$22,0)),"")</f>
        <v/>
      </c>
      <c r="P266" s="24">
        <f>IFERROR(INDEX('CAT_TURNOS'!$D$4:$D$22,MATCH($J266,'CAT_TURNOS'!$A$4:$A$22,0)),"")</f>
        <v/>
      </c>
      <c r="Q266" s="24">
        <f>IF(AND(LEFT($G266,1)="T",$H266="no"),"sí","no")</f>
        <v/>
      </c>
    </row>
    <row r="267">
      <c r="A267" s="5" t="inlineStr">
        <is>
          <t>2026-S32</t>
        </is>
      </c>
      <c r="B267" s="5" t="inlineStr">
        <is>
          <t>viernes</t>
        </is>
      </c>
      <c r="C267" s="5" t="inlineStr">
        <is>
          <t>David Torres</t>
        </is>
      </c>
      <c r="D267" s="24">
        <f>IFERROR(INDEX('TECNICOS'!$D$4:$D$19,MATCH($C267,'TECNICOS'!$B$4:$B$19,0)),"")</f>
        <v/>
      </c>
      <c r="E267" s="24">
        <f>IFERROR(INDEX('TECNICOS'!$C$4:$C$19,MATCH($C267,'TECNICOS'!$B$4:$B$19,0)),"")</f>
        <v/>
      </c>
      <c r="F267" s="24">
        <f>COUNTIFS('TECNICOS'!$F$4:$F$19,"sí",'TECNICOS'!$C$4:$C$19,$E267,'TECNICOS'!$D$4:$D$19,$D267,'TECNICOS'!$H$4:$H$19,"sí")</f>
        <v/>
      </c>
      <c r="G267" s="24">
        <f>IF(OR($C267="",$A267="",$B267="domingo",IFERROR(INDEX('TECNICOS'!$H$4:$H$19,MATCH($C267,'TECNICOS'!$B$4:$B$19,0)),"no")&lt;&gt;"sí"),"",IF(IFERROR(INDEX('TECNICOS'!$F$4:$F$19,MATCH($C267,'TECNICOS'!$B$4:$B$19,0)),"no")&lt;&gt;"sí","B",IF(MOD((IFERROR(INDEX('TECNICOS'!$G$4:$G$19,MATCH($C267,'TECNICOS'!$B$4:$B$19,0)),0)-1)+((DATE(VALUE(LEFT($A267,4)),1,4)-WEEKDAY(DATE(VALUE(LEFT($A267,4)),1,4),2)+1+(VALUE(MID($A267,7,2))-1)*7)-p_semana_referencia)/7,$F267)&lt;($F267-3),"B"&amp;(($F267-3)-MOD((IFERROR(INDEX('TECNICOS'!$G$4:$G$19,MATCH($C267,'TECNICOS'!$B$4:$B$19,0)),0)-1)+((DATE(VALUE(LEFT($A267,4)),1,4)-WEEKDAY(DATE(VALUE(LEFT($A267,4)),1,4),2)+1+(VALUE(MID($A267,7,2))-1)*7)-p_semana_referencia)/7,$F267)),"T"&amp;($F267-MOD((IFERROR(INDEX('TECNICOS'!$G$4:$G$19,MATCH($C267,'TECNICOS'!$B$4:$B$19,0)),0)-1)+((DATE(VALUE(LEFT($A267,4)),1,4)-WEEKDAY(DATE(VALUE(LEFT($A267,4)),1,4),2)+1+(VALUE(MID($A267,7,2))-1)*7)-p_semana_referencia)/7,$F267)))))</f>
        <v/>
      </c>
      <c r="H267" s="24">
        <f>IF(COUNTIFS('PLAN_VACACIONES'!$A$4:$A$103,$C267,'PLAN_VACACIONES'!$B$4:$B$103,"&lt;="&amp;$L267,'PLAN_VACACIONES'!$C$4:$C$103,"&gt;="&amp;$L267)&gt;0,"sí","no")</f>
        <v/>
      </c>
      <c r="I267" s="4" t="n"/>
      <c r="J267" s="24">
        <f>IF($I267&lt;&gt;"",$I267,IF($G267="","",IF($H267="sí","VAC",IF(LEFT($G267,1)="B","B",$G267))))</f>
        <v/>
      </c>
      <c r="K267" s="24">
        <f>IFERROR(INDEX('TECNICOS'!$E$4:$E$19,MATCH($C267,'TECNICOS'!$B$4:$B$19,0)),"")</f>
        <v/>
      </c>
      <c r="L267" s="30">
        <f>IF($A267="","",DATE(VALUE(LEFT($A267,4)),1,4)-WEEKDAY(DATE(VALUE(LEFT($A267,4)),1,4),2)+1+(VALUE(MID($A267,7,2))-1)*7+MATCH($B267,lista_dias,0)-1)</f>
        <v/>
      </c>
      <c r="M267" s="24">
        <f>IF(OR($J267="",ISNUMBER(MATCH($J267,lista_no_disponible,0)),(IFERROR(INDEX('CALENDARIO'!$C$15:$C$214,MATCH(TEXT($L267,"yyyy-mm-dd")&amp;"|"&amp;$D267&amp;"|"&amp;"",'CALENDARIO'!$G$15:$G$214,0)),IFERROR(INDEX('CALENDARIO'!$C$15:$C$214,MATCH(TEXT($L267,"yyyy-mm-dd")&amp;"|"&amp;$D267&amp;"|",'CALENDARIO'!$G$15:$G$214,0)),IFERROR(INDEX('CALENDARIO'!$C$15:$C$214,MATCH(TEXT($L267,"yyyy-mm-dd")&amp;"||",'CALENDARIO'!$G$15:$G$214,0)),INDEX(patronHabil,WEEKDAY($L267,2))))))&lt;&gt;"sí"),0,p_horas_jornada)</f>
        <v/>
      </c>
      <c r="N267" s="24">
        <f>$A267&amp;"|"&amp;$B267&amp;"|"&amp;$C267</f>
        <v/>
      </c>
      <c r="O267" s="24">
        <f>IFERROR(INDEX('CAT_TURNOS'!$C$4:$C$22,MATCH($J267,'CAT_TURNOS'!$A$4:$A$22,0)),"")</f>
        <v/>
      </c>
      <c r="P267" s="24">
        <f>IFERROR(INDEX('CAT_TURNOS'!$D$4:$D$22,MATCH($J267,'CAT_TURNOS'!$A$4:$A$22,0)),"")</f>
        <v/>
      </c>
      <c r="Q267" s="24">
        <f>IF(AND(LEFT($G267,1)="T",$H267="no"),"sí","no")</f>
        <v/>
      </c>
    </row>
    <row r="268">
      <c r="A268" s="5" t="inlineStr">
        <is>
          <t>2026-S32</t>
        </is>
      </c>
      <c r="B268" s="5" t="inlineStr">
        <is>
          <t>sábado</t>
        </is>
      </c>
      <c r="C268" s="5" t="inlineStr">
        <is>
          <t>David Torres</t>
        </is>
      </c>
      <c r="D268" s="24">
        <f>IFERROR(INDEX('TECNICOS'!$D$4:$D$19,MATCH($C268,'TECNICOS'!$B$4:$B$19,0)),"")</f>
        <v/>
      </c>
      <c r="E268" s="24">
        <f>IFERROR(INDEX('TECNICOS'!$C$4:$C$19,MATCH($C268,'TECNICOS'!$B$4:$B$19,0)),"")</f>
        <v/>
      </c>
      <c r="F268" s="24">
        <f>COUNTIFS('TECNICOS'!$F$4:$F$19,"sí",'TECNICOS'!$C$4:$C$19,$E268,'TECNICOS'!$D$4:$D$19,$D268,'TECNICOS'!$H$4:$H$19,"sí")</f>
        <v/>
      </c>
      <c r="G268" s="24">
        <f>IF(OR($C268="",$A268="",$B268="domingo",IFERROR(INDEX('TECNICOS'!$H$4:$H$19,MATCH($C268,'TECNICOS'!$B$4:$B$19,0)),"no")&lt;&gt;"sí"),"",IF(IFERROR(INDEX('TECNICOS'!$F$4:$F$19,MATCH($C268,'TECNICOS'!$B$4:$B$19,0)),"no")&lt;&gt;"sí","B",IF(MOD((IFERROR(INDEX('TECNICOS'!$G$4:$G$19,MATCH($C268,'TECNICOS'!$B$4:$B$19,0)),0)-1)+((DATE(VALUE(LEFT($A268,4)),1,4)-WEEKDAY(DATE(VALUE(LEFT($A268,4)),1,4),2)+1+(VALUE(MID($A268,7,2))-1)*7)-p_semana_referencia)/7,$F268)&lt;($F268-3),"B"&amp;(($F268-3)-MOD((IFERROR(INDEX('TECNICOS'!$G$4:$G$19,MATCH($C268,'TECNICOS'!$B$4:$B$19,0)),0)-1)+((DATE(VALUE(LEFT($A268,4)),1,4)-WEEKDAY(DATE(VALUE(LEFT($A268,4)),1,4),2)+1+(VALUE(MID($A268,7,2))-1)*7)-p_semana_referencia)/7,$F268)),"T"&amp;($F268-MOD((IFERROR(INDEX('TECNICOS'!$G$4:$G$19,MATCH($C268,'TECNICOS'!$B$4:$B$19,0)),0)-1)+((DATE(VALUE(LEFT($A268,4)),1,4)-WEEKDAY(DATE(VALUE(LEFT($A268,4)),1,4),2)+1+(VALUE(MID($A268,7,2))-1)*7)-p_semana_referencia)/7,$F268)))))</f>
        <v/>
      </c>
      <c r="H268" s="24">
        <f>IF(COUNTIFS('PLAN_VACACIONES'!$A$4:$A$103,$C268,'PLAN_VACACIONES'!$B$4:$B$103,"&lt;="&amp;$L268,'PLAN_VACACIONES'!$C$4:$C$103,"&gt;="&amp;$L268)&gt;0,"sí","no")</f>
        <v/>
      </c>
      <c r="I268" s="4" t="n"/>
      <c r="J268" s="24">
        <f>IF($I268&lt;&gt;"",$I268,IF($G268="","",IF($H268="sí","VAC",IF(LEFT($G268,1)="B","B",$G268))))</f>
        <v/>
      </c>
      <c r="K268" s="24">
        <f>IFERROR(INDEX('TECNICOS'!$E$4:$E$19,MATCH($C268,'TECNICOS'!$B$4:$B$19,0)),"")</f>
        <v/>
      </c>
      <c r="L268" s="30">
        <f>IF($A268="","",DATE(VALUE(LEFT($A268,4)),1,4)-WEEKDAY(DATE(VALUE(LEFT($A268,4)),1,4),2)+1+(VALUE(MID($A268,7,2))-1)*7+MATCH($B268,lista_dias,0)-1)</f>
        <v/>
      </c>
      <c r="M268" s="24">
        <f>IF(OR($J268="",ISNUMBER(MATCH($J268,lista_no_disponible,0)),(IFERROR(INDEX('CALENDARIO'!$C$15:$C$214,MATCH(TEXT($L268,"yyyy-mm-dd")&amp;"|"&amp;$D268&amp;"|"&amp;"",'CALENDARIO'!$G$15:$G$214,0)),IFERROR(INDEX('CALENDARIO'!$C$15:$C$214,MATCH(TEXT($L268,"yyyy-mm-dd")&amp;"|"&amp;$D268&amp;"|",'CALENDARIO'!$G$15:$G$214,0)),IFERROR(INDEX('CALENDARIO'!$C$15:$C$214,MATCH(TEXT($L268,"yyyy-mm-dd")&amp;"||",'CALENDARIO'!$G$15:$G$214,0)),INDEX(patronHabil,WEEKDAY($L268,2))))))&lt;&gt;"sí"),0,p_horas_jornada)</f>
        <v/>
      </c>
      <c r="N268" s="24">
        <f>$A268&amp;"|"&amp;$B268&amp;"|"&amp;$C268</f>
        <v/>
      </c>
      <c r="O268" s="24">
        <f>IFERROR(INDEX('CAT_TURNOS'!$C$4:$C$22,MATCH($J268,'CAT_TURNOS'!$A$4:$A$22,0)),"")</f>
        <v/>
      </c>
      <c r="P268" s="24">
        <f>IFERROR(INDEX('CAT_TURNOS'!$D$4:$D$22,MATCH($J268,'CAT_TURNOS'!$A$4:$A$22,0)),"")</f>
        <v/>
      </c>
      <c r="Q268" s="24">
        <f>IF(AND(LEFT($G268,1)="T",$H268="no"),"sí","no")</f>
        <v/>
      </c>
    </row>
    <row r="269">
      <c r="A269" s="5" t="inlineStr">
        <is>
          <t>2026-S32</t>
        </is>
      </c>
      <c r="B269" s="5" t="inlineStr">
        <is>
          <t>domingo</t>
        </is>
      </c>
      <c r="C269" s="5" t="inlineStr">
        <is>
          <t>David Torres</t>
        </is>
      </c>
      <c r="D269" s="24">
        <f>IFERROR(INDEX('TECNICOS'!$D$4:$D$19,MATCH($C269,'TECNICOS'!$B$4:$B$19,0)),"")</f>
        <v/>
      </c>
      <c r="E269" s="24">
        <f>IFERROR(INDEX('TECNICOS'!$C$4:$C$19,MATCH($C269,'TECNICOS'!$B$4:$B$19,0)),"")</f>
        <v/>
      </c>
      <c r="F269" s="24">
        <f>COUNTIFS('TECNICOS'!$F$4:$F$19,"sí",'TECNICOS'!$C$4:$C$19,$E269,'TECNICOS'!$D$4:$D$19,$D269,'TECNICOS'!$H$4:$H$19,"sí")</f>
        <v/>
      </c>
      <c r="G269" s="24">
        <f>IF(OR($C269="",$A269="",$B269="domingo",IFERROR(INDEX('TECNICOS'!$H$4:$H$19,MATCH($C269,'TECNICOS'!$B$4:$B$19,0)),"no")&lt;&gt;"sí"),"",IF(IFERROR(INDEX('TECNICOS'!$F$4:$F$19,MATCH($C269,'TECNICOS'!$B$4:$B$19,0)),"no")&lt;&gt;"sí","B",IF(MOD((IFERROR(INDEX('TECNICOS'!$G$4:$G$19,MATCH($C269,'TECNICOS'!$B$4:$B$19,0)),0)-1)+((DATE(VALUE(LEFT($A269,4)),1,4)-WEEKDAY(DATE(VALUE(LEFT($A269,4)),1,4),2)+1+(VALUE(MID($A269,7,2))-1)*7)-p_semana_referencia)/7,$F269)&lt;($F269-3),"B"&amp;(($F269-3)-MOD((IFERROR(INDEX('TECNICOS'!$G$4:$G$19,MATCH($C269,'TECNICOS'!$B$4:$B$19,0)),0)-1)+((DATE(VALUE(LEFT($A269,4)),1,4)-WEEKDAY(DATE(VALUE(LEFT($A269,4)),1,4),2)+1+(VALUE(MID($A269,7,2))-1)*7)-p_semana_referencia)/7,$F269)),"T"&amp;($F269-MOD((IFERROR(INDEX('TECNICOS'!$G$4:$G$19,MATCH($C269,'TECNICOS'!$B$4:$B$19,0)),0)-1)+((DATE(VALUE(LEFT($A269,4)),1,4)-WEEKDAY(DATE(VALUE(LEFT($A269,4)),1,4),2)+1+(VALUE(MID($A269,7,2))-1)*7)-p_semana_referencia)/7,$F269)))))</f>
        <v/>
      </c>
      <c r="H269" s="24">
        <f>IF(COUNTIFS('PLAN_VACACIONES'!$A$4:$A$103,$C269,'PLAN_VACACIONES'!$B$4:$B$103,"&lt;="&amp;$L269,'PLAN_VACACIONES'!$C$4:$C$103,"&gt;="&amp;$L269)&gt;0,"sí","no")</f>
        <v/>
      </c>
      <c r="I269" s="4" t="n"/>
      <c r="J269" s="24">
        <f>IF($I269&lt;&gt;"",$I269,IF($G269="","",IF($H269="sí","VAC",IF(LEFT($G269,1)="B","B",$G269))))</f>
        <v/>
      </c>
      <c r="K269" s="24">
        <f>IFERROR(INDEX('TECNICOS'!$E$4:$E$19,MATCH($C269,'TECNICOS'!$B$4:$B$19,0)),"")</f>
        <v/>
      </c>
      <c r="L269" s="30">
        <f>IF($A269="","",DATE(VALUE(LEFT($A269,4)),1,4)-WEEKDAY(DATE(VALUE(LEFT($A269,4)),1,4),2)+1+(VALUE(MID($A269,7,2))-1)*7+MATCH($B269,lista_dias,0)-1)</f>
        <v/>
      </c>
      <c r="M269" s="24">
        <f>IF(OR($J269="",ISNUMBER(MATCH($J269,lista_no_disponible,0)),(IFERROR(INDEX('CALENDARIO'!$C$15:$C$214,MATCH(TEXT($L269,"yyyy-mm-dd")&amp;"|"&amp;$D269&amp;"|"&amp;"",'CALENDARIO'!$G$15:$G$214,0)),IFERROR(INDEX('CALENDARIO'!$C$15:$C$214,MATCH(TEXT($L269,"yyyy-mm-dd")&amp;"|"&amp;$D269&amp;"|",'CALENDARIO'!$G$15:$G$214,0)),IFERROR(INDEX('CALENDARIO'!$C$15:$C$214,MATCH(TEXT($L269,"yyyy-mm-dd")&amp;"||",'CALENDARIO'!$G$15:$G$214,0)),INDEX(patronHabil,WEEKDAY($L269,2))))))&lt;&gt;"sí"),0,p_horas_jornada)</f>
        <v/>
      </c>
      <c r="N269" s="24">
        <f>$A269&amp;"|"&amp;$B269&amp;"|"&amp;$C269</f>
        <v/>
      </c>
      <c r="O269" s="24">
        <f>IFERROR(INDEX('CAT_TURNOS'!$C$4:$C$22,MATCH($J269,'CAT_TURNOS'!$A$4:$A$22,0)),"")</f>
        <v/>
      </c>
      <c r="P269" s="24">
        <f>IFERROR(INDEX('CAT_TURNOS'!$D$4:$D$22,MATCH($J269,'CAT_TURNOS'!$A$4:$A$22,0)),"")</f>
        <v/>
      </c>
      <c r="Q269" s="24">
        <f>IF(AND(LEFT($G269,1)="T",$H269="no"),"sí","no")</f>
        <v/>
      </c>
    </row>
    <row r="270">
      <c r="A270" s="5" t="inlineStr">
        <is>
          <t>2026-S32</t>
        </is>
      </c>
      <c r="B270" s="5" t="inlineStr">
        <is>
          <t>lunes</t>
        </is>
      </c>
      <c r="C270" s="5" t="inlineStr">
        <is>
          <t>Francisco Ramírez</t>
        </is>
      </c>
      <c r="D270" s="24">
        <f>IFERROR(INDEX('TECNICOS'!$D$4:$D$19,MATCH($C270,'TECNICOS'!$B$4:$B$19,0)),"")</f>
        <v/>
      </c>
      <c r="E270" s="24">
        <f>IFERROR(INDEX('TECNICOS'!$C$4:$C$19,MATCH($C270,'TECNICOS'!$B$4:$B$19,0)),"")</f>
        <v/>
      </c>
      <c r="F270" s="24">
        <f>COUNTIFS('TECNICOS'!$F$4:$F$19,"sí",'TECNICOS'!$C$4:$C$19,$E270,'TECNICOS'!$D$4:$D$19,$D270,'TECNICOS'!$H$4:$H$19,"sí")</f>
        <v/>
      </c>
      <c r="G270" s="24">
        <f>IF(OR($C270="",$A270="",$B270="domingo",IFERROR(INDEX('TECNICOS'!$H$4:$H$19,MATCH($C270,'TECNICOS'!$B$4:$B$19,0)),"no")&lt;&gt;"sí"),"",IF(IFERROR(INDEX('TECNICOS'!$F$4:$F$19,MATCH($C270,'TECNICOS'!$B$4:$B$19,0)),"no")&lt;&gt;"sí","B",IF(MOD((IFERROR(INDEX('TECNICOS'!$G$4:$G$19,MATCH($C270,'TECNICOS'!$B$4:$B$19,0)),0)-1)+((DATE(VALUE(LEFT($A270,4)),1,4)-WEEKDAY(DATE(VALUE(LEFT($A270,4)),1,4),2)+1+(VALUE(MID($A270,7,2))-1)*7)-p_semana_referencia)/7,$F270)&lt;($F270-3),"B"&amp;(($F270-3)-MOD((IFERROR(INDEX('TECNICOS'!$G$4:$G$19,MATCH($C270,'TECNICOS'!$B$4:$B$19,0)),0)-1)+((DATE(VALUE(LEFT($A270,4)),1,4)-WEEKDAY(DATE(VALUE(LEFT($A270,4)),1,4),2)+1+(VALUE(MID($A270,7,2))-1)*7)-p_semana_referencia)/7,$F270)),"T"&amp;($F270-MOD((IFERROR(INDEX('TECNICOS'!$G$4:$G$19,MATCH($C270,'TECNICOS'!$B$4:$B$19,0)),0)-1)+((DATE(VALUE(LEFT($A270,4)),1,4)-WEEKDAY(DATE(VALUE(LEFT($A270,4)),1,4),2)+1+(VALUE(MID($A270,7,2))-1)*7)-p_semana_referencia)/7,$F270)))))</f>
        <v/>
      </c>
      <c r="H270" s="24">
        <f>IF(COUNTIFS('PLAN_VACACIONES'!$A$4:$A$103,$C270,'PLAN_VACACIONES'!$B$4:$B$103,"&lt;="&amp;$L270,'PLAN_VACACIONES'!$C$4:$C$103,"&gt;="&amp;$L270)&gt;0,"sí","no")</f>
        <v/>
      </c>
      <c r="I270" s="4" t="n"/>
      <c r="J270" s="24">
        <f>IF($I270&lt;&gt;"",$I270,IF($G270="","",IF($H270="sí","VAC",IF(LEFT($G270,1)="B","B",$G270))))</f>
        <v/>
      </c>
      <c r="K270" s="24">
        <f>IFERROR(INDEX('TECNICOS'!$E$4:$E$19,MATCH($C270,'TECNICOS'!$B$4:$B$19,0)),"")</f>
        <v/>
      </c>
      <c r="L270" s="30">
        <f>IF($A270="","",DATE(VALUE(LEFT($A270,4)),1,4)-WEEKDAY(DATE(VALUE(LEFT($A270,4)),1,4),2)+1+(VALUE(MID($A270,7,2))-1)*7+MATCH($B270,lista_dias,0)-1)</f>
        <v/>
      </c>
      <c r="M270" s="24">
        <f>IF(OR($J270="",ISNUMBER(MATCH($J270,lista_no_disponible,0)),(IFERROR(INDEX('CALENDARIO'!$C$15:$C$214,MATCH(TEXT($L270,"yyyy-mm-dd")&amp;"|"&amp;$D270&amp;"|"&amp;"",'CALENDARIO'!$G$15:$G$214,0)),IFERROR(INDEX('CALENDARIO'!$C$15:$C$214,MATCH(TEXT($L270,"yyyy-mm-dd")&amp;"|"&amp;$D270&amp;"|",'CALENDARIO'!$G$15:$G$214,0)),IFERROR(INDEX('CALENDARIO'!$C$15:$C$214,MATCH(TEXT($L270,"yyyy-mm-dd")&amp;"||",'CALENDARIO'!$G$15:$G$214,0)),INDEX(patronHabil,WEEKDAY($L270,2))))))&lt;&gt;"sí"),0,p_horas_jornada)</f>
        <v/>
      </c>
      <c r="N270" s="24">
        <f>$A270&amp;"|"&amp;$B270&amp;"|"&amp;$C270</f>
        <v/>
      </c>
      <c r="O270" s="24">
        <f>IFERROR(INDEX('CAT_TURNOS'!$C$4:$C$22,MATCH($J270,'CAT_TURNOS'!$A$4:$A$22,0)),"")</f>
        <v/>
      </c>
      <c r="P270" s="24">
        <f>IFERROR(INDEX('CAT_TURNOS'!$D$4:$D$22,MATCH($J270,'CAT_TURNOS'!$A$4:$A$22,0)),"")</f>
        <v/>
      </c>
      <c r="Q270" s="24">
        <f>IF(AND(LEFT($G270,1)="T",$H270="no"),"sí","no")</f>
        <v/>
      </c>
    </row>
    <row r="271">
      <c r="A271" s="5" t="inlineStr">
        <is>
          <t>2026-S32</t>
        </is>
      </c>
      <c r="B271" s="5" t="inlineStr">
        <is>
          <t>martes</t>
        </is>
      </c>
      <c r="C271" s="5" t="inlineStr">
        <is>
          <t>Francisco Ramírez</t>
        </is>
      </c>
      <c r="D271" s="24">
        <f>IFERROR(INDEX('TECNICOS'!$D$4:$D$19,MATCH($C271,'TECNICOS'!$B$4:$B$19,0)),"")</f>
        <v/>
      </c>
      <c r="E271" s="24">
        <f>IFERROR(INDEX('TECNICOS'!$C$4:$C$19,MATCH($C271,'TECNICOS'!$B$4:$B$19,0)),"")</f>
        <v/>
      </c>
      <c r="F271" s="24">
        <f>COUNTIFS('TECNICOS'!$F$4:$F$19,"sí",'TECNICOS'!$C$4:$C$19,$E271,'TECNICOS'!$D$4:$D$19,$D271,'TECNICOS'!$H$4:$H$19,"sí")</f>
        <v/>
      </c>
      <c r="G271" s="24">
        <f>IF(OR($C271="",$A271="",$B271="domingo",IFERROR(INDEX('TECNICOS'!$H$4:$H$19,MATCH($C271,'TECNICOS'!$B$4:$B$19,0)),"no")&lt;&gt;"sí"),"",IF(IFERROR(INDEX('TECNICOS'!$F$4:$F$19,MATCH($C271,'TECNICOS'!$B$4:$B$19,0)),"no")&lt;&gt;"sí","B",IF(MOD((IFERROR(INDEX('TECNICOS'!$G$4:$G$19,MATCH($C271,'TECNICOS'!$B$4:$B$19,0)),0)-1)+((DATE(VALUE(LEFT($A271,4)),1,4)-WEEKDAY(DATE(VALUE(LEFT($A271,4)),1,4),2)+1+(VALUE(MID($A271,7,2))-1)*7)-p_semana_referencia)/7,$F271)&lt;($F271-3),"B"&amp;(($F271-3)-MOD((IFERROR(INDEX('TECNICOS'!$G$4:$G$19,MATCH($C271,'TECNICOS'!$B$4:$B$19,0)),0)-1)+((DATE(VALUE(LEFT($A271,4)),1,4)-WEEKDAY(DATE(VALUE(LEFT($A271,4)),1,4),2)+1+(VALUE(MID($A271,7,2))-1)*7)-p_semana_referencia)/7,$F271)),"T"&amp;($F271-MOD((IFERROR(INDEX('TECNICOS'!$G$4:$G$19,MATCH($C271,'TECNICOS'!$B$4:$B$19,0)),0)-1)+((DATE(VALUE(LEFT($A271,4)),1,4)-WEEKDAY(DATE(VALUE(LEFT($A271,4)),1,4),2)+1+(VALUE(MID($A271,7,2))-1)*7)-p_semana_referencia)/7,$F271)))))</f>
        <v/>
      </c>
      <c r="H271" s="24">
        <f>IF(COUNTIFS('PLAN_VACACIONES'!$A$4:$A$103,$C271,'PLAN_VACACIONES'!$B$4:$B$103,"&lt;="&amp;$L271,'PLAN_VACACIONES'!$C$4:$C$103,"&gt;="&amp;$L271)&gt;0,"sí","no")</f>
        <v/>
      </c>
      <c r="I271" s="4" t="n"/>
      <c r="J271" s="24">
        <f>IF($I271&lt;&gt;"",$I271,IF($G271="","",IF($H271="sí","VAC",IF(LEFT($G271,1)="B","B",$G271))))</f>
        <v/>
      </c>
      <c r="K271" s="24">
        <f>IFERROR(INDEX('TECNICOS'!$E$4:$E$19,MATCH($C271,'TECNICOS'!$B$4:$B$19,0)),"")</f>
        <v/>
      </c>
      <c r="L271" s="30">
        <f>IF($A271="","",DATE(VALUE(LEFT($A271,4)),1,4)-WEEKDAY(DATE(VALUE(LEFT($A271,4)),1,4),2)+1+(VALUE(MID($A271,7,2))-1)*7+MATCH($B271,lista_dias,0)-1)</f>
        <v/>
      </c>
      <c r="M271" s="24">
        <f>IF(OR($J271="",ISNUMBER(MATCH($J271,lista_no_disponible,0)),(IFERROR(INDEX('CALENDARIO'!$C$15:$C$214,MATCH(TEXT($L271,"yyyy-mm-dd")&amp;"|"&amp;$D271&amp;"|"&amp;"",'CALENDARIO'!$G$15:$G$214,0)),IFERROR(INDEX('CALENDARIO'!$C$15:$C$214,MATCH(TEXT($L271,"yyyy-mm-dd")&amp;"|"&amp;$D271&amp;"|",'CALENDARIO'!$G$15:$G$214,0)),IFERROR(INDEX('CALENDARIO'!$C$15:$C$214,MATCH(TEXT($L271,"yyyy-mm-dd")&amp;"||",'CALENDARIO'!$G$15:$G$214,0)),INDEX(patronHabil,WEEKDAY($L271,2))))))&lt;&gt;"sí"),0,p_horas_jornada)</f>
        <v/>
      </c>
      <c r="N271" s="24">
        <f>$A271&amp;"|"&amp;$B271&amp;"|"&amp;$C271</f>
        <v/>
      </c>
      <c r="O271" s="24">
        <f>IFERROR(INDEX('CAT_TURNOS'!$C$4:$C$22,MATCH($J271,'CAT_TURNOS'!$A$4:$A$22,0)),"")</f>
        <v/>
      </c>
      <c r="P271" s="24">
        <f>IFERROR(INDEX('CAT_TURNOS'!$D$4:$D$22,MATCH($J271,'CAT_TURNOS'!$A$4:$A$22,0)),"")</f>
        <v/>
      </c>
      <c r="Q271" s="24">
        <f>IF(AND(LEFT($G271,1)="T",$H271="no"),"sí","no")</f>
        <v/>
      </c>
    </row>
    <row r="272">
      <c r="A272" s="5" t="inlineStr">
        <is>
          <t>2026-S32</t>
        </is>
      </c>
      <c r="B272" s="5" t="inlineStr">
        <is>
          <t>miércoles</t>
        </is>
      </c>
      <c r="C272" s="5" t="inlineStr">
        <is>
          <t>Francisco Ramírez</t>
        </is>
      </c>
      <c r="D272" s="24">
        <f>IFERROR(INDEX('TECNICOS'!$D$4:$D$19,MATCH($C272,'TECNICOS'!$B$4:$B$19,0)),"")</f>
        <v/>
      </c>
      <c r="E272" s="24">
        <f>IFERROR(INDEX('TECNICOS'!$C$4:$C$19,MATCH($C272,'TECNICOS'!$B$4:$B$19,0)),"")</f>
        <v/>
      </c>
      <c r="F272" s="24">
        <f>COUNTIFS('TECNICOS'!$F$4:$F$19,"sí",'TECNICOS'!$C$4:$C$19,$E272,'TECNICOS'!$D$4:$D$19,$D272,'TECNICOS'!$H$4:$H$19,"sí")</f>
        <v/>
      </c>
      <c r="G272" s="24">
        <f>IF(OR($C272="",$A272="",$B272="domingo",IFERROR(INDEX('TECNICOS'!$H$4:$H$19,MATCH($C272,'TECNICOS'!$B$4:$B$19,0)),"no")&lt;&gt;"sí"),"",IF(IFERROR(INDEX('TECNICOS'!$F$4:$F$19,MATCH($C272,'TECNICOS'!$B$4:$B$19,0)),"no")&lt;&gt;"sí","B",IF(MOD((IFERROR(INDEX('TECNICOS'!$G$4:$G$19,MATCH($C272,'TECNICOS'!$B$4:$B$19,0)),0)-1)+((DATE(VALUE(LEFT($A272,4)),1,4)-WEEKDAY(DATE(VALUE(LEFT($A272,4)),1,4),2)+1+(VALUE(MID($A272,7,2))-1)*7)-p_semana_referencia)/7,$F272)&lt;($F272-3),"B"&amp;(($F272-3)-MOD((IFERROR(INDEX('TECNICOS'!$G$4:$G$19,MATCH($C272,'TECNICOS'!$B$4:$B$19,0)),0)-1)+((DATE(VALUE(LEFT($A272,4)),1,4)-WEEKDAY(DATE(VALUE(LEFT($A272,4)),1,4),2)+1+(VALUE(MID($A272,7,2))-1)*7)-p_semana_referencia)/7,$F272)),"T"&amp;($F272-MOD((IFERROR(INDEX('TECNICOS'!$G$4:$G$19,MATCH($C272,'TECNICOS'!$B$4:$B$19,0)),0)-1)+((DATE(VALUE(LEFT($A272,4)),1,4)-WEEKDAY(DATE(VALUE(LEFT($A272,4)),1,4),2)+1+(VALUE(MID($A272,7,2))-1)*7)-p_semana_referencia)/7,$F272)))))</f>
        <v/>
      </c>
      <c r="H272" s="24">
        <f>IF(COUNTIFS('PLAN_VACACIONES'!$A$4:$A$103,$C272,'PLAN_VACACIONES'!$B$4:$B$103,"&lt;="&amp;$L272,'PLAN_VACACIONES'!$C$4:$C$103,"&gt;="&amp;$L272)&gt;0,"sí","no")</f>
        <v/>
      </c>
      <c r="I272" s="4" t="n"/>
      <c r="J272" s="24">
        <f>IF($I272&lt;&gt;"",$I272,IF($G272="","",IF($H272="sí","VAC",IF(LEFT($G272,1)="B","B",$G272))))</f>
        <v/>
      </c>
      <c r="K272" s="24">
        <f>IFERROR(INDEX('TECNICOS'!$E$4:$E$19,MATCH($C272,'TECNICOS'!$B$4:$B$19,0)),"")</f>
        <v/>
      </c>
      <c r="L272" s="30">
        <f>IF($A272="","",DATE(VALUE(LEFT($A272,4)),1,4)-WEEKDAY(DATE(VALUE(LEFT($A272,4)),1,4),2)+1+(VALUE(MID($A272,7,2))-1)*7+MATCH($B272,lista_dias,0)-1)</f>
        <v/>
      </c>
      <c r="M272" s="24">
        <f>IF(OR($J272="",ISNUMBER(MATCH($J272,lista_no_disponible,0)),(IFERROR(INDEX('CALENDARIO'!$C$15:$C$214,MATCH(TEXT($L272,"yyyy-mm-dd")&amp;"|"&amp;$D272&amp;"|"&amp;"",'CALENDARIO'!$G$15:$G$214,0)),IFERROR(INDEX('CALENDARIO'!$C$15:$C$214,MATCH(TEXT($L272,"yyyy-mm-dd")&amp;"|"&amp;$D272&amp;"|",'CALENDARIO'!$G$15:$G$214,0)),IFERROR(INDEX('CALENDARIO'!$C$15:$C$214,MATCH(TEXT($L272,"yyyy-mm-dd")&amp;"||",'CALENDARIO'!$G$15:$G$214,0)),INDEX(patronHabil,WEEKDAY($L272,2))))))&lt;&gt;"sí"),0,p_horas_jornada)</f>
        <v/>
      </c>
      <c r="N272" s="24">
        <f>$A272&amp;"|"&amp;$B272&amp;"|"&amp;$C272</f>
        <v/>
      </c>
      <c r="O272" s="24">
        <f>IFERROR(INDEX('CAT_TURNOS'!$C$4:$C$22,MATCH($J272,'CAT_TURNOS'!$A$4:$A$22,0)),"")</f>
        <v/>
      </c>
      <c r="P272" s="24">
        <f>IFERROR(INDEX('CAT_TURNOS'!$D$4:$D$22,MATCH($J272,'CAT_TURNOS'!$A$4:$A$22,0)),"")</f>
        <v/>
      </c>
      <c r="Q272" s="24">
        <f>IF(AND(LEFT($G272,1)="T",$H272="no"),"sí","no")</f>
        <v/>
      </c>
    </row>
    <row r="273">
      <c r="A273" s="5" t="inlineStr">
        <is>
          <t>2026-S32</t>
        </is>
      </c>
      <c r="B273" s="5" t="inlineStr">
        <is>
          <t>jueves</t>
        </is>
      </c>
      <c r="C273" s="5" t="inlineStr">
        <is>
          <t>Francisco Ramírez</t>
        </is>
      </c>
      <c r="D273" s="24">
        <f>IFERROR(INDEX('TECNICOS'!$D$4:$D$19,MATCH($C273,'TECNICOS'!$B$4:$B$19,0)),"")</f>
        <v/>
      </c>
      <c r="E273" s="24">
        <f>IFERROR(INDEX('TECNICOS'!$C$4:$C$19,MATCH($C273,'TECNICOS'!$B$4:$B$19,0)),"")</f>
        <v/>
      </c>
      <c r="F273" s="24">
        <f>COUNTIFS('TECNICOS'!$F$4:$F$19,"sí",'TECNICOS'!$C$4:$C$19,$E273,'TECNICOS'!$D$4:$D$19,$D273,'TECNICOS'!$H$4:$H$19,"sí")</f>
        <v/>
      </c>
      <c r="G273" s="24">
        <f>IF(OR($C273="",$A273="",$B273="domingo",IFERROR(INDEX('TECNICOS'!$H$4:$H$19,MATCH($C273,'TECNICOS'!$B$4:$B$19,0)),"no")&lt;&gt;"sí"),"",IF(IFERROR(INDEX('TECNICOS'!$F$4:$F$19,MATCH($C273,'TECNICOS'!$B$4:$B$19,0)),"no")&lt;&gt;"sí","B",IF(MOD((IFERROR(INDEX('TECNICOS'!$G$4:$G$19,MATCH($C273,'TECNICOS'!$B$4:$B$19,0)),0)-1)+((DATE(VALUE(LEFT($A273,4)),1,4)-WEEKDAY(DATE(VALUE(LEFT($A273,4)),1,4),2)+1+(VALUE(MID($A273,7,2))-1)*7)-p_semana_referencia)/7,$F273)&lt;($F273-3),"B"&amp;(($F273-3)-MOD((IFERROR(INDEX('TECNICOS'!$G$4:$G$19,MATCH($C273,'TECNICOS'!$B$4:$B$19,0)),0)-1)+((DATE(VALUE(LEFT($A273,4)),1,4)-WEEKDAY(DATE(VALUE(LEFT($A273,4)),1,4),2)+1+(VALUE(MID($A273,7,2))-1)*7)-p_semana_referencia)/7,$F273)),"T"&amp;($F273-MOD((IFERROR(INDEX('TECNICOS'!$G$4:$G$19,MATCH($C273,'TECNICOS'!$B$4:$B$19,0)),0)-1)+((DATE(VALUE(LEFT($A273,4)),1,4)-WEEKDAY(DATE(VALUE(LEFT($A273,4)),1,4),2)+1+(VALUE(MID($A273,7,2))-1)*7)-p_semana_referencia)/7,$F273)))))</f>
        <v/>
      </c>
      <c r="H273" s="24">
        <f>IF(COUNTIFS('PLAN_VACACIONES'!$A$4:$A$103,$C273,'PLAN_VACACIONES'!$B$4:$B$103,"&lt;="&amp;$L273,'PLAN_VACACIONES'!$C$4:$C$103,"&gt;="&amp;$L273)&gt;0,"sí","no")</f>
        <v/>
      </c>
      <c r="I273" s="4" t="n"/>
      <c r="J273" s="24">
        <f>IF($I273&lt;&gt;"",$I273,IF($G273="","",IF($H273="sí","VAC",IF(LEFT($G273,1)="B","B",$G273))))</f>
        <v/>
      </c>
      <c r="K273" s="24">
        <f>IFERROR(INDEX('TECNICOS'!$E$4:$E$19,MATCH($C273,'TECNICOS'!$B$4:$B$19,0)),"")</f>
        <v/>
      </c>
      <c r="L273" s="30">
        <f>IF($A273="","",DATE(VALUE(LEFT($A273,4)),1,4)-WEEKDAY(DATE(VALUE(LEFT($A273,4)),1,4),2)+1+(VALUE(MID($A273,7,2))-1)*7+MATCH($B273,lista_dias,0)-1)</f>
        <v/>
      </c>
      <c r="M273" s="24">
        <f>IF(OR($J273="",ISNUMBER(MATCH($J273,lista_no_disponible,0)),(IFERROR(INDEX('CALENDARIO'!$C$15:$C$214,MATCH(TEXT($L273,"yyyy-mm-dd")&amp;"|"&amp;$D273&amp;"|"&amp;"",'CALENDARIO'!$G$15:$G$214,0)),IFERROR(INDEX('CALENDARIO'!$C$15:$C$214,MATCH(TEXT($L273,"yyyy-mm-dd")&amp;"|"&amp;$D273&amp;"|",'CALENDARIO'!$G$15:$G$214,0)),IFERROR(INDEX('CALENDARIO'!$C$15:$C$214,MATCH(TEXT($L273,"yyyy-mm-dd")&amp;"||",'CALENDARIO'!$G$15:$G$214,0)),INDEX(patronHabil,WEEKDAY($L273,2))))))&lt;&gt;"sí"),0,p_horas_jornada)</f>
        <v/>
      </c>
      <c r="N273" s="24">
        <f>$A273&amp;"|"&amp;$B273&amp;"|"&amp;$C273</f>
        <v/>
      </c>
      <c r="O273" s="24">
        <f>IFERROR(INDEX('CAT_TURNOS'!$C$4:$C$22,MATCH($J273,'CAT_TURNOS'!$A$4:$A$22,0)),"")</f>
        <v/>
      </c>
      <c r="P273" s="24">
        <f>IFERROR(INDEX('CAT_TURNOS'!$D$4:$D$22,MATCH($J273,'CAT_TURNOS'!$A$4:$A$22,0)),"")</f>
        <v/>
      </c>
      <c r="Q273" s="24">
        <f>IF(AND(LEFT($G273,1)="T",$H273="no"),"sí","no")</f>
        <v/>
      </c>
    </row>
    <row r="274">
      <c r="A274" s="5" t="inlineStr">
        <is>
          <t>2026-S32</t>
        </is>
      </c>
      <c r="B274" s="5" t="inlineStr">
        <is>
          <t>viernes</t>
        </is>
      </c>
      <c r="C274" s="5" t="inlineStr">
        <is>
          <t>Francisco Ramírez</t>
        </is>
      </c>
      <c r="D274" s="24">
        <f>IFERROR(INDEX('TECNICOS'!$D$4:$D$19,MATCH($C274,'TECNICOS'!$B$4:$B$19,0)),"")</f>
        <v/>
      </c>
      <c r="E274" s="24">
        <f>IFERROR(INDEX('TECNICOS'!$C$4:$C$19,MATCH($C274,'TECNICOS'!$B$4:$B$19,0)),"")</f>
        <v/>
      </c>
      <c r="F274" s="24">
        <f>COUNTIFS('TECNICOS'!$F$4:$F$19,"sí",'TECNICOS'!$C$4:$C$19,$E274,'TECNICOS'!$D$4:$D$19,$D274,'TECNICOS'!$H$4:$H$19,"sí")</f>
        <v/>
      </c>
      <c r="G274" s="24">
        <f>IF(OR($C274="",$A274="",$B274="domingo",IFERROR(INDEX('TECNICOS'!$H$4:$H$19,MATCH($C274,'TECNICOS'!$B$4:$B$19,0)),"no")&lt;&gt;"sí"),"",IF(IFERROR(INDEX('TECNICOS'!$F$4:$F$19,MATCH($C274,'TECNICOS'!$B$4:$B$19,0)),"no")&lt;&gt;"sí","B",IF(MOD((IFERROR(INDEX('TECNICOS'!$G$4:$G$19,MATCH($C274,'TECNICOS'!$B$4:$B$19,0)),0)-1)+((DATE(VALUE(LEFT($A274,4)),1,4)-WEEKDAY(DATE(VALUE(LEFT($A274,4)),1,4),2)+1+(VALUE(MID($A274,7,2))-1)*7)-p_semana_referencia)/7,$F274)&lt;($F274-3),"B"&amp;(($F274-3)-MOD((IFERROR(INDEX('TECNICOS'!$G$4:$G$19,MATCH($C274,'TECNICOS'!$B$4:$B$19,0)),0)-1)+((DATE(VALUE(LEFT($A274,4)),1,4)-WEEKDAY(DATE(VALUE(LEFT($A274,4)),1,4),2)+1+(VALUE(MID($A274,7,2))-1)*7)-p_semana_referencia)/7,$F274)),"T"&amp;($F274-MOD((IFERROR(INDEX('TECNICOS'!$G$4:$G$19,MATCH($C274,'TECNICOS'!$B$4:$B$19,0)),0)-1)+((DATE(VALUE(LEFT($A274,4)),1,4)-WEEKDAY(DATE(VALUE(LEFT($A274,4)),1,4),2)+1+(VALUE(MID($A274,7,2))-1)*7)-p_semana_referencia)/7,$F274)))))</f>
        <v/>
      </c>
      <c r="H274" s="24">
        <f>IF(COUNTIFS('PLAN_VACACIONES'!$A$4:$A$103,$C274,'PLAN_VACACIONES'!$B$4:$B$103,"&lt;="&amp;$L274,'PLAN_VACACIONES'!$C$4:$C$103,"&gt;="&amp;$L274)&gt;0,"sí","no")</f>
        <v/>
      </c>
      <c r="I274" s="4" t="n"/>
      <c r="J274" s="24">
        <f>IF($I274&lt;&gt;"",$I274,IF($G274="","",IF($H274="sí","VAC",IF(LEFT($G274,1)="B","B",$G274))))</f>
        <v/>
      </c>
      <c r="K274" s="24">
        <f>IFERROR(INDEX('TECNICOS'!$E$4:$E$19,MATCH($C274,'TECNICOS'!$B$4:$B$19,0)),"")</f>
        <v/>
      </c>
      <c r="L274" s="30">
        <f>IF($A274="","",DATE(VALUE(LEFT($A274,4)),1,4)-WEEKDAY(DATE(VALUE(LEFT($A274,4)),1,4),2)+1+(VALUE(MID($A274,7,2))-1)*7+MATCH($B274,lista_dias,0)-1)</f>
        <v/>
      </c>
      <c r="M274" s="24">
        <f>IF(OR($J274="",ISNUMBER(MATCH($J274,lista_no_disponible,0)),(IFERROR(INDEX('CALENDARIO'!$C$15:$C$214,MATCH(TEXT($L274,"yyyy-mm-dd")&amp;"|"&amp;$D274&amp;"|"&amp;"",'CALENDARIO'!$G$15:$G$214,0)),IFERROR(INDEX('CALENDARIO'!$C$15:$C$214,MATCH(TEXT($L274,"yyyy-mm-dd")&amp;"|"&amp;$D274&amp;"|",'CALENDARIO'!$G$15:$G$214,0)),IFERROR(INDEX('CALENDARIO'!$C$15:$C$214,MATCH(TEXT($L274,"yyyy-mm-dd")&amp;"||",'CALENDARIO'!$G$15:$G$214,0)),INDEX(patronHabil,WEEKDAY($L274,2))))))&lt;&gt;"sí"),0,p_horas_jornada)</f>
        <v/>
      </c>
      <c r="N274" s="24">
        <f>$A274&amp;"|"&amp;$B274&amp;"|"&amp;$C274</f>
        <v/>
      </c>
      <c r="O274" s="24">
        <f>IFERROR(INDEX('CAT_TURNOS'!$C$4:$C$22,MATCH($J274,'CAT_TURNOS'!$A$4:$A$22,0)),"")</f>
        <v/>
      </c>
      <c r="P274" s="24">
        <f>IFERROR(INDEX('CAT_TURNOS'!$D$4:$D$22,MATCH($J274,'CAT_TURNOS'!$A$4:$A$22,0)),"")</f>
        <v/>
      </c>
      <c r="Q274" s="24">
        <f>IF(AND(LEFT($G274,1)="T",$H274="no"),"sí","no")</f>
        <v/>
      </c>
    </row>
    <row r="275">
      <c r="A275" s="5" t="inlineStr">
        <is>
          <t>2026-S32</t>
        </is>
      </c>
      <c r="B275" s="5" t="inlineStr">
        <is>
          <t>sábado</t>
        </is>
      </c>
      <c r="C275" s="5" t="inlineStr">
        <is>
          <t>Francisco Ramírez</t>
        </is>
      </c>
      <c r="D275" s="24">
        <f>IFERROR(INDEX('TECNICOS'!$D$4:$D$19,MATCH($C275,'TECNICOS'!$B$4:$B$19,0)),"")</f>
        <v/>
      </c>
      <c r="E275" s="24">
        <f>IFERROR(INDEX('TECNICOS'!$C$4:$C$19,MATCH($C275,'TECNICOS'!$B$4:$B$19,0)),"")</f>
        <v/>
      </c>
      <c r="F275" s="24">
        <f>COUNTIFS('TECNICOS'!$F$4:$F$19,"sí",'TECNICOS'!$C$4:$C$19,$E275,'TECNICOS'!$D$4:$D$19,$D275,'TECNICOS'!$H$4:$H$19,"sí")</f>
        <v/>
      </c>
      <c r="G275" s="24">
        <f>IF(OR($C275="",$A275="",$B275="domingo",IFERROR(INDEX('TECNICOS'!$H$4:$H$19,MATCH($C275,'TECNICOS'!$B$4:$B$19,0)),"no")&lt;&gt;"sí"),"",IF(IFERROR(INDEX('TECNICOS'!$F$4:$F$19,MATCH($C275,'TECNICOS'!$B$4:$B$19,0)),"no")&lt;&gt;"sí","B",IF(MOD((IFERROR(INDEX('TECNICOS'!$G$4:$G$19,MATCH($C275,'TECNICOS'!$B$4:$B$19,0)),0)-1)+((DATE(VALUE(LEFT($A275,4)),1,4)-WEEKDAY(DATE(VALUE(LEFT($A275,4)),1,4),2)+1+(VALUE(MID($A275,7,2))-1)*7)-p_semana_referencia)/7,$F275)&lt;($F275-3),"B"&amp;(($F275-3)-MOD((IFERROR(INDEX('TECNICOS'!$G$4:$G$19,MATCH($C275,'TECNICOS'!$B$4:$B$19,0)),0)-1)+((DATE(VALUE(LEFT($A275,4)),1,4)-WEEKDAY(DATE(VALUE(LEFT($A275,4)),1,4),2)+1+(VALUE(MID($A275,7,2))-1)*7)-p_semana_referencia)/7,$F275)),"T"&amp;($F275-MOD((IFERROR(INDEX('TECNICOS'!$G$4:$G$19,MATCH($C275,'TECNICOS'!$B$4:$B$19,0)),0)-1)+((DATE(VALUE(LEFT($A275,4)),1,4)-WEEKDAY(DATE(VALUE(LEFT($A275,4)),1,4),2)+1+(VALUE(MID($A275,7,2))-1)*7)-p_semana_referencia)/7,$F275)))))</f>
        <v/>
      </c>
      <c r="H275" s="24">
        <f>IF(COUNTIFS('PLAN_VACACIONES'!$A$4:$A$103,$C275,'PLAN_VACACIONES'!$B$4:$B$103,"&lt;="&amp;$L275,'PLAN_VACACIONES'!$C$4:$C$103,"&gt;="&amp;$L275)&gt;0,"sí","no")</f>
        <v/>
      </c>
      <c r="I275" s="4" t="n"/>
      <c r="J275" s="24">
        <f>IF($I275&lt;&gt;"",$I275,IF($G275="","",IF($H275="sí","VAC",IF(LEFT($G275,1)="B","B",$G275))))</f>
        <v/>
      </c>
      <c r="K275" s="24">
        <f>IFERROR(INDEX('TECNICOS'!$E$4:$E$19,MATCH($C275,'TECNICOS'!$B$4:$B$19,0)),"")</f>
        <v/>
      </c>
      <c r="L275" s="30">
        <f>IF($A275="","",DATE(VALUE(LEFT($A275,4)),1,4)-WEEKDAY(DATE(VALUE(LEFT($A275,4)),1,4),2)+1+(VALUE(MID($A275,7,2))-1)*7+MATCH($B275,lista_dias,0)-1)</f>
        <v/>
      </c>
      <c r="M275" s="24">
        <f>IF(OR($J275="",ISNUMBER(MATCH($J275,lista_no_disponible,0)),(IFERROR(INDEX('CALENDARIO'!$C$15:$C$214,MATCH(TEXT($L275,"yyyy-mm-dd")&amp;"|"&amp;$D275&amp;"|"&amp;"",'CALENDARIO'!$G$15:$G$214,0)),IFERROR(INDEX('CALENDARIO'!$C$15:$C$214,MATCH(TEXT($L275,"yyyy-mm-dd")&amp;"|"&amp;$D275&amp;"|",'CALENDARIO'!$G$15:$G$214,0)),IFERROR(INDEX('CALENDARIO'!$C$15:$C$214,MATCH(TEXT($L275,"yyyy-mm-dd")&amp;"||",'CALENDARIO'!$G$15:$G$214,0)),INDEX(patronHabil,WEEKDAY($L275,2))))))&lt;&gt;"sí"),0,p_horas_jornada)</f>
        <v/>
      </c>
      <c r="N275" s="24">
        <f>$A275&amp;"|"&amp;$B275&amp;"|"&amp;$C275</f>
        <v/>
      </c>
      <c r="O275" s="24">
        <f>IFERROR(INDEX('CAT_TURNOS'!$C$4:$C$22,MATCH($J275,'CAT_TURNOS'!$A$4:$A$22,0)),"")</f>
        <v/>
      </c>
      <c r="P275" s="24">
        <f>IFERROR(INDEX('CAT_TURNOS'!$D$4:$D$22,MATCH($J275,'CAT_TURNOS'!$A$4:$A$22,0)),"")</f>
        <v/>
      </c>
      <c r="Q275" s="24">
        <f>IF(AND(LEFT($G275,1)="T",$H275="no"),"sí","no")</f>
        <v/>
      </c>
    </row>
    <row r="276">
      <c r="A276" s="5" t="inlineStr">
        <is>
          <t>2026-S32</t>
        </is>
      </c>
      <c r="B276" s="5" t="inlineStr">
        <is>
          <t>domingo</t>
        </is>
      </c>
      <c r="C276" s="5" t="inlineStr">
        <is>
          <t>Francisco Ramírez</t>
        </is>
      </c>
      <c r="D276" s="24">
        <f>IFERROR(INDEX('TECNICOS'!$D$4:$D$19,MATCH($C276,'TECNICOS'!$B$4:$B$19,0)),"")</f>
        <v/>
      </c>
      <c r="E276" s="24">
        <f>IFERROR(INDEX('TECNICOS'!$C$4:$C$19,MATCH($C276,'TECNICOS'!$B$4:$B$19,0)),"")</f>
        <v/>
      </c>
      <c r="F276" s="24">
        <f>COUNTIFS('TECNICOS'!$F$4:$F$19,"sí",'TECNICOS'!$C$4:$C$19,$E276,'TECNICOS'!$D$4:$D$19,$D276,'TECNICOS'!$H$4:$H$19,"sí")</f>
        <v/>
      </c>
      <c r="G276" s="24">
        <f>IF(OR($C276="",$A276="",$B276="domingo",IFERROR(INDEX('TECNICOS'!$H$4:$H$19,MATCH($C276,'TECNICOS'!$B$4:$B$19,0)),"no")&lt;&gt;"sí"),"",IF(IFERROR(INDEX('TECNICOS'!$F$4:$F$19,MATCH($C276,'TECNICOS'!$B$4:$B$19,0)),"no")&lt;&gt;"sí","B",IF(MOD((IFERROR(INDEX('TECNICOS'!$G$4:$G$19,MATCH($C276,'TECNICOS'!$B$4:$B$19,0)),0)-1)+((DATE(VALUE(LEFT($A276,4)),1,4)-WEEKDAY(DATE(VALUE(LEFT($A276,4)),1,4),2)+1+(VALUE(MID($A276,7,2))-1)*7)-p_semana_referencia)/7,$F276)&lt;($F276-3),"B"&amp;(($F276-3)-MOD((IFERROR(INDEX('TECNICOS'!$G$4:$G$19,MATCH($C276,'TECNICOS'!$B$4:$B$19,0)),0)-1)+((DATE(VALUE(LEFT($A276,4)),1,4)-WEEKDAY(DATE(VALUE(LEFT($A276,4)),1,4),2)+1+(VALUE(MID($A276,7,2))-1)*7)-p_semana_referencia)/7,$F276)),"T"&amp;($F276-MOD((IFERROR(INDEX('TECNICOS'!$G$4:$G$19,MATCH($C276,'TECNICOS'!$B$4:$B$19,0)),0)-1)+((DATE(VALUE(LEFT($A276,4)),1,4)-WEEKDAY(DATE(VALUE(LEFT($A276,4)),1,4),2)+1+(VALUE(MID($A276,7,2))-1)*7)-p_semana_referencia)/7,$F276)))))</f>
        <v/>
      </c>
      <c r="H276" s="24">
        <f>IF(COUNTIFS('PLAN_VACACIONES'!$A$4:$A$103,$C276,'PLAN_VACACIONES'!$B$4:$B$103,"&lt;="&amp;$L276,'PLAN_VACACIONES'!$C$4:$C$103,"&gt;="&amp;$L276)&gt;0,"sí","no")</f>
        <v/>
      </c>
      <c r="I276" s="4" t="n"/>
      <c r="J276" s="24">
        <f>IF($I276&lt;&gt;"",$I276,IF($G276="","",IF($H276="sí","VAC",IF(LEFT($G276,1)="B","B",$G276))))</f>
        <v/>
      </c>
      <c r="K276" s="24">
        <f>IFERROR(INDEX('TECNICOS'!$E$4:$E$19,MATCH($C276,'TECNICOS'!$B$4:$B$19,0)),"")</f>
        <v/>
      </c>
      <c r="L276" s="30">
        <f>IF($A276="","",DATE(VALUE(LEFT($A276,4)),1,4)-WEEKDAY(DATE(VALUE(LEFT($A276,4)),1,4),2)+1+(VALUE(MID($A276,7,2))-1)*7+MATCH($B276,lista_dias,0)-1)</f>
        <v/>
      </c>
      <c r="M276" s="24">
        <f>IF(OR($J276="",ISNUMBER(MATCH($J276,lista_no_disponible,0)),(IFERROR(INDEX('CALENDARIO'!$C$15:$C$214,MATCH(TEXT($L276,"yyyy-mm-dd")&amp;"|"&amp;$D276&amp;"|"&amp;"",'CALENDARIO'!$G$15:$G$214,0)),IFERROR(INDEX('CALENDARIO'!$C$15:$C$214,MATCH(TEXT($L276,"yyyy-mm-dd")&amp;"|"&amp;$D276&amp;"|",'CALENDARIO'!$G$15:$G$214,0)),IFERROR(INDEX('CALENDARIO'!$C$15:$C$214,MATCH(TEXT($L276,"yyyy-mm-dd")&amp;"||",'CALENDARIO'!$G$15:$G$214,0)),INDEX(patronHabil,WEEKDAY($L276,2))))))&lt;&gt;"sí"),0,p_horas_jornada)</f>
        <v/>
      </c>
      <c r="N276" s="24">
        <f>$A276&amp;"|"&amp;$B276&amp;"|"&amp;$C276</f>
        <v/>
      </c>
      <c r="O276" s="24">
        <f>IFERROR(INDEX('CAT_TURNOS'!$C$4:$C$22,MATCH($J276,'CAT_TURNOS'!$A$4:$A$22,0)),"")</f>
        <v/>
      </c>
      <c r="P276" s="24">
        <f>IFERROR(INDEX('CAT_TURNOS'!$D$4:$D$22,MATCH($J276,'CAT_TURNOS'!$A$4:$A$22,0)),"")</f>
        <v/>
      </c>
      <c r="Q276" s="24">
        <f>IF(AND(LEFT($G276,1)="T",$H276="no"),"sí","no")</f>
        <v/>
      </c>
    </row>
    <row r="277">
      <c r="A277" s="5" t="inlineStr">
        <is>
          <t>2026-S32</t>
        </is>
      </c>
      <c r="B277" s="5" t="inlineStr">
        <is>
          <t>lunes</t>
        </is>
      </c>
      <c r="C277" s="5" t="inlineStr">
        <is>
          <t>Jorge Díaz</t>
        </is>
      </c>
      <c r="D277" s="24">
        <f>IFERROR(INDEX('TECNICOS'!$D$4:$D$19,MATCH($C277,'TECNICOS'!$B$4:$B$19,0)),"")</f>
        <v/>
      </c>
      <c r="E277" s="24">
        <f>IFERROR(INDEX('TECNICOS'!$C$4:$C$19,MATCH($C277,'TECNICOS'!$B$4:$B$19,0)),"")</f>
        <v/>
      </c>
      <c r="F277" s="24">
        <f>COUNTIFS('TECNICOS'!$F$4:$F$19,"sí",'TECNICOS'!$C$4:$C$19,$E277,'TECNICOS'!$D$4:$D$19,$D277,'TECNICOS'!$H$4:$H$19,"sí")</f>
        <v/>
      </c>
      <c r="G277" s="24">
        <f>IF(OR($C277="",$A277="",$B277="domingo",IFERROR(INDEX('TECNICOS'!$H$4:$H$19,MATCH($C277,'TECNICOS'!$B$4:$B$19,0)),"no")&lt;&gt;"sí"),"",IF(IFERROR(INDEX('TECNICOS'!$F$4:$F$19,MATCH($C277,'TECNICOS'!$B$4:$B$19,0)),"no")&lt;&gt;"sí","B",IF(MOD((IFERROR(INDEX('TECNICOS'!$G$4:$G$19,MATCH($C277,'TECNICOS'!$B$4:$B$19,0)),0)-1)+((DATE(VALUE(LEFT($A277,4)),1,4)-WEEKDAY(DATE(VALUE(LEFT($A277,4)),1,4),2)+1+(VALUE(MID($A277,7,2))-1)*7)-p_semana_referencia)/7,$F277)&lt;($F277-3),"B"&amp;(($F277-3)-MOD((IFERROR(INDEX('TECNICOS'!$G$4:$G$19,MATCH($C277,'TECNICOS'!$B$4:$B$19,0)),0)-1)+((DATE(VALUE(LEFT($A277,4)),1,4)-WEEKDAY(DATE(VALUE(LEFT($A277,4)),1,4),2)+1+(VALUE(MID($A277,7,2))-1)*7)-p_semana_referencia)/7,$F277)),"T"&amp;($F277-MOD((IFERROR(INDEX('TECNICOS'!$G$4:$G$19,MATCH($C277,'TECNICOS'!$B$4:$B$19,0)),0)-1)+((DATE(VALUE(LEFT($A277,4)),1,4)-WEEKDAY(DATE(VALUE(LEFT($A277,4)),1,4),2)+1+(VALUE(MID($A277,7,2))-1)*7)-p_semana_referencia)/7,$F277)))))</f>
        <v/>
      </c>
      <c r="H277" s="24">
        <f>IF(COUNTIFS('PLAN_VACACIONES'!$A$4:$A$103,$C277,'PLAN_VACACIONES'!$B$4:$B$103,"&lt;="&amp;$L277,'PLAN_VACACIONES'!$C$4:$C$103,"&gt;="&amp;$L277)&gt;0,"sí","no")</f>
        <v/>
      </c>
      <c r="I277" s="4" t="n"/>
      <c r="J277" s="24">
        <f>IF($I277&lt;&gt;"",$I277,IF($G277="","",IF($H277="sí","VAC",IF(LEFT($G277,1)="B","B",$G277))))</f>
        <v/>
      </c>
      <c r="K277" s="24">
        <f>IFERROR(INDEX('TECNICOS'!$E$4:$E$19,MATCH($C277,'TECNICOS'!$B$4:$B$19,0)),"")</f>
        <v/>
      </c>
      <c r="L277" s="30">
        <f>IF($A277="","",DATE(VALUE(LEFT($A277,4)),1,4)-WEEKDAY(DATE(VALUE(LEFT($A277,4)),1,4),2)+1+(VALUE(MID($A277,7,2))-1)*7+MATCH($B277,lista_dias,0)-1)</f>
        <v/>
      </c>
      <c r="M277" s="24">
        <f>IF(OR($J277="",ISNUMBER(MATCH($J277,lista_no_disponible,0)),(IFERROR(INDEX('CALENDARIO'!$C$15:$C$214,MATCH(TEXT($L277,"yyyy-mm-dd")&amp;"|"&amp;$D277&amp;"|"&amp;"",'CALENDARIO'!$G$15:$G$214,0)),IFERROR(INDEX('CALENDARIO'!$C$15:$C$214,MATCH(TEXT($L277,"yyyy-mm-dd")&amp;"|"&amp;$D277&amp;"|",'CALENDARIO'!$G$15:$G$214,0)),IFERROR(INDEX('CALENDARIO'!$C$15:$C$214,MATCH(TEXT($L277,"yyyy-mm-dd")&amp;"||",'CALENDARIO'!$G$15:$G$214,0)),INDEX(patronHabil,WEEKDAY($L277,2))))))&lt;&gt;"sí"),0,p_horas_jornada)</f>
        <v/>
      </c>
      <c r="N277" s="24">
        <f>$A277&amp;"|"&amp;$B277&amp;"|"&amp;$C277</f>
        <v/>
      </c>
      <c r="O277" s="24">
        <f>IFERROR(INDEX('CAT_TURNOS'!$C$4:$C$22,MATCH($J277,'CAT_TURNOS'!$A$4:$A$22,0)),"")</f>
        <v/>
      </c>
      <c r="P277" s="24">
        <f>IFERROR(INDEX('CAT_TURNOS'!$D$4:$D$22,MATCH($J277,'CAT_TURNOS'!$A$4:$A$22,0)),"")</f>
        <v/>
      </c>
      <c r="Q277" s="24">
        <f>IF(AND(LEFT($G277,1)="T",$H277="no"),"sí","no")</f>
        <v/>
      </c>
    </row>
    <row r="278">
      <c r="A278" s="5" t="inlineStr">
        <is>
          <t>2026-S32</t>
        </is>
      </c>
      <c r="B278" s="5" t="inlineStr">
        <is>
          <t>martes</t>
        </is>
      </c>
      <c r="C278" s="5" t="inlineStr">
        <is>
          <t>Jorge Díaz</t>
        </is>
      </c>
      <c r="D278" s="24">
        <f>IFERROR(INDEX('TECNICOS'!$D$4:$D$19,MATCH($C278,'TECNICOS'!$B$4:$B$19,0)),"")</f>
        <v/>
      </c>
      <c r="E278" s="24">
        <f>IFERROR(INDEX('TECNICOS'!$C$4:$C$19,MATCH($C278,'TECNICOS'!$B$4:$B$19,0)),"")</f>
        <v/>
      </c>
      <c r="F278" s="24">
        <f>COUNTIFS('TECNICOS'!$F$4:$F$19,"sí",'TECNICOS'!$C$4:$C$19,$E278,'TECNICOS'!$D$4:$D$19,$D278,'TECNICOS'!$H$4:$H$19,"sí")</f>
        <v/>
      </c>
      <c r="G278" s="24">
        <f>IF(OR($C278="",$A278="",$B278="domingo",IFERROR(INDEX('TECNICOS'!$H$4:$H$19,MATCH($C278,'TECNICOS'!$B$4:$B$19,0)),"no")&lt;&gt;"sí"),"",IF(IFERROR(INDEX('TECNICOS'!$F$4:$F$19,MATCH($C278,'TECNICOS'!$B$4:$B$19,0)),"no")&lt;&gt;"sí","B",IF(MOD((IFERROR(INDEX('TECNICOS'!$G$4:$G$19,MATCH($C278,'TECNICOS'!$B$4:$B$19,0)),0)-1)+((DATE(VALUE(LEFT($A278,4)),1,4)-WEEKDAY(DATE(VALUE(LEFT($A278,4)),1,4),2)+1+(VALUE(MID($A278,7,2))-1)*7)-p_semana_referencia)/7,$F278)&lt;($F278-3),"B"&amp;(($F278-3)-MOD((IFERROR(INDEX('TECNICOS'!$G$4:$G$19,MATCH($C278,'TECNICOS'!$B$4:$B$19,0)),0)-1)+((DATE(VALUE(LEFT($A278,4)),1,4)-WEEKDAY(DATE(VALUE(LEFT($A278,4)),1,4),2)+1+(VALUE(MID($A278,7,2))-1)*7)-p_semana_referencia)/7,$F278)),"T"&amp;($F278-MOD((IFERROR(INDEX('TECNICOS'!$G$4:$G$19,MATCH($C278,'TECNICOS'!$B$4:$B$19,0)),0)-1)+((DATE(VALUE(LEFT($A278,4)),1,4)-WEEKDAY(DATE(VALUE(LEFT($A278,4)),1,4),2)+1+(VALUE(MID($A278,7,2))-1)*7)-p_semana_referencia)/7,$F278)))))</f>
        <v/>
      </c>
      <c r="H278" s="24">
        <f>IF(COUNTIFS('PLAN_VACACIONES'!$A$4:$A$103,$C278,'PLAN_VACACIONES'!$B$4:$B$103,"&lt;="&amp;$L278,'PLAN_VACACIONES'!$C$4:$C$103,"&gt;="&amp;$L278)&gt;0,"sí","no")</f>
        <v/>
      </c>
      <c r="I278" s="4" t="n"/>
      <c r="J278" s="24">
        <f>IF($I278&lt;&gt;"",$I278,IF($G278="","",IF($H278="sí","VAC",IF(LEFT($G278,1)="B","B",$G278))))</f>
        <v/>
      </c>
      <c r="K278" s="24">
        <f>IFERROR(INDEX('TECNICOS'!$E$4:$E$19,MATCH($C278,'TECNICOS'!$B$4:$B$19,0)),"")</f>
        <v/>
      </c>
      <c r="L278" s="30">
        <f>IF($A278="","",DATE(VALUE(LEFT($A278,4)),1,4)-WEEKDAY(DATE(VALUE(LEFT($A278,4)),1,4),2)+1+(VALUE(MID($A278,7,2))-1)*7+MATCH($B278,lista_dias,0)-1)</f>
        <v/>
      </c>
      <c r="M278" s="24">
        <f>IF(OR($J278="",ISNUMBER(MATCH($J278,lista_no_disponible,0)),(IFERROR(INDEX('CALENDARIO'!$C$15:$C$214,MATCH(TEXT($L278,"yyyy-mm-dd")&amp;"|"&amp;$D278&amp;"|"&amp;"",'CALENDARIO'!$G$15:$G$214,0)),IFERROR(INDEX('CALENDARIO'!$C$15:$C$214,MATCH(TEXT($L278,"yyyy-mm-dd")&amp;"|"&amp;$D278&amp;"|",'CALENDARIO'!$G$15:$G$214,0)),IFERROR(INDEX('CALENDARIO'!$C$15:$C$214,MATCH(TEXT($L278,"yyyy-mm-dd")&amp;"||",'CALENDARIO'!$G$15:$G$214,0)),INDEX(patronHabil,WEEKDAY($L278,2))))))&lt;&gt;"sí"),0,p_horas_jornada)</f>
        <v/>
      </c>
      <c r="N278" s="24">
        <f>$A278&amp;"|"&amp;$B278&amp;"|"&amp;$C278</f>
        <v/>
      </c>
      <c r="O278" s="24">
        <f>IFERROR(INDEX('CAT_TURNOS'!$C$4:$C$22,MATCH($J278,'CAT_TURNOS'!$A$4:$A$22,0)),"")</f>
        <v/>
      </c>
      <c r="P278" s="24">
        <f>IFERROR(INDEX('CAT_TURNOS'!$D$4:$D$22,MATCH($J278,'CAT_TURNOS'!$A$4:$A$22,0)),"")</f>
        <v/>
      </c>
      <c r="Q278" s="24">
        <f>IF(AND(LEFT($G278,1)="T",$H278="no"),"sí","no")</f>
        <v/>
      </c>
    </row>
    <row r="279">
      <c r="A279" s="5" t="inlineStr">
        <is>
          <t>2026-S32</t>
        </is>
      </c>
      <c r="B279" s="5" t="inlineStr">
        <is>
          <t>miércoles</t>
        </is>
      </c>
      <c r="C279" s="5" t="inlineStr">
        <is>
          <t>Jorge Díaz</t>
        </is>
      </c>
      <c r="D279" s="24">
        <f>IFERROR(INDEX('TECNICOS'!$D$4:$D$19,MATCH($C279,'TECNICOS'!$B$4:$B$19,0)),"")</f>
        <v/>
      </c>
      <c r="E279" s="24">
        <f>IFERROR(INDEX('TECNICOS'!$C$4:$C$19,MATCH($C279,'TECNICOS'!$B$4:$B$19,0)),"")</f>
        <v/>
      </c>
      <c r="F279" s="24">
        <f>COUNTIFS('TECNICOS'!$F$4:$F$19,"sí",'TECNICOS'!$C$4:$C$19,$E279,'TECNICOS'!$D$4:$D$19,$D279,'TECNICOS'!$H$4:$H$19,"sí")</f>
        <v/>
      </c>
      <c r="G279" s="24">
        <f>IF(OR($C279="",$A279="",$B279="domingo",IFERROR(INDEX('TECNICOS'!$H$4:$H$19,MATCH($C279,'TECNICOS'!$B$4:$B$19,0)),"no")&lt;&gt;"sí"),"",IF(IFERROR(INDEX('TECNICOS'!$F$4:$F$19,MATCH($C279,'TECNICOS'!$B$4:$B$19,0)),"no")&lt;&gt;"sí","B",IF(MOD((IFERROR(INDEX('TECNICOS'!$G$4:$G$19,MATCH($C279,'TECNICOS'!$B$4:$B$19,0)),0)-1)+((DATE(VALUE(LEFT($A279,4)),1,4)-WEEKDAY(DATE(VALUE(LEFT($A279,4)),1,4),2)+1+(VALUE(MID($A279,7,2))-1)*7)-p_semana_referencia)/7,$F279)&lt;($F279-3),"B"&amp;(($F279-3)-MOD((IFERROR(INDEX('TECNICOS'!$G$4:$G$19,MATCH($C279,'TECNICOS'!$B$4:$B$19,0)),0)-1)+((DATE(VALUE(LEFT($A279,4)),1,4)-WEEKDAY(DATE(VALUE(LEFT($A279,4)),1,4),2)+1+(VALUE(MID($A279,7,2))-1)*7)-p_semana_referencia)/7,$F279)),"T"&amp;($F279-MOD((IFERROR(INDEX('TECNICOS'!$G$4:$G$19,MATCH($C279,'TECNICOS'!$B$4:$B$19,0)),0)-1)+((DATE(VALUE(LEFT($A279,4)),1,4)-WEEKDAY(DATE(VALUE(LEFT($A279,4)),1,4),2)+1+(VALUE(MID($A279,7,2))-1)*7)-p_semana_referencia)/7,$F279)))))</f>
        <v/>
      </c>
      <c r="H279" s="24">
        <f>IF(COUNTIFS('PLAN_VACACIONES'!$A$4:$A$103,$C279,'PLAN_VACACIONES'!$B$4:$B$103,"&lt;="&amp;$L279,'PLAN_VACACIONES'!$C$4:$C$103,"&gt;="&amp;$L279)&gt;0,"sí","no")</f>
        <v/>
      </c>
      <c r="I279" s="4" t="n"/>
      <c r="J279" s="24">
        <f>IF($I279&lt;&gt;"",$I279,IF($G279="","",IF($H279="sí","VAC",IF(LEFT($G279,1)="B","B",$G279))))</f>
        <v/>
      </c>
      <c r="K279" s="24">
        <f>IFERROR(INDEX('TECNICOS'!$E$4:$E$19,MATCH($C279,'TECNICOS'!$B$4:$B$19,0)),"")</f>
        <v/>
      </c>
      <c r="L279" s="30">
        <f>IF($A279="","",DATE(VALUE(LEFT($A279,4)),1,4)-WEEKDAY(DATE(VALUE(LEFT($A279,4)),1,4),2)+1+(VALUE(MID($A279,7,2))-1)*7+MATCH($B279,lista_dias,0)-1)</f>
        <v/>
      </c>
      <c r="M279" s="24">
        <f>IF(OR($J279="",ISNUMBER(MATCH($J279,lista_no_disponible,0)),(IFERROR(INDEX('CALENDARIO'!$C$15:$C$214,MATCH(TEXT($L279,"yyyy-mm-dd")&amp;"|"&amp;$D279&amp;"|"&amp;"",'CALENDARIO'!$G$15:$G$214,0)),IFERROR(INDEX('CALENDARIO'!$C$15:$C$214,MATCH(TEXT($L279,"yyyy-mm-dd")&amp;"|"&amp;$D279&amp;"|",'CALENDARIO'!$G$15:$G$214,0)),IFERROR(INDEX('CALENDARIO'!$C$15:$C$214,MATCH(TEXT($L279,"yyyy-mm-dd")&amp;"||",'CALENDARIO'!$G$15:$G$214,0)),INDEX(patronHabil,WEEKDAY($L279,2))))))&lt;&gt;"sí"),0,p_horas_jornada)</f>
        <v/>
      </c>
      <c r="N279" s="24">
        <f>$A279&amp;"|"&amp;$B279&amp;"|"&amp;$C279</f>
        <v/>
      </c>
      <c r="O279" s="24">
        <f>IFERROR(INDEX('CAT_TURNOS'!$C$4:$C$22,MATCH($J279,'CAT_TURNOS'!$A$4:$A$22,0)),"")</f>
        <v/>
      </c>
      <c r="P279" s="24">
        <f>IFERROR(INDEX('CAT_TURNOS'!$D$4:$D$22,MATCH($J279,'CAT_TURNOS'!$A$4:$A$22,0)),"")</f>
        <v/>
      </c>
      <c r="Q279" s="24">
        <f>IF(AND(LEFT($G279,1)="T",$H279="no"),"sí","no")</f>
        <v/>
      </c>
    </row>
    <row r="280">
      <c r="A280" s="5" t="inlineStr">
        <is>
          <t>2026-S32</t>
        </is>
      </c>
      <c r="B280" s="5" t="inlineStr">
        <is>
          <t>jueves</t>
        </is>
      </c>
      <c r="C280" s="5" t="inlineStr">
        <is>
          <t>Jorge Díaz</t>
        </is>
      </c>
      <c r="D280" s="24">
        <f>IFERROR(INDEX('TECNICOS'!$D$4:$D$19,MATCH($C280,'TECNICOS'!$B$4:$B$19,0)),"")</f>
        <v/>
      </c>
      <c r="E280" s="24">
        <f>IFERROR(INDEX('TECNICOS'!$C$4:$C$19,MATCH($C280,'TECNICOS'!$B$4:$B$19,0)),"")</f>
        <v/>
      </c>
      <c r="F280" s="24">
        <f>COUNTIFS('TECNICOS'!$F$4:$F$19,"sí",'TECNICOS'!$C$4:$C$19,$E280,'TECNICOS'!$D$4:$D$19,$D280,'TECNICOS'!$H$4:$H$19,"sí")</f>
        <v/>
      </c>
      <c r="G280" s="24">
        <f>IF(OR($C280="",$A280="",$B280="domingo",IFERROR(INDEX('TECNICOS'!$H$4:$H$19,MATCH($C280,'TECNICOS'!$B$4:$B$19,0)),"no")&lt;&gt;"sí"),"",IF(IFERROR(INDEX('TECNICOS'!$F$4:$F$19,MATCH($C280,'TECNICOS'!$B$4:$B$19,0)),"no")&lt;&gt;"sí","B",IF(MOD((IFERROR(INDEX('TECNICOS'!$G$4:$G$19,MATCH($C280,'TECNICOS'!$B$4:$B$19,0)),0)-1)+((DATE(VALUE(LEFT($A280,4)),1,4)-WEEKDAY(DATE(VALUE(LEFT($A280,4)),1,4),2)+1+(VALUE(MID($A280,7,2))-1)*7)-p_semana_referencia)/7,$F280)&lt;($F280-3),"B"&amp;(($F280-3)-MOD((IFERROR(INDEX('TECNICOS'!$G$4:$G$19,MATCH($C280,'TECNICOS'!$B$4:$B$19,0)),0)-1)+((DATE(VALUE(LEFT($A280,4)),1,4)-WEEKDAY(DATE(VALUE(LEFT($A280,4)),1,4),2)+1+(VALUE(MID($A280,7,2))-1)*7)-p_semana_referencia)/7,$F280)),"T"&amp;($F280-MOD((IFERROR(INDEX('TECNICOS'!$G$4:$G$19,MATCH($C280,'TECNICOS'!$B$4:$B$19,0)),0)-1)+((DATE(VALUE(LEFT($A280,4)),1,4)-WEEKDAY(DATE(VALUE(LEFT($A280,4)),1,4),2)+1+(VALUE(MID($A280,7,2))-1)*7)-p_semana_referencia)/7,$F280)))))</f>
        <v/>
      </c>
      <c r="H280" s="24">
        <f>IF(COUNTIFS('PLAN_VACACIONES'!$A$4:$A$103,$C280,'PLAN_VACACIONES'!$B$4:$B$103,"&lt;="&amp;$L280,'PLAN_VACACIONES'!$C$4:$C$103,"&gt;="&amp;$L280)&gt;0,"sí","no")</f>
        <v/>
      </c>
      <c r="I280" s="4" t="n"/>
      <c r="J280" s="24">
        <f>IF($I280&lt;&gt;"",$I280,IF($G280="","",IF($H280="sí","VAC",IF(LEFT($G280,1)="B","B",$G280))))</f>
        <v/>
      </c>
      <c r="K280" s="24">
        <f>IFERROR(INDEX('TECNICOS'!$E$4:$E$19,MATCH($C280,'TECNICOS'!$B$4:$B$19,0)),"")</f>
        <v/>
      </c>
      <c r="L280" s="30">
        <f>IF($A280="","",DATE(VALUE(LEFT($A280,4)),1,4)-WEEKDAY(DATE(VALUE(LEFT($A280,4)),1,4),2)+1+(VALUE(MID($A280,7,2))-1)*7+MATCH($B280,lista_dias,0)-1)</f>
        <v/>
      </c>
      <c r="M280" s="24">
        <f>IF(OR($J280="",ISNUMBER(MATCH($J280,lista_no_disponible,0)),(IFERROR(INDEX('CALENDARIO'!$C$15:$C$214,MATCH(TEXT($L280,"yyyy-mm-dd")&amp;"|"&amp;$D280&amp;"|"&amp;"",'CALENDARIO'!$G$15:$G$214,0)),IFERROR(INDEX('CALENDARIO'!$C$15:$C$214,MATCH(TEXT($L280,"yyyy-mm-dd")&amp;"|"&amp;$D280&amp;"|",'CALENDARIO'!$G$15:$G$214,0)),IFERROR(INDEX('CALENDARIO'!$C$15:$C$214,MATCH(TEXT($L280,"yyyy-mm-dd")&amp;"||",'CALENDARIO'!$G$15:$G$214,0)),INDEX(patronHabil,WEEKDAY($L280,2))))))&lt;&gt;"sí"),0,p_horas_jornada)</f>
        <v/>
      </c>
      <c r="N280" s="24">
        <f>$A280&amp;"|"&amp;$B280&amp;"|"&amp;$C280</f>
        <v/>
      </c>
      <c r="O280" s="24">
        <f>IFERROR(INDEX('CAT_TURNOS'!$C$4:$C$22,MATCH($J280,'CAT_TURNOS'!$A$4:$A$22,0)),"")</f>
        <v/>
      </c>
      <c r="P280" s="24">
        <f>IFERROR(INDEX('CAT_TURNOS'!$D$4:$D$22,MATCH($J280,'CAT_TURNOS'!$A$4:$A$22,0)),"")</f>
        <v/>
      </c>
      <c r="Q280" s="24">
        <f>IF(AND(LEFT($G280,1)="T",$H280="no"),"sí","no")</f>
        <v/>
      </c>
    </row>
    <row r="281">
      <c r="A281" s="5" t="inlineStr">
        <is>
          <t>2026-S32</t>
        </is>
      </c>
      <c r="B281" s="5" t="inlineStr">
        <is>
          <t>viernes</t>
        </is>
      </c>
      <c r="C281" s="5" t="inlineStr">
        <is>
          <t>Jorge Díaz</t>
        </is>
      </c>
      <c r="D281" s="24">
        <f>IFERROR(INDEX('TECNICOS'!$D$4:$D$19,MATCH($C281,'TECNICOS'!$B$4:$B$19,0)),"")</f>
        <v/>
      </c>
      <c r="E281" s="24">
        <f>IFERROR(INDEX('TECNICOS'!$C$4:$C$19,MATCH($C281,'TECNICOS'!$B$4:$B$19,0)),"")</f>
        <v/>
      </c>
      <c r="F281" s="24">
        <f>COUNTIFS('TECNICOS'!$F$4:$F$19,"sí",'TECNICOS'!$C$4:$C$19,$E281,'TECNICOS'!$D$4:$D$19,$D281,'TECNICOS'!$H$4:$H$19,"sí")</f>
        <v/>
      </c>
      <c r="G281" s="24">
        <f>IF(OR($C281="",$A281="",$B281="domingo",IFERROR(INDEX('TECNICOS'!$H$4:$H$19,MATCH($C281,'TECNICOS'!$B$4:$B$19,0)),"no")&lt;&gt;"sí"),"",IF(IFERROR(INDEX('TECNICOS'!$F$4:$F$19,MATCH($C281,'TECNICOS'!$B$4:$B$19,0)),"no")&lt;&gt;"sí","B",IF(MOD((IFERROR(INDEX('TECNICOS'!$G$4:$G$19,MATCH($C281,'TECNICOS'!$B$4:$B$19,0)),0)-1)+((DATE(VALUE(LEFT($A281,4)),1,4)-WEEKDAY(DATE(VALUE(LEFT($A281,4)),1,4),2)+1+(VALUE(MID($A281,7,2))-1)*7)-p_semana_referencia)/7,$F281)&lt;($F281-3),"B"&amp;(($F281-3)-MOD((IFERROR(INDEX('TECNICOS'!$G$4:$G$19,MATCH($C281,'TECNICOS'!$B$4:$B$19,0)),0)-1)+((DATE(VALUE(LEFT($A281,4)),1,4)-WEEKDAY(DATE(VALUE(LEFT($A281,4)),1,4),2)+1+(VALUE(MID($A281,7,2))-1)*7)-p_semana_referencia)/7,$F281)),"T"&amp;($F281-MOD((IFERROR(INDEX('TECNICOS'!$G$4:$G$19,MATCH($C281,'TECNICOS'!$B$4:$B$19,0)),0)-1)+((DATE(VALUE(LEFT($A281,4)),1,4)-WEEKDAY(DATE(VALUE(LEFT($A281,4)),1,4),2)+1+(VALUE(MID($A281,7,2))-1)*7)-p_semana_referencia)/7,$F281)))))</f>
        <v/>
      </c>
      <c r="H281" s="24">
        <f>IF(COUNTIFS('PLAN_VACACIONES'!$A$4:$A$103,$C281,'PLAN_VACACIONES'!$B$4:$B$103,"&lt;="&amp;$L281,'PLAN_VACACIONES'!$C$4:$C$103,"&gt;="&amp;$L281)&gt;0,"sí","no")</f>
        <v/>
      </c>
      <c r="I281" s="4" t="n"/>
      <c r="J281" s="24">
        <f>IF($I281&lt;&gt;"",$I281,IF($G281="","",IF($H281="sí","VAC",IF(LEFT($G281,1)="B","B",$G281))))</f>
        <v/>
      </c>
      <c r="K281" s="24">
        <f>IFERROR(INDEX('TECNICOS'!$E$4:$E$19,MATCH($C281,'TECNICOS'!$B$4:$B$19,0)),"")</f>
        <v/>
      </c>
      <c r="L281" s="30">
        <f>IF($A281="","",DATE(VALUE(LEFT($A281,4)),1,4)-WEEKDAY(DATE(VALUE(LEFT($A281,4)),1,4),2)+1+(VALUE(MID($A281,7,2))-1)*7+MATCH($B281,lista_dias,0)-1)</f>
        <v/>
      </c>
      <c r="M281" s="24">
        <f>IF(OR($J281="",ISNUMBER(MATCH($J281,lista_no_disponible,0)),(IFERROR(INDEX('CALENDARIO'!$C$15:$C$214,MATCH(TEXT($L281,"yyyy-mm-dd")&amp;"|"&amp;$D281&amp;"|"&amp;"",'CALENDARIO'!$G$15:$G$214,0)),IFERROR(INDEX('CALENDARIO'!$C$15:$C$214,MATCH(TEXT($L281,"yyyy-mm-dd")&amp;"|"&amp;$D281&amp;"|",'CALENDARIO'!$G$15:$G$214,0)),IFERROR(INDEX('CALENDARIO'!$C$15:$C$214,MATCH(TEXT($L281,"yyyy-mm-dd")&amp;"||",'CALENDARIO'!$G$15:$G$214,0)),INDEX(patronHabil,WEEKDAY($L281,2))))))&lt;&gt;"sí"),0,p_horas_jornada)</f>
        <v/>
      </c>
      <c r="N281" s="24">
        <f>$A281&amp;"|"&amp;$B281&amp;"|"&amp;$C281</f>
        <v/>
      </c>
      <c r="O281" s="24">
        <f>IFERROR(INDEX('CAT_TURNOS'!$C$4:$C$22,MATCH($J281,'CAT_TURNOS'!$A$4:$A$22,0)),"")</f>
        <v/>
      </c>
      <c r="P281" s="24">
        <f>IFERROR(INDEX('CAT_TURNOS'!$D$4:$D$22,MATCH($J281,'CAT_TURNOS'!$A$4:$A$22,0)),"")</f>
        <v/>
      </c>
      <c r="Q281" s="24">
        <f>IF(AND(LEFT($G281,1)="T",$H281="no"),"sí","no")</f>
        <v/>
      </c>
    </row>
    <row r="282">
      <c r="A282" s="5" t="inlineStr">
        <is>
          <t>2026-S32</t>
        </is>
      </c>
      <c r="B282" s="5" t="inlineStr">
        <is>
          <t>sábado</t>
        </is>
      </c>
      <c r="C282" s="5" t="inlineStr">
        <is>
          <t>Jorge Díaz</t>
        </is>
      </c>
      <c r="D282" s="24">
        <f>IFERROR(INDEX('TECNICOS'!$D$4:$D$19,MATCH($C282,'TECNICOS'!$B$4:$B$19,0)),"")</f>
        <v/>
      </c>
      <c r="E282" s="24">
        <f>IFERROR(INDEX('TECNICOS'!$C$4:$C$19,MATCH($C282,'TECNICOS'!$B$4:$B$19,0)),"")</f>
        <v/>
      </c>
      <c r="F282" s="24">
        <f>COUNTIFS('TECNICOS'!$F$4:$F$19,"sí",'TECNICOS'!$C$4:$C$19,$E282,'TECNICOS'!$D$4:$D$19,$D282,'TECNICOS'!$H$4:$H$19,"sí")</f>
        <v/>
      </c>
      <c r="G282" s="24">
        <f>IF(OR($C282="",$A282="",$B282="domingo",IFERROR(INDEX('TECNICOS'!$H$4:$H$19,MATCH($C282,'TECNICOS'!$B$4:$B$19,0)),"no")&lt;&gt;"sí"),"",IF(IFERROR(INDEX('TECNICOS'!$F$4:$F$19,MATCH($C282,'TECNICOS'!$B$4:$B$19,0)),"no")&lt;&gt;"sí","B",IF(MOD((IFERROR(INDEX('TECNICOS'!$G$4:$G$19,MATCH($C282,'TECNICOS'!$B$4:$B$19,0)),0)-1)+((DATE(VALUE(LEFT($A282,4)),1,4)-WEEKDAY(DATE(VALUE(LEFT($A282,4)),1,4),2)+1+(VALUE(MID($A282,7,2))-1)*7)-p_semana_referencia)/7,$F282)&lt;($F282-3),"B"&amp;(($F282-3)-MOD((IFERROR(INDEX('TECNICOS'!$G$4:$G$19,MATCH($C282,'TECNICOS'!$B$4:$B$19,0)),0)-1)+((DATE(VALUE(LEFT($A282,4)),1,4)-WEEKDAY(DATE(VALUE(LEFT($A282,4)),1,4),2)+1+(VALUE(MID($A282,7,2))-1)*7)-p_semana_referencia)/7,$F282)),"T"&amp;($F282-MOD((IFERROR(INDEX('TECNICOS'!$G$4:$G$19,MATCH($C282,'TECNICOS'!$B$4:$B$19,0)),0)-1)+((DATE(VALUE(LEFT($A282,4)),1,4)-WEEKDAY(DATE(VALUE(LEFT($A282,4)),1,4),2)+1+(VALUE(MID($A282,7,2))-1)*7)-p_semana_referencia)/7,$F282)))))</f>
        <v/>
      </c>
      <c r="H282" s="24">
        <f>IF(COUNTIFS('PLAN_VACACIONES'!$A$4:$A$103,$C282,'PLAN_VACACIONES'!$B$4:$B$103,"&lt;="&amp;$L282,'PLAN_VACACIONES'!$C$4:$C$103,"&gt;="&amp;$L282)&gt;0,"sí","no")</f>
        <v/>
      </c>
      <c r="I282" s="4" t="n"/>
      <c r="J282" s="24">
        <f>IF($I282&lt;&gt;"",$I282,IF($G282="","",IF($H282="sí","VAC",IF(LEFT($G282,1)="B","B",$G282))))</f>
        <v/>
      </c>
      <c r="K282" s="24">
        <f>IFERROR(INDEX('TECNICOS'!$E$4:$E$19,MATCH($C282,'TECNICOS'!$B$4:$B$19,0)),"")</f>
        <v/>
      </c>
      <c r="L282" s="30">
        <f>IF($A282="","",DATE(VALUE(LEFT($A282,4)),1,4)-WEEKDAY(DATE(VALUE(LEFT($A282,4)),1,4),2)+1+(VALUE(MID($A282,7,2))-1)*7+MATCH($B282,lista_dias,0)-1)</f>
        <v/>
      </c>
      <c r="M282" s="24">
        <f>IF(OR($J282="",ISNUMBER(MATCH($J282,lista_no_disponible,0)),(IFERROR(INDEX('CALENDARIO'!$C$15:$C$214,MATCH(TEXT($L282,"yyyy-mm-dd")&amp;"|"&amp;$D282&amp;"|"&amp;"",'CALENDARIO'!$G$15:$G$214,0)),IFERROR(INDEX('CALENDARIO'!$C$15:$C$214,MATCH(TEXT($L282,"yyyy-mm-dd")&amp;"|"&amp;$D282&amp;"|",'CALENDARIO'!$G$15:$G$214,0)),IFERROR(INDEX('CALENDARIO'!$C$15:$C$214,MATCH(TEXT($L282,"yyyy-mm-dd")&amp;"||",'CALENDARIO'!$G$15:$G$214,0)),INDEX(patronHabil,WEEKDAY($L282,2))))))&lt;&gt;"sí"),0,p_horas_jornada)</f>
        <v/>
      </c>
      <c r="N282" s="24">
        <f>$A282&amp;"|"&amp;$B282&amp;"|"&amp;$C282</f>
        <v/>
      </c>
      <c r="O282" s="24">
        <f>IFERROR(INDEX('CAT_TURNOS'!$C$4:$C$22,MATCH($J282,'CAT_TURNOS'!$A$4:$A$22,0)),"")</f>
        <v/>
      </c>
      <c r="P282" s="24">
        <f>IFERROR(INDEX('CAT_TURNOS'!$D$4:$D$22,MATCH($J282,'CAT_TURNOS'!$A$4:$A$22,0)),"")</f>
        <v/>
      </c>
      <c r="Q282" s="24">
        <f>IF(AND(LEFT($G282,1)="T",$H282="no"),"sí","no")</f>
        <v/>
      </c>
    </row>
    <row r="283">
      <c r="A283" s="5" t="inlineStr">
        <is>
          <t>2026-S32</t>
        </is>
      </c>
      <c r="B283" s="5" t="inlineStr">
        <is>
          <t>domingo</t>
        </is>
      </c>
      <c r="C283" s="5" t="inlineStr">
        <is>
          <t>Jorge Díaz</t>
        </is>
      </c>
      <c r="D283" s="24">
        <f>IFERROR(INDEX('TECNICOS'!$D$4:$D$19,MATCH($C283,'TECNICOS'!$B$4:$B$19,0)),"")</f>
        <v/>
      </c>
      <c r="E283" s="24">
        <f>IFERROR(INDEX('TECNICOS'!$C$4:$C$19,MATCH($C283,'TECNICOS'!$B$4:$B$19,0)),"")</f>
        <v/>
      </c>
      <c r="F283" s="24">
        <f>COUNTIFS('TECNICOS'!$F$4:$F$19,"sí",'TECNICOS'!$C$4:$C$19,$E283,'TECNICOS'!$D$4:$D$19,$D283,'TECNICOS'!$H$4:$H$19,"sí")</f>
        <v/>
      </c>
      <c r="G283" s="24">
        <f>IF(OR($C283="",$A283="",$B283="domingo",IFERROR(INDEX('TECNICOS'!$H$4:$H$19,MATCH($C283,'TECNICOS'!$B$4:$B$19,0)),"no")&lt;&gt;"sí"),"",IF(IFERROR(INDEX('TECNICOS'!$F$4:$F$19,MATCH($C283,'TECNICOS'!$B$4:$B$19,0)),"no")&lt;&gt;"sí","B",IF(MOD((IFERROR(INDEX('TECNICOS'!$G$4:$G$19,MATCH($C283,'TECNICOS'!$B$4:$B$19,0)),0)-1)+((DATE(VALUE(LEFT($A283,4)),1,4)-WEEKDAY(DATE(VALUE(LEFT($A283,4)),1,4),2)+1+(VALUE(MID($A283,7,2))-1)*7)-p_semana_referencia)/7,$F283)&lt;($F283-3),"B"&amp;(($F283-3)-MOD((IFERROR(INDEX('TECNICOS'!$G$4:$G$19,MATCH($C283,'TECNICOS'!$B$4:$B$19,0)),0)-1)+((DATE(VALUE(LEFT($A283,4)),1,4)-WEEKDAY(DATE(VALUE(LEFT($A283,4)),1,4),2)+1+(VALUE(MID($A283,7,2))-1)*7)-p_semana_referencia)/7,$F283)),"T"&amp;($F283-MOD((IFERROR(INDEX('TECNICOS'!$G$4:$G$19,MATCH($C283,'TECNICOS'!$B$4:$B$19,0)),0)-1)+((DATE(VALUE(LEFT($A283,4)),1,4)-WEEKDAY(DATE(VALUE(LEFT($A283,4)),1,4),2)+1+(VALUE(MID($A283,7,2))-1)*7)-p_semana_referencia)/7,$F283)))))</f>
        <v/>
      </c>
      <c r="H283" s="24">
        <f>IF(COUNTIFS('PLAN_VACACIONES'!$A$4:$A$103,$C283,'PLAN_VACACIONES'!$B$4:$B$103,"&lt;="&amp;$L283,'PLAN_VACACIONES'!$C$4:$C$103,"&gt;="&amp;$L283)&gt;0,"sí","no")</f>
        <v/>
      </c>
      <c r="I283" s="4" t="n"/>
      <c r="J283" s="24">
        <f>IF($I283&lt;&gt;"",$I283,IF($G283="","",IF($H283="sí","VAC",IF(LEFT($G283,1)="B","B",$G283))))</f>
        <v/>
      </c>
      <c r="K283" s="24">
        <f>IFERROR(INDEX('TECNICOS'!$E$4:$E$19,MATCH($C283,'TECNICOS'!$B$4:$B$19,0)),"")</f>
        <v/>
      </c>
      <c r="L283" s="30">
        <f>IF($A283="","",DATE(VALUE(LEFT($A283,4)),1,4)-WEEKDAY(DATE(VALUE(LEFT($A283,4)),1,4),2)+1+(VALUE(MID($A283,7,2))-1)*7+MATCH($B283,lista_dias,0)-1)</f>
        <v/>
      </c>
      <c r="M283" s="24">
        <f>IF(OR($J283="",ISNUMBER(MATCH($J283,lista_no_disponible,0)),(IFERROR(INDEX('CALENDARIO'!$C$15:$C$214,MATCH(TEXT($L283,"yyyy-mm-dd")&amp;"|"&amp;$D283&amp;"|"&amp;"",'CALENDARIO'!$G$15:$G$214,0)),IFERROR(INDEX('CALENDARIO'!$C$15:$C$214,MATCH(TEXT($L283,"yyyy-mm-dd")&amp;"|"&amp;$D283&amp;"|",'CALENDARIO'!$G$15:$G$214,0)),IFERROR(INDEX('CALENDARIO'!$C$15:$C$214,MATCH(TEXT($L283,"yyyy-mm-dd")&amp;"||",'CALENDARIO'!$G$15:$G$214,0)),INDEX(patronHabil,WEEKDAY($L283,2))))))&lt;&gt;"sí"),0,p_horas_jornada)</f>
        <v/>
      </c>
      <c r="N283" s="24">
        <f>$A283&amp;"|"&amp;$B283&amp;"|"&amp;$C283</f>
        <v/>
      </c>
      <c r="O283" s="24">
        <f>IFERROR(INDEX('CAT_TURNOS'!$C$4:$C$22,MATCH($J283,'CAT_TURNOS'!$A$4:$A$22,0)),"")</f>
        <v/>
      </c>
      <c r="P283" s="24">
        <f>IFERROR(INDEX('CAT_TURNOS'!$D$4:$D$22,MATCH($J283,'CAT_TURNOS'!$A$4:$A$22,0)),"")</f>
        <v/>
      </c>
      <c r="Q283" s="24">
        <f>IF(AND(LEFT($G283,1)="T",$H283="no"),"sí","no")</f>
        <v/>
      </c>
    </row>
    <row r="284">
      <c r="A284" s="5" t="inlineStr">
        <is>
          <t>2026-S32</t>
        </is>
      </c>
      <c r="B284" s="5" t="inlineStr">
        <is>
          <t>lunes</t>
        </is>
      </c>
      <c r="C284" s="5" t="inlineStr">
        <is>
          <t>Roberto Castro</t>
        </is>
      </c>
      <c r="D284" s="24">
        <f>IFERROR(INDEX('TECNICOS'!$D$4:$D$19,MATCH($C284,'TECNICOS'!$B$4:$B$19,0)),"")</f>
        <v/>
      </c>
      <c r="E284" s="24">
        <f>IFERROR(INDEX('TECNICOS'!$C$4:$C$19,MATCH($C284,'TECNICOS'!$B$4:$B$19,0)),"")</f>
        <v/>
      </c>
      <c r="F284" s="24">
        <f>COUNTIFS('TECNICOS'!$F$4:$F$19,"sí",'TECNICOS'!$C$4:$C$19,$E284,'TECNICOS'!$D$4:$D$19,$D284,'TECNICOS'!$H$4:$H$19,"sí")</f>
        <v/>
      </c>
      <c r="G284" s="24">
        <f>IF(OR($C284="",$A284="",$B284="domingo",IFERROR(INDEX('TECNICOS'!$H$4:$H$19,MATCH($C284,'TECNICOS'!$B$4:$B$19,0)),"no")&lt;&gt;"sí"),"",IF(IFERROR(INDEX('TECNICOS'!$F$4:$F$19,MATCH($C284,'TECNICOS'!$B$4:$B$19,0)),"no")&lt;&gt;"sí","B",IF(MOD((IFERROR(INDEX('TECNICOS'!$G$4:$G$19,MATCH($C284,'TECNICOS'!$B$4:$B$19,0)),0)-1)+((DATE(VALUE(LEFT($A284,4)),1,4)-WEEKDAY(DATE(VALUE(LEFT($A284,4)),1,4),2)+1+(VALUE(MID($A284,7,2))-1)*7)-p_semana_referencia)/7,$F284)&lt;($F284-3),"B"&amp;(($F284-3)-MOD((IFERROR(INDEX('TECNICOS'!$G$4:$G$19,MATCH($C284,'TECNICOS'!$B$4:$B$19,0)),0)-1)+((DATE(VALUE(LEFT($A284,4)),1,4)-WEEKDAY(DATE(VALUE(LEFT($A284,4)),1,4),2)+1+(VALUE(MID($A284,7,2))-1)*7)-p_semana_referencia)/7,$F284)),"T"&amp;($F284-MOD((IFERROR(INDEX('TECNICOS'!$G$4:$G$19,MATCH($C284,'TECNICOS'!$B$4:$B$19,0)),0)-1)+((DATE(VALUE(LEFT($A284,4)),1,4)-WEEKDAY(DATE(VALUE(LEFT($A284,4)),1,4),2)+1+(VALUE(MID($A284,7,2))-1)*7)-p_semana_referencia)/7,$F284)))))</f>
        <v/>
      </c>
      <c r="H284" s="24">
        <f>IF(COUNTIFS('PLAN_VACACIONES'!$A$4:$A$103,$C284,'PLAN_VACACIONES'!$B$4:$B$103,"&lt;="&amp;$L284,'PLAN_VACACIONES'!$C$4:$C$103,"&gt;="&amp;$L284)&gt;0,"sí","no")</f>
        <v/>
      </c>
      <c r="I284" s="4" t="n"/>
      <c r="J284" s="24">
        <f>IF($I284&lt;&gt;"",$I284,IF($G284="","",IF($H284="sí","VAC",IF(LEFT($G284,1)="B","B",$G284))))</f>
        <v/>
      </c>
      <c r="K284" s="24">
        <f>IFERROR(INDEX('TECNICOS'!$E$4:$E$19,MATCH($C284,'TECNICOS'!$B$4:$B$19,0)),"")</f>
        <v/>
      </c>
      <c r="L284" s="30">
        <f>IF($A284="","",DATE(VALUE(LEFT($A284,4)),1,4)-WEEKDAY(DATE(VALUE(LEFT($A284,4)),1,4),2)+1+(VALUE(MID($A284,7,2))-1)*7+MATCH($B284,lista_dias,0)-1)</f>
        <v/>
      </c>
      <c r="M284" s="24">
        <f>IF(OR($J284="",ISNUMBER(MATCH($J284,lista_no_disponible,0)),(IFERROR(INDEX('CALENDARIO'!$C$15:$C$214,MATCH(TEXT($L284,"yyyy-mm-dd")&amp;"|"&amp;$D284&amp;"|"&amp;"",'CALENDARIO'!$G$15:$G$214,0)),IFERROR(INDEX('CALENDARIO'!$C$15:$C$214,MATCH(TEXT($L284,"yyyy-mm-dd")&amp;"|"&amp;$D284&amp;"|",'CALENDARIO'!$G$15:$G$214,0)),IFERROR(INDEX('CALENDARIO'!$C$15:$C$214,MATCH(TEXT($L284,"yyyy-mm-dd")&amp;"||",'CALENDARIO'!$G$15:$G$214,0)),INDEX(patronHabil,WEEKDAY($L284,2))))))&lt;&gt;"sí"),0,p_horas_jornada)</f>
        <v/>
      </c>
      <c r="N284" s="24">
        <f>$A284&amp;"|"&amp;$B284&amp;"|"&amp;$C284</f>
        <v/>
      </c>
      <c r="O284" s="24">
        <f>IFERROR(INDEX('CAT_TURNOS'!$C$4:$C$22,MATCH($J284,'CAT_TURNOS'!$A$4:$A$22,0)),"")</f>
        <v/>
      </c>
      <c r="P284" s="24">
        <f>IFERROR(INDEX('CAT_TURNOS'!$D$4:$D$22,MATCH($J284,'CAT_TURNOS'!$A$4:$A$22,0)),"")</f>
        <v/>
      </c>
      <c r="Q284" s="24">
        <f>IF(AND(LEFT($G284,1)="T",$H284="no"),"sí","no")</f>
        <v/>
      </c>
    </row>
    <row r="285">
      <c r="A285" s="5" t="inlineStr">
        <is>
          <t>2026-S32</t>
        </is>
      </c>
      <c r="B285" s="5" t="inlineStr">
        <is>
          <t>martes</t>
        </is>
      </c>
      <c r="C285" s="5" t="inlineStr">
        <is>
          <t>Roberto Castro</t>
        </is>
      </c>
      <c r="D285" s="24">
        <f>IFERROR(INDEX('TECNICOS'!$D$4:$D$19,MATCH($C285,'TECNICOS'!$B$4:$B$19,0)),"")</f>
        <v/>
      </c>
      <c r="E285" s="24">
        <f>IFERROR(INDEX('TECNICOS'!$C$4:$C$19,MATCH($C285,'TECNICOS'!$B$4:$B$19,0)),"")</f>
        <v/>
      </c>
      <c r="F285" s="24">
        <f>COUNTIFS('TECNICOS'!$F$4:$F$19,"sí",'TECNICOS'!$C$4:$C$19,$E285,'TECNICOS'!$D$4:$D$19,$D285,'TECNICOS'!$H$4:$H$19,"sí")</f>
        <v/>
      </c>
      <c r="G285" s="24">
        <f>IF(OR($C285="",$A285="",$B285="domingo",IFERROR(INDEX('TECNICOS'!$H$4:$H$19,MATCH($C285,'TECNICOS'!$B$4:$B$19,0)),"no")&lt;&gt;"sí"),"",IF(IFERROR(INDEX('TECNICOS'!$F$4:$F$19,MATCH($C285,'TECNICOS'!$B$4:$B$19,0)),"no")&lt;&gt;"sí","B",IF(MOD((IFERROR(INDEX('TECNICOS'!$G$4:$G$19,MATCH($C285,'TECNICOS'!$B$4:$B$19,0)),0)-1)+((DATE(VALUE(LEFT($A285,4)),1,4)-WEEKDAY(DATE(VALUE(LEFT($A285,4)),1,4),2)+1+(VALUE(MID($A285,7,2))-1)*7)-p_semana_referencia)/7,$F285)&lt;($F285-3),"B"&amp;(($F285-3)-MOD((IFERROR(INDEX('TECNICOS'!$G$4:$G$19,MATCH($C285,'TECNICOS'!$B$4:$B$19,0)),0)-1)+((DATE(VALUE(LEFT($A285,4)),1,4)-WEEKDAY(DATE(VALUE(LEFT($A285,4)),1,4),2)+1+(VALUE(MID($A285,7,2))-1)*7)-p_semana_referencia)/7,$F285)),"T"&amp;($F285-MOD((IFERROR(INDEX('TECNICOS'!$G$4:$G$19,MATCH($C285,'TECNICOS'!$B$4:$B$19,0)),0)-1)+((DATE(VALUE(LEFT($A285,4)),1,4)-WEEKDAY(DATE(VALUE(LEFT($A285,4)),1,4),2)+1+(VALUE(MID($A285,7,2))-1)*7)-p_semana_referencia)/7,$F285)))))</f>
        <v/>
      </c>
      <c r="H285" s="24">
        <f>IF(COUNTIFS('PLAN_VACACIONES'!$A$4:$A$103,$C285,'PLAN_VACACIONES'!$B$4:$B$103,"&lt;="&amp;$L285,'PLAN_VACACIONES'!$C$4:$C$103,"&gt;="&amp;$L285)&gt;0,"sí","no")</f>
        <v/>
      </c>
      <c r="I285" s="4" t="n"/>
      <c r="J285" s="24">
        <f>IF($I285&lt;&gt;"",$I285,IF($G285="","",IF($H285="sí","VAC",IF(LEFT($G285,1)="B","B",$G285))))</f>
        <v/>
      </c>
      <c r="K285" s="24">
        <f>IFERROR(INDEX('TECNICOS'!$E$4:$E$19,MATCH($C285,'TECNICOS'!$B$4:$B$19,0)),"")</f>
        <v/>
      </c>
      <c r="L285" s="30">
        <f>IF($A285="","",DATE(VALUE(LEFT($A285,4)),1,4)-WEEKDAY(DATE(VALUE(LEFT($A285,4)),1,4),2)+1+(VALUE(MID($A285,7,2))-1)*7+MATCH($B285,lista_dias,0)-1)</f>
        <v/>
      </c>
      <c r="M285" s="24">
        <f>IF(OR($J285="",ISNUMBER(MATCH($J285,lista_no_disponible,0)),(IFERROR(INDEX('CALENDARIO'!$C$15:$C$214,MATCH(TEXT($L285,"yyyy-mm-dd")&amp;"|"&amp;$D285&amp;"|"&amp;"",'CALENDARIO'!$G$15:$G$214,0)),IFERROR(INDEX('CALENDARIO'!$C$15:$C$214,MATCH(TEXT($L285,"yyyy-mm-dd")&amp;"|"&amp;$D285&amp;"|",'CALENDARIO'!$G$15:$G$214,0)),IFERROR(INDEX('CALENDARIO'!$C$15:$C$214,MATCH(TEXT($L285,"yyyy-mm-dd")&amp;"||",'CALENDARIO'!$G$15:$G$214,0)),INDEX(patronHabil,WEEKDAY($L285,2))))))&lt;&gt;"sí"),0,p_horas_jornada)</f>
        <v/>
      </c>
      <c r="N285" s="24">
        <f>$A285&amp;"|"&amp;$B285&amp;"|"&amp;$C285</f>
        <v/>
      </c>
      <c r="O285" s="24">
        <f>IFERROR(INDEX('CAT_TURNOS'!$C$4:$C$22,MATCH($J285,'CAT_TURNOS'!$A$4:$A$22,0)),"")</f>
        <v/>
      </c>
      <c r="P285" s="24">
        <f>IFERROR(INDEX('CAT_TURNOS'!$D$4:$D$22,MATCH($J285,'CAT_TURNOS'!$A$4:$A$22,0)),"")</f>
        <v/>
      </c>
      <c r="Q285" s="24">
        <f>IF(AND(LEFT($G285,1)="T",$H285="no"),"sí","no")</f>
        <v/>
      </c>
    </row>
    <row r="286">
      <c r="A286" s="5" t="inlineStr">
        <is>
          <t>2026-S32</t>
        </is>
      </c>
      <c r="B286" s="5" t="inlineStr">
        <is>
          <t>miércoles</t>
        </is>
      </c>
      <c r="C286" s="5" t="inlineStr">
        <is>
          <t>Roberto Castro</t>
        </is>
      </c>
      <c r="D286" s="24">
        <f>IFERROR(INDEX('TECNICOS'!$D$4:$D$19,MATCH($C286,'TECNICOS'!$B$4:$B$19,0)),"")</f>
        <v/>
      </c>
      <c r="E286" s="24">
        <f>IFERROR(INDEX('TECNICOS'!$C$4:$C$19,MATCH($C286,'TECNICOS'!$B$4:$B$19,0)),"")</f>
        <v/>
      </c>
      <c r="F286" s="24">
        <f>COUNTIFS('TECNICOS'!$F$4:$F$19,"sí",'TECNICOS'!$C$4:$C$19,$E286,'TECNICOS'!$D$4:$D$19,$D286,'TECNICOS'!$H$4:$H$19,"sí")</f>
        <v/>
      </c>
      <c r="G286" s="24">
        <f>IF(OR($C286="",$A286="",$B286="domingo",IFERROR(INDEX('TECNICOS'!$H$4:$H$19,MATCH($C286,'TECNICOS'!$B$4:$B$19,0)),"no")&lt;&gt;"sí"),"",IF(IFERROR(INDEX('TECNICOS'!$F$4:$F$19,MATCH($C286,'TECNICOS'!$B$4:$B$19,0)),"no")&lt;&gt;"sí","B",IF(MOD((IFERROR(INDEX('TECNICOS'!$G$4:$G$19,MATCH($C286,'TECNICOS'!$B$4:$B$19,0)),0)-1)+((DATE(VALUE(LEFT($A286,4)),1,4)-WEEKDAY(DATE(VALUE(LEFT($A286,4)),1,4),2)+1+(VALUE(MID($A286,7,2))-1)*7)-p_semana_referencia)/7,$F286)&lt;($F286-3),"B"&amp;(($F286-3)-MOD((IFERROR(INDEX('TECNICOS'!$G$4:$G$19,MATCH($C286,'TECNICOS'!$B$4:$B$19,0)),0)-1)+((DATE(VALUE(LEFT($A286,4)),1,4)-WEEKDAY(DATE(VALUE(LEFT($A286,4)),1,4),2)+1+(VALUE(MID($A286,7,2))-1)*7)-p_semana_referencia)/7,$F286)),"T"&amp;($F286-MOD((IFERROR(INDEX('TECNICOS'!$G$4:$G$19,MATCH($C286,'TECNICOS'!$B$4:$B$19,0)),0)-1)+((DATE(VALUE(LEFT($A286,4)),1,4)-WEEKDAY(DATE(VALUE(LEFT($A286,4)),1,4),2)+1+(VALUE(MID($A286,7,2))-1)*7)-p_semana_referencia)/7,$F286)))))</f>
        <v/>
      </c>
      <c r="H286" s="24">
        <f>IF(COUNTIFS('PLAN_VACACIONES'!$A$4:$A$103,$C286,'PLAN_VACACIONES'!$B$4:$B$103,"&lt;="&amp;$L286,'PLAN_VACACIONES'!$C$4:$C$103,"&gt;="&amp;$L286)&gt;0,"sí","no")</f>
        <v/>
      </c>
      <c r="I286" s="4" t="n"/>
      <c r="J286" s="24">
        <f>IF($I286&lt;&gt;"",$I286,IF($G286="","",IF($H286="sí","VAC",IF(LEFT($G286,1)="B","B",$G286))))</f>
        <v/>
      </c>
      <c r="K286" s="24">
        <f>IFERROR(INDEX('TECNICOS'!$E$4:$E$19,MATCH($C286,'TECNICOS'!$B$4:$B$19,0)),"")</f>
        <v/>
      </c>
      <c r="L286" s="30">
        <f>IF($A286="","",DATE(VALUE(LEFT($A286,4)),1,4)-WEEKDAY(DATE(VALUE(LEFT($A286,4)),1,4),2)+1+(VALUE(MID($A286,7,2))-1)*7+MATCH($B286,lista_dias,0)-1)</f>
        <v/>
      </c>
      <c r="M286" s="24">
        <f>IF(OR($J286="",ISNUMBER(MATCH($J286,lista_no_disponible,0)),(IFERROR(INDEX('CALENDARIO'!$C$15:$C$214,MATCH(TEXT($L286,"yyyy-mm-dd")&amp;"|"&amp;$D286&amp;"|"&amp;"",'CALENDARIO'!$G$15:$G$214,0)),IFERROR(INDEX('CALENDARIO'!$C$15:$C$214,MATCH(TEXT($L286,"yyyy-mm-dd")&amp;"|"&amp;$D286&amp;"|",'CALENDARIO'!$G$15:$G$214,0)),IFERROR(INDEX('CALENDARIO'!$C$15:$C$214,MATCH(TEXT($L286,"yyyy-mm-dd")&amp;"||",'CALENDARIO'!$G$15:$G$214,0)),INDEX(patronHabil,WEEKDAY($L286,2))))))&lt;&gt;"sí"),0,p_horas_jornada)</f>
        <v/>
      </c>
      <c r="N286" s="24">
        <f>$A286&amp;"|"&amp;$B286&amp;"|"&amp;$C286</f>
        <v/>
      </c>
      <c r="O286" s="24">
        <f>IFERROR(INDEX('CAT_TURNOS'!$C$4:$C$22,MATCH($J286,'CAT_TURNOS'!$A$4:$A$22,0)),"")</f>
        <v/>
      </c>
      <c r="P286" s="24">
        <f>IFERROR(INDEX('CAT_TURNOS'!$D$4:$D$22,MATCH($J286,'CAT_TURNOS'!$A$4:$A$22,0)),"")</f>
        <v/>
      </c>
      <c r="Q286" s="24">
        <f>IF(AND(LEFT($G286,1)="T",$H286="no"),"sí","no")</f>
        <v/>
      </c>
    </row>
    <row r="287">
      <c r="A287" s="5" t="inlineStr">
        <is>
          <t>2026-S32</t>
        </is>
      </c>
      <c r="B287" s="5" t="inlineStr">
        <is>
          <t>jueves</t>
        </is>
      </c>
      <c r="C287" s="5" t="inlineStr">
        <is>
          <t>Roberto Castro</t>
        </is>
      </c>
      <c r="D287" s="24">
        <f>IFERROR(INDEX('TECNICOS'!$D$4:$D$19,MATCH($C287,'TECNICOS'!$B$4:$B$19,0)),"")</f>
        <v/>
      </c>
      <c r="E287" s="24">
        <f>IFERROR(INDEX('TECNICOS'!$C$4:$C$19,MATCH($C287,'TECNICOS'!$B$4:$B$19,0)),"")</f>
        <v/>
      </c>
      <c r="F287" s="24">
        <f>COUNTIFS('TECNICOS'!$F$4:$F$19,"sí",'TECNICOS'!$C$4:$C$19,$E287,'TECNICOS'!$D$4:$D$19,$D287,'TECNICOS'!$H$4:$H$19,"sí")</f>
        <v/>
      </c>
      <c r="G287" s="24">
        <f>IF(OR($C287="",$A287="",$B287="domingo",IFERROR(INDEX('TECNICOS'!$H$4:$H$19,MATCH($C287,'TECNICOS'!$B$4:$B$19,0)),"no")&lt;&gt;"sí"),"",IF(IFERROR(INDEX('TECNICOS'!$F$4:$F$19,MATCH($C287,'TECNICOS'!$B$4:$B$19,0)),"no")&lt;&gt;"sí","B",IF(MOD((IFERROR(INDEX('TECNICOS'!$G$4:$G$19,MATCH($C287,'TECNICOS'!$B$4:$B$19,0)),0)-1)+((DATE(VALUE(LEFT($A287,4)),1,4)-WEEKDAY(DATE(VALUE(LEFT($A287,4)),1,4),2)+1+(VALUE(MID($A287,7,2))-1)*7)-p_semana_referencia)/7,$F287)&lt;($F287-3),"B"&amp;(($F287-3)-MOD((IFERROR(INDEX('TECNICOS'!$G$4:$G$19,MATCH($C287,'TECNICOS'!$B$4:$B$19,0)),0)-1)+((DATE(VALUE(LEFT($A287,4)),1,4)-WEEKDAY(DATE(VALUE(LEFT($A287,4)),1,4),2)+1+(VALUE(MID($A287,7,2))-1)*7)-p_semana_referencia)/7,$F287)),"T"&amp;($F287-MOD((IFERROR(INDEX('TECNICOS'!$G$4:$G$19,MATCH($C287,'TECNICOS'!$B$4:$B$19,0)),0)-1)+((DATE(VALUE(LEFT($A287,4)),1,4)-WEEKDAY(DATE(VALUE(LEFT($A287,4)),1,4),2)+1+(VALUE(MID($A287,7,2))-1)*7)-p_semana_referencia)/7,$F287)))))</f>
        <v/>
      </c>
      <c r="H287" s="24">
        <f>IF(COUNTIFS('PLAN_VACACIONES'!$A$4:$A$103,$C287,'PLAN_VACACIONES'!$B$4:$B$103,"&lt;="&amp;$L287,'PLAN_VACACIONES'!$C$4:$C$103,"&gt;="&amp;$L287)&gt;0,"sí","no")</f>
        <v/>
      </c>
      <c r="I287" s="4" t="n"/>
      <c r="J287" s="24">
        <f>IF($I287&lt;&gt;"",$I287,IF($G287="","",IF($H287="sí","VAC",IF(LEFT($G287,1)="B","B",$G287))))</f>
        <v/>
      </c>
      <c r="K287" s="24">
        <f>IFERROR(INDEX('TECNICOS'!$E$4:$E$19,MATCH($C287,'TECNICOS'!$B$4:$B$19,0)),"")</f>
        <v/>
      </c>
      <c r="L287" s="30">
        <f>IF($A287="","",DATE(VALUE(LEFT($A287,4)),1,4)-WEEKDAY(DATE(VALUE(LEFT($A287,4)),1,4),2)+1+(VALUE(MID($A287,7,2))-1)*7+MATCH($B287,lista_dias,0)-1)</f>
        <v/>
      </c>
      <c r="M287" s="24">
        <f>IF(OR($J287="",ISNUMBER(MATCH($J287,lista_no_disponible,0)),(IFERROR(INDEX('CALENDARIO'!$C$15:$C$214,MATCH(TEXT($L287,"yyyy-mm-dd")&amp;"|"&amp;$D287&amp;"|"&amp;"",'CALENDARIO'!$G$15:$G$214,0)),IFERROR(INDEX('CALENDARIO'!$C$15:$C$214,MATCH(TEXT($L287,"yyyy-mm-dd")&amp;"|"&amp;$D287&amp;"|",'CALENDARIO'!$G$15:$G$214,0)),IFERROR(INDEX('CALENDARIO'!$C$15:$C$214,MATCH(TEXT($L287,"yyyy-mm-dd")&amp;"||",'CALENDARIO'!$G$15:$G$214,0)),INDEX(patronHabil,WEEKDAY($L287,2))))))&lt;&gt;"sí"),0,p_horas_jornada)</f>
        <v/>
      </c>
      <c r="N287" s="24">
        <f>$A287&amp;"|"&amp;$B287&amp;"|"&amp;$C287</f>
        <v/>
      </c>
      <c r="O287" s="24">
        <f>IFERROR(INDEX('CAT_TURNOS'!$C$4:$C$22,MATCH($J287,'CAT_TURNOS'!$A$4:$A$22,0)),"")</f>
        <v/>
      </c>
      <c r="P287" s="24">
        <f>IFERROR(INDEX('CAT_TURNOS'!$D$4:$D$22,MATCH($J287,'CAT_TURNOS'!$A$4:$A$22,0)),"")</f>
        <v/>
      </c>
      <c r="Q287" s="24">
        <f>IF(AND(LEFT($G287,1)="T",$H287="no"),"sí","no")</f>
        <v/>
      </c>
    </row>
    <row r="288">
      <c r="A288" s="5" t="inlineStr">
        <is>
          <t>2026-S32</t>
        </is>
      </c>
      <c r="B288" s="5" t="inlineStr">
        <is>
          <t>viernes</t>
        </is>
      </c>
      <c r="C288" s="5" t="inlineStr">
        <is>
          <t>Roberto Castro</t>
        </is>
      </c>
      <c r="D288" s="24">
        <f>IFERROR(INDEX('TECNICOS'!$D$4:$D$19,MATCH($C288,'TECNICOS'!$B$4:$B$19,0)),"")</f>
        <v/>
      </c>
      <c r="E288" s="24">
        <f>IFERROR(INDEX('TECNICOS'!$C$4:$C$19,MATCH($C288,'TECNICOS'!$B$4:$B$19,0)),"")</f>
        <v/>
      </c>
      <c r="F288" s="24">
        <f>COUNTIFS('TECNICOS'!$F$4:$F$19,"sí",'TECNICOS'!$C$4:$C$19,$E288,'TECNICOS'!$D$4:$D$19,$D288,'TECNICOS'!$H$4:$H$19,"sí")</f>
        <v/>
      </c>
      <c r="G288" s="24">
        <f>IF(OR($C288="",$A288="",$B288="domingo",IFERROR(INDEX('TECNICOS'!$H$4:$H$19,MATCH($C288,'TECNICOS'!$B$4:$B$19,0)),"no")&lt;&gt;"sí"),"",IF(IFERROR(INDEX('TECNICOS'!$F$4:$F$19,MATCH($C288,'TECNICOS'!$B$4:$B$19,0)),"no")&lt;&gt;"sí","B",IF(MOD((IFERROR(INDEX('TECNICOS'!$G$4:$G$19,MATCH($C288,'TECNICOS'!$B$4:$B$19,0)),0)-1)+((DATE(VALUE(LEFT($A288,4)),1,4)-WEEKDAY(DATE(VALUE(LEFT($A288,4)),1,4),2)+1+(VALUE(MID($A288,7,2))-1)*7)-p_semana_referencia)/7,$F288)&lt;($F288-3),"B"&amp;(($F288-3)-MOD((IFERROR(INDEX('TECNICOS'!$G$4:$G$19,MATCH($C288,'TECNICOS'!$B$4:$B$19,0)),0)-1)+((DATE(VALUE(LEFT($A288,4)),1,4)-WEEKDAY(DATE(VALUE(LEFT($A288,4)),1,4),2)+1+(VALUE(MID($A288,7,2))-1)*7)-p_semana_referencia)/7,$F288)),"T"&amp;($F288-MOD((IFERROR(INDEX('TECNICOS'!$G$4:$G$19,MATCH($C288,'TECNICOS'!$B$4:$B$19,0)),0)-1)+((DATE(VALUE(LEFT($A288,4)),1,4)-WEEKDAY(DATE(VALUE(LEFT($A288,4)),1,4),2)+1+(VALUE(MID($A288,7,2))-1)*7)-p_semana_referencia)/7,$F288)))))</f>
        <v/>
      </c>
      <c r="H288" s="24">
        <f>IF(COUNTIFS('PLAN_VACACIONES'!$A$4:$A$103,$C288,'PLAN_VACACIONES'!$B$4:$B$103,"&lt;="&amp;$L288,'PLAN_VACACIONES'!$C$4:$C$103,"&gt;="&amp;$L288)&gt;0,"sí","no")</f>
        <v/>
      </c>
      <c r="I288" s="4" t="n"/>
      <c r="J288" s="24">
        <f>IF($I288&lt;&gt;"",$I288,IF($G288="","",IF($H288="sí","VAC",IF(LEFT($G288,1)="B","B",$G288))))</f>
        <v/>
      </c>
      <c r="K288" s="24">
        <f>IFERROR(INDEX('TECNICOS'!$E$4:$E$19,MATCH($C288,'TECNICOS'!$B$4:$B$19,0)),"")</f>
        <v/>
      </c>
      <c r="L288" s="30">
        <f>IF($A288="","",DATE(VALUE(LEFT($A288,4)),1,4)-WEEKDAY(DATE(VALUE(LEFT($A288,4)),1,4),2)+1+(VALUE(MID($A288,7,2))-1)*7+MATCH($B288,lista_dias,0)-1)</f>
        <v/>
      </c>
      <c r="M288" s="24">
        <f>IF(OR($J288="",ISNUMBER(MATCH($J288,lista_no_disponible,0)),(IFERROR(INDEX('CALENDARIO'!$C$15:$C$214,MATCH(TEXT($L288,"yyyy-mm-dd")&amp;"|"&amp;$D288&amp;"|"&amp;"",'CALENDARIO'!$G$15:$G$214,0)),IFERROR(INDEX('CALENDARIO'!$C$15:$C$214,MATCH(TEXT($L288,"yyyy-mm-dd")&amp;"|"&amp;$D288&amp;"|",'CALENDARIO'!$G$15:$G$214,0)),IFERROR(INDEX('CALENDARIO'!$C$15:$C$214,MATCH(TEXT($L288,"yyyy-mm-dd")&amp;"||",'CALENDARIO'!$G$15:$G$214,0)),INDEX(patronHabil,WEEKDAY($L288,2))))))&lt;&gt;"sí"),0,p_horas_jornada)</f>
        <v/>
      </c>
      <c r="N288" s="24">
        <f>$A288&amp;"|"&amp;$B288&amp;"|"&amp;$C288</f>
        <v/>
      </c>
      <c r="O288" s="24">
        <f>IFERROR(INDEX('CAT_TURNOS'!$C$4:$C$22,MATCH($J288,'CAT_TURNOS'!$A$4:$A$22,0)),"")</f>
        <v/>
      </c>
      <c r="P288" s="24">
        <f>IFERROR(INDEX('CAT_TURNOS'!$D$4:$D$22,MATCH($J288,'CAT_TURNOS'!$A$4:$A$22,0)),"")</f>
        <v/>
      </c>
      <c r="Q288" s="24">
        <f>IF(AND(LEFT($G288,1)="T",$H288="no"),"sí","no")</f>
        <v/>
      </c>
    </row>
    <row r="289">
      <c r="A289" s="5" t="inlineStr">
        <is>
          <t>2026-S32</t>
        </is>
      </c>
      <c r="B289" s="5" t="inlineStr">
        <is>
          <t>sábado</t>
        </is>
      </c>
      <c r="C289" s="5" t="inlineStr">
        <is>
          <t>Roberto Castro</t>
        </is>
      </c>
      <c r="D289" s="24">
        <f>IFERROR(INDEX('TECNICOS'!$D$4:$D$19,MATCH($C289,'TECNICOS'!$B$4:$B$19,0)),"")</f>
        <v/>
      </c>
      <c r="E289" s="24">
        <f>IFERROR(INDEX('TECNICOS'!$C$4:$C$19,MATCH($C289,'TECNICOS'!$B$4:$B$19,0)),"")</f>
        <v/>
      </c>
      <c r="F289" s="24">
        <f>COUNTIFS('TECNICOS'!$F$4:$F$19,"sí",'TECNICOS'!$C$4:$C$19,$E289,'TECNICOS'!$D$4:$D$19,$D289,'TECNICOS'!$H$4:$H$19,"sí")</f>
        <v/>
      </c>
      <c r="G289" s="24">
        <f>IF(OR($C289="",$A289="",$B289="domingo",IFERROR(INDEX('TECNICOS'!$H$4:$H$19,MATCH($C289,'TECNICOS'!$B$4:$B$19,0)),"no")&lt;&gt;"sí"),"",IF(IFERROR(INDEX('TECNICOS'!$F$4:$F$19,MATCH($C289,'TECNICOS'!$B$4:$B$19,0)),"no")&lt;&gt;"sí","B",IF(MOD((IFERROR(INDEX('TECNICOS'!$G$4:$G$19,MATCH($C289,'TECNICOS'!$B$4:$B$19,0)),0)-1)+((DATE(VALUE(LEFT($A289,4)),1,4)-WEEKDAY(DATE(VALUE(LEFT($A289,4)),1,4),2)+1+(VALUE(MID($A289,7,2))-1)*7)-p_semana_referencia)/7,$F289)&lt;($F289-3),"B"&amp;(($F289-3)-MOD((IFERROR(INDEX('TECNICOS'!$G$4:$G$19,MATCH($C289,'TECNICOS'!$B$4:$B$19,0)),0)-1)+((DATE(VALUE(LEFT($A289,4)),1,4)-WEEKDAY(DATE(VALUE(LEFT($A289,4)),1,4),2)+1+(VALUE(MID($A289,7,2))-1)*7)-p_semana_referencia)/7,$F289)),"T"&amp;($F289-MOD((IFERROR(INDEX('TECNICOS'!$G$4:$G$19,MATCH($C289,'TECNICOS'!$B$4:$B$19,0)),0)-1)+((DATE(VALUE(LEFT($A289,4)),1,4)-WEEKDAY(DATE(VALUE(LEFT($A289,4)),1,4),2)+1+(VALUE(MID($A289,7,2))-1)*7)-p_semana_referencia)/7,$F289)))))</f>
        <v/>
      </c>
      <c r="H289" s="24">
        <f>IF(COUNTIFS('PLAN_VACACIONES'!$A$4:$A$103,$C289,'PLAN_VACACIONES'!$B$4:$B$103,"&lt;="&amp;$L289,'PLAN_VACACIONES'!$C$4:$C$103,"&gt;="&amp;$L289)&gt;0,"sí","no")</f>
        <v/>
      </c>
      <c r="I289" s="4" t="n"/>
      <c r="J289" s="24">
        <f>IF($I289&lt;&gt;"",$I289,IF($G289="","",IF($H289="sí","VAC",IF(LEFT($G289,1)="B","B",$G289))))</f>
        <v/>
      </c>
      <c r="K289" s="24">
        <f>IFERROR(INDEX('TECNICOS'!$E$4:$E$19,MATCH($C289,'TECNICOS'!$B$4:$B$19,0)),"")</f>
        <v/>
      </c>
      <c r="L289" s="30">
        <f>IF($A289="","",DATE(VALUE(LEFT($A289,4)),1,4)-WEEKDAY(DATE(VALUE(LEFT($A289,4)),1,4),2)+1+(VALUE(MID($A289,7,2))-1)*7+MATCH($B289,lista_dias,0)-1)</f>
        <v/>
      </c>
      <c r="M289" s="24">
        <f>IF(OR($J289="",ISNUMBER(MATCH($J289,lista_no_disponible,0)),(IFERROR(INDEX('CALENDARIO'!$C$15:$C$214,MATCH(TEXT($L289,"yyyy-mm-dd")&amp;"|"&amp;$D289&amp;"|"&amp;"",'CALENDARIO'!$G$15:$G$214,0)),IFERROR(INDEX('CALENDARIO'!$C$15:$C$214,MATCH(TEXT($L289,"yyyy-mm-dd")&amp;"|"&amp;$D289&amp;"|",'CALENDARIO'!$G$15:$G$214,0)),IFERROR(INDEX('CALENDARIO'!$C$15:$C$214,MATCH(TEXT($L289,"yyyy-mm-dd")&amp;"||",'CALENDARIO'!$G$15:$G$214,0)),INDEX(patronHabil,WEEKDAY($L289,2))))))&lt;&gt;"sí"),0,p_horas_jornada)</f>
        <v/>
      </c>
      <c r="N289" s="24">
        <f>$A289&amp;"|"&amp;$B289&amp;"|"&amp;$C289</f>
        <v/>
      </c>
      <c r="O289" s="24">
        <f>IFERROR(INDEX('CAT_TURNOS'!$C$4:$C$22,MATCH($J289,'CAT_TURNOS'!$A$4:$A$22,0)),"")</f>
        <v/>
      </c>
      <c r="P289" s="24">
        <f>IFERROR(INDEX('CAT_TURNOS'!$D$4:$D$22,MATCH($J289,'CAT_TURNOS'!$A$4:$A$22,0)),"")</f>
        <v/>
      </c>
      <c r="Q289" s="24">
        <f>IF(AND(LEFT($G289,1)="T",$H289="no"),"sí","no")</f>
        <v/>
      </c>
    </row>
    <row r="290">
      <c r="A290" s="5" t="inlineStr">
        <is>
          <t>2026-S32</t>
        </is>
      </c>
      <c r="B290" s="5" t="inlineStr">
        <is>
          <t>domingo</t>
        </is>
      </c>
      <c r="C290" s="5" t="inlineStr">
        <is>
          <t>Roberto Castro</t>
        </is>
      </c>
      <c r="D290" s="24">
        <f>IFERROR(INDEX('TECNICOS'!$D$4:$D$19,MATCH($C290,'TECNICOS'!$B$4:$B$19,0)),"")</f>
        <v/>
      </c>
      <c r="E290" s="24">
        <f>IFERROR(INDEX('TECNICOS'!$C$4:$C$19,MATCH($C290,'TECNICOS'!$B$4:$B$19,0)),"")</f>
        <v/>
      </c>
      <c r="F290" s="24">
        <f>COUNTIFS('TECNICOS'!$F$4:$F$19,"sí",'TECNICOS'!$C$4:$C$19,$E290,'TECNICOS'!$D$4:$D$19,$D290,'TECNICOS'!$H$4:$H$19,"sí")</f>
        <v/>
      </c>
      <c r="G290" s="24">
        <f>IF(OR($C290="",$A290="",$B290="domingo",IFERROR(INDEX('TECNICOS'!$H$4:$H$19,MATCH($C290,'TECNICOS'!$B$4:$B$19,0)),"no")&lt;&gt;"sí"),"",IF(IFERROR(INDEX('TECNICOS'!$F$4:$F$19,MATCH($C290,'TECNICOS'!$B$4:$B$19,0)),"no")&lt;&gt;"sí","B",IF(MOD((IFERROR(INDEX('TECNICOS'!$G$4:$G$19,MATCH($C290,'TECNICOS'!$B$4:$B$19,0)),0)-1)+((DATE(VALUE(LEFT($A290,4)),1,4)-WEEKDAY(DATE(VALUE(LEFT($A290,4)),1,4),2)+1+(VALUE(MID($A290,7,2))-1)*7)-p_semana_referencia)/7,$F290)&lt;($F290-3),"B"&amp;(($F290-3)-MOD((IFERROR(INDEX('TECNICOS'!$G$4:$G$19,MATCH($C290,'TECNICOS'!$B$4:$B$19,0)),0)-1)+((DATE(VALUE(LEFT($A290,4)),1,4)-WEEKDAY(DATE(VALUE(LEFT($A290,4)),1,4),2)+1+(VALUE(MID($A290,7,2))-1)*7)-p_semana_referencia)/7,$F290)),"T"&amp;($F290-MOD((IFERROR(INDEX('TECNICOS'!$G$4:$G$19,MATCH($C290,'TECNICOS'!$B$4:$B$19,0)),0)-1)+((DATE(VALUE(LEFT($A290,4)),1,4)-WEEKDAY(DATE(VALUE(LEFT($A290,4)),1,4),2)+1+(VALUE(MID($A290,7,2))-1)*7)-p_semana_referencia)/7,$F290)))))</f>
        <v/>
      </c>
      <c r="H290" s="24">
        <f>IF(COUNTIFS('PLAN_VACACIONES'!$A$4:$A$103,$C290,'PLAN_VACACIONES'!$B$4:$B$103,"&lt;="&amp;$L290,'PLAN_VACACIONES'!$C$4:$C$103,"&gt;="&amp;$L290)&gt;0,"sí","no")</f>
        <v/>
      </c>
      <c r="I290" s="4" t="n"/>
      <c r="J290" s="24">
        <f>IF($I290&lt;&gt;"",$I290,IF($G290="","",IF($H290="sí","VAC",IF(LEFT($G290,1)="B","B",$G290))))</f>
        <v/>
      </c>
      <c r="K290" s="24">
        <f>IFERROR(INDEX('TECNICOS'!$E$4:$E$19,MATCH($C290,'TECNICOS'!$B$4:$B$19,0)),"")</f>
        <v/>
      </c>
      <c r="L290" s="30">
        <f>IF($A290="","",DATE(VALUE(LEFT($A290,4)),1,4)-WEEKDAY(DATE(VALUE(LEFT($A290,4)),1,4),2)+1+(VALUE(MID($A290,7,2))-1)*7+MATCH($B290,lista_dias,0)-1)</f>
        <v/>
      </c>
      <c r="M290" s="24">
        <f>IF(OR($J290="",ISNUMBER(MATCH($J290,lista_no_disponible,0)),(IFERROR(INDEX('CALENDARIO'!$C$15:$C$214,MATCH(TEXT($L290,"yyyy-mm-dd")&amp;"|"&amp;$D290&amp;"|"&amp;"",'CALENDARIO'!$G$15:$G$214,0)),IFERROR(INDEX('CALENDARIO'!$C$15:$C$214,MATCH(TEXT($L290,"yyyy-mm-dd")&amp;"|"&amp;$D290&amp;"|",'CALENDARIO'!$G$15:$G$214,0)),IFERROR(INDEX('CALENDARIO'!$C$15:$C$214,MATCH(TEXT($L290,"yyyy-mm-dd")&amp;"||",'CALENDARIO'!$G$15:$G$214,0)),INDEX(patronHabil,WEEKDAY($L290,2))))))&lt;&gt;"sí"),0,p_horas_jornada)</f>
        <v/>
      </c>
      <c r="N290" s="24">
        <f>$A290&amp;"|"&amp;$B290&amp;"|"&amp;$C290</f>
        <v/>
      </c>
      <c r="O290" s="24">
        <f>IFERROR(INDEX('CAT_TURNOS'!$C$4:$C$22,MATCH($J290,'CAT_TURNOS'!$A$4:$A$22,0)),"")</f>
        <v/>
      </c>
      <c r="P290" s="24">
        <f>IFERROR(INDEX('CAT_TURNOS'!$D$4:$D$22,MATCH($J290,'CAT_TURNOS'!$A$4:$A$22,0)),"")</f>
        <v/>
      </c>
      <c r="Q290" s="24">
        <f>IF(AND(LEFT($G290,1)="T",$H290="no"),"sí","no")</f>
        <v/>
      </c>
    </row>
    <row r="291">
      <c r="A291" s="5" t="inlineStr">
        <is>
          <t>2026-S32</t>
        </is>
      </c>
      <c r="B291" s="5" t="inlineStr">
        <is>
          <t>lunes</t>
        </is>
      </c>
      <c r="C291" s="5" t="inlineStr">
        <is>
          <t>Laura Morales</t>
        </is>
      </c>
      <c r="D291" s="24">
        <f>IFERROR(INDEX('TECNICOS'!$D$4:$D$19,MATCH($C291,'TECNICOS'!$B$4:$B$19,0)),"")</f>
        <v/>
      </c>
      <c r="E291" s="24">
        <f>IFERROR(INDEX('TECNICOS'!$C$4:$C$19,MATCH($C291,'TECNICOS'!$B$4:$B$19,0)),"")</f>
        <v/>
      </c>
      <c r="F291" s="24">
        <f>COUNTIFS('TECNICOS'!$F$4:$F$19,"sí",'TECNICOS'!$C$4:$C$19,$E291,'TECNICOS'!$D$4:$D$19,$D291,'TECNICOS'!$H$4:$H$19,"sí")</f>
        <v/>
      </c>
      <c r="G291" s="24">
        <f>IF(OR($C291="",$A291="",$B291="domingo",IFERROR(INDEX('TECNICOS'!$H$4:$H$19,MATCH($C291,'TECNICOS'!$B$4:$B$19,0)),"no")&lt;&gt;"sí"),"",IF(IFERROR(INDEX('TECNICOS'!$F$4:$F$19,MATCH($C291,'TECNICOS'!$B$4:$B$19,0)),"no")&lt;&gt;"sí","B",IF(MOD((IFERROR(INDEX('TECNICOS'!$G$4:$G$19,MATCH($C291,'TECNICOS'!$B$4:$B$19,0)),0)-1)+((DATE(VALUE(LEFT($A291,4)),1,4)-WEEKDAY(DATE(VALUE(LEFT($A291,4)),1,4),2)+1+(VALUE(MID($A291,7,2))-1)*7)-p_semana_referencia)/7,$F291)&lt;($F291-3),"B"&amp;(($F291-3)-MOD((IFERROR(INDEX('TECNICOS'!$G$4:$G$19,MATCH($C291,'TECNICOS'!$B$4:$B$19,0)),0)-1)+((DATE(VALUE(LEFT($A291,4)),1,4)-WEEKDAY(DATE(VALUE(LEFT($A291,4)),1,4),2)+1+(VALUE(MID($A291,7,2))-1)*7)-p_semana_referencia)/7,$F291)),"T"&amp;($F291-MOD((IFERROR(INDEX('TECNICOS'!$G$4:$G$19,MATCH($C291,'TECNICOS'!$B$4:$B$19,0)),0)-1)+((DATE(VALUE(LEFT($A291,4)),1,4)-WEEKDAY(DATE(VALUE(LEFT($A291,4)),1,4),2)+1+(VALUE(MID($A291,7,2))-1)*7)-p_semana_referencia)/7,$F291)))))</f>
        <v/>
      </c>
      <c r="H291" s="24">
        <f>IF(COUNTIFS('PLAN_VACACIONES'!$A$4:$A$103,$C291,'PLAN_VACACIONES'!$B$4:$B$103,"&lt;="&amp;$L291,'PLAN_VACACIONES'!$C$4:$C$103,"&gt;="&amp;$L291)&gt;0,"sí","no")</f>
        <v/>
      </c>
      <c r="I291" s="4" t="n"/>
      <c r="J291" s="24">
        <f>IF($I291&lt;&gt;"",$I291,IF($G291="","",IF($H291="sí","VAC",IF(LEFT($G291,1)="B","B",$G291))))</f>
        <v/>
      </c>
      <c r="K291" s="24">
        <f>IFERROR(INDEX('TECNICOS'!$E$4:$E$19,MATCH($C291,'TECNICOS'!$B$4:$B$19,0)),"")</f>
        <v/>
      </c>
      <c r="L291" s="30">
        <f>IF($A291="","",DATE(VALUE(LEFT($A291,4)),1,4)-WEEKDAY(DATE(VALUE(LEFT($A291,4)),1,4),2)+1+(VALUE(MID($A291,7,2))-1)*7+MATCH($B291,lista_dias,0)-1)</f>
        <v/>
      </c>
      <c r="M291" s="24">
        <f>IF(OR($J291="",ISNUMBER(MATCH($J291,lista_no_disponible,0)),(IFERROR(INDEX('CALENDARIO'!$C$15:$C$214,MATCH(TEXT($L291,"yyyy-mm-dd")&amp;"|"&amp;$D291&amp;"|"&amp;"",'CALENDARIO'!$G$15:$G$214,0)),IFERROR(INDEX('CALENDARIO'!$C$15:$C$214,MATCH(TEXT($L291,"yyyy-mm-dd")&amp;"|"&amp;$D291&amp;"|",'CALENDARIO'!$G$15:$G$214,0)),IFERROR(INDEX('CALENDARIO'!$C$15:$C$214,MATCH(TEXT($L291,"yyyy-mm-dd")&amp;"||",'CALENDARIO'!$G$15:$G$214,0)),INDEX(patronHabil,WEEKDAY($L291,2))))))&lt;&gt;"sí"),0,p_horas_jornada)</f>
        <v/>
      </c>
      <c r="N291" s="24">
        <f>$A291&amp;"|"&amp;$B291&amp;"|"&amp;$C291</f>
        <v/>
      </c>
      <c r="O291" s="24">
        <f>IFERROR(INDEX('CAT_TURNOS'!$C$4:$C$22,MATCH($J291,'CAT_TURNOS'!$A$4:$A$22,0)),"")</f>
        <v/>
      </c>
      <c r="P291" s="24">
        <f>IFERROR(INDEX('CAT_TURNOS'!$D$4:$D$22,MATCH($J291,'CAT_TURNOS'!$A$4:$A$22,0)),"")</f>
        <v/>
      </c>
      <c r="Q291" s="24">
        <f>IF(AND(LEFT($G291,1)="T",$H291="no"),"sí","no")</f>
        <v/>
      </c>
    </row>
    <row r="292">
      <c r="A292" s="5" t="inlineStr">
        <is>
          <t>2026-S32</t>
        </is>
      </c>
      <c r="B292" s="5" t="inlineStr">
        <is>
          <t>martes</t>
        </is>
      </c>
      <c r="C292" s="5" t="inlineStr">
        <is>
          <t>Laura Morales</t>
        </is>
      </c>
      <c r="D292" s="24">
        <f>IFERROR(INDEX('TECNICOS'!$D$4:$D$19,MATCH($C292,'TECNICOS'!$B$4:$B$19,0)),"")</f>
        <v/>
      </c>
      <c r="E292" s="24">
        <f>IFERROR(INDEX('TECNICOS'!$C$4:$C$19,MATCH($C292,'TECNICOS'!$B$4:$B$19,0)),"")</f>
        <v/>
      </c>
      <c r="F292" s="24">
        <f>COUNTIFS('TECNICOS'!$F$4:$F$19,"sí",'TECNICOS'!$C$4:$C$19,$E292,'TECNICOS'!$D$4:$D$19,$D292,'TECNICOS'!$H$4:$H$19,"sí")</f>
        <v/>
      </c>
      <c r="G292" s="24">
        <f>IF(OR($C292="",$A292="",$B292="domingo",IFERROR(INDEX('TECNICOS'!$H$4:$H$19,MATCH($C292,'TECNICOS'!$B$4:$B$19,0)),"no")&lt;&gt;"sí"),"",IF(IFERROR(INDEX('TECNICOS'!$F$4:$F$19,MATCH($C292,'TECNICOS'!$B$4:$B$19,0)),"no")&lt;&gt;"sí","B",IF(MOD((IFERROR(INDEX('TECNICOS'!$G$4:$G$19,MATCH($C292,'TECNICOS'!$B$4:$B$19,0)),0)-1)+((DATE(VALUE(LEFT($A292,4)),1,4)-WEEKDAY(DATE(VALUE(LEFT($A292,4)),1,4),2)+1+(VALUE(MID($A292,7,2))-1)*7)-p_semana_referencia)/7,$F292)&lt;($F292-3),"B"&amp;(($F292-3)-MOD((IFERROR(INDEX('TECNICOS'!$G$4:$G$19,MATCH($C292,'TECNICOS'!$B$4:$B$19,0)),0)-1)+((DATE(VALUE(LEFT($A292,4)),1,4)-WEEKDAY(DATE(VALUE(LEFT($A292,4)),1,4),2)+1+(VALUE(MID($A292,7,2))-1)*7)-p_semana_referencia)/7,$F292)),"T"&amp;($F292-MOD((IFERROR(INDEX('TECNICOS'!$G$4:$G$19,MATCH($C292,'TECNICOS'!$B$4:$B$19,0)),0)-1)+((DATE(VALUE(LEFT($A292,4)),1,4)-WEEKDAY(DATE(VALUE(LEFT($A292,4)),1,4),2)+1+(VALUE(MID($A292,7,2))-1)*7)-p_semana_referencia)/7,$F292)))))</f>
        <v/>
      </c>
      <c r="H292" s="24">
        <f>IF(COUNTIFS('PLAN_VACACIONES'!$A$4:$A$103,$C292,'PLAN_VACACIONES'!$B$4:$B$103,"&lt;="&amp;$L292,'PLAN_VACACIONES'!$C$4:$C$103,"&gt;="&amp;$L292)&gt;0,"sí","no")</f>
        <v/>
      </c>
      <c r="I292" s="4" t="n"/>
      <c r="J292" s="24">
        <f>IF($I292&lt;&gt;"",$I292,IF($G292="","",IF($H292="sí","VAC",IF(LEFT($G292,1)="B","B",$G292))))</f>
        <v/>
      </c>
      <c r="K292" s="24">
        <f>IFERROR(INDEX('TECNICOS'!$E$4:$E$19,MATCH($C292,'TECNICOS'!$B$4:$B$19,0)),"")</f>
        <v/>
      </c>
      <c r="L292" s="30">
        <f>IF($A292="","",DATE(VALUE(LEFT($A292,4)),1,4)-WEEKDAY(DATE(VALUE(LEFT($A292,4)),1,4),2)+1+(VALUE(MID($A292,7,2))-1)*7+MATCH($B292,lista_dias,0)-1)</f>
        <v/>
      </c>
      <c r="M292" s="24">
        <f>IF(OR($J292="",ISNUMBER(MATCH($J292,lista_no_disponible,0)),(IFERROR(INDEX('CALENDARIO'!$C$15:$C$214,MATCH(TEXT($L292,"yyyy-mm-dd")&amp;"|"&amp;$D292&amp;"|"&amp;"",'CALENDARIO'!$G$15:$G$214,0)),IFERROR(INDEX('CALENDARIO'!$C$15:$C$214,MATCH(TEXT($L292,"yyyy-mm-dd")&amp;"|"&amp;$D292&amp;"|",'CALENDARIO'!$G$15:$G$214,0)),IFERROR(INDEX('CALENDARIO'!$C$15:$C$214,MATCH(TEXT($L292,"yyyy-mm-dd")&amp;"||",'CALENDARIO'!$G$15:$G$214,0)),INDEX(patronHabil,WEEKDAY($L292,2))))))&lt;&gt;"sí"),0,p_horas_jornada)</f>
        <v/>
      </c>
      <c r="N292" s="24">
        <f>$A292&amp;"|"&amp;$B292&amp;"|"&amp;$C292</f>
        <v/>
      </c>
      <c r="O292" s="24">
        <f>IFERROR(INDEX('CAT_TURNOS'!$C$4:$C$22,MATCH($J292,'CAT_TURNOS'!$A$4:$A$22,0)),"")</f>
        <v/>
      </c>
      <c r="P292" s="24">
        <f>IFERROR(INDEX('CAT_TURNOS'!$D$4:$D$22,MATCH($J292,'CAT_TURNOS'!$A$4:$A$22,0)),"")</f>
        <v/>
      </c>
      <c r="Q292" s="24">
        <f>IF(AND(LEFT($G292,1)="T",$H292="no"),"sí","no")</f>
        <v/>
      </c>
    </row>
    <row r="293">
      <c r="A293" s="5" t="inlineStr">
        <is>
          <t>2026-S32</t>
        </is>
      </c>
      <c r="B293" s="5" t="inlineStr">
        <is>
          <t>miércoles</t>
        </is>
      </c>
      <c r="C293" s="5" t="inlineStr">
        <is>
          <t>Laura Morales</t>
        </is>
      </c>
      <c r="D293" s="24">
        <f>IFERROR(INDEX('TECNICOS'!$D$4:$D$19,MATCH($C293,'TECNICOS'!$B$4:$B$19,0)),"")</f>
        <v/>
      </c>
      <c r="E293" s="24">
        <f>IFERROR(INDEX('TECNICOS'!$C$4:$C$19,MATCH($C293,'TECNICOS'!$B$4:$B$19,0)),"")</f>
        <v/>
      </c>
      <c r="F293" s="24">
        <f>COUNTIFS('TECNICOS'!$F$4:$F$19,"sí",'TECNICOS'!$C$4:$C$19,$E293,'TECNICOS'!$D$4:$D$19,$D293,'TECNICOS'!$H$4:$H$19,"sí")</f>
        <v/>
      </c>
      <c r="G293" s="24">
        <f>IF(OR($C293="",$A293="",$B293="domingo",IFERROR(INDEX('TECNICOS'!$H$4:$H$19,MATCH($C293,'TECNICOS'!$B$4:$B$19,0)),"no")&lt;&gt;"sí"),"",IF(IFERROR(INDEX('TECNICOS'!$F$4:$F$19,MATCH($C293,'TECNICOS'!$B$4:$B$19,0)),"no")&lt;&gt;"sí","B",IF(MOD((IFERROR(INDEX('TECNICOS'!$G$4:$G$19,MATCH($C293,'TECNICOS'!$B$4:$B$19,0)),0)-1)+((DATE(VALUE(LEFT($A293,4)),1,4)-WEEKDAY(DATE(VALUE(LEFT($A293,4)),1,4),2)+1+(VALUE(MID($A293,7,2))-1)*7)-p_semana_referencia)/7,$F293)&lt;($F293-3),"B"&amp;(($F293-3)-MOD((IFERROR(INDEX('TECNICOS'!$G$4:$G$19,MATCH($C293,'TECNICOS'!$B$4:$B$19,0)),0)-1)+((DATE(VALUE(LEFT($A293,4)),1,4)-WEEKDAY(DATE(VALUE(LEFT($A293,4)),1,4),2)+1+(VALUE(MID($A293,7,2))-1)*7)-p_semana_referencia)/7,$F293)),"T"&amp;($F293-MOD((IFERROR(INDEX('TECNICOS'!$G$4:$G$19,MATCH($C293,'TECNICOS'!$B$4:$B$19,0)),0)-1)+((DATE(VALUE(LEFT($A293,4)),1,4)-WEEKDAY(DATE(VALUE(LEFT($A293,4)),1,4),2)+1+(VALUE(MID($A293,7,2))-1)*7)-p_semana_referencia)/7,$F293)))))</f>
        <v/>
      </c>
      <c r="H293" s="24">
        <f>IF(COUNTIFS('PLAN_VACACIONES'!$A$4:$A$103,$C293,'PLAN_VACACIONES'!$B$4:$B$103,"&lt;="&amp;$L293,'PLAN_VACACIONES'!$C$4:$C$103,"&gt;="&amp;$L293)&gt;0,"sí","no")</f>
        <v/>
      </c>
      <c r="I293" s="4" t="n"/>
      <c r="J293" s="24">
        <f>IF($I293&lt;&gt;"",$I293,IF($G293="","",IF($H293="sí","VAC",IF(LEFT($G293,1)="B","B",$G293))))</f>
        <v/>
      </c>
      <c r="K293" s="24">
        <f>IFERROR(INDEX('TECNICOS'!$E$4:$E$19,MATCH($C293,'TECNICOS'!$B$4:$B$19,0)),"")</f>
        <v/>
      </c>
      <c r="L293" s="30">
        <f>IF($A293="","",DATE(VALUE(LEFT($A293,4)),1,4)-WEEKDAY(DATE(VALUE(LEFT($A293,4)),1,4),2)+1+(VALUE(MID($A293,7,2))-1)*7+MATCH($B293,lista_dias,0)-1)</f>
        <v/>
      </c>
      <c r="M293" s="24">
        <f>IF(OR($J293="",ISNUMBER(MATCH($J293,lista_no_disponible,0)),(IFERROR(INDEX('CALENDARIO'!$C$15:$C$214,MATCH(TEXT($L293,"yyyy-mm-dd")&amp;"|"&amp;$D293&amp;"|"&amp;"",'CALENDARIO'!$G$15:$G$214,0)),IFERROR(INDEX('CALENDARIO'!$C$15:$C$214,MATCH(TEXT($L293,"yyyy-mm-dd")&amp;"|"&amp;$D293&amp;"|",'CALENDARIO'!$G$15:$G$214,0)),IFERROR(INDEX('CALENDARIO'!$C$15:$C$214,MATCH(TEXT($L293,"yyyy-mm-dd")&amp;"||",'CALENDARIO'!$G$15:$G$214,0)),INDEX(patronHabil,WEEKDAY($L293,2))))))&lt;&gt;"sí"),0,p_horas_jornada)</f>
        <v/>
      </c>
      <c r="N293" s="24">
        <f>$A293&amp;"|"&amp;$B293&amp;"|"&amp;$C293</f>
        <v/>
      </c>
      <c r="O293" s="24">
        <f>IFERROR(INDEX('CAT_TURNOS'!$C$4:$C$22,MATCH($J293,'CAT_TURNOS'!$A$4:$A$22,0)),"")</f>
        <v/>
      </c>
      <c r="P293" s="24">
        <f>IFERROR(INDEX('CAT_TURNOS'!$D$4:$D$22,MATCH($J293,'CAT_TURNOS'!$A$4:$A$22,0)),"")</f>
        <v/>
      </c>
      <c r="Q293" s="24">
        <f>IF(AND(LEFT($G293,1)="T",$H293="no"),"sí","no")</f>
        <v/>
      </c>
    </row>
    <row r="294">
      <c r="A294" s="5" t="inlineStr">
        <is>
          <t>2026-S32</t>
        </is>
      </c>
      <c r="B294" s="5" t="inlineStr">
        <is>
          <t>jueves</t>
        </is>
      </c>
      <c r="C294" s="5" t="inlineStr">
        <is>
          <t>Laura Morales</t>
        </is>
      </c>
      <c r="D294" s="24">
        <f>IFERROR(INDEX('TECNICOS'!$D$4:$D$19,MATCH($C294,'TECNICOS'!$B$4:$B$19,0)),"")</f>
        <v/>
      </c>
      <c r="E294" s="24">
        <f>IFERROR(INDEX('TECNICOS'!$C$4:$C$19,MATCH($C294,'TECNICOS'!$B$4:$B$19,0)),"")</f>
        <v/>
      </c>
      <c r="F294" s="24">
        <f>COUNTIFS('TECNICOS'!$F$4:$F$19,"sí",'TECNICOS'!$C$4:$C$19,$E294,'TECNICOS'!$D$4:$D$19,$D294,'TECNICOS'!$H$4:$H$19,"sí")</f>
        <v/>
      </c>
      <c r="G294" s="24">
        <f>IF(OR($C294="",$A294="",$B294="domingo",IFERROR(INDEX('TECNICOS'!$H$4:$H$19,MATCH($C294,'TECNICOS'!$B$4:$B$19,0)),"no")&lt;&gt;"sí"),"",IF(IFERROR(INDEX('TECNICOS'!$F$4:$F$19,MATCH($C294,'TECNICOS'!$B$4:$B$19,0)),"no")&lt;&gt;"sí","B",IF(MOD((IFERROR(INDEX('TECNICOS'!$G$4:$G$19,MATCH($C294,'TECNICOS'!$B$4:$B$19,0)),0)-1)+((DATE(VALUE(LEFT($A294,4)),1,4)-WEEKDAY(DATE(VALUE(LEFT($A294,4)),1,4),2)+1+(VALUE(MID($A294,7,2))-1)*7)-p_semana_referencia)/7,$F294)&lt;($F294-3),"B"&amp;(($F294-3)-MOD((IFERROR(INDEX('TECNICOS'!$G$4:$G$19,MATCH($C294,'TECNICOS'!$B$4:$B$19,0)),0)-1)+((DATE(VALUE(LEFT($A294,4)),1,4)-WEEKDAY(DATE(VALUE(LEFT($A294,4)),1,4),2)+1+(VALUE(MID($A294,7,2))-1)*7)-p_semana_referencia)/7,$F294)),"T"&amp;($F294-MOD((IFERROR(INDEX('TECNICOS'!$G$4:$G$19,MATCH($C294,'TECNICOS'!$B$4:$B$19,0)),0)-1)+((DATE(VALUE(LEFT($A294,4)),1,4)-WEEKDAY(DATE(VALUE(LEFT($A294,4)),1,4),2)+1+(VALUE(MID($A294,7,2))-1)*7)-p_semana_referencia)/7,$F294)))))</f>
        <v/>
      </c>
      <c r="H294" s="24">
        <f>IF(COUNTIFS('PLAN_VACACIONES'!$A$4:$A$103,$C294,'PLAN_VACACIONES'!$B$4:$B$103,"&lt;="&amp;$L294,'PLAN_VACACIONES'!$C$4:$C$103,"&gt;="&amp;$L294)&gt;0,"sí","no")</f>
        <v/>
      </c>
      <c r="I294" s="4" t="n"/>
      <c r="J294" s="24">
        <f>IF($I294&lt;&gt;"",$I294,IF($G294="","",IF($H294="sí","VAC",IF(LEFT($G294,1)="B","B",$G294))))</f>
        <v/>
      </c>
      <c r="K294" s="24">
        <f>IFERROR(INDEX('TECNICOS'!$E$4:$E$19,MATCH($C294,'TECNICOS'!$B$4:$B$19,0)),"")</f>
        <v/>
      </c>
      <c r="L294" s="30">
        <f>IF($A294="","",DATE(VALUE(LEFT($A294,4)),1,4)-WEEKDAY(DATE(VALUE(LEFT($A294,4)),1,4),2)+1+(VALUE(MID($A294,7,2))-1)*7+MATCH($B294,lista_dias,0)-1)</f>
        <v/>
      </c>
      <c r="M294" s="24">
        <f>IF(OR($J294="",ISNUMBER(MATCH($J294,lista_no_disponible,0)),(IFERROR(INDEX('CALENDARIO'!$C$15:$C$214,MATCH(TEXT($L294,"yyyy-mm-dd")&amp;"|"&amp;$D294&amp;"|"&amp;"",'CALENDARIO'!$G$15:$G$214,0)),IFERROR(INDEX('CALENDARIO'!$C$15:$C$214,MATCH(TEXT($L294,"yyyy-mm-dd")&amp;"|"&amp;$D294&amp;"|",'CALENDARIO'!$G$15:$G$214,0)),IFERROR(INDEX('CALENDARIO'!$C$15:$C$214,MATCH(TEXT($L294,"yyyy-mm-dd")&amp;"||",'CALENDARIO'!$G$15:$G$214,0)),INDEX(patronHabil,WEEKDAY($L294,2))))))&lt;&gt;"sí"),0,p_horas_jornada)</f>
        <v/>
      </c>
      <c r="N294" s="24">
        <f>$A294&amp;"|"&amp;$B294&amp;"|"&amp;$C294</f>
        <v/>
      </c>
      <c r="O294" s="24">
        <f>IFERROR(INDEX('CAT_TURNOS'!$C$4:$C$22,MATCH($J294,'CAT_TURNOS'!$A$4:$A$22,0)),"")</f>
        <v/>
      </c>
      <c r="P294" s="24">
        <f>IFERROR(INDEX('CAT_TURNOS'!$D$4:$D$22,MATCH($J294,'CAT_TURNOS'!$A$4:$A$22,0)),"")</f>
        <v/>
      </c>
      <c r="Q294" s="24">
        <f>IF(AND(LEFT($G294,1)="T",$H294="no"),"sí","no")</f>
        <v/>
      </c>
    </row>
    <row r="295">
      <c r="A295" s="5" t="inlineStr">
        <is>
          <t>2026-S32</t>
        </is>
      </c>
      <c r="B295" s="5" t="inlineStr">
        <is>
          <t>viernes</t>
        </is>
      </c>
      <c r="C295" s="5" t="inlineStr">
        <is>
          <t>Laura Morales</t>
        </is>
      </c>
      <c r="D295" s="24">
        <f>IFERROR(INDEX('TECNICOS'!$D$4:$D$19,MATCH($C295,'TECNICOS'!$B$4:$B$19,0)),"")</f>
        <v/>
      </c>
      <c r="E295" s="24">
        <f>IFERROR(INDEX('TECNICOS'!$C$4:$C$19,MATCH($C295,'TECNICOS'!$B$4:$B$19,0)),"")</f>
        <v/>
      </c>
      <c r="F295" s="24">
        <f>COUNTIFS('TECNICOS'!$F$4:$F$19,"sí",'TECNICOS'!$C$4:$C$19,$E295,'TECNICOS'!$D$4:$D$19,$D295,'TECNICOS'!$H$4:$H$19,"sí")</f>
        <v/>
      </c>
      <c r="G295" s="24">
        <f>IF(OR($C295="",$A295="",$B295="domingo",IFERROR(INDEX('TECNICOS'!$H$4:$H$19,MATCH($C295,'TECNICOS'!$B$4:$B$19,0)),"no")&lt;&gt;"sí"),"",IF(IFERROR(INDEX('TECNICOS'!$F$4:$F$19,MATCH($C295,'TECNICOS'!$B$4:$B$19,0)),"no")&lt;&gt;"sí","B",IF(MOD((IFERROR(INDEX('TECNICOS'!$G$4:$G$19,MATCH($C295,'TECNICOS'!$B$4:$B$19,0)),0)-1)+((DATE(VALUE(LEFT($A295,4)),1,4)-WEEKDAY(DATE(VALUE(LEFT($A295,4)),1,4),2)+1+(VALUE(MID($A295,7,2))-1)*7)-p_semana_referencia)/7,$F295)&lt;($F295-3),"B"&amp;(($F295-3)-MOD((IFERROR(INDEX('TECNICOS'!$G$4:$G$19,MATCH($C295,'TECNICOS'!$B$4:$B$19,0)),0)-1)+((DATE(VALUE(LEFT($A295,4)),1,4)-WEEKDAY(DATE(VALUE(LEFT($A295,4)),1,4),2)+1+(VALUE(MID($A295,7,2))-1)*7)-p_semana_referencia)/7,$F295)),"T"&amp;($F295-MOD((IFERROR(INDEX('TECNICOS'!$G$4:$G$19,MATCH($C295,'TECNICOS'!$B$4:$B$19,0)),0)-1)+((DATE(VALUE(LEFT($A295,4)),1,4)-WEEKDAY(DATE(VALUE(LEFT($A295,4)),1,4),2)+1+(VALUE(MID($A295,7,2))-1)*7)-p_semana_referencia)/7,$F295)))))</f>
        <v/>
      </c>
      <c r="H295" s="24">
        <f>IF(COUNTIFS('PLAN_VACACIONES'!$A$4:$A$103,$C295,'PLAN_VACACIONES'!$B$4:$B$103,"&lt;="&amp;$L295,'PLAN_VACACIONES'!$C$4:$C$103,"&gt;="&amp;$L295)&gt;0,"sí","no")</f>
        <v/>
      </c>
      <c r="I295" s="4" t="n"/>
      <c r="J295" s="24">
        <f>IF($I295&lt;&gt;"",$I295,IF($G295="","",IF($H295="sí","VAC",IF(LEFT($G295,1)="B","B",$G295))))</f>
        <v/>
      </c>
      <c r="K295" s="24">
        <f>IFERROR(INDEX('TECNICOS'!$E$4:$E$19,MATCH($C295,'TECNICOS'!$B$4:$B$19,0)),"")</f>
        <v/>
      </c>
      <c r="L295" s="30">
        <f>IF($A295="","",DATE(VALUE(LEFT($A295,4)),1,4)-WEEKDAY(DATE(VALUE(LEFT($A295,4)),1,4),2)+1+(VALUE(MID($A295,7,2))-1)*7+MATCH($B295,lista_dias,0)-1)</f>
        <v/>
      </c>
      <c r="M295" s="24">
        <f>IF(OR($J295="",ISNUMBER(MATCH($J295,lista_no_disponible,0)),(IFERROR(INDEX('CALENDARIO'!$C$15:$C$214,MATCH(TEXT($L295,"yyyy-mm-dd")&amp;"|"&amp;$D295&amp;"|"&amp;"",'CALENDARIO'!$G$15:$G$214,0)),IFERROR(INDEX('CALENDARIO'!$C$15:$C$214,MATCH(TEXT($L295,"yyyy-mm-dd")&amp;"|"&amp;$D295&amp;"|",'CALENDARIO'!$G$15:$G$214,0)),IFERROR(INDEX('CALENDARIO'!$C$15:$C$214,MATCH(TEXT($L295,"yyyy-mm-dd")&amp;"||",'CALENDARIO'!$G$15:$G$214,0)),INDEX(patronHabil,WEEKDAY($L295,2))))))&lt;&gt;"sí"),0,p_horas_jornada)</f>
        <v/>
      </c>
      <c r="N295" s="24">
        <f>$A295&amp;"|"&amp;$B295&amp;"|"&amp;$C295</f>
        <v/>
      </c>
      <c r="O295" s="24">
        <f>IFERROR(INDEX('CAT_TURNOS'!$C$4:$C$22,MATCH($J295,'CAT_TURNOS'!$A$4:$A$22,0)),"")</f>
        <v/>
      </c>
      <c r="P295" s="24">
        <f>IFERROR(INDEX('CAT_TURNOS'!$D$4:$D$22,MATCH($J295,'CAT_TURNOS'!$A$4:$A$22,0)),"")</f>
        <v/>
      </c>
      <c r="Q295" s="24">
        <f>IF(AND(LEFT($G295,1)="T",$H295="no"),"sí","no")</f>
        <v/>
      </c>
    </row>
    <row r="296">
      <c r="A296" s="5" t="inlineStr">
        <is>
          <t>2026-S32</t>
        </is>
      </c>
      <c r="B296" s="5" t="inlineStr">
        <is>
          <t>sábado</t>
        </is>
      </c>
      <c r="C296" s="5" t="inlineStr">
        <is>
          <t>Laura Morales</t>
        </is>
      </c>
      <c r="D296" s="24">
        <f>IFERROR(INDEX('TECNICOS'!$D$4:$D$19,MATCH($C296,'TECNICOS'!$B$4:$B$19,0)),"")</f>
        <v/>
      </c>
      <c r="E296" s="24">
        <f>IFERROR(INDEX('TECNICOS'!$C$4:$C$19,MATCH($C296,'TECNICOS'!$B$4:$B$19,0)),"")</f>
        <v/>
      </c>
      <c r="F296" s="24">
        <f>COUNTIFS('TECNICOS'!$F$4:$F$19,"sí",'TECNICOS'!$C$4:$C$19,$E296,'TECNICOS'!$D$4:$D$19,$D296,'TECNICOS'!$H$4:$H$19,"sí")</f>
        <v/>
      </c>
      <c r="G296" s="24">
        <f>IF(OR($C296="",$A296="",$B296="domingo",IFERROR(INDEX('TECNICOS'!$H$4:$H$19,MATCH($C296,'TECNICOS'!$B$4:$B$19,0)),"no")&lt;&gt;"sí"),"",IF(IFERROR(INDEX('TECNICOS'!$F$4:$F$19,MATCH($C296,'TECNICOS'!$B$4:$B$19,0)),"no")&lt;&gt;"sí","B",IF(MOD((IFERROR(INDEX('TECNICOS'!$G$4:$G$19,MATCH($C296,'TECNICOS'!$B$4:$B$19,0)),0)-1)+((DATE(VALUE(LEFT($A296,4)),1,4)-WEEKDAY(DATE(VALUE(LEFT($A296,4)),1,4),2)+1+(VALUE(MID($A296,7,2))-1)*7)-p_semana_referencia)/7,$F296)&lt;($F296-3),"B"&amp;(($F296-3)-MOD((IFERROR(INDEX('TECNICOS'!$G$4:$G$19,MATCH($C296,'TECNICOS'!$B$4:$B$19,0)),0)-1)+((DATE(VALUE(LEFT($A296,4)),1,4)-WEEKDAY(DATE(VALUE(LEFT($A296,4)),1,4),2)+1+(VALUE(MID($A296,7,2))-1)*7)-p_semana_referencia)/7,$F296)),"T"&amp;($F296-MOD((IFERROR(INDEX('TECNICOS'!$G$4:$G$19,MATCH($C296,'TECNICOS'!$B$4:$B$19,0)),0)-1)+((DATE(VALUE(LEFT($A296,4)),1,4)-WEEKDAY(DATE(VALUE(LEFT($A296,4)),1,4),2)+1+(VALUE(MID($A296,7,2))-1)*7)-p_semana_referencia)/7,$F296)))))</f>
        <v/>
      </c>
      <c r="H296" s="24">
        <f>IF(COUNTIFS('PLAN_VACACIONES'!$A$4:$A$103,$C296,'PLAN_VACACIONES'!$B$4:$B$103,"&lt;="&amp;$L296,'PLAN_VACACIONES'!$C$4:$C$103,"&gt;="&amp;$L296)&gt;0,"sí","no")</f>
        <v/>
      </c>
      <c r="I296" s="4" t="n"/>
      <c r="J296" s="24">
        <f>IF($I296&lt;&gt;"",$I296,IF($G296="","",IF($H296="sí","VAC",IF(LEFT($G296,1)="B","B",$G296))))</f>
        <v/>
      </c>
      <c r="K296" s="24">
        <f>IFERROR(INDEX('TECNICOS'!$E$4:$E$19,MATCH($C296,'TECNICOS'!$B$4:$B$19,0)),"")</f>
        <v/>
      </c>
      <c r="L296" s="30">
        <f>IF($A296="","",DATE(VALUE(LEFT($A296,4)),1,4)-WEEKDAY(DATE(VALUE(LEFT($A296,4)),1,4),2)+1+(VALUE(MID($A296,7,2))-1)*7+MATCH($B296,lista_dias,0)-1)</f>
        <v/>
      </c>
      <c r="M296" s="24">
        <f>IF(OR($J296="",ISNUMBER(MATCH($J296,lista_no_disponible,0)),(IFERROR(INDEX('CALENDARIO'!$C$15:$C$214,MATCH(TEXT($L296,"yyyy-mm-dd")&amp;"|"&amp;$D296&amp;"|"&amp;"",'CALENDARIO'!$G$15:$G$214,0)),IFERROR(INDEX('CALENDARIO'!$C$15:$C$214,MATCH(TEXT($L296,"yyyy-mm-dd")&amp;"|"&amp;$D296&amp;"|",'CALENDARIO'!$G$15:$G$214,0)),IFERROR(INDEX('CALENDARIO'!$C$15:$C$214,MATCH(TEXT($L296,"yyyy-mm-dd")&amp;"||",'CALENDARIO'!$G$15:$G$214,0)),INDEX(patronHabil,WEEKDAY($L296,2))))))&lt;&gt;"sí"),0,p_horas_jornada)</f>
        <v/>
      </c>
      <c r="N296" s="24">
        <f>$A296&amp;"|"&amp;$B296&amp;"|"&amp;$C296</f>
        <v/>
      </c>
      <c r="O296" s="24">
        <f>IFERROR(INDEX('CAT_TURNOS'!$C$4:$C$22,MATCH($J296,'CAT_TURNOS'!$A$4:$A$22,0)),"")</f>
        <v/>
      </c>
      <c r="P296" s="24">
        <f>IFERROR(INDEX('CAT_TURNOS'!$D$4:$D$22,MATCH($J296,'CAT_TURNOS'!$A$4:$A$22,0)),"")</f>
        <v/>
      </c>
      <c r="Q296" s="24">
        <f>IF(AND(LEFT($G296,1)="T",$H296="no"),"sí","no")</f>
        <v/>
      </c>
    </row>
    <row r="297">
      <c r="A297" s="5" t="inlineStr">
        <is>
          <t>2026-S32</t>
        </is>
      </c>
      <c r="B297" s="5" t="inlineStr">
        <is>
          <t>domingo</t>
        </is>
      </c>
      <c r="C297" s="5" t="inlineStr">
        <is>
          <t>Laura Morales</t>
        </is>
      </c>
      <c r="D297" s="24">
        <f>IFERROR(INDEX('TECNICOS'!$D$4:$D$19,MATCH($C297,'TECNICOS'!$B$4:$B$19,0)),"")</f>
        <v/>
      </c>
      <c r="E297" s="24">
        <f>IFERROR(INDEX('TECNICOS'!$C$4:$C$19,MATCH($C297,'TECNICOS'!$B$4:$B$19,0)),"")</f>
        <v/>
      </c>
      <c r="F297" s="24">
        <f>COUNTIFS('TECNICOS'!$F$4:$F$19,"sí",'TECNICOS'!$C$4:$C$19,$E297,'TECNICOS'!$D$4:$D$19,$D297,'TECNICOS'!$H$4:$H$19,"sí")</f>
        <v/>
      </c>
      <c r="G297" s="24">
        <f>IF(OR($C297="",$A297="",$B297="domingo",IFERROR(INDEX('TECNICOS'!$H$4:$H$19,MATCH($C297,'TECNICOS'!$B$4:$B$19,0)),"no")&lt;&gt;"sí"),"",IF(IFERROR(INDEX('TECNICOS'!$F$4:$F$19,MATCH($C297,'TECNICOS'!$B$4:$B$19,0)),"no")&lt;&gt;"sí","B",IF(MOD((IFERROR(INDEX('TECNICOS'!$G$4:$G$19,MATCH($C297,'TECNICOS'!$B$4:$B$19,0)),0)-1)+((DATE(VALUE(LEFT($A297,4)),1,4)-WEEKDAY(DATE(VALUE(LEFT($A297,4)),1,4),2)+1+(VALUE(MID($A297,7,2))-1)*7)-p_semana_referencia)/7,$F297)&lt;($F297-3),"B"&amp;(($F297-3)-MOD((IFERROR(INDEX('TECNICOS'!$G$4:$G$19,MATCH($C297,'TECNICOS'!$B$4:$B$19,0)),0)-1)+((DATE(VALUE(LEFT($A297,4)),1,4)-WEEKDAY(DATE(VALUE(LEFT($A297,4)),1,4),2)+1+(VALUE(MID($A297,7,2))-1)*7)-p_semana_referencia)/7,$F297)),"T"&amp;($F297-MOD((IFERROR(INDEX('TECNICOS'!$G$4:$G$19,MATCH($C297,'TECNICOS'!$B$4:$B$19,0)),0)-1)+((DATE(VALUE(LEFT($A297,4)),1,4)-WEEKDAY(DATE(VALUE(LEFT($A297,4)),1,4),2)+1+(VALUE(MID($A297,7,2))-1)*7)-p_semana_referencia)/7,$F297)))))</f>
        <v/>
      </c>
      <c r="H297" s="24">
        <f>IF(COUNTIFS('PLAN_VACACIONES'!$A$4:$A$103,$C297,'PLAN_VACACIONES'!$B$4:$B$103,"&lt;="&amp;$L297,'PLAN_VACACIONES'!$C$4:$C$103,"&gt;="&amp;$L297)&gt;0,"sí","no")</f>
        <v/>
      </c>
      <c r="I297" s="4" t="n"/>
      <c r="J297" s="24">
        <f>IF($I297&lt;&gt;"",$I297,IF($G297="","",IF($H297="sí","VAC",IF(LEFT($G297,1)="B","B",$G297))))</f>
        <v/>
      </c>
      <c r="K297" s="24">
        <f>IFERROR(INDEX('TECNICOS'!$E$4:$E$19,MATCH($C297,'TECNICOS'!$B$4:$B$19,0)),"")</f>
        <v/>
      </c>
      <c r="L297" s="30">
        <f>IF($A297="","",DATE(VALUE(LEFT($A297,4)),1,4)-WEEKDAY(DATE(VALUE(LEFT($A297,4)),1,4),2)+1+(VALUE(MID($A297,7,2))-1)*7+MATCH($B297,lista_dias,0)-1)</f>
        <v/>
      </c>
      <c r="M297" s="24">
        <f>IF(OR($J297="",ISNUMBER(MATCH($J297,lista_no_disponible,0)),(IFERROR(INDEX('CALENDARIO'!$C$15:$C$214,MATCH(TEXT($L297,"yyyy-mm-dd")&amp;"|"&amp;$D297&amp;"|"&amp;"",'CALENDARIO'!$G$15:$G$214,0)),IFERROR(INDEX('CALENDARIO'!$C$15:$C$214,MATCH(TEXT($L297,"yyyy-mm-dd")&amp;"|"&amp;$D297&amp;"|",'CALENDARIO'!$G$15:$G$214,0)),IFERROR(INDEX('CALENDARIO'!$C$15:$C$214,MATCH(TEXT($L297,"yyyy-mm-dd")&amp;"||",'CALENDARIO'!$G$15:$G$214,0)),INDEX(patronHabil,WEEKDAY($L297,2))))))&lt;&gt;"sí"),0,p_horas_jornada)</f>
        <v/>
      </c>
      <c r="N297" s="24">
        <f>$A297&amp;"|"&amp;$B297&amp;"|"&amp;$C297</f>
        <v/>
      </c>
      <c r="O297" s="24">
        <f>IFERROR(INDEX('CAT_TURNOS'!$C$4:$C$22,MATCH($J297,'CAT_TURNOS'!$A$4:$A$22,0)),"")</f>
        <v/>
      </c>
      <c r="P297" s="24">
        <f>IFERROR(INDEX('CAT_TURNOS'!$D$4:$D$22,MATCH($J297,'CAT_TURNOS'!$A$4:$A$22,0)),"")</f>
        <v/>
      </c>
      <c r="Q297" s="24">
        <f>IF(AND(LEFT($G297,1)="T",$H297="no"),"sí","no")</f>
        <v/>
      </c>
    </row>
    <row r="298">
      <c r="A298" s="5" t="inlineStr">
        <is>
          <t>2026-S32</t>
        </is>
      </c>
      <c r="B298" s="5" t="inlineStr">
        <is>
          <t>lunes</t>
        </is>
      </c>
      <c r="C298" s="5" t="inlineStr">
        <is>
          <t>Ricardo Ortiz</t>
        </is>
      </c>
      <c r="D298" s="24">
        <f>IFERROR(INDEX('TECNICOS'!$D$4:$D$19,MATCH($C298,'TECNICOS'!$B$4:$B$19,0)),"")</f>
        <v/>
      </c>
      <c r="E298" s="24">
        <f>IFERROR(INDEX('TECNICOS'!$C$4:$C$19,MATCH($C298,'TECNICOS'!$B$4:$B$19,0)),"")</f>
        <v/>
      </c>
      <c r="F298" s="24">
        <f>COUNTIFS('TECNICOS'!$F$4:$F$19,"sí",'TECNICOS'!$C$4:$C$19,$E298,'TECNICOS'!$D$4:$D$19,$D298,'TECNICOS'!$H$4:$H$19,"sí")</f>
        <v/>
      </c>
      <c r="G298" s="24">
        <f>IF(OR($C298="",$A298="",$B298="domingo",IFERROR(INDEX('TECNICOS'!$H$4:$H$19,MATCH($C298,'TECNICOS'!$B$4:$B$19,0)),"no")&lt;&gt;"sí"),"",IF(IFERROR(INDEX('TECNICOS'!$F$4:$F$19,MATCH($C298,'TECNICOS'!$B$4:$B$19,0)),"no")&lt;&gt;"sí","B",IF(MOD((IFERROR(INDEX('TECNICOS'!$G$4:$G$19,MATCH($C298,'TECNICOS'!$B$4:$B$19,0)),0)-1)+((DATE(VALUE(LEFT($A298,4)),1,4)-WEEKDAY(DATE(VALUE(LEFT($A298,4)),1,4),2)+1+(VALUE(MID($A298,7,2))-1)*7)-p_semana_referencia)/7,$F298)&lt;($F298-3),"B"&amp;(($F298-3)-MOD((IFERROR(INDEX('TECNICOS'!$G$4:$G$19,MATCH($C298,'TECNICOS'!$B$4:$B$19,0)),0)-1)+((DATE(VALUE(LEFT($A298,4)),1,4)-WEEKDAY(DATE(VALUE(LEFT($A298,4)),1,4),2)+1+(VALUE(MID($A298,7,2))-1)*7)-p_semana_referencia)/7,$F298)),"T"&amp;($F298-MOD((IFERROR(INDEX('TECNICOS'!$G$4:$G$19,MATCH($C298,'TECNICOS'!$B$4:$B$19,0)),0)-1)+((DATE(VALUE(LEFT($A298,4)),1,4)-WEEKDAY(DATE(VALUE(LEFT($A298,4)),1,4),2)+1+(VALUE(MID($A298,7,2))-1)*7)-p_semana_referencia)/7,$F298)))))</f>
        <v/>
      </c>
      <c r="H298" s="24">
        <f>IF(COUNTIFS('PLAN_VACACIONES'!$A$4:$A$103,$C298,'PLAN_VACACIONES'!$B$4:$B$103,"&lt;="&amp;$L298,'PLAN_VACACIONES'!$C$4:$C$103,"&gt;="&amp;$L298)&gt;0,"sí","no")</f>
        <v/>
      </c>
      <c r="I298" s="4" t="n"/>
      <c r="J298" s="24">
        <f>IF($I298&lt;&gt;"",$I298,IF($G298="","",IF($H298="sí","VAC",IF(LEFT($G298,1)="B","B",$G298))))</f>
        <v/>
      </c>
      <c r="K298" s="24">
        <f>IFERROR(INDEX('TECNICOS'!$E$4:$E$19,MATCH($C298,'TECNICOS'!$B$4:$B$19,0)),"")</f>
        <v/>
      </c>
      <c r="L298" s="30">
        <f>IF($A298="","",DATE(VALUE(LEFT($A298,4)),1,4)-WEEKDAY(DATE(VALUE(LEFT($A298,4)),1,4),2)+1+(VALUE(MID($A298,7,2))-1)*7+MATCH($B298,lista_dias,0)-1)</f>
        <v/>
      </c>
      <c r="M298" s="24">
        <f>IF(OR($J298="",ISNUMBER(MATCH($J298,lista_no_disponible,0)),(IFERROR(INDEX('CALENDARIO'!$C$15:$C$214,MATCH(TEXT($L298,"yyyy-mm-dd")&amp;"|"&amp;$D298&amp;"|"&amp;"",'CALENDARIO'!$G$15:$G$214,0)),IFERROR(INDEX('CALENDARIO'!$C$15:$C$214,MATCH(TEXT($L298,"yyyy-mm-dd")&amp;"|"&amp;$D298&amp;"|",'CALENDARIO'!$G$15:$G$214,0)),IFERROR(INDEX('CALENDARIO'!$C$15:$C$214,MATCH(TEXT($L298,"yyyy-mm-dd")&amp;"||",'CALENDARIO'!$G$15:$G$214,0)),INDEX(patronHabil,WEEKDAY($L298,2))))))&lt;&gt;"sí"),0,p_horas_jornada)</f>
        <v/>
      </c>
      <c r="N298" s="24">
        <f>$A298&amp;"|"&amp;$B298&amp;"|"&amp;$C298</f>
        <v/>
      </c>
      <c r="O298" s="24">
        <f>IFERROR(INDEX('CAT_TURNOS'!$C$4:$C$22,MATCH($J298,'CAT_TURNOS'!$A$4:$A$22,0)),"")</f>
        <v/>
      </c>
      <c r="P298" s="24">
        <f>IFERROR(INDEX('CAT_TURNOS'!$D$4:$D$22,MATCH($J298,'CAT_TURNOS'!$A$4:$A$22,0)),"")</f>
        <v/>
      </c>
      <c r="Q298" s="24">
        <f>IF(AND(LEFT($G298,1)="T",$H298="no"),"sí","no")</f>
        <v/>
      </c>
    </row>
    <row r="299">
      <c r="A299" s="5" t="inlineStr">
        <is>
          <t>2026-S32</t>
        </is>
      </c>
      <c r="B299" s="5" t="inlineStr">
        <is>
          <t>martes</t>
        </is>
      </c>
      <c r="C299" s="5" t="inlineStr">
        <is>
          <t>Ricardo Ortiz</t>
        </is>
      </c>
      <c r="D299" s="24">
        <f>IFERROR(INDEX('TECNICOS'!$D$4:$D$19,MATCH($C299,'TECNICOS'!$B$4:$B$19,0)),"")</f>
        <v/>
      </c>
      <c r="E299" s="24">
        <f>IFERROR(INDEX('TECNICOS'!$C$4:$C$19,MATCH($C299,'TECNICOS'!$B$4:$B$19,0)),"")</f>
        <v/>
      </c>
      <c r="F299" s="24">
        <f>COUNTIFS('TECNICOS'!$F$4:$F$19,"sí",'TECNICOS'!$C$4:$C$19,$E299,'TECNICOS'!$D$4:$D$19,$D299,'TECNICOS'!$H$4:$H$19,"sí")</f>
        <v/>
      </c>
      <c r="G299" s="24">
        <f>IF(OR($C299="",$A299="",$B299="domingo",IFERROR(INDEX('TECNICOS'!$H$4:$H$19,MATCH($C299,'TECNICOS'!$B$4:$B$19,0)),"no")&lt;&gt;"sí"),"",IF(IFERROR(INDEX('TECNICOS'!$F$4:$F$19,MATCH($C299,'TECNICOS'!$B$4:$B$19,0)),"no")&lt;&gt;"sí","B",IF(MOD((IFERROR(INDEX('TECNICOS'!$G$4:$G$19,MATCH($C299,'TECNICOS'!$B$4:$B$19,0)),0)-1)+((DATE(VALUE(LEFT($A299,4)),1,4)-WEEKDAY(DATE(VALUE(LEFT($A299,4)),1,4),2)+1+(VALUE(MID($A299,7,2))-1)*7)-p_semana_referencia)/7,$F299)&lt;($F299-3),"B"&amp;(($F299-3)-MOD((IFERROR(INDEX('TECNICOS'!$G$4:$G$19,MATCH($C299,'TECNICOS'!$B$4:$B$19,0)),0)-1)+((DATE(VALUE(LEFT($A299,4)),1,4)-WEEKDAY(DATE(VALUE(LEFT($A299,4)),1,4),2)+1+(VALUE(MID($A299,7,2))-1)*7)-p_semana_referencia)/7,$F299)),"T"&amp;($F299-MOD((IFERROR(INDEX('TECNICOS'!$G$4:$G$19,MATCH($C299,'TECNICOS'!$B$4:$B$19,0)),0)-1)+((DATE(VALUE(LEFT($A299,4)),1,4)-WEEKDAY(DATE(VALUE(LEFT($A299,4)),1,4),2)+1+(VALUE(MID($A299,7,2))-1)*7)-p_semana_referencia)/7,$F299)))))</f>
        <v/>
      </c>
      <c r="H299" s="24">
        <f>IF(COUNTIFS('PLAN_VACACIONES'!$A$4:$A$103,$C299,'PLAN_VACACIONES'!$B$4:$B$103,"&lt;="&amp;$L299,'PLAN_VACACIONES'!$C$4:$C$103,"&gt;="&amp;$L299)&gt;0,"sí","no")</f>
        <v/>
      </c>
      <c r="I299" s="4" t="n"/>
      <c r="J299" s="24">
        <f>IF($I299&lt;&gt;"",$I299,IF($G299="","",IF($H299="sí","VAC",IF(LEFT($G299,1)="B","B",$G299))))</f>
        <v/>
      </c>
      <c r="K299" s="24">
        <f>IFERROR(INDEX('TECNICOS'!$E$4:$E$19,MATCH($C299,'TECNICOS'!$B$4:$B$19,0)),"")</f>
        <v/>
      </c>
      <c r="L299" s="30">
        <f>IF($A299="","",DATE(VALUE(LEFT($A299,4)),1,4)-WEEKDAY(DATE(VALUE(LEFT($A299,4)),1,4),2)+1+(VALUE(MID($A299,7,2))-1)*7+MATCH($B299,lista_dias,0)-1)</f>
        <v/>
      </c>
      <c r="M299" s="24">
        <f>IF(OR($J299="",ISNUMBER(MATCH($J299,lista_no_disponible,0)),(IFERROR(INDEX('CALENDARIO'!$C$15:$C$214,MATCH(TEXT($L299,"yyyy-mm-dd")&amp;"|"&amp;$D299&amp;"|"&amp;"",'CALENDARIO'!$G$15:$G$214,0)),IFERROR(INDEX('CALENDARIO'!$C$15:$C$214,MATCH(TEXT($L299,"yyyy-mm-dd")&amp;"|"&amp;$D299&amp;"|",'CALENDARIO'!$G$15:$G$214,0)),IFERROR(INDEX('CALENDARIO'!$C$15:$C$214,MATCH(TEXT($L299,"yyyy-mm-dd")&amp;"||",'CALENDARIO'!$G$15:$G$214,0)),INDEX(patronHabil,WEEKDAY($L299,2))))))&lt;&gt;"sí"),0,p_horas_jornada)</f>
        <v/>
      </c>
      <c r="N299" s="24">
        <f>$A299&amp;"|"&amp;$B299&amp;"|"&amp;$C299</f>
        <v/>
      </c>
      <c r="O299" s="24">
        <f>IFERROR(INDEX('CAT_TURNOS'!$C$4:$C$22,MATCH($J299,'CAT_TURNOS'!$A$4:$A$22,0)),"")</f>
        <v/>
      </c>
      <c r="P299" s="24">
        <f>IFERROR(INDEX('CAT_TURNOS'!$D$4:$D$22,MATCH($J299,'CAT_TURNOS'!$A$4:$A$22,0)),"")</f>
        <v/>
      </c>
      <c r="Q299" s="24">
        <f>IF(AND(LEFT($G299,1)="T",$H299="no"),"sí","no")</f>
        <v/>
      </c>
    </row>
    <row r="300">
      <c r="A300" s="5" t="inlineStr">
        <is>
          <t>2026-S32</t>
        </is>
      </c>
      <c r="B300" s="5" t="inlineStr">
        <is>
          <t>miércoles</t>
        </is>
      </c>
      <c r="C300" s="5" t="inlineStr">
        <is>
          <t>Ricardo Ortiz</t>
        </is>
      </c>
      <c r="D300" s="24">
        <f>IFERROR(INDEX('TECNICOS'!$D$4:$D$19,MATCH($C300,'TECNICOS'!$B$4:$B$19,0)),"")</f>
        <v/>
      </c>
      <c r="E300" s="24">
        <f>IFERROR(INDEX('TECNICOS'!$C$4:$C$19,MATCH($C300,'TECNICOS'!$B$4:$B$19,0)),"")</f>
        <v/>
      </c>
      <c r="F300" s="24">
        <f>COUNTIFS('TECNICOS'!$F$4:$F$19,"sí",'TECNICOS'!$C$4:$C$19,$E300,'TECNICOS'!$D$4:$D$19,$D300,'TECNICOS'!$H$4:$H$19,"sí")</f>
        <v/>
      </c>
      <c r="G300" s="24">
        <f>IF(OR($C300="",$A300="",$B300="domingo",IFERROR(INDEX('TECNICOS'!$H$4:$H$19,MATCH($C300,'TECNICOS'!$B$4:$B$19,0)),"no")&lt;&gt;"sí"),"",IF(IFERROR(INDEX('TECNICOS'!$F$4:$F$19,MATCH($C300,'TECNICOS'!$B$4:$B$19,0)),"no")&lt;&gt;"sí","B",IF(MOD((IFERROR(INDEX('TECNICOS'!$G$4:$G$19,MATCH($C300,'TECNICOS'!$B$4:$B$19,0)),0)-1)+((DATE(VALUE(LEFT($A300,4)),1,4)-WEEKDAY(DATE(VALUE(LEFT($A300,4)),1,4),2)+1+(VALUE(MID($A300,7,2))-1)*7)-p_semana_referencia)/7,$F300)&lt;($F300-3),"B"&amp;(($F300-3)-MOD((IFERROR(INDEX('TECNICOS'!$G$4:$G$19,MATCH($C300,'TECNICOS'!$B$4:$B$19,0)),0)-1)+((DATE(VALUE(LEFT($A300,4)),1,4)-WEEKDAY(DATE(VALUE(LEFT($A300,4)),1,4),2)+1+(VALUE(MID($A300,7,2))-1)*7)-p_semana_referencia)/7,$F300)),"T"&amp;($F300-MOD((IFERROR(INDEX('TECNICOS'!$G$4:$G$19,MATCH($C300,'TECNICOS'!$B$4:$B$19,0)),0)-1)+((DATE(VALUE(LEFT($A300,4)),1,4)-WEEKDAY(DATE(VALUE(LEFT($A300,4)),1,4),2)+1+(VALUE(MID($A300,7,2))-1)*7)-p_semana_referencia)/7,$F300)))))</f>
        <v/>
      </c>
      <c r="H300" s="24">
        <f>IF(COUNTIFS('PLAN_VACACIONES'!$A$4:$A$103,$C300,'PLAN_VACACIONES'!$B$4:$B$103,"&lt;="&amp;$L300,'PLAN_VACACIONES'!$C$4:$C$103,"&gt;="&amp;$L300)&gt;0,"sí","no")</f>
        <v/>
      </c>
      <c r="I300" s="4" t="n"/>
      <c r="J300" s="24">
        <f>IF($I300&lt;&gt;"",$I300,IF($G300="","",IF($H300="sí","VAC",IF(LEFT($G300,1)="B","B",$G300))))</f>
        <v/>
      </c>
      <c r="K300" s="24">
        <f>IFERROR(INDEX('TECNICOS'!$E$4:$E$19,MATCH($C300,'TECNICOS'!$B$4:$B$19,0)),"")</f>
        <v/>
      </c>
      <c r="L300" s="30">
        <f>IF($A300="","",DATE(VALUE(LEFT($A300,4)),1,4)-WEEKDAY(DATE(VALUE(LEFT($A300,4)),1,4),2)+1+(VALUE(MID($A300,7,2))-1)*7+MATCH($B300,lista_dias,0)-1)</f>
        <v/>
      </c>
      <c r="M300" s="24">
        <f>IF(OR($J300="",ISNUMBER(MATCH($J300,lista_no_disponible,0)),(IFERROR(INDEX('CALENDARIO'!$C$15:$C$214,MATCH(TEXT($L300,"yyyy-mm-dd")&amp;"|"&amp;$D300&amp;"|"&amp;"",'CALENDARIO'!$G$15:$G$214,0)),IFERROR(INDEX('CALENDARIO'!$C$15:$C$214,MATCH(TEXT($L300,"yyyy-mm-dd")&amp;"|"&amp;$D300&amp;"|",'CALENDARIO'!$G$15:$G$214,0)),IFERROR(INDEX('CALENDARIO'!$C$15:$C$214,MATCH(TEXT($L300,"yyyy-mm-dd")&amp;"||",'CALENDARIO'!$G$15:$G$214,0)),INDEX(patronHabil,WEEKDAY($L300,2))))))&lt;&gt;"sí"),0,p_horas_jornada)</f>
        <v/>
      </c>
      <c r="N300" s="24">
        <f>$A300&amp;"|"&amp;$B300&amp;"|"&amp;$C300</f>
        <v/>
      </c>
      <c r="O300" s="24">
        <f>IFERROR(INDEX('CAT_TURNOS'!$C$4:$C$22,MATCH($J300,'CAT_TURNOS'!$A$4:$A$22,0)),"")</f>
        <v/>
      </c>
      <c r="P300" s="24">
        <f>IFERROR(INDEX('CAT_TURNOS'!$D$4:$D$22,MATCH($J300,'CAT_TURNOS'!$A$4:$A$22,0)),"")</f>
        <v/>
      </c>
      <c r="Q300" s="24">
        <f>IF(AND(LEFT($G300,1)="T",$H300="no"),"sí","no")</f>
        <v/>
      </c>
    </row>
    <row r="301">
      <c r="A301" s="5" t="inlineStr">
        <is>
          <t>2026-S32</t>
        </is>
      </c>
      <c r="B301" s="5" t="inlineStr">
        <is>
          <t>jueves</t>
        </is>
      </c>
      <c r="C301" s="5" t="inlineStr">
        <is>
          <t>Ricardo Ortiz</t>
        </is>
      </c>
      <c r="D301" s="24">
        <f>IFERROR(INDEX('TECNICOS'!$D$4:$D$19,MATCH($C301,'TECNICOS'!$B$4:$B$19,0)),"")</f>
        <v/>
      </c>
      <c r="E301" s="24">
        <f>IFERROR(INDEX('TECNICOS'!$C$4:$C$19,MATCH($C301,'TECNICOS'!$B$4:$B$19,0)),"")</f>
        <v/>
      </c>
      <c r="F301" s="24">
        <f>COUNTIFS('TECNICOS'!$F$4:$F$19,"sí",'TECNICOS'!$C$4:$C$19,$E301,'TECNICOS'!$D$4:$D$19,$D301,'TECNICOS'!$H$4:$H$19,"sí")</f>
        <v/>
      </c>
      <c r="G301" s="24">
        <f>IF(OR($C301="",$A301="",$B301="domingo",IFERROR(INDEX('TECNICOS'!$H$4:$H$19,MATCH($C301,'TECNICOS'!$B$4:$B$19,0)),"no")&lt;&gt;"sí"),"",IF(IFERROR(INDEX('TECNICOS'!$F$4:$F$19,MATCH($C301,'TECNICOS'!$B$4:$B$19,0)),"no")&lt;&gt;"sí","B",IF(MOD((IFERROR(INDEX('TECNICOS'!$G$4:$G$19,MATCH($C301,'TECNICOS'!$B$4:$B$19,0)),0)-1)+((DATE(VALUE(LEFT($A301,4)),1,4)-WEEKDAY(DATE(VALUE(LEFT($A301,4)),1,4),2)+1+(VALUE(MID($A301,7,2))-1)*7)-p_semana_referencia)/7,$F301)&lt;($F301-3),"B"&amp;(($F301-3)-MOD((IFERROR(INDEX('TECNICOS'!$G$4:$G$19,MATCH($C301,'TECNICOS'!$B$4:$B$19,0)),0)-1)+((DATE(VALUE(LEFT($A301,4)),1,4)-WEEKDAY(DATE(VALUE(LEFT($A301,4)),1,4),2)+1+(VALUE(MID($A301,7,2))-1)*7)-p_semana_referencia)/7,$F301)),"T"&amp;($F301-MOD((IFERROR(INDEX('TECNICOS'!$G$4:$G$19,MATCH($C301,'TECNICOS'!$B$4:$B$19,0)),0)-1)+((DATE(VALUE(LEFT($A301,4)),1,4)-WEEKDAY(DATE(VALUE(LEFT($A301,4)),1,4),2)+1+(VALUE(MID($A301,7,2))-1)*7)-p_semana_referencia)/7,$F301)))))</f>
        <v/>
      </c>
      <c r="H301" s="24">
        <f>IF(COUNTIFS('PLAN_VACACIONES'!$A$4:$A$103,$C301,'PLAN_VACACIONES'!$B$4:$B$103,"&lt;="&amp;$L301,'PLAN_VACACIONES'!$C$4:$C$103,"&gt;="&amp;$L301)&gt;0,"sí","no")</f>
        <v/>
      </c>
      <c r="I301" s="4" t="n"/>
      <c r="J301" s="24">
        <f>IF($I301&lt;&gt;"",$I301,IF($G301="","",IF($H301="sí","VAC",IF(LEFT($G301,1)="B","B",$G301))))</f>
        <v/>
      </c>
      <c r="K301" s="24">
        <f>IFERROR(INDEX('TECNICOS'!$E$4:$E$19,MATCH($C301,'TECNICOS'!$B$4:$B$19,0)),"")</f>
        <v/>
      </c>
      <c r="L301" s="30">
        <f>IF($A301="","",DATE(VALUE(LEFT($A301,4)),1,4)-WEEKDAY(DATE(VALUE(LEFT($A301,4)),1,4),2)+1+(VALUE(MID($A301,7,2))-1)*7+MATCH($B301,lista_dias,0)-1)</f>
        <v/>
      </c>
      <c r="M301" s="24">
        <f>IF(OR($J301="",ISNUMBER(MATCH($J301,lista_no_disponible,0)),(IFERROR(INDEX('CALENDARIO'!$C$15:$C$214,MATCH(TEXT($L301,"yyyy-mm-dd")&amp;"|"&amp;$D301&amp;"|"&amp;"",'CALENDARIO'!$G$15:$G$214,0)),IFERROR(INDEX('CALENDARIO'!$C$15:$C$214,MATCH(TEXT($L301,"yyyy-mm-dd")&amp;"|"&amp;$D301&amp;"|",'CALENDARIO'!$G$15:$G$214,0)),IFERROR(INDEX('CALENDARIO'!$C$15:$C$214,MATCH(TEXT($L301,"yyyy-mm-dd")&amp;"||",'CALENDARIO'!$G$15:$G$214,0)),INDEX(patronHabil,WEEKDAY($L301,2))))))&lt;&gt;"sí"),0,p_horas_jornada)</f>
        <v/>
      </c>
      <c r="N301" s="24">
        <f>$A301&amp;"|"&amp;$B301&amp;"|"&amp;$C301</f>
        <v/>
      </c>
      <c r="O301" s="24">
        <f>IFERROR(INDEX('CAT_TURNOS'!$C$4:$C$22,MATCH($J301,'CAT_TURNOS'!$A$4:$A$22,0)),"")</f>
        <v/>
      </c>
      <c r="P301" s="24">
        <f>IFERROR(INDEX('CAT_TURNOS'!$D$4:$D$22,MATCH($J301,'CAT_TURNOS'!$A$4:$A$22,0)),"")</f>
        <v/>
      </c>
      <c r="Q301" s="24">
        <f>IF(AND(LEFT($G301,1)="T",$H301="no"),"sí","no")</f>
        <v/>
      </c>
    </row>
    <row r="302">
      <c r="A302" s="5" t="inlineStr">
        <is>
          <t>2026-S32</t>
        </is>
      </c>
      <c r="B302" s="5" t="inlineStr">
        <is>
          <t>viernes</t>
        </is>
      </c>
      <c r="C302" s="5" t="inlineStr">
        <is>
          <t>Ricardo Ortiz</t>
        </is>
      </c>
      <c r="D302" s="24">
        <f>IFERROR(INDEX('TECNICOS'!$D$4:$D$19,MATCH($C302,'TECNICOS'!$B$4:$B$19,0)),"")</f>
        <v/>
      </c>
      <c r="E302" s="24">
        <f>IFERROR(INDEX('TECNICOS'!$C$4:$C$19,MATCH($C302,'TECNICOS'!$B$4:$B$19,0)),"")</f>
        <v/>
      </c>
      <c r="F302" s="24">
        <f>COUNTIFS('TECNICOS'!$F$4:$F$19,"sí",'TECNICOS'!$C$4:$C$19,$E302,'TECNICOS'!$D$4:$D$19,$D302,'TECNICOS'!$H$4:$H$19,"sí")</f>
        <v/>
      </c>
      <c r="G302" s="24">
        <f>IF(OR($C302="",$A302="",$B302="domingo",IFERROR(INDEX('TECNICOS'!$H$4:$H$19,MATCH($C302,'TECNICOS'!$B$4:$B$19,0)),"no")&lt;&gt;"sí"),"",IF(IFERROR(INDEX('TECNICOS'!$F$4:$F$19,MATCH($C302,'TECNICOS'!$B$4:$B$19,0)),"no")&lt;&gt;"sí","B",IF(MOD((IFERROR(INDEX('TECNICOS'!$G$4:$G$19,MATCH($C302,'TECNICOS'!$B$4:$B$19,0)),0)-1)+((DATE(VALUE(LEFT($A302,4)),1,4)-WEEKDAY(DATE(VALUE(LEFT($A302,4)),1,4),2)+1+(VALUE(MID($A302,7,2))-1)*7)-p_semana_referencia)/7,$F302)&lt;($F302-3),"B"&amp;(($F302-3)-MOD((IFERROR(INDEX('TECNICOS'!$G$4:$G$19,MATCH($C302,'TECNICOS'!$B$4:$B$19,0)),0)-1)+((DATE(VALUE(LEFT($A302,4)),1,4)-WEEKDAY(DATE(VALUE(LEFT($A302,4)),1,4),2)+1+(VALUE(MID($A302,7,2))-1)*7)-p_semana_referencia)/7,$F302)),"T"&amp;($F302-MOD((IFERROR(INDEX('TECNICOS'!$G$4:$G$19,MATCH($C302,'TECNICOS'!$B$4:$B$19,0)),0)-1)+((DATE(VALUE(LEFT($A302,4)),1,4)-WEEKDAY(DATE(VALUE(LEFT($A302,4)),1,4),2)+1+(VALUE(MID($A302,7,2))-1)*7)-p_semana_referencia)/7,$F302)))))</f>
        <v/>
      </c>
      <c r="H302" s="24">
        <f>IF(COUNTIFS('PLAN_VACACIONES'!$A$4:$A$103,$C302,'PLAN_VACACIONES'!$B$4:$B$103,"&lt;="&amp;$L302,'PLAN_VACACIONES'!$C$4:$C$103,"&gt;="&amp;$L302)&gt;0,"sí","no")</f>
        <v/>
      </c>
      <c r="I302" s="4" t="n"/>
      <c r="J302" s="24">
        <f>IF($I302&lt;&gt;"",$I302,IF($G302="","",IF($H302="sí","VAC",IF(LEFT($G302,1)="B","B",$G302))))</f>
        <v/>
      </c>
      <c r="K302" s="24">
        <f>IFERROR(INDEX('TECNICOS'!$E$4:$E$19,MATCH($C302,'TECNICOS'!$B$4:$B$19,0)),"")</f>
        <v/>
      </c>
      <c r="L302" s="30">
        <f>IF($A302="","",DATE(VALUE(LEFT($A302,4)),1,4)-WEEKDAY(DATE(VALUE(LEFT($A302,4)),1,4),2)+1+(VALUE(MID($A302,7,2))-1)*7+MATCH($B302,lista_dias,0)-1)</f>
        <v/>
      </c>
      <c r="M302" s="24">
        <f>IF(OR($J302="",ISNUMBER(MATCH($J302,lista_no_disponible,0)),(IFERROR(INDEX('CALENDARIO'!$C$15:$C$214,MATCH(TEXT($L302,"yyyy-mm-dd")&amp;"|"&amp;$D302&amp;"|"&amp;"",'CALENDARIO'!$G$15:$G$214,0)),IFERROR(INDEX('CALENDARIO'!$C$15:$C$214,MATCH(TEXT($L302,"yyyy-mm-dd")&amp;"|"&amp;$D302&amp;"|",'CALENDARIO'!$G$15:$G$214,0)),IFERROR(INDEX('CALENDARIO'!$C$15:$C$214,MATCH(TEXT($L302,"yyyy-mm-dd")&amp;"||",'CALENDARIO'!$G$15:$G$214,0)),INDEX(patronHabil,WEEKDAY($L302,2))))))&lt;&gt;"sí"),0,p_horas_jornada)</f>
        <v/>
      </c>
      <c r="N302" s="24">
        <f>$A302&amp;"|"&amp;$B302&amp;"|"&amp;$C302</f>
        <v/>
      </c>
      <c r="O302" s="24">
        <f>IFERROR(INDEX('CAT_TURNOS'!$C$4:$C$22,MATCH($J302,'CAT_TURNOS'!$A$4:$A$22,0)),"")</f>
        <v/>
      </c>
      <c r="P302" s="24">
        <f>IFERROR(INDEX('CAT_TURNOS'!$D$4:$D$22,MATCH($J302,'CAT_TURNOS'!$A$4:$A$22,0)),"")</f>
        <v/>
      </c>
      <c r="Q302" s="24">
        <f>IF(AND(LEFT($G302,1)="T",$H302="no"),"sí","no")</f>
        <v/>
      </c>
    </row>
    <row r="303">
      <c r="A303" s="5" t="inlineStr">
        <is>
          <t>2026-S32</t>
        </is>
      </c>
      <c r="B303" s="5" t="inlineStr">
        <is>
          <t>sábado</t>
        </is>
      </c>
      <c r="C303" s="5" t="inlineStr">
        <is>
          <t>Ricardo Ortiz</t>
        </is>
      </c>
      <c r="D303" s="24">
        <f>IFERROR(INDEX('TECNICOS'!$D$4:$D$19,MATCH($C303,'TECNICOS'!$B$4:$B$19,0)),"")</f>
        <v/>
      </c>
      <c r="E303" s="24">
        <f>IFERROR(INDEX('TECNICOS'!$C$4:$C$19,MATCH($C303,'TECNICOS'!$B$4:$B$19,0)),"")</f>
        <v/>
      </c>
      <c r="F303" s="24">
        <f>COUNTIFS('TECNICOS'!$F$4:$F$19,"sí",'TECNICOS'!$C$4:$C$19,$E303,'TECNICOS'!$D$4:$D$19,$D303,'TECNICOS'!$H$4:$H$19,"sí")</f>
        <v/>
      </c>
      <c r="G303" s="24">
        <f>IF(OR($C303="",$A303="",$B303="domingo",IFERROR(INDEX('TECNICOS'!$H$4:$H$19,MATCH($C303,'TECNICOS'!$B$4:$B$19,0)),"no")&lt;&gt;"sí"),"",IF(IFERROR(INDEX('TECNICOS'!$F$4:$F$19,MATCH($C303,'TECNICOS'!$B$4:$B$19,0)),"no")&lt;&gt;"sí","B",IF(MOD((IFERROR(INDEX('TECNICOS'!$G$4:$G$19,MATCH($C303,'TECNICOS'!$B$4:$B$19,0)),0)-1)+((DATE(VALUE(LEFT($A303,4)),1,4)-WEEKDAY(DATE(VALUE(LEFT($A303,4)),1,4),2)+1+(VALUE(MID($A303,7,2))-1)*7)-p_semana_referencia)/7,$F303)&lt;($F303-3),"B"&amp;(($F303-3)-MOD((IFERROR(INDEX('TECNICOS'!$G$4:$G$19,MATCH($C303,'TECNICOS'!$B$4:$B$19,0)),0)-1)+((DATE(VALUE(LEFT($A303,4)),1,4)-WEEKDAY(DATE(VALUE(LEFT($A303,4)),1,4),2)+1+(VALUE(MID($A303,7,2))-1)*7)-p_semana_referencia)/7,$F303)),"T"&amp;($F303-MOD((IFERROR(INDEX('TECNICOS'!$G$4:$G$19,MATCH($C303,'TECNICOS'!$B$4:$B$19,0)),0)-1)+((DATE(VALUE(LEFT($A303,4)),1,4)-WEEKDAY(DATE(VALUE(LEFT($A303,4)),1,4),2)+1+(VALUE(MID($A303,7,2))-1)*7)-p_semana_referencia)/7,$F303)))))</f>
        <v/>
      </c>
      <c r="H303" s="24">
        <f>IF(COUNTIFS('PLAN_VACACIONES'!$A$4:$A$103,$C303,'PLAN_VACACIONES'!$B$4:$B$103,"&lt;="&amp;$L303,'PLAN_VACACIONES'!$C$4:$C$103,"&gt;="&amp;$L303)&gt;0,"sí","no")</f>
        <v/>
      </c>
      <c r="I303" s="4" t="n"/>
      <c r="J303" s="24">
        <f>IF($I303&lt;&gt;"",$I303,IF($G303="","",IF($H303="sí","VAC",IF(LEFT($G303,1)="B","B",$G303))))</f>
        <v/>
      </c>
      <c r="K303" s="24">
        <f>IFERROR(INDEX('TECNICOS'!$E$4:$E$19,MATCH($C303,'TECNICOS'!$B$4:$B$19,0)),"")</f>
        <v/>
      </c>
      <c r="L303" s="30">
        <f>IF($A303="","",DATE(VALUE(LEFT($A303,4)),1,4)-WEEKDAY(DATE(VALUE(LEFT($A303,4)),1,4),2)+1+(VALUE(MID($A303,7,2))-1)*7+MATCH($B303,lista_dias,0)-1)</f>
        <v/>
      </c>
      <c r="M303" s="24">
        <f>IF(OR($J303="",ISNUMBER(MATCH($J303,lista_no_disponible,0)),(IFERROR(INDEX('CALENDARIO'!$C$15:$C$214,MATCH(TEXT($L303,"yyyy-mm-dd")&amp;"|"&amp;$D303&amp;"|"&amp;"",'CALENDARIO'!$G$15:$G$214,0)),IFERROR(INDEX('CALENDARIO'!$C$15:$C$214,MATCH(TEXT($L303,"yyyy-mm-dd")&amp;"|"&amp;$D303&amp;"|",'CALENDARIO'!$G$15:$G$214,0)),IFERROR(INDEX('CALENDARIO'!$C$15:$C$214,MATCH(TEXT($L303,"yyyy-mm-dd")&amp;"||",'CALENDARIO'!$G$15:$G$214,0)),INDEX(patronHabil,WEEKDAY($L303,2))))))&lt;&gt;"sí"),0,p_horas_jornada)</f>
        <v/>
      </c>
      <c r="N303" s="24">
        <f>$A303&amp;"|"&amp;$B303&amp;"|"&amp;$C303</f>
        <v/>
      </c>
      <c r="O303" s="24">
        <f>IFERROR(INDEX('CAT_TURNOS'!$C$4:$C$22,MATCH($J303,'CAT_TURNOS'!$A$4:$A$22,0)),"")</f>
        <v/>
      </c>
      <c r="P303" s="24">
        <f>IFERROR(INDEX('CAT_TURNOS'!$D$4:$D$22,MATCH($J303,'CAT_TURNOS'!$A$4:$A$22,0)),"")</f>
        <v/>
      </c>
      <c r="Q303" s="24">
        <f>IF(AND(LEFT($G303,1)="T",$H303="no"),"sí","no")</f>
        <v/>
      </c>
    </row>
    <row r="304">
      <c r="A304" s="5" t="inlineStr">
        <is>
          <t>2026-S32</t>
        </is>
      </c>
      <c r="B304" s="5" t="inlineStr">
        <is>
          <t>domingo</t>
        </is>
      </c>
      <c r="C304" s="5" t="inlineStr">
        <is>
          <t>Ricardo Ortiz</t>
        </is>
      </c>
      <c r="D304" s="24">
        <f>IFERROR(INDEX('TECNICOS'!$D$4:$D$19,MATCH($C304,'TECNICOS'!$B$4:$B$19,0)),"")</f>
        <v/>
      </c>
      <c r="E304" s="24">
        <f>IFERROR(INDEX('TECNICOS'!$C$4:$C$19,MATCH($C304,'TECNICOS'!$B$4:$B$19,0)),"")</f>
        <v/>
      </c>
      <c r="F304" s="24">
        <f>COUNTIFS('TECNICOS'!$F$4:$F$19,"sí",'TECNICOS'!$C$4:$C$19,$E304,'TECNICOS'!$D$4:$D$19,$D304,'TECNICOS'!$H$4:$H$19,"sí")</f>
        <v/>
      </c>
      <c r="G304" s="24">
        <f>IF(OR($C304="",$A304="",$B304="domingo",IFERROR(INDEX('TECNICOS'!$H$4:$H$19,MATCH($C304,'TECNICOS'!$B$4:$B$19,0)),"no")&lt;&gt;"sí"),"",IF(IFERROR(INDEX('TECNICOS'!$F$4:$F$19,MATCH($C304,'TECNICOS'!$B$4:$B$19,0)),"no")&lt;&gt;"sí","B",IF(MOD((IFERROR(INDEX('TECNICOS'!$G$4:$G$19,MATCH($C304,'TECNICOS'!$B$4:$B$19,0)),0)-1)+((DATE(VALUE(LEFT($A304,4)),1,4)-WEEKDAY(DATE(VALUE(LEFT($A304,4)),1,4),2)+1+(VALUE(MID($A304,7,2))-1)*7)-p_semana_referencia)/7,$F304)&lt;($F304-3),"B"&amp;(($F304-3)-MOD((IFERROR(INDEX('TECNICOS'!$G$4:$G$19,MATCH($C304,'TECNICOS'!$B$4:$B$19,0)),0)-1)+((DATE(VALUE(LEFT($A304,4)),1,4)-WEEKDAY(DATE(VALUE(LEFT($A304,4)),1,4),2)+1+(VALUE(MID($A304,7,2))-1)*7)-p_semana_referencia)/7,$F304)),"T"&amp;($F304-MOD((IFERROR(INDEX('TECNICOS'!$G$4:$G$19,MATCH($C304,'TECNICOS'!$B$4:$B$19,0)),0)-1)+((DATE(VALUE(LEFT($A304,4)),1,4)-WEEKDAY(DATE(VALUE(LEFT($A304,4)),1,4),2)+1+(VALUE(MID($A304,7,2))-1)*7)-p_semana_referencia)/7,$F304)))))</f>
        <v/>
      </c>
      <c r="H304" s="24">
        <f>IF(COUNTIFS('PLAN_VACACIONES'!$A$4:$A$103,$C304,'PLAN_VACACIONES'!$B$4:$B$103,"&lt;="&amp;$L304,'PLAN_VACACIONES'!$C$4:$C$103,"&gt;="&amp;$L304)&gt;0,"sí","no")</f>
        <v/>
      </c>
      <c r="I304" s="4" t="n"/>
      <c r="J304" s="24">
        <f>IF($I304&lt;&gt;"",$I304,IF($G304="","",IF($H304="sí","VAC",IF(LEFT($G304,1)="B","B",$G304))))</f>
        <v/>
      </c>
      <c r="K304" s="24">
        <f>IFERROR(INDEX('TECNICOS'!$E$4:$E$19,MATCH($C304,'TECNICOS'!$B$4:$B$19,0)),"")</f>
        <v/>
      </c>
      <c r="L304" s="30">
        <f>IF($A304="","",DATE(VALUE(LEFT($A304,4)),1,4)-WEEKDAY(DATE(VALUE(LEFT($A304,4)),1,4),2)+1+(VALUE(MID($A304,7,2))-1)*7+MATCH($B304,lista_dias,0)-1)</f>
        <v/>
      </c>
      <c r="M304" s="24">
        <f>IF(OR($J304="",ISNUMBER(MATCH($J304,lista_no_disponible,0)),(IFERROR(INDEX('CALENDARIO'!$C$15:$C$214,MATCH(TEXT($L304,"yyyy-mm-dd")&amp;"|"&amp;$D304&amp;"|"&amp;"",'CALENDARIO'!$G$15:$G$214,0)),IFERROR(INDEX('CALENDARIO'!$C$15:$C$214,MATCH(TEXT($L304,"yyyy-mm-dd")&amp;"|"&amp;$D304&amp;"|",'CALENDARIO'!$G$15:$G$214,0)),IFERROR(INDEX('CALENDARIO'!$C$15:$C$214,MATCH(TEXT($L304,"yyyy-mm-dd")&amp;"||",'CALENDARIO'!$G$15:$G$214,0)),INDEX(patronHabil,WEEKDAY($L304,2))))))&lt;&gt;"sí"),0,p_horas_jornada)</f>
        <v/>
      </c>
      <c r="N304" s="24">
        <f>$A304&amp;"|"&amp;$B304&amp;"|"&amp;$C304</f>
        <v/>
      </c>
      <c r="O304" s="24">
        <f>IFERROR(INDEX('CAT_TURNOS'!$C$4:$C$22,MATCH($J304,'CAT_TURNOS'!$A$4:$A$22,0)),"")</f>
        <v/>
      </c>
      <c r="P304" s="24">
        <f>IFERROR(INDEX('CAT_TURNOS'!$D$4:$D$22,MATCH($J304,'CAT_TURNOS'!$A$4:$A$22,0)),"")</f>
        <v/>
      </c>
      <c r="Q304" s="24">
        <f>IF(AND(LEFT($G304,1)="T",$H304="no"),"sí","no")</f>
        <v/>
      </c>
    </row>
    <row r="305">
      <c r="A305" s="5" t="inlineStr">
        <is>
          <t>2026-S32</t>
        </is>
      </c>
      <c r="B305" s="5" t="inlineStr">
        <is>
          <t>lunes</t>
        </is>
      </c>
      <c r="C305" s="5" t="inlineStr">
        <is>
          <t>Eduardo Silva</t>
        </is>
      </c>
      <c r="D305" s="24">
        <f>IFERROR(INDEX('TECNICOS'!$D$4:$D$19,MATCH($C305,'TECNICOS'!$B$4:$B$19,0)),"")</f>
        <v/>
      </c>
      <c r="E305" s="24">
        <f>IFERROR(INDEX('TECNICOS'!$C$4:$C$19,MATCH($C305,'TECNICOS'!$B$4:$B$19,0)),"")</f>
        <v/>
      </c>
      <c r="F305" s="24">
        <f>COUNTIFS('TECNICOS'!$F$4:$F$19,"sí",'TECNICOS'!$C$4:$C$19,$E305,'TECNICOS'!$D$4:$D$19,$D305,'TECNICOS'!$H$4:$H$19,"sí")</f>
        <v/>
      </c>
      <c r="G305" s="24">
        <f>IF(OR($C305="",$A305="",$B305="domingo",IFERROR(INDEX('TECNICOS'!$H$4:$H$19,MATCH($C305,'TECNICOS'!$B$4:$B$19,0)),"no")&lt;&gt;"sí"),"",IF(IFERROR(INDEX('TECNICOS'!$F$4:$F$19,MATCH($C305,'TECNICOS'!$B$4:$B$19,0)),"no")&lt;&gt;"sí","B",IF(MOD((IFERROR(INDEX('TECNICOS'!$G$4:$G$19,MATCH($C305,'TECNICOS'!$B$4:$B$19,0)),0)-1)+((DATE(VALUE(LEFT($A305,4)),1,4)-WEEKDAY(DATE(VALUE(LEFT($A305,4)),1,4),2)+1+(VALUE(MID($A305,7,2))-1)*7)-p_semana_referencia)/7,$F305)&lt;($F305-3),"B"&amp;(($F305-3)-MOD((IFERROR(INDEX('TECNICOS'!$G$4:$G$19,MATCH($C305,'TECNICOS'!$B$4:$B$19,0)),0)-1)+((DATE(VALUE(LEFT($A305,4)),1,4)-WEEKDAY(DATE(VALUE(LEFT($A305,4)),1,4),2)+1+(VALUE(MID($A305,7,2))-1)*7)-p_semana_referencia)/7,$F305)),"T"&amp;($F305-MOD((IFERROR(INDEX('TECNICOS'!$G$4:$G$19,MATCH($C305,'TECNICOS'!$B$4:$B$19,0)),0)-1)+((DATE(VALUE(LEFT($A305,4)),1,4)-WEEKDAY(DATE(VALUE(LEFT($A305,4)),1,4),2)+1+(VALUE(MID($A305,7,2))-1)*7)-p_semana_referencia)/7,$F305)))))</f>
        <v/>
      </c>
      <c r="H305" s="24">
        <f>IF(COUNTIFS('PLAN_VACACIONES'!$A$4:$A$103,$C305,'PLAN_VACACIONES'!$B$4:$B$103,"&lt;="&amp;$L305,'PLAN_VACACIONES'!$C$4:$C$103,"&gt;="&amp;$L305)&gt;0,"sí","no")</f>
        <v/>
      </c>
      <c r="I305" s="4" t="n"/>
      <c r="J305" s="24">
        <f>IF($I305&lt;&gt;"",$I305,IF($G305="","",IF($H305="sí","VAC",IF(LEFT($G305,1)="B","B",$G305))))</f>
        <v/>
      </c>
      <c r="K305" s="24">
        <f>IFERROR(INDEX('TECNICOS'!$E$4:$E$19,MATCH($C305,'TECNICOS'!$B$4:$B$19,0)),"")</f>
        <v/>
      </c>
      <c r="L305" s="30">
        <f>IF($A305="","",DATE(VALUE(LEFT($A305,4)),1,4)-WEEKDAY(DATE(VALUE(LEFT($A305,4)),1,4),2)+1+(VALUE(MID($A305,7,2))-1)*7+MATCH($B305,lista_dias,0)-1)</f>
        <v/>
      </c>
      <c r="M305" s="24">
        <f>IF(OR($J305="",ISNUMBER(MATCH($J305,lista_no_disponible,0)),(IFERROR(INDEX('CALENDARIO'!$C$15:$C$214,MATCH(TEXT($L305,"yyyy-mm-dd")&amp;"|"&amp;$D305&amp;"|"&amp;"",'CALENDARIO'!$G$15:$G$214,0)),IFERROR(INDEX('CALENDARIO'!$C$15:$C$214,MATCH(TEXT($L305,"yyyy-mm-dd")&amp;"|"&amp;$D305&amp;"|",'CALENDARIO'!$G$15:$G$214,0)),IFERROR(INDEX('CALENDARIO'!$C$15:$C$214,MATCH(TEXT($L305,"yyyy-mm-dd")&amp;"||",'CALENDARIO'!$G$15:$G$214,0)),INDEX(patronHabil,WEEKDAY($L305,2))))))&lt;&gt;"sí"),0,p_horas_jornada)</f>
        <v/>
      </c>
      <c r="N305" s="24">
        <f>$A305&amp;"|"&amp;$B305&amp;"|"&amp;$C305</f>
        <v/>
      </c>
      <c r="O305" s="24">
        <f>IFERROR(INDEX('CAT_TURNOS'!$C$4:$C$22,MATCH($J305,'CAT_TURNOS'!$A$4:$A$22,0)),"")</f>
        <v/>
      </c>
      <c r="P305" s="24">
        <f>IFERROR(INDEX('CAT_TURNOS'!$D$4:$D$22,MATCH($J305,'CAT_TURNOS'!$A$4:$A$22,0)),"")</f>
        <v/>
      </c>
      <c r="Q305" s="24">
        <f>IF(AND(LEFT($G305,1)="T",$H305="no"),"sí","no")</f>
        <v/>
      </c>
    </row>
    <row r="306">
      <c r="A306" s="5" t="inlineStr">
        <is>
          <t>2026-S32</t>
        </is>
      </c>
      <c r="B306" s="5" t="inlineStr">
        <is>
          <t>martes</t>
        </is>
      </c>
      <c r="C306" s="5" t="inlineStr">
        <is>
          <t>Eduardo Silva</t>
        </is>
      </c>
      <c r="D306" s="24">
        <f>IFERROR(INDEX('TECNICOS'!$D$4:$D$19,MATCH($C306,'TECNICOS'!$B$4:$B$19,0)),"")</f>
        <v/>
      </c>
      <c r="E306" s="24">
        <f>IFERROR(INDEX('TECNICOS'!$C$4:$C$19,MATCH($C306,'TECNICOS'!$B$4:$B$19,0)),"")</f>
        <v/>
      </c>
      <c r="F306" s="24">
        <f>COUNTIFS('TECNICOS'!$F$4:$F$19,"sí",'TECNICOS'!$C$4:$C$19,$E306,'TECNICOS'!$D$4:$D$19,$D306,'TECNICOS'!$H$4:$H$19,"sí")</f>
        <v/>
      </c>
      <c r="G306" s="24">
        <f>IF(OR($C306="",$A306="",$B306="domingo",IFERROR(INDEX('TECNICOS'!$H$4:$H$19,MATCH($C306,'TECNICOS'!$B$4:$B$19,0)),"no")&lt;&gt;"sí"),"",IF(IFERROR(INDEX('TECNICOS'!$F$4:$F$19,MATCH($C306,'TECNICOS'!$B$4:$B$19,0)),"no")&lt;&gt;"sí","B",IF(MOD((IFERROR(INDEX('TECNICOS'!$G$4:$G$19,MATCH($C306,'TECNICOS'!$B$4:$B$19,0)),0)-1)+((DATE(VALUE(LEFT($A306,4)),1,4)-WEEKDAY(DATE(VALUE(LEFT($A306,4)),1,4),2)+1+(VALUE(MID($A306,7,2))-1)*7)-p_semana_referencia)/7,$F306)&lt;($F306-3),"B"&amp;(($F306-3)-MOD((IFERROR(INDEX('TECNICOS'!$G$4:$G$19,MATCH($C306,'TECNICOS'!$B$4:$B$19,0)),0)-1)+((DATE(VALUE(LEFT($A306,4)),1,4)-WEEKDAY(DATE(VALUE(LEFT($A306,4)),1,4),2)+1+(VALUE(MID($A306,7,2))-1)*7)-p_semana_referencia)/7,$F306)),"T"&amp;($F306-MOD((IFERROR(INDEX('TECNICOS'!$G$4:$G$19,MATCH($C306,'TECNICOS'!$B$4:$B$19,0)),0)-1)+((DATE(VALUE(LEFT($A306,4)),1,4)-WEEKDAY(DATE(VALUE(LEFT($A306,4)),1,4),2)+1+(VALUE(MID($A306,7,2))-1)*7)-p_semana_referencia)/7,$F306)))))</f>
        <v/>
      </c>
      <c r="H306" s="24">
        <f>IF(COUNTIFS('PLAN_VACACIONES'!$A$4:$A$103,$C306,'PLAN_VACACIONES'!$B$4:$B$103,"&lt;="&amp;$L306,'PLAN_VACACIONES'!$C$4:$C$103,"&gt;="&amp;$L306)&gt;0,"sí","no")</f>
        <v/>
      </c>
      <c r="I306" s="4" t="n"/>
      <c r="J306" s="24">
        <f>IF($I306&lt;&gt;"",$I306,IF($G306="","",IF($H306="sí","VAC",IF(LEFT($G306,1)="B","B",$G306))))</f>
        <v/>
      </c>
      <c r="K306" s="24">
        <f>IFERROR(INDEX('TECNICOS'!$E$4:$E$19,MATCH($C306,'TECNICOS'!$B$4:$B$19,0)),"")</f>
        <v/>
      </c>
      <c r="L306" s="30">
        <f>IF($A306="","",DATE(VALUE(LEFT($A306,4)),1,4)-WEEKDAY(DATE(VALUE(LEFT($A306,4)),1,4),2)+1+(VALUE(MID($A306,7,2))-1)*7+MATCH($B306,lista_dias,0)-1)</f>
        <v/>
      </c>
      <c r="M306" s="24">
        <f>IF(OR($J306="",ISNUMBER(MATCH($J306,lista_no_disponible,0)),(IFERROR(INDEX('CALENDARIO'!$C$15:$C$214,MATCH(TEXT($L306,"yyyy-mm-dd")&amp;"|"&amp;$D306&amp;"|"&amp;"",'CALENDARIO'!$G$15:$G$214,0)),IFERROR(INDEX('CALENDARIO'!$C$15:$C$214,MATCH(TEXT($L306,"yyyy-mm-dd")&amp;"|"&amp;$D306&amp;"|",'CALENDARIO'!$G$15:$G$214,0)),IFERROR(INDEX('CALENDARIO'!$C$15:$C$214,MATCH(TEXT($L306,"yyyy-mm-dd")&amp;"||",'CALENDARIO'!$G$15:$G$214,0)),INDEX(patronHabil,WEEKDAY($L306,2))))))&lt;&gt;"sí"),0,p_horas_jornada)</f>
        <v/>
      </c>
      <c r="N306" s="24">
        <f>$A306&amp;"|"&amp;$B306&amp;"|"&amp;$C306</f>
        <v/>
      </c>
      <c r="O306" s="24">
        <f>IFERROR(INDEX('CAT_TURNOS'!$C$4:$C$22,MATCH($J306,'CAT_TURNOS'!$A$4:$A$22,0)),"")</f>
        <v/>
      </c>
      <c r="P306" s="24">
        <f>IFERROR(INDEX('CAT_TURNOS'!$D$4:$D$22,MATCH($J306,'CAT_TURNOS'!$A$4:$A$22,0)),"")</f>
        <v/>
      </c>
      <c r="Q306" s="24">
        <f>IF(AND(LEFT($G306,1)="T",$H306="no"),"sí","no")</f>
        <v/>
      </c>
    </row>
    <row r="307">
      <c r="A307" s="5" t="inlineStr">
        <is>
          <t>2026-S32</t>
        </is>
      </c>
      <c r="B307" s="5" t="inlineStr">
        <is>
          <t>miércoles</t>
        </is>
      </c>
      <c r="C307" s="5" t="inlineStr">
        <is>
          <t>Eduardo Silva</t>
        </is>
      </c>
      <c r="D307" s="24">
        <f>IFERROR(INDEX('TECNICOS'!$D$4:$D$19,MATCH($C307,'TECNICOS'!$B$4:$B$19,0)),"")</f>
        <v/>
      </c>
      <c r="E307" s="24">
        <f>IFERROR(INDEX('TECNICOS'!$C$4:$C$19,MATCH($C307,'TECNICOS'!$B$4:$B$19,0)),"")</f>
        <v/>
      </c>
      <c r="F307" s="24">
        <f>COUNTIFS('TECNICOS'!$F$4:$F$19,"sí",'TECNICOS'!$C$4:$C$19,$E307,'TECNICOS'!$D$4:$D$19,$D307,'TECNICOS'!$H$4:$H$19,"sí")</f>
        <v/>
      </c>
      <c r="G307" s="24">
        <f>IF(OR($C307="",$A307="",$B307="domingo",IFERROR(INDEX('TECNICOS'!$H$4:$H$19,MATCH($C307,'TECNICOS'!$B$4:$B$19,0)),"no")&lt;&gt;"sí"),"",IF(IFERROR(INDEX('TECNICOS'!$F$4:$F$19,MATCH($C307,'TECNICOS'!$B$4:$B$19,0)),"no")&lt;&gt;"sí","B",IF(MOD((IFERROR(INDEX('TECNICOS'!$G$4:$G$19,MATCH($C307,'TECNICOS'!$B$4:$B$19,0)),0)-1)+((DATE(VALUE(LEFT($A307,4)),1,4)-WEEKDAY(DATE(VALUE(LEFT($A307,4)),1,4),2)+1+(VALUE(MID($A307,7,2))-1)*7)-p_semana_referencia)/7,$F307)&lt;($F307-3),"B"&amp;(($F307-3)-MOD((IFERROR(INDEX('TECNICOS'!$G$4:$G$19,MATCH($C307,'TECNICOS'!$B$4:$B$19,0)),0)-1)+((DATE(VALUE(LEFT($A307,4)),1,4)-WEEKDAY(DATE(VALUE(LEFT($A307,4)),1,4),2)+1+(VALUE(MID($A307,7,2))-1)*7)-p_semana_referencia)/7,$F307)),"T"&amp;($F307-MOD((IFERROR(INDEX('TECNICOS'!$G$4:$G$19,MATCH($C307,'TECNICOS'!$B$4:$B$19,0)),0)-1)+((DATE(VALUE(LEFT($A307,4)),1,4)-WEEKDAY(DATE(VALUE(LEFT($A307,4)),1,4),2)+1+(VALUE(MID($A307,7,2))-1)*7)-p_semana_referencia)/7,$F307)))))</f>
        <v/>
      </c>
      <c r="H307" s="24">
        <f>IF(COUNTIFS('PLAN_VACACIONES'!$A$4:$A$103,$C307,'PLAN_VACACIONES'!$B$4:$B$103,"&lt;="&amp;$L307,'PLAN_VACACIONES'!$C$4:$C$103,"&gt;="&amp;$L307)&gt;0,"sí","no")</f>
        <v/>
      </c>
      <c r="I307" s="4" t="n"/>
      <c r="J307" s="24">
        <f>IF($I307&lt;&gt;"",$I307,IF($G307="","",IF($H307="sí","VAC",IF(LEFT($G307,1)="B","B",$G307))))</f>
        <v/>
      </c>
      <c r="K307" s="24">
        <f>IFERROR(INDEX('TECNICOS'!$E$4:$E$19,MATCH($C307,'TECNICOS'!$B$4:$B$19,0)),"")</f>
        <v/>
      </c>
      <c r="L307" s="30">
        <f>IF($A307="","",DATE(VALUE(LEFT($A307,4)),1,4)-WEEKDAY(DATE(VALUE(LEFT($A307,4)),1,4),2)+1+(VALUE(MID($A307,7,2))-1)*7+MATCH($B307,lista_dias,0)-1)</f>
        <v/>
      </c>
      <c r="M307" s="24">
        <f>IF(OR($J307="",ISNUMBER(MATCH($J307,lista_no_disponible,0)),(IFERROR(INDEX('CALENDARIO'!$C$15:$C$214,MATCH(TEXT($L307,"yyyy-mm-dd")&amp;"|"&amp;$D307&amp;"|"&amp;"",'CALENDARIO'!$G$15:$G$214,0)),IFERROR(INDEX('CALENDARIO'!$C$15:$C$214,MATCH(TEXT($L307,"yyyy-mm-dd")&amp;"|"&amp;$D307&amp;"|",'CALENDARIO'!$G$15:$G$214,0)),IFERROR(INDEX('CALENDARIO'!$C$15:$C$214,MATCH(TEXT($L307,"yyyy-mm-dd")&amp;"||",'CALENDARIO'!$G$15:$G$214,0)),INDEX(patronHabil,WEEKDAY($L307,2))))))&lt;&gt;"sí"),0,p_horas_jornada)</f>
        <v/>
      </c>
      <c r="N307" s="24">
        <f>$A307&amp;"|"&amp;$B307&amp;"|"&amp;$C307</f>
        <v/>
      </c>
      <c r="O307" s="24">
        <f>IFERROR(INDEX('CAT_TURNOS'!$C$4:$C$22,MATCH($J307,'CAT_TURNOS'!$A$4:$A$22,0)),"")</f>
        <v/>
      </c>
      <c r="P307" s="24">
        <f>IFERROR(INDEX('CAT_TURNOS'!$D$4:$D$22,MATCH($J307,'CAT_TURNOS'!$A$4:$A$22,0)),"")</f>
        <v/>
      </c>
      <c r="Q307" s="24">
        <f>IF(AND(LEFT($G307,1)="T",$H307="no"),"sí","no")</f>
        <v/>
      </c>
    </row>
    <row r="308">
      <c r="A308" s="5" t="inlineStr">
        <is>
          <t>2026-S32</t>
        </is>
      </c>
      <c r="B308" s="5" t="inlineStr">
        <is>
          <t>jueves</t>
        </is>
      </c>
      <c r="C308" s="5" t="inlineStr">
        <is>
          <t>Eduardo Silva</t>
        </is>
      </c>
      <c r="D308" s="24">
        <f>IFERROR(INDEX('TECNICOS'!$D$4:$D$19,MATCH($C308,'TECNICOS'!$B$4:$B$19,0)),"")</f>
        <v/>
      </c>
      <c r="E308" s="24">
        <f>IFERROR(INDEX('TECNICOS'!$C$4:$C$19,MATCH($C308,'TECNICOS'!$B$4:$B$19,0)),"")</f>
        <v/>
      </c>
      <c r="F308" s="24">
        <f>COUNTIFS('TECNICOS'!$F$4:$F$19,"sí",'TECNICOS'!$C$4:$C$19,$E308,'TECNICOS'!$D$4:$D$19,$D308,'TECNICOS'!$H$4:$H$19,"sí")</f>
        <v/>
      </c>
      <c r="G308" s="24">
        <f>IF(OR($C308="",$A308="",$B308="domingo",IFERROR(INDEX('TECNICOS'!$H$4:$H$19,MATCH($C308,'TECNICOS'!$B$4:$B$19,0)),"no")&lt;&gt;"sí"),"",IF(IFERROR(INDEX('TECNICOS'!$F$4:$F$19,MATCH($C308,'TECNICOS'!$B$4:$B$19,0)),"no")&lt;&gt;"sí","B",IF(MOD((IFERROR(INDEX('TECNICOS'!$G$4:$G$19,MATCH($C308,'TECNICOS'!$B$4:$B$19,0)),0)-1)+((DATE(VALUE(LEFT($A308,4)),1,4)-WEEKDAY(DATE(VALUE(LEFT($A308,4)),1,4),2)+1+(VALUE(MID($A308,7,2))-1)*7)-p_semana_referencia)/7,$F308)&lt;($F308-3),"B"&amp;(($F308-3)-MOD((IFERROR(INDEX('TECNICOS'!$G$4:$G$19,MATCH($C308,'TECNICOS'!$B$4:$B$19,0)),0)-1)+((DATE(VALUE(LEFT($A308,4)),1,4)-WEEKDAY(DATE(VALUE(LEFT($A308,4)),1,4),2)+1+(VALUE(MID($A308,7,2))-1)*7)-p_semana_referencia)/7,$F308)),"T"&amp;($F308-MOD((IFERROR(INDEX('TECNICOS'!$G$4:$G$19,MATCH($C308,'TECNICOS'!$B$4:$B$19,0)),0)-1)+((DATE(VALUE(LEFT($A308,4)),1,4)-WEEKDAY(DATE(VALUE(LEFT($A308,4)),1,4),2)+1+(VALUE(MID($A308,7,2))-1)*7)-p_semana_referencia)/7,$F308)))))</f>
        <v/>
      </c>
      <c r="H308" s="24">
        <f>IF(COUNTIFS('PLAN_VACACIONES'!$A$4:$A$103,$C308,'PLAN_VACACIONES'!$B$4:$B$103,"&lt;="&amp;$L308,'PLAN_VACACIONES'!$C$4:$C$103,"&gt;="&amp;$L308)&gt;0,"sí","no")</f>
        <v/>
      </c>
      <c r="I308" s="4" t="n"/>
      <c r="J308" s="24">
        <f>IF($I308&lt;&gt;"",$I308,IF($G308="","",IF($H308="sí","VAC",IF(LEFT($G308,1)="B","B",$G308))))</f>
        <v/>
      </c>
      <c r="K308" s="24">
        <f>IFERROR(INDEX('TECNICOS'!$E$4:$E$19,MATCH($C308,'TECNICOS'!$B$4:$B$19,0)),"")</f>
        <v/>
      </c>
      <c r="L308" s="30">
        <f>IF($A308="","",DATE(VALUE(LEFT($A308,4)),1,4)-WEEKDAY(DATE(VALUE(LEFT($A308,4)),1,4),2)+1+(VALUE(MID($A308,7,2))-1)*7+MATCH($B308,lista_dias,0)-1)</f>
        <v/>
      </c>
      <c r="M308" s="24">
        <f>IF(OR($J308="",ISNUMBER(MATCH($J308,lista_no_disponible,0)),(IFERROR(INDEX('CALENDARIO'!$C$15:$C$214,MATCH(TEXT($L308,"yyyy-mm-dd")&amp;"|"&amp;$D308&amp;"|"&amp;"",'CALENDARIO'!$G$15:$G$214,0)),IFERROR(INDEX('CALENDARIO'!$C$15:$C$214,MATCH(TEXT($L308,"yyyy-mm-dd")&amp;"|"&amp;$D308&amp;"|",'CALENDARIO'!$G$15:$G$214,0)),IFERROR(INDEX('CALENDARIO'!$C$15:$C$214,MATCH(TEXT($L308,"yyyy-mm-dd")&amp;"||",'CALENDARIO'!$G$15:$G$214,0)),INDEX(patronHabil,WEEKDAY($L308,2))))))&lt;&gt;"sí"),0,p_horas_jornada)</f>
        <v/>
      </c>
      <c r="N308" s="24">
        <f>$A308&amp;"|"&amp;$B308&amp;"|"&amp;$C308</f>
        <v/>
      </c>
      <c r="O308" s="24">
        <f>IFERROR(INDEX('CAT_TURNOS'!$C$4:$C$22,MATCH($J308,'CAT_TURNOS'!$A$4:$A$22,0)),"")</f>
        <v/>
      </c>
      <c r="P308" s="24">
        <f>IFERROR(INDEX('CAT_TURNOS'!$D$4:$D$22,MATCH($J308,'CAT_TURNOS'!$A$4:$A$22,0)),"")</f>
        <v/>
      </c>
      <c r="Q308" s="24">
        <f>IF(AND(LEFT($G308,1)="T",$H308="no"),"sí","no")</f>
        <v/>
      </c>
    </row>
    <row r="309">
      <c r="A309" s="5" t="inlineStr">
        <is>
          <t>2026-S32</t>
        </is>
      </c>
      <c r="B309" s="5" t="inlineStr">
        <is>
          <t>viernes</t>
        </is>
      </c>
      <c r="C309" s="5" t="inlineStr">
        <is>
          <t>Eduardo Silva</t>
        </is>
      </c>
      <c r="D309" s="24">
        <f>IFERROR(INDEX('TECNICOS'!$D$4:$D$19,MATCH($C309,'TECNICOS'!$B$4:$B$19,0)),"")</f>
        <v/>
      </c>
      <c r="E309" s="24">
        <f>IFERROR(INDEX('TECNICOS'!$C$4:$C$19,MATCH($C309,'TECNICOS'!$B$4:$B$19,0)),"")</f>
        <v/>
      </c>
      <c r="F309" s="24">
        <f>COUNTIFS('TECNICOS'!$F$4:$F$19,"sí",'TECNICOS'!$C$4:$C$19,$E309,'TECNICOS'!$D$4:$D$19,$D309,'TECNICOS'!$H$4:$H$19,"sí")</f>
        <v/>
      </c>
      <c r="G309" s="24">
        <f>IF(OR($C309="",$A309="",$B309="domingo",IFERROR(INDEX('TECNICOS'!$H$4:$H$19,MATCH($C309,'TECNICOS'!$B$4:$B$19,0)),"no")&lt;&gt;"sí"),"",IF(IFERROR(INDEX('TECNICOS'!$F$4:$F$19,MATCH($C309,'TECNICOS'!$B$4:$B$19,0)),"no")&lt;&gt;"sí","B",IF(MOD((IFERROR(INDEX('TECNICOS'!$G$4:$G$19,MATCH($C309,'TECNICOS'!$B$4:$B$19,0)),0)-1)+((DATE(VALUE(LEFT($A309,4)),1,4)-WEEKDAY(DATE(VALUE(LEFT($A309,4)),1,4),2)+1+(VALUE(MID($A309,7,2))-1)*7)-p_semana_referencia)/7,$F309)&lt;($F309-3),"B"&amp;(($F309-3)-MOD((IFERROR(INDEX('TECNICOS'!$G$4:$G$19,MATCH($C309,'TECNICOS'!$B$4:$B$19,0)),0)-1)+((DATE(VALUE(LEFT($A309,4)),1,4)-WEEKDAY(DATE(VALUE(LEFT($A309,4)),1,4),2)+1+(VALUE(MID($A309,7,2))-1)*7)-p_semana_referencia)/7,$F309)),"T"&amp;($F309-MOD((IFERROR(INDEX('TECNICOS'!$G$4:$G$19,MATCH($C309,'TECNICOS'!$B$4:$B$19,0)),0)-1)+((DATE(VALUE(LEFT($A309,4)),1,4)-WEEKDAY(DATE(VALUE(LEFT($A309,4)),1,4),2)+1+(VALUE(MID($A309,7,2))-1)*7)-p_semana_referencia)/7,$F309)))))</f>
        <v/>
      </c>
      <c r="H309" s="24">
        <f>IF(COUNTIFS('PLAN_VACACIONES'!$A$4:$A$103,$C309,'PLAN_VACACIONES'!$B$4:$B$103,"&lt;="&amp;$L309,'PLAN_VACACIONES'!$C$4:$C$103,"&gt;="&amp;$L309)&gt;0,"sí","no")</f>
        <v/>
      </c>
      <c r="I309" s="4" t="n"/>
      <c r="J309" s="24">
        <f>IF($I309&lt;&gt;"",$I309,IF($G309="","",IF($H309="sí","VAC",IF(LEFT($G309,1)="B","B",$G309))))</f>
        <v/>
      </c>
      <c r="K309" s="24">
        <f>IFERROR(INDEX('TECNICOS'!$E$4:$E$19,MATCH($C309,'TECNICOS'!$B$4:$B$19,0)),"")</f>
        <v/>
      </c>
      <c r="L309" s="30">
        <f>IF($A309="","",DATE(VALUE(LEFT($A309,4)),1,4)-WEEKDAY(DATE(VALUE(LEFT($A309,4)),1,4),2)+1+(VALUE(MID($A309,7,2))-1)*7+MATCH($B309,lista_dias,0)-1)</f>
        <v/>
      </c>
      <c r="M309" s="24">
        <f>IF(OR($J309="",ISNUMBER(MATCH($J309,lista_no_disponible,0)),(IFERROR(INDEX('CALENDARIO'!$C$15:$C$214,MATCH(TEXT($L309,"yyyy-mm-dd")&amp;"|"&amp;$D309&amp;"|"&amp;"",'CALENDARIO'!$G$15:$G$214,0)),IFERROR(INDEX('CALENDARIO'!$C$15:$C$214,MATCH(TEXT($L309,"yyyy-mm-dd")&amp;"|"&amp;$D309&amp;"|",'CALENDARIO'!$G$15:$G$214,0)),IFERROR(INDEX('CALENDARIO'!$C$15:$C$214,MATCH(TEXT($L309,"yyyy-mm-dd")&amp;"||",'CALENDARIO'!$G$15:$G$214,0)),INDEX(patronHabil,WEEKDAY($L309,2))))))&lt;&gt;"sí"),0,p_horas_jornada)</f>
        <v/>
      </c>
      <c r="N309" s="24">
        <f>$A309&amp;"|"&amp;$B309&amp;"|"&amp;$C309</f>
        <v/>
      </c>
      <c r="O309" s="24">
        <f>IFERROR(INDEX('CAT_TURNOS'!$C$4:$C$22,MATCH($J309,'CAT_TURNOS'!$A$4:$A$22,0)),"")</f>
        <v/>
      </c>
      <c r="P309" s="24">
        <f>IFERROR(INDEX('CAT_TURNOS'!$D$4:$D$22,MATCH($J309,'CAT_TURNOS'!$A$4:$A$22,0)),"")</f>
        <v/>
      </c>
      <c r="Q309" s="24">
        <f>IF(AND(LEFT($G309,1)="T",$H309="no"),"sí","no")</f>
        <v/>
      </c>
    </row>
    <row r="310">
      <c r="A310" s="5" t="inlineStr">
        <is>
          <t>2026-S32</t>
        </is>
      </c>
      <c r="B310" s="5" t="inlineStr">
        <is>
          <t>sábado</t>
        </is>
      </c>
      <c r="C310" s="5" t="inlineStr">
        <is>
          <t>Eduardo Silva</t>
        </is>
      </c>
      <c r="D310" s="24">
        <f>IFERROR(INDEX('TECNICOS'!$D$4:$D$19,MATCH($C310,'TECNICOS'!$B$4:$B$19,0)),"")</f>
        <v/>
      </c>
      <c r="E310" s="24">
        <f>IFERROR(INDEX('TECNICOS'!$C$4:$C$19,MATCH($C310,'TECNICOS'!$B$4:$B$19,0)),"")</f>
        <v/>
      </c>
      <c r="F310" s="24">
        <f>COUNTIFS('TECNICOS'!$F$4:$F$19,"sí",'TECNICOS'!$C$4:$C$19,$E310,'TECNICOS'!$D$4:$D$19,$D310,'TECNICOS'!$H$4:$H$19,"sí")</f>
        <v/>
      </c>
      <c r="G310" s="24">
        <f>IF(OR($C310="",$A310="",$B310="domingo",IFERROR(INDEX('TECNICOS'!$H$4:$H$19,MATCH($C310,'TECNICOS'!$B$4:$B$19,0)),"no")&lt;&gt;"sí"),"",IF(IFERROR(INDEX('TECNICOS'!$F$4:$F$19,MATCH($C310,'TECNICOS'!$B$4:$B$19,0)),"no")&lt;&gt;"sí","B",IF(MOD((IFERROR(INDEX('TECNICOS'!$G$4:$G$19,MATCH($C310,'TECNICOS'!$B$4:$B$19,0)),0)-1)+((DATE(VALUE(LEFT($A310,4)),1,4)-WEEKDAY(DATE(VALUE(LEFT($A310,4)),1,4),2)+1+(VALUE(MID($A310,7,2))-1)*7)-p_semana_referencia)/7,$F310)&lt;($F310-3),"B"&amp;(($F310-3)-MOD((IFERROR(INDEX('TECNICOS'!$G$4:$G$19,MATCH($C310,'TECNICOS'!$B$4:$B$19,0)),0)-1)+((DATE(VALUE(LEFT($A310,4)),1,4)-WEEKDAY(DATE(VALUE(LEFT($A310,4)),1,4),2)+1+(VALUE(MID($A310,7,2))-1)*7)-p_semana_referencia)/7,$F310)),"T"&amp;($F310-MOD((IFERROR(INDEX('TECNICOS'!$G$4:$G$19,MATCH($C310,'TECNICOS'!$B$4:$B$19,0)),0)-1)+((DATE(VALUE(LEFT($A310,4)),1,4)-WEEKDAY(DATE(VALUE(LEFT($A310,4)),1,4),2)+1+(VALUE(MID($A310,7,2))-1)*7)-p_semana_referencia)/7,$F310)))))</f>
        <v/>
      </c>
      <c r="H310" s="24">
        <f>IF(COUNTIFS('PLAN_VACACIONES'!$A$4:$A$103,$C310,'PLAN_VACACIONES'!$B$4:$B$103,"&lt;="&amp;$L310,'PLAN_VACACIONES'!$C$4:$C$103,"&gt;="&amp;$L310)&gt;0,"sí","no")</f>
        <v/>
      </c>
      <c r="I310" s="4" t="n"/>
      <c r="J310" s="24">
        <f>IF($I310&lt;&gt;"",$I310,IF($G310="","",IF($H310="sí","VAC",IF(LEFT($G310,1)="B","B",$G310))))</f>
        <v/>
      </c>
      <c r="K310" s="24">
        <f>IFERROR(INDEX('TECNICOS'!$E$4:$E$19,MATCH($C310,'TECNICOS'!$B$4:$B$19,0)),"")</f>
        <v/>
      </c>
      <c r="L310" s="30">
        <f>IF($A310="","",DATE(VALUE(LEFT($A310,4)),1,4)-WEEKDAY(DATE(VALUE(LEFT($A310,4)),1,4),2)+1+(VALUE(MID($A310,7,2))-1)*7+MATCH($B310,lista_dias,0)-1)</f>
        <v/>
      </c>
      <c r="M310" s="24">
        <f>IF(OR($J310="",ISNUMBER(MATCH($J310,lista_no_disponible,0)),(IFERROR(INDEX('CALENDARIO'!$C$15:$C$214,MATCH(TEXT($L310,"yyyy-mm-dd")&amp;"|"&amp;$D310&amp;"|"&amp;"",'CALENDARIO'!$G$15:$G$214,0)),IFERROR(INDEX('CALENDARIO'!$C$15:$C$214,MATCH(TEXT($L310,"yyyy-mm-dd")&amp;"|"&amp;$D310&amp;"|",'CALENDARIO'!$G$15:$G$214,0)),IFERROR(INDEX('CALENDARIO'!$C$15:$C$214,MATCH(TEXT($L310,"yyyy-mm-dd")&amp;"||",'CALENDARIO'!$G$15:$G$214,0)),INDEX(patronHabil,WEEKDAY($L310,2))))))&lt;&gt;"sí"),0,p_horas_jornada)</f>
        <v/>
      </c>
      <c r="N310" s="24">
        <f>$A310&amp;"|"&amp;$B310&amp;"|"&amp;$C310</f>
        <v/>
      </c>
      <c r="O310" s="24">
        <f>IFERROR(INDEX('CAT_TURNOS'!$C$4:$C$22,MATCH($J310,'CAT_TURNOS'!$A$4:$A$22,0)),"")</f>
        <v/>
      </c>
      <c r="P310" s="24">
        <f>IFERROR(INDEX('CAT_TURNOS'!$D$4:$D$22,MATCH($J310,'CAT_TURNOS'!$A$4:$A$22,0)),"")</f>
        <v/>
      </c>
      <c r="Q310" s="24">
        <f>IF(AND(LEFT($G310,1)="T",$H310="no"),"sí","no")</f>
        <v/>
      </c>
    </row>
    <row r="311">
      <c r="A311" s="5" t="inlineStr">
        <is>
          <t>2026-S32</t>
        </is>
      </c>
      <c r="B311" s="5" t="inlineStr">
        <is>
          <t>domingo</t>
        </is>
      </c>
      <c r="C311" s="5" t="inlineStr">
        <is>
          <t>Eduardo Silva</t>
        </is>
      </c>
      <c r="D311" s="24">
        <f>IFERROR(INDEX('TECNICOS'!$D$4:$D$19,MATCH($C311,'TECNICOS'!$B$4:$B$19,0)),"")</f>
        <v/>
      </c>
      <c r="E311" s="24">
        <f>IFERROR(INDEX('TECNICOS'!$C$4:$C$19,MATCH($C311,'TECNICOS'!$B$4:$B$19,0)),"")</f>
        <v/>
      </c>
      <c r="F311" s="24">
        <f>COUNTIFS('TECNICOS'!$F$4:$F$19,"sí",'TECNICOS'!$C$4:$C$19,$E311,'TECNICOS'!$D$4:$D$19,$D311,'TECNICOS'!$H$4:$H$19,"sí")</f>
        <v/>
      </c>
      <c r="G311" s="24">
        <f>IF(OR($C311="",$A311="",$B311="domingo",IFERROR(INDEX('TECNICOS'!$H$4:$H$19,MATCH($C311,'TECNICOS'!$B$4:$B$19,0)),"no")&lt;&gt;"sí"),"",IF(IFERROR(INDEX('TECNICOS'!$F$4:$F$19,MATCH($C311,'TECNICOS'!$B$4:$B$19,0)),"no")&lt;&gt;"sí","B",IF(MOD((IFERROR(INDEX('TECNICOS'!$G$4:$G$19,MATCH($C311,'TECNICOS'!$B$4:$B$19,0)),0)-1)+((DATE(VALUE(LEFT($A311,4)),1,4)-WEEKDAY(DATE(VALUE(LEFT($A311,4)),1,4),2)+1+(VALUE(MID($A311,7,2))-1)*7)-p_semana_referencia)/7,$F311)&lt;($F311-3),"B"&amp;(($F311-3)-MOD((IFERROR(INDEX('TECNICOS'!$G$4:$G$19,MATCH($C311,'TECNICOS'!$B$4:$B$19,0)),0)-1)+((DATE(VALUE(LEFT($A311,4)),1,4)-WEEKDAY(DATE(VALUE(LEFT($A311,4)),1,4),2)+1+(VALUE(MID($A311,7,2))-1)*7)-p_semana_referencia)/7,$F311)),"T"&amp;($F311-MOD((IFERROR(INDEX('TECNICOS'!$G$4:$G$19,MATCH($C311,'TECNICOS'!$B$4:$B$19,0)),0)-1)+((DATE(VALUE(LEFT($A311,4)),1,4)-WEEKDAY(DATE(VALUE(LEFT($A311,4)),1,4),2)+1+(VALUE(MID($A311,7,2))-1)*7)-p_semana_referencia)/7,$F311)))))</f>
        <v/>
      </c>
      <c r="H311" s="24">
        <f>IF(COUNTIFS('PLAN_VACACIONES'!$A$4:$A$103,$C311,'PLAN_VACACIONES'!$B$4:$B$103,"&lt;="&amp;$L311,'PLAN_VACACIONES'!$C$4:$C$103,"&gt;="&amp;$L311)&gt;0,"sí","no")</f>
        <v/>
      </c>
      <c r="I311" s="4" t="n"/>
      <c r="J311" s="24">
        <f>IF($I311&lt;&gt;"",$I311,IF($G311="","",IF($H311="sí","VAC",IF(LEFT($G311,1)="B","B",$G311))))</f>
        <v/>
      </c>
      <c r="K311" s="24">
        <f>IFERROR(INDEX('TECNICOS'!$E$4:$E$19,MATCH($C311,'TECNICOS'!$B$4:$B$19,0)),"")</f>
        <v/>
      </c>
      <c r="L311" s="30">
        <f>IF($A311="","",DATE(VALUE(LEFT($A311,4)),1,4)-WEEKDAY(DATE(VALUE(LEFT($A311,4)),1,4),2)+1+(VALUE(MID($A311,7,2))-1)*7+MATCH($B311,lista_dias,0)-1)</f>
        <v/>
      </c>
      <c r="M311" s="24">
        <f>IF(OR($J311="",ISNUMBER(MATCH($J311,lista_no_disponible,0)),(IFERROR(INDEX('CALENDARIO'!$C$15:$C$214,MATCH(TEXT($L311,"yyyy-mm-dd")&amp;"|"&amp;$D311&amp;"|"&amp;"",'CALENDARIO'!$G$15:$G$214,0)),IFERROR(INDEX('CALENDARIO'!$C$15:$C$214,MATCH(TEXT($L311,"yyyy-mm-dd")&amp;"|"&amp;$D311&amp;"|",'CALENDARIO'!$G$15:$G$214,0)),IFERROR(INDEX('CALENDARIO'!$C$15:$C$214,MATCH(TEXT($L311,"yyyy-mm-dd")&amp;"||",'CALENDARIO'!$G$15:$G$214,0)),INDEX(patronHabil,WEEKDAY($L311,2))))))&lt;&gt;"sí"),0,p_horas_jornada)</f>
        <v/>
      </c>
      <c r="N311" s="24">
        <f>$A311&amp;"|"&amp;$B311&amp;"|"&amp;$C311</f>
        <v/>
      </c>
      <c r="O311" s="24">
        <f>IFERROR(INDEX('CAT_TURNOS'!$C$4:$C$22,MATCH($J311,'CAT_TURNOS'!$A$4:$A$22,0)),"")</f>
        <v/>
      </c>
      <c r="P311" s="24">
        <f>IFERROR(INDEX('CAT_TURNOS'!$D$4:$D$22,MATCH($J311,'CAT_TURNOS'!$A$4:$A$22,0)),"")</f>
        <v/>
      </c>
      <c r="Q311" s="24">
        <f>IF(AND(LEFT($G311,1)="T",$H311="no"),"sí","no")</f>
        <v/>
      </c>
    </row>
    <row r="312">
      <c r="A312" s="5" t="inlineStr">
        <is>
          <t>2026-S32</t>
        </is>
      </c>
      <c r="B312" s="5" t="inlineStr">
        <is>
          <t>lunes</t>
        </is>
      </c>
      <c r="C312" s="5" t="inlineStr">
        <is>
          <t>Gabriela Rojas</t>
        </is>
      </c>
      <c r="D312" s="24">
        <f>IFERROR(INDEX('TECNICOS'!$D$4:$D$19,MATCH($C312,'TECNICOS'!$B$4:$B$19,0)),"")</f>
        <v/>
      </c>
      <c r="E312" s="24">
        <f>IFERROR(INDEX('TECNICOS'!$C$4:$C$19,MATCH($C312,'TECNICOS'!$B$4:$B$19,0)),"")</f>
        <v/>
      </c>
      <c r="F312" s="24">
        <f>COUNTIFS('TECNICOS'!$F$4:$F$19,"sí",'TECNICOS'!$C$4:$C$19,$E312,'TECNICOS'!$D$4:$D$19,$D312,'TECNICOS'!$H$4:$H$19,"sí")</f>
        <v/>
      </c>
      <c r="G312" s="24">
        <f>IF(OR($C312="",$A312="",$B312="domingo",IFERROR(INDEX('TECNICOS'!$H$4:$H$19,MATCH($C312,'TECNICOS'!$B$4:$B$19,0)),"no")&lt;&gt;"sí"),"",IF(IFERROR(INDEX('TECNICOS'!$F$4:$F$19,MATCH($C312,'TECNICOS'!$B$4:$B$19,0)),"no")&lt;&gt;"sí","B",IF(MOD((IFERROR(INDEX('TECNICOS'!$G$4:$G$19,MATCH($C312,'TECNICOS'!$B$4:$B$19,0)),0)-1)+((DATE(VALUE(LEFT($A312,4)),1,4)-WEEKDAY(DATE(VALUE(LEFT($A312,4)),1,4),2)+1+(VALUE(MID($A312,7,2))-1)*7)-p_semana_referencia)/7,$F312)&lt;($F312-3),"B"&amp;(($F312-3)-MOD((IFERROR(INDEX('TECNICOS'!$G$4:$G$19,MATCH($C312,'TECNICOS'!$B$4:$B$19,0)),0)-1)+((DATE(VALUE(LEFT($A312,4)),1,4)-WEEKDAY(DATE(VALUE(LEFT($A312,4)),1,4),2)+1+(VALUE(MID($A312,7,2))-1)*7)-p_semana_referencia)/7,$F312)),"T"&amp;($F312-MOD((IFERROR(INDEX('TECNICOS'!$G$4:$G$19,MATCH($C312,'TECNICOS'!$B$4:$B$19,0)),0)-1)+((DATE(VALUE(LEFT($A312,4)),1,4)-WEEKDAY(DATE(VALUE(LEFT($A312,4)),1,4),2)+1+(VALUE(MID($A312,7,2))-1)*7)-p_semana_referencia)/7,$F312)))))</f>
        <v/>
      </c>
      <c r="H312" s="24">
        <f>IF(COUNTIFS('PLAN_VACACIONES'!$A$4:$A$103,$C312,'PLAN_VACACIONES'!$B$4:$B$103,"&lt;="&amp;$L312,'PLAN_VACACIONES'!$C$4:$C$103,"&gt;="&amp;$L312)&gt;0,"sí","no")</f>
        <v/>
      </c>
      <c r="I312" s="4" t="n"/>
      <c r="J312" s="24">
        <f>IF($I312&lt;&gt;"",$I312,IF($G312="","",IF($H312="sí","VAC",IF(LEFT($G312,1)="B","B",$G312))))</f>
        <v/>
      </c>
      <c r="K312" s="24">
        <f>IFERROR(INDEX('TECNICOS'!$E$4:$E$19,MATCH($C312,'TECNICOS'!$B$4:$B$19,0)),"")</f>
        <v/>
      </c>
      <c r="L312" s="30">
        <f>IF($A312="","",DATE(VALUE(LEFT($A312,4)),1,4)-WEEKDAY(DATE(VALUE(LEFT($A312,4)),1,4),2)+1+(VALUE(MID($A312,7,2))-1)*7+MATCH($B312,lista_dias,0)-1)</f>
        <v/>
      </c>
      <c r="M312" s="24">
        <f>IF(OR($J312="",ISNUMBER(MATCH($J312,lista_no_disponible,0)),(IFERROR(INDEX('CALENDARIO'!$C$15:$C$214,MATCH(TEXT($L312,"yyyy-mm-dd")&amp;"|"&amp;$D312&amp;"|"&amp;"",'CALENDARIO'!$G$15:$G$214,0)),IFERROR(INDEX('CALENDARIO'!$C$15:$C$214,MATCH(TEXT($L312,"yyyy-mm-dd")&amp;"|"&amp;$D312&amp;"|",'CALENDARIO'!$G$15:$G$214,0)),IFERROR(INDEX('CALENDARIO'!$C$15:$C$214,MATCH(TEXT($L312,"yyyy-mm-dd")&amp;"||",'CALENDARIO'!$G$15:$G$214,0)),INDEX(patronHabil,WEEKDAY($L312,2))))))&lt;&gt;"sí"),0,p_horas_jornada)</f>
        <v/>
      </c>
      <c r="N312" s="24">
        <f>$A312&amp;"|"&amp;$B312&amp;"|"&amp;$C312</f>
        <v/>
      </c>
      <c r="O312" s="24">
        <f>IFERROR(INDEX('CAT_TURNOS'!$C$4:$C$22,MATCH($J312,'CAT_TURNOS'!$A$4:$A$22,0)),"")</f>
        <v/>
      </c>
      <c r="P312" s="24">
        <f>IFERROR(INDEX('CAT_TURNOS'!$D$4:$D$22,MATCH($J312,'CAT_TURNOS'!$A$4:$A$22,0)),"")</f>
        <v/>
      </c>
      <c r="Q312" s="24">
        <f>IF(AND(LEFT($G312,1)="T",$H312="no"),"sí","no")</f>
        <v/>
      </c>
    </row>
    <row r="313">
      <c r="A313" s="5" t="inlineStr">
        <is>
          <t>2026-S32</t>
        </is>
      </c>
      <c r="B313" s="5" t="inlineStr">
        <is>
          <t>martes</t>
        </is>
      </c>
      <c r="C313" s="5" t="inlineStr">
        <is>
          <t>Gabriela Rojas</t>
        </is>
      </c>
      <c r="D313" s="24">
        <f>IFERROR(INDEX('TECNICOS'!$D$4:$D$19,MATCH($C313,'TECNICOS'!$B$4:$B$19,0)),"")</f>
        <v/>
      </c>
      <c r="E313" s="24">
        <f>IFERROR(INDEX('TECNICOS'!$C$4:$C$19,MATCH($C313,'TECNICOS'!$B$4:$B$19,0)),"")</f>
        <v/>
      </c>
      <c r="F313" s="24">
        <f>COUNTIFS('TECNICOS'!$F$4:$F$19,"sí",'TECNICOS'!$C$4:$C$19,$E313,'TECNICOS'!$D$4:$D$19,$D313,'TECNICOS'!$H$4:$H$19,"sí")</f>
        <v/>
      </c>
      <c r="G313" s="24">
        <f>IF(OR($C313="",$A313="",$B313="domingo",IFERROR(INDEX('TECNICOS'!$H$4:$H$19,MATCH($C313,'TECNICOS'!$B$4:$B$19,0)),"no")&lt;&gt;"sí"),"",IF(IFERROR(INDEX('TECNICOS'!$F$4:$F$19,MATCH($C313,'TECNICOS'!$B$4:$B$19,0)),"no")&lt;&gt;"sí","B",IF(MOD((IFERROR(INDEX('TECNICOS'!$G$4:$G$19,MATCH($C313,'TECNICOS'!$B$4:$B$19,0)),0)-1)+((DATE(VALUE(LEFT($A313,4)),1,4)-WEEKDAY(DATE(VALUE(LEFT($A313,4)),1,4),2)+1+(VALUE(MID($A313,7,2))-1)*7)-p_semana_referencia)/7,$F313)&lt;($F313-3),"B"&amp;(($F313-3)-MOD((IFERROR(INDEX('TECNICOS'!$G$4:$G$19,MATCH($C313,'TECNICOS'!$B$4:$B$19,0)),0)-1)+((DATE(VALUE(LEFT($A313,4)),1,4)-WEEKDAY(DATE(VALUE(LEFT($A313,4)),1,4),2)+1+(VALUE(MID($A313,7,2))-1)*7)-p_semana_referencia)/7,$F313)),"T"&amp;($F313-MOD((IFERROR(INDEX('TECNICOS'!$G$4:$G$19,MATCH($C313,'TECNICOS'!$B$4:$B$19,0)),0)-1)+((DATE(VALUE(LEFT($A313,4)),1,4)-WEEKDAY(DATE(VALUE(LEFT($A313,4)),1,4),2)+1+(VALUE(MID($A313,7,2))-1)*7)-p_semana_referencia)/7,$F313)))))</f>
        <v/>
      </c>
      <c r="H313" s="24">
        <f>IF(COUNTIFS('PLAN_VACACIONES'!$A$4:$A$103,$C313,'PLAN_VACACIONES'!$B$4:$B$103,"&lt;="&amp;$L313,'PLAN_VACACIONES'!$C$4:$C$103,"&gt;="&amp;$L313)&gt;0,"sí","no")</f>
        <v/>
      </c>
      <c r="I313" s="4" t="n"/>
      <c r="J313" s="24">
        <f>IF($I313&lt;&gt;"",$I313,IF($G313="","",IF($H313="sí","VAC",IF(LEFT($G313,1)="B","B",$G313))))</f>
        <v/>
      </c>
      <c r="K313" s="24">
        <f>IFERROR(INDEX('TECNICOS'!$E$4:$E$19,MATCH($C313,'TECNICOS'!$B$4:$B$19,0)),"")</f>
        <v/>
      </c>
      <c r="L313" s="30">
        <f>IF($A313="","",DATE(VALUE(LEFT($A313,4)),1,4)-WEEKDAY(DATE(VALUE(LEFT($A313,4)),1,4),2)+1+(VALUE(MID($A313,7,2))-1)*7+MATCH($B313,lista_dias,0)-1)</f>
        <v/>
      </c>
      <c r="M313" s="24">
        <f>IF(OR($J313="",ISNUMBER(MATCH($J313,lista_no_disponible,0)),(IFERROR(INDEX('CALENDARIO'!$C$15:$C$214,MATCH(TEXT($L313,"yyyy-mm-dd")&amp;"|"&amp;$D313&amp;"|"&amp;"",'CALENDARIO'!$G$15:$G$214,0)),IFERROR(INDEX('CALENDARIO'!$C$15:$C$214,MATCH(TEXT($L313,"yyyy-mm-dd")&amp;"|"&amp;$D313&amp;"|",'CALENDARIO'!$G$15:$G$214,0)),IFERROR(INDEX('CALENDARIO'!$C$15:$C$214,MATCH(TEXT($L313,"yyyy-mm-dd")&amp;"||",'CALENDARIO'!$G$15:$G$214,0)),INDEX(patronHabil,WEEKDAY($L313,2))))))&lt;&gt;"sí"),0,p_horas_jornada)</f>
        <v/>
      </c>
      <c r="N313" s="24">
        <f>$A313&amp;"|"&amp;$B313&amp;"|"&amp;$C313</f>
        <v/>
      </c>
      <c r="O313" s="24">
        <f>IFERROR(INDEX('CAT_TURNOS'!$C$4:$C$22,MATCH($J313,'CAT_TURNOS'!$A$4:$A$22,0)),"")</f>
        <v/>
      </c>
      <c r="P313" s="24">
        <f>IFERROR(INDEX('CAT_TURNOS'!$D$4:$D$22,MATCH($J313,'CAT_TURNOS'!$A$4:$A$22,0)),"")</f>
        <v/>
      </c>
      <c r="Q313" s="24">
        <f>IF(AND(LEFT($G313,1)="T",$H313="no"),"sí","no")</f>
        <v/>
      </c>
    </row>
    <row r="314">
      <c r="A314" s="5" t="inlineStr">
        <is>
          <t>2026-S32</t>
        </is>
      </c>
      <c r="B314" s="5" t="inlineStr">
        <is>
          <t>miércoles</t>
        </is>
      </c>
      <c r="C314" s="5" t="inlineStr">
        <is>
          <t>Gabriela Rojas</t>
        </is>
      </c>
      <c r="D314" s="24">
        <f>IFERROR(INDEX('TECNICOS'!$D$4:$D$19,MATCH($C314,'TECNICOS'!$B$4:$B$19,0)),"")</f>
        <v/>
      </c>
      <c r="E314" s="24">
        <f>IFERROR(INDEX('TECNICOS'!$C$4:$C$19,MATCH($C314,'TECNICOS'!$B$4:$B$19,0)),"")</f>
        <v/>
      </c>
      <c r="F314" s="24">
        <f>COUNTIFS('TECNICOS'!$F$4:$F$19,"sí",'TECNICOS'!$C$4:$C$19,$E314,'TECNICOS'!$D$4:$D$19,$D314,'TECNICOS'!$H$4:$H$19,"sí")</f>
        <v/>
      </c>
      <c r="G314" s="24">
        <f>IF(OR($C314="",$A314="",$B314="domingo",IFERROR(INDEX('TECNICOS'!$H$4:$H$19,MATCH($C314,'TECNICOS'!$B$4:$B$19,0)),"no")&lt;&gt;"sí"),"",IF(IFERROR(INDEX('TECNICOS'!$F$4:$F$19,MATCH($C314,'TECNICOS'!$B$4:$B$19,0)),"no")&lt;&gt;"sí","B",IF(MOD((IFERROR(INDEX('TECNICOS'!$G$4:$G$19,MATCH($C314,'TECNICOS'!$B$4:$B$19,0)),0)-1)+((DATE(VALUE(LEFT($A314,4)),1,4)-WEEKDAY(DATE(VALUE(LEFT($A314,4)),1,4),2)+1+(VALUE(MID($A314,7,2))-1)*7)-p_semana_referencia)/7,$F314)&lt;($F314-3),"B"&amp;(($F314-3)-MOD((IFERROR(INDEX('TECNICOS'!$G$4:$G$19,MATCH($C314,'TECNICOS'!$B$4:$B$19,0)),0)-1)+((DATE(VALUE(LEFT($A314,4)),1,4)-WEEKDAY(DATE(VALUE(LEFT($A314,4)),1,4),2)+1+(VALUE(MID($A314,7,2))-1)*7)-p_semana_referencia)/7,$F314)),"T"&amp;($F314-MOD((IFERROR(INDEX('TECNICOS'!$G$4:$G$19,MATCH($C314,'TECNICOS'!$B$4:$B$19,0)),0)-1)+((DATE(VALUE(LEFT($A314,4)),1,4)-WEEKDAY(DATE(VALUE(LEFT($A314,4)),1,4),2)+1+(VALUE(MID($A314,7,2))-1)*7)-p_semana_referencia)/7,$F314)))))</f>
        <v/>
      </c>
      <c r="H314" s="24">
        <f>IF(COUNTIFS('PLAN_VACACIONES'!$A$4:$A$103,$C314,'PLAN_VACACIONES'!$B$4:$B$103,"&lt;="&amp;$L314,'PLAN_VACACIONES'!$C$4:$C$103,"&gt;="&amp;$L314)&gt;0,"sí","no")</f>
        <v/>
      </c>
      <c r="I314" s="4" t="n"/>
      <c r="J314" s="24">
        <f>IF($I314&lt;&gt;"",$I314,IF($G314="","",IF($H314="sí","VAC",IF(LEFT($G314,1)="B","B",$G314))))</f>
        <v/>
      </c>
      <c r="K314" s="24">
        <f>IFERROR(INDEX('TECNICOS'!$E$4:$E$19,MATCH($C314,'TECNICOS'!$B$4:$B$19,0)),"")</f>
        <v/>
      </c>
      <c r="L314" s="30">
        <f>IF($A314="","",DATE(VALUE(LEFT($A314,4)),1,4)-WEEKDAY(DATE(VALUE(LEFT($A314,4)),1,4),2)+1+(VALUE(MID($A314,7,2))-1)*7+MATCH($B314,lista_dias,0)-1)</f>
        <v/>
      </c>
      <c r="M314" s="24">
        <f>IF(OR($J314="",ISNUMBER(MATCH($J314,lista_no_disponible,0)),(IFERROR(INDEX('CALENDARIO'!$C$15:$C$214,MATCH(TEXT($L314,"yyyy-mm-dd")&amp;"|"&amp;$D314&amp;"|"&amp;"",'CALENDARIO'!$G$15:$G$214,0)),IFERROR(INDEX('CALENDARIO'!$C$15:$C$214,MATCH(TEXT($L314,"yyyy-mm-dd")&amp;"|"&amp;$D314&amp;"|",'CALENDARIO'!$G$15:$G$214,0)),IFERROR(INDEX('CALENDARIO'!$C$15:$C$214,MATCH(TEXT($L314,"yyyy-mm-dd")&amp;"||",'CALENDARIO'!$G$15:$G$214,0)),INDEX(patronHabil,WEEKDAY($L314,2))))))&lt;&gt;"sí"),0,p_horas_jornada)</f>
        <v/>
      </c>
      <c r="N314" s="24">
        <f>$A314&amp;"|"&amp;$B314&amp;"|"&amp;$C314</f>
        <v/>
      </c>
      <c r="O314" s="24">
        <f>IFERROR(INDEX('CAT_TURNOS'!$C$4:$C$22,MATCH($J314,'CAT_TURNOS'!$A$4:$A$22,0)),"")</f>
        <v/>
      </c>
      <c r="P314" s="24">
        <f>IFERROR(INDEX('CAT_TURNOS'!$D$4:$D$22,MATCH($J314,'CAT_TURNOS'!$A$4:$A$22,0)),"")</f>
        <v/>
      </c>
      <c r="Q314" s="24">
        <f>IF(AND(LEFT($G314,1)="T",$H314="no"),"sí","no")</f>
        <v/>
      </c>
    </row>
    <row r="315">
      <c r="A315" s="5" t="inlineStr">
        <is>
          <t>2026-S32</t>
        </is>
      </c>
      <c r="B315" s="5" t="inlineStr">
        <is>
          <t>jueves</t>
        </is>
      </c>
      <c r="C315" s="5" t="inlineStr">
        <is>
          <t>Gabriela Rojas</t>
        </is>
      </c>
      <c r="D315" s="24">
        <f>IFERROR(INDEX('TECNICOS'!$D$4:$D$19,MATCH($C315,'TECNICOS'!$B$4:$B$19,0)),"")</f>
        <v/>
      </c>
      <c r="E315" s="24">
        <f>IFERROR(INDEX('TECNICOS'!$C$4:$C$19,MATCH($C315,'TECNICOS'!$B$4:$B$19,0)),"")</f>
        <v/>
      </c>
      <c r="F315" s="24">
        <f>COUNTIFS('TECNICOS'!$F$4:$F$19,"sí",'TECNICOS'!$C$4:$C$19,$E315,'TECNICOS'!$D$4:$D$19,$D315,'TECNICOS'!$H$4:$H$19,"sí")</f>
        <v/>
      </c>
      <c r="G315" s="24">
        <f>IF(OR($C315="",$A315="",$B315="domingo",IFERROR(INDEX('TECNICOS'!$H$4:$H$19,MATCH($C315,'TECNICOS'!$B$4:$B$19,0)),"no")&lt;&gt;"sí"),"",IF(IFERROR(INDEX('TECNICOS'!$F$4:$F$19,MATCH($C315,'TECNICOS'!$B$4:$B$19,0)),"no")&lt;&gt;"sí","B",IF(MOD((IFERROR(INDEX('TECNICOS'!$G$4:$G$19,MATCH($C315,'TECNICOS'!$B$4:$B$19,0)),0)-1)+((DATE(VALUE(LEFT($A315,4)),1,4)-WEEKDAY(DATE(VALUE(LEFT($A315,4)),1,4),2)+1+(VALUE(MID($A315,7,2))-1)*7)-p_semana_referencia)/7,$F315)&lt;($F315-3),"B"&amp;(($F315-3)-MOD((IFERROR(INDEX('TECNICOS'!$G$4:$G$19,MATCH($C315,'TECNICOS'!$B$4:$B$19,0)),0)-1)+((DATE(VALUE(LEFT($A315,4)),1,4)-WEEKDAY(DATE(VALUE(LEFT($A315,4)),1,4),2)+1+(VALUE(MID($A315,7,2))-1)*7)-p_semana_referencia)/7,$F315)),"T"&amp;($F315-MOD((IFERROR(INDEX('TECNICOS'!$G$4:$G$19,MATCH($C315,'TECNICOS'!$B$4:$B$19,0)),0)-1)+((DATE(VALUE(LEFT($A315,4)),1,4)-WEEKDAY(DATE(VALUE(LEFT($A315,4)),1,4),2)+1+(VALUE(MID($A315,7,2))-1)*7)-p_semana_referencia)/7,$F315)))))</f>
        <v/>
      </c>
      <c r="H315" s="24">
        <f>IF(COUNTIFS('PLAN_VACACIONES'!$A$4:$A$103,$C315,'PLAN_VACACIONES'!$B$4:$B$103,"&lt;="&amp;$L315,'PLAN_VACACIONES'!$C$4:$C$103,"&gt;="&amp;$L315)&gt;0,"sí","no")</f>
        <v/>
      </c>
      <c r="I315" s="4" t="n"/>
      <c r="J315" s="24">
        <f>IF($I315&lt;&gt;"",$I315,IF($G315="","",IF($H315="sí","VAC",IF(LEFT($G315,1)="B","B",$G315))))</f>
        <v/>
      </c>
      <c r="K315" s="24">
        <f>IFERROR(INDEX('TECNICOS'!$E$4:$E$19,MATCH($C315,'TECNICOS'!$B$4:$B$19,0)),"")</f>
        <v/>
      </c>
      <c r="L315" s="30">
        <f>IF($A315="","",DATE(VALUE(LEFT($A315,4)),1,4)-WEEKDAY(DATE(VALUE(LEFT($A315,4)),1,4),2)+1+(VALUE(MID($A315,7,2))-1)*7+MATCH($B315,lista_dias,0)-1)</f>
        <v/>
      </c>
      <c r="M315" s="24">
        <f>IF(OR($J315="",ISNUMBER(MATCH($J315,lista_no_disponible,0)),(IFERROR(INDEX('CALENDARIO'!$C$15:$C$214,MATCH(TEXT($L315,"yyyy-mm-dd")&amp;"|"&amp;$D315&amp;"|"&amp;"",'CALENDARIO'!$G$15:$G$214,0)),IFERROR(INDEX('CALENDARIO'!$C$15:$C$214,MATCH(TEXT($L315,"yyyy-mm-dd")&amp;"|"&amp;$D315&amp;"|",'CALENDARIO'!$G$15:$G$214,0)),IFERROR(INDEX('CALENDARIO'!$C$15:$C$214,MATCH(TEXT($L315,"yyyy-mm-dd")&amp;"||",'CALENDARIO'!$G$15:$G$214,0)),INDEX(patronHabil,WEEKDAY($L315,2))))))&lt;&gt;"sí"),0,p_horas_jornada)</f>
        <v/>
      </c>
      <c r="N315" s="24">
        <f>$A315&amp;"|"&amp;$B315&amp;"|"&amp;$C315</f>
        <v/>
      </c>
      <c r="O315" s="24">
        <f>IFERROR(INDEX('CAT_TURNOS'!$C$4:$C$22,MATCH($J315,'CAT_TURNOS'!$A$4:$A$22,0)),"")</f>
        <v/>
      </c>
      <c r="P315" s="24">
        <f>IFERROR(INDEX('CAT_TURNOS'!$D$4:$D$22,MATCH($J315,'CAT_TURNOS'!$A$4:$A$22,0)),"")</f>
        <v/>
      </c>
      <c r="Q315" s="24">
        <f>IF(AND(LEFT($G315,1)="T",$H315="no"),"sí","no")</f>
        <v/>
      </c>
    </row>
    <row r="316">
      <c r="A316" s="5" t="inlineStr">
        <is>
          <t>2026-S32</t>
        </is>
      </c>
      <c r="B316" s="5" t="inlineStr">
        <is>
          <t>viernes</t>
        </is>
      </c>
      <c r="C316" s="5" t="inlineStr">
        <is>
          <t>Gabriela Rojas</t>
        </is>
      </c>
      <c r="D316" s="24">
        <f>IFERROR(INDEX('TECNICOS'!$D$4:$D$19,MATCH($C316,'TECNICOS'!$B$4:$B$19,0)),"")</f>
        <v/>
      </c>
      <c r="E316" s="24">
        <f>IFERROR(INDEX('TECNICOS'!$C$4:$C$19,MATCH($C316,'TECNICOS'!$B$4:$B$19,0)),"")</f>
        <v/>
      </c>
      <c r="F316" s="24">
        <f>COUNTIFS('TECNICOS'!$F$4:$F$19,"sí",'TECNICOS'!$C$4:$C$19,$E316,'TECNICOS'!$D$4:$D$19,$D316,'TECNICOS'!$H$4:$H$19,"sí")</f>
        <v/>
      </c>
      <c r="G316" s="24">
        <f>IF(OR($C316="",$A316="",$B316="domingo",IFERROR(INDEX('TECNICOS'!$H$4:$H$19,MATCH($C316,'TECNICOS'!$B$4:$B$19,0)),"no")&lt;&gt;"sí"),"",IF(IFERROR(INDEX('TECNICOS'!$F$4:$F$19,MATCH($C316,'TECNICOS'!$B$4:$B$19,0)),"no")&lt;&gt;"sí","B",IF(MOD((IFERROR(INDEX('TECNICOS'!$G$4:$G$19,MATCH($C316,'TECNICOS'!$B$4:$B$19,0)),0)-1)+((DATE(VALUE(LEFT($A316,4)),1,4)-WEEKDAY(DATE(VALUE(LEFT($A316,4)),1,4),2)+1+(VALUE(MID($A316,7,2))-1)*7)-p_semana_referencia)/7,$F316)&lt;($F316-3),"B"&amp;(($F316-3)-MOD((IFERROR(INDEX('TECNICOS'!$G$4:$G$19,MATCH($C316,'TECNICOS'!$B$4:$B$19,0)),0)-1)+((DATE(VALUE(LEFT($A316,4)),1,4)-WEEKDAY(DATE(VALUE(LEFT($A316,4)),1,4),2)+1+(VALUE(MID($A316,7,2))-1)*7)-p_semana_referencia)/7,$F316)),"T"&amp;($F316-MOD((IFERROR(INDEX('TECNICOS'!$G$4:$G$19,MATCH($C316,'TECNICOS'!$B$4:$B$19,0)),0)-1)+((DATE(VALUE(LEFT($A316,4)),1,4)-WEEKDAY(DATE(VALUE(LEFT($A316,4)),1,4),2)+1+(VALUE(MID($A316,7,2))-1)*7)-p_semana_referencia)/7,$F316)))))</f>
        <v/>
      </c>
      <c r="H316" s="24">
        <f>IF(COUNTIFS('PLAN_VACACIONES'!$A$4:$A$103,$C316,'PLAN_VACACIONES'!$B$4:$B$103,"&lt;="&amp;$L316,'PLAN_VACACIONES'!$C$4:$C$103,"&gt;="&amp;$L316)&gt;0,"sí","no")</f>
        <v/>
      </c>
      <c r="I316" s="4" t="n"/>
      <c r="J316" s="24">
        <f>IF($I316&lt;&gt;"",$I316,IF($G316="","",IF($H316="sí","VAC",IF(LEFT($G316,1)="B","B",$G316))))</f>
        <v/>
      </c>
      <c r="K316" s="24">
        <f>IFERROR(INDEX('TECNICOS'!$E$4:$E$19,MATCH($C316,'TECNICOS'!$B$4:$B$19,0)),"")</f>
        <v/>
      </c>
      <c r="L316" s="30">
        <f>IF($A316="","",DATE(VALUE(LEFT($A316,4)),1,4)-WEEKDAY(DATE(VALUE(LEFT($A316,4)),1,4),2)+1+(VALUE(MID($A316,7,2))-1)*7+MATCH($B316,lista_dias,0)-1)</f>
        <v/>
      </c>
      <c r="M316" s="24">
        <f>IF(OR($J316="",ISNUMBER(MATCH($J316,lista_no_disponible,0)),(IFERROR(INDEX('CALENDARIO'!$C$15:$C$214,MATCH(TEXT($L316,"yyyy-mm-dd")&amp;"|"&amp;$D316&amp;"|"&amp;"",'CALENDARIO'!$G$15:$G$214,0)),IFERROR(INDEX('CALENDARIO'!$C$15:$C$214,MATCH(TEXT($L316,"yyyy-mm-dd")&amp;"|"&amp;$D316&amp;"|",'CALENDARIO'!$G$15:$G$214,0)),IFERROR(INDEX('CALENDARIO'!$C$15:$C$214,MATCH(TEXT($L316,"yyyy-mm-dd")&amp;"||",'CALENDARIO'!$G$15:$G$214,0)),INDEX(patronHabil,WEEKDAY($L316,2))))))&lt;&gt;"sí"),0,p_horas_jornada)</f>
        <v/>
      </c>
      <c r="N316" s="24">
        <f>$A316&amp;"|"&amp;$B316&amp;"|"&amp;$C316</f>
        <v/>
      </c>
      <c r="O316" s="24">
        <f>IFERROR(INDEX('CAT_TURNOS'!$C$4:$C$22,MATCH($J316,'CAT_TURNOS'!$A$4:$A$22,0)),"")</f>
        <v/>
      </c>
      <c r="P316" s="24">
        <f>IFERROR(INDEX('CAT_TURNOS'!$D$4:$D$22,MATCH($J316,'CAT_TURNOS'!$A$4:$A$22,0)),"")</f>
        <v/>
      </c>
      <c r="Q316" s="24">
        <f>IF(AND(LEFT($G316,1)="T",$H316="no"),"sí","no")</f>
        <v/>
      </c>
    </row>
    <row r="317">
      <c r="A317" s="5" t="inlineStr">
        <is>
          <t>2026-S32</t>
        </is>
      </c>
      <c r="B317" s="5" t="inlineStr">
        <is>
          <t>sábado</t>
        </is>
      </c>
      <c r="C317" s="5" t="inlineStr">
        <is>
          <t>Gabriela Rojas</t>
        </is>
      </c>
      <c r="D317" s="24">
        <f>IFERROR(INDEX('TECNICOS'!$D$4:$D$19,MATCH($C317,'TECNICOS'!$B$4:$B$19,0)),"")</f>
        <v/>
      </c>
      <c r="E317" s="24">
        <f>IFERROR(INDEX('TECNICOS'!$C$4:$C$19,MATCH($C317,'TECNICOS'!$B$4:$B$19,0)),"")</f>
        <v/>
      </c>
      <c r="F317" s="24">
        <f>COUNTIFS('TECNICOS'!$F$4:$F$19,"sí",'TECNICOS'!$C$4:$C$19,$E317,'TECNICOS'!$D$4:$D$19,$D317,'TECNICOS'!$H$4:$H$19,"sí")</f>
        <v/>
      </c>
      <c r="G317" s="24">
        <f>IF(OR($C317="",$A317="",$B317="domingo",IFERROR(INDEX('TECNICOS'!$H$4:$H$19,MATCH($C317,'TECNICOS'!$B$4:$B$19,0)),"no")&lt;&gt;"sí"),"",IF(IFERROR(INDEX('TECNICOS'!$F$4:$F$19,MATCH($C317,'TECNICOS'!$B$4:$B$19,0)),"no")&lt;&gt;"sí","B",IF(MOD((IFERROR(INDEX('TECNICOS'!$G$4:$G$19,MATCH($C317,'TECNICOS'!$B$4:$B$19,0)),0)-1)+((DATE(VALUE(LEFT($A317,4)),1,4)-WEEKDAY(DATE(VALUE(LEFT($A317,4)),1,4),2)+1+(VALUE(MID($A317,7,2))-1)*7)-p_semana_referencia)/7,$F317)&lt;($F317-3),"B"&amp;(($F317-3)-MOD((IFERROR(INDEX('TECNICOS'!$G$4:$G$19,MATCH($C317,'TECNICOS'!$B$4:$B$19,0)),0)-1)+((DATE(VALUE(LEFT($A317,4)),1,4)-WEEKDAY(DATE(VALUE(LEFT($A317,4)),1,4),2)+1+(VALUE(MID($A317,7,2))-1)*7)-p_semana_referencia)/7,$F317)),"T"&amp;($F317-MOD((IFERROR(INDEX('TECNICOS'!$G$4:$G$19,MATCH($C317,'TECNICOS'!$B$4:$B$19,0)),0)-1)+((DATE(VALUE(LEFT($A317,4)),1,4)-WEEKDAY(DATE(VALUE(LEFT($A317,4)),1,4),2)+1+(VALUE(MID($A317,7,2))-1)*7)-p_semana_referencia)/7,$F317)))))</f>
        <v/>
      </c>
      <c r="H317" s="24">
        <f>IF(COUNTIFS('PLAN_VACACIONES'!$A$4:$A$103,$C317,'PLAN_VACACIONES'!$B$4:$B$103,"&lt;="&amp;$L317,'PLAN_VACACIONES'!$C$4:$C$103,"&gt;="&amp;$L317)&gt;0,"sí","no")</f>
        <v/>
      </c>
      <c r="I317" s="4" t="n"/>
      <c r="J317" s="24">
        <f>IF($I317&lt;&gt;"",$I317,IF($G317="","",IF($H317="sí","VAC",IF(LEFT($G317,1)="B","B",$G317))))</f>
        <v/>
      </c>
      <c r="K317" s="24">
        <f>IFERROR(INDEX('TECNICOS'!$E$4:$E$19,MATCH($C317,'TECNICOS'!$B$4:$B$19,0)),"")</f>
        <v/>
      </c>
      <c r="L317" s="30">
        <f>IF($A317="","",DATE(VALUE(LEFT($A317,4)),1,4)-WEEKDAY(DATE(VALUE(LEFT($A317,4)),1,4),2)+1+(VALUE(MID($A317,7,2))-1)*7+MATCH($B317,lista_dias,0)-1)</f>
        <v/>
      </c>
      <c r="M317" s="24">
        <f>IF(OR($J317="",ISNUMBER(MATCH($J317,lista_no_disponible,0)),(IFERROR(INDEX('CALENDARIO'!$C$15:$C$214,MATCH(TEXT($L317,"yyyy-mm-dd")&amp;"|"&amp;$D317&amp;"|"&amp;"",'CALENDARIO'!$G$15:$G$214,0)),IFERROR(INDEX('CALENDARIO'!$C$15:$C$214,MATCH(TEXT($L317,"yyyy-mm-dd")&amp;"|"&amp;$D317&amp;"|",'CALENDARIO'!$G$15:$G$214,0)),IFERROR(INDEX('CALENDARIO'!$C$15:$C$214,MATCH(TEXT($L317,"yyyy-mm-dd")&amp;"||",'CALENDARIO'!$G$15:$G$214,0)),INDEX(patronHabil,WEEKDAY($L317,2))))))&lt;&gt;"sí"),0,p_horas_jornada)</f>
        <v/>
      </c>
      <c r="N317" s="24">
        <f>$A317&amp;"|"&amp;$B317&amp;"|"&amp;$C317</f>
        <v/>
      </c>
      <c r="O317" s="24">
        <f>IFERROR(INDEX('CAT_TURNOS'!$C$4:$C$22,MATCH($J317,'CAT_TURNOS'!$A$4:$A$22,0)),"")</f>
        <v/>
      </c>
      <c r="P317" s="24">
        <f>IFERROR(INDEX('CAT_TURNOS'!$D$4:$D$22,MATCH($J317,'CAT_TURNOS'!$A$4:$A$22,0)),"")</f>
        <v/>
      </c>
      <c r="Q317" s="24">
        <f>IF(AND(LEFT($G317,1)="T",$H317="no"),"sí","no")</f>
        <v/>
      </c>
    </row>
    <row r="318">
      <c r="A318" s="5" t="inlineStr">
        <is>
          <t>2026-S32</t>
        </is>
      </c>
      <c r="B318" s="5" t="inlineStr">
        <is>
          <t>domingo</t>
        </is>
      </c>
      <c r="C318" s="5" t="inlineStr">
        <is>
          <t>Gabriela Rojas</t>
        </is>
      </c>
      <c r="D318" s="24">
        <f>IFERROR(INDEX('TECNICOS'!$D$4:$D$19,MATCH($C318,'TECNICOS'!$B$4:$B$19,0)),"")</f>
        <v/>
      </c>
      <c r="E318" s="24">
        <f>IFERROR(INDEX('TECNICOS'!$C$4:$C$19,MATCH($C318,'TECNICOS'!$B$4:$B$19,0)),"")</f>
        <v/>
      </c>
      <c r="F318" s="24">
        <f>COUNTIFS('TECNICOS'!$F$4:$F$19,"sí",'TECNICOS'!$C$4:$C$19,$E318,'TECNICOS'!$D$4:$D$19,$D318,'TECNICOS'!$H$4:$H$19,"sí")</f>
        <v/>
      </c>
      <c r="G318" s="24">
        <f>IF(OR($C318="",$A318="",$B318="domingo",IFERROR(INDEX('TECNICOS'!$H$4:$H$19,MATCH($C318,'TECNICOS'!$B$4:$B$19,0)),"no")&lt;&gt;"sí"),"",IF(IFERROR(INDEX('TECNICOS'!$F$4:$F$19,MATCH($C318,'TECNICOS'!$B$4:$B$19,0)),"no")&lt;&gt;"sí","B",IF(MOD((IFERROR(INDEX('TECNICOS'!$G$4:$G$19,MATCH($C318,'TECNICOS'!$B$4:$B$19,0)),0)-1)+((DATE(VALUE(LEFT($A318,4)),1,4)-WEEKDAY(DATE(VALUE(LEFT($A318,4)),1,4),2)+1+(VALUE(MID($A318,7,2))-1)*7)-p_semana_referencia)/7,$F318)&lt;($F318-3),"B"&amp;(($F318-3)-MOD((IFERROR(INDEX('TECNICOS'!$G$4:$G$19,MATCH($C318,'TECNICOS'!$B$4:$B$19,0)),0)-1)+((DATE(VALUE(LEFT($A318,4)),1,4)-WEEKDAY(DATE(VALUE(LEFT($A318,4)),1,4),2)+1+(VALUE(MID($A318,7,2))-1)*7)-p_semana_referencia)/7,$F318)),"T"&amp;($F318-MOD((IFERROR(INDEX('TECNICOS'!$G$4:$G$19,MATCH($C318,'TECNICOS'!$B$4:$B$19,0)),0)-1)+((DATE(VALUE(LEFT($A318,4)),1,4)-WEEKDAY(DATE(VALUE(LEFT($A318,4)),1,4),2)+1+(VALUE(MID($A318,7,2))-1)*7)-p_semana_referencia)/7,$F318)))))</f>
        <v/>
      </c>
      <c r="H318" s="24">
        <f>IF(COUNTIFS('PLAN_VACACIONES'!$A$4:$A$103,$C318,'PLAN_VACACIONES'!$B$4:$B$103,"&lt;="&amp;$L318,'PLAN_VACACIONES'!$C$4:$C$103,"&gt;="&amp;$L318)&gt;0,"sí","no")</f>
        <v/>
      </c>
      <c r="I318" s="4" t="n"/>
      <c r="J318" s="24">
        <f>IF($I318&lt;&gt;"",$I318,IF($G318="","",IF($H318="sí","VAC",IF(LEFT($G318,1)="B","B",$G318))))</f>
        <v/>
      </c>
      <c r="K318" s="24">
        <f>IFERROR(INDEX('TECNICOS'!$E$4:$E$19,MATCH($C318,'TECNICOS'!$B$4:$B$19,0)),"")</f>
        <v/>
      </c>
      <c r="L318" s="30">
        <f>IF($A318="","",DATE(VALUE(LEFT($A318,4)),1,4)-WEEKDAY(DATE(VALUE(LEFT($A318,4)),1,4),2)+1+(VALUE(MID($A318,7,2))-1)*7+MATCH($B318,lista_dias,0)-1)</f>
        <v/>
      </c>
      <c r="M318" s="24">
        <f>IF(OR($J318="",ISNUMBER(MATCH($J318,lista_no_disponible,0)),(IFERROR(INDEX('CALENDARIO'!$C$15:$C$214,MATCH(TEXT($L318,"yyyy-mm-dd")&amp;"|"&amp;$D318&amp;"|"&amp;"",'CALENDARIO'!$G$15:$G$214,0)),IFERROR(INDEX('CALENDARIO'!$C$15:$C$214,MATCH(TEXT($L318,"yyyy-mm-dd")&amp;"|"&amp;$D318&amp;"|",'CALENDARIO'!$G$15:$G$214,0)),IFERROR(INDEX('CALENDARIO'!$C$15:$C$214,MATCH(TEXT($L318,"yyyy-mm-dd")&amp;"||",'CALENDARIO'!$G$15:$G$214,0)),INDEX(patronHabil,WEEKDAY($L318,2))))))&lt;&gt;"sí"),0,p_horas_jornada)</f>
        <v/>
      </c>
      <c r="N318" s="24">
        <f>$A318&amp;"|"&amp;$B318&amp;"|"&amp;$C318</f>
        <v/>
      </c>
      <c r="O318" s="24">
        <f>IFERROR(INDEX('CAT_TURNOS'!$C$4:$C$22,MATCH($J318,'CAT_TURNOS'!$A$4:$A$22,0)),"")</f>
        <v/>
      </c>
      <c r="P318" s="24">
        <f>IFERROR(INDEX('CAT_TURNOS'!$D$4:$D$22,MATCH($J318,'CAT_TURNOS'!$A$4:$A$22,0)),"")</f>
        <v/>
      </c>
      <c r="Q318" s="24">
        <f>IF(AND(LEFT($G318,1)="T",$H318="no"),"sí","no")</f>
        <v/>
      </c>
    </row>
    <row r="319">
      <c r="A319" s="5" t="inlineStr">
        <is>
          <t>2026-S32</t>
        </is>
      </c>
      <c r="B319" s="5" t="inlineStr">
        <is>
          <t>lunes</t>
        </is>
      </c>
      <c r="C319" s="5" t="inlineStr">
        <is>
          <t>Fernando Mendoza</t>
        </is>
      </c>
      <c r="D319" s="24">
        <f>IFERROR(INDEX('TECNICOS'!$D$4:$D$19,MATCH($C319,'TECNICOS'!$B$4:$B$19,0)),"")</f>
        <v/>
      </c>
      <c r="E319" s="24">
        <f>IFERROR(INDEX('TECNICOS'!$C$4:$C$19,MATCH($C319,'TECNICOS'!$B$4:$B$19,0)),"")</f>
        <v/>
      </c>
      <c r="F319" s="24">
        <f>COUNTIFS('TECNICOS'!$F$4:$F$19,"sí",'TECNICOS'!$C$4:$C$19,$E319,'TECNICOS'!$D$4:$D$19,$D319,'TECNICOS'!$H$4:$H$19,"sí")</f>
        <v/>
      </c>
      <c r="G319" s="24">
        <f>IF(OR($C319="",$A319="",$B319="domingo",IFERROR(INDEX('TECNICOS'!$H$4:$H$19,MATCH($C319,'TECNICOS'!$B$4:$B$19,0)),"no")&lt;&gt;"sí"),"",IF(IFERROR(INDEX('TECNICOS'!$F$4:$F$19,MATCH($C319,'TECNICOS'!$B$4:$B$19,0)),"no")&lt;&gt;"sí","B",IF(MOD((IFERROR(INDEX('TECNICOS'!$G$4:$G$19,MATCH($C319,'TECNICOS'!$B$4:$B$19,0)),0)-1)+((DATE(VALUE(LEFT($A319,4)),1,4)-WEEKDAY(DATE(VALUE(LEFT($A319,4)),1,4),2)+1+(VALUE(MID($A319,7,2))-1)*7)-p_semana_referencia)/7,$F319)&lt;($F319-3),"B"&amp;(($F319-3)-MOD((IFERROR(INDEX('TECNICOS'!$G$4:$G$19,MATCH($C319,'TECNICOS'!$B$4:$B$19,0)),0)-1)+((DATE(VALUE(LEFT($A319,4)),1,4)-WEEKDAY(DATE(VALUE(LEFT($A319,4)),1,4),2)+1+(VALUE(MID($A319,7,2))-1)*7)-p_semana_referencia)/7,$F319)),"T"&amp;($F319-MOD((IFERROR(INDEX('TECNICOS'!$G$4:$G$19,MATCH($C319,'TECNICOS'!$B$4:$B$19,0)),0)-1)+((DATE(VALUE(LEFT($A319,4)),1,4)-WEEKDAY(DATE(VALUE(LEFT($A319,4)),1,4),2)+1+(VALUE(MID($A319,7,2))-1)*7)-p_semana_referencia)/7,$F319)))))</f>
        <v/>
      </c>
      <c r="H319" s="24">
        <f>IF(COUNTIFS('PLAN_VACACIONES'!$A$4:$A$103,$C319,'PLAN_VACACIONES'!$B$4:$B$103,"&lt;="&amp;$L319,'PLAN_VACACIONES'!$C$4:$C$103,"&gt;="&amp;$L319)&gt;0,"sí","no")</f>
        <v/>
      </c>
      <c r="I319" s="4" t="n"/>
      <c r="J319" s="24">
        <f>IF($I319&lt;&gt;"",$I319,IF($G319="","",IF($H319="sí","VAC",IF(LEFT($G319,1)="B","B",$G319))))</f>
        <v/>
      </c>
      <c r="K319" s="24">
        <f>IFERROR(INDEX('TECNICOS'!$E$4:$E$19,MATCH($C319,'TECNICOS'!$B$4:$B$19,0)),"")</f>
        <v/>
      </c>
      <c r="L319" s="30">
        <f>IF($A319="","",DATE(VALUE(LEFT($A319,4)),1,4)-WEEKDAY(DATE(VALUE(LEFT($A319,4)),1,4),2)+1+(VALUE(MID($A319,7,2))-1)*7+MATCH($B319,lista_dias,0)-1)</f>
        <v/>
      </c>
      <c r="M319" s="24">
        <f>IF(OR($J319="",ISNUMBER(MATCH($J319,lista_no_disponible,0)),(IFERROR(INDEX('CALENDARIO'!$C$15:$C$214,MATCH(TEXT($L319,"yyyy-mm-dd")&amp;"|"&amp;$D319&amp;"|"&amp;"",'CALENDARIO'!$G$15:$G$214,0)),IFERROR(INDEX('CALENDARIO'!$C$15:$C$214,MATCH(TEXT($L319,"yyyy-mm-dd")&amp;"|"&amp;$D319&amp;"|",'CALENDARIO'!$G$15:$G$214,0)),IFERROR(INDEX('CALENDARIO'!$C$15:$C$214,MATCH(TEXT($L319,"yyyy-mm-dd")&amp;"||",'CALENDARIO'!$G$15:$G$214,0)),INDEX(patronHabil,WEEKDAY($L319,2))))))&lt;&gt;"sí"),0,p_horas_jornada)</f>
        <v/>
      </c>
      <c r="N319" s="24">
        <f>$A319&amp;"|"&amp;$B319&amp;"|"&amp;$C319</f>
        <v/>
      </c>
      <c r="O319" s="24">
        <f>IFERROR(INDEX('CAT_TURNOS'!$C$4:$C$22,MATCH($J319,'CAT_TURNOS'!$A$4:$A$22,0)),"")</f>
        <v/>
      </c>
      <c r="P319" s="24">
        <f>IFERROR(INDEX('CAT_TURNOS'!$D$4:$D$22,MATCH($J319,'CAT_TURNOS'!$A$4:$A$22,0)),"")</f>
        <v/>
      </c>
      <c r="Q319" s="24">
        <f>IF(AND(LEFT($G319,1)="T",$H319="no"),"sí","no")</f>
        <v/>
      </c>
    </row>
    <row r="320">
      <c r="A320" s="5" t="inlineStr">
        <is>
          <t>2026-S32</t>
        </is>
      </c>
      <c r="B320" s="5" t="inlineStr">
        <is>
          <t>martes</t>
        </is>
      </c>
      <c r="C320" s="5" t="inlineStr">
        <is>
          <t>Fernando Mendoza</t>
        </is>
      </c>
      <c r="D320" s="24">
        <f>IFERROR(INDEX('TECNICOS'!$D$4:$D$19,MATCH($C320,'TECNICOS'!$B$4:$B$19,0)),"")</f>
        <v/>
      </c>
      <c r="E320" s="24">
        <f>IFERROR(INDEX('TECNICOS'!$C$4:$C$19,MATCH($C320,'TECNICOS'!$B$4:$B$19,0)),"")</f>
        <v/>
      </c>
      <c r="F320" s="24">
        <f>COUNTIFS('TECNICOS'!$F$4:$F$19,"sí",'TECNICOS'!$C$4:$C$19,$E320,'TECNICOS'!$D$4:$D$19,$D320,'TECNICOS'!$H$4:$H$19,"sí")</f>
        <v/>
      </c>
      <c r="G320" s="24">
        <f>IF(OR($C320="",$A320="",$B320="domingo",IFERROR(INDEX('TECNICOS'!$H$4:$H$19,MATCH($C320,'TECNICOS'!$B$4:$B$19,0)),"no")&lt;&gt;"sí"),"",IF(IFERROR(INDEX('TECNICOS'!$F$4:$F$19,MATCH($C320,'TECNICOS'!$B$4:$B$19,0)),"no")&lt;&gt;"sí","B",IF(MOD((IFERROR(INDEX('TECNICOS'!$G$4:$G$19,MATCH($C320,'TECNICOS'!$B$4:$B$19,0)),0)-1)+((DATE(VALUE(LEFT($A320,4)),1,4)-WEEKDAY(DATE(VALUE(LEFT($A320,4)),1,4),2)+1+(VALUE(MID($A320,7,2))-1)*7)-p_semana_referencia)/7,$F320)&lt;($F320-3),"B"&amp;(($F320-3)-MOD((IFERROR(INDEX('TECNICOS'!$G$4:$G$19,MATCH($C320,'TECNICOS'!$B$4:$B$19,0)),0)-1)+((DATE(VALUE(LEFT($A320,4)),1,4)-WEEKDAY(DATE(VALUE(LEFT($A320,4)),1,4),2)+1+(VALUE(MID($A320,7,2))-1)*7)-p_semana_referencia)/7,$F320)),"T"&amp;($F320-MOD((IFERROR(INDEX('TECNICOS'!$G$4:$G$19,MATCH($C320,'TECNICOS'!$B$4:$B$19,0)),0)-1)+((DATE(VALUE(LEFT($A320,4)),1,4)-WEEKDAY(DATE(VALUE(LEFT($A320,4)),1,4),2)+1+(VALUE(MID($A320,7,2))-1)*7)-p_semana_referencia)/7,$F320)))))</f>
        <v/>
      </c>
      <c r="H320" s="24">
        <f>IF(COUNTIFS('PLAN_VACACIONES'!$A$4:$A$103,$C320,'PLAN_VACACIONES'!$B$4:$B$103,"&lt;="&amp;$L320,'PLAN_VACACIONES'!$C$4:$C$103,"&gt;="&amp;$L320)&gt;0,"sí","no")</f>
        <v/>
      </c>
      <c r="I320" s="4" t="n"/>
      <c r="J320" s="24">
        <f>IF($I320&lt;&gt;"",$I320,IF($G320="","",IF($H320="sí","VAC",IF(LEFT($G320,1)="B","B",$G320))))</f>
        <v/>
      </c>
      <c r="K320" s="24">
        <f>IFERROR(INDEX('TECNICOS'!$E$4:$E$19,MATCH($C320,'TECNICOS'!$B$4:$B$19,0)),"")</f>
        <v/>
      </c>
      <c r="L320" s="30">
        <f>IF($A320="","",DATE(VALUE(LEFT($A320,4)),1,4)-WEEKDAY(DATE(VALUE(LEFT($A320,4)),1,4),2)+1+(VALUE(MID($A320,7,2))-1)*7+MATCH($B320,lista_dias,0)-1)</f>
        <v/>
      </c>
      <c r="M320" s="24">
        <f>IF(OR($J320="",ISNUMBER(MATCH($J320,lista_no_disponible,0)),(IFERROR(INDEX('CALENDARIO'!$C$15:$C$214,MATCH(TEXT($L320,"yyyy-mm-dd")&amp;"|"&amp;$D320&amp;"|"&amp;"",'CALENDARIO'!$G$15:$G$214,0)),IFERROR(INDEX('CALENDARIO'!$C$15:$C$214,MATCH(TEXT($L320,"yyyy-mm-dd")&amp;"|"&amp;$D320&amp;"|",'CALENDARIO'!$G$15:$G$214,0)),IFERROR(INDEX('CALENDARIO'!$C$15:$C$214,MATCH(TEXT($L320,"yyyy-mm-dd")&amp;"||",'CALENDARIO'!$G$15:$G$214,0)),INDEX(patronHabil,WEEKDAY($L320,2))))))&lt;&gt;"sí"),0,p_horas_jornada)</f>
        <v/>
      </c>
      <c r="N320" s="24">
        <f>$A320&amp;"|"&amp;$B320&amp;"|"&amp;$C320</f>
        <v/>
      </c>
      <c r="O320" s="24">
        <f>IFERROR(INDEX('CAT_TURNOS'!$C$4:$C$22,MATCH($J320,'CAT_TURNOS'!$A$4:$A$22,0)),"")</f>
        <v/>
      </c>
      <c r="P320" s="24">
        <f>IFERROR(INDEX('CAT_TURNOS'!$D$4:$D$22,MATCH($J320,'CAT_TURNOS'!$A$4:$A$22,0)),"")</f>
        <v/>
      </c>
      <c r="Q320" s="24">
        <f>IF(AND(LEFT($G320,1)="T",$H320="no"),"sí","no")</f>
        <v/>
      </c>
    </row>
    <row r="321">
      <c r="A321" s="5" t="inlineStr">
        <is>
          <t>2026-S32</t>
        </is>
      </c>
      <c r="B321" s="5" t="inlineStr">
        <is>
          <t>miércoles</t>
        </is>
      </c>
      <c r="C321" s="5" t="inlineStr">
        <is>
          <t>Fernando Mendoza</t>
        </is>
      </c>
      <c r="D321" s="24">
        <f>IFERROR(INDEX('TECNICOS'!$D$4:$D$19,MATCH($C321,'TECNICOS'!$B$4:$B$19,0)),"")</f>
        <v/>
      </c>
      <c r="E321" s="24">
        <f>IFERROR(INDEX('TECNICOS'!$C$4:$C$19,MATCH($C321,'TECNICOS'!$B$4:$B$19,0)),"")</f>
        <v/>
      </c>
      <c r="F321" s="24">
        <f>COUNTIFS('TECNICOS'!$F$4:$F$19,"sí",'TECNICOS'!$C$4:$C$19,$E321,'TECNICOS'!$D$4:$D$19,$D321,'TECNICOS'!$H$4:$H$19,"sí")</f>
        <v/>
      </c>
      <c r="G321" s="24">
        <f>IF(OR($C321="",$A321="",$B321="domingo",IFERROR(INDEX('TECNICOS'!$H$4:$H$19,MATCH($C321,'TECNICOS'!$B$4:$B$19,0)),"no")&lt;&gt;"sí"),"",IF(IFERROR(INDEX('TECNICOS'!$F$4:$F$19,MATCH($C321,'TECNICOS'!$B$4:$B$19,0)),"no")&lt;&gt;"sí","B",IF(MOD((IFERROR(INDEX('TECNICOS'!$G$4:$G$19,MATCH($C321,'TECNICOS'!$B$4:$B$19,0)),0)-1)+((DATE(VALUE(LEFT($A321,4)),1,4)-WEEKDAY(DATE(VALUE(LEFT($A321,4)),1,4),2)+1+(VALUE(MID($A321,7,2))-1)*7)-p_semana_referencia)/7,$F321)&lt;($F321-3),"B"&amp;(($F321-3)-MOD((IFERROR(INDEX('TECNICOS'!$G$4:$G$19,MATCH($C321,'TECNICOS'!$B$4:$B$19,0)),0)-1)+((DATE(VALUE(LEFT($A321,4)),1,4)-WEEKDAY(DATE(VALUE(LEFT($A321,4)),1,4),2)+1+(VALUE(MID($A321,7,2))-1)*7)-p_semana_referencia)/7,$F321)),"T"&amp;($F321-MOD((IFERROR(INDEX('TECNICOS'!$G$4:$G$19,MATCH($C321,'TECNICOS'!$B$4:$B$19,0)),0)-1)+((DATE(VALUE(LEFT($A321,4)),1,4)-WEEKDAY(DATE(VALUE(LEFT($A321,4)),1,4),2)+1+(VALUE(MID($A321,7,2))-1)*7)-p_semana_referencia)/7,$F321)))))</f>
        <v/>
      </c>
      <c r="H321" s="24">
        <f>IF(COUNTIFS('PLAN_VACACIONES'!$A$4:$A$103,$C321,'PLAN_VACACIONES'!$B$4:$B$103,"&lt;="&amp;$L321,'PLAN_VACACIONES'!$C$4:$C$103,"&gt;="&amp;$L321)&gt;0,"sí","no")</f>
        <v/>
      </c>
      <c r="I321" s="4" t="n"/>
      <c r="J321" s="24">
        <f>IF($I321&lt;&gt;"",$I321,IF($G321="","",IF($H321="sí","VAC",IF(LEFT($G321,1)="B","B",$G321))))</f>
        <v/>
      </c>
      <c r="K321" s="24">
        <f>IFERROR(INDEX('TECNICOS'!$E$4:$E$19,MATCH($C321,'TECNICOS'!$B$4:$B$19,0)),"")</f>
        <v/>
      </c>
      <c r="L321" s="30">
        <f>IF($A321="","",DATE(VALUE(LEFT($A321,4)),1,4)-WEEKDAY(DATE(VALUE(LEFT($A321,4)),1,4),2)+1+(VALUE(MID($A321,7,2))-1)*7+MATCH($B321,lista_dias,0)-1)</f>
        <v/>
      </c>
      <c r="M321" s="24">
        <f>IF(OR($J321="",ISNUMBER(MATCH($J321,lista_no_disponible,0)),(IFERROR(INDEX('CALENDARIO'!$C$15:$C$214,MATCH(TEXT($L321,"yyyy-mm-dd")&amp;"|"&amp;$D321&amp;"|"&amp;"",'CALENDARIO'!$G$15:$G$214,0)),IFERROR(INDEX('CALENDARIO'!$C$15:$C$214,MATCH(TEXT($L321,"yyyy-mm-dd")&amp;"|"&amp;$D321&amp;"|",'CALENDARIO'!$G$15:$G$214,0)),IFERROR(INDEX('CALENDARIO'!$C$15:$C$214,MATCH(TEXT($L321,"yyyy-mm-dd")&amp;"||",'CALENDARIO'!$G$15:$G$214,0)),INDEX(patronHabil,WEEKDAY($L321,2))))))&lt;&gt;"sí"),0,p_horas_jornada)</f>
        <v/>
      </c>
      <c r="N321" s="24">
        <f>$A321&amp;"|"&amp;$B321&amp;"|"&amp;$C321</f>
        <v/>
      </c>
      <c r="O321" s="24">
        <f>IFERROR(INDEX('CAT_TURNOS'!$C$4:$C$22,MATCH($J321,'CAT_TURNOS'!$A$4:$A$22,0)),"")</f>
        <v/>
      </c>
      <c r="P321" s="24">
        <f>IFERROR(INDEX('CAT_TURNOS'!$D$4:$D$22,MATCH($J321,'CAT_TURNOS'!$A$4:$A$22,0)),"")</f>
        <v/>
      </c>
      <c r="Q321" s="24">
        <f>IF(AND(LEFT($G321,1)="T",$H321="no"),"sí","no")</f>
        <v/>
      </c>
    </row>
    <row r="322">
      <c r="A322" s="5" t="inlineStr">
        <is>
          <t>2026-S32</t>
        </is>
      </c>
      <c r="B322" s="5" t="inlineStr">
        <is>
          <t>jueves</t>
        </is>
      </c>
      <c r="C322" s="5" t="inlineStr">
        <is>
          <t>Fernando Mendoza</t>
        </is>
      </c>
      <c r="D322" s="24">
        <f>IFERROR(INDEX('TECNICOS'!$D$4:$D$19,MATCH($C322,'TECNICOS'!$B$4:$B$19,0)),"")</f>
        <v/>
      </c>
      <c r="E322" s="24">
        <f>IFERROR(INDEX('TECNICOS'!$C$4:$C$19,MATCH($C322,'TECNICOS'!$B$4:$B$19,0)),"")</f>
        <v/>
      </c>
      <c r="F322" s="24">
        <f>COUNTIFS('TECNICOS'!$F$4:$F$19,"sí",'TECNICOS'!$C$4:$C$19,$E322,'TECNICOS'!$D$4:$D$19,$D322,'TECNICOS'!$H$4:$H$19,"sí")</f>
        <v/>
      </c>
      <c r="G322" s="24">
        <f>IF(OR($C322="",$A322="",$B322="domingo",IFERROR(INDEX('TECNICOS'!$H$4:$H$19,MATCH($C322,'TECNICOS'!$B$4:$B$19,0)),"no")&lt;&gt;"sí"),"",IF(IFERROR(INDEX('TECNICOS'!$F$4:$F$19,MATCH($C322,'TECNICOS'!$B$4:$B$19,0)),"no")&lt;&gt;"sí","B",IF(MOD((IFERROR(INDEX('TECNICOS'!$G$4:$G$19,MATCH($C322,'TECNICOS'!$B$4:$B$19,0)),0)-1)+((DATE(VALUE(LEFT($A322,4)),1,4)-WEEKDAY(DATE(VALUE(LEFT($A322,4)),1,4),2)+1+(VALUE(MID($A322,7,2))-1)*7)-p_semana_referencia)/7,$F322)&lt;($F322-3),"B"&amp;(($F322-3)-MOD((IFERROR(INDEX('TECNICOS'!$G$4:$G$19,MATCH($C322,'TECNICOS'!$B$4:$B$19,0)),0)-1)+((DATE(VALUE(LEFT($A322,4)),1,4)-WEEKDAY(DATE(VALUE(LEFT($A322,4)),1,4),2)+1+(VALUE(MID($A322,7,2))-1)*7)-p_semana_referencia)/7,$F322)),"T"&amp;($F322-MOD((IFERROR(INDEX('TECNICOS'!$G$4:$G$19,MATCH($C322,'TECNICOS'!$B$4:$B$19,0)),0)-1)+((DATE(VALUE(LEFT($A322,4)),1,4)-WEEKDAY(DATE(VALUE(LEFT($A322,4)),1,4),2)+1+(VALUE(MID($A322,7,2))-1)*7)-p_semana_referencia)/7,$F322)))))</f>
        <v/>
      </c>
      <c r="H322" s="24">
        <f>IF(COUNTIFS('PLAN_VACACIONES'!$A$4:$A$103,$C322,'PLAN_VACACIONES'!$B$4:$B$103,"&lt;="&amp;$L322,'PLAN_VACACIONES'!$C$4:$C$103,"&gt;="&amp;$L322)&gt;0,"sí","no")</f>
        <v/>
      </c>
      <c r="I322" s="4" t="n"/>
      <c r="J322" s="24">
        <f>IF($I322&lt;&gt;"",$I322,IF($G322="","",IF($H322="sí","VAC",IF(LEFT($G322,1)="B","B",$G322))))</f>
        <v/>
      </c>
      <c r="K322" s="24">
        <f>IFERROR(INDEX('TECNICOS'!$E$4:$E$19,MATCH($C322,'TECNICOS'!$B$4:$B$19,0)),"")</f>
        <v/>
      </c>
      <c r="L322" s="30">
        <f>IF($A322="","",DATE(VALUE(LEFT($A322,4)),1,4)-WEEKDAY(DATE(VALUE(LEFT($A322,4)),1,4),2)+1+(VALUE(MID($A322,7,2))-1)*7+MATCH($B322,lista_dias,0)-1)</f>
        <v/>
      </c>
      <c r="M322" s="24">
        <f>IF(OR($J322="",ISNUMBER(MATCH($J322,lista_no_disponible,0)),(IFERROR(INDEX('CALENDARIO'!$C$15:$C$214,MATCH(TEXT($L322,"yyyy-mm-dd")&amp;"|"&amp;$D322&amp;"|"&amp;"",'CALENDARIO'!$G$15:$G$214,0)),IFERROR(INDEX('CALENDARIO'!$C$15:$C$214,MATCH(TEXT($L322,"yyyy-mm-dd")&amp;"|"&amp;$D322&amp;"|",'CALENDARIO'!$G$15:$G$214,0)),IFERROR(INDEX('CALENDARIO'!$C$15:$C$214,MATCH(TEXT($L322,"yyyy-mm-dd")&amp;"||",'CALENDARIO'!$G$15:$G$214,0)),INDEX(patronHabil,WEEKDAY($L322,2))))))&lt;&gt;"sí"),0,p_horas_jornada)</f>
        <v/>
      </c>
      <c r="N322" s="24">
        <f>$A322&amp;"|"&amp;$B322&amp;"|"&amp;$C322</f>
        <v/>
      </c>
      <c r="O322" s="24">
        <f>IFERROR(INDEX('CAT_TURNOS'!$C$4:$C$22,MATCH($J322,'CAT_TURNOS'!$A$4:$A$22,0)),"")</f>
        <v/>
      </c>
      <c r="P322" s="24">
        <f>IFERROR(INDEX('CAT_TURNOS'!$D$4:$D$22,MATCH($J322,'CAT_TURNOS'!$A$4:$A$22,0)),"")</f>
        <v/>
      </c>
      <c r="Q322" s="24">
        <f>IF(AND(LEFT($G322,1)="T",$H322="no"),"sí","no")</f>
        <v/>
      </c>
    </row>
    <row r="323">
      <c r="A323" s="5" t="inlineStr">
        <is>
          <t>2026-S32</t>
        </is>
      </c>
      <c r="B323" s="5" t="inlineStr">
        <is>
          <t>viernes</t>
        </is>
      </c>
      <c r="C323" s="5" t="inlineStr">
        <is>
          <t>Fernando Mendoza</t>
        </is>
      </c>
      <c r="D323" s="24">
        <f>IFERROR(INDEX('TECNICOS'!$D$4:$D$19,MATCH($C323,'TECNICOS'!$B$4:$B$19,0)),"")</f>
        <v/>
      </c>
      <c r="E323" s="24">
        <f>IFERROR(INDEX('TECNICOS'!$C$4:$C$19,MATCH($C323,'TECNICOS'!$B$4:$B$19,0)),"")</f>
        <v/>
      </c>
      <c r="F323" s="24">
        <f>COUNTIFS('TECNICOS'!$F$4:$F$19,"sí",'TECNICOS'!$C$4:$C$19,$E323,'TECNICOS'!$D$4:$D$19,$D323,'TECNICOS'!$H$4:$H$19,"sí")</f>
        <v/>
      </c>
      <c r="G323" s="24">
        <f>IF(OR($C323="",$A323="",$B323="domingo",IFERROR(INDEX('TECNICOS'!$H$4:$H$19,MATCH($C323,'TECNICOS'!$B$4:$B$19,0)),"no")&lt;&gt;"sí"),"",IF(IFERROR(INDEX('TECNICOS'!$F$4:$F$19,MATCH($C323,'TECNICOS'!$B$4:$B$19,0)),"no")&lt;&gt;"sí","B",IF(MOD((IFERROR(INDEX('TECNICOS'!$G$4:$G$19,MATCH($C323,'TECNICOS'!$B$4:$B$19,0)),0)-1)+((DATE(VALUE(LEFT($A323,4)),1,4)-WEEKDAY(DATE(VALUE(LEFT($A323,4)),1,4),2)+1+(VALUE(MID($A323,7,2))-1)*7)-p_semana_referencia)/7,$F323)&lt;($F323-3),"B"&amp;(($F323-3)-MOD((IFERROR(INDEX('TECNICOS'!$G$4:$G$19,MATCH($C323,'TECNICOS'!$B$4:$B$19,0)),0)-1)+((DATE(VALUE(LEFT($A323,4)),1,4)-WEEKDAY(DATE(VALUE(LEFT($A323,4)),1,4),2)+1+(VALUE(MID($A323,7,2))-1)*7)-p_semana_referencia)/7,$F323)),"T"&amp;($F323-MOD((IFERROR(INDEX('TECNICOS'!$G$4:$G$19,MATCH($C323,'TECNICOS'!$B$4:$B$19,0)),0)-1)+((DATE(VALUE(LEFT($A323,4)),1,4)-WEEKDAY(DATE(VALUE(LEFT($A323,4)),1,4),2)+1+(VALUE(MID($A323,7,2))-1)*7)-p_semana_referencia)/7,$F323)))))</f>
        <v/>
      </c>
      <c r="H323" s="24">
        <f>IF(COUNTIFS('PLAN_VACACIONES'!$A$4:$A$103,$C323,'PLAN_VACACIONES'!$B$4:$B$103,"&lt;="&amp;$L323,'PLAN_VACACIONES'!$C$4:$C$103,"&gt;="&amp;$L323)&gt;0,"sí","no")</f>
        <v/>
      </c>
      <c r="I323" s="4" t="n"/>
      <c r="J323" s="24">
        <f>IF($I323&lt;&gt;"",$I323,IF($G323="","",IF($H323="sí","VAC",IF(LEFT($G323,1)="B","B",$G323))))</f>
        <v/>
      </c>
      <c r="K323" s="24">
        <f>IFERROR(INDEX('TECNICOS'!$E$4:$E$19,MATCH($C323,'TECNICOS'!$B$4:$B$19,0)),"")</f>
        <v/>
      </c>
      <c r="L323" s="30">
        <f>IF($A323="","",DATE(VALUE(LEFT($A323,4)),1,4)-WEEKDAY(DATE(VALUE(LEFT($A323,4)),1,4),2)+1+(VALUE(MID($A323,7,2))-1)*7+MATCH($B323,lista_dias,0)-1)</f>
        <v/>
      </c>
      <c r="M323" s="24">
        <f>IF(OR($J323="",ISNUMBER(MATCH($J323,lista_no_disponible,0)),(IFERROR(INDEX('CALENDARIO'!$C$15:$C$214,MATCH(TEXT($L323,"yyyy-mm-dd")&amp;"|"&amp;$D323&amp;"|"&amp;"",'CALENDARIO'!$G$15:$G$214,0)),IFERROR(INDEX('CALENDARIO'!$C$15:$C$214,MATCH(TEXT($L323,"yyyy-mm-dd")&amp;"|"&amp;$D323&amp;"|",'CALENDARIO'!$G$15:$G$214,0)),IFERROR(INDEX('CALENDARIO'!$C$15:$C$214,MATCH(TEXT($L323,"yyyy-mm-dd")&amp;"||",'CALENDARIO'!$G$15:$G$214,0)),INDEX(patronHabil,WEEKDAY($L323,2))))))&lt;&gt;"sí"),0,p_horas_jornada)</f>
        <v/>
      </c>
      <c r="N323" s="24">
        <f>$A323&amp;"|"&amp;$B323&amp;"|"&amp;$C323</f>
        <v/>
      </c>
      <c r="O323" s="24">
        <f>IFERROR(INDEX('CAT_TURNOS'!$C$4:$C$22,MATCH($J323,'CAT_TURNOS'!$A$4:$A$22,0)),"")</f>
        <v/>
      </c>
      <c r="P323" s="24">
        <f>IFERROR(INDEX('CAT_TURNOS'!$D$4:$D$22,MATCH($J323,'CAT_TURNOS'!$A$4:$A$22,0)),"")</f>
        <v/>
      </c>
      <c r="Q323" s="24">
        <f>IF(AND(LEFT($G323,1)="T",$H323="no"),"sí","no")</f>
        <v/>
      </c>
    </row>
    <row r="324">
      <c r="A324" s="5" t="inlineStr">
        <is>
          <t>2026-S32</t>
        </is>
      </c>
      <c r="B324" s="5" t="inlineStr">
        <is>
          <t>sábado</t>
        </is>
      </c>
      <c r="C324" s="5" t="inlineStr">
        <is>
          <t>Fernando Mendoza</t>
        </is>
      </c>
      <c r="D324" s="24">
        <f>IFERROR(INDEX('TECNICOS'!$D$4:$D$19,MATCH($C324,'TECNICOS'!$B$4:$B$19,0)),"")</f>
        <v/>
      </c>
      <c r="E324" s="24">
        <f>IFERROR(INDEX('TECNICOS'!$C$4:$C$19,MATCH($C324,'TECNICOS'!$B$4:$B$19,0)),"")</f>
        <v/>
      </c>
      <c r="F324" s="24">
        <f>COUNTIFS('TECNICOS'!$F$4:$F$19,"sí",'TECNICOS'!$C$4:$C$19,$E324,'TECNICOS'!$D$4:$D$19,$D324,'TECNICOS'!$H$4:$H$19,"sí")</f>
        <v/>
      </c>
      <c r="G324" s="24">
        <f>IF(OR($C324="",$A324="",$B324="domingo",IFERROR(INDEX('TECNICOS'!$H$4:$H$19,MATCH($C324,'TECNICOS'!$B$4:$B$19,0)),"no")&lt;&gt;"sí"),"",IF(IFERROR(INDEX('TECNICOS'!$F$4:$F$19,MATCH($C324,'TECNICOS'!$B$4:$B$19,0)),"no")&lt;&gt;"sí","B",IF(MOD((IFERROR(INDEX('TECNICOS'!$G$4:$G$19,MATCH($C324,'TECNICOS'!$B$4:$B$19,0)),0)-1)+((DATE(VALUE(LEFT($A324,4)),1,4)-WEEKDAY(DATE(VALUE(LEFT($A324,4)),1,4),2)+1+(VALUE(MID($A324,7,2))-1)*7)-p_semana_referencia)/7,$F324)&lt;($F324-3),"B"&amp;(($F324-3)-MOD((IFERROR(INDEX('TECNICOS'!$G$4:$G$19,MATCH($C324,'TECNICOS'!$B$4:$B$19,0)),0)-1)+((DATE(VALUE(LEFT($A324,4)),1,4)-WEEKDAY(DATE(VALUE(LEFT($A324,4)),1,4),2)+1+(VALUE(MID($A324,7,2))-1)*7)-p_semana_referencia)/7,$F324)),"T"&amp;($F324-MOD((IFERROR(INDEX('TECNICOS'!$G$4:$G$19,MATCH($C324,'TECNICOS'!$B$4:$B$19,0)),0)-1)+((DATE(VALUE(LEFT($A324,4)),1,4)-WEEKDAY(DATE(VALUE(LEFT($A324,4)),1,4),2)+1+(VALUE(MID($A324,7,2))-1)*7)-p_semana_referencia)/7,$F324)))))</f>
        <v/>
      </c>
      <c r="H324" s="24">
        <f>IF(COUNTIFS('PLAN_VACACIONES'!$A$4:$A$103,$C324,'PLAN_VACACIONES'!$B$4:$B$103,"&lt;="&amp;$L324,'PLAN_VACACIONES'!$C$4:$C$103,"&gt;="&amp;$L324)&gt;0,"sí","no")</f>
        <v/>
      </c>
      <c r="I324" s="4" t="n"/>
      <c r="J324" s="24">
        <f>IF($I324&lt;&gt;"",$I324,IF($G324="","",IF($H324="sí","VAC",IF(LEFT($G324,1)="B","B",$G324))))</f>
        <v/>
      </c>
      <c r="K324" s="24">
        <f>IFERROR(INDEX('TECNICOS'!$E$4:$E$19,MATCH($C324,'TECNICOS'!$B$4:$B$19,0)),"")</f>
        <v/>
      </c>
      <c r="L324" s="30">
        <f>IF($A324="","",DATE(VALUE(LEFT($A324,4)),1,4)-WEEKDAY(DATE(VALUE(LEFT($A324,4)),1,4),2)+1+(VALUE(MID($A324,7,2))-1)*7+MATCH($B324,lista_dias,0)-1)</f>
        <v/>
      </c>
      <c r="M324" s="24">
        <f>IF(OR($J324="",ISNUMBER(MATCH($J324,lista_no_disponible,0)),(IFERROR(INDEX('CALENDARIO'!$C$15:$C$214,MATCH(TEXT($L324,"yyyy-mm-dd")&amp;"|"&amp;$D324&amp;"|"&amp;"",'CALENDARIO'!$G$15:$G$214,0)),IFERROR(INDEX('CALENDARIO'!$C$15:$C$214,MATCH(TEXT($L324,"yyyy-mm-dd")&amp;"|"&amp;$D324&amp;"|",'CALENDARIO'!$G$15:$G$214,0)),IFERROR(INDEX('CALENDARIO'!$C$15:$C$214,MATCH(TEXT($L324,"yyyy-mm-dd")&amp;"||",'CALENDARIO'!$G$15:$G$214,0)),INDEX(patronHabil,WEEKDAY($L324,2))))))&lt;&gt;"sí"),0,p_horas_jornada)</f>
        <v/>
      </c>
      <c r="N324" s="24">
        <f>$A324&amp;"|"&amp;$B324&amp;"|"&amp;$C324</f>
        <v/>
      </c>
      <c r="O324" s="24">
        <f>IFERROR(INDEX('CAT_TURNOS'!$C$4:$C$22,MATCH($J324,'CAT_TURNOS'!$A$4:$A$22,0)),"")</f>
        <v/>
      </c>
      <c r="P324" s="24">
        <f>IFERROR(INDEX('CAT_TURNOS'!$D$4:$D$22,MATCH($J324,'CAT_TURNOS'!$A$4:$A$22,0)),"")</f>
        <v/>
      </c>
      <c r="Q324" s="24">
        <f>IF(AND(LEFT($G324,1)="T",$H324="no"),"sí","no")</f>
        <v/>
      </c>
    </row>
    <row r="325">
      <c r="A325" s="5" t="inlineStr">
        <is>
          <t>2026-S32</t>
        </is>
      </c>
      <c r="B325" s="5" t="inlineStr">
        <is>
          <t>domingo</t>
        </is>
      </c>
      <c r="C325" s="5" t="inlineStr">
        <is>
          <t>Fernando Mendoza</t>
        </is>
      </c>
      <c r="D325" s="24">
        <f>IFERROR(INDEX('TECNICOS'!$D$4:$D$19,MATCH($C325,'TECNICOS'!$B$4:$B$19,0)),"")</f>
        <v/>
      </c>
      <c r="E325" s="24">
        <f>IFERROR(INDEX('TECNICOS'!$C$4:$C$19,MATCH($C325,'TECNICOS'!$B$4:$B$19,0)),"")</f>
        <v/>
      </c>
      <c r="F325" s="24">
        <f>COUNTIFS('TECNICOS'!$F$4:$F$19,"sí",'TECNICOS'!$C$4:$C$19,$E325,'TECNICOS'!$D$4:$D$19,$D325,'TECNICOS'!$H$4:$H$19,"sí")</f>
        <v/>
      </c>
      <c r="G325" s="24">
        <f>IF(OR($C325="",$A325="",$B325="domingo",IFERROR(INDEX('TECNICOS'!$H$4:$H$19,MATCH($C325,'TECNICOS'!$B$4:$B$19,0)),"no")&lt;&gt;"sí"),"",IF(IFERROR(INDEX('TECNICOS'!$F$4:$F$19,MATCH($C325,'TECNICOS'!$B$4:$B$19,0)),"no")&lt;&gt;"sí","B",IF(MOD((IFERROR(INDEX('TECNICOS'!$G$4:$G$19,MATCH($C325,'TECNICOS'!$B$4:$B$19,0)),0)-1)+((DATE(VALUE(LEFT($A325,4)),1,4)-WEEKDAY(DATE(VALUE(LEFT($A325,4)),1,4),2)+1+(VALUE(MID($A325,7,2))-1)*7)-p_semana_referencia)/7,$F325)&lt;($F325-3),"B"&amp;(($F325-3)-MOD((IFERROR(INDEX('TECNICOS'!$G$4:$G$19,MATCH($C325,'TECNICOS'!$B$4:$B$19,0)),0)-1)+((DATE(VALUE(LEFT($A325,4)),1,4)-WEEKDAY(DATE(VALUE(LEFT($A325,4)),1,4),2)+1+(VALUE(MID($A325,7,2))-1)*7)-p_semana_referencia)/7,$F325)),"T"&amp;($F325-MOD((IFERROR(INDEX('TECNICOS'!$G$4:$G$19,MATCH($C325,'TECNICOS'!$B$4:$B$19,0)),0)-1)+((DATE(VALUE(LEFT($A325,4)),1,4)-WEEKDAY(DATE(VALUE(LEFT($A325,4)),1,4),2)+1+(VALUE(MID($A325,7,2))-1)*7)-p_semana_referencia)/7,$F325)))))</f>
        <v/>
      </c>
      <c r="H325" s="24">
        <f>IF(COUNTIFS('PLAN_VACACIONES'!$A$4:$A$103,$C325,'PLAN_VACACIONES'!$B$4:$B$103,"&lt;="&amp;$L325,'PLAN_VACACIONES'!$C$4:$C$103,"&gt;="&amp;$L325)&gt;0,"sí","no")</f>
        <v/>
      </c>
      <c r="I325" s="4" t="n"/>
      <c r="J325" s="24">
        <f>IF($I325&lt;&gt;"",$I325,IF($G325="","",IF($H325="sí","VAC",IF(LEFT($G325,1)="B","B",$G325))))</f>
        <v/>
      </c>
      <c r="K325" s="24">
        <f>IFERROR(INDEX('TECNICOS'!$E$4:$E$19,MATCH($C325,'TECNICOS'!$B$4:$B$19,0)),"")</f>
        <v/>
      </c>
      <c r="L325" s="30">
        <f>IF($A325="","",DATE(VALUE(LEFT($A325,4)),1,4)-WEEKDAY(DATE(VALUE(LEFT($A325,4)),1,4),2)+1+(VALUE(MID($A325,7,2))-1)*7+MATCH($B325,lista_dias,0)-1)</f>
        <v/>
      </c>
      <c r="M325" s="24">
        <f>IF(OR($J325="",ISNUMBER(MATCH($J325,lista_no_disponible,0)),(IFERROR(INDEX('CALENDARIO'!$C$15:$C$214,MATCH(TEXT($L325,"yyyy-mm-dd")&amp;"|"&amp;$D325&amp;"|"&amp;"",'CALENDARIO'!$G$15:$G$214,0)),IFERROR(INDEX('CALENDARIO'!$C$15:$C$214,MATCH(TEXT($L325,"yyyy-mm-dd")&amp;"|"&amp;$D325&amp;"|",'CALENDARIO'!$G$15:$G$214,0)),IFERROR(INDEX('CALENDARIO'!$C$15:$C$214,MATCH(TEXT($L325,"yyyy-mm-dd")&amp;"||",'CALENDARIO'!$G$15:$G$214,0)),INDEX(patronHabil,WEEKDAY($L325,2))))))&lt;&gt;"sí"),0,p_horas_jornada)</f>
        <v/>
      </c>
      <c r="N325" s="24">
        <f>$A325&amp;"|"&amp;$B325&amp;"|"&amp;$C325</f>
        <v/>
      </c>
      <c r="O325" s="24">
        <f>IFERROR(INDEX('CAT_TURNOS'!$C$4:$C$22,MATCH($J325,'CAT_TURNOS'!$A$4:$A$22,0)),"")</f>
        <v/>
      </c>
      <c r="P325" s="24">
        <f>IFERROR(INDEX('CAT_TURNOS'!$D$4:$D$22,MATCH($J325,'CAT_TURNOS'!$A$4:$A$22,0)),"")</f>
        <v/>
      </c>
      <c r="Q325" s="24">
        <f>IF(AND(LEFT($G325,1)="T",$H325="no"),"sí","no")</f>
        <v/>
      </c>
    </row>
    <row r="326">
      <c r="A326" s="5" t="inlineStr">
        <is>
          <t>2026-S32</t>
        </is>
      </c>
      <c r="B326" s="5" t="inlineStr">
        <is>
          <t>lunes</t>
        </is>
      </c>
      <c r="C326" s="5" t="inlineStr">
        <is>
          <t>Alberto Vargas</t>
        </is>
      </c>
      <c r="D326" s="24">
        <f>IFERROR(INDEX('TECNICOS'!$D$4:$D$19,MATCH($C326,'TECNICOS'!$B$4:$B$19,0)),"")</f>
        <v/>
      </c>
      <c r="E326" s="24">
        <f>IFERROR(INDEX('TECNICOS'!$C$4:$C$19,MATCH($C326,'TECNICOS'!$B$4:$B$19,0)),"")</f>
        <v/>
      </c>
      <c r="F326" s="24">
        <f>COUNTIFS('TECNICOS'!$F$4:$F$19,"sí",'TECNICOS'!$C$4:$C$19,$E326,'TECNICOS'!$D$4:$D$19,$D326,'TECNICOS'!$H$4:$H$19,"sí")</f>
        <v/>
      </c>
      <c r="G326" s="24">
        <f>IF(OR($C326="",$A326="",$B326="domingo",IFERROR(INDEX('TECNICOS'!$H$4:$H$19,MATCH($C326,'TECNICOS'!$B$4:$B$19,0)),"no")&lt;&gt;"sí"),"",IF(IFERROR(INDEX('TECNICOS'!$F$4:$F$19,MATCH($C326,'TECNICOS'!$B$4:$B$19,0)),"no")&lt;&gt;"sí","B",IF(MOD((IFERROR(INDEX('TECNICOS'!$G$4:$G$19,MATCH($C326,'TECNICOS'!$B$4:$B$19,0)),0)-1)+((DATE(VALUE(LEFT($A326,4)),1,4)-WEEKDAY(DATE(VALUE(LEFT($A326,4)),1,4),2)+1+(VALUE(MID($A326,7,2))-1)*7)-p_semana_referencia)/7,$F326)&lt;($F326-3),"B"&amp;(($F326-3)-MOD((IFERROR(INDEX('TECNICOS'!$G$4:$G$19,MATCH($C326,'TECNICOS'!$B$4:$B$19,0)),0)-1)+((DATE(VALUE(LEFT($A326,4)),1,4)-WEEKDAY(DATE(VALUE(LEFT($A326,4)),1,4),2)+1+(VALUE(MID($A326,7,2))-1)*7)-p_semana_referencia)/7,$F326)),"T"&amp;($F326-MOD((IFERROR(INDEX('TECNICOS'!$G$4:$G$19,MATCH($C326,'TECNICOS'!$B$4:$B$19,0)),0)-1)+((DATE(VALUE(LEFT($A326,4)),1,4)-WEEKDAY(DATE(VALUE(LEFT($A326,4)),1,4),2)+1+(VALUE(MID($A326,7,2))-1)*7)-p_semana_referencia)/7,$F326)))))</f>
        <v/>
      </c>
      <c r="H326" s="24">
        <f>IF(COUNTIFS('PLAN_VACACIONES'!$A$4:$A$103,$C326,'PLAN_VACACIONES'!$B$4:$B$103,"&lt;="&amp;$L326,'PLAN_VACACIONES'!$C$4:$C$103,"&gt;="&amp;$L326)&gt;0,"sí","no")</f>
        <v/>
      </c>
      <c r="I326" s="4" t="n"/>
      <c r="J326" s="24">
        <f>IF($I326&lt;&gt;"",$I326,IF($G326="","",IF($H326="sí","VAC",IF(LEFT($G326,1)="B","B",$G326))))</f>
        <v/>
      </c>
      <c r="K326" s="24">
        <f>IFERROR(INDEX('TECNICOS'!$E$4:$E$19,MATCH($C326,'TECNICOS'!$B$4:$B$19,0)),"")</f>
        <v/>
      </c>
      <c r="L326" s="30">
        <f>IF($A326="","",DATE(VALUE(LEFT($A326,4)),1,4)-WEEKDAY(DATE(VALUE(LEFT($A326,4)),1,4),2)+1+(VALUE(MID($A326,7,2))-1)*7+MATCH($B326,lista_dias,0)-1)</f>
        <v/>
      </c>
      <c r="M326" s="24">
        <f>IF(OR($J326="",ISNUMBER(MATCH($J326,lista_no_disponible,0)),(IFERROR(INDEX('CALENDARIO'!$C$15:$C$214,MATCH(TEXT($L326,"yyyy-mm-dd")&amp;"|"&amp;$D326&amp;"|"&amp;"",'CALENDARIO'!$G$15:$G$214,0)),IFERROR(INDEX('CALENDARIO'!$C$15:$C$214,MATCH(TEXT($L326,"yyyy-mm-dd")&amp;"|"&amp;$D326&amp;"|",'CALENDARIO'!$G$15:$G$214,0)),IFERROR(INDEX('CALENDARIO'!$C$15:$C$214,MATCH(TEXT($L326,"yyyy-mm-dd")&amp;"||",'CALENDARIO'!$G$15:$G$214,0)),INDEX(patronHabil,WEEKDAY($L326,2))))))&lt;&gt;"sí"),0,p_horas_jornada)</f>
        <v/>
      </c>
      <c r="N326" s="24">
        <f>$A326&amp;"|"&amp;$B326&amp;"|"&amp;$C326</f>
        <v/>
      </c>
      <c r="O326" s="24">
        <f>IFERROR(INDEX('CAT_TURNOS'!$C$4:$C$22,MATCH($J326,'CAT_TURNOS'!$A$4:$A$22,0)),"")</f>
        <v/>
      </c>
      <c r="P326" s="24">
        <f>IFERROR(INDEX('CAT_TURNOS'!$D$4:$D$22,MATCH($J326,'CAT_TURNOS'!$A$4:$A$22,0)),"")</f>
        <v/>
      </c>
      <c r="Q326" s="24">
        <f>IF(AND(LEFT($G326,1)="T",$H326="no"),"sí","no")</f>
        <v/>
      </c>
    </row>
    <row r="327">
      <c r="A327" s="5" t="inlineStr">
        <is>
          <t>2026-S32</t>
        </is>
      </c>
      <c r="B327" s="5" t="inlineStr">
        <is>
          <t>martes</t>
        </is>
      </c>
      <c r="C327" s="5" t="inlineStr">
        <is>
          <t>Alberto Vargas</t>
        </is>
      </c>
      <c r="D327" s="24">
        <f>IFERROR(INDEX('TECNICOS'!$D$4:$D$19,MATCH($C327,'TECNICOS'!$B$4:$B$19,0)),"")</f>
        <v/>
      </c>
      <c r="E327" s="24">
        <f>IFERROR(INDEX('TECNICOS'!$C$4:$C$19,MATCH($C327,'TECNICOS'!$B$4:$B$19,0)),"")</f>
        <v/>
      </c>
      <c r="F327" s="24">
        <f>COUNTIFS('TECNICOS'!$F$4:$F$19,"sí",'TECNICOS'!$C$4:$C$19,$E327,'TECNICOS'!$D$4:$D$19,$D327,'TECNICOS'!$H$4:$H$19,"sí")</f>
        <v/>
      </c>
      <c r="G327" s="24">
        <f>IF(OR($C327="",$A327="",$B327="domingo",IFERROR(INDEX('TECNICOS'!$H$4:$H$19,MATCH($C327,'TECNICOS'!$B$4:$B$19,0)),"no")&lt;&gt;"sí"),"",IF(IFERROR(INDEX('TECNICOS'!$F$4:$F$19,MATCH($C327,'TECNICOS'!$B$4:$B$19,0)),"no")&lt;&gt;"sí","B",IF(MOD((IFERROR(INDEX('TECNICOS'!$G$4:$G$19,MATCH($C327,'TECNICOS'!$B$4:$B$19,0)),0)-1)+((DATE(VALUE(LEFT($A327,4)),1,4)-WEEKDAY(DATE(VALUE(LEFT($A327,4)),1,4),2)+1+(VALUE(MID($A327,7,2))-1)*7)-p_semana_referencia)/7,$F327)&lt;($F327-3),"B"&amp;(($F327-3)-MOD((IFERROR(INDEX('TECNICOS'!$G$4:$G$19,MATCH($C327,'TECNICOS'!$B$4:$B$19,0)),0)-1)+((DATE(VALUE(LEFT($A327,4)),1,4)-WEEKDAY(DATE(VALUE(LEFT($A327,4)),1,4),2)+1+(VALUE(MID($A327,7,2))-1)*7)-p_semana_referencia)/7,$F327)),"T"&amp;($F327-MOD((IFERROR(INDEX('TECNICOS'!$G$4:$G$19,MATCH($C327,'TECNICOS'!$B$4:$B$19,0)),0)-1)+((DATE(VALUE(LEFT($A327,4)),1,4)-WEEKDAY(DATE(VALUE(LEFT($A327,4)),1,4),2)+1+(VALUE(MID($A327,7,2))-1)*7)-p_semana_referencia)/7,$F327)))))</f>
        <v/>
      </c>
      <c r="H327" s="24">
        <f>IF(COUNTIFS('PLAN_VACACIONES'!$A$4:$A$103,$C327,'PLAN_VACACIONES'!$B$4:$B$103,"&lt;="&amp;$L327,'PLAN_VACACIONES'!$C$4:$C$103,"&gt;="&amp;$L327)&gt;0,"sí","no")</f>
        <v/>
      </c>
      <c r="I327" s="4" t="n"/>
      <c r="J327" s="24">
        <f>IF($I327&lt;&gt;"",$I327,IF($G327="","",IF($H327="sí","VAC",IF(LEFT($G327,1)="B","B",$G327))))</f>
        <v/>
      </c>
      <c r="K327" s="24">
        <f>IFERROR(INDEX('TECNICOS'!$E$4:$E$19,MATCH($C327,'TECNICOS'!$B$4:$B$19,0)),"")</f>
        <v/>
      </c>
      <c r="L327" s="30">
        <f>IF($A327="","",DATE(VALUE(LEFT($A327,4)),1,4)-WEEKDAY(DATE(VALUE(LEFT($A327,4)),1,4),2)+1+(VALUE(MID($A327,7,2))-1)*7+MATCH($B327,lista_dias,0)-1)</f>
        <v/>
      </c>
      <c r="M327" s="24">
        <f>IF(OR($J327="",ISNUMBER(MATCH($J327,lista_no_disponible,0)),(IFERROR(INDEX('CALENDARIO'!$C$15:$C$214,MATCH(TEXT($L327,"yyyy-mm-dd")&amp;"|"&amp;$D327&amp;"|"&amp;"",'CALENDARIO'!$G$15:$G$214,0)),IFERROR(INDEX('CALENDARIO'!$C$15:$C$214,MATCH(TEXT($L327,"yyyy-mm-dd")&amp;"|"&amp;$D327&amp;"|",'CALENDARIO'!$G$15:$G$214,0)),IFERROR(INDEX('CALENDARIO'!$C$15:$C$214,MATCH(TEXT($L327,"yyyy-mm-dd")&amp;"||",'CALENDARIO'!$G$15:$G$214,0)),INDEX(patronHabil,WEEKDAY($L327,2))))))&lt;&gt;"sí"),0,p_horas_jornada)</f>
        <v/>
      </c>
      <c r="N327" s="24">
        <f>$A327&amp;"|"&amp;$B327&amp;"|"&amp;$C327</f>
        <v/>
      </c>
      <c r="O327" s="24">
        <f>IFERROR(INDEX('CAT_TURNOS'!$C$4:$C$22,MATCH($J327,'CAT_TURNOS'!$A$4:$A$22,0)),"")</f>
        <v/>
      </c>
      <c r="P327" s="24">
        <f>IFERROR(INDEX('CAT_TURNOS'!$D$4:$D$22,MATCH($J327,'CAT_TURNOS'!$A$4:$A$22,0)),"")</f>
        <v/>
      </c>
      <c r="Q327" s="24">
        <f>IF(AND(LEFT($G327,1)="T",$H327="no"),"sí","no")</f>
        <v/>
      </c>
    </row>
    <row r="328">
      <c r="A328" s="5" t="inlineStr">
        <is>
          <t>2026-S32</t>
        </is>
      </c>
      <c r="B328" s="5" t="inlineStr">
        <is>
          <t>miércoles</t>
        </is>
      </c>
      <c r="C328" s="5" t="inlineStr">
        <is>
          <t>Alberto Vargas</t>
        </is>
      </c>
      <c r="D328" s="24">
        <f>IFERROR(INDEX('TECNICOS'!$D$4:$D$19,MATCH($C328,'TECNICOS'!$B$4:$B$19,0)),"")</f>
        <v/>
      </c>
      <c r="E328" s="24">
        <f>IFERROR(INDEX('TECNICOS'!$C$4:$C$19,MATCH($C328,'TECNICOS'!$B$4:$B$19,0)),"")</f>
        <v/>
      </c>
      <c r="F328" s="24">
        <f>COUNTIFS('TECNICOS'!$F$4:$F$19,"sí",'TECNICOS'!$C$4:$C$19,$E328,'TECNICOS'!$D$4:$D$19,$D328,'TECNICOS'!$H$4:$H$19,"sí")</f>
        <v/>
      </c>
      <c r="G328" s="24">
        <f>IF(OR($C328="",$A328="",$B328="domingo",IFERROR(INDEX('TECNICOS'!$H$4:$H$19,MATCH($C328,'TECNICOS'!$B$4:$B$19,0)),"no")&lt;&gt;"sí"),"",IF(IFERROR(INDEX('TECNICOS'!$F$4:$F$19,MATCH($C328,'TECNICOS'!$B$4:$B$19,0)),"no")&lt;&gt;"sí","B",IF(MOD((IFERROR(INDEX('TECNICOS'!$G$4:$G$19,MATCH($C328,'TECNICOS'!$B$4:$B$19,0)),0)-1)+((DATE(VALUE(LEFT($A328,4)),1,4)-WEEKDAY(DATE(VALUE(LEFT($A328,4)),1,4),2)+1+(VALUE(MID($A328,7,2))-1)*7)-p_semana_referencia)/7,$F328)&lt;($F328-3),"B"&amp;(($F328-3)-MOD((IFERROR(INDEX('TECNICOS'!$G$4:$G$19,MATCH($C328,'TECNICOS'!$B$4:$B$19,0)),0)-1)+((DATE(VALUE(LEFT($A328,4)),1,4)-WEEKDAY(DATE(VALUE(LEFT($A328,4)),1,4),2)+1+(VALUE(MID($A328,7,2))-1)*7)-p_semana_referencia)/7,$F328)),"T"&amp;($F328-MOD((IFERROR(INDEX('TECNICOS'!$G$4:$G$19,MATCH($C328,'TECNICOS'!$B$4:$B$19,0)),0)-1)+((DATE(VALUE(LEFT($A328,4)),1,4)-WEEKDAY(DATE(VALUE(LEFT($A328,4)),1,4),2)+1+(VALUE(MID($A328,7,2))-1)*7)-p_semana_referencia)/7,$F328)))))</f>
        <v/>
      </c>
      <c r="H328" s="24">
        <f>IF(COUNTIFS('PLAN_VACACIONES'!$A$4:$A$103,$C328,'PLAN_VACACIONES'!$B$4:$B$103,"&lt;="&amp;$L328,'PLAN_VACACIONES'!$C$4:$C$103,"&gt;="&amp;$L328)&gt;0,"sí","no")</f>
        <v/>
      </c>
      <c r="I328" s="4" t="n"/>
      <c r="J328" s="24">
        <f>IF($I328&lt;&gt;"",$I328,IF($G328="","",IF($H328="sí","VAC",IF(LEFT($G328,1)="B","B",$G328))))</f>
        <v/>
      </c>
      <c r="K328" s="24">
        <f>IFERROR(INDEX('TECNICOS'!$E$4:$E$19,MATCH($C328,'TECNICOS'!$B$4:$B$19,0)),"")</f>
        <v/>
      </c>
      <c r="L328" s="30">
        <f>IF($A328="","",DATE(VALUE(LEFT($A328,4)),1,4)-WEEKDAY(DATE(VALUE(LEFT($A328,4)),1,4),2)+1+(VALUE(MID($A328,7,2))-1)*7+MATCH($B328,lista_dias,0)-1)</f>
        <v/>
      </c>
      <c r="M328" s="24">
        <f>IF(OR($J328="",ISNUMBER(MATCH($J328,lista_no_disponible,0)),(IFERROR(INDEX('CALENDARIO'!$C$15:$C$214,MATCH(TEXT($L328,"yyyy-mm-dd")&amp;"|"&amp;$D328&amp;"|"&amp;"",'CALENDARIO'!$G$15:$G$214,0)),IFERROR(INDEX('CALENDARIO'!$C$15:$C$214,MATCH(TEXT($L328,"yyyy-mm-dd")&amp;"|"&amp;$D328&amp;"|",'CALENDARIO'!$G$15:$G$214,0)),IFERROR(INDEX('CALENDARIO'!$C$15:$C$214,MATCH(TEXT($L328,"yyyy-mm-dd")&amp;"||",'CALENDARIO'!$G$15:$G$214,0)),INDEX(patronHabil,WEEKDAY($L328,2))))))&lt;&gt;"sí"),0,p_horas_jornada)</f>
        <v/>
      </c>
      <c r="N328" s="24">
        <f>$A328&amp;"|"&amp;$B328&amp;"|"&amp;$C328</f>
        <v/>
      </c>
      <c r="O328" s="24">
        <f>IFERROR(INDEX('CAT_TURNOS'!$C$4:$C$22,MATCH($J328,'CAT_TURNOS'!$A$4:$A$22,0)),"")</f>
        <v/>
      </c>
      <c r="P328" s="24">
        <f>IFERROR(INDEX('CAT_TURNOS'!$D$4:$D$22,MATCH($J328,'CAT_TURNOS'!$A$4:$A$22,0)),"")</f>
        <v/>
      </c>
      <c r="Q328" s="24">
        <f>IF(AND(LEFT($G328,1)="T",$H328="no"),"sí","no")</f>
        <v/>
      </c>
    </row>
    <row r="329">
      <c r="A329" s="5" t="inlineStr">
        <is>
          <t>2026-S32</t>
        </is>
      </c>
      <c r="B329" s="5" t="inlineStr">
        <is>
          <t>jueves</t>
        </is>
      </c>
      <c r="C329" s="5" t="inlineStr">
        <is>
          <t>Alberto Vargas</t>
        </is>
      </c>
      <c r="D329" s="24">
        <f>IFERROR(INDEX('TECNICOS'!$D$4:$D$19,MATCH($C329,'TECNICOS'!$B$4:$B$19,0)),"")</f>
        <v/>
      </c>
      <c r="E329" s="24">
        <f>IFERROR(INDEX('TECNICOS'!$C$4:$C$19,MATCH($C329,'TECNICOS'!$B$4:$B$19,0)),"")</f>
        <v/>
      </c>
      <c r="F329" s="24">
        <f>COUNTIFS('TECNICOS'!$F$4:$F$19,"sí",'TECNICOS'!$C$4:$C$19,$E329,'TECNICOS'!$D$4:$D$19,$D329,'TECNICOS'!$H$4:$H$19,"sí")</f>
        <v/>
      </c>
      <c r="G329" s="24">
        <f>IF(OR($C329="",$A329="",$B329="domingo",IFERROR(INDEX('TECNICOS'!$H$4:$H$19,MATCH($C329,'TECNICOS'!$B$4:$B$19,0)),"no")&lt;&gt;"sí"),"",IF(IFERROR(INDEX('TECNICOS'!$F$4:$F$19,MATCH($C329,'TECNICOS'!$B$4:$B$19,0)),"no")&lt;&gt;"sí","B",IF(MOD((IFERROR(INDEX('TECNICOS'!$G$4:$G$19,MATCH($C329,'TECNICOS'!$B$4:$B$19,0)),0)-1)+((DATE(VALUE(LEFT($A329,4)),1,4)-WEEKDAY(DATE(VALUE(LEFT($A329,4)),1,4),2)+1+(VALUE(MID($A329,7,2))-1)*7)-p_semana_referencia)/7,$F329)&lt;($F329-3),"B"&amp;(($F329-3)-MOD((IFERROR(INDEX('TECNICOS'!$G$4:$G$19,MATCH($C329,'TECNICOS'!$B$4:$B$19,0)),0)-1)+((DATE(VALUE(LEFT($A329,4)),1,4)-WEEKDAY(DATE(VALUE(LEFT($A329,4)),1,4),2)+1+(VALUE(MID($A329,7,2))-1)*7)-p_semana_referencia)/7,$F329)),"T"&amp;($F329-MOD((IFERROR(INDEX('TECNICOS'!$G$4:$G$19,MATCH($C329,'TECNICOS'!$B$4:$B$19,0)),0)-1)+((DATE(VALUE(LEFT($A329,4)),1,4)-WEEKDAY(DATE(VALUE(LEFT($A329,4)),1,4),2)+1+(VALUE(MID($A329,7,2))-1)*7)-p_semana_referencia)/7,$F329)))))</f>
        <v/>
      </c>
      <c r="H329" s="24">
        <f>IF(COUNTIFS('PLAN_VACACIONES'!$A$4:$A$103,$C329,'PLAN_VACACIONES'!$B$4:$B$103,"&lt;="&amp;$L329,'PLAN_VACACIONES'!$C$4:$C$103,"&gt;="&amp;$L329)&gt;0,"sí","no")</f>
        <v/>
      </c>
      <c r="I329" s="4" t="n"/>
      <c r="J329" s="24">
        <f>IF($I329&lt;&gt;"",$I329,IF($G329="","",IF($H329="sí","VAC",IF(LEFT($G329,1)="B","B",$G329))))</f>
        <v/>
      </c>
      <c r="K329" s="24">
        <f>IFERROR(INDEX('TECNICOS'!$E$4:$E$19,MATCH($C329,'TECNICOS'!$B$4:$B$19,0)),"")</f>
        <v/>
      </c>
      <c r="L329" s="30">
        <f>IF($A329="","",DATE(VALUE(LEFT($A329,4)),1,4)-WEEKDAY(DATE(VALUE(LEFT($A329,4)),1,4),2)+1+(VALUE(MID($A329,7,2))-1)*7+MATCH($B329,lista_dias,0)-1)</f>
        <v/>
      </c>
      <c r="M329" s="24">
        <f>IF(OR($J329="",ISNUMBER(MATCH($J329,lista_no_disponible,0)),(IFERROR(INDEX('CALENDARIO'!$C$15:$C$214,MATCH(TEXT($L329,"yyyy-mm-dd")&amp;"|"&amp;$D329&amp;"|"&amp;"",'CALENDARIO'!$G$15:$G$214,0)),IFERROR(INDEX('CALENDARIO'!$C$15:$C$214,MATCH(TEXT($L329,"yyyy-mm-dd")&amp;"|"&amp;$D329&amp;"|",'CALENDARIO'!$G$15:$G$214,0)),IFERROR(INDEX('CALENDARIO'!$C$15:$C$214,MATCH(TEXT($L329,"yyyy-mm-dd")&amp;"||",'CALENDARIO'!$G$15:$G$214,0)),INDEX(patronHabil,WEEKDAY($L329,2))))))&lt;&gt;"sí"),0,p_horas_jornada)</f>
        <v/>
      </c>
      <c r="N329" s="24">
        <f>$A329&amp;"|"&amp;$B329&amp;"|"&amp;$C329</f>
        <v/>
      </c>
      <c r="O329" s="24">
        <f>IFERROR(INDEX('CAT_TURNOS'!$C$4:$C$22,MATCH($J329,'CAT_TURNOS'!$A$4:$A$22,0)),"")</f>
        <v/>
      </c>
      <c r="P329" s="24">
        <f>IFERROR(INDEX('CAT_TURNOS'!$D$4:$D$22,MATCH($J329,'CAT_TURNOS'!$A$4:$A$22,0)),"")</f>
        <v/>
      </c>
      <c r="Q329" s="24">
        <f>IF(AND(LEFT($G329,1)="T",$H329="no"),"sí","no")</f>
        <v/>
      </c>
    </row>
    <row r="330">
      <c r="A330" s="5" t="inlineStr">
        <is>
          <t>2026-S32</t>
        </is>
      </c>
      <c r="B330" s="5" t="inlineStr">
        <is>
          <t>viernes</t>
        </is>
      </c>
      <c r="C330" s="5" t="inlineStr">
        <is>
          <t>Alberto Vargas</t>
        </is>
      </c>
      <c r="D330" s="24">
        <f>IFERROR(INDEX('TECNICOS'!$D$4:$D$19,MATCH($C330,'TECNICOS'!$B$4:$B$19,0)),"")</f>
        <v/>
      </c>
      <c r="E330" s="24">
        <f>IFERROR(INDEX('TECNICOS'!$C$4:$C$19,MATCH($C330,'TECNICOS'!$B$4:$B$19,0)),"")</f>
        <v/>
      </c>
      <c r="F330" s="24">
        <f>COUNTIFS('TECNICOS'!$F$4:$F$19,"sí",'TECNICOS'!$C$4:$C$19,$E330,'TECNICOS'!$D$4:$D$19,$D330,'TECNICOS'!$H$4:$H$19,"sí")</f>
        <v/>
      </c>
      <c r="G330" s="24">
        <f>IF(OR($C330="",$A330="",$B330="domingo",IFERROR(INDEX('TECNICOS'!$H$4:$H$19,MATCH($C330,'TECNICOS'!$B$4:$B$19,0)),"no")&lt;&gt;"sí"),"",IF(IFERROR(INDEX('TECNICOS'!$F$4:$F$19,MATCH($C330,'TECNICOS'!$B$4:$B$19,0)),"no")&lt;&gt;"sí","B",IF(MOD((IFERROR(INDEX('TECNICOS'!$G$4:$G$19,MATCH($C330,'TECNICOS'!$B$4:$B$19,0)),0)-1)+((DATE(VALUE(LEFT($A330,4)),1,4)-WEEKDAY(DATE(VALUE(LEFT($A330,4)),1,4),2)+1+(VALUE(MID($A330,7,2))-1)*7)-p_semana_referencia)/7,$F330)&lt;($F330-3),"B"&amp;(($F330-3)-MOD((IFERROR(INDEX('TECNICOS'!$G$4:$G$19,MATCH($C330,'TECNICOS'!$B$4:$B$19,0)),0)-1)+((DATE(VALUE(LEFT($A330,4)),1,4)-WEEKDAY(DATE(VALUE(LEFT($A330,4)),1,4),2)+1+(VALUE(MID($A330,7,2))-1)*7)-p_semana_referencia)/7,$F330)),"T"&amp;($F330-MOD((IFERROR(INDEX('TECNICOS'!$G$4:$G$19,MATCH($C330,'TECNICOS'!$B$4:$B$19,0)),0)-1)+((DATE(VALUE(LEFT($A330,4)),1,4)-WEEKDAY(DATE(VALUE(LEFT($A330,4)),1,4),2)+1+(VALUE(MID($A330,7,2))-1)*7)-p_semana_referencia)/7,$F330)))))</f>
        <v/>
      </c>
      <c r="H330" s="24">
        <f>IF(COUNTIFS('PLAN_VACACIONES'!$A$4:$A$103,$C330,'PLAN_VACACIONES'!$B$4:$B$103,"&lt;="&amp;$L330,'PLAN_VACACIONES'!$C$4:$C$103,"&gt;="&amp;$L330)&gt;0,"sí","no")</f>
        <v/>
      </c>
      <c r="I330" s="4" t="n"/>
      <c r="J330" s="24">
        <f>IF($I330&lt;&gt;"",$I330,IF($G330="","",IF($H330="sí","VAC",IF(LEFT($G330,1)="B","B",$G330))))</f>
        <v/>
      </c>
      <c r="K330" s="24">
        <f>IFERROR(INDEX('TECNICOS'!$E$4:$E$19,MATCH($C330,'TECNICOS'!$B$4:$B$19,0)),"")</f>
        <v/>
      </c>
      <c r="L330" s="30">
        <f>IF($A330="","",DATE(VALUE(LEFT($A330,4)),1,4)-WEEKDAY(DATE(VALUE(LEFT($A330,4)),1,4),2)+1+(VALUE(MID($A330,7,2))-1)*7+MATCH($B330,lista_dias,0)-1)</f>
        <v/>
      </c>
      <c r="M330" s="24">
        <f>IF(OR($J330="",ISNUMBER(MATCH($J330,lista_no_disponible,0)),(IFERROR(INDEX('CALENDARIO'!$C$15:$C$214,MATCH(TEXT($L330,"yyyy-mm-dd")&amp;"|"&amp;$D330&amp;"|"&amp;"",'CALENDARIO'!$G$15:$G$214,0)),IFERROR(INDEX('CALENDARIO'!$C$15:$C$214,MATCH(TEXT($L330,"yyyy-mm-dd")&amp;"|"&amp;$D330&amp;"|",'CALENDARIO'!$G$15:$G$214,0)),IFERROR(INDEX('CALENDARIO'!$C$15:$C$214,MATCH(TEXT($L330,"yyyy-mm-dd")&amp;"||",'CALENDARIO'!$G$15:$G$214,0)),INDEX(patronHabil,WEEKDAY($L330,2))))))&lt;&gt;"sí"),0,p_horas_jornada)</f>
        <v/>
      </c>
      <c r="N330" s="24">
        <f>$A330&amp;"|"&amp;$B330&amp;"|"&amp;$C330</f>
        <v/>
      </c>
      <c r="O330" s="24">
        <f>IFERROR(INDEX('CAT_TURNOS'!$C$4:$C$22,MATCH($J330,'CAT_TURNOS'!$A$4:$A$22,0)),"")</f>
        <v/>
      </c>
      <c r="P330" s="24">
        <f>IFERROR(INDEX('CAT_TURNOS'!$D$4:$D$22,MATCH($J330,'CAT_TURNOS'!$A$4:$A$22,0)),"")</f>
        <v/>
      </c>
      <c r="Q330" s="24">
        <f>IF(AND(LEFT($G330,1)="T",$H330="no"),"sí","no")</f>
        <v/>
      </c>
    </row>
    <row r="331">
      <c r="A331" s="5" t="inlineStr">
        <is>
          <t>2026-S32</t>
        </is>
      </c>
      <c r="B331" s="5" t="inlineStr">
        <is>
          <t>sábado</t>
        </is>
      </c>
      <c r="C331" s="5" t="inlineStr">
        <is>
          <t>Alberto Vargas</t>
        </is>
      </c>
      <c r="D331" s="24">
        <f>IFERROR(INDEX('TECNICOS'!$D$4:$D$19,MATCH($C331,'TECNICOS'!$B$4:$B$19,0)),"")</f>
        <v/>
      </c>
      <c r="E331" s="24">
        <f>IFERROR(INDEX('TECNICOS'!$C$4:$C$19,MATCH($C331,'TECNICOS'!$B$4:$B$19,0)),"")</f>
        <v/>
      </c>
      <c r="F331" s="24">
        <f>COUNTIFS('TECNICOS'!$F$4:$F$19,"sí",'TECNICOS'!$C$4:$C$19,$E331,'TECNICOS'!$D$4:$D$19,$D331,'TECNICOS'!$H$4:$H$19,"sí")</f>
        <v/>
      </c>
      <c r="G331" s="24">
        <f>IF(OR($C331="",$A331="",$B331="domingo",IFERROR(INDEX('TECNICOS'!$H$4:$H$19,MATCH($C331,'TECNICOS'!$B$4:$B$19,0)),"no")&lt;&gt;"sí"),"",IF(IFERROR(INDEX('TECNICOS'!$F$4:$F$19,MATCH($C331,'TECNICOS'!$B$4:$B$19,0)),"no")&lt;&gt;"sí","B",IF(MOD((IFERROR(INDEX('TECNICOS'!$G$4:$G$19,MATCH($C331,'TECNICOS'!$B$4:$B$19,0)),0)-1)+((DATE(VALUE(LEFT($A331,4)),1,4)-WEEKDAY(DATE(VALUE(LEFT($A331,4)),1,4),2)+1+(VALUE(MID($A331,7,2))-1)*7)-p_semana_referencia)/7,$F331)&lt;($F331-3),"B"&amp;(($F331-3)-MOD((IFERROR(INDEX('TECNICOS'!$G$4:$G$19,MATCH($C331,'TECNICOS'!$B$4:$B$19,0)),0)-1)+((DATE(VALUE(LEFT($A331,4)),1,4)-WEEKDAY(DATE(VALUE(LEFT($A331,4)),1,4),2)+1+(VALUE(MID($A331,7,2))-1)*7)-p_semana_referencia)/7,$F331)),"T"&amp;($F331-MOD((IFERROR(INDEX('TECNICOS'!$G$4:$G$19,MATCH($C331,'TECNICOS'!$B$4:$B$19,0)),0)-1)+((DATE(VALUE(LEFT($A331,4)),1,4)-WEEKDAY(DATE(VALUE(LEFT($A331,4)),1,4),2)+1+(VALUE(MID($A331,7,2))-1)*7)-p_semana_referencia)/7,$F331)))))</f>
        <v/>
      </c>
      <c r="H331" s="24">
        <f>IF(COUNTIFS('PLAN_VACACIONES'!$A$4:$A$103,$C331,'PLAN_VACACIONES'!$B$4:$B$103,"&lt;="&amp;$L331,'PLAN_VACACIONES'!$C$4:$C$103,"&gt;="&amp;$L331)&gt;0,"sí","no")</f>
        <v/>
      </c>
      <c r="I331" s="4" t="n"/>
      <c r="J331" s="24">
        <f>IF($I331&lt;&gt;"",$I331,IF($G331="","",IF($H331="sí","VAC",IF(LEFT($G331,1)="B","B",$G331))))</f>
        <v/>
      </c>
      <c r="K331" s="24">
        <f>IFERROR(INDEX('TECNICOS'!$E$4:$E$19,MATCH($C331,'TECNICOS'!$B$4:$B$19,0)),"")</f>
        <v/>
      </c>
      <c r="L331" s="30">
        <f>IF($A331="","",DATE(VALUE(LEFT($A331,4)),1,4)-WEEKDAY(DATE(VALUE(LEFT($A331,4)),1,4),2)+1+(VALUE(MID($A331,7,2))-1)*7+MATCH($B331,lista_dias,0)-1)</f>
        <v/>
      </c>
      <c r="M331" s="24">
        <f>IF(OR($J331="",ISNUMBER(MATCH($J331,lista_no_disponible,0)),(IFERROR(INDEX('CALENDARIO'!$C$15:$C$214,MATCH(TEXT($L331,"yyyy-mm-dd")&amp;"|"&amp;$D331&amp;"|"&amp;"",'CALENDARIO'!$G$15:$G$214,0)),IFERROR(INDEX('CALENDARIO'!$C$15:$C$214,MATCH(TEXT($L331,"yyyy-mm-dd")&amp;"|"&amp;$D331&amp;"|",'CALENDARIO'!$G$15:$G$214,0)),IFERROR(INDEX('CALENDARIO'!$C$15:$C$214,MATCH(TEXT($L331,"yyyy-mm-dd")&amp;"||",'CALENDARIO'!$G$15:$G$214,0)),INDEX(patronHabil,WEEKDAY($L331,2))))))&lt;&gt;"sí"),0,p_horas_jornada)</f>
        <v/>
      </c>
      <c r="N331" s="24">
        <f>$A331&amp;"|"&amp;$B331&amp;"|"&amp;$C331</f>
        <v/>
      </c>
      <c r="O331" s="24">
        <f>IFERROR(INDEX('CAT_TURNOS'!$C$4:$C$22,MATCH($J331,'CAT_TURNOS'!$A$4:$A$22,0)),"")</f>
        <v/>
      </c>
      <c r="P331" s="24">
        <f>IFERROR(INDEX('CAT_TURNOS'!$D$4:$D$22,MATCH($J331,'CAT_TURNOS'!$A$4:$A$22,0)),"")</f>
        <v/>
      </c>
      <c r="Q331" s="24">
        <f>IF(AND(LEFT($G331,1)="T",$H331="no"),"sí","no")</f>
        <v/>
      </c>
    </row>
    <row r="332">
      <c r="A332" s="5" t="inlineStr">
        <is>
          <t>2026-S32</t>
        </is>
      </c>
      <c r="B332" s="5" t="inlineStr">
        <is>
          <t>domingo</t>
        </is>
      </c>
      <c r="C332" s="5" t="inlineStr">
        <is>
          <t>Alberto Vargas</t>
        </is>
      </c>
      <c r="D332" s="24">
        <f>IFERROR(INDEX('TECNICOS'!$D$4:$D$19,MATCH($C332,'TECNICOS'!$B$4:$B$19,0)),"")</f>
        <v/>
      </c>
      <c r="E332" s="24">
        <f>IFERROR(INDEX('TECNICOS'!$C$4:$C$19,MATCH($C332,'TECNICOS'!$B$4:$B$19,0)),"")</f>
        <v/>
      </c>
      <c r="F332" s="24">
        <f>COUNTIFS('TECNICOS'!$F$4:$F$19,"sí",'TECNICOS'!$C$4:$C$19,$E332,'TECNICOS'!$D$4:$D$19,$D332,'TECNICOS'!$H$4:$H$19,"sí")</f>
        <v/>
      </c>
      <c r="G332" s="24">
        <f>IF(OR($C332="",$A332="",$B332="domingo",IFERROR(INDEX('TECNICOS'!$H$4:$H$19,MATCH($C332,'TECNICOS'!$B$4:$B$19,0)),"no")&lt;&gt;"sí"),"",IF(IFERROR(INDEX('TECNICOS'!$F$4:$F$19,MATCH($C332,'TECNICOS'!$B$4:$B$19,0)),"no")&lt;&gt;"sí","B",IF(MOD((IFERROR(INDEX('TECNICOS'!$G$4:$G$19,MATCH($C332,'TECNICOS'!$B$4:$B$19,0)),0)-1)+((DATE(VALUE(LEFT($A332,4)),1,4)-WEEKDAY(DATE(VALUE(LEFT($A332,4)),1,4),2)+1+(VALUE(MID($A332,7,2))-1)*7)-p_semana_referencia)/7,$F332)&lt;($F332-3),"B"&amp;(($F332-3)-MOD((IFERROR(INDEX('TECNICOS'!$G$4:$G$19,MATCH($C332,'TECNICOS'!$B$4:$B$19,0)),0)-1)+((DATE(VALUE(LEFT($A332,4)),1,4)-WEEKDAY(DATE(VALUE(LEFT($A332,4)),1,4),2)+1+(VALUE(MID($A332,7,2))-1)*7)-p_semana_referencia)/7,$F332)),"T"&amp;($F332-MOD((IFERROR(INDEX('TECNICOS'!$G$4:$G$19,MATCH($C332,'TECNICOS'!$B$4:$B$19,0)),0)-1)+((DATE(VALUE(LEFT($A332,4)),1,4)-WEEKDAY(DATE(VALUE(LEFT($A332,4)),1,4),2)+1+(VALUE(MID($A332,7,2))-1)*7)-p_semana_referencia)/7,$F332)))))</f>
        <v/>
      </c>
      <c r="H332" s="24">
        <f>IF(COUNTIFS('PLAN_VACACIONES'!$A$4:$A$103,$C332,'PLAN_VACACIONES'!$B$4:$B$103,"&lt;="&amp;$L332,'PLAN_VACACIONES'!$C$4:$C$103,"&gt;="&amp;$L332)&gt;0,"sí","no")</f>
        <v/>
      </c>
      <c r="I332" s="4" t="n"/>
      <c r="J332" s="24">
        <f>IF($I332&lt;&gt;"",$I332,IF($G332="","",IF($H332="sí","VAC",IF(LEFT($G332,1)="B","B",$G332))))</f>
        <v/>
      </c>
      <c r="K332" s="24">
        <f>IFERROR(INDEX('TECNICOS'!$E$4:$E$19,MATCH($C332,'TECNICOS'!$B$4:$B$19,0)),"")</f>
        <v/>
      </c>
      <c r="L332" s="30">
        <f>IF($A332="","",DATE(VALUE(LEFT($A332,4)),1,4)-WEEKDAY(DATE(VALUE(LEFT($A332,4)),1,4),2)+1+(VALUE(MID($A332,7,2))-1)*7+MATCH($B332,lista_dias,0)-1)</f>
        <v/>
      </c>
      <c r="M332" s="24">
        <f>IF(OR($J332="",ISNUMBER(MATCH($J332,lista_no_disponible,0)),(IFERROR(INDEX('CALENDARIO'!$C$15:$C$214,MATCH(TEXT($L332,"yyyy-mm-dd")&amp;"|"&amp;$D332&amp;"|"&amp;"",'CALENDARIO'!$G$15:$G$214,0)),IFERROR(INDEX('CALENDARIO'!$C$15:$C$214,MATCH(TEXT($L332,"yyyy-mm-dd")&amp;"|"&amp;$D332&amp;"|",'CALENDARIO'!$G$15:$G$214,0)),IFERROR(INDEX('CALENDARIO'!$C$15:$C$214,MATCH(TEXT($L332,"yyyy-mm-dd")&amp;"||",'CALENDARIO'!$G$15:$G$214,0)),INDEX(patronHabil,WEEKDAY($L332,2))))))&lt;&gt;"sí"),0,p_horas_jornada)</f>
        <v/>
      </c>
      <c r="N332" s="24">
        <f>$A332&amp;"|"&amp;$B332&amp;"|"&amp;$C332</f>
        <v/>
      </c>
      <c r="O332" s="24">
        <f>IFERROR(INDEX('CAT_TURNOS'!$C$4:$C$22,MATCH($J332,'CAT_TURNOS'!$A$4:$A$22,0)),"")</f>
        <v/>
      </c>
      <c r="P332" s="24">
        <f>IFERROR(INDEX('CAT_TURNOS'!$D$4:$D$22,MATCH($J332,'CAT_TURNOS'!$A$4:$A$22,0)),"")</f>
        <v/>
      </c>
      <c r="Q332" s="24">
        <f>IF(AND(LEFT($G332,1)="T",$H332="no"),"sí","no")</f>
        <v/>
      </c>
    </row>
    <row r="333">
      <c r="A333" s="5" t="inlineStr">
        <is>
          <t>2026-S32</t>
        </is>
      </c>
      <c r="B333" s="5" t="inlineStr">
        <is>
          <t>lunes</t>
        </is>
      </c>
      <c r="C333" s="5" t="inlineStr">
        <is>
          <t>Daniela Medina</t>
        </is>
      </c>
      <c r="D333" s="24">
        <f>IFERROR(INDEX('TECNICOS'!$D$4:$D$19,MATCH($C333,'TECNICOS'!$B$4:$B$19,0)),"")</f>
        <v/>
      </c>
      <c r="E333" s="24">
        <f>IFERROR(INDEX('TECNICOS'!$C$4:$C$19,MATCH($C333,'TECNICOS'!$B$4:$B$19,0)),"")</f>
        <v/>
      </c>
      <c r="F333" s="24">
        <f>COUNTIFS('TECNICOS'!$F$4:$F$19,"sí",'TECNICOS'!$C$4:$C$19,$E333,'TECNICOS'!$D$4:$D$19,$D333,'TECNICOS'!$H$4:$H$19,"sí")</f>
        <v/>
      </c>
      <c r="G333" s="24">
        <f>IF(OR($C333="",$A333="",$B333="domingo",IFERROR(INDEX('TECNICOS'!$H$4:$H$19,MATCH($C333,'TECNICOS'!$B$4:$B$19,0)),"no")&lt;&gt;"sí"),"",IF(IFERROR(INDEX('TECNICOS'!$F$4:$F$19,MATCH($C333,'TECNICOS'!$B$4:$B$19,0)),"no")&lt;&gt;"sí","B",IF(MOD((IFERROR(INDEX('TECNICOS'!$G$4:$G$19,MATCH($C333,'TECNICOS'!$B$4:$B$19,0)),0)-1)+((DATE(VALUE(LEFT($A333,4)),1,4)-WEEKDAY(DATE(VALUE(LEFT($A333,4)),1,4),2)+1+(VALUE(MID($A333,7,2))-1)*7)-p_semana_referencia)/7,$F333)&lt;($F333-3),"B"&amp;(($F333-3)-MOD((IFERROR(INDEX('TECNICOS'!$G$4:$G$19,MATCH($C333,'TECNICOS'!$B$4:$B$19,0)),0)-1)+((DATE(VALUE(LEFT($A333,4)),1,4)-WEEKDAY(DATE(VALUE(LEFT($A333,4)),1,4),2)+1+(VALUE(MID($A333,7,2))-1)*7)-p_semana_referencia)/7,$F333)),"T"&amp;($F333-MOD((IFERROR(INDEX('TECNICOS'!$G$4:$G$19,MATCH($C333,'TECNICOS'!$B$4:$B$19,0)),0)-1)+((DATE(VALUE(LEFT($A333,4)),1,4)-WEEKDAY(DATE(VALUE(LEFT($A333,4)),1,4),2)+1+(VALUE(MID($A333,7,2))-1)*7)-p_semana_referencia)/7,$F333)))))</f>
        <v/>
      </c>
      <c r="H333" s="24">
        <f>IF(COUNTIFS('PLAN_VACACIONES'!$A$4:$A$103,$C333,'PLAN_VACACIONES'!$B$4:$B$103,"&lt;="&amp;$L333,'PLAN_VACACIONES'!$C$4:$C$103,"&gt;="&amp;$L333)&gt;0,"sí","no")</f>
        <v/>
      </c>
      <c r="I333" s="4" t="n"/>
      <c r="J333" s="24">
        <f>IF($I333&lt;&gt;"",$I333,IF($G333="","",IF($H333="sí","VAC",IF(LEFT($G333,1)="B","B",$G333))))</f>
        <v/>
      </c>
      <c r="K333" s="24">
        <f>IFERROR(INDEX('TECNICOS'!$E$4:$E$19,MATCH($C333,'TECNICOS'!$B$4:$B$19,0)),"")</f>
        <v/>
      </c>
      <c r="L333" s="30">
        <f>IF($A333="","",DATE(VALUE(LEFT($A333,4)),1,4)-WEEKDAY(DATE(VALUE(LEFT($A333,4)),1,4),2)+1+(VALUE(MID($A333,7,2))-1)*7+MATCH($B333,lista_dias,0)-1)</f>
        <v/>
      </c>
      <c r="M333" s="24">
        <f>IF(OR($J333="",ISNUMBER(MATCH($J333,lista_no_disponible,0)),(IFERROR(INDEX('CALENDARIO'!$C$15:$C$214,MATCH(TEXT($L333,"yyyy-mm-dd")&amp;"|"&amp;$D333&amp;"|"&amp;"",'CALENDARIO'!$G$15:$G$214,0)),IFERROR(INDEX('CALENDARIO'!$C$15:$C$214,MATCH(TEXT($L333,"yyyy-mm-dd")&amp;"|"&amp;$D333&amp;"|",'CALENDARIO'!$G$15:$G$214,0)),IFERROR(INDEX('CALENDARIO'!$C$15:$C$214,MATCH(TEXT($L333,"yyyy-mm-dd")&amp;"||",'CALENDARIO'!$G$15:$G$214,0)),INDEX(patronHabil,WEEKDAY($L333,2))))))&lt;&gt;"sí"),0,p_horas_jornada)</f>
        <v/>
      </c>
      <c r="N333" s="24">
        <f>$A333&amp;"|"&amp;$B333&amp;"|"&amp;$C333</f>
        <v/>
      </c>
      <c r="O333" s="24">
        <f>IFERROR(INDEX('CAT_TURNOS'!$C$4:$C$22,MATCH($J333,'CAT_TURNOS'!$A$4:$A$22,0)),"")</f>
        <v/>
      </c>
      <c r="P333" s="24">
        <f>IFERROR(INDEX('CAT_TURNOS'!$D$4:$D$22,MATCH($J333,'CAT_TURNOS'!$A$4:$A$22,0)),"")</f>
        <v/>
      </c>
      <c r="Q333" s="24">
        <f>IF(AND(LEFT($G333,1)="T",$H333="no"),"sí","no")</f>
        <v/>
      </c>
    </row>
    <row r="334">
      <c r="A334" s="5" t="inlineStr">
        <is>
          <t>2026-S32</t>
        </is>
      </c>
      <c r="B334" s="5" t="inlineStr">
        <is>
          <t>martes</t>
        </is>
      </c>
      <c r="C334" s="5" t="inlineStr">
        <is>
          <t>Daniela Medina</t>
        </is>
      </c>
      <c r="D334" s="24">
        <f>IFERROR(INDEX('TECNICOS'!$D$4:$D$19,MATCH($C334,'TECNICOS'!$B$4:$B$19,0)),"")</f>
        <v/>
      </c>
      <c r="E334" s="24">
        <f>IFERROR(INDEX('TECNICOS'!$C$4:$C$19,MATCH($C334,'TECNICOS'!$B$4:$B$19,0)),"")</f>
        <v/>
      </c>
      <c r="F334" s="24">
        <f>COUNTIFS('TECNICOS'!$F$4:$F$19,"sí",'TECNICOS'!$C$4:$C$19,$E334,'TECNICOS'!$D$4:$D$19,$D334,'TECNICOS'!$H$4:$H$19,"sí")</f>
        <v/>
      </c>
      <c r="G334" s="24">
        <f>IF(OR($C334="",$A334="",$B334="domingo",IFERROR(INDEX('TECNICOS'!$H$4:$H$19,MATCH($C334,'TECNICOS'!$B$4:$B$19,0)),"no")&lt;&gt;"sí"),"",IF(IFERROR(INDEX('TECNICOS'!$F$4:$F$19,MATCH($C334,'TECNICOS'!$B$4:$B$19,0)),"no")&lt;&gt;"sí","B",IF(MOD((IFERROR(INDEX('TECNICOS'!$G$4:$G$19,MATCH($C334,'TECNICOS'!$B$4:$B$19,0)),0)-1)+((DATE(VALUE(LEFT($A334,4)),1,4)-WEEKDAY(DATE(VALUE(LEFT($A334,4)),1,4),2)+1+(VALUE(MID($A334,7,2))-1)*7)-p_semana_referencia)/7,$F334)&lt;($F334-3),"B"&amp;(($F334-3)-MOD((IFERROR(INDEX('TECNICOS'!$G$4:$G$19,MATCH($C334,'TECNICOS'!$B$4:$B$19,0)),0)-1)+((DATE(VALUE(LEFT($A334,4)),1,4)-WEEKDAY(DATE(VALUE(LEFT($A334,4)),1,4),2)+1+(VALUE(MID($A334,7,2))-1)*7)-p_semana_referencia)/7,$F334)),"T"&amp;($F334-MOD((IFERROR(INDEX('TECNICOS'!$G$4:$G$19,MATCH($C334,'TECNICOS'!$B$4:$B$19,0)),0)-1)+((DATE(VALUE(LEFT($A334,4)),1,4)-WEEKDAY(DATE(VALUE(LEFT($A334,4)),1,4),2)+1+(VALUE(MID($A334,7,2))-1)*7)-p_semana_referencia)/7,$F334)))))</f>
        <v/>
      </c>
      <c r="H334" s="24">
        <f>IF(COUNTIFS('PLAN_VACACIONES'!$A$4:$A$103,$C334,'PLAN_VACACIONES'!$B$4:$B$103,"&lt;="&amp;$L334,'PLAN_VACACIONES'!$C$4:$C$103,"&gt;="&amp;$L334)&gt;0,"sí","no")</f>
        <v/>
      </c>
      <c r="I334" s="4" t="n"/>
      <c r="J334" s="24">
        <f>IF($I334&lt;&gt;"",$I334,IF($G334="","",IF($H334="sí","VAC",IF(LEFT($G334,1)="B","B",$G334))))</f>
        <v/>
      </c>
      <c r="K334" s="24">
        <f>IFERROR(INDEX('TECNICOS'!$E$4:$E$19,MATCH($C334,'TECNICOS'!$B$4:$B$19,0)),"")</f>
        <v/>
      </c>
      <c r="L334" s="30">
        <f>IF($A334="","",DATE(VALUE(LEFT($A334,4)),1,4)-WEEKDAY(DATE(VALUE(LEFT($A334,4)),1,4),2)+1+(VALUE(MID($A334,7,2))-1)*7+MATCH($B334,lista_dias,0)-1)</f>
        <v/>
      </c>
      <c r="M334" s="24">
        <f>IF(OR($J334="",ISNUMBER(MATCH($J334,lista_no_disponible,0)),(IFERROR(INDEX('CALENDARIO'!$C$15:$C$214,MATCH(TEXT($L334,"yyyy-mm-dd")&amp;"|"&amp;$D334&amp;"|"&amp;"",'CALENDARIO'!$G$15:$G$214,0)),IFERROR(INDEX('CALENDARIO'!$C$15:$C$214,MATCH(TEXT($L334,"yyyy-mm-dd")&amp;"|"&amp;$D334&amp;"|",'CALENDARIO'!$G$15:$G$214,0)),IFERROR(INDEX('CALENDARIO'!$C$15:$C$214,MATCH(TEXT($L334,"yyyy-mm-dd")&amp;"||",'CALENDARIO'!$G$15:$G$214,0)),INDEX(patronHabil,WEEKDAY($L334,2))))))&lt;&gt;"sí"),0,p_horas_jornada)</f>
        <v/>
      </c>
      <c r="N334" s="24">
        <f>$A334&amp;"|"&amp;$B334&amp;"|"&amp;$C334</f>
        <v/>
      </c>
      <c r="O334" s="24">
        <f>IFERROR(INDEX('CAT_TURNOS'!$C$4:$C$22,MATCH($J334,'CAT_TURNOS'!$A$4:$A$22,0)),"")</f>
        <v/>
      </c>
      <c r="P334" s="24">
        <f>IFERROR(INDEX('CAT_TURNOS'!$D$4:$D$22,MATCH($J334,'CAT_TURNOS'!$A$4:$A$22,0)),"")</f>
        <v/>
      </c>
      <c r="Q334" s="24">
        <f>IF(AND(LEFT($G334,1)="T",$H334="no"),"sí","no")</f>
        <v/>
      </c>
    </row>
    <row r="335">
      <c r="A335" s="5" t="inlineStr">
        <is>
          <t>2026-S32</t>
        </is>
      </c>
      <c r="B335" s="5" t="inlineStr">
        <is>
          <t>miércoles</t>
        </is>
      </c>
      <c r="C335" s="5" t="inlineStr">
        <is>
          <t>Daniela Medina</t>
        </is>
      </c>
      <c r="D335" s="24">
        <f>IFERROR(INDEX('TECNICOS'!$D$4:$D$19,MATCH($C335,'TECNICOS'!$B$4:$B$19,0)),"")</f>
        <v/>
      </c>
      <c r="E335" s="24">
        <f>IFERROR(INDEX('TECNICOS'!$C$4:$C$19,MATCH($C335,'TECNICOS'!$B$4:$B$19,0)),"")</f>
        <v/>
      </c>
      <c r="F335" s="24">
        <f>COUNTIFS('TECNICOS'!$F$4:$F$19,"sí",'TECNICOS'!$C$4:$C$19,$E335,'TECNICOS'!$D$4:$D$19,$D335,'TECNICOS'!$H$4:$H$19,"sí")</f>
        <v/>
      </c>
      <c r="G335" s="24">
        <f>IF(OR($C335="",$A335="",$B335="domingo",IFERROR(INDEX('TECNICOS'!$H$4:$H$19,MATCH($C335,'TECNICOS'!$B$4:$B$19,0)),"no")&lt;&gt;"sí"),"",IF(IFERROR(INDEX('TECNICOS'!$F$4:$F$19,MATCH($C335,'TECNICOS'!$B$4:$B$19,0)),"no")&lt;&gt;"sí","B",IF(MOD((IFERROR(INDEX('TECNICOS'!$G$4:$G$19,MATCH($C335,'TECNICOS'!$B$4:$B$19,0)),0)-1)+((DATE(VALUE(LEFT($A335,4)),1,4)-WEEKDAY(DATE(VALUE(LEFT($A335,4)),1,4),2)+1+(VALUE(MID($A335,7,2))-1)*7)-p_semana_referencia)/7,$F335)&lt;($F335-3),"B"&amp;(($F335-3)-MOD((IFERROR(INDEX('TECNICOS'!$G$4:$G$19,MATCH($C335,'TECNICOS'!$B$4:$B$19,0)),0)-1)+((DATE(VALUE(LEFT($A335,4)),1,4)-WEEKDAY(DATE(VALUE(LEFT($A335,4)),1,4),2)+1+(VALUE(MID($A335,7,2))-1)*7)-p_semana_referencia)/7,$F335)),"T"&amp;($F335-MOD((IFERROR(INDEX('TECNICOS'!$G$4:$G$19,MATCH($C335,'TECNICOS'!$B$4:$B$19,0)),0)-1)+((DATE(VALUE(LEFT($A335,4)),1,4)-WEEKDAY(DATE(VALUE(LEFT($A335,4)),1,4),2)+1+(VALUE(MID($A335,7,2))-1)*7)-p_semana_referencia)/7,$F335)))))</f>
        <v/>
      </c>
      <c r="H335" s="24">
        <f>IF(COUNTIFS('PLAN_VACACIONES'!$A$4:$A$103,$C335,'PLAN_VACACIONES'!$B$4:$B$103,"&lt;="&amp;$L335,'PLAN_VACACIONES'!$C$4:$C$103,"&gt;="&amp;$L335)&gt;0,"sí","no")</f>
        <v/>
      </c>
      <c r="I335" s="4" t="n"/>
      <c r="J335" s="24">
        <f>IF($I335&lt;&gt;"",$I335,IF($G335="","",IF($H335="sí","VAC",IF(LEFT($G335,1)="B","B",$G335))))</f>
        <v/>
      </c>
      <c r="K335" s="24">
        <f>IFERROR(INDEX('TECNICOS'!$E$4:$E$19,MATCH($C335,'TECNICOS'!$B$4:$B$19,0)),"")</f>
        <v/>
      </c>
      <c r="L335" s="30">
        <f>IF($A335="","",DATE(VALUE(LEFT($A335,4)),1,4)-WEEKDAY(DATE(VALUE(LEFT($A335,4)),1,4),2)+1+(VALUE(MID($A335,7,2))-1)*7+MATCH($B335,lista_dias,0)-1)</f>
        <v/>
      </c>
      <c r="M335" s="24">
        <f>IF(OR($J335="",ISNUMBER(MATCH($J335,lista_no_disponible,0)),(IFERROR(INDEX('CALENDARIO'!$C$15:$C$214,MATCH(TEXT($L335,"yyyy-mm-dd")&amp;"|"&amp;$D335&amp;"|"&amp;"",'CALENDARIO'!$G$15:$G$214,0)),IFERROR(INDEX('CALENDARIO'!$C$15:$C$214,MATCH(TEXT($L335,"yyyy-mm-dd")&amp;"|"&amp;$D335&amp;"|",'CALENDARIO'!$G$15:$G$214,0)),IFERROR(INDEX('CALENDARIO'!$C$15:$C$214,MATCH(TEXT($L335,"yyyy-mm-dd")&amp;"||",'CALENDARIO'!$G$15:$G$214,0)),INDEX(patronHabil,WEEKDAY($L335,2))))))&lt;&gt;"sí"),0,p_horas_jornada)</f>
        <v/>
      </c>
      <c r="N335" s="24">
        <f>$A335&amp;"|"&amp;$B335&amp;"|"&amp;$C335</f>
        <v/>
      </c>
      <c r="O335" s="24">
        <f>IFERROR(INDEX('CAT_TURNOS'!$C$4:$C$22,MATCH($J335,'CAT_TURNOS'!$A$4:$A$22,0)),"")</f>
        <v/>
      </c>
      <c r="P335" s="24">
        <f>IFERROR(INDEX('CAT_TURNOS'!$D$4:$D$22,MATCH($J335,'CAT_TURNOS'!$A$4:$A$22,0)),"")</f>
        <v/>
      </c>
      <c r="Q335" s="24">
        <f>IF(AND(LEFT($G335,1)="T",$H335="no"),"sí","no")</f>
        <v/>
      </c>
    </row>
    <row r="336">
      <c r="A336" s="5" t="inlineStr">
        <is>
          <t>2026-S32</t>
        </is>
      </c>
      <c r="B336" s="5" t="inlineStr">
        <is>
          <t>jueves</t>
        </is>
      </c>
      <c r="C336" s="5" t="inlineStr">
        <is>
          <t>Daniela Medina</t>
        </is>
      </c>
      <c r="D336" s="24">
        <f>IFERROR(INDEX('TECNICOS'!$D$4:$D$19,MATCH($C336,'TECNICOS'!$B$4:$B$19,0)),"")</f>
        <v/>
      </c>
      <c r="E336" s="24">
        <f>IFERROR(INDEX('TECNICOS'!$C$4:$C$19,MATCH($C336,'TECNICOS'!$B$4:$B$19,0)),"")</f>
        <v/>
      </c>
      <c r="F336" s="24">
        <f>COUNTIFS('TECNICOS'!$F$4:$F$19,"sí",'TECNICOS'!$C$4:$C$19,$E336,'TECNICOS'!$D$4:$D$19,$D336,'TECNICOS'!$H$4:$H$19,"sí")</f>
        <v/>
      </c>
      <c r="G336" s="24">
        <f>IF(OR($C336="",$A336="",$B336="domingo",IFERROR(INDEX('TECNICOS'!$H$4:$H$19,MATCH($C336,'TECNICOS'!$B$4:$B$19,0)),"no")&lt;&gt;"sí"),"",IF(IFERROR(INDEX('TECNICOS'!$F$4:$F$19,MATCH($C336,'TECNICOS'!$B$4:$B$19,0)),"no")&lt;&gt;"sí","B",IF(MOD((IFERROR(INDEX('TECNICOS'!$G$4:$G$19,MATCH($C336,'TECNICOS'!$B$4:$B$19,0)),0)-1)+((DATE(VALUE(LEFT($A336,4)),1,4)-WEEKDAY(DATE(VALUE(LEFT($A336,4)),1,4),2)+1+(VALUE(MID($A336,7,2))-1)*7)-p_semana_referencia)/7,$F336)&lt;($F336-3),"B"&amp;(($F336-3)-MOD((IFERROR(INDEX('TECNICOS'!$G$4:$G$19,MATCH($C336,'TECNICOS'!$B$4:$B$19,0)),0)-1)+((DATE(VALUE(LEFT($A336,4)),1,4)-WEEKDAY(DATE(VALUE(LEFT($A336,4)),1,4),2)+1+(VALUE(MID($A336,7,2))-1)*7)-p_semana_referencia)/7,$F336)),"T"&amp;($F336-MOD((IFERROR(INDEX('TECNICOS'!$G$4:$G$19,MATCH($C336,'TECNICOS'!$B$4:$B$19,0)),0)-1)+((DATE(VALUE(LEFT($A336,4)),1,4)-WEEKDAY(DATE(VALUE(LEFT($A336,4)),1,4),2)+1+(VALUE(MID($A336,7,2))-1)*7)-p_semana_referencia)/7,$F336)))))</f>
        <v/>
      </c>
      <c r="H336" s="24">
        <f>IF(COUNTIFS('PLAN_VACACIONES'!$A$4:$A$103,$C336,'PLAN_VACACIONES'!$B$4:$B$103,"&lt;="&amp;$L336,'PLAN_VACACIONES'!$C$4:$C$103,"&gt;="&amp;$L336)&gt;0,"sí","no")</f>
        <v/>
      </c>
      <c r="I336" s="4" t="n"/>
      <c r="J336" s="24">
        <f>IF($I336&lt;&gt;"",$I336,IF($G336="","",IF($H336="sí","VAC",IF(LEFT($G336,1)="B","B",$G336))))</f>
        <v/>
      </c>
      <c r="K336" s="24">
        <f>IFERROR(INDEX('TECNICOS'!$E$4:$E$19,MATCH($C336,'TECNICOS'!$B$4:$B$19,0)),"")</f>
        <v/>
      </c>
      <c r="L336" s="30">
        <f>IF($A336="","",DATE(VALUE(LEFT($A336,4)),1,4)-WEEKDAY(DATE(VALUE(LEFT($A336,4)),1,4),2)+1+(VALUE(MID($A336,7,2))-1)*7+MATCH($B336,lista_dias,0)-1)</f>
        <v/>
      </c>
      <c r="M336" s="24">
        <f>IF(OR($J336="",ISNUMBER(MATCH($J336,lista_no_disponible,0)),(IFERROR(INDEX('CALENDARIO'!$C$15:$C$214,MATCH(TEXT($L336,"yyyy-mm-dd")&amp;"|"&amp;$D336&amp;"|"&amp;"",'CALENDARIO'!$G$15:$G$214,0)),IFERROR(INDEX('CALENDARIO'!$C$15:$C$214,MATCH(TEXT($L336,"yyyy-mm-dd")&amp;"|"&amp;$D336&amp;"|",'CALENDARIO'!$G$15:$G$214,0)),IFERROR(INDEX('CALENDARIO'!$C$15:$C$214,MATCH(TEXT($L336,"yyyy-mm-dd")&amp;"||",'CALENDARIO'!$G$15:$G$214,0)),INDEX(patronHabil,WEEKDAY($L336,2))))))&lt;&gt;"sí"),0,p_horas_jornada)</f>
        <v/>
      </c>
      <c r="N336" s="24">
        <f>$A336&amp;"|"&amp;$B336&amp;"|"&amp;$C336</f>
        <v/>
      </c>
      <c r="O336" s="24">
        <f>IFERROR(INDEX('CAT_TURNOS'!$C$4:$C$22,MATCH($J336,'CAT_TURNOS'!$A$4:$A$22,0)),"")</f>
        <v/>
      </c>
      <c r="P336" s="24">
        <f>IFERROR(INDEX('CAT_TURNOS'!$D$4:$D$22,MATCH($J336,'CAT_TURNOS'!$A$4:$A$22,0)),"")</f>
        <v/>
      </c>
      <c r="Q336" s="24">
        <f>IF(AND(LEFT($G336,1)="T",$H336="no"),"sí","no")</f>
        <v/>
      </c>
    </row>
    <row r="337">
      <c r="A337" s="5" t="inlineStr">
        <is>
          <t>2026-S32</t>
        </is>
      </c>
      <c r="B337" s="5" t="inlineStr">
        <is>
          <t>viernes</t>
        </is>
      </c>
      <c r="C337" s="5" t="inlineStr">
        <is>
          <t>Daniela Medina</t>
        </is>
      </c>
      <c r="D337" s="24">
        <f>IFERROR(INDEX('TECNICOS'!$D$4:$D$19,MATCH($C337,'TECNICOS'!$B$4:$B$19,0)),"")</f>
        <v/>
      </c>
      <c r="E337" s="24">
        <f>IFERROR(INDEX('TECNICOS'!$C$4:$C$19,MATCH($C337,'TECNICOS'!$B$4:$B$19,0)),"")</f>
        <v/>
      </c>
      <c r="F337" s="24">
        <f>COUNTIFS('TECNICOS'!$F$4:$F$19,"sí",'TECNICOS'!$C$4:$C$19,$E337,'TECNICOS'!$D$4:$D$19,$D337,'TECNICOS'!$H$4:$H$19,"sí")</f>
        <v/>
      </c>
      <c r="G337" s="24">
        <f>IF(OR($C337="",$A337="",$B337="domingo",IFERROR(INDEX('TECNICOS'!$H$4:$H$19,MATCH($C337,'TECNICOS'!$B$4:$B$19,0)),"no")&lt;&gt;"sí"),"",IF(IFERROR(INDEX('TECNICOS'!$F$4:$F$19,MATCH($C337,'TECNICOS'!$B$4:$B$19,0)),"no")&lt;&gt;"sí","B",IF(MOD((IFERROR(INDEX('TECNICOS'!$G$4:$G$19,MATCH($C337,'TECNICOS'!$B$4:$B$19,0)),0)-1)+((DATE(VALUE(LEFT($A337,4)),1,4)-WEEKDAY(DATE(VALUE(LEFT($A337,4)),1,4),2)+1+(VALUE(MID($A337,7,2))-1)*7)-p_semana_referencia)/7,$F337)&lt;($F337-3),"B"&amp;(($F337-3)-MOD((IFERROR(INDEX('TECNICOS'!$G$4:$G$19,MATCH($C337,'TECNICOS'!$B$4:$B$19,0)),0)-1)+((DATE(VALUE(LEFT($A337,4)),1,4)-WEEKDAY(DATE(VALUE(LEFT($A337,4)),1,4),2)+1+(VALUE(MID($A337,7,2))-1)*7)-p_semana_referencia)/7,$F337)),"T"&amp;($F337-MOD((IFERROR(INDEX('TECNICOS'!$G$4:$G$19,MATCH($C337,'TECNICOS'!$B$4:$B$19,0)),0)-1)+((DATE(VALUE(LEFT($A337,4)),1,4)-WEEKDAY(DATE(VALUE(LEFT($A337,4)),1,4),2)+1+(VALUE(MID($A337,7,2))-1)*7)-p_semana_referencia)/7,$F337)))))</f>
        <v/>
      </c>
      <c r="H337" s="24">
        <f>IF(COUNTIFS('PLAN_VACACIONES'!$A$4:$A$103,$C337,'PLAN_VACACIONES'!$B$4:$B$103,"&lt;="&amp;$L337,'PLAN_VACACIONES'!$C$4:$C$103,"&gt;="&amp;$L337)&gt;0,"sí","no")</f>
        <v/>
      </c>
      <c r="I337" s="4" t="n"/>
      <c r="J337" s="24">
        <f>IF($I337&lt;&gt;"",$I337,IF($G337="","",IF($H337="sí","VAC",IF(LEFT($G337,1)="B","B",$G337))))</f>
        <v/>
      </c>
      <c r="K337" s="24">
        <f>IFERROR(INDEX('TECNICOS'!$E$4:$E$19,MATCH($C337,'TECNICOS'!$B$4:$B$19,0)),"")</f>
        <v/>
      </c>
      <c r="L337" s="30">
        <f>IF($A337="","",DATE(VALUE(LEFT($A337,4)),1,4)-WEEKDAY(DATE(VALUE(LEFT($A337,4)),1,4),2)+1+(VALUE(MID($A337,7,2))-1)*7+MATCH($B337,lista_dias,0)-1)</f>
        <v/>
      </c>
      <c r="M337" s="24">
        <f>IF(OR($J337="",ISNUMBER(MATCH($J337,lista_no_disponible,0)),(IFERROR(INDEX('CALENDARIO'!$C$15:$C$214,MATCH(TEXT($L337,"yyyy-mm-dd")&amp;"|"&amp;$D337&amp;"|"&amp;"",'CALENDARIO'!$G$15:$G$214,0)),IFERROR(INDEX('CALENDARIO'!$C$15:$C$214,MATCH(TEXT($L337,"yyyy-mm-dd")&amp;"|"&amp;$D337&amp;"|",'CALENDARIO'!$G$15:$G$214,0)),IFERROR(INDEX('CALENDARIO'!$C$15:$C$214,MATCH(TEXT($L337,"yyyy-mm-dd")&amp;"||",'CALENDARIO'!$G$15:$G$214,0)),INDEX(patronHabil,WEEKDAY($L337,2))))))&lt;&gt;"sí"),0,p_horas_jornada)</f>
        <v/>
      </c>
      <c r="N337" s="24">
        <f>$A337&amp;"|"&amp;$B337&amp;"|"&amp;$C337</f>
        <v/>
      </c>
      <c r="O337" s="24">
        <f>IFERROR(INDEX('CAT_TURNOS'!$C$4:$C$22,MATCH($J337,'CAT_TURNOS'!$A$4:$A$22,0)),"")</f>
        <v/>
      </c>
      <c r="P337" s="24">
        <f>IFERROR(INDEX('CAT_TURNOS'!$D$4:$D$22,MATCH($J337,'CAT_TURNOS'!$A$4:$A$22,0)),"")</f>
        <v/>
      </c>
      <c r="Q337" s="24">
        <f>IF(AND(LEFT($G337,1)="T",$H337="no"),"sí","no")</f>
        <v/>
      </c>
    </row>
    <row r="338">
      <c r="A338" s="5" t="inlineStr">
        <is>
          <t>2026-S32</t>
        </is>
      </c>
      <c r="B338" s="5" t="inlineStr">
        <is>
          <t>sábado</t>
        </is>
      </c>
      <c r="C338" s="5" t="inlineStr">
        <is>
          <t>Daniela Medina</t>
        </is>
      </c>
      <c r="D338" s="24">
        <f>IFERROR(INDEX('TECNICOS'!$D$4:$D$19,MATCH($C338,'TECNICOS'!$B$4:$B$19,0)),"")</f>
        <v/>
      </c>
      <c r="E338" s="24">
        <f>IFERROR(INDEX('TECNICOS'!$C$4:$C$19,MATCH($C338,'TECNICOS'!$B$4:$B$19,0)),"")</f>
        <v/>
      </c>
      <c r="F338" s="24">
        <f>COUNTIFS('TECNICOS'!$F$4:$F$19,"sí",'TECNICOS'!$C$4:$C$19,$E338,'TECNICOS'!$D$4:$D$19,$D338,'TECNICOS'!$H$4:$H$19,"sí")</f>
        <v/>
      </c>
      <c r="G338" s="24">
        <f>IF(OR($C338="",$A338="",$B338="domingo",IFERROR(INDEX('TECNICOS'!$H$4:$H$19,MATCH($C338,'TECNICOS'!$B$4:$B$19,0)),"no")&lt;&gt;"sí"),"",IF(IFERROR(INDEX('TECNICOS'!$F$4:$F$19,MATCH($C338,'TECNICOS'!$B$4:$B$19,0)),"no")&lt;&gt;"sí","B",IF(MOD((IFERROR(INDEX('TECNICOS'!$G$4:$G$19,MATCH($C338,'TECNICOS'!$B$4:$B$19,0)),0)-1)+((DATE(VALUE(LEFT($A338,4)),1,4)-WEEKDAY(DATE(VALUE(LEFT($A338,4)),1,4),2)+1+(VALUE(MID($A338,7,2))-1)*7)-p_semana_referencia)/7,$F338)&lt;($F338-3),"B"&amp;(($F338-3)-MOD((IFERROR(INDEX('TECNICOS'!$G$4:$G$19,MATCH($C338,'TECNICOS'!$B$4:$B$19,0)),0)-1)+((DATE(VALUE(LEFT($A338,4)),1,4)-WEEKDAY(DATE(VALUE(LEFT($A338,4)),1,4),2)+1+(VALUE(MID($A338,7,2))-1)*7)-p_semana_referencia)/7,$F338)),"T"&amp;($F338-MOD((IFERROR(INDEX('TECNICOS'!$G$4:$G$19,MATCH($C338,'TECNICOS'!$B$4:$B$19,0)),0)-1)+((DATE(VALUE(LEFT($A338,4)),1,4)-WEEKDAY(DATE(VALUE(LEFT($A338,4)),1,4),2)+1+(VALUE(MID($A338,7,2))-1)*7)-p_semana_referencia)/7,$F338)))))</f>
        <v/>
      </c>
      <c r="H338" s="24">
        <f>IF(COUNTIFS('PLAN_VACACIONES'!$A$4:$A$103,$C338,'PLAN_VACACIONES'!$B$4:$B$103,"&lt;="&amp;$L338,'PLAN_VACACIONES'!$C$4:$C$103,"&gt;="&amp;$L338)&gt;0,"sí","no")</f>
        <v/>
      </c>
      <c r="I338" s="4" t="n"/>
      <c r="J338" s="24">
        <f>IF($I338&lt;&gt;"",$I338,IF($G338="","",IF($H338="sí","VAC",IF(LEFT($G338,1)="B","B",$G338))))</f>
        <v/>
      </c>
      <c r="K338" s="24">
        <f>IFERROR(INDEX('TECNICOS'!$E$4:$E$19,MATCH($C338,'TECNICOS'!$B$4:$B$19,0)),"")</f>
        <v/>
      </c>
      <c r="L338" s="30">
        <f>IF($A338="","",DATE(VALUE(LEFT($A338,4)),1,4)-WEEKDAY(DATE(VALUE(LEFT($A338,4)),1,4),2)+1+(VALUE(MID($A338,7,2))-1)*7+MATCH($B338,lista_dias,0)-1)</f>
        <v/>
      </c>
      <c r="M338" s="24">
        <f>IF(OR($J338="",ISNUMBER(MATCH($J338,lista_no_disponible,0)),(IFERROR(INDEX('CALENDARIO'!$C$15:$C$214,MATCH(TEXT($L338,"yyyy-mm-dd")&amp;"|"&amp;$D338&amp;"|"&amp;"",'CALENDARIO'!$G$15:$G$214,0)),IFERROR(INDEX('CALENDARIO'!$C$15:$C$214,MATCH(TEXT($L338,"yyyy-mm-dd")&amp;"|"&amp;$D338&amp;"|",'CALENDARIO'!$G$15:$G$214,0)),IFERROR(INDEX('CALENDARIO'!$C$15:$C$214,MATCH(TEXT($L338,"yyyy-mm-dd")&amp;"||",'CALENDARIO'!$G$15:$G$214,0)),INDEX(patronHabil,WEEKDAY($L338,2))))))&lt;&gt;"sí"),0,p_horas_jornada)</f>
        <v/>
      </c>
      <c r="N338" s="24">
        <f>$A338&amp;"|"&amp;$B338&amp;"|"&amp;$C338</f>
        <v/>
      </c>
      <c r="O338" s="24">
        <f>IFERROR(INDEX('CAT_TURNOS'!$C$4:$C$22,MATCH($J338,'CAT_TURNOS'!$A$4:$A$22,0)),"")</f>
        <v/>
      </c>
      <c r="P338" s="24">
        <f>IFERROR(INDEX('CAT_TURNOS'!$D$4:$D$22,MATCH($J338,'CAT_TURNOS'!$A$4:$A$22,0)),"")</f>
        <v/>
      </c>
      <c r="Q338" s="24">
        <f>IF(AND(LEFT($G338,1)="T",$H338="no"),"sí","no")</f>
        <v/>
      </c>
    </row>
    <row r="339">
      <c r="A339" s="5" t="inlineStr">
        <is>
          <t>2026-S32</t>
        </is>
      </c>
      <c r="B339" s="5" t="inlineStr">
        <is>
          <t>domingo</t>
        </is>
      </c>
      <c r="C339" s="5" t="inlineStr">
        <is>
          <t>Daniela Medina</t>
        </is>
      </c>
      <c r="D339" s="24">
        <f>IFERROR(INDEX('TECNICOS'!$D$4:$D$19,MATCH($C339,'TECNICOS'!$B$4:$B$19,0)),"")</f>
        <v/>
      </c>
      <c r="E339" s="24">
        <f>IFERROR(INDEX('TECNICOS'!$C$4:$C$19,MATCH($C339,'TECNICOS'!$B$4:$B$19,0)),"")</f>
        <v/>
      </c>
      <c r="F339" s="24">
        <f>COUNTIFS('TECNICOS'!$F$4:$F$19,"sí",'TECNICOS'!$C$4:$C$19,$E339,'TECNICOS'!$D$4:$D$19,$D339,'TECNICOS'!$H$4:$H$19,"sí")</f>
        <v/>
      </c>
      <c r="G339" s="24">
        <f>IF(OR($C339="",$A339="",$B339="domingo",IFERROR(INDEX('TECNICOS'!$H$4:$H$19,MATCH($C339,'TECNICOS'!$B$4:$B$19,0)),"no")&lt;&gt;"sí"),"",IF(IFERROR(INDEX('TECNICOS'!$F$4:$F$19,MATCH($C339,'TECNICOS'!$B$4:$B$19,0)),"no")&lt;&gt;"sí","B",IF(MOD((IFERROR(INDEX('TECNICOS'!$G$4:$G$19,MATCH($C339,'TECNICOS'!$B$4:$B$19,0)),0)-1)+((DATE(VALUE(LEFT($A339,4)),1,4)-WEEKDAY(DATE(VALUE(LEFT($A339,4)),1,4),2)+1+(VALUE(MID($A339,7,2))-1)*7)-p_semana_referencia)/7,$F339)&lt;($F339-3),"B"&amp;(($F339-3)-MOD((IFERROR(INDEX('TECNICOS'!$G$4:$G$19,MATCH($C339,'TECNICOS'!$B$4:$B$19,0)),0)-1)+((DATE(VALUE(LEFT($A339,4)),1,4)-WEEKDAY(DATE(VALUE(LEFT($A339,4)),1,4),2)+1+(VALUE(MID($A339,7,2))-1)*7)-p_semana_referencia)/7,$F339)),"T"&amp;($F339-MOD((IFERROR(INDEX('TECNICOS'!$G$4:$G$19,MATCH($C339,'TECNICOS'!$B$4:$B$19,0)),0)-1)+((DATE(VALUE(LEFT($A339,4)),1,4)-WEEKDAY(DATE(VALUE(LEFT($A339,4)),1,4),2)+1+(VALUE(MID($A339,7,2))-1)*7)-p_semana_referencia)/7,$F339)))))</f>
        <v/>
      </c>
      <c r="H339" s="24">
        <f>IF(COUNTIFS('PLAN_VACACIONES'!$A$4:$A$103,$C339,'PLAN_VACACIONES'!$B$4:$B$103,"&lt;="&amp;$L339,'PLAN_VACACIONES'!$C$4:$C$103,"&gt;="&amp;$L339)&gt;0,"sí","no")</f>
        <v/>
      </c>
      <c r="I339" s="4" t="n"/>
      <c r="J339" s="24">
        <f>IF($I339&lt;&gt;"",$I339,IF($G339="","",IF($H339="sí","VAC",IF(LEFT($G339,1)="B","B",$G339))))</f>
        <v/>
      </c>
      <c r="K339" s="24">
        <f>IFERROR(INDEX('TECNICOS'!$E$4:$E$19,MATCH($C339,'TECNICOS'!$B$4:$B$19,0)),"")</f>
        <v/>
      </c>
      <c r="L339" s="30">
        <f>IF($A339="","",DATE(VALUE(LEFT($A339,4)),1,4)-WEEKDAY(DATE(VALUE(LEFT($A339,4)),1,4),2)+1+(VALUE(MID($A339,7,2))-1)*7+MATCH($B339,lista_dias,0)-1)</f>
        <v/>
      </c>
      <c r="M339" s="24">
        <f>IF(OR($J339="",ISNUMBER(MATCH($J339,lista_no_disponible,0)),(IFERROR(INDEX('CALENDARIO'!$C$15:$C$214,MATCH(TEXT($L339,"yyyy-mm-dd")&amp;"|"&amp;$D339&amp;"|"&amp;"",'CALENDARIO'!$G$15:$G$214,0)),IFERROR(INDEX('CALENDARIO'!$C$15:$C$214,MATCH(TEXT($L339,"yyyy-mm-dd")&amp;"|"&amp;$D339&amp;"|",'CALENDARIO'!$G$15:$G$214,0)),IFERROR(INDEX('CALENDARIO'!$C$15:$C$214,MATCH(TEXT($L339,"yyyy-mm-dd")&amp;"||",'CALENDARIO'!$G$15:$G$214,0)),INDEX(patronHabil,WEEKDAY($L339,2))))))&lt;&gt;"sí"),0,p_horas_jornada)</f>
        <v/>
      </c>
      <c r="N339" s="24">
        <f>$A339&amp;"|"&amp;$B339&amp;"|"&amp;$C339</f>
        <v/>
      </c>
      <c r="O339" s="24">
        <f>IFERROR(INDEX('CAT_TURNOS'!$C$4:$C$22,MATCH($J339,'CAT_TURNOS'!$A$4:$A$22,0)),"")</f>
        <v/>
      </c>
      <c r="P339" s="24">
        <f>IFERROR(INDEX('CAT_TURNOS'!$D$4:$D$22,MATCH($J339,'CAT_TURNOS'!$A$4:$A$22,0)),"")</f>
        <v/>
      </c>
      <c r="Q339" s="24">
        <f>IF(AND(LEFT($G339,1)="T",$H339="no"),"sí","no")</f>
        <v/>
      </c>
    </row>
    <row r="340">
      <c r="A340" s="5" t="inlineStr">
        <is>
          <t>2026-S33</t>
        </is>
      </c>
      <c r="B340" s="5" t="inlineStr">
        <is>
          <t>lunes</t>
        </is>
      </c>
      <c r="C340" s="5" t="inlineStr">
        <is>
          <t>Carlos Pérez</t>
        </is>
      </c>
      <c r="D340" s="24">
        <f>IFERROR(INDEX('TECNICOS'!$D$4:$D$19,MATCH($C340,'TECNICOS'!$B$4:$B$19,0)),"")</f>
        <v/>
      </c>
      <c r="E340" s="24">
        <f>IFERROR(INDEX('TECNICOS'!$C$4:$C$19,MATCH($C340,'TECNICOS'!$B$4:$B$19,0)),"")</f>
        <v/>
      </c>
      <c r="F340" s="24">
        <f>COUNTIFS('TECNICOS'!$F$4:$F$19,"sí",'TECNICOS'!$C$4:$C$19,$E340,'TECNICOS'!$D$4:$D$19,$D340,'TECNICOS'!$H$4:$H$19,"sí")</f>
        <v/>
      </c>
      <c r="G340" s="24">
        <f>IF(OR($C340="",$A340="",$B340="domingo",IFERROR(INDEX('TECNICOS'!$H$4:$H$19,MATCH($C340,'TECNICOS'!$B$4:$B$19,0)),"no")&lt;&gt;"sí"),"",IF(IFERROR(INDEX('TECNICOS'!$F$4:$F$19,MATCH($C340,'TECNICOS'!$B$4:$B$19,0)),"no")&lt;&gt;"sí","B",IF(MOD((IFERROR(INDEX('TECNICOS'!$G$4:$G$19,MATCH($C340,'TECNICOS'!$B$4:$B$19,0)),0)-1)+((DATE(VALUE(LEFT($A340,4)),1,4)-WEEKDAY(DATE(VALUE(LEFT($A340,4)),1,4),2)+1+(VALUE(MID($A340,7,2))-1)*7)-p_semana_referencia)/7,$F340)&lt;($F340-3),"B"&amp;(($F340-3)-MOD((IFERROR(INDEX('TECNICOS'!$G$4:$G$19,MATCH($C340,'TECNICOS'!$B$4:$B$19,0)),0)-1)+((DATE(VALUE(LEFT($A340,4)),1,4)-WEEKDAY(DATE(VALUE(LEFT($A340,4)),1,4),2)+1+(VALUE(MID($A340,7,2))-1)*7)-p_semana_referencia)/7,$F340)),"T"&amp;($F340-MOD((IFERROR(INDEX('TECNICOS'!$G$4:$G$19,MATCH($C340,'TECNICOS'!$B$4:$B$19,0)),0)-1)+((DATE(VALUE(LEFT($A340,4)),1,4)-WEEKDAY(DATE(VALUE(LEFT($A340,4)),1,4),2)+1+(VALUE(MID($A340,7,2))-1)*7)-p_semana_referencia)/7,$F340)))))</f>
        <v/>
      </c>
      <c r="H340" s="24">
        <f>IF(COUNTIFS('PLAN_VACACIONES'!$A$4:$A$103,$C340,'PLAN_VACACIONES'!$B$4:$B$103,"&lt;="&amp;$L340,'PLAN_VACACIONES'!$C$4:$C$103,"&gt;="&amp;$L340)&gt;0,"sí","no")</f>
        <v/>
      </c>
      <c r="I340" s="4" t="n"/>
      <c r="J340" s="24">
        <f>IF($I340&lt;&gt;"",$I340,IF($G340="","",IF($H340="sí","VAC",IF(LEFT($G340,1)="B","B",$G340))))</f>
        <v/>
      </c>
      <c r="K340" s="24">
        <f>IFERROR(INDEX('TECNICOS'!$E$4:$E$19,MATCH($C340,'TECNICOS'!$B$4:$B$19,0)),"")</f>
        <v/>
      </c>
      <c r="L340" s="30">
        <f>IF($A340="","",DATE(VALUE(LEFT($A340,4)),1,4)-WEEKDAY(DATE(VALUE(LEFT($A340,4)),1,4),2)+1+(VALUE(MID($A340,7,2))-1)*7+MATCH($B340,lista_dias,0)-1)</f>
        <v/>
      </c>
      <c r="M340" s="24">
        <f>IF(OR($J340="",ISNUMBER(MATCH($J340,lista_no_disponible,0)),(IFERROR(INDEX('CALENDARIO'!$C$15:$C$214,MATCH(TEXT($L340,"yyyy-mm-dd")&amp;"|"&amp;$D340&amp;"|"&amp;"",'CALENDARIO'!$G$15:$G$214,0)),IFERROR(INDEX('CALENDARIO'!$C$15:$C$214,MATCH(TEXT($L340,"yyyy-mm-dd")&amp;"|"&amp;$D340&amp;"|",'CALENDARIO'!$G$15:$G$214,0)),IFERROR(INDEX('CALENDARIO'!$C$15:$C$214,MATCH(TEXT($L340,"yyyy-mm-dd")&amp;"||",'CALENDARIO'!$G$15:$G$214,0)),INDEX(patronHabil,WEEKDAY($L340,2))))))&lt;&gt;"sí"),0,p_horas_jornada)</f>
        <v/>
      </c>
      <c r="N340" s="24">
        <f>$A340&amp;"|"&amp;$B340&amp;"|"&amp;$C340</f>
        <v/>
      </c>
      <c r="O340" s="24">
        <f>IFERROR(INDEX('CAT_TURNOS'!$C$4:$C$22,MATCH($J340,'CAT_TURNOS'!$A$4:$A$22,0)),"")</f>
        <v/>
      </c>
      <c r="P340" s="24">
        <f>IFERROR(INDEX('CAT_TURNOS'!$D$4:$D$22,MATCH($J340,'CAT_TURNOS'!$A$4:$A$22,0)),"")</f>
        <v/>
      </c>
      <c r="Q340" s="24">
        <f>IF(AND(LEFT($G340,1)="T",$H340="no"),"sí","no")</f>
        <v/>
      </c>
    </row>
    <row r="341">
      <c r="A341" s="5" t="inlineStr">
        <is>
          <t>2026-S33</t>
        </is>
      </c>
      <c r="B341" s="5" t="inlineStr">
        <is>
          <t>martes</t>
        </is>
      </c>
      <c r="C341" s="5" t="inlineStr">
        <is>
          <t>Carlos Pérez</t>
        </is>
      </c>
      <c r="D341" s="24">
        <f>IFERROR(INDEX('TECNICOS'!$D$4:$D$19,MATCH($C341,'TECNICOS'!$B$4:$B$19,0)),"")</f>
        <v/>
      </c>
      <c r="E341" s="24">
        <f>IFERROR(INDEX('TECNICOS'!$C$4:$C$19,MATCH($C341,'TECNICOS'!$B$4:$B$19,0)),"")</f>
        <v/>
      </c>
      <c r="F341" s="24">
        <f>COUNTIFS('TECNICOS'!$F$4:$F$19,"sí",'TECNICOS'!$C$4:$C$19,$E341,'TECNICOS'!$D$4:$D$19,$D341,'TECNICOS'!$H$4:$H$19,"sí")</f>
        <v/>
      </c>
      <c r="G341" s="24">
        <f>IF(OR($C341="",$A341="",$B341="domingo",IFERROR(INDEX('TECNICOS'!$H$4:$H$19,MATCH($C341,'TECNICOS'!$B$4:$B$19,0)),"no")&lt;&gt;"sí"),"",IF(IFERROR(INDEX('TECNICOS'!$F$4:$F$19,MATCH($C341,'TECNICOS'!$B$4:$B$19,0)),"no")&lt;&gt;"sí","B",IF(MOD((IFERROR(INDEX('TECNICOS'!$G$4:$G$19,MATCH($C341,'TECNICOS'!$B$4:$B$19,0)),0)-1)+((DATE(VALUE(LEFT($A341,4)),1,4)-WEEKDAY(DATE(VALUE(LEFT($A341,4)),1,4),2)+1+(VALUE(MID($A341,7,2))-1)*7)-p_semana_referencia)/7,$F341)&lt;($F341-3),"B"&amp;(($F341-3)-MOD((IFERROR(INDEX('TECNICOS'!$G$4:$G$19,MATCH($C341,'TECNICOS'!$B$4:$B$19,0)),0)-1)+((DATE(VALUE(LEFT($A341,4)),1,4)-WEEKDAY(DATE(VALUE(LEFT($A341,4)),1,4),2)+1+(VALUE(MID($A341,7,2))-1)*7)-p_semana_referencia)/7,$F341)),"T"&amp;($F341-MOD((IFERROR(INDEX('TECNICOS'!$G$4:$G$19,MATCH($C341,'TECNICOS'!$B$4:$B$19,0)),0)-1)+((DATE(VALUE(LEFT($A341,4)),1,4)-WEEKDAY(DATE(VALUE(LEFT($A341,4)),1,4),2)+1+(VALUE(MID($A341,7,2))-1)*7)-p_semana_referencia)/7,$F341)))))</f>
        <v/>
      </c>
      <c r="H341" s="24">
        <f>IF(COUNTIFS('PLAN_VACACIONES'!$A$4:$A$103,$C341,'PLAN_VACACIONES'!$B$4:$B$103,"&lt;="&amp;$L341,'PLAN_VACACIONES'!$C$4:$C$103,"&gt;="&amp;$L341)&gt;0,"sí","no")</f>
        <v/>
      </c>
      <c r="I341" s="4" t="n"/>
      <c r="J341" s="24">
        <f>IF($I341&lt;&gt;"",$I341,IF($G341="","",IF($H341="sí","VAC",IF(LEFT($G341,1)="B","B",$G341))))</f>
        <v/>
      </c>
      <c r="K341" s="24">
        <f>IFERROR(INDEX('TECNICOS'!$E$4:$E$19,MATCH($C341,'TECNICOS'!$B$4:$B$19,0)),"")</f>
        <v/>
      </c>
      <c r="L341" s="30">
        <f>IF($A341="","",DATE(VALUE(LEFT($A341,4)),1,4)-WEEKDAY(DATE(VALUE(LEFT($A341,4)),1,4),2)+1+(VALUE(MID($A341,7,2))-1)*7+MATCH($B341,lista_dias,0)-1)</f>
        <v/>
      </c>
      <c r="M341" s="24">
        <f>IF(OR($J341="",ISNUMBER(MATCH($J341,lista_no_disponible,0)),(IFERROR(INDEX('CALENDARIO'!$C$15:$C$214,MATCH(TEXT($L341,"yyyy-mm-dd")&amp;"|"&amp;$D341&amp;"|"&amp;"",'CALENDARIO'!$G$15:$G$214,0)),IFERROR(INDEX('CALENDARIO'!$C$15:$C$214,MATCH(TEXT($L341,"yyyy-mm-dd")&amp;"|"&amp;$D341&amp;"|",'CALENDARIO'!$G$15:$G$214,0)),IFERROR(INDEX('CALENDARIO'!$C$15:$C$214,MATCH(TEXT($L341,"yyyy-mm-dd")&amp;"||",'CALENDARIO'!$G$15:$G$214,0)),INDEX(patronHabil,WEEKDAY($L341,2))))))&lt;&gt;"sí"),0,p_horas_jornada)</f>
        <v/>
      </c>
      <c r="N341" s="24">
        <f>$A341&amp;"|"&amp;$B341&amp;"|"&amp;$C341</f>
        <v/>
      </c>
      <c r="O341" s="24">
        <f>IFERROR(INDEX('CAT_TURNOS'!$C$4:$C$22,MATCH($J341,'CAT_TURNOS'!$A$4:$A$22,0)),"")</f>
        <v/>
      </c>
      <c r="P341" s="24">
        <f>IFERROR(INDEX('CAT_TURNOS'!$D$4:$D$22,MATCH($J341,'CAT_TURNOS'!$A$4:$A$22,0)),"")</f>
        <v/>
      </c>
      <c r="Q341" s="24">
        <f>IF(AND(LEFT($G341,1)="T",$H341="no"),"sí","no")</f>
        <v/>
      </c>
    </row>
    <row r="342">
      <c r="A342" s="5" t="inlineStr">
        <is>
          <t>2026-S33</t>
        </is>
      </c>
      <c r="B342" s="5" t="inlineStr">
        <is>
          <t>miércoles</t>
        </is>
      </c>
      <c r="C342" s="5" t="inlineStr">
        <is>
          <t>Carlos Pérez</t>
        </is>
      </c>
      <c r="D342" s="24">
        <f>IFERROR(INDEX('TECNICOS'!$D$4:$D$19,MATCH($C342,'TECNICOS'!$B$4:$B$19,0)),"")</f>
        <v/>
      </c>
      <c r="E342" s="24">
        <f>IFERROR(INDEX('TECNICOS'!$C$4:$C$19,MATCH($C342,'TECNICOS'!$B$4:$B$19,0)),"")</f>
        <v/>
      </c>
      <c r="F342" s="24">
        <f>COUNTIFS('TECNICOS'!$F$4:$F$19,"sí",'TECNICOS'!$C$4:$C$19,$E342,'TECNICOS'!$D$4:$D$19,$D342,'TECNICOS'!$H$4:$H$19,"sí")</f>
        <v/>
      </c>
      <c r="G342" s="24">
        <f>IF(OR($C342="",$A342="",$B342="domingo",IFERROR(INDEX('TECNICOS'!$H$4:$H$19,MATCH($C342,'TECNICOS'!$B$4:$B$19,0)),"no")&lt;&gt;"sí"),"",IF(IFERROR(INDEX('TECNICOS'!$F$4:$F$19,MATCH($C342,'TECNICOS'!$B$4:$B$19,0)),"no")&lt;&gt;"sí","B",IF(MOD((IFERROR(INDEX('TECNICOS'!$G$4:$G$19,MATCH($C342,'TECNICOS'!$B$4:$B$19,0)),0)-1)+((DATE(VALUE(LEFT($A342,4)),1,4)-WEEKDAY(DATE(VALUE(LEFT($A342,4)),1,4),2)+1+(VALUE(MID($A342,7,2))-1)*7)-p_semana_referencia)/7,$F342)&lt;($F342-3),"B"&amp;(($F342-3)-MOD((IFERROR(INDEX('TECNICOS'!$G$4:$G$19,MATCH($C342,'TECNICOS'!$B$4:$B$19,0)),0)-1)+((DATE(VALUE(LEFT($A342,4)),1,4)-WEEKDAY(DATE(VALUE(LEFT($A342,4)),1,4),2)+1+(VALUE(MID($A342,7,2))-1)*7)-p_semana_referencia)/7,$F342)),"T"&amp;($F342-MOD((IFERROR(INDEX('TECNICOS'!$G$4:$G$19,MATCH($C342,'TECNICOS'!$B$4:$B$19,0)),0)-1)+((DATE(VALUE(LEFT($A342,4)),1,4)-WEEKDAY(DATE(VALUE(LEFT($A342,4)),1,4),2)+1+(VALUE(MID($A342,7,2))-1)*7)-p_semana_referencia)/7,$F342)))))</f>
        <v/>
      </c>
      <c r="H342" s="24">
        <f>IF(COUNTIFS('PLAN_VACACIONES'!$A$4:$A$103,$C342,'PLAN_VACACIONES'!$B$4:$B$103,"&lt;="&amp;$L342,'PLAN_VACACIONES'!$C$4:$C$103,"&gt;="&amp;$L342)&gt;0,"sí","no")</f>
        <v/>
      </c>
      <c r="I342" s="4" t="n"/>
      <c r="J342" s="24">
        <f>IF($I342&lt;&gt;"",$I342,IF($G342="","",IF($H342="sí","VAC",IF(LEFT($G342,1)="B","B",$G342))))</f>
        <v/>
      </c>
      <c r="K342" s="24">
        <f>IFERROR(INDEX('TECNICOS'!$E$4:$E$19,MATCH($C342,'TECNICOS'!$B$4:$B$19,0)),"")</f>
        <v/>
      </c>
      <c r="L342" s="30">
        <f>IF($A342="","",DATE(VALUE(LEFT($A342,4)),1,4)-WEEKDAY(DATE(VALUE(LEFT($A342,4)),1,4),2)+1+(VALUE(MID($A342,7,2))-1)*7+MATCH($B342,lista_dias,0)-1)</f>
        <v/>
      </c>
      <c r="M342" s="24">
        <f>IF(OR($J342="",ISNUMBER(MATCH($J342,lista_no_disponible,0)),(IFERROR(INDEX('CALENDARIO'!$C$15:$C$214,MATCH(TEXT($L342,"yyyy-mm-dd")&amp;"|"&amp;$D342&amp;"|"&amp;"",'CALENDARIO'!$G$15:$G$214,0)),IFERROR(INDEX('CALENDARIO'!$C$15:$C$214,MATCH(TEXT($L342,"yyyy-mm-dd")&amp;"|"&amp;$D342&amp;"|",'CALENDARIO'!$G$15:$G$214,0)),IFERROR(INDEX('CALENDARIO'!$C$15:$C$214,MATCH(TEXT($L342,"yyyy-mm-dd")&amp;"||",'CALENDARIO'!$G$15:$G$214,0)),INDEX(patronHabil,WEEKDAY($L342,2))))))&lt;&gt;"sí"),0,p_horas_jornada)</f>
        <v/>
      </c>
      <c r="N342" s="24">
        <f>$A342&amp;"|"&amp;$B342&amp;"|"&amp;$C342</f>
        <v/>
      </c>
      <c r="O342" s="24">
        <f>IFERROR(INDEX('CAT_TURNOS'!$C$4:$C$22,MATCH($J342,'CAT_TURNOS'!$A$4:$A$22,0)),"")</f>
        <v/>
      </c>
      <c r="P342" s="24">
        <f>IFERROR(INDEX('CAT_TURNOS'!$D$4:$D$22,MATCH($J342,'CAT_TURNOS'!$A$4:$A$22,0)),"")</f>
        <v/>
      </c>
      <c r="Q342" s="24">
        <f>IF(AND(LEFT($G342,1)="T",$H342="no"),"sí","no")</f>
        <v/>
      </c>
    </row>
    <row r="343">
      <c r="A343" s="5" t="inlineStr">
        <is>
          <t>2026-S33</t>
        </is>
      </c>
      <c r="B343" s="5" t="inlineStr">
        <is>
          <t>jueves</t>
        </is>
      </c>
      <c r="C343" s="5" t="inlineStr">
        <is>
          <t>Carlos Pérez</t>
        </is>
      </c>
      <c r="D343" s="24">
        <f>IFERROR(INDEX('TECNICOS'!$D$4:$D$19,MATCH($C343,'TECNICOS'!$B$4:$B$19,0)),"")</f>
        <v/>
      </c>
      <c r="E343" s="24">
        <f>IFERROR(INDEX('TECNICOS'!$C$4:$C$19,MATCH($C343,'TECNICOS'!$B$4:$B$19,0)),"")</f>
        <v/>
      </c>
      <c r="F343" s="24">
        <f>COUNTIFS('TECNICOS'!$F$4:$F$19,"sí",'TECNICOS'!$C$4:$C$19,$E343,'TECNICOS'!$D$4:$D$19,$D343,'TECNICOS'!$H$4:$H$19,"sí")</f>
        <v/>
      </c>
      <c r="G343" s="24">
        <f>IF(OR($C343="",$A343="",$B343="domingo",IFERROR(INDEX('TECNICOS'!$H$4:$H$19,MATCH($C343,'TECNICOS'!$B$4:$B$19,0)),"no")&lt;&gt;"sí"),"",IF(IFERROR(INDEX('TECNICOS'!$F$4:$F$19,MATCH($C343,'TECNICOS'!$B$4:$B$19,0)),"no")&lt;&gt;"sí","B",IF(MOD((IFERROR(INDEX('TECNICOS'!$G$4:$G$19,MATCH($C343,'TECNICOS'!$B$4:$B$19,0)),0)-1)+((DATE(VALUE(LEFT($A343,4)),1,4)-WEEKDAY(DATE(VALUE(LEFT($A343,4)),1,4),2)+1+(VALUE(MID($A343,7,2))-1)*7)-p_semana_referencia)/7,$F343)&lt;($F343-3),"B"&amp;(($F343-3)-MOD((IFERROR(INDEX('TECNICOS'!$G$4:$G$19,MATCH($C343,'TECNICOS'!$B$4:$B$19,0)),0)-1)+((DATE(VALUE(LEFT($A343,4)),1,4)-WEEKDAY(DATE(VALUE(LEFT($A343,4)),1,4),2)+1+(VALUE(MID($A343,7,2))-1)*7)-p_semana_referencia)/7,$F343)),"T"&amp;($F343-MOD((IFERROR(INDEX('TECNICOS'!$G$4:$G$19,MATCH($C343,'TECNICOS'!$B$4:$B$19,0)),0)-1)+((DATE(VALUE(LEFT($A343,4)),1,4)-WEEKDAY(DATE(VALUE(LEFT($A343,4)),1,4),2)+1+(VALUE(MID($A343,7,2))-1)*7)-p_semana_referencia)/7,$F343)))))</f>
        <v/>
      </c>
      <c r="H343" s="24">
        <f>IF(COUNTIFS('PLAN_VACACIONES'!$A$4:$A$103,$C343,'PLAN_VACACIONES'!$B$4:$B$103,"&lt;="&amp;$L343,'PLAN_VACACIONES'!$C$4:$C$103,"&gt;="&amp;$L343)&gt;0,"sí","no")</f>
        <v/>
      </c>
      <c r="I343" s="4" t="n"/>
      <c r="J343" s="24">
        <f>IF($I343&lt;&gt;"",$I343,IF($G343="","",IF($H343="sí","VAC",IF(LEFT($G343,1)="B","B",$G343))))</f>
        <v/>
      </c>
      <c r="K343" s="24">
        <f>IFERROR(INDEX('TECNICOS'!$E$4:$E$19,MATCH($C343,'TECNICOS'!$B$4:$B$19,0)),"")</f>
        <v/>
      </c>
      <c r="L343" s="30">
        <f>IF($A343="","",DATE(VALUE(LEFT($A343,4)),1,4)-WEEKDAY(DATE(VALUE(LEFT($A343,4)),1,4),2)+1+(VALUE(MID($A343,7,2))-1)*7+MATCH($B343,lista_dias,0)-1)</f>
        <v/>
      </c>
      <c r="M343" s="24">
        <f>IF(OR($J343="",ISNUMBER(MATCH($J343,lista_no_disponible,0)),(IFERROR(INDEX('CALENDARIO'!$C$15:$C$214,MATCH(TEXT($L343,"yyyy-mm-dd")&amp;"|"&amp;$D343&amp;"|"&amp;"",'CALENDARIO'!$G$15:$G$214,0)),IFERROR(INDEX('CALENDARIO'!$C$15:$C$214,MATCH(TEXT($L343,"yyyy-mm-dd")&amp;"|"&amp;$D343&amp;"|",'CALENDARIO'!$G$15:$G$214,0)),IFERROR(INDEX('CALENDARIO'!$C$15:$C$214,MATCH(TEXT($L343,"yyyy-mm-dd")&amp;"||",'CALENDARIO'!$G$15:$G$214,0)),INDEX(patronHabil,WEEKDAY($L343,2))))))&lt;&gt;"sí"),0,p_horas_jornada)</f>
        <v/>
      </c>
      <c r="N343" s="24">
        <f>$A343&amp;"|"&amp;$B343&amp;"|"&amp;$C343</f>
        <v/>
      </c>
      <c r="O343" s="24">
        <f>IFERROR(INDEX('CAT_TURNOS'!$C$4:$C$22,MATCH($J343,'CAT_TURNOS'!$A$4:$A$22,0)),"")</f>
        <v/>
      </c>
      <c r="P343" s="24">
        <f>IFERROR(INDEX('CAT_TURNOS'!$D$4:$D$22,MATCH($J343,'CAT_TURNOS'!$A$4:$A$22,0)),"")</f>
        <v/>
      </c>
      <c r="Q343" s="24">
        <f>IF(AND(LEFT($G343,1)="T",$H343="no"),"sí","no")</f>
        <v/>
      </c>
    </row>
    <row r="344">
      <c r="A344" s="5" t="inlineStr">
        <is>
          <t>2026-S33</t>
        </is>
      </c>
      <c r="B344" s="5" t="inlineStr">
        <is>
          <t>viernes</t>
        </is>
      </c>
      <c r="C344" s="5" t="inlineStr">
        <is>
          <t>Carlos Pérez</t>
        </is>
      </c>
      <c r="D344" s="24">
        <f>IFERROR(INDEX('TECNICOS'!$D$4:$D$19,MATCH($C344,'TECNICOS'!$B$4:$B$19,0)),"")</f>
        <v/>
      </c>
      <c r="E344" s="24">
        <f>IFERROR(INDEX('TECNICOS'!$C$4:$C$19,MATCH($C344,'TECNICOS'!$B$4:$B$19,0)),"")</f>
        <v/>
      </c>
      <c r="F344" s="24">
        <f>COUNTIFS('TECNICOS'!$F$4:$F$19,"sí",'TECNICOS'!$C$4:$C$19,$E344,'TECNICOS'!$D$4:$D$19,$D344,'TECNICOS'!$H$4:$H$19,"sí")</f>
        <v/>
      </c>
      <c r="G344" s="24">
        <f>IF(OR($C344="",$A344="",$B344="domingo",IFERROR(INDEX('TECNICOS'!$H$4:$H$19,MATCH($C344,'TECNICOS'!$B$4:$B$19,0)),"no")&lt;&gt;"sí"),"",IF(IFERROR(INDEX('TECNICOS'!$F$4:$F$19,MATCH($C344,'TECNICOS'!$B$4:$B$19,0)),"no")&lt;&gt;"sí","B",IF(MOD((IFERROR(INDEX('TECNICOS'!$G$4:$G$19,MATCH($C344,'TECNICOS'!$B$4:$B$19,0)),0)-1)+((DATE(VALUE(LEFT($A344,4)),1,4)-WEEKDAY(DATE(VALUE(LEFT($A344,4)),1,4),2)+1+(VALUE(MID($A344,7,2))-1)*7)-p_semana_referencia)/7,$F344)&lt;($F344-3),"B"&amp;(($F344-3)-MOD((IFERROR(INDEX('TECNICOS'!$G$4:$G$19,MATCH($C344,'TECNICOS'!$B$4:$B$19,0)),0)-1)+((DATE(VALUE(LEFT($A344,4)),1,4)-WEEKDAY(DATE(VALUE(LEFT($A344,4)),1,4),2)+1+(VALUE(MID($A344,7,2))-1)*7)-p_semana_referencia)/7,$F344)),"T"&amp;($F344-MOD((IFERROR(INDEX('TECNICOS'!$G$4:$G$19,MATCH($C344,'TECNICOS'!$B$4:$B$19,0)),0)-1)+((DATE(VALUE(LEFT($A344,4)),1,4)-WEEKDAY(DATE(VALUE(LEFT($A344,4)),1,4),2)+1+(VALUE(MID($A344,7,2))-1)*7)-p_semana_referencia)/7,$F344)))))</f>
        <v/>
      </c>
      <c r="H344" s="24">
        <f>IF(COUNTIFS('PLAN_VACACIONES'!$A$4:$A$103,$C344,'PLAN_VACACIONES'!$B$4:$B$103,"&lt;="&amp;$L344,'PLAN_VACACIONES'!$C$4:$C$103,"&gt;="&amp;$L344)&gt;0,"sí","no")</f>
        <v/>
      </c>
      <c r="I344" s="4" t="n"/>
      <c r="J344" s="24">
        <f>IF($I344&lt;&gt;"",$I344,IF($G344="","",IF($H344="sí","VAC",IF(LEFT($G344,1)="B","B",$G344))))</f>
        <v/>
      </c>
      <c r="K344" s="24">
        <f>IFERROR(INDEX('TECNICOS'!$E$4:$E$19,MATCH($C344,'TECNICOS'!$B$4:$B$19,0)),"")</f>
        <v/>
      </c>
      <c r="L344" s="30">
        <f>IF($A344="","",DATE(VALUE(LEFT($A344,4)),1,4)-WEEKDAY(DATE(VALUE(LEFT($A344,4)),1,4),2)+1+(VALUE(MID($A344,7,2))-1)*7+MATCH($B344,lista_dias,0)-1)</f>
        <v/>
      </c>
      <c r="M344" s="24">
        <f>IF(OR($J344="",ISNUMBER(MATCH($J344,lista_no_disponible,0)),(IFERROR(INDEX('CALENDARIO'!$C$15:$C$214,MATCH(TEXT($L344,"yyyy-mm-dd")&amp;"|"&amp;$D344&amp;"|"&amp;"",'CALENDARIO'!$G$15:$G$214,0)),IFERROR(INDEX('CALENDARIO'!$C$15:$C$214,MATCH(TEXT($L344,"yyyy-mm-dd")&amp;"|"&amp;$D344&amp;"|",'CALENDARIO'!$G$15:$G$214,0)),IFERROR(INDEX('CALENDARIO'!$C$15:$C$214,MATCH(TEXT($L344,"yyyy-mm-dd")&amp;"||",'CALENDARIO'!$G$15:$G$214,0)),INDEX(patronHabil,WEEKDAY($L344,2))))))&lt;&gt;"sí"),0,p_horas_jornada)</f>
        <v/>
      </c>
      <c r="N344" s="24">
        <f>$A344&amp;"|"&amp;$B344&amp;"|"&amp;$C344</f>
        <v/>
      </c>
      <c r="O344" s="24">
        <f>IFERROR(INDEX('CAT_TURNOS'!$C$4:$C$22,MATCH($J344,'CAT_TURNOS'!$A$4:$A$22,0)),"")</f>
        <v/>
      </c>
      <c r="P344" s="24">
        <f>IFERROR(INDEX('CAT_TURNOS'!$D$4:$D$22,MATCH($J344,'CAT_TURNOS'!$A$4:$A$22,0)),"")</f>
        <v/>
      </c>
      <c r="Q344" s="24">
        <f>IF(AND(LEFT($G344,1)="T",$H344="no"),"sí","no")</f>
        <v/>
      </c>
    </row>
    <row r="345">
      <c r="A345" s="5" t="inlineStr">
        <is>
          <t>2026-S33</t>
        </is>
      </c>
      <c r="B345" s="5" t="inlineStr">
        <is>
          <t>sábado</t>
        </is>
      </c>
      <c r="C345" s="5" t="inlineStr">
        <is>
          <t>Carlos Pérez</t>
        </is>
      </c>
      <c r="D345" s="24">
        <f>IFERROR(INDEX('TECNICOS'!$D$4:$D$19,MATCH($C345,'TECNICOS'!$B$4:$B$19,0)),"")</f>
        <v/>
      </c>
      <c r="E345" s="24">
        <f>IFERROR(INDEX('TECNICOS'!$C$4:$C$19,MATCH($C345,'TECNICOS'!$B$4:$B$19,0)),"")</f>
        <v/>
      </c>
      <c r="F345" s="24">
        <f>COUNTIFS('TECNICOS'!$F$4:$F$19,"sí",'TECNICOS'!$C$4:$C$19,$E345,'TECNICOS'!$D$4:$D$19,$D345,'TECNICOS'!$H$4:$H$19,"sí")</f>
        <v/>
      </c>
      <c r="G345" s="24">
        <f>IF(OR($C345="",$A345="",$B345="domingo",IFERROR(INDEX('TECNICOS'!$H$4:$H$19,MATCH($C345,'TECNICOS'!$B$4:$B$19,0)),"no")&lt;&gt;"sí"),"",IF(IFERROR(INDEX('TECNICOS'!$F$4:$F$19,MATCH($C345,'TECNICOS'!$B$4:$B$19,0)),"no")&lt;&gt;"sí","B",IF(MOD((IFERROR(INDEX('TECNICOS'!$G$4:$G$19,MATCH($C345,'TECNICOS'!$B$4:$B$19,0)),0)-1)+((DATE(VALUE(LEFT($A345,4)),1,4)-WEEKDAY(DATE(VALUE(LEFT($A345,4)),1,4),2)+1+(VALUE(MID($A345,7,2))-1)*7)-p_semana_referencia)/7,$F345)&lt;($F345-3),"B"&amp;(($F345-3)-MOD((IFERROR(INDEX('TECNICOS'!$G$4:$G$19,MATCH($C345,'TECNICOS'!$B$4:$B$19,0)),0)-1)+((DATE(VALUE(LEFT($A345,4)),1,4)-WEEKDAY(DATE(VALUE(LEFT($A345,4)),1,4),2)+1+(VALUE(MID($A345,7,2))-1)*7)-p_semana_referencia)/7,$F345)),"T"&amp;($F345-MOD((IFERROR(INDEX('TECNICOS'!$G$4:$G$19,MATCH($C345,'TECNICOS'!$B$4:$B$19,0)),0)-1)+((DATE(VALUE(LEFT($A345,4)),1,4)-WEEKDAY(DATE(VALUE(LEFT($A345,4)),1,4),2)+1+(VALUE(MID($A345,7,2))-1)*7)-p_semana_referencia)/7,$F345)))))</f>
        <v/>
      </c>
      <c r="H345" s="24">
        <f>IF(COUNTIFS('PLAN_VACACIONES'!$A$4:$A$103,$C345,'PLAN_VACACIONES'!$B$4:$B$103,"&lt;="&amp;$L345,'PLAN_VACACIONES'!$C$4:$C$103,"&gt;="&amp;$L345)&gt;0,"sí","no")</f>
        <v/>
      </c>
      <c r="I345" s="4" t="n"/>
      <c r="J345" s="24">
        <f>IF($I345&lt;&gt;"",$I345,IF($G345="","",IF($H345="sí","VAC",IF(LEFT($G345,1)="B","B",$G345))))</f>
        <v/>
      </c>
      <c r="K345" s="24">
        <f>IFERROR(INDEX('TECNICOS'!$E$4:$E$19,MATCH($C345,'TECNICOS'!$B$4:$B$19,0)),"")</f>
        <v/>
      </c>
      <c r="L345" s="30">
        <f>IF($A345="","",DATE(VALUE(LEFT($A345,4)),1,4)-WEEKDAY(DATE(VALUE(LEFT($A345,4)),1,4),2)+1+(VALUE(MID($A345,7,2))-1)*7+MATCH($B345,lista_dias,0)-1)</f>
        <v/>
      </c>
      <c r="M345" s="24">
        <f>IF(OR($J345="",ISNUMBER(MATCH($J345,lista_no_disponible,0)),(IFERROR(INDEX('CALENDARIO'!$C$15:$C$214,MATCH(TEXT($L345,"yyyy-mm-dd")&amp;"|"&amp;$D345&amp;"|"&amp;"",'CALENDARIO'!$G$15:$G$214,0)),IFERROR(INDEX('CALENDARIO'!$C$15:$C$214,MATCH(TEXT($L345,"yyyy-mm-dd")&amp;"|"&amp;$D345&amp;"|",'CALENDARIO'!$G$15:$G$214,0)),IFERROR(INDEX('CALENDARIO'!$C$15:$C$214,MATCH(TEXT($L345,"yyyy-mm-dd")&amp;"||",'CALENDARIO'!$G$15:$G$214,0)),INDEX(patronHabil,WEEKDAY($L345,2))))))&lt;&gt;"sí"),0,p_horas_jornada)</f>
        <v/>
      </c>
      <c r="N345" s="24">
        <f>$A345&amp;"|"&amp;$B345&amp;"|"&amp;$C345</f>
        <v/>
      </c>
      <c r="O345" s="24">
        <f>IFERROR(INDEX('CAT_TURNOS'!$C$4:$C$22,MATCH($J345,'CAT_TURNOS'!$A$4:$A$22,0)),"")</f>
        <v/>
      </c>
      <c r="P345" s="24">
        <f>IFERROR(INDEX('CAT_TURNOS'!$D$4:$D$22,MATCH($J345,'CAT_TURNOS'!$A$4:$A$22,0)),"")</f>
        <v/>
      </c>
      <c r="Q345" s="24">
        <f>IF(AND(LEFT($G345,1)="T",$H345="no"),"sí","no")</f>
        <v/>
      </c>
    </row>
    <row r="346">
      <c r="A346" s="5" t="inlineStr">
        <is>
          <t>2026-S33</t>
        </is>
      </c>
      <c r="B346" s="5" t="inlineStr">
        <is>
          <t>domingo</t>
        </is>
      </c>
      <c r="C346" s="5" t="inlineStr">
        <is>
          <t>Carlos Pérez</t>
        </is>
      </c>
      <c r="D346" s="24">
        <f>IFERROR(INDEX('TECNICOS'!$D$4:$D$19,MATCH($C346,'TECNICOS'!$B$4:$B$19,0)),"")</f>
        <v/>
      </c>
      <c r="E346" s="24">
        <f>IFERROR(INDEX('TECNICOS'!$C$4:$C$19,MATCH($C346,'TECNICOS'!$B$4:$B$19,0)),"")</f>
        <v/>
      </c>
      <c r="F346" s="24">
        <f>COUNTIFS('TECNICOS'!$F$4:$F$19,"sí",'TECNICOS'!$C$4:$C$19,$E346,'TECNICOS'!$D$4:$D$19,$D346,'TECNICOS'!$H$4:$H$19,"sí")</f>
        <v/>
      </c>
      <c r="G346" s="24">
        <f>IF(OR($C346="",$A346="",$B346="domingo",IFERROR(INDEX('TECNICOS'!$H$4:$H$19,MATCH($C346,'TECNICOS'!$B$4:$B$19,0)),"no")&lt;&gt;"sí"),"",IF(IFERROR(INDEX('TECNICOS'!$F$4:$F$19,MATCH($C346,'TECNICOS'!$B$4:$B$19,0)),"no")&lt;&gt;"sí","B",IF(MOD((IFERROR(INDEX('TECNICOS'!$G$4:$G$19,MATCH($C346,'TECNICOS'!$B$4:$B$19,0)),0)-1)+((DATE(VALUE(LEFT($A346,4)),1,4)-WEEKDAY(DATE(VALUE(LEFT($A346,4)),1,4),2)+1+(VALUE(MID($A346,7,2))-1)*7)-p_semana_referencia)/7,$F346)&lt;($F346-3),"B"&amp;(($F346-3)-MOD((IFERROR(INDEX('TECNICOS'!$G$4:$G$19,MATCH($C346,'TECNICOS'!$B$4:$B$19,0)),0)-1)+((DATE(VALUE(LEFT($A346,4)),1,4)-WEEKDAY(DATE(VALUE(LEFT($A346,4)),1,4),2)+1+(VALUE(MID($A346,7,2))-1)*7)-p_semana_referencia)/7,$F346)),"T"&amp;($F346-MOD((IFERROR(INDEX('TECNICOS'!$G$4:$G$19,MATCH($C346,'TECNICOS'!$B$4:$B$19,0)),0)-1)+((DATE(VALUE(LEFT($A346,4)),1,4)-WEEKDAY(DATE(VALUE(LEFT($A346,4)),1,4),2)+1+(VALUE(MID($A346,7,2))-1)*7)-p_semana_referencia)/7,$F346)))))</f>
        <v/>
      </c>
      <c r="H346" s="24">
        <f>IF(COUNTIFS('PLAN_VACACIONES'!$A$4:$A$103,$C346,'PLAN_VACACIONES'!$B$4:$B$103,"&lt;="&amp;$L346,'PLAN_VACACIONES'!$C$4:$C$103,"&gt;="&amp;$L346)&gt;0,"sí","no")</f>
        <v/>
      </c>
      <c r="I346" s="4" t="n"/>
      <c r="J346" s="24">
        <f>IF($I346&lt;&gt;"",$I346,IF($G346="","",IF($H346="sí","VAC",IF(LEFT($G346,1)="B","B",$G346))))</f>
        <v/>
      </c>
      <c r="K346" s="24">
        <f>IFERROR(INDEX('TECNICOS'!$E$4:$E$19,MATCH($C346,'TECNICOS'!$B$4:$B$19,0)),"")</f>
        <v/>
      </c>
      <c r="L346" s="30">
        <f>IF($A346="","",DATE(VALUE(LEFT($A346,4)),1,4)-WEEKDAY(DATE(VALUE(LEFT($A346,4)),1,4),2)+1+(VALUE(MID($A346,7,2))-1)*7+MATCH($B346,lista_dias,0)-1)</f>
        <v/>
      </c>
      <c r="M346" s="24">
        <f>IF(OR($J346="",ISNUMBER(MATCH($J346,lista_no_disponible,0)),(IFERROR(INDEX('CALENDARIO'!$C$15:$C$214,MATCH(TEXT($L346,"yyyy-mm-dd")&amp;"|"&amp;$D346&amp;"|"&amp;"",'CALENDARIO'!$G$15:$G$214,0)),IFERROR(INDEX('CALENDARIO'!$C$15:$C$214,MATCH(TEXT($L346,"yyyy-mm-dd")&amp;"|"&amp;$D346&amp;"|",'CALENDARIO'!$G$15:$G$214,0)),IFERROR(INDEX('CALENDARIO'!$C$15:$C$214,MATCH(TEXT($L346,"yyyy-mm-dd")&amp;"||",'CALENDARIO'!$G$15:$G$214,0)),INDEX(patronHabil,WEEKDAY($L346,2))))))&lt;&gt;"sí"),0,p_horas_jornada)</f>
        <v/>
      </c>
      <c r="N346" s="24">
        <f>$A346&amp;"|"&amp;$B346&amp;"|"&amp;$C346</f>
        <v/>
      </c>
      <c r="O346" s="24">
        <f>IFERROR(INDEX('CAT_TURNOS'!$C$4:$C$22,MATCH($J346,'CAT_TURNOS'!$A$4:$A$22,0)),"")</f>
        <v/>
      </c>
      <c r="P346" s="24">
        <f>IFERROR(INDEX('CAT_TURNOS'!$D$4:$D$22,MATCH($J346,'CAT_TURNOS'!$A$4:$A$22,0)),"")</f>
        <v/>
      </c>
      <c r="Q346" s="24">
        <f>IF(AND(LEFT($G346,1)="T",$H346="no"),"sí","no")</f>
        <v/>
      </c>
    </row>
    <row r="347">
      <c r="A347" s="5" t="inlineStr">
        <is>
          <t>2026-S33</t>
        </is>
      </c>
      <c r="B347" s="5" t="inlineStr">
        <is>
          <t>lunes</t>
        </is>
      </c>
      <c r="C347" s="5" t="inlineStr">
        <is>
          <t>María Gómez</t>
        </is>
      </c>
      <c r="D347" s="24">
        <f>IFERROR(INDEX('TECNICOS'!$D$4:$D$19,MATCH($C347,'TECNICOS'!$B$4:$B$19,0)),"")</f>
        <v/>
      </c>
      <c r="E347" s="24">
        <f>IFERROR(INDEX('TECNICOS'!$C$4:$C$19,MATCH($C347,'TECNICOS'!$B$4:$B$19,0)),"")</f>
        <v/>
      </c>
      <c r="F347" s="24">
        <f>COUNTIFS('TECNICOS'!$F$4:$F$19,"sí",'TECNICOS'!$C$4:$C$19,$E347,'TECNICOS'!$D$4:$D$19,$D347,'TECNICOS'!$H$4:$H$19,"sí")</f>
        <v/>
      </c>
      <c r="G347" s="24">
        <f>IF(OR($C347="",$A347="",$B347="domingo",IFERROR(INDEX('TECNICOS'!$H$4:$H$19,MATCH($C347,'TECNICOS'!$B$4:$B$19,0)),"no")&lt;&gt;"sí"),"",IF(IFERROR(INDEX('TECNICOS'!$F$4:$F$19,MATCH($C347,'TECNICOS'!$B$4:$B$19,0)),"no")&lt;&gt;"sí","B",IF(MOD((IFERROR(INDEX('TECNICOS'!$G$4:$G$19,MATCH($C347,'TECNICOS'!$B$4:$B$19,0)),0)-1)+((DATE(VALUE(LEFT($A347,4)),1,4)-WEEKDAY(DATE(VALUE(LEFT($A347,4)),1,4),2)+1+(VALUE(MID($A347,7,2))-1)*7)-p_semana_referencia)/7,$F347)&lt;($F347-3),"B"&amp;(($F347-3)-MOD((IFERROR(INDEX('TECNICOS'!$G$4:$G$19,MATCH($C347,'TECNICOS'!$B$4:$B$19,0)),0)-1)+((DATE(VALUE(LEFT($A347,4)),1,4)-WEEKDAY(DATE(VALUE(LEFT($A347,4)),1,4),2)+1+(VALUE(MID($A347,7,2))-1)*7)-p_semana_referencia)/7,$F347)),"T"&amp;($F347-MOD((IFERROR(INDEX('TECNICOS'!$G$4:$G$19,MATCH($C347,'TECNICOS'!$B$4:$B$19,0)),0)-1)+((DATE(VALUE(LEFT($A347,4)),1,4)-WEEKDAY(DATE(VALUE(LEFT($A347,4)),1,4),2)+1+(VALUE(MID($A347,7,2))-1)*7)-p_semana_referencia)/7,$F347)))))</f>
        <v/>
      </c>
      <c r="H347" s="24">
        <f>IF(COUNTIFS('PLAN_VACACIONES'!$A$4:$A$103,$C347,'PLAN_VACACIONES'!$B$4:$B$103,"&lt;="&amp;$L347,'PLAN_VACACIONES'!$C$4:$C$103,"&gt;="&amp;$L347)&gt;0,"sí","no")</f>
        <v/>
      </c>
      <c r="I347" s="4" t="n"/>
      <c r="J347" s="24">
        <f>IF($I347&lt;&gt;"",$I347,IF($G347="","",IF($H347="sí","VAC",IF(LEFT($G347,1)="B","B",$G347))))</f>
        <v/>
      </c>
      <c r="K347" s="24">
        <f>IFERROR(INDEX('TECNICOS'!$E$4:$E$19,MATCH($C347,'TECNICOS'!$B$4:$B$19,0)),"")</f>
        <v/>
      </c>
      <c r="L347" s="30">
        <f>IF($A347="","",DATE(VALUE(LEFT($A347,4)),1,4)-WEEKDAY(DATE(VALUE(LEFT($A347,4)),1,4),2)+1+(VALUE(MID($A347,7,2))-1)*7+MATCH($B347,lista_dias,0)-1)</f>
        <v/>
      </c>
      <c r="M347" s="24">
        <f>IF(OR($J347="",ISNUMBER(MATCH($J347,lista_no_disponible,0)),(IFERROR(INDEX('CALENDARIO'!$C$15:$C$214,MATCH(TEXT($L347,"yyyy-mm-dd")&amp;"|"&amp;$D347&amp;"|"&amp;"",'CALENDARIO'!$G$15:$G$214,0)),IFERROR(INDEX('CALENDARIO'!$C$15:$C$214,MATCH(TEXT($L347,"yyyy-mm-dd")&amp;"|"&amp;$D347&amp;"|",'CALENDARIO'!$G$15:$G$214,0)),IFERROR(INDEX('CALENDARIO'!$C$15:$C$214,MATCH(TEXT($L347,"yyyy-mm-dd")&amp;"||",'CALENDARIO'!$G$15:$G$214,0)),INDEX(patronHabil,WEEKDAY($L347,2))))))&lt;&gt;"sí"),0,p_horas_jornada)</f>
        <v/>
      </c>
      <c r="N347" s="24">
        <f>$A347&amp;"|"&amp;$B347&amp;"|"&amp;$C347</f>
        <v/>
      </c>
      <c r="O347" s="24">
        <f>IFERROR(INDEX('CAT_TURNOS'!$C$4:$C$22,MATCH($J347,'CAT_TURNOS'!$A$4:$A$22,0)),"")</f>
        <v/>
      </c>
      <c r="P347" s="24">
        <f>IFERROR(INDEX('CAT_TURNOS'!$D$4:$D$22,MATCH($J347,'CAT_TURNOS'!$A$4:$A$22,0)),"")</f>
        <v/>
      </c>
      <c r="Q347" s="24">
        <f>IF(AND(LEFT($G347,1)="T",$H347="no"),"sí","no")</f>
        <v/>
      </c>
    </row>
    <row r="348">
      <c r="A348" s="5" t="inlineStr">
        <is>
          <t>2026-S33</t>
        </is>
      </c>
      <c r="B348" s="5" t="inlineStr">
        <is>
          <t>martes</t>
        </is>
      </c>
      <c r="C348" s="5" t="inlineStr">
        <is>
          <t>María Gómez</t>
        </is>
      </c>
      <c r="D348" s="24">
        <f>IFERROR(INDEX('TECNICOS'!$D$4:$D$19,MATCH($C348,'TECNICOS'!$B$4:$B$19,0)),"")</f>
        <v/>
      </c>
      <c r="E348" s="24">
        <f>IFERROR(INDEX('TECNICOS'!$C$4:$C$19,MATCH($C348,'TECNICOS'!$B$4:$B$19,0)),"")</f>
        <v/>
      </c>
      <c r="F348" s="24">
        <f>COUNTIFS('TECNICOS'!$F$4:$F$19,"sí",'TECNICOS'!$C$4:$C$19,$E348,'TECNICOS'!$D$4:$D$19,$D348,'TECNICOS'!$H$4:$H$19,"sí")</f>
        <v/>
      </c>
      <c r="G348" s="24">
        <f>IF(OR($C348="",$A348="",$B348="domingo",IFERROR(INDEX('TECNICOS'!$H$4:$H$19,MATCH($C348,'TECNICOS'!$B$4:$B$19,0)),"no")&lt;&gt;"sí"),"",IF(IFERROR(INDEX('TECNICOS'!$F$4:$F$19,MATCH($C348,'TECNICOS'!$B$4:$B$19,0)),"no")&lt;&gt;"sí","B",IF(MOD((IFERROR(INDEX('TECNICOS'!$G$4:$G$19,MATCH($C348,'TECNICOS'!$B$4:$B$19,0)),0)-1)+((DATE(VALUE(LEFT($A348,4)),1,4)-WEEKDAY(DATE(VALUE(LEFT($A348,4)),1,4),2)+1+(VALUE(MID($A348,7,2))-1)*7)-p_semana_referencia)/7,$F348)&lt;($F348-3),"B"&amp;(($F348-3)-MOD((IFERROR(INDEX('TECNICOS'!$G$4:$G$19,MATCH($C348,'TECNICOS'!$B$4:$B$19,0)),0)-1)+((DATE(VALUE(LEFT($A348,4)),1,4)-WEEKDAY(DATE(VALUE(LEFT($A348,4)),1,4),2)+1+(VALUE(MID($A348,7,2))-1)*7)-p_semana_referencia)/7,$F348)),"T"&amp;($F348-MOD((IFERROR(INDEX('TECNICOS'!$G$4:$G$19,MATCH($C348,'TECNICOS'!$B$4:$B$19,0)),0)-1)+((DATE(VALUE(LEFT($A348,4)),1,4)-WEEKDAY(DATE(VALUE(LEFT($A348,4)),1,4),2)+1+(VALUE(MID($A348,7,2))-1)*7)-p_semana_referencia)/7,$F348)))))</f>
        <v/>
      </c>
      <c r="H348" s="24">
        <f>IF(COUNTIFS('PLAN_VACACIONES'!$A$4:$A$103,$C348,'PLAN_VACACIONES'!$B$4:$B$103,"&lt;="&amp;$L348,'PLAN_VACACIONES'!$C$4:$C$103,"&gt;="&amp;$L348)&gt;0,"sí","no")</f>
        <v/>
      </c>
      <c r="I348" s="4" t="n"/>
      <c r="J348" s="24">
        <f>IF($I348&lt;&gt;"",$I348,IF($G348="","",IF($H348="sí","VAC",IF(LEFT($G348,1)="B","B",$G348))))</f>
        <v/>
      </c>
      <c r="K348" s="24">
        <f>IFERROR(INDEX('TECNICOS'!$E$4:$E$19,MATCH($C348,'TECNICOS'!$B$4:$B$19,0)),"")</f>
        <v/>
      </c>
      <c r="L348" s="30">
        <f>IF($A348="","",DATE(VALUE(LEFT($A348,4)),1,4)-WEEKDAY(DATE(VALUE(LEFT($A348,4)),1,4),2)+1+(VALUE(MID($A348,7,2))-1)*7+MATCH($B348,lista_dias,0)-1)</f>
        <v/>
      </c>
      <c r="M348" s="24">
        <f>IF(OR($J348="",ISNUMBER(MATCH($J348,lista_no_disponible,0)),(IFERROR(INDEX('CALENDARIO'!$C$15:$C$214,MATCH(TEXT($L348,"yyyy-mm-dd")&amp;"|"&amp;$D348&amp;"|"&amp;"",'CALENDARIO'!$G$15:$G$214,0)),IFERROR(INDEX('CALENDARIO'!$C$15:$C$214,MATCH(TEXT($L348,"yyyy-mm-dd")&amp;"|"&amp;$D348&amp;"|",'CALENDARIO'!$G$15:$G$214,0)),IFERROR(INDEX('CALENDARIO'!$C$15:$C$214,MATCH(TEXT($L348,"yyyy-mm-dd")&amp;"||",'CALENDARIO'!$G$15:$G$214,0)),INDEX(patronHabil,WEEKDAY($L348,2))))))&lt;&gt;"sí"),0,p_horas_jornada)</f>
        <v/>
      </c>
      <c r="N348" s="24">
        <f>$A348&amp;"|"&amp;$B348&amp;"|"&amp;$C348</f>
        <v/>
      </c>
      <c r="O348" s="24">
        <f>IFERROR(INDEX('CAT_TURNOS'!$C$4:$C$22,MATCH($J348,'CAT_TURNOS'!$A$4:$A$22,0)),"")</f>
        <v/>
      </c>
      <c r="P348" s="24">
        <f>IFERROR(INDEX('CAT_TURNOS'!$D$4:$D$22,MATCH($J348,'CAT_TURNOS'!$A$4:$A$22,0)),"")</f>
        <v/>
      </c>
      <c r="Q348" s="24">
        <f>IF(AND(LEFT($G348,1)="T",$H348="no"),"sí","no")</f>
        <v/>
      </c>
    </row>
    <row r="349">
      <c r="A349" s="5" t="inlineStr">
        <is>
          <t>2026-S33</t>
        </is>
      </c>
      <c r="B349" s="5" t="inlineStr">
        <is>
          <t>miércoles</t>
        </is>
      </c>
      <c r="C349" s="5" t="inlineStr">
        <is>
          <t>María Gómez</t>
        </is>
      </c>
      <c r="D349" s="24">
        <f>IFERROR(INDEX('TECNICOS'!$D$4:$D$19,MATCH($C349,'TECNICOS'!$B$4:$B$19,0)),"")</f>
        <v/>
      </c>
      <c r="E349" s="24">
        <f>IFERROR(INDEX('TECNICOS'!$C$4:$C$19,MATCH($C349,'TECNICOS'!$B$4:$B$19,0)),"")</f>
        <v/>
      </c>
      <c r="F349" s="24">
        <f>COUNTIFS('TECNICOS'!$F$4:$F$19,"sí",'TECNICOS'!$C$4:$C$19,$E349,'TECNICOS'!$D$4:$D$19,$D349,'TECNICOS'!$H$4:$H$19,"sí")</f>
        <v/>
      </c>
      <c r="G349" s="24">
        <f>IF(OR($C349="",$A349="",$B349="domingo",IFERROR(INDEX('TECNICOS'!$H$4:$H$19,MATCH($C349,'TECNICOS'!$B$4:$B$19,0)),"no")&lt;&gt;"sí"),"",IF(IFERROR(INDEX('TECNICOS'!$F$4:$F$19,MATCH($C349,'TECNICOS'!$B$4:$B$19,0)),"no")&lt;&gt;"sí","B",IF(MOD((IFERROR(INDEX('TECNICOS'!$G$4:$G$19,MATCH($C349,'TECNICOS'!$B$4:$B$19,0)),0)-1)+((DATE(VALUE(LEFT($A349,4)),1,4)-WEEKDAY(DATE(VALUE(LEFT($A349,4)),1,4),2)+1+(VALUE(MID($A349,7,2))-1)*7)-p_semana_referencia)/7,$F349)&lt;($F349-3),"B"&amp;(($F349-3)-MOD((IFERROR(INDEX('TECNICOS'!$G$4:$G$19,MATCH($C349,'TECNICOS'!$B$4:$B$19,0)),0)-1)+((DATE(VALUE(LEFT($A349,4)),1,4)-WEEKDAY(DATE(VALUE(LEFT($A349,4)),1,4),2)+1+(VALUE(MID($A349,7,2))-1)*7)-p_semana_referencia)/7,$F349)),"T"&amp;($F349-MOD((IFERROR(INDEX('TECNICOS'!$G$4:$G$19,MATCH($C349,'TECNICOS'!$B$4:$B$19,0)),0)-1)+((DATE(VALUE(LEFT($A349,4)),1,4)-WEEKDAY(DATE(VALUE(LEFT($A349,4)),1,4),2)+1+(VALUE(MID($A349,7,2))-1)*7)-p_semana_referencia)/7,$F349)))))</f>
        <v/>
      </c>
      <c r="H349" s="24">
        <f>IF(COUNTIFS('PLAN_VACACIONES'!$A$4:$A$103,$C349,'PLAN_VACACIONES'!$B$4:$B$103,"&lt;="&amp;$L349,'PLAN_VACACIONES'!$C$4:$C$103,"&gt;="&amp;$L349)&gt;0,"sí","no")</f>
        <v/>
      </c>
      <c r="I349" s="4" t="n"/>
      <c r="J349" s="24">
        <f>IF($I349&lt;&gt;"",$I349,IF($G349="","",IF($H349="sí","VAC",IF(LEFT($G349,1)="B","B",$G349))))</f>
        <v/>
      </c>
      <c r="K349" s="24">
        <f>IFERROR(INDEX('TECNICOS'!$E$4:$E$19,MATCH($C349,'TECNICOS'!$B$4:$B$19,0)),"")</f>
        <v/>
      </c>
      <c r="L349" s="30">
        <f>IF($A349="","",DATE(VALUE(LEFT($A349,4)),1,4)-WEEKDAY(DATE(VALUE(LEFT($A349,4)),1,4),2)+1+(VALUE(MID($A349,7,2))-1)*7+MATCH($B349,lista_dias,0)-1)</f>
        <v/>
      </c>
      <c r="M349" s="24">
        <f>IF(OR($J349="",ISNUMBER(MATCH($J349,lista_no_disponible,0)),(IFERROR(INDEX('CALENDARIO'!$C$15:$C$214,MATCH(TEXT($L349,"yyyy-mm-dd")&amp;"|"&amp;$D349&amp;"|"&amp;"",'CALENDARIO'!$G$15:$G$214,0)),IFERROR(INDEX('CALENDARIO'!$C$15:$C$214,MATCH(TEXT($L349,"yyyy-mm-dd")&amp;"|"&amp;$D349&amp;"|",'CALENDARIO'!$G$15:$G$214,0)),IFERROR(INDEX('CALENDARIO'!$C$15:$C$214,MATCH(TEXT($L349,"yyyy-mm-dd")&amp;"||",'CALENDARIO'!$G$15:$G$214,0)),INDEX(patronHabil,WEEKDAY($L349,2))))))&lt;&gt;"sí"),0,p_horas_jornada)</f>
        <v/>
      </c>
      <c r="N349" s="24">
        <f>$A349&amp;"|"&amp;$B349&amp;"|"&amp;$C349</f>
        <v/>
      </c>
      <c r="O349" s="24">
        <f>IFERROR(INDEX('CAT_TURNOS'!$C$4:$C$22,MATCH($J349,'CAT_TURNOS'!$A$4:$A$22,0)),"")</f>
        <v/>
      </c>
      <c r="P349" s="24">
        <f>IFERROR(INDEX('CAT_TURNOS'!$D$4:$D$22,MATCH($J349,'CAT_TURNOS'!$A$4:$A$22,0)),"")</f>
        <v/>
      </c>
      <c r="Q349" s="24">
        <f>IF(AND(LEFT($G349,1)="T",$H349="no"),"sí","no")</f>
        <v/>
      </c>
    </row>
    <row r="350">
      <c r="A350" s="5" t="inlineStr">
        <is>
          <t>2026-S33</t>
        </is>
      </c>
      <c r="B350" s="5" t="inlineStr">
        <is>
          <t>jueves</t>
        </is>
      </c>
      <c r="C350" s="5" t="inlineStr">
        <is>
          <t>María Gómez</t>
        </is>
      </c>
      <c r="D350" s="24">
        <f>IFERROR(INDEX('TECNICOS'!$D$4:$D$19,MATCH($C350,'TECNICOS'!$B$4:$B$19,0)),"")</f>
        <v/>
      </c>
      <c r="E350" s="24">
        <f>IFERROR(INDEX('TECNICOS'!$C$4:$C$19,MATCH($C350,'TECNICOS'!$B$4:$B$19,0)),"")</f>
        <v/>
      </c>
      <c r="F350" s="24">
        <f>COUNTIFS('TECNICOS'!$F$4:$F$19,"sí",'TECNICOS'!$C$4:$C$19,$E350,'TECNICOS'!$D$4:$D$19,$D350,'TECNICOS'!$H$4:$H$19,"sí")</f>
        <v/>
      </c>
      <c r="G350" s="24">
        <f>IF(OR($C350="",$A350="",$B350="domingo",IFERROR(INDEX('TECNICOS'!$H$4:$H$19,MATCH($C350,'TECNICOS'!$B$4:$B$19,0)),"no")&lt;&gt;"sí"),"",IF(IFERROR(INDEX('TECNICOS'!$F$4:$F$19,MATCH($C350,'TECNICOS'!$B$4:$B$19,0)),"no")&lt;&gt;"sí","B",IF(MOD((IFERROR(INDEX('TECNICOS'!$G$4:$G$19,MATCH($C350,'TECNICOS'!$B$4:$B$19,0)),0)-1)+((DATE(VALUE(LEFT($A350,4)),1,4)-WEEKDAY(DATE(VALUE(LEFT($A350,4)),1,4),2)+1+(VALUE(MID($A350,7,2))-1)*7)-p_semana_referencia)/7,$F350)&lt;($F350-3),"B"&amp;(($F350-3)-MOD((IFERROR(INDEX('TECNICOS'!$G$4:$G$19,MATCH($C350,'TECNICOS'!$B$4:$B$19,0)),0)-1)+((DATE(VALUE(LEFT($A350,4)),1,4)-WEEKDAY(DATE(VALUE(LEFT($A350,4)),1,4),2)+1+(VALUE(MID($A350,7,2))-1)*7)-p_semana_referencia)/7,$F350)),"T"&amp;($F350-MOD((IFERROR(INDEX('TECNICOS'!$G$4:$G$19,MATCH($C350,'TECNICOS'!$B$4:$B$19,0)),0)-1)+((DATE(VALUE(LEFT($A350,4)),1,4)-WEEKDAY(DATE(VALUE(LEFT($A350,4)),1,4),2)+1+(VALUE(MID($A350,7,2))-1)*7)-p_semana_referencia)/7,$F350)))))</f>
        <v/>
      </c>
      <c r="H350" s="24">
        <f>IF(COUNTIFS('PLAN_VACACIONES'!$A$4:$A$103,$C350,'PLAN_VACACIONES'!$B$4:$B$103,"&lt;="&amp;$L350,'PLAN_VACACIONES'!$C$4:$C$103,"&gt;="&amp;$L350)&gt;0,"sí","no")</f>
        <v/>
      </c>
      <c r="I350" s="4" t="n"/>
      <c r="J350" s="24">
        <f>IF($I350&lt;&gt;"",$I350,IF($G350="","",IF($H350="sí","VAC",IF(LEFT($G350,1)="B","B",$G350))))</f>
        <v/>
      </c>
      <c r="K350" s="24">
        <f>IFERROR(INDEX('TECNICOS'!$E$4:$E$19,MATCH($C350,'TECNICOS'!$B$4:$B$19,0)),"")</f>
        <v/>
      </c>
      <c r="L350" s="30">
        <f>IF($A350="","",DATE(VALUE(LEFT($A350,4)),1,4)-WEEKDAY(DATE(VALUE(LEFT($A350,4)),1,4),2)+1+(VALUE(MID($A350,7,2))-1)*7+MATCH($B350,lista_dias,0)-1)</f>
        <v/>
      </c>
      <c r="M350" s="24">
        <f>IF(OR($J350="",ISNUMBER(MATCH($J350,lista_no_disponible,0)),(IFERROR(INDEX('CALENDARIO'!$C$15:$C$214,MATCH(TEXT($L350,"yyyy-mm-dd")&amp;"|"&amp;$D350&amp;"|"&amp;"",'CALENDARIO'!$G$15:$G$214,0)),IFERROR(INDEX('CALENDARIO'!$C$15:$C$214,MATCH(TEXT($L350,"yyyy-mm-dd")&amp;"|"&amp;$D350&amp;"|",'CALENDARIO'!$G$15:$G$214,0)),IFERROR(INDEX('CALENDARIO'!$C$15:$C$214,MATCH(TEXT($L350,"yyyy-mm-dd")&amp;"||",'CALENDARIO'!$G$15:$G$214,0)),INDEX(patronHabil,WEEKDAY($L350,2))))))&lt;&gt;"sí"),0,p_horas_jornada)</f>
        <v/>
      </c>
      <c r="N350" s="24">
        <f>$A350&amp;"|"&amp;$B350&amp;"|"&amp;$C350</f>
        <v/>
      </c>
      <c r="O350" s="24">
        <f>IFERROR(INDEX('CAT_TURNOS'!$C$4:$C$22,MATCH($J350,'CAT_TURNOS'!$A$4:$A$22,0)),"")</f>
        <v/>
      </c>
      <c r="P350" s="24">
        <f>IFERROR(INDEX('CAT_TURNOS'!$D$4:$D$22,MATCH($J350,'CAT_TURNOS'!$A$4:$A$22,0)),"")</f>
        <v/>
      </c>
      <c r="Q350" s="24">
        <f>IF(AND(LEFT($G350,1)="T",$H350="no"),"sí","no")</f>
        <v/>
      </c>
    </row>
    <row r="351">
      <c r="A351" s="5" t="inlineStr">
        <is>
          <t>2026-S33</t>
        </is>
      </c>
      <c r="B351" s="5" t="inlineStr">
        <is>
          <t>viernes</t>
        </is>
      </c>
      <c r="C351" s="5" t="inlineStr">
        <is>
          <t>María Gómez</t>
        </is>
      </c>
      <c r="D351" s="24">
        <f>IFERROR(INDEX('TECNICOS'!$D$4:$D$19,MATCH($C351,'TECNICOS'!$B$4:$B$19,0)),"")</f>
        <v/>
      </c>
      <c r="E351" s="24">
        <f>IFERROR(INDEX('TECNICOS'!$C$4:$C$19,MATCH($C351,'TECNICOS'!$B$4:$B$19,0)),"")</f>
        <v/>
      </c>
      <c r="F351" s="24">
        <f>COUNTIFS('TECNICOS'!$F$4:$F$19,"sí",'TECNICOS'!$C$4:$C$19,$E351,'TECNICOS'!$D$4:$D$19,$D351,'TECNICOS'!$H$4:$H$19,"sí")</f>
        <v/>
      </c>
      <c r="G351" s="24">
        <f>IF(OR($C351="",$A351="",$B351="domingo",IFERROR(INDEX('TECNICOS'!$H$4:$H$19,MATCH($C351,'TECNICOS'!$B$4:$B$19,0)),"no")&lt;&gt;"sí"),"",IF(IFERROR(INDEX('TECNICOS'!$F$4:$F$19,MATCH($C351,'TECNICOS'!$B$4:$B$19,0)),"no")&lt;&gt;"sí","B",IF(MOD((IFERROR(INDEX('TECNICOS'!$G$4:$G$19,MATCH($C351,'TECNICOS'!$B$4:$B$19,0)),0)-1)+((DATE(VALUE(LEFT($A351,4)),1,4)-WEEKDAY(DATE(VALUE(LEFT($A351,4)),1,4),2)+1+(VALUE(MID($A351,7,2))-1)*7)-p_semana_referencia)/7,$F351)&lt;($F351-3),"B"&amp;(($F351-3)-MOD((IFERROR(INDEX('TECNICOS'!$G$4:$G$19,MATCH($C351,'TECNICOS'!$B$4:$B$19,0)),0)-1)+((DATE(VALUE(LEFT($A351,4)),1,4)-WEEKDAY(DATE(VALUE(LEFT($A351,4)),1,4),2)+1+(VALUE(MID($A351,7,2))-1)*7)-p_semana_referencia)/7,$F351)),"T"&amp;($F351-MOD((IFERROR(INDEX('TECNICOS'!$G$4:$G$19,MATCH($C351,'TECNICOS'!$B$4:$B$19,0)),0)-1)+((DATE(VALUE(LEFT($A351,4)),1,4)-WEEKDAY(DATE(VALUE(LEFT($A351,4)),1,4),2)+1+(VALUE(MID($A351,7,2))-1)*7)-p_semana_referencia)/7,$F351)))))</f>
        <v/>
      </c>
      <c r="H351" s="24">
        <f>IF(COUNTIFS('PLAN_VACACIONES'!$A$4:$A$103,$C351,'PLAN_VACACIONES'!$B$4:$B$103,"&lt;="&amp;$L351,'PLAN_VACACIONES'!$C$4:$C$103,"&gt;="&amp;$L351)&gt;0,"sí","no")</f>
        <v/>
      </c>
      <c r="I351" s="4" t="n"/>
      <c r="J351" s="24">
        <f>IF($I351&lt;&gt;"",$I351,IF($G351="","",IF($H351="sí","VAC",IF(LEFT($G351,1)="B","B",$G351))))</f>
        <v/>
      </c>
      <c r="K351" s="24">
        <f>IFERROR(INDEX('TECNICOS'!$E$4:$E$19,MATCH($C351,'TECNICOS'!$B$4:$B$19,0)),"")</f>
        <v/>
      </c>
      <c r="L351" s="30">
        <f>IF($A351="","",DATE(VALUE(LEFT($A351,4)),1,4)-WEEKDAY(DATE(VALUE(LEFT($A351,4)),1,4),2)+1+(VALUE(MID($A351,7,2))-1)*7+MATCH($B351,lista_dias,0)-1)</f>
        <v/>
      </c>
      <c r="M351" s="24">
        <f>IF(OR($J351="",ISNUMBER(MATCH($J351,lista_no_disponible,0)),(IFERROR(INDEX('CALENDARIO'!$C$15:$C$214,MATCH(TEXT($L351,"yyyy-mm-dd")&amp;"|"&amp;$D351&amp;"|"&amp;"",'CALENDARIO'!$G$15:$G$214,0)),IFERROR(INDEX('CALENDARIO'!$C$15:$C$214,MATCH(TEXT($L351,"yyyy-mm-dd")&amp;"|"&amp;$D351&amp;"|",'CALENDARIO'!$G$15:$G$214,0)),IFERROR(INDEX('CALENDARIO'!$C$15:$C$214,MATCH(TEXT($L351,"yyyy-mm-dd")&amp;"||",'CALENDARIO'!$G$15:$G$214,0)),INDEX(patronHabil,WEEKDAY($L351,2))))))&lt;&gt;"sí"),0,p_horas_jornada)</f>
        <v/>
      </c>
      <c r="N351" s="24">
        <f>$A351&amp;"|"&amp;$B351&amp;"|"&amp;$C351</f>
        <v/>
      </c>
      <c r="O351" s="24">
        <f>IFERROR(INDEX('CAT_TURNOS'!$C$4:$C$22,MATCH($J351,'CAT_TURNOS'!$A$4:$A$22,0)),"")</f>
        <v/>
      </c>
      <c r="P351" s="24">
        <f>IFERROR(INDEX('CAT_TURNOS'!$D$4:$D$22,MATCH($J351,'CAT_TURNOS'!$A$4:$A$22,0)),"")</f>
        <v/>
      </c>
      <c r="Q351" s="24">
        <f>IF(AND(LEFT($G351,1)="T",$H351="no"),"sí","no")</f>
        <v/>
      </c>
    </row>
    <row r="352">
      <c r="A352" s="5" t="inlineStr">
        <is>
          <t>2026-S33</t>
        </is>
      </c>
      <c r="B352" s="5" t="inlineStr">
        <is>
          <t>sábado</t>
        </is>
      </c>
      <c r="C352" s="5" t="inlineStr">
        <is>
          <t>María Gómez</t>
        </is>
      </c>
      <c r="D352" s="24">
        <f>IFERROR(INDEX('TECNICOS'!$D$4:$D$19,MATCH($C352,'TECNICOS'!$B$4:$B$19,0)),"")</f>
        <v/>
      </c>
      <c r="E352" s="24">
        <f>IFERROR(INDEX('TECNICOS'!$C$4:$C$19,MATCH($C352,'TECNICOS'!$B$4:$B$19,0)),"")</f>
        <v/>
      </c>
      <c r="F352" s="24">
        <f>COUNTIFS('TECNICOS'!$F$4:$F$19,"sí",'TECNICOS'!$C$4:$C$19,$E352,'TECNICOS'!$D$4:$D$19,$D352,'TECNICOS'!$H$4:$H$19,"sí")</f>
        <v/>
      </c>
      <c r="G352" s="24">
        <f>IF(OR($C352="",$A352="",$B352="domingo",IFERROR(INDEX('TECNICOS'!$H$4:$H$19,MATCH($C352,'TECNICOS'!$B$4:$B$19,0)),"no")&lt;&gt;"sí"),"",IF(IFERROR(INDEX('TECNICOS'!$F$4:$F$19,MATCH($C352,'TECNICOS'!$B$4:$B$19,0)),"no")&lt;&gt;"sí","B",IF(MOD((IFERROR(INDEX('TECNICOS'!$G$4:$G$19,MATCH($C352,'TECNICOS'!$B$4:$B$19,0)),0)-1)+((DATE(VALUE(LEFT($A352,4)),1,4)-WEEKDAY(DATE(VALUE(LEFT($A352,4)),1,4),2)+1+(VALUE(MID($A352,7,2))-1)*7)-p_semana_referencia)/7,$F352)&lt;($F352-3),"B"&amp;(($F352-3)-MOD((IFERROR(INDEX('TECNICOS'!$G$4:$G$19,MATCH($C352,'TECNICOS'!$B$4:$B$19,0)),0)-1)+((DATE(VALUE(LEFT($A352,4)),1,4)-WEEKDAY(DATE(VALUE(LEFT($A352,4)),1,4),2)+1+(VALUE(MID($A352,7,2))-1)*7)-p_semana_referencia)/7,$F352)),"T"&amp;($F352-MOD((IFERROR(INDEX('TECNICOS'!$G$4:$G$19,MATCH($C352,'TECNICOS'!$B$4:$B$19,0)),0)-1)+((DATE(VALUE(LEFT($A352,4)),1,4)-WEEKDAY(DATE(VALUE(LEFT($A352,4)),1,4),2)+1+(VALUE(MID($A352,7,2))-1)*7)-p_semana_referencia)/7,$F352)))))</f>
        <v/>
      </c>
      <c r="H352" s="24">
        <f>IF(COUNTIFS('PLAN_VACACIONES'!$A$4:$A$103,$C352,'PLAN_VACACIONES'!$B$4:$B$103,"&lt;="&amp;$L352,'PLAN_VACACIONES'!$C$4:$C$103,"&gt;="&amp;$L352)&gt;0,"sí","no")</f>
        <v/>
      </c>
      <c r="I352" s="4" t="n"/>
      <c r="J352" s="24">
        <f>IF($I352&lt;&gt;"",$I352,IF($G352="","",IF($H352="sí","VAC",IF(LEFT($G352,1)="B","B",$G352))))</f>
        <v/>
      </c>
      <c r="K352" s="24">
        <f>IFERROR(INDEX('TECNICOS'!$E$4:$E$19,MATCH($C352,'TECNICOS'!$B$4:$B$19,0)),"")</f>
        <v/>
      </c>
      <c r="L352" s="30">
        <f>IF($A352="","",DATE(VALUE(LEFT($A352,4)),1,4)-WEEKDAY(DATE(VALUE(LEFT($A352,4)),1,4),2)+1+(VALUE(MID($A352,7,2))-1)*7+MATCH($B352,lista_dias,0)-1)</f>
        <v/>
      </c>
      <c r="M352" s="24">
        <f>IF(OR($J352="",ISNUMBER(MATCH($J352,lista_no_disponible,0)),(IFERROR(INDEX('CALENDARIO'!$C$15:$C$214,MATCH(TEXT($L352,"yyyy-mm-dd")&amp;"|"&amp;$D352&amp;"|"&amp;"",'CALENDARIO'!$G$15:$G$214,0)),IFERROR(INDEX('CALENDARIO'!$C$15:$C$214,MATCH(TEXT($L352,"yyyy-mm-dd")&amp;"|"&amp;$D352&amp;"|",'CALENDARIO'!$G$15:$G$214,0)),IFERROR(INDEX('CALENDARIO'!$C$15:$C$214,MATCH(TEXT($L352,"yyyy-mm-dd")&amp;"||",'CALENDARIO'!$G$15:$G$214,0)),INDEX(patronHabil,WEEKDAY($L352,2))))))&lt;&gt;"sí"),0,p_horas_jornada)</f>
        <v/>
      </c>
      <c r="N352" s="24">
        <f>$A352&amp;"|"&amp;$B352&amp;"|"&amp;$C352</f>
        <v/>
      </c>
      <c r="O352" s="24">
        <f>IFERROR(INDEX('CAT_TURNOS'!$C$4:$C$22,MATCH($J352,'CAT_TURNOS'!$A$4:$A$22,0)),"")</f>
        <v/>
      </c>
      <c r="P352" s="24">
        <f>IFERROR(INDEX('CAT_TURNOS'!$D$4:$D$22,MATCH($J352,'CAT_TURNOS'!$A$4:$A$22,0)),"")</f>
        <v/>
      </c>
      <c r="Q352" s="24">
        <f>IF(AND(LEFT($G352,1)="T",$H352="no"),"sí","no")</f>
        <v/>
      </c>
    </row>
    <row r="353">
      <c r="A353" s="5" t="inlineStr">
        <is>
          <t>2026-S33</t>
        </is>
      </c>
      <c r="B353" s="5" t="inlineStr">
        <is>
          <t>domingo</t>
        </is>
      </c>
      <c r="C353" s="5" t="inlineStr">
        <is>
          <t>María Gómez</t>
        </is>
      </c>
      <c r="D353" s="24">
        <f>IFERROR(INDEX('TECNICOS'!$D$4:$D$19,MATCH($C353,'TECNICOS'!$B$4:$B$19,0)),"")</f>
        <v/>
      </c>
      <c r="E353" s="24">
        <f>IFERROR(INDEX('TECNICOS'!$C$4:$C$19,MATCH($C353,'TECNICOS'!$B$4:$B$19,0)),"")</f>
        <v/>
      </c>
      <c r="F353" s="24">
        <f>COUNTIFS('TECNICOS'!$F$4:$F$19,"sí",'TECNICOS'!$C$4:$C$19,$E353,'TECNICOS'!$D$4:$D$19,$D353,'TECNICOS'!$H$4:$H$19,"sí")</f>
        <v/>
      </c>
      <c r="G353" s="24">
        <f>IF(OR($C353="",$A353="",$B353="domingo",IFERROR(INDEX('TECNICOS'!$H$4:$H$19,MATCH($C353,'TECNICOS'!$B$4:$B$19,0)),"no")&lt;&gt;"sí"),"",IF(IFERROR(INDEX('TECNICOS'!$F$4:$F$19,MATCH($C353,'TECNICOS'!$B$4:$B$19,0)),"no")&lt;&gt;"sí","B",IF(MOD((IFERROR(INDEX('TECNICOS'!$G$4:$G$19,MATCH($C353,'TECNICOS'!$B$4:$B$19,0)),0)-1)+((DATE(VALUE(LEFT($A353,4)),1,4)-WEEKDAY(DATE(VALUE(LEFT($A353,4)),1,4),2)+1+(VALUE(MID($A353,7,2))-1)*7)-p_semana_referencia)/7,$F353)&lt;($F353-3),"B"&amp;(($F353-3)-MOD((IFERROR(INDEX('TECNICOS'!$G$4:$G$19,MATCH($C353,'TECNICOS'!$B$4:$B$19,0)),0)-1)+((DATE(VALUE(LEFT($A353,4)),1,4)-WEEKDAY(DATE(VALUE(LEFT($A353,4)),1,4),2)+1+(VALUE(MID($A353,7,2))-1)*7)-p_semana_referencia)/7,$F353)),"T"&amp;($F353-MOD((IFERROR(INDEX('TECNICOS'!$G$4:$G$19,MATCH($C353,'TECNICOS'!$B$4:$B$19,0)),0)-1)+((DATE(VALUE(LEFT($A353,4)),1,4)-WEEKDAY(DATE(VALUE(LEFT($A353,4)),1,4),2)+1+(VALUE(MID($A353,7,2))-1)*7)-p_semana_referencia)/7,$F353)))))</f>
        <v/>
      </c>
      <c r="H353" s="24">
        <f>IF(COUNTIFS('PLAN_VACACIONES'!$A$4:$A$103,$C353,'PLAN_VACACIONES'!$B$4:$B$103,"&lt;="&amp;$L353,'PLAN_VACACIONES'!$C$4:$C$103,"&gt;="&amp;$L353)&gt;0,"sí","no")</f>
        <v/>
      </c>
      <c r="I353" s="4" t="n"/>
      <c r="J353" s="24">
        <f>IF($I353&lt;&gt;"",$I353,IF($G353="","",IF($H353="sí","VAC",IF(LEFT($G353,1)="B","B",$G353))))</f>
        <v/>
      </c>
      <c r="K353" s="24">
        <f>IFERROR(INDEX('TECNICOS'!$E$4:$E$19,MATCH($C353,'TECNICOS'!$B$4:$B$19,0)),"")</f>
        <v/>
      </c>
      <c r="L353" s="30">
        <f>IF($A353="","",DATE(VALUE(LEFT($A353,4)),1,4)-WEEKDAY(DATE(VALUE(LEFT($A353,4)),1,4),2)+1+(VALUE(MID($A353,7,2))-1)*7+MATCH($B353,lista_dias,0)-1)</f>
        <v/>
      </c>
      <c r="M353" s="24">
        <f>IF(OR($J353="",ISNUMBER(MATCH($J353,lista_no_disponible,0)),(IFERROR(INDEX('CALENDARIO'!$C$15:$C$214,MATCH(TEXT($L353,"yyyy-mm-dd")&amp;"|"&amp;$D353&amp;"|"&amp;"",'CALENDARIO'!$G$15:$G$214,0)),IFERROR(INDEX('CALENDARIO'!$C$15:$C$214,MATCH(TEXT($L353,"yyyy-mm-dd")&amp;"|"&amp;$D353&amp;"|",'CALENDARIO'!$G$15:$G$214,0)),IFERROR(INDEX('CALENDARIO'!$C$15:$C$214,MATCH(TEXT($L353,"yyyy-mm-dd")&amp;"||",'CALENDARIO'!$G$15:$G$214,0)),INDEX(patronHabil,WEEKDAY($L353,2))))))&lt;&gt;"sí"),0,p_horas_jornada)</f>
        <v/>
      </c>
      <c r="N353" s="24">
        <f>$A353&amp;"|"&amp;$B353&amp;"|"&amp;$C353</f>
        <v/>
      </c>
      <c r="O353" s="24">
        <f>IFERROR(INDEX('CAT_TURNOS'!$C$4:$C$22,MATCH($J353,'CAT_TURNOS'!$A$4:$A$22,0)),"")</f>
        <v/>
      </c>
      <c r="P353" s="24">
        <f>IFERROR(INDEX('CAT_TURNOS'!$D$4:$D$22,MATCH($J353,'CAT_TURNOS'!$A$4:$A$22,0)),"")</f>
        <v/>
      </c>
      <c r="Q353" s="24">
        <f>IF(AND(LEFT($G353,1)="T",$H353="no"),"sí","no")</f>
        <v/>
      </c>
    </row>
    <row r="354">
      <c r="A354" s="5" t="inlineStr">
        <is>
          <t>2026-S33</t>
        </is>
      </c>
      <c r="B354" s="5" t="inlineStr">
        <is>
          <t>lunes</t>
        </is>
      </c>
      <c r="C354" s="5" t="inlineStr">
        <is>
          <t>Luis Rodríguez</t>
        </is>
      </c>
      <c r="D354" s="24">
        <f>IFERROR(INDEX('TECNICOS'!$D$4:$D$19,MATCH($C354,'TECNICOS'!$B$4:$B$19,0)),"")</f>
        <v/>
      </c>
      <c r="E354" s="24">
        <f>IFERROR(INDEX('TECNICOS'!$C$4:$C$19,MATCH($C354,'TECNICOS'!$B$4:$B$19,0)),"")</f>
        <v/>
      </c>
      <c r="F354" s="24">
        <f>COUNTIFS('TECNICOS'!$F$4:$F$19,"sí",'TECNICOS'!$C$4:$C$19,$E354,'TECNICOS'!$D$4:$D$19,$D354,'TECNICOS'!$H$4:$H$19,"sí")</f>
        <v/>
      </c>
      <c r="G354" s="24">
        <f>IF(OR($C354="",$A354="",$B354="domingo",IFERROR(INDEX('TECNICOS'!$H$4:$H$19,MATCH($C354,'TECNICOS'!$B$4:$B$19,0)),"no")&lt;&gt;"sí"),"",IF(IFERROR(INDEX('TECNICOS'!$F$4:$F$19,MATCH($C354,'TECNICOS'!$B$4:$B$19,0)),"no")&lt;&gt;"sí","B",IF(MOD((IFERROR(INDEX('TECNICOS'!$G$4:$G$19,MATCH($C354,'TECNICOS'!$B$4:$B$19,0)),0)-1)+((DATE(VALUE(LEFT($A354,4)),1,4)-WEEKDAY(DATE(VALUE(LEFT($A354,4)),1,4),2)+1+(VALUE(MID($A354,7,2))-1)*7)-p_semana_referencia)/7,$F354)&lt;($F354-3),"B"&amp;(($F354-3)-MOD((IFERROR(INDEX('TECNICOS'!$G$4:$G$19,MATCH($C354,'TECNICOS'!$B$4:$B$19,0)),0)-1)+((DATE(VALUE(LEFT($A354,4)),1,4)-WEEKDAY(DATE(VALUE(LEFT($A354,4)),1,4),2)+1+(VALUE(MID($A354,7,2))-1)*7)-p_semana_referencia)/7,$F354)),"T"&amp;($F354-MOD((IFERROR(INDEX('TECNICOS'!$G$4:$G$19,MATCH($C354,'TECNICOS'!$B$4:$B$19,0)),0)-1)+((DATE(VALUE(LEFT($A354,4)),1,4)-WEEKDAY(DATE(VALUE(LEFT($A354,4)),1,4),2)+1+(VALUE(MID($A354,7,2))-1)*7)-p_semana_referencia)/7,$F354)))))</f>
        <v/>
      </c>
      <c r="H354" s="24">
        <f>IF(COUNTIFS('PLAN_VACACIONES'!$A$4:$A$103,$C354,'PLAN_VACACIONES'!$B$4:$B$103,"&lt;="&amp;$L354,'PLAN_VACACIONES'!$C$4:$C$103,"&gt;="&amp;$L354)&gt;0,"sí","no")</f>
        <v/>
      </c>
      <c r="I354" s="4" t="n"/>
      <c r="J354" s="24">
        <f>IF($I354&lt;&gt;"",$I354,IF($G354="","",IF($H354="sí","VAC",IF(LEFT($G354,1)="B","B",$G354))))</f>
        <v/>
      </c>
      <c r="K354" s="24">
        <f>IFERROR(INDEX('TECNICOS'!$E$4:$E$19,MATCH($C354,'TECNICOS'!$B$4:$B$19,0)),"")</f>
        <v/>
      </c>
      <c r="L354" s="30">
        <f>IF($A354="","",DATE(VALUE(LEFT($A354,4)),1,4)-WEEKDAY(DATE(VALUE(LEFT($A354,4)),1,4),2)+1+(VALUE(MID($A354,7,2))-1)*7+MATCH($B354,lista_dias,0)-1)</f>
        <v/>
      </c>
      <c r="M354" s="24">
        <f>IF(OR($J354="",ISNUMBER(MATCH($J354,lista_no_disponible,0)),(IFERROR(INDEX('CALENDARIO'!$C$15:$C$214,MATCH(TEXT($L354,"yyyy-mm-dd")&amp;"|"&amp;$D354&amp;"|"&amp;"",'CALENDARIO'!$G$15:$G$214,0)),IFERROR(INDEX('CALENDARIO'!$C$15:$C$214,MATCH(TEXT($L354,"yyyy-mm-dd")&amp;"|"&amp;$D354&amp;"|",'CALENDARIO'!$G$15:$G$214,0)),IFERROR(INDEX('CALENDARIO'!$C$15:$C$214,MATCH(TEXT($L354,"yyyy-mm-dd")&amp;"||",'CALENDARIO'!$G$15:$G$214,0)),INDEX(patronHabil,WEEKDAY($L354,2))))))&lt;&gt;"sí"),0,p_horas_jornada)</f>
        <v/>
      </c>
      <c r="N354" s="24">
        <f>$A354&amp;"|"&amp;$B354&amp;"|"&amp;$C354</f>
        <v/>
      </c>
      <c r="O354" s="24">
        <f>IFERROR(INDEX('CAT_TURNOS'!$C$4:$C$22,MATCH($J354,'CAT_TURNOS'!$A$4:$A$22,0)),"")</f>
        <v/>
      </c>
      <c r="P354" s="24">
        <f>IFERROR(INDEX('CAT_TURNOS'!$D$4:$D$22,MATCH($J354,'CAT_TURNOS'!$A$4:$A$22,0)),"")</f>
        <v/>
      </c>
      <c r="Q354" s="24">
        <f>IF(AND(LEFT($G354,1)="T",$H354="no"),"sí","no")</f>
        <v/>
      </c>
    </row>
    <row r="355">
      <c r="A355" s="5" t="inlineStr">
        <is>
          <t>2026-S33</t>
        </is>
      </c>
      <c r="B355" s="5" t="inlineStr">
        <is>
          <t>martes</t>
        </is>
      </c>
      <c r="C355" s="5" t="inlineStr">
        <is>
          <t>Luis Rodríguez</t>
        </is>
      </c>
      <c r="D355" s="24">
        <f>IFERROR(INDEX('TECNICOS'!$D$4:$D$19,MATCH($C355,'TECNICOS'!$B$4:$B$19,0)),"")</f>
        <v/>
      </c>
      <c r="E355" s="24">
        <f>IFERROR(INDEX('TECNICOS'!$C$4:$C$19,MATCH($C355,'TECNICOS'!$B$4:$B$19,0)),"")</f>
        <v/>
      </c>
      <c r="F355" s="24">
        <f>COUNTIFS('TECNICOS'!$F$4:$F$19,"sí",'TECNICOS'!$C$4:$C$19,$E355,'TECNICOS'!$D$4:$D$19,$D355,'TECNICOS'!$H$4:$H$19,"sí")</f>
        <v/>
      </c>
      <c r="G355" s="24">
        <f>IF(OR($C355="",$A355="",$B355="domingo",IFERROR(INDEX('TECNICOS'!$H$4:$H$19,MATCH($C355,'TECNICOS'!$B$4:$B$19,0)),"no")&lt;&gt;"sí"),"",IF(IFERROR(INDEX('TECNICOS'!$F$4:$F$19,MATCH($C355,'TECNICOS'!$B$4:$B$19,0)),"no")&lt;&gt;"sí","B",IF(MOD((IFERROR(INDEX('TECNICOS'!$G$4:$G$19,MATCH($C355,'TECNICOS'!$B$4:$B$19,0)),0)-1)+((DATE(VALUE(LEFT($A355,4)),1,4)-WEEKDAY(DATE(VALUE(LEFT($A355,4)),1,4),2)+1+(VALUE(MID($A355,7,2))-1)*7)-p_semana_referencia)/7,$F355)&lt;($F355-3),"B"&amp;(($F355-3)-MOD((IFERROR(INDEX('TECNICOS'!$G$4:$G$19,MATCH($C355,'TECNICOS'!$B$4:$B$19,0)),0)-1)+((DATE(VALUE(LEFT($A355,4)),1,4)-WEEKDAY(DATE(VALUE(LEFT($A355,4)),1,4),2)+1+(VALUE(MID($A355,7,2))-1)*7)-p_semana_referencia)/7,$F355)),"T"&amp;($F355-MOD((IFERROR(INDEX('TECNICOS'!$G$4:$G$19,MATCH($C355,'TECNICOS'!$B$4:$B$19,0)),0)-1)+((DATE(VALUE(LEFT($A355,4)),1,4)-WEEKDAY(DATE(VALUE(LEFT($A355,4)),1,4),2)+1+(VALUE(MID($A355,7,2))-1)*7)-p_semana_referencia)/7,$F355)))))</f>
        <v/>
      </c>
      <c r="H355" s="24">
        <f>IF(COUNTIFS('PLAN_VACACIONES'!$A$4:$A$103,$C355,'PLAN_VACACIONES'!$B$4:$B$103,"&lt;="&amp;$L355,'PLAN_VACACIONES'!$C$4:$C$103,"&gt;="&amp;$L355)&gt;0,"sí","no")</f>
        <v/>
      </c>
      <c r="I355" s="4" t="n"/>
      <c r="J355" s="24">
        <f>IF($I355&lt;&gt;"",$I355,IF($G355="","",IF($H355="sí","VAC",IF(LEFT($G355,1)="B","B",$G355))))</f>
        <v/>
      </c>
      <c r="K355" s="24">
        <f>IFERROR(INDEX('TECNICOS'!$E$4:$E$19,MATCH($C355,'TECNICOS'!$B$4:$B$19,0)),"")</f>
        <v/>
      </c>
      <c r="L355" s="30">
        <f>IF($A355="","",DATE(VALUE(LEFT($A355,4)),1,4)-WEEKDAY(DATE(VALUE(LEFT($A355,4)),1,4),2)+1+(VALUE(MID($A355,7,2))-1)*7+MATCH($B355,lista_dias,0)-1)</f>
        <v/>
      </c>
      <c r="M355" s="24">
        <f>IF(OR($J355="",ISNUMBER(MATCH($J355,lista_no_disponible,0)),(IFERROR(INDEX('CALENDARIO'!$C$15:$C$214,MATCH(TEXT($L355,"yyyy-mm-dd")&amp;"|"&amp;$D355&amp;"|"&amp;"",'CALENDARIO'!$G$15:$G$214,0)),IFERROR(INDEX('CALENDARIO'!$C$15:$C$214,MATCH(TEXT($L355,"yyyy-mm-dd")&amp;"|"&amp;$D355&amp;"|",'CALENDARIO'!$G$15:$G$214,0)),IFERROR(INDEX('CALENDARIO'!$C$15:$C$214,MATCH(TEXT($L355,"yyyy-mm-dd")&amp;"||",'CALENDARIO'!$G$15:$G$214,0)),INDEX(patronHabil,WEEKDAY($L355,2))))))&lt;&gt;"sí"),0,p_horas_jornada)</f>
        <v/>
      </c>
      <c r="N355" s="24">
        <f>$A355&amp;"|"&amp;$B355&amp;"|"&amp;$C355</f>
        <v/>
      </c>
      <c r="O355" s="24">
        <f>IFERROR(INDEX('CAT_TURNOS'!$C$4:$C$22,MATCH($J355,'CAT_TURNOS'!$A$4:$A$22,0)),"")</f>
        <v/>
      </c>
      <c r="P355" s="24">
        <f>IFERROR(INDEX('CAT_TURNOS'!$D$4:$D$22,MATCH($J355,'CAT_TURNOS'!$A$4:$A$22,0)),"")</f>
        <v/>
      </c>
      <c r="Q355" s="24">
        <f>IF(AND(LEFT($G355,1)="T",$H355="no"),"sí","no")</f>
        <v/>
      </c>
    </row>
    <row r="356">
      <c r="A356" s="5" t="inlineStr">
        <is>
          <t>2026-S33</t>
        </is>
      </c>
      <c r="B356" s="5" t="inlineStr">
        <is>
          <t>miércoles</t>
        </is>
      </c>
      <c r="C356" s="5" t="inlineStr">
        <is>
          <t>Luis Rodríguez</t>
        </is>
      </c>
      <c r="D356" s="24">
        <f>IFERROR(INDEX('TECNICOS'!$D$4:$D$19,MATCH($C356,'TECNICOS'!$B$4:$B$19,0)),"")</f>
        <v/>
      </c>
      <c r="E356" s="24">
        <f>IFERROR(INDEX('TECNICOS'!$C$4:$C$19,MATCH($C356,'TECNICOS'!$B$4:$B$19,0)),"")</f>
        <v/>
      </c>
      <c r="F356" s="24">
        <f>COUNTIFS('TECNICOS'!$F$4:$F$19,"sí",'TECNICOS'!$C$4:$C$19,$E356,'TECNICOS'!$D$4:$D$19,$D356,'TECNICOS'!$H$4:$H$19,"sí")</f>
        <v/>
      </c>
      <c r="G356" s="24">
        <f>IF(OR($C356="",$A356="",$B356="domingo",IFERROR(INDEX('TECNICOS'!$H$4:$H$19,MATCH($C356,'TECNICOS'!$B$4:$B$19,0)),"no")&lt;&gt;"sí"),"",IF(IFERROR(INDEX('TECNICOS'!$F$4:$F$19,MATCH($C356,'TECNICOS'!$B$4:$B$19,0)),"no")&lt;&gt;"sí","B",IF(MOD((IFERROR(INDEX('TECNICOS'!$G$4:$G$19,MATCH($C356,'TECNICOS'!$B$4:$B$19,0)),0)-1)+((DATE(VALUE(LEFT($A356,4)),1,4)-WEEKDAY(DATE(VALUE(LEFT($A356,4)),1,4),2)+1+(VALUE(MID($A356,7,2))-1)*7)-p_semana_referencia)/7,$F356)&lt;($F356-3),"B"&amp;(($F356-3)-MOD((IFERROR(INDEX('TECNICOS'!$G$4:$G$19,MATCH($C356,'TECNICOS'!$B$4:$B$19,0)),0)-1)+((DATE(VALUE(LEFT($A356,4)),1,4)-WEEKDAY(DATE(VALUE(LEFT($A356,4)),1,4),2)+1+(VALUE(MID($A356,7,2))-1)*7)-p_semana_referencia)/7,$F356)),"T"&amp;($F356-MOD((IFERROR(INDEX('TECNICOS'!$G$4:$G$19,MATCH($C356,'TECNICOS'!$B$4:$B$19,0)),0)-1)+((DATE(VALUE(LEFT($A356,4)),1,4)-WEEKDAY(DATE(VALUE(LEFT($A356,4)),1,4),2)+1+(VALUE(MID($A356,7,2))-1)*7)-p_semana_referencia)/7,$F356)))))</f>
        <v/>
      </c>
      <c r="H356" s="24">
        <f>IF(COUNTIFS('PLAN_VACACIONES'!$A$4:$A$103,$C356,'PLAN_VACACIONES'!$B$4:$B$103,"&lt;="&amp;$L356,'PLAN_VACACIONES'!$C$4:$C$103,"&gt;="&amp;$L356)&gt;0,"sí","no")</f>
        <v/>
      </c>
      <c r="I356" s="4" t="n"/>
      <c r="J356" s="24">
        <f>IF($I356&lt;&gt;"",$I356,IF($G356="","",IF($H356="sí","VAC",IF(LEFT($G356,1)="B","B",$G356))))</f>
        <v/>
      </c>
      <c r="K356" s="24">
        <f>IFERROR(INDEX('TECNICOS'!$E$4:$E$19,MATCH($C356,'TECNICOS'!$B$4:$B$19,0)),"")</f>
        <v/>
      </c>
      <c r="L356" s="30">
        <f>IF($A356="","",DATE(VALUE(LEFT($A356,4)),1,4)-WEEKDAY(DATE(VALUE(LEFT($A356,4)),1,4),2)+1+(VALUE(MID($A356,7,2))-1)*7+MATCH($B356,lista_dias,0)-1)</f>
        <v/>
      </c>
      <c r="M356" s="24">
        <f>IF(OR($J356="",ISNUMBER(MATCH($J356,lista_no_disponible,0)),(IFERROR(INDEX('CALENDARIO'!$C$15:$C$214,MATCH(TEXT($L356,"yyyy-mm-dd")&amp;"|"&amp;$D356&amp;"|"&amp;"",'CALENDARIO'!$G$15:$G$214,0)),IFERROR(INDEX('CALENDARIO'!$C$15:$C$214,MATCH(TEXT($L356,"yyyy-mm-dd")&amp;"|"&amp;$D356&amp;"|",'CALENDARIO'!$G$15:$G$214,0)),IFERROR(INDEX('CALENDARIO'!$C$15:$C$214,MATCH(TEXT($L356,"yyyy-mm-dd")&amp;"||",'CALENDARIO'!$G$15:$G$214,0)),INDEX(patronHabil,WEEKDAY($L356,2))))))&lt;&gt;"sí"),0,p_horas_jornada)</f>
        <v/>
      </c>
      <c r="N356" s="24">
        <f>$A356&amp;"|"&amp;$B356&amp;"|"&amp;$C356</f>
        <v/>
      </c>
      <c r="O356" s="24">
        <f>IFERROR(INDEX('CAT_TURNOS'!$C$4:$C$22,MATCH($J356,'CAT_TURNOS'!$A$4:$A$22,0)),"")</f>
        <v/>
      </c>
      <c r="P356" s="24">
        <f>IFERROR(INDEX('CAT_TURNOS'!$D$4:$D$22,MATCH($J356,'CAT_TURNOS'!$A$4:$A$22,0)),"")</f>
        <v/>
      </c>
      <c r="Q356" s="24">
        <f>IF(AND(LEFT($G356,1)="T",$H356="no"),"sí","no")</f>
        <v/>
      </c>
    </row>
    <row r="357">
      <c r="A357" s="5" t="inlineStr">
        <is>
          <t>2026-S33</t>
        </is>
      </c>
      <c r="B357" s="5" t="inlineStr">
        <is>
          <t>jueves</t>
        </is>
      </c>
      <c r="C357" s="5" t="inlineStr">
        <is>
          <t>Luis Rodríguez</t>
        </is>
      </c>
      <c r="D357" s="24">
        <f>IFERROR(INDEX('TECNICOS'!$D$4:$D$19,MATCH($C357,'TECNICOS'!$B$4:$B$19,0)),"")</f>
        <v/>
      </c>
      <c r="E357" s="24">
        <f>IFERROR(INDEX('TECNICOS'!$C$4:$C$19,MATCH($C357,'TECNICOS'!$B$4:$B$19,0)),"")</f>
        <v/>
      </c>
      <c r="F357" s="24">
        <f>COUNTIFS('TECNICOS'!$F$4:$F$19,"sí",'TECNICOS'!$C$4:$C$19,$E357,'TECNICOS'!$D$4:$D$19,$D357,'TECNICOS'!$H$4:$H$19,"sí")</f>
        <v/>
      </c>
      <c r="G357" s="24">
        <f>IF(OR($C357="",$A357="",$B357="domingo",IFERROR(INDEX('TECNICOS'!$H$4:$H$19,MATCH($C357,'TECNICOS'!$B$4:$B$19,0)),"no")&lt;&gt;"sí"),"",IF(IFERROR(INDEX('TECNICOS'!$F$4:$F$19,MATCH($C357,'TECNICOS'!$B$4:$B$19,0)),"no")&lt;&gt;"sí","B",IF(MOD((IFERROR(INDEX('TECNICOS'!$G$4:$G$19,MATCH($C357,'TECNICOS'!$B$4:$B$19,0)),0)-1)+((DATE(VALUE(LEFT($A357,4)),1,4)-WEEKDAY(DATE(VALUE(LEFT($A357,4)),1,4),2)+1+(VALUE(MID($A357,7,2))-1)*7)-p_semana_referencia)/7,$F357)&lt;($F357-3),"B"&amp;(($F357-3)-MOD((IFERROR(INDEX('TECNICOS'!$G$4:$G$19,MATCH($C357,'TECNICOS'!$B$4:$B$19,0)),0)-1)+((DATE(VALUE(LEFT($A357,4)),1,4)-WEEKDAY(DATE(VALUE(LEFT($A357,4)),1,4),2)+1+(VALUE(MID($A357,7,2))-1)*7)-p_semana_referencia)/7,$F357)),"T"&amp;($F357-MOD((IFERROR(INDEX('TECNICOS'!$G$4:$G$19,MATCH($C357,'TECNICOS'!$B$4:$B$19,0)),0)-1)+((DATE(VALUE(LEFT($A357,4)),1,4)-WEEKDAY(DATE(VALUE(LEFT($A357,4)),1,4),2)+1+(VALUE(MID($A357,7,2))-1)*7)-p_semana_referencia)/7,$F357)))))</f>
        <v/>
      </c>
      <c r="H357" s="24">
        <f>IF(COUNTIFS('PLAN_VACACIONES'!$A$4:$A$103,$C357,'PLAN_VACACIONES'!$B$4:$B$103,"&lt;="&amp;$L357,'PLAN_VACACIONES'!$C$4:$C$103,"&gt;="&amp;$L357)&gt;0,"sí","no")</f>
        <v/>
      </c>
      <c r="I357" s="4" t="n"/>
      <c r="J357" s="24">
        <f>IF($I357&lt;&gt;"",$I357,IF($G357="","",IF($H357="sí","VAC",IF(LEFT($G357,1)="B","B",$G357))))</f>
        <v/>
      </c>
      <c r="K357" s="24">
        <f>IFERROR(INDEX('TECNICOS'!$E$4:$E$19,MATCH($C357,'TECNICOS'!$B$4:$B$19,0)),"")</f>
        <v/>
      </c>
      <c r="L357" s="30">
        <f>IF($A357="","",DATE(VALUE(LEFT($A357,4)),1,4)-WEEKDAY(DATE(VALUE(LEFT($A357,4)),1,4),2)+1+(VALUE(MID($A357,7,2))-1)*7+MATCH($B357,lista_dias,0)-1)</f>
        <v/>
      </c>
      <c r="M357" s="24">
        <f>IF(OR($J357="",ISNUMBER(MATCH($J357,lista_no_disponible,0)),(IFERROR(INDEX('CALENDARIO'!$C$15:$C$214,MATCH(TEXT($L357,"yyyy-mm-dd")&amp;"|"&amp;$D357&amp;"|"&amp;"",'CALENDARIO'!$G$15:$G$214,0)),IFERROR(INDEX('CALENDARIO'!$C$15:$C$214,MATCH(TEXT($L357,"yyyy-mm-dd")&amp;"|"&amp;$D357&amp;"|",'CALENDARIO'!$G$15:$G$214,0)),IFERROR(INDEX('CALENDARIO'!$C$15:$C$214,MATCH(TEXT($L357,"yyyy-mm-dd")&amp;"||",'CALENDARIO'!$G$15:$G$214,0)),INDEX(patronHabil,WEEKDAY($L357,2))))))&lt;&gt;"sí"),0,p_horas_jornada)</f>
        <v/>
      </c>
      <c r="N357" s="24">
        <f>$A357&amp;"|"&amp;$B357&amp;"|"&amp;$C357</f>
        <v/>
      </c>
      <c r="O357" s="24">
        <f>IFERROR(INDEX('CAT_TURNOS'!$C$4:$C$22,MATCH($J357,'CAT_TURNOS'!$A$4:$A$22,0)),"")</f>
        <v/>
      </c>
      <c r="P357" s="24">
        <f>IFERROR(INDEX('CAT_TURNOS'!$D$4:$D$22,MATCH($J357,'CAT_TURNOS'!$A$4:$A$22,0)),"")</f>
        <v/>
      </c>
      <c r="Q357" s="24">
        <f>IF(AND(LEFT($G357,1)="T",$H357="no"),"sí","no")</f>
        <v/>
      </c>
    </row>
    <row r="358">
      <c r="A358" s="5" t="inlineStr">
        <is>
          <t>2026-S33</t>
        </is>
      </c>
      <c r="B358" s="5" t="inlineStr">
        <is>
          <t>viernes</t>
        </is>
      </c>
      <c r="C358" s="5" t="inlineStr">
        <is>
          <t>Luis Rodríguez</t>
        </is>
      </c>
      <c r="D358" s="24">
        <f>IFERROR(INDEX('TECNICOS'!$D$4:$D$19,MATCH($C358,'TECNICOS'!$B$4:$B$19,0)),"")</f>
        <v/>
      </c>
      <c r="E358" s="24">
        <f>IFERROR(INDEX('TECNICOS'!$C$4:$C$19,MATCH($C358,'TECNICOS'!$B$4:$B$19,0)),"")</f>
        <v/>
      </c>
      <c r="F358" s="24">
        <f>COUNTIFS('TECNICOS'!$F$4:$F$19,"sí",'TECNICOS'!$C$4:$C$19,$E358,'TECNICOS'!$D$4:$D$19,$D358,'TECNICOS'!$H$4:$H$19,"sí")</f>
        <v/>
      </c>
      <c r="G358" s="24">
        <f>IF(OR($C358="",$A358="",$B358="domingo",IFERROR(INDEX('TECNICOS'!$H$4:$H$19,MATCH($C358,'TECNICOS'!$B$4:$B$19,0)),"no")&lt;&gt;"sí"),"",IF(IFERROR(INDEX('TECNICOS'!$F$4:$F$19,MATCH($C358,'TECNICOS'!$B$4:$B$19,0)),"no")&lt;&gt;"sí","B",IF(MOD((IFERROR(INDEX('TECNICOS'!$G$4:$G$19,MATCH($C358,'TECNICOS'!$B$4:$B$19,0)),0)-1)+((DATE(VALUE(LEFT($A358,4)),1,4)-WEEKDAY(DATE(VALUE(LEFT($A358,4)),1,4),2)+1+(VALUE(MID($A358,7,2))-1)*7)-p_semana_referencia)/7,$F358)&lt;($F358-3),"B"&amp;(($F358-3)-MOD((IFERROR(INDEX('TECNICOS'!$G$4:$G$19,MATCH($C358,'TECNICOS'!$B$4:$B$19,0)),0)-1)+((DATE(VALUE(LEFT($A358,4)),1,4)-WEEKDAY(DATE(VALUE(LEFT($A358,4)),1,4),2)+1+(VALUE(MID($A358,7,2))-1)*7)-p_semana_referencia)/7,$F358)),"T"&amp;($F358-MOD((IFERROR(INDEX('TECNICOS'!$G$4:$G$19,MATCH($C358,'TECNICOS'!$B$4:$B$19,0)),0)-1)+((DATE(VALUE(LEFT($A358,4)),1,4)-WEEKDAY(DATE(VALUE(LEFT($A358,4)),1,4),2)+1+(VALUE(MID($A358,7,2))-1)*7)-p_semana_referencia)/7,$F358)))))</f>
        <v/>
      </c>
      <c r="H358" s="24">
        <f>IF(COUNTIFS('PLAN_VACACIONES'!$A$4:$A$103,$C358,'PLAN_VACACIONES'!$B$4:$B$103,"&lt;="&amp;$L358,'PLAN_VACACIONES'!$C$4:$C$103,"&gt;="&amp;$L358)&gt;0,"sí","no")</f>
        <v/>
      </c>
      <c r="I358" s="4" t="n"/>
      <c r="J358" s="24">
        <f>IF($I358&lt;&gt;"",$I358,IF($G358="","",IF($H358="sí","VAC",IF(LEFT($G358,1)="B","B",$G358))))</f>
        <v/>
      </c>
      <c r="K358" s="24">
        <f>IFERROR(INDEX('TECNICOS'!$E$4:$E$19,MATCH($C358,'TECNICOS'!$B$4:$B$19,0)),"")</f>
        <v/>
      </c>
      <c r="L358" s="30">
        <f>IF($A358="","",DATE(VALUE(LEFT($A358,4)),1,4)-WEEKDAY(DATE(VALUE(LEFT($A358,4)),1,4),2)+1+(VALUE(MID($A358,7,2))-1)*7+MATCH($B358,lista_dias,0)-1)</f>
        <v/>
      </c>
      <c r="M358" s="24">
        <f>IF(OR($J358="",ISNUMBER(MATCH($J358,lista_no_disponible,0)),(IFERROR(INDEX('CALENDARIO'!$C$15:$C$214,MATCH(TEXT($L358,"yyyy-mm-dd")&amp;"|"&amp;$D358&amp;"|"&amp;"",'CALENDARIO'!$G$15:$G$214,0)),IFERROR(INDEX('CALENDARIO'!$C$15:$C$214,MATCH(TEXT($L358,"yyyy-mm-dd")&amp;"|"&amp;$D358&amp;"|",'CALENDARIO'!$G$15:$G$214,0)),IFERROR(INDEX('CALENDARIO'!$C$15:$C$214,MATCH(TEXT($L358,"yyyy-mm-dd")&amp;"||",'CALENDARIO'!$G$15:$G$214,0)),INDEX(patronHabil,WEEKDAY($L358,2))))))&lt;&gt;"sí"),0,p_horas_jornada)</f>
        <v/>
      </c>
      <c r="N358" s="24">
        <f>$A358&amp;"|"&amp;$B358&amp;"|"&amp;$C358</f>
        <v/>
      </c>
      <c r="O358" s="24">
        <f>IFERROR(INDEX('CAT_TURNOS'!$C$4:$C$22,MATCH($J358,'CAT_TURNOS'!$A$4:$A$22,0)),"")</f>
        <v/>
      </c>
      <c r="P358" s="24">
        <f>IFERROR(INDEX('CAT_TURNOS'!$D$4:$D$22,MATCH($J358,'CAT_TURNOS'!$A$4:$A$22,0)),"")</f>
        <v/>
      </c>
      <c r="Q358" s="24">
        <f>IF(AND(LEFT($G358,1)="T",$H358="no"),"sí","no")</f>
        <v/>
      </c>
    </row>
    <row r="359">
      <c r="A359" s="5" t="inlineStr">
        <is>
          <t>2026-S33</t>
        </is>
      </c>
      <c r="B359" s="5" t="inlineStr">
        <is>
          <t>sábado</t>
        </is>
      </c>
      <c r="C359" s="5" t="inlineStr">
        <is>
          <t>Luis Rodríguez</t>
        </is>
      </c>
      <c r="D359" s="24">
        <f>IFERROR(INDEX('TECNICOS'!$D$4:$D$19,MATCH($C359,'TECNICOS'!$B$4:$B$19,0)),"")</f>
        <v/>
      </c>
      <c r="E359" s="24">
        <f>IFERROR(INDEX('TECNICOS'!$C$4:$C$19,MATCH($C359,'TECNICOS'!$B$4:$B$19,0)),"")</f>
        <v/>
      </c>
      <c r="F359" s="24">
        <f>COUNTIFS('TECNICOS'!$F$4:$F$19,"sí",'TECNICOS'!$C$4:$C$19,$E359,'TECNICOS'!$D$4:$D$19,$D359,'TECNICOS'!$H$4:$H$19,"sí")</f>
        <v/>
      </c>
      <c r="G359" s="24">
        <f>IF(OR($C359="",$A359="",$B359="domingo",IFERROR(INDEX('TECNICOS'!$H$4:$H$19,MATCH($C359,'TECNICOS'!$B$4:$B$19,0)),"no")&lt;&gt;"sí"),"",IF(IFERROR(INDEX('TECNICOS'!$F$4:$F$19,MATCH($C359,'TECNICOS'!$B$4:$B$19,0)),"no")&lt;&gt;"sí","B",IF(MOD((IFERROR(INDEX('TECNICOS'!$G$4:$G$19,MATCH($C359,'TECNICOS'!$B$4:$B$19,0)),0)-1)+((DATE(VALUE(LEFT($A359,4)),1,4)-WEEKDAY(DATE(VALUE(LEFT($A359,4)),1,4),2)+1+(VALUE(MID($A359,7,2))-1)*7)-p_semana_referencia)/7,$F359)&lt;($F359-3),"B"&amp;(($F359-3)-MOD((IFERROR(INDEX('TECNICOS'!$G$4:$G$19,MATCH($C359,'TECNICOS'!$B$4:$B$19,0)),0)-1)+((DATE(VALUE(LEFT($A359,4)),1,4)-WEEKDAY(DATE(VALUE(LEFT($A359,4)),1,4),2)+1+(VALUE(MID($A359,7,2))-1)*7)-p_semana_referencia)/7,$F359)),"T"&amp;($F359-MOD((IFERROR(INDEX('TECNICOS'!$G$4:$G$19,MATCH($C359,'TECNICOS'!$B$4:$B$19,0)),0)-1)+((DATE(VALUE(LEFT($A359,4)),1,4)-WEEKDAY(DATE(VALUE(LEFT($A359,4)),1,4),2)+1+(VALUE(MID($A359,7,2))-1)*7)-p_semana_referencia)/7,$F359)))))</f>
        <v/>
      </c>
      <c r="H359" s="24">
        <f>IF(COUNTIFS('PLAN_VACACIONES'!$A$4:$A$103,$C359,'PLAN_VACACIONES'!$B$4:$B$103,"&lt;="&amp;$L359,'PLAN_VACACIONES'!$C$4:$C$103,"&gt;="&amp;$L359)&gt;0,"sí","no")</f>
        <v/>
      </c>
      <c r="I359" s="4" t="n"/>
      <c r="J359" s="24">
        <f>IF($I359&lt;&gt;"",$I359,IF($G359="","",IF($H359="sí","VAC",IF(LEFT($G359,1)="B","B",$G359))))</f>
        <v/>
      </c>
      <c r="K359" s="24">
        <f>IFERROR(INDEX('TECNICOS'!$E$4:$E$19,MATCH($C359,'TECNICOS'!$B$4:$B$19,0)),"")</f>
        <v/>
      </c>
      <c r="L359" s="30">
        <f>IF($A359="","",DATE(VALUE(LEFT($A359,4)),1,4)-WEEKDAY(DATE(VALUE(LEFT($A359,4)),1,4),2)+1+(VALUE(MID($A359,7,2))-1)*7+MATCH($B359,lista_dias,0)-1)</f>
        <v/>
      </c>
      <c r="M359" s="24">
        <f>IF(OR($J359="",ISNUMBER(MATCH($J359,lista_no_disponible,0)),(IFERROR(INDEX('CALENDARIO'!$C$15:$C$214,MATCH(TEXT($L359,"yyyy-mm-dd")&amp;"|"&amp;$D359&amp;"|"&amp;"",'CALENDARIO'!$G$15:$G$214,0)),IFERROR(INDEX('CALENDARIO'!$C$15:$C$214,MATCH(TEXT($L359,"yyyy-mm-dd")&amp;"|"&amp;$D359&amp;"|",'CALENDARIO'!$G$15:$G$214,0)),IFERROR(INDEX('CALENDARIO'!$C$15:$C$214,MATCH(TEXT($L359,"yyyy-mm-dd")&amp;"||",'CALENDARIO'!$G$15:$G$214,0)),INDEX(patronHabil,WEEKDAY($L359,2))))))&lt;&gt;"sí"),0,p_horas_jornada)</f>
        <v/>
      </c>
      <c r="N359" s="24">
        <f>$A359&amp;"|"&amp;$B359&amp;"|"&amp;$C359</f>
        <v/>
      </c>
      <c r="O359" s="24">
        <f>IFERROR(INDEX('CAT_TURNOS'!$C$4:$C$22,MATCH($J359,'CAT_TURNOS'!$A$4:$A$22,0)),"")</f>
        <v/>
      </c>
      <c r="P359" s="24">
        <f>IFERROR(INDEX('CAT_TURNOS'!$D$4:$D$22,MATCH($J359,'CAT_TURNOS'!$A$4:$A$22,0)),"")</f>
        <v/>
      </c>
      <c r="Q359" s="24">
        <f>IF(AND(LEFT($G359,1)="T",$H359="no"),"sí","no")</f>
        <v/>
      </c>
    </row>
    <row r="360">
      <c r="A360" s="5" t="inlineStr">
        <is>
          <t>2026-S33</t>
        </is>
      </c>
      <c r="B360" s="5" t="inlineStr">
        <is>
          <t>domingo</t>
        </is>
      </c>
      <c r="C360" s="5" t="inlineStr">
        <is>
          <t>Luis Rodríguez</t>
        </is>
      </c>
      <c r="D360" s="24">
        <f>IFERROR(INDEX('TECNICOS'!$D$4:$D$19,MATCH($C360,'TECNICOS'!$B$4:$B$19,0)),"")</f>
        <v/>
      </c>
      <c r="E360" s="24">
        <f>IFERROR(INDEX('TECNICOS'!$C$4:$C$19,MATCH($C360,'TECNICOS'!$B$4:$B$19,0)),"")</f>
        <v/>
      </c>
      <c r="F360" s="24">
        <f>COUNTIFS('TECNICOS'!$F$4:$F$19,"sí",'TECNICOS'!$C$4:$C$19,$E360,'TECNICOS'!$D$4:$D$19,$D360,'TECNICOS'!$H$4:$H$19,"sí")</f>
        <v/>
      </c>
      <c r="G360" s="24">
        <f>IF(OR($C360="",$A360="",$B360="domingo",IFERROR(INDEX('TECNICOS'!$H$4:$H$19,MATCH($C360,'TECNICOS'!$B$4:$B$19,0)),"no")&lt;&gt;"sí"),"",IF(IFERROR(INDEX('TECNICOS'!$F$4:$F$19,MATCH($C360,'TECNICOS'!$B$4:$B$19,0)),"no")&lt;&gt;"sí","B",IF(MOD((IFERROR(INDEX('TECNICOS'!$G$4:$G$19,MATCH($C360,'TECNICOS'!$B$4:$B$19,0)),0)-1)+((DATE(VALUE(LEFT($A360,4)),1,4)-WEEKDAY(DATE(VALUE(LEFT($A360,4)),1,4),2)+1+(VALUE(MID($A360,7,2))-1)*7)-p_semana_referencia)/7,$F360)&lt;($F360-3),"B"&amp;(($F360-3)-MOD((IFERROR(INDEX('TECNICOS'!$G$4:$G$19,MATCH($C360,'TECNICOS'!$B$4:$B$19,0)),0)-1)+((DATE(VALUE(LEFT($A360,4)),1,4)-WEEKDAY(DATE(VALUE(LEFT($A360,4)),1,4),2)+1+(VALUE(MID($A360,7,2))-1)*7)-p_semana_referencia)/7,$F360)),"T"&amp;($F360-MOD((IFERROR(INDEX('TECNICOS'!$G$4:$G$19,MATCH($C360,'TECNICOS'!$B$4:$B$19,0)),0)-1)+((DATE(VALUE(LEFT($A360,4)),1,4)-WEEKDAY(DATE(VALUE(LEFT($A360,4)),1,4),2)+1+(VALUE(MID($A360,7,2))-1)*7)-p_semana_referencia)/7,$F360)))))</f>
        <v/>
      </c>
      <c r="H360" s="24">
        <f>IF(COUNTIFS('PLAN_VACACIONES'!$A$4:$A$103,$C360,'PLAN_VACACIONES'!$B$4:$B$103,"&lt;="&amp;$L360,'PLAN_VACACIONES'!$C$4:$C$103,"&gt;="&amp;$L360)&gt;0,"sí","no")</f>
        <v/>
      </c>
      <c r="I360" s="4" t="n"/>
      <c r="J360" s="24">
        <f>IF($I360&lt;&gt;"",$I360,IF($G360="","",IF($H360="sí","VAC",IF(LEFT($G360,1)="B","B",$G360))))</f>
        <v/>
      </c>
      <c r="K360" s="24">
        <f>IFERROR(INDEX('TECNICOS'!$E$4:$E$19,MATCH($C360,'TECNICOS'!$B$4:$B$19,0)),"")</f>
        <v/>
      </c>
      <c r="L360" s="30">
        <f>IF($A360="","",DATE(VALUE(LEFT($A360,4)),1,4)-WEEKDAY(DATE(VALUE(LEFT($A360,4)),1,4),2)+1+(VALUE(MID($A360,7,2))-1)*7+MATCH($B360,lista_dias,0)-1)</f>
        <v/>
      </c>
      <c r="M360" s="24">
        <f>IF(OR($J360="",ISNUMBER(MATCH($J360,lista_no_disponible,0)),(IFERROR(INDEX('CALENDARIO'!$C$15:$C$214,MATCH(TEXT($L360,"yyyy-mm-dd")&amp;"|"&amp;$D360&amp;"|"&amp;"",'CALENDARIO'!$G$15:$G$214,0)),IFERROR(INDEX('CALENDARIO'!$C$15:$C$214,MATCH(TEXT($L360,"yyyy-mm-dd")&amp;"|"&amp;$D360&amp;"|",'CALENDARIO'!$G$15:$G$214,0)),IFERROR(INDEX('CALENDARIO'!$C$15:$C$214,MATCH(TEXT($L360,"yyyy-mm-dd")&amp;"||",'CALENDARIO'!$G$15:$G$214,0)),INDEX(patronHabil,WEEKDAY($L360,2))))))&lt;&gt;"sí"),0,p_horas_jornada)</f>
        <v/>
      </c>
      <c r="N360" s="24">
        <f>$A360&amp;"|"&amp;$B360&amp;"|"&amp;$C360</f>
        <v/>
      </c>
      <c r="O360" s="24">
        <f>IFERROR(INDEX('CAT_TURNOS'!$C$4:$C$22,MATCH($J360,'CAT_TURNOS'!$A$4:$A$22,0)),"")</f>
        <v/>
      </c>
      <c r="P360" s="24">
        <f>IFERROR(INDEX('CAT_TURNOS'!$D$4:$D$22,MATCH($J360,'CAT_TURNOS'!$A$4:$A$22,0)),"")</f>
        <v/>
      </c>
      <c r="Q360" s="24">
        <f>IF(AND(LEFT($G360,1)="T",$H360="no"),"sí","no")</f>
        <v/>
      </c>
    </row>
    <row r="361">
      <c r="A361" s="5" t="inlineStr">
        <is>
          <t>2026-S33</t>
        </is>
      </c>
      <c r="B361" s="5" t="inlineStr">
        <is>
          <t>lunes</t>
        </is>
      </c>
      <c r="C361" s="5" t="inlineStr">
        <is>
          <t>Miguel Martínez</t>
        </is>
      </c>
      <c r="D361" s="24">
        <f>IFERROR(INDEX('TECNICOS'!$D$4:$D$19,MATCH($C361,'TECNICOS'!$B$4:$B$19,0)),"")</f>
        <v/>
      </c>
      <c r="E361" s="24">
        <f>IFERROR(INDEX('TECNICOS'!$C$4:$C$19,MATCH($C361,'TECNICOS'!$B$4:$B$19,0)),"")</f>
        <v/>
      </c>
      <c r="F361" s="24">
        <f>COUNTIFS('TECNICOS'!$F$4:$F$19,"sí",'TECNICOS'!$C$4:$C$19,$E361,'TECNICOS'!$D$4:$D$19,$D361,'TECNICOS'!$H$4:$H$19,"sí")</f>
        <v/>
      </c>
      <c r="G361" s="24">
        <f>IF(OR($C361="",$A361="",$B361="domingo",IFERROR(INDEX('TECNICOS'!$H$4:$H$19,MATCH($C361,'TECNICOS'!$B$4:$B$19,0)),"no")&lt;&gt;"sí"),"",IF(IFERROR(INDEX('TECNICOS'!$F$4:$F$19,MATCH($C361,'TECNICOS'!$B$4:$B$19,0)),"no")&lt;&gt;"sí","B",IF(MOD((IFERROR(INDEX('TECNICOS'!$G$4:$G$19,MATCH($C361,'TECNICOS'!$B$4:$B$19,0)),0)-1)+((DATE(VALUE(LEFT($A361,4)),1,4)-WEEKDAY(DATE(VALUE(LEFT($A361,4)),1,4),2)+1+(VALUE(MID($A361,7,2))-1)*7)-p_semana_referencia)/7,$F361)&lt;($F361-3),"B"&amp;(($F361-3)-MOD((IFERROR(INDEX('TECNICOS'!$G$4:$G$19,MATCH($C361,'TECNICOS'!$B$4:$B$19,0)),0)-1)+((DATE(VALUE(LEFT($A361,4)),1,4)-WEEKDAY(DATE(VALUE(LEFT($A361,4)),1,4),2)+1+(VALUE(MID($A361,7,2))-1)*7)-p_semana_referencia)/7,$F361)),"T"&amp;($F361-MOD((IFERROR(INDEX('TECNICOS'!$G$4:$G$19,MATCH($C361,'TECNICOS'!$B$4:$B$19,0)),0)-1)+((DATE(VALUE(LEFT($A361,4)),1,4)-WEEKDAY(DATE(VALUE(LEFT($A361,4)),1,4),2)+1+(VALUE(MID($A361,7,2))-1)*7)-p_semana_referencia)/7,$F361)))))</f>
        <v/>
      </c>
      <c r="H361" s="24">
        <f>IF(COUNTIFS('PLAN_VACACIONES'!$A$4:$A$103,$C361,'PLAN_VACACIONES'!$B$4:$B$103,"&lt;="&amp;$L361,'PLAN_VACACIONES'!$C$4:$C$103,"&gt;="&amp;$L361)&gt;0,"sí","no")</f>
        <v/>
      </c>
      <c r="I361" s="4" t="n"/>
      <c r="J361" s="24">
        <f>IF($I361&lt;&gt;"",$I361,IF($G361="","",IF($H361="sí","VAC",IF(LEFT($G361,1)="B","B",$G361))))</f>
        <v/>
      </c>
      <c r="K361" s="24">
        <f>IFERROR(INDEX('TECNICOS'!$E$4:$E$19,MATCH($C361,'TECNICOS'!$B$4:$B$19,0)),"")</f>
        <v/>
      </c>
      <c r="L361" s="30">
        <f>IF($A361="","",DATE(VALUE(LEFT($A361,4)),1,4)-WEEKDAY(DATE(VALUE(LEFT($A361,4)),1,4),2)+1+(VALUE(MID($A361,7,2))-1)*7+MATCH($B361,lista_dias,0)-1)</f>
        <v/>
      </c>
      <c r="M361" s="24">
        <f>IF(OR($J361="",ISNUMBER(MATCH($J361,lista_no_disponible,0)),(IFERROR(INDEX('CALENDARIO'!$C$15:$C$214,MATCH(TEXT($L361,"yyyy-mm-dd")&amp;"|"&amp;$D361&amp;"|"&amp;"",'CALENDARIO'!$G$15:$G$214,0)),IFERROR(INDEX('CALENDARIO'!$C$15:$C$214,MATCH(TEXT($L361,"yyyy-mm-dd")&amp;"|"&amp;$D361&amp;"|",'CALENDARIO'!$G$15:$G$214,0)),IFERROR(INDEX('CALENDARIO'!$C$15:$C$214,MATCH(TEXT($L361,"yyyy-mm-dd")&amp;"||",'CALENDARIO'!$G$15:$G$214,0)),INDEX(patronHabil,WEEKDAY($L361,2))))))&lt;&gt;"sí"),0,p_horas_jornada)</f>
        <v/>
      </c>
      <c r="N361" s="24">
        <f>$A361&amp;"|"&amp;$B361&amp;"|"&amp;$C361</f>
        <v/>
      </c>
      <c r="O361" s="24">
        <f>IFERROR(INDEX('CAT_TURNOS'!$C$4:$C$22,MATCH($J361,'CAT_TURNOS'!$A$4:$A$22,0)),"")</f>
        <v/>
      </c>
      <c r="P361" s="24">
        <f>IFERROR(INDEX('CAT_TURNOS'!$D$4:$D$22,MATCH($J361,'CAT_TURNOS'!$A$4:$A$22,0)),"")</f>
        <v/>
      </c>
      <c r="Q361" s="24">
        <f>IF(AND(LEFT($G361,1)="T",$H361="no"),"sí","no")</f>
        <v/>
      </c>
    </row>
    <row r="362">
      <c r="A362" s="5" t="inlineStr">
        <is>
          <t>2026-S33</t>
        </is>
      </c>
      <c r="B362" s="5" t="inlineStr">
        <is>
          <t>martes</t>
        </is>
      </c>
      <c r="C362" s="5" t="inlineStr">
        <is>
          <t>Miguel Martínez</t>
        </is>
      </c>
      <c r="D362" s="24">
        <f>IFERROR(INDEX('TECNICOS'!$D$4:$D$19,MATCH($C362,'TECNICOS'!$B$4:$B$19,0)),"")</f>
        <v/>
      </c>
      <c r="E362" s="24">
        <f>IFERROR(INDEX('TECNICOS'!$C$4:$C$19,MATCH($C362,'TECNICOS'!$B$4:$B$19,0)),"")</f>
        <v/>
      </c>
      <c r="F362" s="24">
        <f>COUNTIFS('TECNICOS'!$F$4:$F$19,"sí",'TECNICOS'!$C$4:$C$19,$E362,'TECNICOS'!$D$4:$D$19,$D362,'TECNICOS'!$H$4:$H$19,"sí")</f>
        <v/>
      </c>
      <c r="G362" s="24">
        <f>IF(OR($C362="",$A362="",$B362="domingo",IFERROR(INDEX('TECNICOS'!$H$4:$H$19,MATCH($C362,'TECNICOS'!$B$4:$B$19,0)),"no")&lt;&gt;"sí"),"",IF(IFERROR(INDEX('TECNICOS'!$F$4:$F$19,MATCH($C362,'TECNICOS'!$B$4:$B$19,0)),"no")&lt;&gt;"sí","B",IF(MOD((IFERROR(INDEX('TECNICOS'!$G$4:$G$19,MATCH($C362,'TECNICOS'!$B$4:$B$19,0)),0)-1)+((DATE(VALUE(LEFT($A362,4)),1,4)-WEEKDAY(DATE(VALUE(LEFT($A362,4)),1,4),2)+1+(VALUE(MID($A362,7,2))-1)*7)-p_semana_referencia)/7,$F362)&lt;($F362-3),"B"&amp;(($F362-3)-MOD((IFERROR(INDEX('TECNICOS'!$G$4:$G$19,MATCH($C362,'TECNICOS'!$B$4:$B$19,0)),0)-1)+((DATE(VALUE(LEFT($A362,4)),1,4)-WEEKDAY(DATE(VALUE(LEFT($A362,4)),1,4),2)+1+(VALUE(MID($A362,7,2))-1)*7)-p_semana_referencia)/7,$F362)),"T"&amp;($F362-MOD((IFERROR(INDEX('TECNICOS'!$G$4:$G$19,MATCH($C362,'TECNICOS'!$B$4:$B$19,0)),0)-1)+((DATE(VALUE(LEFT($A362,4)),1,4)-WEEKDAY(DATE(VALUE(LEFT($A362,4)),1,4),2)+1+(VALUE(MID($A362,7,2))-1)*7)-p_semana_referencia)/7,$F362)))))</f>
        <v/>
      </c>
      <c r="H362" s="24">
        <f>IF(COUNTIFS('PLAN_VACACIONES'!$A$4:$A$103,$C362,'PLAN_VACACIONES'!$B$4:$B$103,"&lt;="&amp;$L362,'PLAN_VACACIONES'!$C$4:$C$103,"&gt;="&amp;$L362)&gt;0,"sí","no")</f>
        <v/>
      </c>
      <c r="I362" s="4" t="n"/>
      <c r="J362" s="24">
        <f>IF($I362&lt;&gt;"",$I362,IF($G362="","",IF($H362="sí","VAC",IF(LEFT($G362,1)="B","B",$G362))))</f>
        <v/>
      </c>
      <c r="K362" s="24">
        <f>IFERROR(INDEX('TECNICOS'!$E$4:$E$19,MATCH($C362,'TECNICOS'!$B$4:$B$19,0)),"")</f>
        <v/>
      </c>
      <c r="L362" s="30">
        <f>IF($A362="","",DATE(VALUE(LEFT($A362,4)),1,4)-WEEKDAY(DATE(VALUE(LEFT($A362,4)),1,4),2)+1+(VALUE(MID($A362,7,2))-1)*7+MATCH($B362,lista_dias,0)-1)</f>
        <v/>
      </c>
      <c r="M362" s="24">
        <f>IF(OR($J362="",ISNUMBER(MATCH($J362,lista_no_disponible,0)),(IFERROR(INDEX('CALENDARIO'!$C$15:$C$214,MATCH(TEXT($L362,"yyyy-mm-dd")&amp;"|"&amp;$D362&amp;"|"&amp;"",'CALENDARIO'!$G$15:$G$214,0)),IFERROR(INDEX('CALENDARIO'!$C$15:$C$214,MATCH(TEXT($L362,"yyyy-mm-dd")&amp;"|"&amp;$D362&amp;"|",'CALENDARIO'!$G$15:$G$214,0)),IFERROR(INDEX('CALENDARIO'!$C$15:$C$214,MATCH(TEXT($L362,"yyyy-mm-dd")&amp;"||",'CALENDARIO'!$G$15:$G$214,0)),INDEX(patronHabil,WEEKDAY($L362,2))))))&lt;&gt;"sí"),0,p_horas_jornada)</f>
        <v/>
      </c>
      <c r="N362" s="24">
        <f>$A362&amp;"|"&amp;$B362&amp;"|"&amp;$C362</f>
        <v/>
      </c>
      <c r="O362" s="24">
        <f>IFERROR(INDEX('CAT_TURNOS'!$C$4:$C$22,MATCH($J362,'CAT_TURNOS'!$A$4:$A$22,0)),"")</f>
        <v/>
      </c>
      <c r="P362" s="24">
        <f>IFERROR(INDEX('CAT_TURNOS'!$D$4:$D$22,MATCH($J362,'CAT_TURNOS'!$A$4:$A$22,0)),"")</f>
        <v/>
      </c>
      <c r="Q362" s="24">
        <f>IF(AND(LEFT($G362,1)="T",$H362="no"),"sí","no")</f>
        <v/>
      </c>
    </row>
    <row r="363">
      <c r="A363" s="5" t="inlineStr">
        <is>
          <t>2026-S33</t>
        </is>
      </c>
      <c r="B363" s="5" t="inlineStr">
        <is>
          <t>miércoles</t>
        </is>
      </c>
      <c r="C363" s="5" t="inlineStr">
        <is>
          <t>Miguel Martínez</t>
        </is>
      </c>
      <c r="D363" s="24">
        <f>IFERROR(INDEX('TECNICOS'!$D$4:$D$19,MATCH($C363,'TECNICOS'!$B$4:$B$19,0)),"")</f>
        <v/>
      </c>
      <c r="E363" s="24">
        <f>IFERROR(INDEX('TECNICOS'!$C$4:$C$19,MATCH($C363,'TECNICOS'!$B$4:$B$19,0)),"")</f>
        <v/>
      </c>
      <c r="F363" s="24">
        <f>COUNTIFS('TECNICOS'!$F$4:$F$19,"sí",'TECNICOS'!$C$4:$C$19,$E363,'TECNICOS'!$D$4:$D$19,$D363,'TECNICOS'!$H$4:$H$19,"sí")</f>
        <v/>
      </c>
      <c r="G363" s="24">
        <f>IF(OR($C363="",$A363="",$B363="domingo",IFERROR(INDEX('TECNICOS'!$H$4:$H$19,MATCH($C363,'TECNICOS'!$B$4:$B$19,0)),"no")&lt;&gt;"sí"),"",IF(IFERROR(INDEX('TECNICOS'!$F$4:$F$19,MATCH($C363,'TECNICOS'!$B$4:$B$19,0)),"no")&lt;&gt;"sí","B",IF(MOD((IFERROR(INDEX('TECNICOS'!$G$4:$G$19,MATCH($C363,'TECNICOS'!$B$4:$B$19,0)),0)-1)+((DATE(VALUE(LEFT($A363,4)),1,4)-WEEKDAY(DATE(VALUE(LEFT($A363,4)),1,4),2)+1+(VALUE(MID($A363,7,2))-1)*7)-p_semana_referencia)/7,$F363)&lt;($F363-3),"B"&amp;(($F363-3)-MOD((IFERROR(INDEX('TECNICOS'!$G$4:$G$19,MATCH($C363,'TECNICOS'!$B$4:$B$19,0)),0)-1)+((DATE(VALUE(LEFT($A363,4)),1,4)-WEEKDAY(DATE(VALUE(LEFT($A363,4)),1,4),2)+1+(VALUE(MID($A363,7,2))-1)*7)-p_semana_referencia)/7,$F363)),"T"&amp;($F363-MOD((IFERROR(INDEX('TECNICOS'!$G$4:$G$19,MATCH($C363,'TECNICOS'!$B$4:$B$19,0)),0)-1)+((DATE(VALUE(LEFT($A363,4)),1,4)-WEEKDAY(DATE(VALUE(LEFT($A363,4)),1,4),2)+1+(VALUE(MID($A363,7,2))-1)*7)-p_semana_referencia)/7,$F363)))))</f>
        <v/>
      </c>
      <c r="H363" s="24">
        <f>IF(COUNTIFS('PLAN_VACACIONES'!$A$4:$A$103,$C363,'PLAN_VACACIONES'!$B$4:$B$103,"&lt;="&amp;$L363,'PLAN_VACACIONES'!$C$4:$C$103,"&gt;="&amp;$L363)&gt;0,"sí","no")</f>
        <v/>
      </c>
      <c r="I363" s="4" t="n"/>
      <c r="J363" s="24">
        <f>IF($I363&lt;&gt;"",$I363,IF($G363="","",IF($H363="sí","VAC",IF(LEFT($G363,1)="B","B",$G363))))</f>
        <v/>
      </c>
      <c r="K363" s="24">
        <f>IFERROR(INDEX('TECNICOS'!$E$4:$E$19,MATCH($C363,'TECNICOS'!$B$4:$B$19,0)),"")</f>
        <v/>
      </c>
      <c r="L363" s="30">
        <f>IF($A363="","",DATE(VALUE(LEFT($A363,4)),1,4)-WEEKDAY(DATE(VALUE(LEFT($A363,4)),1,4),2)+1+(VALUE(MID($A363,7,2))-1)*7+MATCH($B363,lista_dias,0)-1)</f>
        <v/>
      </c>
      <c r="M363" s="24">
        <f>IF(OR($J363="",ISNUMBER(MATCH($J363,lista_no_disponible,0)),(IFERROR(INDEX('CALENDARIO'!$C$15:$C$214,MATCH(TEXT($L363,"yyyy-mm-dd")&amp;"|"&amp;$D363&amp;"|"&amp;"",'CALENDARIO'!$G$15:$G$214,0)),IFERROR(INDEX('CALENDARIO'!$C$15:$C$214,MATCH(TEXT($L363,"yyyy-mm-dd")&amp;"|"&amp;$D363&amp;"|",'CALENDARIO'!$G$15:$G$214,0)),IFERROR(INDEX('CALENDARIO'!$C$15:$C$214,MATCH(TEXT($L363,"yyyy-mm-dd")&amp;"||",'CALENDARIO'!$G$15:$G$214,0)),INDEX(patronHabil,WEEKDAY($L363,2))))))&lt;&gt;"sí"),0,p_horas_jornada)</f>
        <v/>
      </c>
      <c r="N363" s="24">
        <f>$A363&amp;"|"&amp;$B363&amp;"|"&amp;$C363</f>
        <v/>
      </c>
      <c r="O363" s="24">
        <f>IFERROR(INDEX('CAT_TURNOS'!$C$4:$C$22,MATCH($J363,'CAT_TURNOS'!$A$4:$A$22,0)),"")</f>
        <v/>
      </c>
      <c r="P363" s="24">
        <f>IFERROR(INDEX('CAT_TURNOS'!$D$4:$D$22,MATCH($J363,'CAT_TURNOS'!$A$4:$A$22,0)),"")</f>
        <v/>
      </c>
      <c r="Q363" s="24">
        <f>IF(AND(LEFT($G363,1)="T",$H363="no"),"sí","no")</f>
        <v/>
      </c>
    </row>
    <row r="364">
      <c r="A364" s="5" t="inlineStr">
        <is>
          <t>2026-S33</t>
        </is>
      </c>
      <c r="B364" s="5" t="inlineStr">
        <is>
          <t>jueves</t>
        </is>
      </c>
      <c r="C364" s="5" t="inlineStr">
        <is>
          <t>Miguel Martínez</t>
        </is>
      </c>
      <c r="D364" s="24">
        <f>IFERROR(INDEX('TECNICOS'!$D$4:$D$19,MATCH($C364,'TECNICOS'!$B$4:$B$19,0)),"")</f>
        <v/>
      </c>
      <c r="E364" s="24">
        <f>IFERROR(INDEX('TECNICOS'!$C$4:$C$19,MATCH($C364,'TECNICOS'!$B$4:$B$19,0)),"")</f>
        <v/>
      </c>
      <c r="F364" s="24">
        <f>COUNTIFS('TECNICOS'!$F$4:$F$19,"sí",'TECNICOS'!$C$4:$C$19,$E364,'TECNICOS'!$D$4:$D$19,$D364,'TECNICOS'!$H$4:$H$19,"sí")</f>
        <v/>
      </c>
      <c r="G364" s="24">
        <f>IF(OR($C364="",$A364="",$B364="domingo",IFERROR(INDEX('TECNICOS'!$H$4:$H$19,MATCH($C364,'TECNICOS'!$B$4:$B$19,0)),"no")&lt;&gt;"sí"),"",IF(IFERROR(INDEX('TECNICOS'!$F$4:$F$19,MATCH($C364,'TECNICOS'!$B$4:$B$19,0)),"no")&lt;&gt;"sí","B",IF(MOD((IFERROR(INDEX('TECNICOS'!$G$4:$G$19,MATCH($C364,'TECNICOS'!$B$4:$B$19,0)),0)-1)+((DATE(VALUE(LEFT($A364,4)),1,4)-WEEKDAY(DATE(VALUE(LEFT($A364,4)),1,4),2)+1+(VALUE(MID($A364,7,2))-1)*7)-p_semana_referencia)/7,$F364)&lt;($F364-3),"B"&amp;(($F364-3)-MOD((IFERROR(INDEX('TECNICOS'!$G$4:$G$19,MATCH($C364,'TECNICOS'!$B$4:$B$19,0)),0)-1)+((DATE(VALUE(LEFT($A364,4)),1,4)-WEEKDAY(DATE(VALUE(LEFT($A364,4)),1,4),2)+1+(VALUE(MID($A364,7,2))-1)*7)-p_semana_referencia)/7,$F364)),"T"&amp;($F364-MOD((IFERROR(INDEX('TECNICOS'!$G$4:$G$19,MATCH($C364,'TECNICOS'!$B$4:$B$19,0)),0)-1)+((DATE(VALUE(LEFT($A364,4)),1,4)-WEEKDAY(DATE(VALUE(LEFT($A364,4)),1,4),2)+1+(VALUE(MID($A364,7,2))-1)*7)-p_semana_referencia)/7,$F364)))))</f>
        <v/>
      </c>
      <c r="H364" s="24">
        <f>IF(COUNTIFS('PLAN_VACACIONES'!$A$4:$A$103,$C364,'PLAN_VACACIONES'!$B$4:$B$103,"&lt;="&amp;$L364,'PLAN_VACACIONES'!$C$4:$C$103,"&gt;="&amp;$L364)&gt;0,"sí","no")</f>
        <v/>
      </c>
      <c r="I364" s="4" t="n"/>
      <c r="J364" s="24">
        <f>IF($I364&lt;&gt;"",$I364,IF($G364="","",IF($H364="sí","VAC",IF(LEFT($G364,1)="B","B",$G364))))</f>
        <v/>
      </c>
      <c r="K364" s="24">
        <f>IFERROR(INDEX('TECNICOS'!$E$4:$E$19,MATCH($C364,'TECNICOS'!$B$4:$B$19,0)),"")</f>
        <v/>
      </c>
      <c r="L364" s="30">
        <f>IF($A364="","",DATE(VALUE(LEFT($A364,4)),1,4)-WEEKDAY(DATE(VALUE(LEFT($A364,4)),1,4),2)+1+(VALUE(MID($A364,7,2))-1)*7+MATCH($B364,lista_dias,0)-1)</f>
        <v/>
      </c>
      <c r="M364" s="24">
        <f>IF(OR($J364="",ISNUMBER(MATCH($J364,lista_no_disponible,0)),(IFERROR(INDEX('CALENDARIO'!$C$15:$C$214,MATCH(TEXT($L364,"yyyy-mm-dd")&amp;"|"&amp;$D364&amp;"|"&amp;"",'CALENDARIO'!$G$15:$G$214,0)),IFERROR(INDEX('CALENDARIO'!$C$15:$C$214,MATCH(TEXT($L364,"yyyy-mm-dd")&amp;"|"&amp;$D364&amp;"|",'CALENDARIO'!$G$15:$G$214,0)),IFERROR(INDEX('CALENDARIO'!$C$15:$C$214,MATCH(TEXT($L364,"yyyy-mm-dd")&amp;"||",'CALENDARIO'!$G$15:$G$214,0)),INDEX(patronHabil,WEEKDAY($L364,2))))))&lt;&gt;"sí"),0,p_horas_jornada)</f>
        <v/>
      </c>
      <c r="N364" s="24">
        <f>$A364&amp;"|"&amp;$B364&amp;"|"&amp;$C364</f>
        <v/>
      </c>
      <c r="O364" s="24">
        <f>IFERROR(INDEX('CAT_TURNOS'!$C$4:$C$22,MATCH($J364,'CAT_TURNOS'!$A$4:$A$22,0)),"")</f>
        <v/>
      </c>
      <c r="P364" s="24">
        <f>IFERROR(INDEX('CAT_TURNOS'!$D$4:$D$22,MATCH($J364,'CAT_TURNOS'!$A$4:$A$22,0)),"")</f>
        <v/>
      </c>
      <c r="Q364" s="24">
        <f>IF(AND(LEFT($G364,1)="T",$H364="no"),"sí","no")</f>
        <v/>
      </c>
    </row>
    <row r="365">
      <c r="A365" s="5" t="inlineStr">
        <is>
          <t>2026-S33</t>
        </is>
      </c>
      <c r="B365" s="5" t="inlineStr">
        <is>
          <t>viernes</t>
        </is>
      </c>
      <c r="C365" s="5" t="inlineStr">
        <is>
          <t>Miguel Martínez</t>
        </is>
      </c>
      <c r="D365" s="24">
        <f>IFERROR(INDEX('TECNICOS'!$D$4:$D$19,MATCH($C365,'TECNICOS'!$B$4:$B$19,0)),"")</f>
        <v/>
      </c>
      <c r="E365" s="24">
        <f>IFERROR(INDEX('TECNICOS'!$C$4:$C$19,MATCH($C365,'TECNICOS'!$B$4:$B$19,0)),"")</f>
        <v/>
      </c>
      <c r="F365" s="24">
        <f>COUNTIFS('TECNICOS'!$F$4:$F$19,"sí",'TECNICOS'!$C$4:$C$19,$E365,'TECNICOS'!$D$4:$D$19,$D365,'TECNICOS'!$H$4:$H$19,"sí")</f>
        <v/>
      </c>
      <c r="G365" s="24">
        <f>IF(OR($C365="",$A365="",$B365="domingo",IFERROR(INDEX('TECNICOS'!$H$4:$H$19,MATCH($C365,'TECNICOS'!$B$4:$B$19,0)),"no")&lt;&gt;"sí"),"",IF(IFERROR(INDEX('TECNICOS'!$F$4:$F$19,MATCH($C365,'TECNICOS'!$B$4:$B$19,0)),"no")&lt;&gt;"sí","B",IF(MOD((IFERROR(INDEX('TECNICOS'!$G$4:$G$19,MATCH($C365,'TECNICOS'!$B$4:$B$19,0)),0)-1)+((DATE(VALUE(LEFT($A365,4)),1,4)-WEEKDAY(DATE(VALUE(LEFT($A365,4)),1,4),2)+1+(VALUE(MID($A365,7,2))-1)*7)-p_semana_referencia)/7,$F365)&lt;($F365-3),"B"&amp;(($F365-3)-MOD((IFERROR(INDEX('TECNICOS'!$G$4:$G$19,MATCH($C365,'TECNICOS'!$B$4:$B$19,0)),0)-1)+((DATE(VALUE(LEFT($A365,4)),1,4)-WEEKDAY(DATE(VALUE(LEFT($A365,4)),1,4),2)+1+(VALUE(MID($A365,7,2))-1)*7)-p_semana_referencia)/7,$F365)),"T"&amp;($F365-MOD((IFERROR(INDEX('TECNICOS'!$G$4:$G$19,MATCH($C365,'TECNICOS'!$B$4:$B$19,0)),0)-1)+((DATE(VALUE(LEFT($A365,4)),1,4)-WEEKDAY(DATE(VALUE(LEFT($A365,4)),1,4),2)+1+(VALUE(MID($A365,7,2))-1)*7)-p_semana_referencia)/7,$F365)))))</f>
        <v/>
      </c>
      <c r="H365" s="24">
        <f>IF(COUNTIFS('PLAN_VACACIONES'!$A$4:$A$103,$C365,'PLAN_VACACIONES'!$B$4:$B$103,"&lt;="&amp;$L365,'PLAN_VACACIONES'!$C$4:$C$103,"&gt;="&amp;$L365)&gt;0,"sí","no")</f>
        <v/>
      </c>
      <c r="I365" s="4" t="n"/>
      <c r="J365" s="24">
        <f>IF($I365&lt;&gt;"",$I365,IF($G365="","",IF($H365="sí","VAC",IF(LEFT($G365,1)="B","B",$G365))))</f>
        <v/>
      </c>
      <c r="K365" s="24">
        <f>IFERROR(INDEX('TECNICOS'!$E$4:$E$19,MATCH($C365,'TECNICOS'!$B$4:$B$19,0)),"")</f>
        <v/>
      </c>
      <c r="L365" s="30">
        <f>IF($A365="","",DATE(VALUE(LEFT($A365,4)),1,4)-WEEKDAY(DATE(VALUE(LEFT($A365,4)),1,4),2)+1+(VALUE(MID($A365,7,2))-1)*7+MATCH($B365,lista_dias,0)-1)</f>
        <v/>
      </c>
      <c r="M365" s="24">
        <f>IF(OR($J365="",ISNUMBER(MATCH($J365,lista_no_disponible,0)),(IFERROR(INDEX('CALENDARIO'!$C$15:$C$214,MATCH(TEXT($L365,"yyyy-mm-dd")&amp;"|"&amp;$D365&amp;"|"&amp;"",'CALENDARIO'!$G$15:$G$214,0)),IFERROR(INDEX('CALENDARIO'!$C$15:$C$214,MATCH(TEXT($L365,"yyyy-mm-dd")&amp;"|"&amp;$D365&amp;"|",'CALENDARIO'!$G$15:$G$214,0)),IFERROR(INDEX('CALENDARIO'!$C$15:$C$214,MATCH(TEXT($L365,"yyyy-mm-dd")&amp;"||",'CALENDARIO'!$G$15:$G$214,0)),INDEX(patronHabil,WEEKDAY($L365,2))))))&lt;&gt;"sí"),0,p_horas_jornada)</f>
        <v/>
      </c>
      <c r="N365" s="24">
        <f>$A365&amp;"|"&amp;$B365&amp;"|"&amp;$C365</f>
        <v/>
      </c>
      <c r="O365" s="24">
        <f>IFERROR(INDEX('CAT_TURNOS'!$C$4:$C$22,MATCH($J365,'CAT_TURNOS'!$A$4:$A$22,0)),"")</f>
        <v/>
      </c>
      <c r="P365" s="24">
        <f>IFERROR(INDEX('CAT_TURNOS'!$D$4:$D$22,MATCH($J365,'CAT_TURNOS'!$A$4:$A$22,0)),"")</f>
        <v/>
      </c>
      <c r="Q365" s="24">
        <f>IF(AND(LEFT($G365,1)="T",$H365="no"),"sí","no")</f>
        <v/>
      </c>
    </row>
    <row r="366">
      <c r="A366" s="5" t="inlineStr">
        <is>
          <t>2026-S33</t>
        </is>
      </c>
      <c r="B366" s="5" t="inlineStr">
        <is>
          <t>sábado</t>
        </is>
      </c>
      <c r="C366" s="5" t="inlineStr">
        <is>
          <t>Miguel Martínez</t>
        </is>
      </c>
      <c r="D366" s="24">
        <f>IFERROR(INDEX('TECNICOS'!$D$4:$D$19,MATCH($C366,'TECNICOS'!$B$4:$B$19,0)),"")</f>
        <v/>
      </c>
      <c r="E366" s="24">
        <f>IFERROR(INDEX('TECNICOS'!$C$4:$C$19,MATCH($C366,'TECNICOS'!$B$4:$B$19,0)),"")</f>
        <v/>
      </c>
      <c r="F366" s="24">
        <f>COUNTIFS('TECNICOS'!$F$4:$F$19,"sí",'TECNICOS'!$C$4:$C$19,$E366,'TECNICOS'!$D$4:$D$19,$D366,'TECNICOS'!$H$4:$H$19,"sí")</f>
        <v/>
      </c>
      <c r="G366" s="24">
        <f>IF(OR($C366="",$A366="",$B366="domingo",IFERROR(INDEX('TECNICOS'!$H$4:$H$19,MATCH($C366,'TECNICOS'!$B$4:$B$19,0)),"no")&lt;&gt;"sí"),"",IF(IFERROR(INDEX('TECNICOS'!$F$4:$F$19,MATCH($C366,'TECNICOS'!$B$4:$B$19,0)),"no")&lt;&gt;"sí","B",IF(MOD((IFERROR(INDEX('TECNICOS'!$G$4:$G$19,MATCH($C366,'TECNICOS'!$B$4:$B$19,0)),0)-1)+((DATE(VALUE(LEFT($A366,4)),1,4)-WEEKDAY(DATE(VALUE(LEFT($A366,4)),1,4),2)+1+(VALUE(MID($A366,7,2))-1)*7)-p_semana_referencia)/7,$F366)&lt;($F366-3),"B"&amp;(($F366-3)-MOD((IFERROR(INDEX('TECNICOS'!$G$4:$G$19,MATCH($C366,'TECNICOS'!$B$4:$B$19,0)),0)-1)+((DATE(VALUE(LEFT($A366,4)),1,4)-WEEKDAY(DATE(VALUE(LEFT($A366,4)),1,4),2)+1+(VALUE(MID($A366,7,2))-1)*7)-p_semana_referencia)/7,$F366)),"T"&amp;($F366-MOD((IFERROR(INDEX('TECNICOS'!$G$4:$G$19,MATCH($C366,'TECNICOS'!$B$4:$B$19,0)),0)-1)+((DATE(VALUE(LEFT($A366,4)),1,4)-WEEKDAY(DATE(VALUE(LEFT($A366,4)),1,4),2)+1+(VALUE(MID($A366,7,2))-1)*7)-p_semana_referencia)/7,$F366)))))</f>
        <v/>
      </c>
      <c r="H366" s="24">
        <f>IF(COUNTIFS('PLAN_VACACIONES'!$A$4:$A$103,$C366,'PLAN_VACACIONES'!$B$4:$B$103,"&lt;="&amp;$L366,'PLAN_VACACIONES'!$C$4:$C$103,"&gt;="&amp;$L366)&gt;0,"sí","no")</f>
        <v/>
      </c>
      <c r="I366" s="4" t="n"/>
      <c r="J366" s="24">
        <f>IF($I366&lt;&gt;"",$I366,IF($G366="","",IF($H366="sí","VAC",IF(LEFT($G366,1)="B","B",$G366))))</f>
        <v/>
      </c>
      <c r="K366" s="24">
        <f>IFERROR(INDEX('TECNICOS'!$E$4:$E$19,MATCH($C366,'TECNICOS'!$B$4:$B$19,0)),"")</f>
        <v/>
      </c>
      <c r="L366" s="30">
        <f>IF($A366="","",DATE(VALUE(LEFT($A366,4)),1,4)-WEEKDAY(DATE(VALUE(LEFT($A366,4)),1,4),2)+1+(VALUE(MID($A366,7,2))-1)*7+MATCH($B366,lista_dias,0)-1)</f>
        <v/>
      </c>
      <c r="M366" s="24">
        <f>IF(OR($J366="",ISNUMBER(MATCH($J366,lista_no_disponible,0)),(IFERROR(INDEX('CALENDARIO'!$C$15:$C$214,MATCH(TEXT($L366,"yyyy-mm-dd")&amp;"|"&amp;$D366&amp;"|"&amp;"",'CALENDARIO'!$G$15:$G$214,0)),IFERROR(INDEX('CALENDARIO'!$C$15:$C$214,MATCH(TEXT($L366,"yyyy-mm-dd")&amp;"|"&amp;$D366&amp;"|",'CALENDARIO'!$G$15:$G$214,0)),IFERROR(INDEX('CALENDARIO'!$C$15:$C$214,MATCH(TEXT($L366,"yyyy-mm-dd")&amp;"||",'CALENDARIO'!$G$15:$G$214,0)),INDEX(patronHabil,WEEKDAY($L366,2))))))&lt;&gt;"sí"),0,p_horas_jornada)</f>
        <v/>
      </c>
      <c r="N366" s="24">
        <f>$A366&amp;"|"&amp;$B366&amp;"|"&amp;$C366</f>
        <v/>
      </c>
      <c r="O366" s="24">
        <f>IFERROR(INDEX('CAT_TURNOS'!$C$4:$C$22,MATCH($J366,'CAT_TURNOS'!$A$4:$A$22,0)),"")</f>
        <v/>
      </c>
      <c r="P366" s="24">
        <f>IFERROR(INDEX('CAT_TURNOS'!$D$4:$D$22,MATCH($J366,'CAT_TURNOS'!$A$4:$A$22,0)),"")</f>
        <v/>
      </c>
      <c r="Q366" s="24">
        <f>IF(AND(LEFT($G366,1)="T",$H366="no"),"sí","no")</f>
        <v/>
      </c>
    </row>
    <row r="367">
      <c r="A367" s="5" t="inlineStr">
        <is>
          <t>2026-S33</t>
        </is>
      </c>
      <c r="B367" s="5" t="inlineStr">
        <is>
          <t>domingo</t>
        </is>
      </c>
      <c r="C367" s="5" t="inlineStr">
        <is>
          <t>Miguel Martínez</t>
        </is>
      </c>
      <c r="D367" s="24">
        <f>IFERROR(INDEX('TECNICOS'!$D$4:$D$19,MATCH($C367,'TECNICOS'!$B$4:$B$19,0)),"")</f>
        <v/>
      </c>
      <c r="E367" s="24">
        <f>IFERROR(INDEX('TECNICOS'!$C$4:$C$19,MATCH($C367,'TECNICOS'!$B$4:$B$19,0)),"")</f>
        <v/>
      </c>
      <c r="F367" s="24">
        <f>COUNTIFS('TECNICOS'!$F$4:$F$19,"sí",'TECNICOS'!$C$4:$C$19,$E367,'TECNICOS'!$D$4:$D$19,$D367,'TECNICOS'!$H$4:$H$19,"sí")</f>
        <v/>
      </c>
      <c r="G367" s="24">
        <f>IF(OR($C367="",$A367="",$B367="domingo",IFERROR(INDEX('TECNICOS'!$H$4:$H$19,MATCH($C367,'TECNICOS'!$B$4:$B$19,0)),"no")&lt;&gt;"sí"),"",IF(IFERROR(INDEX('TECNICOS'!$F$4:$F$19,MATCH($C367,'TECNICOS'!$B$4:$B$19,0)),"no")&lt;&gt;"sí","B",IF(MOD((IFERROR(INDEX('TECNICOS'!$G$4:$G$19,MATCH($C367,'TECNICOS'!$B$4:$B$19,0)),0)-1)+((DATE(VALUE(LEFT($A367,4)),1,4)-WEEKDAY(DATE(VALUE(LEFT($A367,4)),1,4),2)+1+(VALUE(MID($A367,7,2))-1)*7)-p_semana_referencia)/7,$F367)&lt;($F367-3),"B"&amp;(($F367-3)-MOD((IFERROR(INDEX('TECNICOS'!$G$4:$G$19,MATCH($C367,'TECNICOS'!$B$4:$B$19,0)),0)-1)+((DATE(VALUE(LEFT($A367,4)),1,4)-WEEKDAY(DATE(VALUE(LEFT($A367,4)),1,4),2)+1+(VALUE(MID($A367,7,2))-1)*7)-p_semana_referencia)/7,$F367)),"T"&amp;($F367-MOD((IFERROR(INDEX('TECNICOS'!$G$4:$G$19,MATCH($C367,'TECNICOS'!$B$4:$B$19,0)),0)-1)+((DATE(VALUE(LEFT($A367,4)),1,4)-WEEKDAY(DATE(VALUE(LEFT($A367,4)),1,4),2)+1+(VALUE(MID($A367,7,2))-1)*7)-p_semana_referencia)/7,$F367)))))</f>
        <v/>
      </c>
      <c r="H367" s="24">
        <f>IF(COUNTIFS('PLAN_VACACIONES'!$A$4:$A$103,$C367,'PLAN_VACACIONES'!$B$4:$B$103,"&lt;="&amp;$L367,'PLAN_VACACIONES'!$C$4:$C$103,"&gt;="&amp;$L367)&gt;0,"sí","no")</f>
        <v/>
      </c>
      <c r="I367" s="4" t="n"/>
      <c r="J367" s="24">
        <f>IF($I367&lt;&gt;"",$I367,IF($G367="","",IF($H367="sí","VAC",IF(LEFT($G367,1)="B","B",$G367))))</f>
        <v/>
      </c>
      <c r="K367" s="24">
        <f>IFERROR(INDEX('TECNICOS'!$E$4:$E$19,MATCH($C367,'TECNICOS'!$B$4:$B$19,0)),"")</f>
        <v/>
      </c>
      <c r="L367" s="30">
        <f>IF($A367="","",DATE(VALUE(LEFT($A367,4)),1,4)-WEEKDAY(DATE(VALUE(LEFT($A367,4)),1,4),2)+1+(VALUE(MID($A367,7,2))-1)*7+MATCH($B367,lista_dias,0)-1)</f>
        <v/>
      </c>
      <c r="M367" s="24">
        <f>IF(OR($J367="",ISNUMBER(MATCH($J367,lista_no_disponible,0)),(IFERROR(INDEX('CALENDARIO'!$C$15:$C$214,MATCH(TEXT($L367,"yyyy-mm-dd")&amp;"|"&amp;$D367&amp;"|"&amp;"",'CALENDARIO'!$G$15:$G$214,0)),IFERROR(INDEX('CALENDARIO'!$C$15:$C$214,MATCH(TEXT($L367,"yyyy-mm-dd")&amp;"|"&amp;$D367&amp;"|",'CALENDARIO'!$G$15:$G$214,0)),IFERROR(INDEX('CALENDARIO'!$C$15:$C$214,MATCH(TEXT($L367,"yyyy-mm-dd")&amp;"||",'CALENDARIO'!$G$15:$G$214,0)),INDEX(patronHabil,WEEKDAY($L367,2))))))&lt;&gt;"sí"),0,p_horas_jornada)</f>
        <v/>
      </c>
      <c r="N367" s="24">
        <f>$A367&amp;"|"&amp;$B367&amp;"|"&amp;$C367</f>
        <v/>
      </c>
      <c r="O367" s="24">
        <f>IFERROR(INDEX('CAT_TURNOS'!$C$4:$C$22,MATCH($J367,'CAT_TURNOS'!$A$4:$A$22,0)),"")</f>
        <v/>
      </c>
      <c r="P367" s="24">
        <f>IFERROR(INDEX('CAT_TURNOS'!$D$4:$D$22,MATCH($J367,'CAT_TURNOS'!$A$4:$A$22,0)),"")</f>
        <v/>
      </c>
      <c r="Q367" s="24">
        <f>IF(AND(LEFT($G367,1)="T",$H367="no"),"sí","no")</f>
        <v/>
      </c>
    </row>
    <row r="368">
      <c r="A368" s="5" t="inlineStr">
        <is>
          <t>2026-S33</t>
        </is>
      </c>
      <c r="B368" s="5" t="inlineStr">
        <is>
          <t>lunes</t>
        </is>
      </c>
      <c r="C368" s="5" t="inlineStr">
        <is>
          <t>Ana Sánchez</t>
        </is>
      </c>
      <c r="D368" s="24">
        <f>IFERROR(INDEX('TECNICOS'!$D$4:$D$19,MATCH($C368,'TECNICOS'!$B$4:$B$19,0)),"")</f>
        <v/>
      </c>
      <c r="E368" s="24">
        <f>IFERROR(INDEX('TECNICOS'!$C$4:$C$19,MATCH($C368,'TECNICOS'!$B$4:$B$19,0)),"")</f>
        <v/>
      </c>
      <c r="F368" s="24">
        <f>COUNTIFS('TECNICOS'!$F$4:$F$19,"sí",'TECNICOS'!$C$4:$C$19,$E368,'TECNICOS'!$D$4:$D$19,$D368,'TECNICOS'!$H$4:$H$19,"sí")</f>
        <v/>
      </c>
      <c r="G368" s="24">
        <f>IF(OR($C368="",$A368="",$B368="domingo",IFERROR(INDEX('TECNICOS'!$H$4:$H$19,MATCH($C368,'TECNICOS'!$B$4:$B$19,0)),"no")&lt;&gt;"sí"),"",IF(IFERROR(INDEX('TECNICOS'!$F$4:$F$19,MATCH($C368,'TECNICOS'!$B$4:$B$19,0)),"no")&lt;&gt;"sí","B",IF(MOD((IFERROR(INDEX('TECNICOS'!$G$4:$G$19,MATCH($C368,'TECNICOS'!$B$4:$B$19,0)),0)-1)+((DATE(VALUE(LEFT($A368,4)),1,4)-WEEKDAY(DATE(VALUE(LEFT($A368,4)),1,4),2)+1+(VALUE(MID($A368,7,2))-1)*7)-p_semana_referencia)/7,$F368)&lt;($F368-3),"B"&amp;(($F368-3)-MOD((IFERROR(INDEX('TECNICOS'!$G$4:$G$19,MATCH($C368,'TECNICOS'!$B$4:$B$19,0)),0)-1)+((DATE(VALUE(LEFT($A368,4)),1,4)-WEEKDAY(DATE(VALUE(LEFT($A368,4)),1,4),2)+1+(VALUE(MID($A368,7,2))-1)*7)-p_semana_referencia)/7,$F368)),"T"&amp;($F368-MOD((IFERROR(INDEX('TECNICOS'!$G$4:$G$19,MATCH($C368,'TECNICOS'!$B$4:$B$19,0)),0)-1)+((DATE(VALUE(LEFT($A368,4)),1,4)-WEEKDAY(DATE(VALUE(LEFT($A368,4)),1,4),2)+1+(VALUE(MID($A368,7,2))-1)*7)-p_semana_referencia)/7,$F368)))))</f>
        <v/>
      </c>
      <c r="H368" s="24">
        <f>IF(COUNTIFS('PLAN_VACACIONES'!$A$4:$A$103,$C368,'PLAN_VACACIONES'!$B$4:$B$103,"&lt;="&amp;$L368,'PLAN_VACACIONES'!$C$4:$C$103,"&gt;="&amp;$L368)&gt;0,"sí","no")</f>
        <v/>
      </c>
      <c r="I368" s="4" t="n"/>
      <c r="J368" s="24">
        <f>IF($I368&lt;&gt;"",$I368,IF($G368="","",IF($H368="sí","VAC",IF(LEFT($G368,1)="B","B",$G368))))</f>
        <v/>
      </c>
      <c r="K368" s="24">
        <f>IFERROR(INDEX('TECNICOS'!$E$4:$E$19,MATCH($C368,'TECNICOS'!$B$4:$B$19,0)),"")</f>
        <v/>
      </c>
      <c r="L368" s="30">
        <f>IF($A368="","",DATE(VALUE(LEFT($A368,4)),1,4)-WEEKDAY(DATE(VALUE(LEFT($A368,4)),1,4),2)+1+(VALUE(MID($A368,7,2))-1)*7+MATCH($B368,lista_dias,0)-1)</f>
        <v/>
      </c>
      <c r="M368" s="24">
        <f>IF(OR($J368="",ISNUMBER(MATCH($J368,lista_no_disponible,0)),(IFERROR(INDEX('CALENDARIO'!$C$15:$C$214,MATCH(TEXT($L368,"yyyy-mm-dd")&amp;"|"&amp;$D368&amp;"|"&amp;"",'CALENDARIO'!$G$15:$G$214,0)),IFERROR(INDEX('CALENDARIO'!$C$15:$C$214,MATCH(TEXT($L368,"yyyy-mm-dd")&amp;"|"&amp;$D368&amp;"|",'CALENDARIO'!$G$15:$G$214,0)),IFERROR(INDEX('CALENDARIO'!$C$15:$C$214,MATCH(TEXT($L368,"yyyy-mm-dd")&amp;"||",'CALENDARIO'!$G$15:$G$214,0)),INDEX(patronHabil,WEEKDAY($L368,2))))))&lt;&gt;"sí"),0,p_horas_jornada)</f>
        <v/>
      </c>
      <c r="N368" s="24">
        <f>$A368&amp;"|"&amp;$B368&amp;"|"&amp;$C368</f>
        <v/>
      </c>
      <c r="O368" s="24">
        <f>IFERROR(INDEX('CAT_TURNOS'!$C$4:$C$22,MATCH($J368,'CAT_TURNOS'!$A$4:$A$22,0)),"")</f>
        <v/>
      </c>
      <c r="P368" s="24">
        <f>IFERROR(INDEX('CAT_TURNOS'!$D$4:$D$22,MATCH($J368,'CAT_TURNOS'!$A$4:$A$22,0)),"")</f>
        <v/>
      </c>
      <c r="Q368" s="24">
        <f>IF(AND(LEFT($G368,1)="T",$H368="no"),"sí","no")</f>
        <v/>
      </c>
    </row>
    <row r="369">
      <c r="A369" s="5" t="inlineStr">
        <is>
          <t>2026-S33</t>
        </is>
      </c>
      <c r="B369" s="5" t="inlineStr">
        <is>
          <t>martes</t>
        </is>
      </c>
      <c r="C369" s="5" t="inlineStr">
        <is>
          <t>Ana Sánchez</t>
        </is>
      </c>
      <c r="D369" s="24">
        <f>IFERROR(INDEX('TECNICOS'!$D$4:$D$19,MATCH($C369,'TECNICOS'!$B$4:$B$19,0)),"")</f>
        <v/>
      </c>
      <c r="E369" s="24">
        <f>IFERROR(INDEX('TECNICOS'!$C$4:$C$19,MATCH($C369,'TECNICOS'!$B$4:$B$19,0)),"")</f>
        <v/>
      </c>
      <c r="F369" s="24">
        <f>COUNTIFS('TECNICOS'!$F$4:$F$19,"sí",'TECNICOS'!$C$4:$C$19,$E369,'TECNICOS'!$D$4:$D$19,$D369,'TECNICOS'!$H$4:$H$19,"sí")</f>
        <v/>
      </c>
      <c r="G369" s="24">
        <f>IF(OR($C369="",$A369="",$B369="domingo",IFERROR(INDEX('TECNICOS'!$H$4:$H$19,MATCH($C369,'TECNICOS'!$B$4:$B$19,0)),"no")&lt;&gt;"sí"),"",IF(IFERROR(INDEX('TECNICOS'!$F$4:$F$19,MATCH($C369,'TECNICOS'!$B$4:$B$19,0)),"no")&lt;&gt;"sí","B",IF(MOD((IFERROR(INDEX('TECNICOS'!$G$4:$G$19,MATCH($C369,'TECNICOS'!$B$4:$B$19,0)),0)-1)+((DATE(VALUE(LEFT($A369,4)),1,4)-WEEKDAY(DATE(VALUE(LEFT($A369,4)),1,4),2)+1+(VALUE(MID($A369,7,2))-1)*7)-p_semana_referencia)/7,$F369)&lt;($F369-3),"B"&amp;(($F369-3)-MOD((IFERROR(INDEX('TECNICOS'!$G$4:$G$19,MATCH($C369,'TECNICOS'!$B$4:$B$19,0)),0)-1)+((DATE(VALUE(LEFT($A369,4)),1,4)-WEEKDAY(DATE(VALUE(LEFT($A369,4)),1,4),2)+1+(VALUE(MID($A369,7,2))-1)*7)-p_semana_referencia)/7,$F369)),"T"&amp;($F369-MOD((IFERROR(INDEX('TECNICOS'!$G$4:$G$19,MATCH($C369,'TECNICOS'!$B$4:$B$19,0)),0)-1)+((DATE(VALUE(LEFT($A369,4)),1,4)-WEEKDAY(DATE(VALUE(LEFT($A369,4)),1,4),2)+1+(VALUE(MID($A369,7,2))-1)*7)-p_semana_referencia)/7,$F369)))))</f>
        <v/>
      </c>
      <c r="H369" s="24">
        <f>IF(COUNTIFS('PLAN_VACACIONES'!$A$4:$A$103,$C369,'PLAN_VACACIONES'!$B$4:$B$103,"&lt;="&amp;$L369,'PLAN_VACACIONES'!$C$4:$C$103,"&gt;="&amp;$L369)&gt;0,"sí","no")</f>
        <v/>
      </c>
      <c r="I369" s="4" t="n"/>
      <c r="J369" s="24">
        <f>IF($I369&lt;&gt;"",$I369,IF($G369="","",IF($H369="sí","VAC",IF(LEFT($G369,1)="B","B",$G369))))</f>
        <v/>
      </c>
      <c r="K369" s="24">
        <f>IFERROR(INDEX('TECNICOS'!$E$4:$E$19,MATCH($C369,'TECNICOS'!$B$4:$B$19,0)),"")</f>
        <v/>
      </c>
      <c r="L369" s="30">
        <f>IF($A369="","",DATE(VALUE(LEFT($A369,4)),1,4)-WEEKDAY(DATE(VALUE(LEFT($A369,4)),1,4),2)+1+(VALUE(MID($A369,7,2))-1)*7+MATCH($B369,lista_dias,0)-1)</f>
        <v/>
      </c>
      <c r="M369" s="24">
        <f>IF(OR($J369="",ISNUMBER(MATCH($J369,lista_no_disponible,0)),(IFERROR(INDEX('CALENDARIO'!$C$15:$C$214,MATCH(TEXT($L369,"yyyy-mm-dd")&amp;"|"&amp;$D369&amp;"|"&amp;"",'CALENDARIO'!$G$15:$G$214,0)),IFERROR(INDEX('CALENDARIO'!$C$15:$C$214,MATCH(TEXT($L369,"yyyy-mm-dd")&amp;"|"&amp;$D369&amp;"|",'CALENDARIO'!$G$15:$G$214,0)),IFERROR(INDEX('CALENDARIO'!$C$15:$C$214,MATCH(TEXT($L369,"yyyy-mm-dd")&amp;"||",'CALENDARIO'!$G$15:$G$214,0)),INDEX(patronHabil,WEEKDAY($L369,2))))))&lt;&gt;"sí"),0,p_horas_jornada)</f>
        <v/>
      </c>
      <c r="N369" s="24">
        <f>$A369&amp;"|"&amp;$B369&amp;"|"&amp;$C369</f>
        <v/>
      </c>
      <c r="O369" s="24">
        <f>IFERROR(INDEX('CAT_TURNOS'!$C$4:$C$22,MATCH($J369,'CAT_TURNOS'!$A$4:$A$22,0)),"")</f>
        <v/>
      </c>
      <c r="P369" s="24">
        <f>IFERROR(INDEX('CAT_TURNOS'!$D$4:$D$22,MATCH($J369,'CAT_TURNOS'!$A$4:$A$22,0)),"")</f>
        <v/>
      </c>
      <c r="Q369" s="24">
        <f>IF(AND(LEFT($G369,1)="T",$H369="no"),"sí","no")</f>
        <v/>
      </c>
    </row>
    <row r="370">
      <c r="A370" s="5" t="inlineStr">
        <is>
          <t>2026-S33</t>
        </is>
      </c>
      <c r="B370" s="5" t="inlineStr">
        <is>
          <t>miércoles</t>
        </is>
      </c>
      <c r="C370" s="5" t="inlineStr">
        <is>
          <t>Ana Sánchez</t>
        </is>
      </c>
      <c r="D370" s="24">
        <f>IFERROR(INDEX('TECNICOS'!$D$4:$D$19,MATCH($C370,'TECNICOS'!$B$4:$B$19,0)),"")</f>
        <v/>
      </c>
      <c r="E370" s="24">
        <f>IFERROR(INDEX('TECNICOS'!$C$4:$C$19,MATCH($C370,'TECNICOS'!$B$4:$B$19,0)),"")</f>
        <v/>
      </c>
      <c r="F370" s="24">
        <f>COUNTIFS('TECNICOS'!$F$4:$F$19,"sí",'TECNICOS'!$C$4:$C$19,$E370,'TECNICOS'!$D$4:$D$19,$D370,'TECNICOS'!$H$4:$H$19,"sí")</f>
        <v/>
      </c>
      <c r="G370" s="24">
        <f>IF(OR($C370="",$A370="",$B370="domingo",IFERROR(INDEX('TECNICOS'!$H$4:$H$19,MATCH($C370,'TECNICOS'!$B$4:$B$19,0)),"no")&lt;&gt;"sí"),"",IF(IFERROR(INDEX('TECNICOS'!$F$4:$F$19,MATCH($C370,'TECNICOS'!$B$4:$B$19,0)),"no")&lt;&gt;"sí","B",IF(MOD((IFERROR(INDEX('TECNICOS'!$G$4:$G$19,MATCH($C370,'TECNICOS'!$B$4:$B$19,0)),0)-1)+((DATE(VALUE(LEFT($A370,4)),1,4)-WEEKDAY(DATE(VALUE(LEFT($A370,4)),1,4),2)+1+(VALUE(MID($A370,7,2))-1)*7)-p_semana_referencia)/7,$F370)&lt;($F370-3),"B"&amp;(($F370-3)-MOD((IFERROR(INDEX('TECNICOS'!$G$4:$G$19,MATCH($C370,'TECNICOS'!$B$4:$B$19,0)),0)-1)+((DATE(VALUE(LEFT($A370,4)),1,4)-WEEKDAY(DATE(VALUE(LEFT($A370,4)),1,4),2)+1+(VALUE(MID($A370,7,2))-1)*7)-p_semana_referencia)/7,$F370)),"T"&amp;($F370-MOD((IFERROR(INDEX('TECNICOS'!$G$4:$G$19,MATCH($C370,'TECNICOS'!$B$4:$B$19,0)),0)-1)+((DATE(VALUE(LEFT($A370,4)),1,4)-WEEKDAY(DATE(VALUE(LEFT($A370,4)),1,4),2)+1+(VALUE(MID($A370,7,2))-1)*7)-p_semana_referencia)/7,$F370)))))</f>
        <v/>
      </c>
      <c r="H370" s="24">
        <f>IF(COUNTIFS('PLAN_VACACIONES'!$A$4:$A$103,$C370,'PLAN_VACACIONES'!$B$4:$B$103,"&lt;="&amp;$L370,'PLAN_VACACIONES'!$C$4:$C$103,"&gt;="&amp;$L370)&gt;0,"sí","no")</f>
        <v/>
      </c>
      <c r="I370" s="4" t="n"/>
      <c r="J370" s="24">
        <f>IF($I370&lt;&gt;"",$I370,IF($G370="","",IF($H370="sí","VAC",IF(LEFT($G370,1)="B","B",$G370))))</f>
        <v/>
      </c>
      <c r="K370" s="24">
        <f>IFERROR(INDEX('TECNICOS'!$E$4:$E$19,MATCH($C370,'TECNICOS'!$B$4:$B$19,0)),"")</f>
        <v/>
      </c>
      <c r="L370" s="30">
        <f>IF($A370="","",DATE(VALUE(LEFT($A370,4)),1,4)-WEEKDAY(DATE(VALUE(LEFT($A370,4)),1,4),2)+1+(VALUE(MID($A370,7,2))-1)*7+MATCH($B370,lista_dias,0)-1)</f>
        <v/>
      </c>
      <c r="M370" s="24">
        <f>IF(OR($J370="",ISNUMBER(MATCH($J370,lista_no_disponible,0)),(IFERROR(INDEX('CALENDARIO'!$C$15:$C$214,MATCH(TEXT($L370,"yyyy-mm-dd")&amp;"|"&amp;$D370&amp;"|"&amp;"",'CALENDARIO'!$G$15:$G$214,0)),IFERROR(INDEX('CALENDARIO'!$C$15:$C$214,MATCH(TEXT($L370,"yyyy-mm-dd")&amp;"|"&amp;$D370&amp;"|",'CALENDARIO'!$G$15:$G$214,0)),IFERROR(INDEX('CALENDARIO'!$C$15:$C$214,MATCH(TEXT($L370,"yyyy-mm-dd")&amp;"||",'CALENDARIO'!$G$15:$G$214,0)),INDEX(patronHabil,WEEKDAY($L370,2))))))&lt;&gt;"sí"),0,p_horas_jornada)</f>
        <v/>
      </c>
      <c r="N370" s="24">
        <f>$A370&amp;"|"&amp;$B370&amp;"|"&amp;$C370</f>
        <v/>
      </c>
      <c r="O370" s="24">
        <f>IFERROR(INDEX('CAT_TURNOS'!$C$4:$C$22,MATCH($J370,'CAT_TURNOS'!$A$4:$A$22,0)),"")</f>
        <v/>
      </c>
      <c r="P370" s="24">
        <f>IFERROR(INDEX('CAT_TURNOS'!$D$4:$D$22,MATCH($J370,'CAT_TURNOS'!$A$4:$A$22,0)),"")</f>
        <v/>
      </c>
      <c r="Q370" s="24">
        <f>IF(AND(LEFT($G370,1)="T",$H370="no"),"sí","no")</f>
        <v/>
      </c>
    </row>
    <row r="371">
      <c r="A371" s="5" t="inlineStr">
        <is>
          <t>2026-S33</t>
        </is>
      </c>
      <c r="B371" s="5" t="inlineStr">
        <is>
          <t>jueves</t>
        </is>
      </c>
      <c r="C371" s="5" t="inlineStr">
        <is>
          <t>Ana Sánchez</t>
        </is>
      </c>
      <c r="D371" s="24">
        <f>IFERROR(INDEX('TECNICOS'!$D$4:$D$19,MATCH($C371,'TECNICOS'!$B$4:$B$19,0)),"")</f>
        <v/>
      </c>
      <c r="E371" s="24">
        <f>IFERROR(INDEX('TECNICOS'!$C$4:$C$19,MATCH($C371,'TECNICOS'!$B$4:$B$19,0)),"")</f>
        <v/>
      </c>
      <c r="F371" s="24">
        <f>COUNTIFS('TECNICOS'!$F$4:$F$19,"sí",'TECNICOS'!$C$4:$C$19,$E371,'TECNICOS'!$D$4:$D$19,$D371,'TECNICOS'!$H$4:$H$19,"sí")</f>
        <v/>
      </c>
      <c r="G371" s="24">
        <f>IF(OR($C371="",$A371="",$B371="domingo",IFERROR(INDEX('TECNICOS'!$H$4:$H$19,MATCH($C371,'TECNICOS'!$B$4:$B$19,0)),"no")&lt;&gt;"sí"),"",IF(IFERROR(INDEX('TECNICOS'!$F$4:$F$19,MATCH($C371,'TECNICOS'!$B$4:$B$19,0)),"no")&lt;&gt;"sí","B",IF(MOD((IFERROR(INDEX('TECNICOS'!$G$4:$G$19,MATCH($C371,'TECNICOS'!$B$4:$B$19,0)),0)-1)+((DATE(VALUE(LEFT($A371,4)),1,4)-WEEKDAY(DATE(VALUE(LEFT($A371,4)),1,4),2)+1+(VALUE(MID($A371,7,2))-1)*7)-p_semana_referencia)/7,$F371)&lt;($F371-3),"B"&amp;(($F371-3)-MOD((IFERROR(INDEX('TECNICOS'!$G$4:$G$19,MATCH($C371,'TECNICOS'!$B$4:$B$19,0)),0)-1)+((DATE(VALUE(LEFT($A371,4)),1,4)-WEEKDAY(DATE(VALUE(LEFT($A371,4)),1,4),2)+1+(VALUE(MID($A371,7,2))-1)*7)-p_semana_referencia)/7,$F371)),"T"&amp;($F371-MOD((IFERROR(INDEX('TECNICOS'!$G$4:$G$19,MATCH($C371,'TECNICOS'!$B$4:$B$19,0)),0)-1)+((DATE(VALUE(LEFT($A371,4)),1,4)-WEEKDAY(DATE(VALUE(LEFT($A371,4)),1,4),2)+1+(VALUE(MID($A371,7,2))-1)*7)-p_semana_referencia)/7,$F371)))))</f>
        <v/>
      </c>
      <c r="H371" s="24">
        <f>IF(COUNTIFS('PLAN_VACACIONES'!$A$4:$A$103,$C371,'PLAN_VACACIONES'!$B$4:$B$103,"&lt;="&amp;$L371,'PLAN_VACACIONES'!$C$4:$C$103,"&gt;="&amp;$L371)&gt;0,"sí","no")</f>
        <v/>
      </c>
      <c r="I371" s="4" t="n"/>
      <c r="J371" s="24">
        <f>IF($I371&lt;&gt;"",$I371,IF($G371="","",IF($H371="sí","VAC",IF(LEFT($G371,1)="B","B",$G371))))</f>
        <v/>
      </c>
      <c r="K371" s="24">
        <f>IFERROR(INDEX('TECNICOS'!$E$4:$E$19,MATCH($C371,'TECNICOS'!$B$4:$B$19,0)),"")</f>
        <v/>
      </c>
      <c r="L371" s="30">
        <f>IF($A371="","",DATE(VALUE(LEFT($A371,4)),1,4)-WEEKDAY(DATE(VALUE(LEFT($A371,4)),1,4),2)+1+(VALUE(MID($A371,7,2))-1)*7+MATCH($B371,lista_dias,0)-1)</f>
        <v/>
      </c>
      <c r="M371" s="24">
        <f>IF(OR($J371="",ISNUMBER(MATCH($J371,lista_no_disponible,0)),(IFERROR(INDEX('CALENDARIO'!$C$15:$C$214,MATCH(TEXT($L371,"yyyy-mm-dd")&amp;"|"&amp;$D371&amp;"|"&amp;"",'CALENDARIO'!$G$15:$G$214,0)),IFERROR(INDEX('CALENDARIO'!$C$15:$C$214,MATCH(TEXT($L371,"yyyy-mm-dd")&amp;"|"&amp;$D371&amp;"|",'CALENDARIO'!$G$15:$G$214,0)),IFERROR(INDEX('CALENDARIO'!$C$15:$C$214,MATCH(TEXT($L371,"yyyy-mm-dd")&amp;"||",'CALENDARIO'!$G$15:$G$214,0)),INDEX(patronHabil,WEEKDAY($L371,2))))))&lt;&gt;"sí"),0,p_horas_jornada)</f>
        <v/>
      </c>
      <c r="N371" s="24">
        <f>$A371&amp;"|"&amp;$B371&amp;"|"&amp;$C371</f>
        <v/>
      </c>
      <c r="O371" s="24">
        <f>IFERROR(INDEX('CAT_TURNOS'!$C$4:$C$22,MATCH($J371,'CAT_TURNOS'!$A$4:$A$22,0)),"")</f>
        <v/>
      </c>
      <c r="P371" s="24">
        <f>IFERROR(INDEX('CAT_TURNOS'!$D$4:$D$22,MATCH($J371,'CAT_TURNOS'!$A$4:$A$22,0)),"")</f>
        <v/>
      </c>
      <c r="Q371" s="24">
        <f>IF(AND(LEFT($G371,1)="T",$H371="no"),"sí","no")</f>
        <v/>
      </c>
    </row>
    <row r="372">
      <c r="A372" s="5" t="inlineStr">
        <is>
          <t>2026-S33</t>
        </is>
      </c>
      <c r="B372" s="5" t="inlineStr">
        <is>
          <t>viernes</t>
        </is>
      </c>
      <c r="C372" s="5" t="inlineStr">
        <is>
          <t>Ana Sánchez</t>
        </is>
      </c>
      <c r="D372" s="24">
        <f>IFERROR(INDEX('TECNICOS'!$D$4:$D$19,MATCH($C372,'TECNICOS'!$B$4:$B$19,0)),"")</f>
        <v/>
      </c>
      <c r="E372" s="24">
        <f>IFERROR(INDEX('TECNICOS'!$C$4:$C$19,MATCH($C372,'TECNICOS'!$B$4:$B$19,0)),"")</f>
        <v/>
      </c>
      <c r="F372" s="24">
        <f>COUNTIFS('TECNICOS'!$F$4:$F$19,"sí",'TECNICOS'!$C$4:$C$19,$E372,'TECNICOS'!$D$4:$D$19,$D372,'TECNICOS'!$H$4:$H$19,"sí")</f>
        <v/>
      </c>
      <c r="G372" s="24">
        <f>IF(OR($C372="",$A372="",$B372="domingo",IFERROR(INDEX('TECNICOS'!$H$4:$H$19,MATCH($C372,'TECNICOS'!$B$4:$B$19,0)),"no")&lt;&gt;"sí"),"",IF(IFERROR(INDEX('TECNICOS'!$F$4:$F$19,MATCH($C372,'TECNICOS'!$B$4:$B$19,0)),"no")&lt;&gt;"sí","B",IF(MOD((IFERROR(INDEX('TECNICOS'!$G$4:$G$19,MATCH($C372,'TECNICOS'!$B$4:$B$19,0)),0)-1)+((DATE(VALUE(LEFT($A372,4)),1,4)-WEEKDAY(DATE(VALUE(LEFT($A372,4)),1,4),2)+1+(VALUE(MID($A372,7,2))-1)*7)-p_semana_referencia)/7,$F372)&lt;($F372-3),"B"&amp;(($F372-3)-MOD((IFERROR(INDEX('TECNICOS'!$G$4:$G$19,MATCH($C372,'TECNICOS'!$B$4:$B$19,0)),0)-1)+((DATE(VALUE(LEFT($A372,4)),1,4)-WEEKDAY(DATE(VALUE(LEFT($A372,4)),1,4),2)+1+(VALUE(MID($A372,7,2))-1)*7)-p_semana_referencia)/7,$F372)),"T"&amp;($F372-MOD((IFERROR(INDEX('TECNICOS'!$G$4:$G$19,MATCH($C372,'TECNICOS'!$B$4:$B$19,0)),0)-1)+((DATE(VALUE(LEFT($A372,4)),1,4)-WEEKDAY(DATE(VALUE(LEFT($A372,4)),1,4),2)+1+(VALUE(MID($A372,7,2))-1)*7)-p_semana_referencia)/7,$F372)))))</f>
        <v/>
      </c>
      <c r="H372" s="24">
        <f>IF(COUNTIFS('PLAN_VACACIONES'!$A$4:$A$103,$C372,'PLAN_VACACIONES'!$B$4:$B$103,"&lt;="&amp;$L372,'PLAN_VACACIONES'!$C$4:$C$103,"&gt;="&amp;$L372)&gt;0,"sí","no")</f>
        <v/>
      </c>
      <c r="I372" s="4" t="n"/>
      <c r="J372" s="24">
        <f>IF($I372&lt;&gt;"",$I372,IF($G372="","",IF($H372="sí","VAC",IF(LEFT($G372,1)="B","B",$G372))))</f>
        <v/>
      </c>
      <c r="K372" s="24">
        <f>IFERROR(INDEX('TECNICOS'!$E$4:$E$19,MATCH($C372,'TECNICOS'!$B$4:$B$19,0)),"")</f>
        <v/>
      </c>
      <c r="L372" s="30">
        <f>IF($A372="","",DATE(VALUE(LEFT($A372,4)),1,4)-WEEKDAY(DATE(VALUE(LEFT($A372,4)),1,4),2)+1+(VALUE(MID($A372,7,2))-1)*7+MATCH($B372,lista_dias,0)-1)</f>
        <v/>
      </c>
      <c r="M372" s="24">
        <f>IF(OR($J372="",ISNUMBER(MATCH($J372,lista_no_disponible,0)),(IFERROR(INDEX('CALENDARIO'!$C$15:$C$214,MATCH(TEXT($L372,"yyyy-mm-dd")&amp;"|"&amp;$D372&amp;"|"&amp;"",'CALENDARIO'!$G$15:$G$214,0)),IFERROR(INDEX('CALENDARIO'!$C$15:$C$214,MATCH(TEXT($L372,"yyyy-mm-dd")&amp;"|"&amp;$D372&amp;"|",'CALENDARIO'!$G$15:$G$214,0)),IFERROR(INDEX('CALENDARIO'!$C$15:$C$214,MATCH(TEXT($L372,"yyyy-mm-dd")&amp;"||",'CALENDARIO'!$G$15:$G$214,0)),INDEX(patronHabil,WEEKDAY($L372,2))))))&lt;&gt;"sí"),0,p_horas_jornada)</f>
        <v/>
      </c>
      <c r="N372" s="24">
        <f>$A372&amp;"|"&amp;$B372&amp;"|"&amp;$C372</f>
        <v/>
      </c>
      <c r="O372" s="24">
        <f>IFERROR(INDEX('CAT_TURNOS'!$C$4:$C$22,MATCH($J372,'CAT_TURNOS'!$A$4:$A$22,0)),"")</f>
        <v/>
      </c>
      <c r="P372" s="24">
        <f>IFERROR(INDEX('CAT_TURNOS'!$D$4:$D$22,MATCH($J372,'CAT_TURNOS'!$A$4:$A$22,0)),"")</f>
        <v/>
      </c>
      <c r="Q372" s="24">
        <f>IF(AND(LEFT($G372,1)="T",$H372="no"),"sí","no")</f>
        <v/>
      </c>
    </row>
    <row r="373">
      <c r="A373" s="5" t="inlineStr">
        <is>
          <t>2026-S33</t>
        </is>
      </c>
      <c r="B373" s="5" t="inlineStr">
        <is>
          <t>sábado</t>
        </is>
      </c>
      <c r="C373" s="5" t="inlineStr">
        <is>
          <t>Ana Sánchez</t>
        </is>
      </c>
      <c r="D373" s="24">
        <f>IFERROR(INDEX('TECNICOS'!$D$4:$D$19,MATCH($C373,'TECNICOS'!$B$4:$B$19,0)),"")</f>
        <v/>
      </c>
      <c r="E373" s="24">
        <f>IFERROR(INDEX('TECNICOS'!$C$4:$C$19,MATCH($C373,'TECNICOS'!$B$4:$B$19,0)),"")</f>
        <v/>
      </c>
      <c r="F373" s="24">
        <f>COUNTIFS('TECNICOS'!$F$4:$F$19,"sí",'TECNICOS'!$C$4:$C$19,$E373,'TECNICOS'!$D$4:$D$19,$D373,'TECNICOS'!$H$4:$H$19,"sí")</f>
        <v/>
      </c>
      <c r="G373" s="24">
        <f>IF(OR($C373="",$A373="",$B373="domingo",IFERROR(INDEX('TECNICOS'!$H$4:$H$19,MATCH($C373,'TECNICOS'!$B$4:$B$19,0)),"no")&lt;&gt;"sí"),"",IF(IFERROR(INDEX('TECNICOS'!$F$4:$F$19,MATCH($C373,'TECNICOS'!$B$4:$B$19,0)),"no")&lt;&gt;"sí","B",IF(MOD((IFERROR(INDEX('TECNICOS'!$G$4:$G$19,MATCH($C373,'TECNICOS'!$B$4:$B$19,0)),0)-1)+((DATE(VALUE(LEFT($A373,4)),1,4)-WEEKDAY(DATE(VALUE(LEFT($A373,4)),1,4),2)+1+(VALUE(MID($A373,7,2))-1)*7)-p_semana_referencia)/7,$F373)&lt;($F373-3),"B"&amp;(($F373-3)-MOD((IFERROR(INDEX('TECNICOS'!$G$4:$G$19,MATCH($C373,'TECNICOS'!$B$4:$B$19,0)),0)-1)+((DATE(VALUE(LEFT($A373,4)),1,4)-WEEKDAY(DATE(VALUE(LEFT($A373,4)),1,4),2)+1+(VALUE(MID($A373,7,2))-1)*7)-p_semana_referencia)/7,$F373)),"T"&amp;($F373-MOD((IFERROR(INDEX('TECNICOS'!$G$4:$G$19,MATCH($C373,'TECNICOS'!$B$4:$B$19,0)),0)-1)+((DATE(VALUE(LEFT($A373,4)),1,4)-WEEKDAY(DATE(VALUE(LEFT($A373,4)),1,4),2)+1+(VALUE(MID($A373,7,2))-1)*7)-p_semana_referencia)/7,$F373)))))</f>
        <v/>
      </c>
      <c r="H373" s="24">
        <f>IF(COUNTIFS('PLAN_VACACIONES'!$A$4:$A$103,$C373,'PLAN_VACACIONES'!$B$4:$B$103,"&lt;="&amp;$L373,'PLAN_VACACIONES'!$C$4:$C$103,"&gt;="&amp;$L373)&gt;0,"sí","no")</f>
        <v/>
      </c>
      <c r="I373" s="4" t="n"/>
      <c r="J373" s="24">
        <f>IF($I373&lt;&gt;"",$I373,IF($G373="","",IF($H373="sí","VAC",IF(LEFT($G373,1)="B","B",$G373))))</f>
        <v/>
      </c>
      <c r="K373" s="24">
        <f>IFERROR(INDEX('TECNICOS'!$E$4:$E$19,MATCH($C373,'TECNICOS'!$B$4:$B$19,0)),"")</f>
        <v/>
      </c>
      <c r="L373" s="30">
        <f>IF($A373="","",DATE(VALUE(LEFT($A373,4)),1,4)-WEEKDAY(DATE(VALUE(LEFT($A373,4)),1,4),2)+1+(VALUE(MID($A373,7,2))-1)*7+MATCH($B373,lista_dias,0)-1)</f>
        <v/>
      </c>
      <c r="M373" s="24">
        <f>IF(OR($J373="",ISNUMBER(MATCH($J373,lista_no_disponible,0)),(IFERROR(INDEX('CALENDARIO'!$C$15:$C$214,MATCH(TEXT($L373,"yyyy-mm-dd")&amp;"|"&amp;$D373&amp;"|"&amp;"",'CALENDARIO'!$G$15:$G$214,0)),IFERROR(INDEX('CALENDARIO'!$C$15:$C$214,MATCH(TEXT($L373,"yyyy-mm-dd")&amp;"|"&amp;$D373&amp;"|",'CALENDARIO'!$G$15:$G$214,0)),IFERROR(INDEX('CALENDARIO'!$C$15:$C$214,MATCH(TEXT($L373,"yyyy-mm-dd")&amp;"||",'CALENDARIO'!$G$15:$G$214,0)),INDEX(patronHabil,WEEKDAY($L373,2))))))&lt;&gt;"sí"),0,p_horas_jornada)</f>
        <v/>
      </c>
      <c r="N373" s="24">
        <f>$A373&amp;"|"&amp;$B373&amp;"|"&amp;$C373</f>
        <v/>
      </c>
      <c r="O373" s="24">
        <f>IFERROR(INDEX('CAT_TURNOS'!$C$4:$C$22,MATCH($J373,'CAT_TURNOS'!$A$4:$A$22,0)),"")</f>
        <v/>
      </c>
      <c r="P373" s="24">
        <f>IFERROR(INDEX('CAT_TURNOS'!$D$4:$D$22,MATCH($J373,'CAT_TURNOS'!$A$4:$A$22,0)),"")</f>
        <v/>
      </c>
      <c r="Q373" s="24">
        <f>IF(AND(LEFT($G373,1)="T",$H373="no"),"sí","no")</f>
        <v/>
      </c>
    </row>
    <row r="374">
      <c r="A374" s="5" t="inlineStr">
        <is>
          <t>2026-S33</t>
        </is>
      </c>
      <c r="B374" s="5" t="inlineStr">
        <is>
          <t>domingo</t>
        </is>
      </c>
      <c r="C374" s="5" t="inlineStr">
        <is>
          <t>Ana Sánchez</t>
        </is>
      </c>
      <c r="D374" s="24">
        <f>IFERROR(INDEX('TECNICOS'!$D$4:$D$19,MATCH($C374,'TECNICOS'!$B$4:$B$19,0)),"")</f>
        <v/>
      </c>
      <c r="E374" s="24">
        <f>IFERROR(INDEX('TECNICOS'!$C$4:$C$19,MATCH($C374,'TECNICOS'!$B$4:$B$19,0)),"")</f>
        <v/>
      </c>
      <c r="F374" s="24">
        <f>COUNTIFS('TECNICOS'!$F$4:$F$19,"sí",'TECNICOS'!$C$4:$C$19,$E374,'TECNICOS'!$D$4:$D$19,$D374,'TECNICOS'!$H$4:$H$19,"sí")</f>
        <v/>
      </c>
      <c r="G374" s="24">
        <f>IF(OR($C374="",$A374="",$B374="domingo",IFERROR(INDEX('TECNICOS'!$H$4:$H$19,MATCH($C374,'TECNICOS'!$B$4:$B$19,0)),"no")&lt;&gt;"sí"),"",IF(IFERROR(INDEX('TECNICOS'!$F$4:$F$19,MATCH($C374,'TECNICOS'!$B$4:$B$19,0)),"no")&lt;&gt;"sí","B",IF(MOD((IFERROR(INDEX('TECNICOS'!$G$4:$G$19,MATCH($C374,'TECNICOS'!$B$4:$B$19,0)),0)-1)+((DATE(VALUE(LEFT($A374,4)),1,4)-WEEKDAY(DATE(VALUE(LEFT($A374,4)),1,4),2)+1+(VALUE(MID($A374,7,2))-1)*7)-p_semana_referencia)/7,$F374)&lt;($F374-3),"B"&amp;(($F374-3)-MOD((IFERROR(INDEX('TECNICOS'!$G$4:$G$19,MATCH($C374,'TECNICOS'!$B$4:$B$19,0)),0)-1)+((DATE(VALUE(LEFT($A374,4)),1,4)-WEEKDAY(DATE(VALUE(LEFT($A374,4)),1,4),2)+1+(VALUE(MID($A374,7,2))-1)*7)-p_semana_referencia)/7,$F374)),"T"&amp;($F374-MOD((IFERROR(INDEX('TECNICOS'!$G$4:$G$19,MATCH($C374,'TECNICOS'!$B$4:$B$19,0)),0)-1)+((DATE(VALUE(LEFT($A374,4)),1,4)-WEEKDAY(DATE(VALUE(LEFT($A374,4)),1,4),2)+1+(VALUE(MID($A374,7,2))-1)*7)-p_semana_referencia)/7,$F374)))))</f>
        <v/>
      </c>
      <c r="H374" s="24">
        <f>IF(COUNTIFS('PLAN_VACACIONES'!$A$4:$A$103,$C374,'PLAN_VACACIONES'!$B$4:$B$103,"&lt;="&amp;$L374,'PLAN_VACACIONES'!$C$4:$C$103,"&gt;="&amp;$L374)&gt;0,"sí","no")</f>
        <v/>
      </c>
      <c r="I374" s="4" t="n"/>
      <c r="J374" s="24">
        <f>IF($I374&lt;&gt;"",$I374,IF($G374="","",IF($H374="sí","VAC",IF(LEFT($G374,1)="B","B",$G374))))</f>
        <v/>
      </c>
      <c r="K374" s="24">
        <f>IFERROR(INDEX('TECNICOS'!$E$4:$E$19,MATCH($C374,'TECNICOS'!$B$4:$B$19,0)),"")</f>
        <v/>
      </c>
      <c r="L374" s="30">
        <f>IF($A374="","",DATE(VALUE(LEFT($A374,4)),1,4)-WEEKDAY(DATE(VALUE(LEFT($A374,4)),1,4),2)+1+(VALUE(MID($A374,7,2))-1)*7+MATCH($B374,lista_dias,0)-1)</f>
        <v/>
      </c>
      <c r="M374" s="24">
        <f>IF(OR($J374="",ISNUMBER(MATCH($J374,lista_no_disponible,0)),(IFERROR(INDEX('CALENDARIO'!$C$15:$C$214,MATCH(TEXT($L374,"yyyy-mm-dd")&amp;"|"&amp;$D374&amp;"|"&amp;"",'CALENDARIO'!$G$15:$G$214,0)),IFERROR(INDEX('CALENDARIO'!$C$15:$C$214,MATCH(TEXT($L374,"yyyy-mm-dd")&amp;"|"&amp;$D374&amp;"|",'CALENDARIO'!$G$15:$G$214,0)),IFERROR(INDEX('CALENDARIO'!$C$15:$C$214,MATCH(TEXT($L374,"yyyy-mm-dd")&amp;"||",'CALENDARIO'!$G$15:$G$214,0)),INDEX(patronHabil,WEEKDAY($L374,2))))))&lt;&gt;"sí"),0,p_horas_jornada)</f>
        <v/>
      </c>
      <c r="N374" s="24">
        <f>$A374&amp;"|"&amp;$B374&amp;"|"&amp;$C374</f>
        <v/>
      </c>
      <c r="O374" s="24">
        <f>IFERROR(INDEX('CAT_TURNOS'!$C$4:$C$22,MATCH($J374,'CAT_TURNOS'!$A$4:$A$22,0)),"")</f>
        <v/>
      </c>
      <c r="P374" s="24">
        <f>IFERROR(INDEX('CAT_TURNOS'!$D$4:$D$22,MATCH($J374,'CAT_TURNOS'!$A$4:$A$22,0)),"")</f>
        <v/>
      </c>
      <c r="Q374" s="24">
        <f>IF(AND(LEFT($G374,1)="T",$H374="no"),"sí","no")</f>
        <v/>
      </c>
    </row>
    <row r="375">
      <c r="A375" s="5" t="inlineStr">
        <is>
          <t>2026-S33</t>
        </is>
      </c>
      <c r="B375" s="5" t="inlineStr">
        <is>
          <t>lunes</t>
        </is>
      </c>
      <c r="C375" s="5" t="inlineStr">
        <is>
          <t>David Torres</t>
        </is>
      </c>
      <c r="D375" s="24">
        <f>IFERROR(INDEX('TECNICOS'!$D$4:$D$19,MATCH($C375,'TECNICOS'!$B$4:$B$19,0)),"")</f>
        <v/>
      </c>
      <c r="E375" s="24">
        <f>IFERROR(INDEX('TECNICOS'!$C$4:$C$19,MATCH($C375,'TECNICOS'!$B$4:$B$19,0)),"")</f>
        <v/>
      </c>
      <c r="F375" s="24">
        <f>COUNTIFS('TECNICOS'!$F$4:$F$19,"sí",'TECNICOS'!$C$4:$C$19,$E375,'TECNICOS'!$D$4:$D$19,$D375,'TECNICOS'!$H$4:$H$19,"sí")</f>
        <v/>
      </c>
      <c r="G375" s="24">
        <f>IF(OR($C375="",$A375="",$B375="domingo",IFERROR(INDEX('TECNICOS'!$H$4:$H$19,MATCH($C375,'TECNICOS'!$B$4:$B$19,0)),"no")&lt;&gt;"sí"),"",IF(IFERROR(INDEX('TECNICOS'!$F$4:$F$19,MATCH($C375,'TECNICOS'!$B$4:$B$19,0)),"no")&lt;&gt;"sí","B",IF(MOD((IFERROR(INDEX('TECNICOS'!$G$4:$G$19,MATCH($C375,'TECNICOS'!$B$4:$B$19,0)),0)-1)+((DATE(VALUE(LEFT($A375,4)),1,4)-WEEKDAY(DATE(VALUE(LEFT($A375,4)),1,4),2)+1+(VALUE(MID($A375,7,2))-1)*7)-p_semana_referencia)/7,$F375)&lt;($F375-3),"B"&amp;(($F375-3)-MOD((IFERROR(INDEX('TECNICOS'!$G$4:$G$19,MATCH($C375,'TECNICOS'!$B$4:$B$19,0)),0)-1)+((DATE(VALUE(LEFT($A375,4)),1,4)-WEEKDAY(DATE(VALUE(LEFT($A375,4)),1,4),2)+1+(VALUE(MID($A375,7,2))-1)*7)-p_semana_referencia)/7,$F375)),"T"&amp;($F375-MOD((IFERROR(INDEX('TECNICOS'!$G$4:$G$19,MATCH($C375,'TECNICOS'!$B$4:$B$19,0)),0)-1)+((DATE(VALUE(LEFT($A375,4)),1,4)-WEEKDAY(DATE(VALUE(LEFT($A375,4)),1,4),2)+1+(VALUE(MID($A375,7,2))-1)*7)-p_semana_referencia)/7,$F375)))))</f>
        <v/>
      </c>
      <c r="H375" s="24">
        <f>IF(COUNTIFS('PLAN_VACACIONES'!$A$4:$A$103,$C375,'PLAN_VACACIONES'!$B$4:$B$103,"&lt;="&amp;$L375,'PLAN_VACACIONES'!$C$4:$C$103,"&gt;="&amp;$L375)&gt;0,"sí","no")</f>
        <v/>
      </c>
      <c r="I375" s="4" t="n"/>
      <c r="J375" s="24">
        <f>IF($I375&lt;&gt;"",$I375,IF($G375="","",IF($H375="sí","VAC",IF(LEFT($G375,1)="B","B",$G375))))</f>
        <v/>
      </c>
      <c r="K375" s="24">
        <f>IFERROR(INDEX('TECNICOS'!$E$4:$E$19,MATCH($C375,'TECNICOS'!$B$4:$B$19,0)),"")</f>
        <v/>
      </c>
      <c r="L375" s="30">
        <f>IF($A375="","",DATE(VALUE(LEFT($A375,4)),1,4)-WEEKDAY(DATE(VALUE(LEFT($A375,4)),1,4),2)+1+(VALUE(MID($A375,7,2))-1)*7+MATCH($B375,lista_dias,0)-1)</f>
        <v/>
      </c>
      <c r="M375" s="24">
        <f>IF(OR($J375="",ISNUMBER(MATCH($J375,lista_no_disponible,0)),(IFERROR(INDEX('CALENDARIO'!$C$15:$C$214,MATCH(TEXT($L375,"yyyy-mm-dd")&amp;"|"&amp;$D375&amp;"|"&amp;"",'CALENDARIO'!$G$15:$G$214,0)),IFERROR(INDEX('CALENDARIO'!$C$15:$C$214,MATCH(TEXT($L375,"yyyy-mm-dd")&amp;"|"&amp;$D375&amp;"|",'CALENDARIO'!$G$15:$G$214,0)),IFERROR(INDEX('CALENDARIO'!$C$15:$C$214,MATCH(TEXT($L375,"yyyy-mm-dd")&amp;"||",'CALENDARIO'!$G$15:$G$214,0)),INDEX(patronHabil,WEEKDAY($L375,2))))))&lt;&gt;"sí"),0,p_horas_jornada)</f>
        <v/>
      </c>
      <c r="N375" s="24">
        <f>$A375&amp;"|"&amp;$B375&amp;"|"&amp;$C375</f>
        <v/>
      </c>
      <c r="O375" s="24">
        <f>IFERROR(INDEX('CAT_TURNOS'!$C$4:$C$22,MATCH($J375,'CAT_TURNOS'!$A$4:$A$22,0)),"")</f>
        <v/>
      </c>
      <c r="P375" s="24">
        <f>IFERROR(INDEX('CAT_TURNOS'!$D$4:$D$22,MATCH($J375,'CAT_TURNOS'!$A$4:$A$22,0)),"")</f>
        <v/>
      </c>
      <c r="Q375" s="24">
        <f>IF(AND(LEFT($G375,1)="T",$H375="no"),"sí","no")</f>
        <v/>
      </c>
    </row>
    <row r="376">
      <c r="A376" s="5" t="inlineStr">
        <is>
          <t>2026-S33</t>
        </is>
      </c>
      <c r="B376" s="5" t="inlineStr">
        <is>
          <t>martes</t>
        </is>
      </c>
      <c r="C376" s="5" t="inlineStr">
        <is>
          <t>David Torres</t>
        </is>
      </c>
      <c r="D376" s="24">
        <f>IFERROR(INDEX('TECNICOS'!$D$4:$D$19,MATCH($C376,'TECNICOS'!$B$4:$B$19,0)),"")</f>
        <v/>
      </c>
      <c r="E376" s="24">
        <f>IFERROR(INDEX('TECNICOS'!$C$4:$C$19,MATCH($C376,'TECNICOS'!$B$4:$B$19,0)),"")</f>
        <v/>
      </c>
      <c r="F376" s="24">
        <f>COUNTIFS('TECNICOS'!$F$4:$F$19,"sí",'TECNICOS'!$C$4:$C$19,$E376,'TECNICOS'!$D$4:$D$19,$D376,'TECNICOS'!$H$4:$H$19,"sí")</f>
        <v/>
      </c>
      <c r="G376" s="24">
        <f>IF(OR($C376="",$A376="",$B376="domingo",IFERROR(INDEX('TECNICOS'!$H$4:$H$19,MATCH($C376,'TECNICOS'!$B$4:$B$19,0)),"no")&lt;&gt;"sí"),"",IF(IFERROR(INDEX('TECNICOS'!$F$4:$F$19,MATCH($C376,'TECNICOS'!$B$4:$B$19,0)),"no")&lt;&gt;"sí","B",IF(MOD((IFERROR(INDEX('TECNICOS'!$G$4:$G$19,MATCH($C376,'TECNICOS'!$B$4:$B$19,0)),0)-1)+((DATE(VALUE(LEFT($A376,4)),1,4)-WEEKDAY(DATE(VALUE(LEFT($A376,4)),1,4),2)+1+(VALUE(MID($A376,7,2))-1)*7)-p_semana_referencia)/7,$F376)&lt;($F376-3),"B"&amp;(($F376-3)-MOD((IFERROR(INDEX('TECNICOS'!$G$4:$G$19,MATCH($C376,'TECNICOS'!$B$4:$B$19,0)),0)-1)+((DATE(VALUE(LEFT($A376,4)),1,4)-WEEKDAY(DATE(VALUE(LEFT($A376,4)),1,4),2)+1+(VALUE(MID($A376,7,2))-1)*7)-p_semana_referencia)/7,$F376)),"T"&amp;($F376-MOD((IFERROR(INDEX('TECNICOS'!$G$4:$G$19,MATCH($C376,'TECNICOS'!$B$4:$B$19,0)),0)-1)+((DATE(VALUE(LEFT($A376,4)),1,4)-WEEKDAY(DATE(VALUE(LEFT($A376,4)),1,4),2)+1+(VALUE(MID($A376,7,2))-1)*7)-p_semana_referencia)/7,$F376)))))</f>
        <v/>
      </c>
      <c r="H376" s="24">
        <f>IF(COUNTIFS('PLAN_VACACIONES'!$A$4:$A$103,$C376,'PLAN_VACACIONES'!$B$4:$B$103,"&lt;="&amp;$L376,'PLAN_VACACIONES'!$C$4:$C$103,"&gt;="&amp;$L376)&gt;0,"sí","no")</f>
        <v/>
      </c>
      <c r="I376" s="4" t="n"/>
      <c r="J376" s="24">
        <f>IF($I376&lt;&gt;"",$I376,IF($G376="","",IF($H376="sí","VAC",IF(LEFT($G376,1)="B","B",$G376))))</f>
        <v/>
      </c>
      <c r="K376" s="24">
        <f>IFERROR(INDEX('TECNICOS'!$E$4:$E$19,MATCH($C376,'TECNICOS'!$B$4:$B$19,0)),"")</f>
        <v/>
      </c>
      <c r="L376" s="30">
        <f>IF($A376="","",DATE(VALUE(LEFT($A376,4)),1,4)-WEEKDAY(DATE(VALUE(LEFT($A376,4)),1,4),2)+1+(VALUE(MID($A376,7,2))-1)*7+MATCH($B376,lista_dias,0)-1)</f>
        <v/>
      </c>
      <c r="M376" s="24">
        <f>IF(OR($J376="",ISNUMBER(MATCH($J376,lista_no_disponible,0)),(IFERROR(INDEX('CALENDARIO'!$C$15:$C$214,MATCH(TEXT($L376,"yyyy-mm-dd")&amp;"|"&amp;$D376&amp;"|"&amp;"",'CALENDARIO'!$G$15:$G$214,0)),IFERROR(INDEX('CALENDARIO'!$C$15:$C$214,MATCH(TEXT($L376,"yyyy-mm-dd")&amp;"|"&amp;$D376&amp;"|",'CALENDARIO'!$G$15:$G$214,0)),IFERROR(INDEX('CALENDARIO'!$C$15:$C$214,MATCH(TEXT($L376,"yyyy-mm-dd")&amp;"||",'CALENDARIO'!$G$15:$G$214,0)),INDEX(patronHabil,WEEKDAY($L376,2))))))&lt;&gt;"sí"),0,p_horas_jornada)</f>
        <v/>
      </c>
      <c r="N376" s="24">
        <f>$A376&amp;"|"&amp;$B376&amp;"|"&amp;$C376</f>
        <v/>
      </c>
      <c r="O376" s="24">
        <f>IFERROR(INDEX('CAT_TURNOS'!$C$4:$C$22,MATCH($J376,'CAT_TURNOS'!$A$4:$A$22,0)),"")</f>
        <v/>
      </c>
      <c r="P376" s="24">
        <f>IFERROR(INDEX('CAT_TURNOS'!$D$4:$D$22,MATCH($J376,'CAT_TURNOS'!$A$4:$A$22,0)),"")</f>
        <v/>
      </c>
      <c r="Q376" s="24">
        <f>IF(AND(LEFT($G376,1)="T",$H376="no"),"sí","no")</f>
        <v/>
      </c>
    </row>
    <row r="377">
      <c r="A377" s="5" t="inlineStr">
        <is>
          <t>2026-S33</t>
        </is>
      </c>
      <c r="B377" s="5" t="inlineStr">
        <is>
          <t>miércoles</t>
        </is>
      </c>
      <c r="C377" s="5" t="inlineStr">
        <is>
          <t>David Torres</t>
        </is>
      </c>
      <c r="D377" s="24">
        <f>IFERROR(INDEX('TECNICOS'!$D$4:$D$19,MATCH($C377,'TECNICOS'!$B$4:$B$19,0)),"")</f>
        <v/>
      </c>
      <c r="E377" s="24">
        <f>IFERROR(INDEX('TECNICOS'!$C$4:$C$19,MATCH($C377,'TECNICOS'!$B$4:$B$19,0)),"")</f>
        <v/>
      </c>
      <c r="F377" s="24">
        <f>COUNTIFS('TECNICOS'!$F$4:$F$19,"sí",'TECNICOS'!$C$4:$C$19,$E377,'TECNICOS'!$D$4:$D$19,$D377,'TECNICOS'!$H$4:$H$19,"sí")</f>
        <v/>
      </c>
      <c r="G377" s="24">
        <f>IF(OR($C377="",$A377="",$B377="domingo",IFERROR(INDEX('TECNICOS'!$H$4:$H$19,MATCH($C377,'TECNICOS'!$B$4:$B$19,0)),"no")&lt;&gt;"sí"),"",IF(IFERROR(INDEX('TECNICOS'!$F$4:$F$19,MATCH($C377,'TECNICOS'!$B$4:$B$19,0)),"no")&lt;&gt;"sí","B",IF(MOD((IFERROR(INDEX('TECNICOS'!$G$4:$G$19,MATCH($C377,'TECNICOS'!$B$4:$B$19,0)),0)-1)+((DATE(VALUE(LEFT($A377,4)),1,4)-WEEKDAY(DATE(VALUE(LEFT($A377,4)),1,4),2)+1+(VALUE(MID($A377,7,2))-1)*7)-p_semana_referencia)/7,$F377)&lt;($F377-3),"B"&amp;(($F377-3)-MOD((IFERROR(INDEX('TECNICOS'!$G$4:$G$19,MATCH($C377,'TECNICOS'!$B$4:$B$19,0)),0)-1)+((DATE(VALUE(LEFT($A377,4)),1,4)-WEEKDAY(DATE(VALUE(LEFT($A377,4)),1,4),2)+1+(VALUE(MID($A377,7,2))-1)*7)-p_semana_referencia)/7,$F377)),"T"&amp;($F377-MOD((IFERROR(INDEX('TECNICOS'!$G$4:$G$19,MATCH($C377,'TECNICOS'!$B$4:$B$19,0)),0)-1)+((DATE(VALUE(LEFT($A377,4)),1,4)-WEEKDAY(DATE(VALUE(LEFT($A377,4)),1,4),2)+1+(VALUE(MID($A377,7,2))-1)*7)-p_semana_referencia)/7,$F377)))))</f>
        <v/>
      </c>
      <c r="H377" s="24">
        <f>IF(COUNTIFS('PLAN_VACACIONES'!$A$4:$A$103,$C377,'PLAN_VACACIONES'!$B$4:$B$103,"&lt;="&amp;$L377,'PLAN_VACACIONES'!$C$4:$C$103,"&gt;="&amp;$L377)&gt;0,"sí","no")</f>
        <v/>
      </c>
      <c r="I377" s="4" t="n"/>
      <c r="J377" s="24">
        <f>IF($I377&lt;&gt;"",$I377,IF($G377="","",IF($H377="sí","VAC",IF(LEFT($G377,1)="B","B",$G377))))</f>
        <v/>
      </c>
      <c r="K377" s="24">
        <f>IFERROR(INDEX('TECNICOS'!$E$4:$E$19,MATCH($C377,'TECNICOS'!$B$4:$B$19,0)),"")</f>
        <v/>
      </c>
      <c r="L377" s="30">
        <f>IF($A377="","",DATE(VALUE(LEFT($A377,4)),1,4)-WEEKDAY(DATE(VALUE(LEFT($A377,4)),1,4),2)+1+(VALUE(MID($A377,7,2))-1)*7+MATCH($B377,lista_dias,0)-1)</f>
        <v/>
      </c>
      <c r="M377" s="24">
        <f>IF(OR($J377="",ISNUMBER(MATCH($J377,lista_no_disponible,0)),(IFERROR(INDEX('CALENDARIO'!$C$15:$C$214,MATCH(TEXT($L377,"yyyy-mm-dd")&amp;"|"&amp;$D377&amp;"|"&amp;"",'CALENDARIO'!$G$15:$G$214,0)),IFERROR(INDEX('CALENDARIO'!$C$15:$C$214,MATCH(TEXT($L377,"yyyy-mm-dd")&amp;"|"&amp;$D377&amp;"|",'CALENDARIO'!$G$15:$G$214,0)),IFERROR(INDEX('CALENDARIO'!$C$15:$C$214,MATCH(TEXT($L377,"yyyy-mm-dd")&amp;"||",'CALENDARIO'!$G$15:$G$214,0)),INDEX(patronHabil,WEEKDAY($L377,2))))))&lt;&gt;"sí"),0,p_horas_jornada)</f>
        <v/>
      </c>
      <c r="N377" s="24">
        <f>$A377&amp;"|"&amp;$B377&amp;"|"&amp;$C377</f>
        <v/>
      </c>
      <c r="O377" s="24">
        <f>IFERROR(INDEX('CAT_TURNOS'!$C$4:$C$22,MATCH($J377,'CAT_TURNOS'!$A$4:$A$22,0)),"")</f>
        <v/>
      </c>
      <c r="P377" s="24">
        <f>IFERROR(INDEX('CAT_TURNOS'!$D$4:$D$22,MATCH($J377,'CAT_TURNOS'!$A$4:$A$22,0)),"")</f>
        <v/>
      </c>
      <c r="Q377" s="24">
        <f>IF(AND(LEFT($G377,1)="T",$H377="no"),"sí","no")</f>
        <v/>
      </c>
    </row>
    <row r="378">
      <c r="A378" s="5" t="inlineStr">
        <is>
          <t>2026-S33</t>
        </is>
      </c>
      <c r="B378" s="5" t="inlineStr">
        <is>
          <t>jueves</t>
        </is>
      </c>
      <c r="C378" s="5" t="inlineStr">
        <is>
          <t>David Torres</t>
        </is>
      </c>
      <c r="D378" s="24">
        <f>IFERROR(INDEX('TECNICOS'!$D$4:$D$19,MATCH($C378,'TECNICOS'!$B$4:$B$19,0)),"")</f>
        <v/>
      </c>
      <c r="E378" s="24">
        <f>IFERROR(INDEX('TECNICOS'!$C$4:$C$19,MATCH($C378,'TECNICOS'!$B$4:$B$19,0)),"")</f>
        <v/>
      </c>
      <c r="F378" s="24">
        <f>COUNTIFS('TECNICOS'!$F$4:$F$19,"sí",'TECNICOS'!$C$4:$C$19,$E378,'TECNICOS'!$D$4:$D$19,$D378,'TECNICOS'!$H$4:$H$19,"sí")</f>
        <v/>
      </c>
      <c r="G378" s="24">
        <f>IF(OR($C378="",$A378="",$B378="domingo",IFERROR(INDEX('TECNICOS'!$H$4:$H$19,MATCH($C378,'TECNICOS'!$B$4:$B$19,0)),"no")&lt;&gt;"sí"),"",IF(IFERROR(INDEX('TECNICOS'!$F$4:$F$19,MATCH($C378,'TECNICOS'!$B$4:$B$19,0)),"no")&lt;&gt;"sí","B",IF(MOD((IFERROR(INDEX('TECNICOS'!$G$4:$G$19,MATCH($C378,'TECNICOS'!$B$4:$B$19,0)),0)-1)+((DATE(VALUE(LEFT($A378,4)),1,4)-WEEKDAY(DATE(VALUE(LEFT($A378,4)),1,4),2)+1+(VALUE(MID($A378,7,2))-1)*7)-p_semana_referencia)/7,$F378)&lt;($F378-3),"B"&amp;(($F378-3)-MOD((IFERROR(INDEX('TECNICOS'!$G$4:$G$19,MATCH($C378,'TECNICOS'!$B$4:$B$19,0)),0)-1)+((DATE(VALUE(LEFT($A378,4)),1,4)-WEEKDAY(DATE(VALUE(LEFT($A378,4)),1,4),2)+1+(VALUE(MID($A378,7,2))-1)*7)-p_semana_referencia)/7,$F378)),"T"&amp;($F378-MOD((IFERROR(INDEX('TECNICOS'!$G$4:$G$19,MATCH($C378,'TECNICOS'!$B$4:$B$19,0)),0)-1)+((DATE(VALUE(LEFT($A378,4)),1,4)-WEEKDAY(DATE(VALUE(LEFT($A378,4)),1,4),2)+1+(VALUE(MID($A378,7,2))-1)*7)-p_semana_referencia)/7,$F378)))))</f>
        <v/>
      </c>
      <c r="H378" s="24">
        <f>IF(COUNTIFS('PLAN_VACACIONES'!$A$4:$A$103,$C378,'PLAN_VACACIONES'!$B$4:$B$103,"&lt;="&amp;$L378,'PLAN_VACACIONES'!$C$4:$C$103,"&gt;="&amp;$L378)&gt;0,"sí","no")</f>
        <v/>
      </c>
      <c r="I378" s="4" t="n"/>
      <c r="J378" s="24">
        <f>IF($I378&lt;&gt;"",$I378,IF($G378="","",IF($H378="sí","VAC",IF(LEFT($G378,1)="B","B",$G378))))</f>
        <v/>
      </c>
      <c r="K378" s="24">
        <f>IFERROR(INDEX('TECNICOS'!$E$4:$E$19,MATCH($C378,'TECNICOS'!$B$4:$B$19,0)),"")</f>
        <v/>
      </c>
      <c r="L378" s="30">
        <f>IF($A378="","",DATE(VALUE(LEFT($A378,4)),1,4)-WEEKDAY(DATE(VALUE(LEFT($A378,4)),1,4),2)+1+(VALUE(MID($A378,7,2))-1)*7+MATCH($B378,lista_dias,0)-1)</f>
        <v/>
      </c>
      <c r="M378" s="24">
        <f>IF(OR($J378="",ISNUMBER(MATCH($J378,lista_no_disponible,0)),(IFERROR(INDEX('CALENDARIO'!$C$15:$C$214,MATCH(TEXT($L378,"yyyy-mm-dd")&amp;"|"&amp;$D378&amp;"|"&amp;"",'CALENDARIO'!$G$15:$G$214,0)),IFERROR(INDEX('CALENDARIO'!$C$15:$C$214,MATCH(TEXT($L378,"yyyy-mm-dd")&amp;"|"&amp;$D378&amp;"|",'CALENDARIO'!$G$15:$G$214,0)),IFERROR(INDEX('CALENDARIO'!$C$15:$C$214,MATCH(TEXT($L378,"yyyy-mm-dd")&amp;"||",'CALENDARIO'!$G$15:$G$214,0)),INDEX(patronHabil,WEEKDAY($L378,2))))))&lt;&gt;"sí"),0,p_horas_jornada)</f>
        <v/>
      </c>
      <c r="N378" s="24">
        <f>$A378&amp;"|"&amp;$B378&amp;"|"&amp;$C378</f>
        <v/>
      </c>
      <c r="O378" s="24">
        <f>IFERROR(INDEX('CAT_TURNOS'!$C$4:$C$22,MATCH($J378,'CAT_TURNOS'!$A$4:$A$22,0)),"")</f>
        <v/>
      </c>
      <c r="P378" s="24">
        <f>IFERROR(INDEX('CAT_TURNOS'!$D$4:$D$22,MATCH($J378,'CAT_TURNOS'!$A$4:$A$22,0)),"")</f>
        <v/>
      </c>
      <c r="Q378" s="24">
        <f>IF(AND(LEFT($G378,1)="T",$H378="no"),"sí","no")</f>
        <v/>
      </c>
    </row>
    <row r="379">
      <c r="A379" s="5" t="inlineStr">
        <is>
          <t>2026-S33</t>
        </is>
      </c>
      <c r="B379" s="5" t="inlineStr">
        <is>
          <t>viernes</t>
        </is>
      </c>
      <c r="C379" s="5" t="inlineStr">
        <is>
          <t>David Torres</t>
        </is>
      </c>
      <c r="D379" s="24">
        <f>IFERROR(INDEX('TECNICOS'!$D$4:$D$19,MATCH($C379,'TECNICOS'!$B$4:$B$19,0)),"")</f>
        <v/>
      </c>
      <c r="E379" s="24">
        <f>IFERROR(INDEX('TECNICOS'!$C$4:$C$19,MATCH($C379,'TECNICOS'!$B$4:$B$19,0)),"")</f>
        <v/>
      </c>
      <c r="F379" s="24">
        <f>COUNTIFS('TECNICOS'!$F$4:$F$19,"sí",'TECNICOS'!$C$4:$C$19,$E379,'TECNICOS'!$D$4:$D$19,$D379,'TECNICOS'!$H$4:$H$19,"sí")</f>
        <v/>
      </c>
      <c r="G379" s="24">
        <f>IF(OR($C379="",$A379="",$B379="domingo",IFERROR(INDEX('TECNICOS'!$H$4:$H$19,MATCH($C379,'TECNICOS'!$B$4:$B$19,0)),"no")&lt;&gt;"sí"),"",IF(IFERROR(INDEX('TECNICOS'!$F$4:$F$19,MATCH($C379,'TECNICOS'!$B$4:$B$19,0)),"no")&lt;&gt;"sí","B",IF(MOD((IFERROR(INDEX('TECNICOS'!$G$4:$G$19,MATCH($C379,'TECNICOS'!$B$4:$B$19,0)),0)-1)+((DATE(VALUE(LEFT($A379,4)),1,4)-WEEKDAY(DATE(VALUE(LEFT($A379,4)),1,4),2)+1+(VALUE(MID($A379,7,2))-1)*7)-p_semana_referencia)/7,$F379)&lt;($F379-3),"B"&amp;(($F379-3)-MOD((IFERROR(INDEX('TECNICOS'!$G$4:$G$19,MATCH($C379,'TECNICOS'!$B$4:$B$19,0)),0)-1)+((DATE(VALUE(LEFT($A379,4)),1,4)-WEEKDAY(DATE(VALUE(LEFT($A379,4)),1,4),2)+1+(VALUE(MID($A379,7,2))-1)*7)-p_semana_referencia)/7,$F379)),"T"&amp;($F379-MOD((IFERROR(INDEX('TECNICOS'!$G$4:$G$19,MATCH($C379,'TECNICOS'!$B$4:$B$19,0)),0)-1)+((DATE(VALUE(LEFT($A379,4)),1,4)-WEEKDAY(DATE(VALUE(LEFT($A379,4)),1,4),2)+1+(VALUE(MID($A379,7,2))-1)*7)-p_semana_referencia)/7,$F379)))))</f>
        <v/>
      </c>
      <c r="H379" s="24">
        <f>IF(COUNTIFS('PLAN_VACACIONES'!$A$4:$A$103,$C379,'PLAN_VACACIONES'!$B$4:$B$103,"&lt;="&amp;$L379,'PLAN_VACACIONES'!$C$4:$C$103,"&gt;="&amp;$L379)&gt;0,"sí","no")</f>
        <v/>
      </c>
      <c r="I379" s="4" t="n"/>
      <c r="J379" s="24">
        <f>IF($I379&lt;&gt;"",$I379,IF($G379="","",IF($H379="sí","VAC",IF(LEFT($G379,1)="B","B",$G379))))</f>
        <v/>
      </c>
      <c r="K379" s="24">
        <f>IFERROR(INDEX('TECNICOS'!$E$4:$E$19,MATCH($C379,'TECNICOS'!$B$4:$B$19,0)),"")</f>
        <v/>
      </c>
      <c r="L379" s="30">
        <f>IF($A379="","",DATE(VALUE(LEFT($A379,4)),1,4)-WEEKDAY(DATE(VALUE(LEFT($A379,4)),1,4),2)+1+(VALUE(MID($A379,7,2))-1)*7+MATCH($B379,lista_dias,0)-1)</f>
        <v/>
      </c>
      <c r="M379" s="24">
        <f>IF(OR($J379="",ISNUMBER(MATCH($J379,lista_no_disponible,0)),(IFERROR(INDEX('CALENDARIO'!$C$15:$C$214,MATCH(TEXT($L379,"yyyy-mm-dd")&amp;"|"&amp;$D379&amp;"|"&amp;"",'CALENDARIO'!$G$15:$G$214,0)),IFERROR(INDEX('CALENDARIO'!$C$15:$C$214,MATCH(TEXT($L379,"yyyy-mm-dd")&amp;"|"&amp;$D379&amp;"|",'CALENDARIO'!$G$15:$G$214,0)),IFERROR(INDEX('CALENDARIO'!$C$15:$C$214,MATCH(TEXT($L379,"yyyy-mm-dd")&amp;"||",'CALENDARIO'!$G$15:$G$214,0)),INDEX(patronHabil,WEEKDAY($L379,2))))))&lt;&gt;"sí"),0,p_horas_jornada)</f>
        <v/>
      </c>
      <c r="N379" s="24">
        <f>$A379&amp;"|"&amp;$B379&amp;"|"&amp;$C379</f>
        <v/>
      </c>
      <c r="O379" s="24">
        <f>IFERROR(INDEX('CAT_TURNOS'!$C$4:$C$22,MATCH($J379,'CAT_TURNOS'!$A$4:$A$22,0)),"")</f>
        <v/>
      </c>
      <c r="P379" s="24">
        <f>IFERROR(INDEX('CAT_TURNOS'!$D$4:$D$22,MATCH($J379,'CAT_TURNOS'!$A$4:$A$22,0)),"")</f>
        <v/>
      </c>
      <c r="Q379" s="24">
        <f>IF(AND(LEFT($G379,1)="T",$H379="no"),"sí","no")</f>
        <v/>
      </c>
    </row>
    <row r="380">
      <c r="A380" s="5" t="inlineStr">
        <is>
          <t>2026-S33</t>
        </is>
      </c>
      <c r="B380" s="5" t="inlineStr">
        <is>
          <t>sábado</t>
        </is>
      </c>
      <c r="C380" s="5" t="inlineStr">
        <is>
          <t>David Torres</t>
        </is>
      </c>
      <c r="D380" s="24">
        <f>IFERROR(INDEX('TECNICOS'!$D$4:$D$19,MATCH($C380,'TECNICOS'!$B$4:$B$19,0)),"")</f>
        <v/>
      </c>
      <c r="E380" s="24">
        <f>IFERROR(INDEX('TECNICOS'!$C$4:$C$19,MATCH($C380,'TECNICOS'!$B$4:$B$19,0)),"")</f>
        <v/>
      </c>
      <c r="F380" s="24">
        <f>COUNTIFS('TECNICOS'!$F$4:$F$19,"sí",'TECNICOS'!$C$4:$C$19,$E380,'TECNICOS'!$D$4:$D$19,$D380,'TECNICOS'!$H$4:$H$19,"sí")</f>
        <v/>
      </c>
      <c r="G380" s="24">
        <f>IF(OR($C380="",$A380="",$B380="domingo",IFERROR(INDEX('TECNICOS'!$H$4:$H$19,MATCH($C380,'TECNICOS'!$B$4:$B$19,0)),"no")&lt;&gt;"sí"),"",IF(IFERROR(INDEX('TECNICOS'!$F$4:$F$19,MATCH($C380,'TECNICOS'!$B$4:$B$19,0)),"no")&lt;&gt;"sí","B",IF(MOD((IFERROR(INDEX('TECNICOS'!$G$4:$G$19,MATCH($C380,'TECNICOS'!$B$4:$B$19,0)),0)-1)+((DATE(VALUE(LEFT($A380,4)),1,4)-WEEKDAY(DATE(VALUE(LEFT($A380,4)),1,4),2)+1+(VALUE(MID($A380,7,2))-1)*7)-p_semana_referencia)/7,$F380)&lt;($F380-3),"B"&amp;(($F380-3)-MOD((IFERROR(INDEX('TECNICOS'!$G$4:$G$19,MATCH($C380,'TECNICOS'!$B$4:$B$19,0)),0)-1)+((DATE(VALUE(LEFT($A380,4)),1,4)-WEEKDAY(DATE(VALUE(LEFT($A380,4)),1,4),2)+1+(VALUE(MID($A380,7,2))-1)*7)-p_semana_referencia)/7,$F380)),"T"&amp;($F380-MOD((IFERROR(INDEX('TECNICOS'!$G$4:$G$19,MATCH($C380,'TECNICOS'!$B$4:$B$19,0)),0)-1)+((DATE(VALUE(LEFT($A380,4)),1,4)-WEEKDAY(DATE(VALUE(LEFT($A380,4)),1,4),2)+1+(VALUE(MID($A380,7,2))-1)*7)-p_semana_referencia)/7,$F380)))))</f>
        <v/>
      </c>
      <c r="H380" s="24">
        <f>IF(COUNTIFS('PLAN_VACACIONES'!$A$4:$A$103,$C380,'PLAN_VACACIONES'!$B$4:$B$103,"&lt;="&amp;$L380,'PLAN_VACACIONES'!$C$4:$C$103,"&gt;="&amp;$L380)&gt;0,"sí","no")</f>
        <v/>
      </c>
      <c r="I380" s="4" t="n"/>
      <c r="J380" s="24">
        <f>IF($I380&lt;&gt;"",$I380,IF($G380="","",IF($H380="sí","VAC",IF(LEFT($G380,1)="B","B",$G380))))</f>
        <v/>
      </c>
      <c r="K380" s="24">
        <f>IFERROR(INDEX('TECNICOS'!$E$4:$E$19,MATCH($C380,'TECNICOS'!$B$4:$B$19,0)),"")</f>
        <v/>
      </c>
      <c r="L380" s="30">
        <f>IF($A380="","",DATE(VALUE(LEFT($A380,4)),1,4)-WEEKDAY(DATE(VALUE(LEFT($A380,4)),1,4),2)+1+(VALUE(MID($A380,7,2))-1)*7+MATCH($B380,lista_dias,0)-1)</f>
        <v/>
      </c>
      <c r="M380" s="24">
        <f>IF(OR($J380="",ISNUMBER(MATCH($J380,lista_no_disponible,0)),(IFERROR(INDEX('CALENDARIO'!$C$15:$C$214,MATCH(TEXT($L380,"yyyy-mm-dd")&amp;"|"&amp;$D380&amp;"|"&amp;"",'CALENDARIO'!$G$15:$G$214,0)),IFERROR(INDEX('CALENDARIO'!$C$15:$C$214,MATCH(TEXT($L380,"yyyy-mm-dd")&amp;"|"&amp;$D380&amp;"|",'CALENDARIO'!$G$15:$G$214,0)),IFERROR(INDEX('CALENDARIO'!$C$15:$C$214,MATCH(TEXT($L380,"yyyy-mm-dd")&amp;"||",'CALENDARIO'!$G$15:$G$214,0)),INDEX(patronHabil,WEEKDAY($L380,2))))))&lt;&gt;"sí"),0,p_horas_jornada)</f>
        <v/>
      </c>
      <c r="N380" s="24">
        <f>$A380&amp;"|"&amp;$B380&amp;"|"&amp;$C380</f>
        <v/>
      </c>
      <c r="O380" s="24">
        <f>IFERROR(INDEX('CAT_TURNOS'!$C$4:$C$22,MATCH($J380,'CAT_TURNOS'!$A$4:$A$22,0)),"")</f>
        <v/>
      </c>
      <c r="P380" s="24">
        <f>IFERROR(INDEX('CAT_TURNOS'!$D$4:$D$22,MATCH($J380,'CAT_TURNOS'!$A$4:$A$22,0)),"")</f>
        <v/>
      </c>
      <c r="Q380" s="24">
        <f>IF(AND(LEFT($G380,1)="T",$H380="no"),"sí","no")</f>
        <v/>
      </c>
    </row>
    <row r="381">
      <c r="A381" s="5" t="inlineStr">
        <is>
          <t>2026-S33</t>
        </is>
      </c>
      <c r="B381" s="5" t="inlineStr">
        <is>
          <t>domingo</t>
        </is>
      </c>
      <c r="C381" s="5" t="inlineStr">
        <is>
          <t>David Torres</t>
        </is>
      </c>
      <c r="D381" s="24">
        <f>IFERROR(INDEX('TECNICOS'!$D$4:$D$19,MATCH($C381,'TECNICOS'!$B$4:$B$19,0)),"")</f>
        <v/>
      </c>
      <c r="E381" s="24">
        <f>IFERROR(INDEX('TECNICOS'!$C$4:$C$19,MATCH($C381,'TECNICOS'!$B$4:$B$19,0)),"")</f>
        <v/>
      </c>
      <c r="F381" s="24">
        <f>COUNTIFS('TECNICOS'!$F$4:$F$19,"sí",'TECNICOS'!$C$4:$C$19,$E381,'TECNICOS'!$D$4:$D$19,$D381,'TECNICOS'!$H$4:$H$19,"sí")</f>
        <v/>
      </c>
      <c r="G381" s="24">
        <f>IF(OR($C381="",$A381="",$B381="domingo",IFERROR(INDEX('TECNICOS'!$H$4:$H$19,MATCH($C381,'TECNICOS'!$B$4:$B$19,0)),"no")&lt;&gt;"sí"),"",IF(IFERROR(INDEX('TECNICOS'!$F$4:$F$19,MATCH($C381,'TECNICOS'!$B$4:$B$19,0)),"no")&lt;&gt;"sí","B",IF(MOD((IFERROR(INDEX('TECNICOS'!$G$4:$G$19,MATCH($C381,'TECNICOS'!$B$4:$B$19,0)),0)-1)+((DATE(VALUE(LEFT($A381,4)),1,4)-WEEKDAY(DATE(VALUE(LEFT($A381,4)),1,4),2)+1+(VALUE(MID($A381,7,2))-1)*7)-p_semana_referencia)/7,$F381)&lt;($F381-3),"B"&amp;(($F381-3)-MOD((IFERROR(INDEX('TECNICOS'!$G$4:$G$19,MATCH($C381,'TECNICOS'!$B$4:$B$19,0)),0)-1)+((DATE(VALUE(LEFT($A381,4)),1,4)-WEEKDAY(DATE(VALUE(LEFT($A381,4)),1,4),2)+1+(VALUE(MID($A381,7,2))-1)*7)-p_semana_referencia)/7,$F381)),"T"&amp;($F381-MOD((IFERROR(INDEX('TECNICOS'!$G$4:$G$19,MATCH($C381,'TECNICOS'!$B$4:$B$19,0)),0)-1)+((DATE(VALUE(LEFT($A381,4)),1,4)-WEEKDAY(DATE(VALUE(LEFT($A381,4)),1,4),2)+1+(VALUE(MID($A381,7,2))-1)*7)-p_semana_referencia)/7,$F381)))))</f>
        <v/>
      </c>
      <c r="H381" s="24">
        <f>IF(COUNTIFS('PLAN_VACACIONES'!$A$4:$A$103,$C381,'PLAN_VACACIONES'!$B$4:$B$103,"&lt;="&amp;$L381,'PLAN_VACACIONES'!$C$4:$C$103,"&gt;="&amp;$L381)&gt;0,"sí","no")</f>
        <v/>
      </c>
      <c r="I381" s="4" t="n"/>
      <c r="J381" s="24">
        <f>IF($I381&lt;&gt;"",$I381,IF($G381="","",IF($H381="sí","VAC",IF(LEFT($G381,1)="B","B",$G381))))</f>
        <v/>
      </c>
      <c r="K381" s="24">
        <f>IFERROR(INDEX('TECNICOS'!$E$4:$E$19,MATCH($C381,'TECNICOS'!$B$4:$B$19,0)),"")</f>
        <v/>
      </c>
      <c r="L381" s="30">
        <f>IF($A381="","",DATE(VALUE(LEFT($A381,4)),1,4)-WEEKDAY(DATE(VALUE(LEFT($A381,4)),1,4),2)+1+(VALUE(MID($A381,7,2))-1)*7+MATCH($B381,lista_dias,0)-1)</f>
        <v/>
      </c>
      <c r="M381" s="24">
        <f>IF(OR($J381="",ISNUMBER(MATCH($J381,lista_no_disponible,0)),(IFERROR(INDEX('CALENDARIO'!$C$15:$C$214,MATCH(TEXT($L381,"yyyy-mm-dd")&amp;"|"&amp;$D381&amp;"|"&amp;"",'CALENDARIO'!$G$15:$G$214,0)),IFERROR(INDEX('CALENDARIO'!$C$15:$C$214,MATCH(TEXT($L381,"yyyy-mm-dd")&amp;"|"&amp;$D381&amp;"|",'CALENDARIO'!$G$15:$G$214,0)),IFERROR(INDEX('CALENDARIO'!$C$15:$C$214,MATCH(TEXT($L381,"yyyy-mm-dd")&amp;"||",'CALENDARIO'!$G$15:$G$214,0)),INDEX(patronHabil,WEEKDAY($L381,2))))))&lt;&gt;"sí"),0,p_horas_jornada)</f>
        <v/>
      </c>
      <c r="N381" s="24">
        <f>$A381&amp;"|"&amp;$B381&amp;"|"&amp;$C381</f>
        <v/>
      </c>
      <c r="O381" s="24">
        <f>IFERROR(INDEX('CAT_TURNOS'!$C$4:$C$22,MATCH($J381,'CAT_TURNOS'!$A$4:$A$22,0)),"")</f>
        <v/>
      </c>
      <c r="P381" s="24">
        <f>IFERROR(INDEX('CAT_TURNOS'!$D$4:$D$22,MATCH($J381,'CAT_TURNOS'!$A$4:$A$22,0)),"")</f>
        <v/>
      </c>
      <c r="Q381" s="24">
        <f>IF(AND(LEFT($G381,1)="T",$H381="no"),"sí","no")</f>
        <v/>
      </c>
    </row>
    <row r="382">
      <c r="A382" s="5" t="inlineStr">
        <is>
          <t>2026-S33</t>
        </is>
      </c>
      <c r="B382" s="5" t="inlineStr">
        <is>
          <t>lunes</t>
        </is>
      </c>
      <c r="C382" s="5" t="inlineStr">
        <is>
          <t>Francisco Ramírez</t>
        </is>
      </c>
      <c r="D382" s="24">
        <f>IFERROR(INDEX('TECNICOS'!$D$4:$D$19,MATCH($C382,'TECNICOS'!$B$4:$B$19,0)),"")</f>
        <v/>
      </c>
      <c r="E382" s="24">
        <f>IFERROR(INDEX('TECNICOS'!$C$4:$C$19,MATCH($C382,'TECNICOS'!$B$4:$B$19,0)),"")</f>
        <v/>
      </c>
      <c r="F382" s="24">
        <f>COUNTIFS('TECNICOS'!$F$4:$F$19,"sí",'TECNICOS'!$C$4:$C$19,$E382,'TECNICOS'!$D$4:$D$19,$D382,'TECNICOS'!$H$4:$H$19,"sí")</f>
        <v/>
      </c>
      <c r="G382" s="24">
        <f>IF(OR($C382="",$A382="",$B382="domingo",IFERROR(INDEX('TECNICOS'!$H$4:$H$19,MATCH($C382,'TECNICOS'!$B$4:$B$19,0)),"no")&lt;&gt;"sí"),"",IF(IFERROR(INDEX('TECNICOS'!$F$4:$F$19,MATCH($C382,'TECNICOS'!$B$4:$B$19,0)),"no")&lt;&gt;"sí","B",IF(MOD((IFERROR(INDEX('TECNICOS'!$G$4:$G$19,MATCH($C382,'TECNICOS'!$B$4:$B$19,0)),0)-1)+((DATE(VALUE(LEFT($A382,4)),1,4)-WEEKDAY(DATE(VALUE(LEFT($A382,4)),1,4),2)+1+(VALUE(MID($A382,7,2))-1)*7)-p_semana_referencia)/7,$F382)&lt;($F382-3),"B"&amp;(($F382-3)-MOD((IFERROR(INDEX('TECNICOS'!$G$4:$G$19,MATCH($C382,'TECNICOS'!$B$4:$B$19,0)),0)-1)+((DATE(VALUE(LEFT($A382,4)),1,4)-WEEKDAY(DATE(VALUE(LEFT($A382,4)),1,4),2)+1+(VALUE(MID($A382,7,2))-1)*7)-p_semana_referencia)/7,$F382)),"T"&amp;($F382-MOD((IFERROR(INDEX('TECNICOS'!$G$4:$G$19,MATCH($C382,'TECNICOS'!$B$4:$B$19,0)),0)-1)+((DATE(VALUE(LEFT($A382,4)),1,4)-WEEKDAY(DATE(VALUE(LEFT($A382,4)),1,4),2)+1+(VALUE(MID($A382,7,2))-1)*7)-p_semana_referencia)/7,$F382)))))</f>
        <v/>
      </c>
      <c r="H382" s="24">
        <f>IF(COUNTIFS('PLAN_VACACIONES'!$A$4:$A$103,$C382,'PLAN_VACACIONES'!$B$4:$B$103,"&lt;="&amp;$L382,'PLAN_VACACIONES'!$C$4:$C$103,"&gt;="&amp;$L382)&gt;0,"sí","no")</f>
        <v/>
      </c>
      <c r="I382" s="4" t="n"/>
      <c r="J382" s="24">
        <f>IF($I382&lt;&gt;"",$I382,IF($G382="","",IF($H382="sí","VAC",IF(LEFT($G382,1)="B","B",$G382))))</f>
        <v/>
      </c>
      <c r="K382" s="24">
        <f>IFERROR(INDEX('TECNICOS'!$E$4:$E$19,MATCH($C382,'TECNICOS'!$B$4:$B$19,0)),"")</f>
        <v/>
      </c>
      <c r="L382" s="30">
        <f>IF($A382="","",DATE(VALUE(LEFT($A382,4)),1,4)-WEEKDAY(DATE(VALUE(LEFT($A382,4)),1,4),2)+1+(VALUE(MID($A382,7,2))-1)*7+MATCH($B382,lista_dias,0)-1)</f>
        <v/>
      </c>
      <c r="M382" s="24">
        <f>IF(OR($J382="",ISNUMBER(MATCH($J382,lista_no_disponible,0)),(IFERROR(INDEX('CALENDARIO'!$C$15:$C$214,MATCH(TEXT($L382,"yyyy-mm-dd")&amp;"|"&amp;$D382&amp;"|"&amp;"",'CALENDARIO'!$G$15:$G$214,0)),IFERROR(INDEX('CALENDARIO'!$C$15:$C$214,MATCH(TEXT($L382,"yyyy-mm-dd")&amp;"|"&amp;$D382&amp;"|",'CALENDARIO'!$G$15:$G$214,0)),IFERROR(INDEX('CALENDARIO'!$C$15:$C$214,MATCH(TEXT($L382,"yyyy-mm-dd")&amp;"||",'CALENDARIO'!$G$15:$G$214,0)),INDEX(patronHabil,WEEKDAY($L382,2))))))&lt;&gt;"sí"),0,p_horas_jornada)</f>
        <v/>
      </c>
      <c r="N382" s="24">
        <f>$A382&amp;"|"&amp;$B382&amp;"|"&amp;$C382</f>
        <v/>
      </c>
      <c r="O382" s="24">
        <f>IFERROR(INDEX('CAT_TURNOS'!$C$4:$C$22,MATCH($J382,'CAT_TURNOS'!$A$4:$A$22,0)),"")</f>
        <v/>
      </c>
      <c r="P382" s="24">
        <f>IFERROR(INDEX('CAT_TURNOS'!$D$4:$D$22,MATCH($J382,'CAT_TURNOS'!$A$4:$A$22,0)),"")</f>
        <v/>
      </c>
      <c r="Q382" s="24">
        <f>IF(AND(LEFT($G382,1)="T",$H382="no"),"sí","no")</f>
        <v/>
      </c>
    </row>
    <row r="383">
      <c r="A383" s="5" t="inlineStr">
        <is>
          <t>2026-S33</t>
        </is>
      </c>
      <c r="B383" s="5" t="inlineStr">
        <is>
          <t>martes</t>
        </is>
      </c>
      <c r="C383" s="5" t="inlineStr">
        <is>
          <t>Francisco Ramírez</t>
        </is>
      </c>
      <c r="D383" s="24">
        <f>IFERROR(INDEX('TECNICOS'!$D$4:$D$19,MATCH($C383,'TECNICOS'!$B$4:$B$19,0)),"")</f>
        <v/>
      </c>
      <c r="E383" s="24">
        <f>IFERROR(INDEX('TECNICOS'!$C$4:$C$19,MATCH($C383,'TECNICOS'!$B$4:$B$19,0)),"")</f>
        <v/>
      </c>
      <c r="F383" s="24">
        <f>COUNTIFS('TECNICOS'!$F$4:$F$19,"sí",'TECNICOS'!$C$4:$C$19,$E383,'TECNICOS'!$D$4:$D$19,$D383,'TECNICOS'!$H$4:$H$19,"sí")</f>
        <v/>
      </c>
      <c r="G383" s="24">
        <f>IF(OR($C383="",$A383="",$B383="domingo",IFERROR(INDEX('TECNICOS'!$H$4:$H$19,MATCH($C383,'TECNICOS'!$B$4:$B$19,0)),"no")&lt;&gt;"sí"),"",IF(IFERROR(INDEX('TECNICOS'!$F$4:$F$19,MATCH($C383,'TECNICOS'!$B$4:$B$19,0)),"no")&lt;&gt;"sí","B",IF(MOD((IFERROR(INDEX('TECNICOS'!$G$4:$G$19,MATCH($C383,'TECNICOS'!$B$4:$B$19,0)),0)-1)+((DATE(VALUE(LEFT($A383,4)),1,4)-WEEKDAY(DATE(VALUE(LEFT($A383,4)),1,4),2)+1+(VALUE(MID($A383,7,2))-1)*7)-p_semana_referencia)/7,$F383)&lt;($F383-3),"B"&amp;(($F383-3)-MOD((IFERROR(INDEX('TECNICOS'!$G$4:$G$19,MATCH($C383,'TECNICOS'!$B$4:$B$19,0)),0)-1)+((DATE(VALUE(LEFT($A383,4)),1,4)-WEEKDAY(DATE(VALUE(LEFT($A383,4)),1,4),2)+1+(VALUE(MID($A383,7,2))-1)*7)-p_semana_referencia)/7,$F383)),"T"&amp;($F383-MOD((IFERROR(INDEX('TECNICOS'!$G$4:$G$19,MATCH($C383,'TECNICOS'!$B$4:$B$19,0)),0)-1)+((DATE(VALUE(LEFT($A383,4)),1,4)-WEEKDAY(DATE(VALUE(LEFT($A383,4)),1,4),2)+1+(VALUE(MID($A383,7,2))-1)*7)-p_semana_referencia)/7,$F383)))))</f>
        <v/>
      </c>
      <c r="H383" s="24">
        <f>IF(COUNTIFS('PLAN_VACACIONES'!$A$4:$A$103,$C383,'PLAN_VACACIONES'!$B$4:$B$103,"&lt;="&amp;$L383,'PLAN_VACACIONES'!$C$4:$C$103,"&gt;="&amp;$L383)&gt;0,"sí","no")</f>
        <v/>
      </c>
      <c r="I383" s="4" t="n"/>
      <c r="J383" s="24">
        <f>IF($I383&lt;&gt;"",$I383,IF($G383="","",IF($H383="sí","VAC",IF(LEFT($G383,1)="B","B",$G383))))</f>
        <v/>
      </c>
      <c r="K383" s="24">
        <f>IFERROR(INDEX('TECNICOS'!$E$4:$E$19,MATCH($C383,'TECNICOS'!$B$4:$B$19,0)),"")</f>
        <v/>
      </c>
      <c r="L383" s="30">
        <f>IF($A383="","",DATE(VALUE(LEFT($A383,4)),1,4)-WEEKDAY(DATE(VALUE(LEFT($A383,4)),1,4),2)+1+(VALUE(MID($A383,7,2))-1)*7+MATCH($B383,lista_dias,0)-1)</f>
        <v/>
      </c>
      <c r="M383" s="24">
        <f>IF(OR($J383="",ISNUMBER(MATCH($J383,lista_no_disponible,0)),(IFERROR(INDEX('CALENDARIO'!$C$15:$C$214,MATCH(TEXT($L383,"yyyy-mm-dd")&amp;"|"&amp;$D383&amp;"|"&amp;"",'CALENDARIO'!$G$15:$G$214,0)),IFERROR(INDEX('CALENDARIO'!$C$15:$C$214,MATCH(TEXT($L383,"yyyy-mm-dd")&amp;"|"&amp;$D383&amp;"|",'CALENDARIO'!$G$15:$G$214,0)),IFERROR(INDEX('CALENDARIO'!$C$15:$C$214,MATCH(TEXT($L383,"yyyy-mm-dd")&amp;"||",'CALENDARIO'!$G$15:$G$214,0)),INDEX(patronHabil,WEEKDAY($L383,2))))))&lt;&gt;"sí"),0,p_horas_jornada)</f>
        <v/>
      </c>
      <c r="N383" s="24">
        <f>$A383&amp;"|"&amp;$B383&amp;"|"&amp;$C383</f>
        <v/>
      </c>
      <c r="O383" s="24">
        <f>IFERROR(INDEX('CAT_TURNOS'!$C$4:$C$22,MATCH($J383,'CAT_TURNOS'!$A$4:$A$22,0)),"")</f>
        <v/>
      </c>
      <c r="P383" s="24">
        <f>IFERROR(INDEX('CAT_TURNOS'!$D$4:$D$22,MATCH($J383,'CAT_TURNOS'!$A$4:$A$22,0)),"")</f>
        <v/>
      </c>
      <c r="Q383" s="24">
        <f>IF(AND(LEFT($G383,1)="T",$H383="no"),"sí","no")</f>
        <v/>
      </c>
    </row>
    <row r="384">
      <c r="A384" s="5" t="inlineStr">
        <is>
          <t>2026-S33</t>
        </is>
      </c>
      <c r="B384" s="5" t="inlineStr">
        <is>
          <t>miércoles</t>
        </is>
      </c>
      <c r="C384" s="5" t="inlineStr">
        <is>
          <t>Francisco Ramírez</t>
        </is>
      </c>
      <c r="D384" s="24">
        <f>IFERROR(INDEX('TECNICOS'!$D$4:$D$19,MATCH($C384,'TECNICOS'!$B$4:$B$19,0)),"")</f>
        <v/>
      </c>
      <c r="E384" s="24">
        <f>IFERROR(INDEX('TECNICOS'!$C$4:$C$19,MATCH($C384,'TECNICOS'!$B$4:$B$19,0)),"")</f>
        <v/>
      </c>
      <c r="F384" s="24">
        <f>COUNTIFS('TECNICOS'!$F$4:$F$19,"sí",'TECNICOS'!$C$4:$C$19,$E384,'TECNICOS'!$D$4:$D$19,$D384,'TECNICOS'!$H$4:$H$19,"sí")</f>
        <v/>
      </c>
      <c r="G384" s="24">
        <f>IF(OR($C384="",$A384="",$B384="domingo",IFERROR(INDEX('TECNICOS'!$H$4:$H$19,MATCH($C384,'TECNICOS'!$B$4:$B$19,0)),"no")&lt;&gt;"sí"),"",IF(IFERROR(INDEX('TECNICOS'!$F$4:$F$19,MATCH($C384,'TECNICOS'!$B$4:$B$19,0)),"no")&lt;&gt;"sí","B",IF(MOD((IFERROR(INDEX('TECNICOS'!$G$4:$G$19,MATCH($C384,'TECNICOS'!$B$4:$B$19,0)),0)-1)+((DATE(VALUE(LEFT($A384,4)),1,4)-WEEKDAY(DATE(VALUE(LEFT($A384,4)),1,4),2)+1+(VALUE(MID($A384,7,2))-1)*7)-p_semana_referencia)/7,$F384)&lt;($F384-3),"B"&amp;(($F384-3)-MOD((IFERROR(INDEX('TECNICOS'!$G$4:$G$19,MATCH($C384,'TECNICOS'!$B$4:$B$19,0)),0)-1)+((DATE(VALUE(LEFT($A384,4)),1,4)-WEEKDAY(DATE(VALUE(LEFT($A384,4)),1,4),2)+1+(VALUE(MID($A384,7,2))-1)*7)-p_semana_referencia)/7,$F384)),"T"&amp;($F384-MOD((IFERROR(INDEX('TECNICOS'!$G$4:$G$19,MATCH($C384,'TECNICOS'!$B$4:$B$19,0)),0)-1)+((DATE(VALUE(LEFT($A384,4)),1,4)-WEEKDAY(DATE(VALUE(LEFT($A384,4)),1,4),2)+1+(VALUE(MID($A384,7,2))-1)*7)-p_semana_referencia)/7,$F384)))))</f>
        <v/>
      </c>
      <c r="H384" s="24">
        <f>IF(COUNTIFS('PLAN_VACACIONES'!$A$4:$A$103,$C384,'PLAN_VACACIONES'!$B$4:$B$103,"&lt;="&amp;$L384,'PLAN_VACACIONES'!$C$4:$C$103,"&gt;="&amp;$L384)&gt;0,"sí","no")</f>
        <v/>
      </c>
      <c r="I384" s="4" t="n"/>
      <c r="J384" s="24">
        <f>IF($I384&lt;&gt;"",$I384,IF($G384="","",IF($H384="sí","VAC",IF(LEFT($G384,1)="B","B",$G384))))</f>
        <v/>
      </c>
      <c r="K384" s="24">
        <f>IFERROR(INDEX('TECNICOS'!$E$4:$E$19,MATCH($C384,'TECNICOS'!$B$4:$B$19,0)),"")</f>
        <v/>
      </c>
      <c r="L384" s="30">
        <f>IF($A384="","",DATE(VALUE(LEFT($A384,4)),1,4)-WEEKDAY(DATE(VALUE(LEFT($A384,4)),1,4),2)+1+(VALUE(MID($A384,7,2))-1)*7+MATCH($B384,lista_dias,0)-1)</f>
        <v/>
      </c>
      <c r="M384" s="24">
        <f>IF(OR($J384="",ISNUMBER(MATCH($J384,lista_no_disponible,0)),(IFERROR(INDEX('CALENDARIO'!$C$15:$C$214,MATCH(TEXT($L384,"yyyy-mm-dd")&amp;"|"&amp;$D384&amp;"|"&amp;"",'CALENDARIO'!$G$15:$G$214,0)),IFERROR(INDEX('CALENDARIO'!$C$15:$C$214,MATCH(TEXT($L384,"yyyy-mm-dd")&amp;"|"&amp;$D384&amp;"|",'CALENDARIO'!$G$15:$G$214,0)),IFERROR(INDEX('CALENDARIO'!$C$15:$C$214,MATCH(TEXT($L384,"yyyy-mm-dd")&amp;"||",'CALENDARIO'!$G$15:$G$214,0)),INDEX(patronHabil,WEEKDAY($L384,2))))))&lt;&gt;"sí"),0,p_horas_jornada)</f>
        <v/>
      </c>
      <c r="N384" s="24">
        <f>$A384&amp;"|"&amp;$B384&amp;"|"&amp;$C384</f>
        <v/>
      </c>
      <c r="O384" s="24">
        <f>IFERROR(INDEX('CAT_TURNOS'!$C$4:$C$22,MATCH($J384,'CAT_TURNOS'!$A$4:$A$22,0)),"")</f>
        <v/>
      </c>
      <c r="P384" s="24">
        <f>IFERROR(INDEX('CAT_TURNOS'!$D$4:$D$22,MATCH($J384,'CAT_TURNOS'!$A$4:$A$22,0)),"")</f>
        <v/>
      </c>
      <c r="Q384" s="24">
        <f>IF(AND(LEFT($G384,1)="T",$H384="no"),"sí","no")</f>
        <v/>
      </c>
    </row>
    <row r="385">
      <c r="A385" s="5" t="inlineStr">
        <is>
          <t>2026-S33</t>
        </is>
      </c>
      <c r="B385" s="5" t="inlineStr">
        <is>
          <t>jueves</t>
        </is>
      </c>
      <c r="C385" s="5" t="inlineStr">
        <is>
          <t>Francisco Ramírez</t>
        </is>
      </c>
      <c r="D385" s="24">
        <f>IFERROR(INDEX('TECNICOS'!$D$4:$D$19,MATCH($C385,'TECNICOS'!$B$4:$B$19,0)),"")</f>
        <v/>
      </c>
      <c r="E385" s="24">
        <f>IFERROR(INDEX('TECNICOS'!$C$4:$C$19,MATCH($C385,'TECNICOS'!$B$4:$B$19,0)),"")</f>
        <v/>
      </c>
      <c r="F385" s="24">
        <f>COUNTIFS('TECNICOS'!$F$4:$F$19,"sí",'TECNICOS'!$C$4:$C$19,$E385,'TECNICOS'!$D$4:$D$19,$D385,'TECNICOS'!$H$4:$H$19,"sí")</f>
        <v/>
      </c>
      <c r="G385" s="24">
        <f>IF(OR($C385="",$A385="",$B385="domingo",IFERROR(INDEX('TECNICOS'!$H$4:$H$19,MATCH($C385,'TECNICOS'!$B$4:$B$19,0)),"no")&lt;&gt;"sí"),"",IF(IFERROR(INDEX('TECNICOS'!$F$4:$F$19,MATCH($C385,'TECNICOS'!$B$4:$B$19,0)),"no")&lt;&gt;"sí","B",IF(MOD((IFERROR(INDEX('TECNICOS'!$G$4:$G$19,MATCH($C385,'TECNICOS'!$B$4:$B$19,0)),0)-1)+((DATE(VALUE(LEFT($A385,4)),1,4)-WEEKDAY(DATE(VALUE(LEFT($A385,4)),1,4),2)+1+(VALUE(MID($A385,7,2))-1)*7)-p_semana_referencia)/7,$F385)&lt;($F385-3),"B"&amp;(($F385-3)-MOD((IFERROR(INDEX('TECNICOS'!$G$4:$G$19,MATCH($C385,'TECNICOS'!$B$4:$B$19,0)),0)-1)+((DATE(VALUE(LEFT($A385,4)),1,4)-WEEKDAY(DATE(VALUE(LEFT($A385,4)),1,4),2)+1+(VALUE(MID($A385,7,2))-1)*7)-p_semana_referencia)/7,$F385)),"T"&amp;($F385-MOD((IFERROR(INDEX('TECNICOS'!$G$4:$G$19,MATCH($C385,'TECNICOS'!$B$4:$B$19,0)),0)-1)+((DATE(VALUE(LEFT($A385,4)),1,4)-WEEKDAY(DATE(VALUE(LEFT($A385,4)),1,4),2)+1+(VALUE(MID($A385,7,2))-1)*7)-p_semana_referencia)/7,$F385)))))</f>
        <v/>
      </c>
      <c r="H385" s="24">
        <f>IF(COUNTIFS('PLAN_VACACIONES'!$A$4:$A$103,$C385,'PLAN_VACACIONES'!$B$4:$B$103,"&lt;="&amp;$L385,'PLAN_VACACIONES'!$C$4:$C$103,"&gt;="&amp;$L385)&gt;0,"sí","no")</f>
        <v/>
      </c>
      <c r="I385" s="4" t="n"/>
      <c r="J385" s="24">
        <f>IF($I385&lt;&gt;"",$I385,IF($G385="","",IF($H385="sí","VAC",IF(LEFT($G385,1)="B","B",$G385))))</f>
        <v/>
      </c>
      <c r="K385" s="24">
        <f>IFERROR(INDEX('TECNICOS'!$E$4:$E$19,MATCH($C385,'TECNICOS'!$B$4:$B$19,0)),"")</f>
        <v/>
      </c>
      <c r="L385" s="30">
        <f>IF($A385="","",DATE(VALUE(LEFT($A385,4)),1,4)-WEEKDAY(DATE(VALUE(LEFT($A385,4)),1,4),2)+1+(VALUE(MID($A385,7,2))-1)*7+MATCH($B385,lista_dias,0)-1)</f>
        <v/>
      </c>
      <c r="M385" s="24">
        <f>IF(OR($J385="",ISNUMBER(MATCH($J385,lista_no_disponible,0)),(IFERROR(INDEX('CALENDARIO'!$C$15:$C$214,MATCH(TEXT($L385,"yyyy-mm-dd")&amp;"|"&amp;$D385&amp;"|"&amp;"",'CALENDARIO'!$G$15:$G$214,0)),IFERROR(INDEX('CALENDARIO'!$C$15:$C$214,MATCH(TEXT($L385,"yyyy-mm-dd")&amp;"|"&amp;$D385&amp;"|",'CALENDARIO'!$G$15:$G$214,0)),IFERROR(INDEX('CALENDARIO'!$C$15:$C$214,MATCH(TEXT($L385,"yyyy-mm-dd")&amp;"||",'CALENDARIO'!$G$15:$G$214,0)),INDEX(patronHabil,WEEKDAY($L385,2))))))&lt;&gt;"sí"),0,p_horas_jornada)</f>
        <v/>
      </c>
      <c r="N385" s="24">
        <f>$A385&amp;"|"&amp;$B385&amp;"|"&amp;$C385</f>
        <v/>
      </c>
      <c r="O385" s="24">
        <f>IFERROR(INDEX('CAT_TURNOS'!$C$4:$C$22,MATCH($J385,'CAT_TURNOS'!$A$4:$A$22,0)),"")</f>
        <v/>
      </c>
      <c r="P385" s="24">
        <f>IFERROR(INDEX('CAT_TURNOS'!$D$4:$D$22,MATCH($J385,'CAT_TURNOS'!$A$4:$A$22,0)),"")</f>
        <v/>
      </c>
      <c r="Q385" s="24">
        <f>IF(AND(LEFT($G385,1)="T",$H385="no"),"sí","no")</f>
        <v/>
      </c>
    </row>
    <row r="386">
      <c r="A386" s="5" t="inlineStr">
        <is>
          <t>2026-S33</t>
        </is>
      </c>
      <c r="B386" s="5" t="inlineStr">
        <is>
          <t>viernes</t>
        </is>
      </c>
      <c r="C386" s="5" t="inlineStr">
        <is>
          <t>Francisco Ramírez</t>
        </is>
      </c>
      <c r="D386" s="24">
        <f>IFERROR(INDEX('TECNICOS'!$D$4:$D$19,MATCH($C386,'TECNICOS'!$B$4:$B$19,0)),"")</f>
        <v/>
      </c>
      <c r="E386" s="24">
        <f>IFERROR(INDEX('TECNICOS'!$C$4:$C$19,MATCH($C386,'TECNICOS'!$B$4:$B$19,0)),"")</f>
        <v/>
      </c>
      <c r="F386" s="24">
        <f>COUNTIFS('TECNICOS'!$F$4:$F$19,"sí",'TECNICOS'!$C$4:$C$19,$E386,'TECNICOS'!$D$4:$D$19,$D386,'TECNICOS'!$H$4:$H$19,"sí")</f>
        <v/>
      </c>
      <c r="G386" s="24">
        <f>IF(OR($C386="",$A386="",$B386="domingo",IFERROR(INDEX('TECNICOS'!$H$4:$H$19,MATCH($C386,'TECNICOS'!$B$4:$B$19,0)),"no")&lt;&gt;"sí"),"",IF(IFERROR(INDEX('TECNICOS'!$F$4:$F$19,MATCH($C386,'TECNICOS'!$B$4:$B$19,0)),"no")&lt;&gt;"sí","B",IF(MOD((IFERROR(INDEX('TECNICOS'!$G$4:$G$19,MATCH($C386,'TECNICOS'!$B$4:$B$19,0)),0)-1)+((DATE(VALUE(LEFT($A386,4)),1,4)-WEEKDAY(DATE(VALUE(LEFT($A386,4)),1,4),2)+1+(VALUE(MID($A386,7,2))-1)*7)-p_semana_referencia)/7,$F386)&lt;($F386-3),"B"&amp;(($F386-3)-MOD((IFERROR(INDEX('TECNICOS'!$G$4:$G$19,MATCH($C386,'TECNICOS'!$B$4:$B$19,0)),0)-1)+((DATE(VALUE(LEFT($A386,4)),1,4)-WEEKDAY(DATE(VALUE(LEFT($A386,4)),1,4),2)+1+(VALUE(MID($A386,7,2))-1)*7)-p_semana_referencia)/7,$F386)),"T"&amp;($F386-MOD((IFERROR(INDEX('TECNICOS'!$G$4:$G$19,MATCH($C386,'TECNICOS'!$B$4:$B$19,0)),0)-1)+((DATE(VALUE(LEFT($A386,4)),1,4)-WEEKDAY(DATE(VALUE(LEFT($A386,4)),1,4),2)+1+(VALUE(MID($A386,7,2))-1)*7)-p_semana_referencia)/7,$F386)))))</f>
        <v/>
      </c>
      <c r="H386" s="24">
        <f>IF(COUNTIFS('PLAN_VACACIONES'!$A$4:$A$103,$C386,'PLAN_VACACIONES'!$B$4:$B$103,"&lt;="&amp;$L386,'PLAN_VACACIONES'!$C$4:$C$103,"&gt;="&amp;$L386)&gt;0,"sí","no")</f>
        <v/>
      </c>
      <c r="I386" s="4" t="n"/>
      <c r="J386" s="24">
        <f>IF($I386&lt;&gt;"",$I386,IF($G386="","",IF($H386="sí","VAC",IF(LEFT($G386,1)="B","B",$G386))))</f>
        <v/>
      </c>
      <c r="K386" s="24">
        <f>IFERROR(INDEX('TECNICOS'!$E$4:$E$19,MATCH($C386,'TECNICOS'!$B$4:$B$19,0)),"")</f>
        <v/>
      </c>
      <c r="L386" s="30">
        <f>IF($A386="","",DATE(VALUE(LEFT($A386,4)),1,4)-WEEKDAY(DATE(VALUE(LEFT($A386,4)),1,4),2)+1+(VALUE(MID($A386,7,2))-1)*7+MATCH($B386,lista_dias,0)-1)</f>
        <v/>
      </c>
      <c r="M386" s="24">
        <f>IF(OR($J386="",ISNUMBER(MATCH($J386,lista_no_disponible,0)),(IFERROR(INDEX('CALENDARIO'!$C$15:$C$214,MATCH(TEXT($L386,"yyyy-mm-dd")&amp;"|"&amp;$D386&amp;"|"&amp;"",'CALENDARIO'!$G$15:$G$214,0)),IFERROR(INDEX('CALENDARIO'!$C$15:$C$214,MATCH(TEXT($L386,"yyyy-mm-dd")&amp;"|"&amp;$D386&amp;"|",'CALENDARIO'!$G$15:$G$214,0)),IFERROR(INDEX('CALENDARIO'!$C$15:$C$214,MATCH(TEXT($L386,"yyyy-mm-dd")&amp;"||",'CALENDARIO'!$G$15:$G$214,0)),INDEX(patronHabil,WEEKDAY($L386,2))))))&lt;&gt;"sí"),0,p_horas_jornada)</f>
        <v/>
      </c>
      <c r="N386" s="24">
        <f>$A386&amp;"|"&amp;$B386&amp;"|"&amp;$C386</f>
        <v/>
      </c>
      <c r="O386" s="24">
        <f>IFERROR(INDEX('CAT_TURNOS'!$C$4:$C$22,MATCH($J386,'CAT_TURNOS'!$A$4:$A$22,0)),"")</f>
        <v/>
      </c>
      <c r="P386" s="24">
        <f>IFERROR(INDEX('CAT_TURNOS'!$D$4:$D$22,MATCH($J386,'CAT_TURNOS'!$A$4:$A$22,0)),"")</f>
        <v/>
      </c>
      <c r="Q386" s="24">
        <f>IF(AND(LEFT($G386,1)="T",$H386="no"),"sí","no")</f>
        <v/>
      </c>
    </row>
    <row r="387">
      <c r="A387" s="5" t="inlineStr">
        <is>
          <t>2026-S33</t>
        </is>
      </c>
      <c r="B387" s="5" t="inlineStr">
        <is>
          <t>sábado</t>
        </is>
      </c>
      <c r="C387" s="5" t="inlineStr">
        <is>
          <t>Francisco Ramírez</t>
        </is>
      </c>
      <c r="D387" s="24">
        <f>IFERROR(INDEX('TECNICOS'!$D$4:$D$19,MATCH($C387,'TECNICOS'!$B$4:$B$19,0)),"")</f>
        <v/>
      </c>
      <c r="E387" s="24">
        <f>IFERROR(INDEX('TECNICOS'!$C$4:$C$19,MATCH($C387,'TECNICOS'!$B$4:$B$19,0)),"")</f>
        <v/>
      </c>
      <c r="F387" s="24">
        <f>COUNTIFS('TECNICOS'!$F$4:$F$19,"sí",'TECNICOS'!$C$4:$C$19,$E387,'TECNICOS'!$D$4:$D$19,$D387,'TECNICOS'!$H$4:$H$19,"sí")</f>
        <v/>
      </c>
      <c r="G387" s="24">
        <f>IF(OR($C387="",$A387="",$B387="domingo",IFERROR(INDEX('TECNICOS'!$H$4:$H$19,MATCH($C387,'TECNICOS'!$B$4:$B$19,0)),"no")&lt;&gt;"sí"),"",IF(IFERROR(INDEX('TECNICOS'!$F$4:$F$19,MATCH($C387,'TECNICOS'!$B$4:$B$19,0)),"no")&lt;&gt;"sí","B",IF(MOD((IFERROR(INDEX('TECNICOS'!$G$4:$G$19,MATCH($C387,'TECNICOS'!$B$4:$B$19,0)),0)-1)+((DATE(VALUE(LEFT($A387,4)),1,4)-WEEKDAY(DATE(VALUE(LEFT($A387,4)),1,4),2)+1+(VALUE(MID($A387,7,2))-1)*7)-p_semana_referencia)/7,$F387)&lt;($F387-3),"B"&amp;(($F387-3)-MOD((IFERROR(INDEX('TECNICOS'!$G$4:$G$19,MATCH($C387,'TECNICOS'!$B$4:$B$19,0)),0)-1)+((DATE(VALUE(LEFT($A387,4)),1,4)-WEEKDAY(DATE(VALUE(LEFT($A387,4)),1,4),2)+1+(VALUE(MID($A387,7,2))-1)*7)-p_semana_referencia)/7,$F387)),"T"&amp;($F387-MOD((IFERROR(INDEX('TECNICOS'!$G$4:$G$19,MATCH($C387,'TECNICOS'!$B$4:$B$19,0)),0)-1)+((DATE(VALUE(LEFT($A387,4)),1,4)-WEEKDAY(DATE(VALUE(LEFT($A387,4)),1,4),2)+1+(VALUE(MID($A387,7,2))-1)*7)-p_semana_referencia)/7,$F387)))))</f>
        <v/>
      </c>
      <c r="H387" s="24">
        <f>IF(COUNTIFS('PLAN_VACACIONES'!$A$4:$A$103,$C387,'PLAN_VACACIONES'!$B$4:$B$103,"&lt;="&amp;$L387,'PLAN_VACACIONES'!$C$4:$C$103,"&gt;="&amp;$L387)&gt;0,"sí","no")</f>
        <v/>
      </c>
      <c r="I387" s="4" t="n"/>
      <c r="J387" s="24">
        <f>IF($I387&lt;&gt;"",$I387,IF($G387="","",IF($H387="sí","VAC",IF(LEFT($G387,1)="B","B",$G387))))</f>
        <v/>
      </c>
      <c r="K387" s="24">
        <f>IFERROR(INDEX('TECNICOS'!$E$4:$E$19,MATCH($C387,'TECNICOS'!$B$4:$B$19,0)),"")</f>
        <v/>
      </c>
      <c r="L387" s="30">
        <f>IF($A387="","",DATE(VALUE(LEFT($A387,4)),1,4)-WEEKDAY(DATE(VALUE(LEFT($A387,4)),1,4),2)+1+(VALUE(MID($A387,7,2))-1)*7+MATCH($B387,lista_dias,0)-1)</f>
        <v/>
      </c>
      <c r="M387" s="24">
        <f>IF(OR($J387="",ISNUMBER(MATCH($J387,lista_no_disponible,0)),(IFERROR(INDEX('CALENDARIO'!$C$15:$C$214,MATCH(TEXT($L387,"yyyy-mm-dd")&amp;"|"&amp;$D387&amp;"|"&amp;"",'CALENDARIO'!$G$15:$G$214,0)),IFERROR(INDEX('CALENDARIO'!$C$15:$C$214,MATCH(TEXT($L387,"yyyy-mm-dd")&amp;"|"&amp;$D387&amp;"|",'CALENDARIO'!$G$15:$G$214,0)),IFERROR(INDEX('CALENDARIO'!$C$15:$C$214,MATCH(TEXT($L387,"yyyy-mm-dd")&amp;"||",'CALENDARIO'!$G$15:$G$214,0)),INDEX(patronHabil,WEEKDAY($L387,2))))))&lt;&gt;"sí"),0,p_horas_jornada)</f>
        <v/>
      </c>
      <c r="N387" s="24">
        <f>$A387&amp;"|"&amp;$B387&amp;"|"&amp;$C387</f>
        <v/>
      </c>
      <c r="O387" s="24">
        <f>IFERROR(INDEX('CAT_TURNOS'!$C$4:$C$22,MATCH($J387,'CAT_TURNOS'!$A$4:$A$22,0)),"")</f>
        <v/>
      </c>
      <c r="P387" s="24">
        <f>IFERROR(INDEX('CAT_TURNOS'!$D$4:$D$22,MATCH($J387,'CAT_TURNOS'!$A$4:$A$22,0)),"")</f>
        <v/>
      </c>
      <c r="Q387" s="24">
        <f>IF(AND(LEFT($G387,1)="T",$H387="no"),"sí","no")</f>
        <v/>
      </c>
    </row>
    <row r="388">
      <c r="A388" s="5" t="inlineStr">
        <is>
          <t>2026-S33</t>
        </is>
      </c>
      <c r="B388" s="5" t="inlineStr">
        <is>
          <t>domingo</t>
        </is>
      </c>
      <c r="C388" s="5" t="inlineStr">
        <is>
          <t>Francisco Ramírez</t>
        </is>
      </c>
      <c r="D388" s="24">
        <f>IFERROR(INDEX('TECNICOS'!$D$4:$D$19,MATCH($C388,'TECNICOS'!$B$4:$B$19,0)),"")</f>
        <v/>
      </c>
      <c r="E388" s="24">
        <f>IFERROR(INDEX('TECNICOS'!$C$4:$C$19,MATCH($C388,'TECNICOS'!$B$4:$B$19,0)),"")</f>
        <v/>
      </c>
      <c r="F388" s="24">
        <f>COUNTIFS('TECNICOS'!$F$4:$F$19,"sí",'TECNICOS'!$C$4:$C$19,$E388,'TECNICOS'!$D$4:$D$19,$D388,'TECNICOS'!$H$4:$H$19,"sí")</f>
        <v/>
      </c>
      <c r="G388" s="24">
        <f>IF(OR($C388="",$A388="",$B388="domingo",IFERROR(INDEX('TECNICOS'!$H$4:$H$19,MATCH($C388,'TECNICOS'!$B$4:$B$19,0)),"no")&lt;&gt;"sí"),"",IF(IFERROR(INDEX('TECNICOS'!$F$4:$F$19,MATCH($C388,'TECNICOS'!$B$4:$B$19,0)),"no")&lt;&gt;"sí","B",IF(MOD((IFERROR(INDEX('TECNICOS'!$G$4:$G$19,MATCH($C388,'TECNICOS'!$B$4:$B$19,0)),0)-1)+((DATE(VALUE(LEFT($A388,4)),1,4)-WEEKDAY(DATE(VALUE(LEFT($A388,4)),1,4),2)+1+(VALUE(MID($A388,7,2))-1)*7)-p_semana_referencia)/7,$F388)&lt;($F388-3),"B"&amp;(($F388-3)-MOD((IFERROR(INDEX('TECNICOS'!$G$4:$G$19,MATCH($C388,'TECNICOS'!$B$4:$B$19,0)),0)-1)+((DATE(VALUE(LEFT($A388,4)),1,4)-WEEKDAY(DATE(VALUE(LEFT($A388,4)),1,4),2)+1+(VALUE(MID($A388,7,2))-1)*7)-p_semana_referencia)/7,$F388)),"T"&amp;($F388-MOD((IFERROR(INDEX('TECNICOS'!$G$4:$G$19,MATCH($C388,'TECNICOS'!$B$4:$B$19,0)),0)-1)+((DATE(VALUE(LEFT($A388,4)),1,4)-WEEKDAY(DATE(VALUE(LEFT($A388,4)),1,4),2)+1+(VALUE(MID($A388,7,2))-1)*7)-p_semana_referencia)/7,$F388)))))</f>
        <v/>
      </c>
      <c r="H388" s="24">
        <f>IF(COUNTIFS('PLAN_VACACIONES'!$A$4:$A$103,$C388,'PLAN_VACACIONES'!$B$4:$B$103,"&lt;="&amp;$L388,'PLAN_VACACIONES'!$C$4:$C$103,"&gt;="&amp;$L388)&gt;0,"sí","no")</f>
        <v/>
      </c>
      <c r="I388" s="4" t="n"/>
      <c r="J388" s="24">
        <f>IF($I388&lt;&gt;"",$I388,IF($G388="","",IF($H388="sí","VAC",IF(LEFT($G388,1)="B","B",$G388))))</f>
        <v/>
      </c>
      <c r="K388" s="24">
        <f>IFERROR(INDEX('TECNICOS'!$E$4:$E$19,MATCH($C388,'TECNICOS'!$B$4:$B$19,0)),"")</f>
        <v/>
      </c>
      <c r="L388" s="30">
        <f>IF($A388="","",DATE(VALUE(LEFT($A388,4)),1,4)-WEEKDAY(DATE(VALUE(LEFT($A388,4)),1,4),2)+1+(VALUE(MID($A388,7,2))-1)*7+MATCH($B388,lista_dias,0)-1)</f>
        <v/>
      </c>
      <c r="M388" s="24">
        <f>IF(OR($J388="",ISNUMBER(MATCH($J388,lista_no_disponible,0)),(IFERROR(INDEX('CALENDARIO'!$C$15:$C$214,MATCH(TEXT($L388,"yyyy-mm-dd")&amp;"|"&amp;$D388&amp;"|"&amp;"",'CALENDARIO'!$G$15:$G$214,0)),IFERROR(INDEX('CALENDARIO'!$C$15:$C$214,MATCH(TEXT($L388,"yyyy-mm-dd")&amp;"|"&amp;$D388&amp;"|",'CALENDARIO'!$G$15:$G$214,0)),IFERROR(INDEX('CALENDARIO'!$C$15:$C$214,MATCH(TEXT($L388,"yyyy-mm-dd")&amp;"||",'CALENDARIO'!$G$15:$G$214,0)),INDEX(patronHabil,WEEKDAY($L388,2))))))&lt;&gt;"sí"),0,p_horas_jornada)</f>
        <v/>
      </c>
      <c r="N388" s="24">
        <f>$A388&amp;"|"&amp;$B388&amp;"|"&amp;$C388</f>
        <v/>
      </c>
      <c r="O388" s="24">
        <f>IFERROR(INDEX('CAT_TURNOS'!$C$4:$C$22,MATCH($J388,'CAT_TURNOS'!$A$4:$A$22,0)),"")</f>
        <v/>
      </c>
      <c r="P388" s="24">
        <f>IFERROR(INDEX('CAT_TURNOS'!$D$4:$D$22,MATCH($J388,'CAT_TURNOS'!$A$4:$A$22,0)),"")</f>
        <v/>
      </c>
      <c r="Q388" s="24">
        <f>IF(AND(LEFT($G388,1)="T",$H388="no"),"sí","no")</f>
        <v/>
      </c>
    </row>
    <row r="389">
      <c r="A389" s="5" t="inlineStr">
        <is>
          <t>2026-S33</t>
        </is>
      </c>
      <c r="B389" s="5" t="inlineStr">
        <is>
          <t>lunes</t>
        </is>
      </c>
      <c r="C389" s="5" t="inlineStr">
        <is>
          <t>Jorge Díaz</t>
        </is>
      </c>
      <c r="D389" s="24">
        <f>IFERROR(INDEX('TECNICOS'!$D$4:$D$19,MATCH($C389,'TECNICOS'!$B$4:$B$19,0)),"")</f>
        <v/>
      </c>
      <c r="E389" s="24">
        <f>IFERROR(INDEX('TECNICOS'!$C$4:$C$19,MATCH($C389,'TECNICOS'!$B$4:$B$19,0)),"")</f>
        <v/>
      </c>
      <c r="F389" s="24">
        <f>COUNTIFS('TECNICOS'!$F$4:$F$19,"sí",'TECNICOS'!$C$4:$C$19,$E389,'TECNICOS'!$D$4:$D$19,$D389,'TECNICOS'!$H$4:$H$19,"sí")</f>
        <v/>
      </c>
      <c r="G389" s="24">
        <f>IF(OR($C389="",$A389="",$B389="domingo",IFERROR(INDEX('TECNICOS'!$H$4:$H$19,MATCH($C389,'TECNICOS'!$B$4:$B$19,0)),"no")&lt;&gt;"sí"),"",IF(IFERROR(INDEX('TECNICOS'!$F$4:$F$19,MATCH($C389,'TECNICOS'!$B$4:$B$19,0)),"no")&lt;&gt;"sí","B",IF(MOD((IFERROR(INDEX('TECNICOS'!$G$4:$G$19,MATCH($C389,'TECNICOS'!$B$4:$B$19,0)),0)-1)+((DATE(VALUE(LEFT($A389,4)),1,4)-WEEKDAY(DATE(VALUE(LEFT($A389,4)),1,4),2)+1+(VALUE(MID($A389,7,2))-1)*7)-p_semana_referencia)/7,$F389)&lt;($F389-3),"B"&amp;(($F389-3)-MOD((IFERROR(INDEX('TECNICOS'!$G$4:$G$19,MATCH($C389,'TECNICOS'!$B$4:$B$19,0)),0)-1)+((DATE(VALUE(LEFT($A389,4)),1,4)-WEEKDAY(DATE(VALUE(LEFT($A389,4)),1,4),2)+1+(VALUE(MID($A389,7,2))-1)*7)-p_semana_referencia)/7,$F389)),"T"&amp;($F389-MOD((IFERROR(INDEX('TECNICOS'!$G$4:$G$19,MATCH($C389,'TECNICOS'!$B$4:$B$19,0)),0)-1)+((DATE(VALUE(LEFT($A389,4)),1,4)-WEEKDAY(DATE(VALUE(LEFT($A389,4)),1,4),2)+1+(VALUE(MID($A389,7,2))-1)*7)-p_semana_referencia)/7,$F389)))))</f>
        <v/>
      </c>
      <c r="H389" s="24">
        <f>IF(COUNTIFS('PLAN_VACACIONES'!$A$4:$A$103,$C389,'PLAN_VACACIONES'!$B$4:$B$103,"&lt;="&amp;$L389,'PLAN_VACACIONES'!$C$4:$C$103,"&gt;="&amp;$L389)&gt;0,"sí","no")</f>
        <v/>
      </c>
      <c r="I389" s="4" t="n"/>
      <c r="J389" s="24">
        <f>IF($I389&lt;&gt;"",$I389,IF($G389="","",IF($H389="sí","VAC",IF(LEFT($G389,1)="B","B",$G389))))</f>
        <v/>
      </c>
      <c r="K389" s="24">
        <f>IFERROR(INDEX('TECNICOS'!$E$4:$E$19,MATCH($C389,'TECNICOS'!$B$4:$B$19,0)),"")</f>
        <v/>
      </c>
      <c r="L389" s="30">
        <f>IF($A389="","",DATE(VALUE(LEFT($A389,4)),1,4)-WEEKDAY(DATE(VALUE(LEFT($A389,4)),1,4),2)+1+(VALUE(MID($A389,7,2))-1)*7+MATCH($B389,lista_dias,0)-1)</f>
        <v/>
      </c>
      <c r="M389" s="24">
        <f>IF(OR($J389="",ISNUMBER(MATCH($J389,lista_no_disponible,0)),(IFERROR(INDEX('CALENDARIO'!$C$15:$C$214,MATCH(TEXT($L389,"yyyy-mm-dd")&amp;"|"&amp;$D389&amp;"|"&amp;"",'CALENDARIO'!$G$15:$G$214,0)),IFERROR(INDEX('CALENDARIO'!$C$15:$C$214,MATCH(TEXT($L389,"yyyy-mm-dd")&amp;"|"&amp;$D389&amp;"|",'CALENDARIO'!$G$15:$G$214,0)),IFERROR(INDEX('CALENDARIO'!$C$15:$C$214,MATCH(TEXT($L389,"yyyy-mm-dd")&amp;"||",'CALENDARIO'!$G$15:$G$214,0)),INDEX(patronHabil,WEEKDAY($L389,2))))))&lt;&gt;"sí"),0,p_horas_jornada)</f>
        <v/>
      </c>
      <c r="N389" s="24">
        <f>$A389&amp;"|"&amp;$B389&amp;"|"&amp;$C389</f>
        <v/>
      </c>
      <c r="O389" s="24">
        <f>IFERROR(INDEX('CAT_TURNOS'!$C$4:$C$22,MATCH($J389,'CAT_TURNOS'!$A$4:$A$22,0)),"")</f>
        <v/>
      </c>
      <c r="P389" s="24">
        <f>IFERROR(INDEX('CAT_TURNOS'!$D$4:$D$22,MATCH($J389,'CAT_TURNOS'!$A$4:$A$22,0)),"")</f>
        <v/>
      </c>
      <c r="Q389" s="24">
        <f>IF(AND(LEFT($G389,1)="T",$H389="no"),"sí","no")</f>
        <v/>
      </c>
    </row>
    <row r="390">
      <c r="A390" s="5" t="inlineStr">
        <is>
          <t>2026-S33</t>
        </is>
      </c>
      <c r="B390" s="5" t="inlineStr">
        <is>
          <t>martes</t>
        </is>
      </c>
      <c r="C390" s="5" t="inlineStr">
        <is>
          <t>Jorge Díaz</t>
        </is>
      </c>
      <c r="D390" s="24">
        <f>IFERROR(INDEX('TECNICOS'!$D$4:$D$19,MATCH($C390,'TECNICOS'!$B$4:$B$19,0)),"")</f>
        <v/>
      </c>
      <c r="E390" s="24">
        <f>IFERROR(INDEX('TECNICOS'!$C$4:$C$19,MATCH($C390,'TECNICOS'!$B$4:$B$19,0)),"")</f>
        <v/>
      </c>
      <c r="F390" s="24">
        <f>COUNTIFS('TECNICOS'!$F$4:$F$19,"sí",'TECNICOS'!$C$4:$C$19,$E390,'TECNICOS'!$D$4:$D$19,$D390,'TECNICOS'!$H$4:$H$19,"sí")</f>
        <v/>
      </c>
      <c r="G390" s="24">
        <f>IF(OR($C390="",$A390="",$B390="domingo",IFERROR(INDEX('TECNICOS'!$H$4:$H$19,MATCH($C390,'TECNICOS'!$B$4:$B$19,0)),"no")&lt;&gt;"sí"),"",IF(IFERROR(INDEX('TECNICOS'!$F$4:$F$19,MATCH($C390,'TECNICOS'!$B$4:$B$19,0)),"no")&lt;&gt;"sí","B",IF(MOD((IFERROR(INDEX('TECNICOS'!$G$4:$G$19,MATCH($C390,'TECNICOS'!$B$4:$B$19,0)),0)-1)+((DATE(VALUE(LEFT($A390,4)),1,4)-WEEKDAY(DATE(VALUE(LEFT($A390,4)),1,4),2)+1+(VALUE(MID($A390,7,2))-1)*7)-p_semana_referencia)/7,$F390)&lt;($F390-3),"B"&amp;(($F390-3)-MOD((IFERROR(INDEX('TECNICOS'!$G$4:$G$19,MATCH($C390,'TECNICOS'!$B$4:$B$19,0)),0)-1)+((DATE(VALUE(LEFT($A390,4)),1,4)-WEEKDAY(DATE(VALUE(LEFT($A390,4)),1,4),2)+1+(VALUE(MID($A390,7,2))-1)*7)-p_semana_referencia)/7,$F390)),"T"&amp;($F390-MOD((IFERROR(INDEX('TECNICOS'!$G$4:$G$19,MATCH($C390,'TECNICOS'!$B$4:$B$19,0)),0)-1)+((DATE(VALUE(LEFT($A390,4)),1,4)-WEEKDAY(DATE(VALUE(LEFT($A390,4)),1,4),2)+1+(VALUE(MID($A390,7,2))-1)*7)-p_semana_referencia)/7,$F390)))))</f>
        <v/>
      </c>
      <c r="H390" s="24">
        <f>IF(COUNTIFS('PLAN_VACACIONES'!$A$4:$A$103,$C390,'PLAN_VACACIONES'!$B$4:$B$103,"&lt;="&amp;$L390,'PLAN_VACACIONES'!$C$4:$C$103,"&gt;="&amp;$L390)&gt;0,"sí","no")</f>
        <v/>
      </c>
      <c r="I390" s="4" t="n"/>
      <c r="J390" s="24">
        <f>IF($I390&lt;&gt;"",$I390,IF($G390="","",IF($H390="sí","VAC",IF(LEFT($G390,1)="B","B",$G390))))</f>
        <v/>
      </c>
      <c r="K390" s="24">
        <f>IFERROR(INDEX('TECNICOS'!$E$4:$E$19,MATCH($C390,'TECNICOS'!$B$4:$B$19,0)),"")</f>
        <v/>
      </c>
      <c r="L390" s="30">
        <f>IF($A390="","",DATE(VALUE(LEFT($A390,4)),1,4)-WEEKDAY(DATE(VALUE(LEFT($A390,4)),1,4),2)+1+(VALUE(MID($A390,7,2))-1)*7+MATCH($B390,lista_dias,0)-1)</f>
        <v/>
      </c>
      <c r="M390" s="24">
        <f>IF(OR($J390="",ISNUMBER(MATCH($J390,lista_no_disponible,0)),(IFERROR(INDEX('CALENDARIO'!$C$15:$C$214,MATCH(TEXT($L390,"yyyy-mm-dd")&amp;"|"&amp;$D390&amp;"|"&amp;"",'CALENDARIO'!$G$15:$G$214,0)),IFERROR(INDEX('CALENDARIO'!$C$15:$C$214,MATCH(TEXT($L390,"yyyy-mm-dd")&amp;"|"&amp;$D390&amp;"|",'CALENDARIO'!$G$15:$G$214,0)),IFERROR(INDEX('CALENDARIO'!$C$15:$C$214,MATCH(TEXT($L390,"yyyy-mm-dd")&amp;"||",'CALENDARIO'!$G$15:$G$214,0)),INDEX(patronHabil,WEEKDAY($L390,2))))))&lt;&gt;"sí"),0,p_horas_jornada)</f>
        <v/>
      </c>
      <c r="N390" s="24">
        <f>$A390&amp;"|"&amp;$B390&amp;"|"&amp;$C390</f>
        <v/>
      </c>
      <c r="O390" s="24">
        <f>IFERROR(INDEX('CAT_TURNOS'!$C$4:$C$22,MATCH($J390,'CAT_TURNOS'!$A$4:$A$22,0)),"")</f>
        <v/>
      </c>
      <c r="P390" s="24">
        <f>IFERROR(INDEX('CAT_TURNOS'!$D$4:$D$22,MATCH($J390,'CAT_TURNOS'!$A$4:$A$22,0)),"")</f>
        <v/>
      </c>
      <c r="Q390" s="24">
        <f>IF(AND(LEFT($G390,1)="T",$H390="no"),"sí","no")</f>
        <v/>
      </c>
    </row>
    <row r="391">
      <c r="A391" s="5" t="inlineStr">
        <is>
          <t>2026-S33</t>
        </is>
      </c>
      <c r="B391" s="5" t="inlineStr">
        <is>
          <t>miércoles</t>
        </is>
      </c>
      <c r="C391" s="5" t="inlineStr">
        <is>
          <t>Jorge Díaz</t>
        </is>
      </c>
      <c r="D391" s="24">
        <f>IFERROR(INDEX('TECNICOS'!$D$4:$D$19,MATCH($C391,'TECNICOS'!$B$4:$B$19,0)),"")</f>
        <v/>
      </c>
      <c r="E391" s="24">
        <f>IFERROR(INDEX('TECNICOS'!$C$4:$C$19,MATCH($C391,'TECNICOS'!$B$4:$B$19,0)),"")</f>
        <v/>
      </c>
      <c r="F391" s="24">
        <f>COUNTIFS('TECNICOS'!$F$4:$F$19,"sí",'TECNICOS'!$C$4:$C$19,$E391,'TECNICOS'!$D$4:$D$19,$D391,'TECNICOS'!$H$4:$H$19,"sí")</f>
        <v/>
      </c>
      <c r="G391" s="24">
        <f>IF(OR($C391="",$A391="",$B391="domingo",IFERROR(INDEX('TECNICOS'!$H$4:$H$19,MATCH($C391,'TECNICOS'!$B$4:$B$19,0)),"no")&lt;&gt;"sí"),"",IF(IFERROR(INDEX('TECNICOS'!$F$4:$F$19,MATCH($C391,'TECNICOS'!$B$4:$B$19,0)),"no")&lt;&gt;"sí","B",IF(MOD((IFERROR(INDEX('TECNICOS'!$G$4:$G$19,MATCH($C391,'TECNICOS'!$B$4:$B$19,0)),0)-1)+((DATE(VALUE(LEFT($A391,4)),1,4)-WEEKDAY(DATE(VALUE(LEFT($A391,4)),1,4),2)+1+(VALUE(MID($A391,7,2))-1)*7)-p_semana_referencia)/7,$F391)&lt;($F391-3),"B"&amp;(($F391-3)-MOD((IFERROR(INDEX('TECNICOS'!$G$4:$G$19,MATCH($C391,'TECNICOS'!$B$4:$B$19,0)),0)-1)+((DATE(VALUE(LEFT($A391,4)),1,4)-WEEKDAY(DATE(VALUE(LEFT($A391,4)),1,4),2)+1+(VALUE(MID($A391,7,2))-1)*7)-p_semana_referencia)/7,$F391)),"T"&amp;($F391-MOD((IFERROR(INDEX('TECNICOS'!$G$4:$G$19,MATCH($C391,'TECNICOS'!$B$4:$B$19,0)),0)-1)+((DATE(VALUE(LEFT($A391,4)),1,4)-WEEKDAY(DATE(VALUE(LEFT($A391,4)),1,4),2)+1+(VALUE(MID($A391,7,2))-1)*7)-p_semana_referencia)/7,$F391)))))</f>
        <v/>
      </c>
      <c r="H391" s="24">
        <f>IF(COUNTIFS('PLAN_VACACIONES'!$A$4:$A$103,$C391,'PLAN_VACACIONES'!$B$4:$B$103,"&lt;="&amp;$L391,'PLAN_VACACIONES'!$C$4:$C$103,"&gt;="&amp;$L391)&gt;0,"sí","no")</f>
        <v/>
      </c>
      <c r="I391" s="4" t="n"/>
      <c r="J391" s="24">
        <f>IF($I391&lt;&gt;"",$I391,IF($G391="","",IF($H391="sí","VAC",IF(LEFT($G391,1)="B","B",$G391))))</f>
        <v/>
      </c>
      <c r="K391" s="24">
        <f>IFERROR(INDEX('TECNICOS'!$E$4:$E$19,MATCH($C391,'TECNICOS'!$B$4:$B$19,0)),"")</f>
        <v/>
      </c>
      <c r="L391" s="30">
        <f>IF($A391="","",DATE(VALUE(LEFT($A391,4)),1,4)-WEEKDAY(DATE(VALUE(LEFT($A391,4)),1,4),2)+1+(VALUE(MID($A391,7,2))-1)*7+MATCH($B391,lista_dias,0)-1)</f>
        <v/>
      </c>
      <c r="M391" s="24">
        <f>IF(OR($J391="",ISNUMBER(MATCH($J391,lista_no_disponible,0)),(IFERROR(INDEX('CALENDARIO'!$C$15:$C$214,MATCH(TEXT($L391,"yyyy-mm-dd")&amp;"|"&amp;$D391&amp;"|"&amp;"",'CALENDARIO'!$G$15:$G$214,0)),IFERROR(INDEX('CALENDARIO'!$C$15:$C$214,MATCH(TEXT($L391,"yyyy-mm-dd")&amp;"|"&amp;$D391&amp;"|",'CALENDARIO'!$G$15:$G$214,0)),IFERROR(INDEX('CALENDARIO'!$C$15:$C$214,MATCH(TEXT($L391,"yyyy-mm-dd")&amp;"||",'CALENDARIO'!$G$15:$G$214,0)),INDEX(patronHabil,WEEKDAY($L391,2))))))&lt;&gt;"sí"),0,p_horas_jornada)</f>
        <v/>
      </c>
      <c r="N391" s="24">
        <f>$A391&amp;"|"&amp;$B391&amp;"|"&amp;$C391</f>
        <v/>
      </c>
      <c r="O391" s="24">
        <f>IFERROR(INDEX('CAT_TURNOS'!$C$4:$C$22,MATCH($J391,'CAT_TURNOS'!$A$4:$A$22,0)),"")</f>
        <v/>
      </c>
      <c r="P391" s="24">
        <f>IFERROR(INDEX('CAT_TURNOS'!$D$4:$D$22,MATCH($J391,'CAT_TURNOS'!$A$4:$A$22,0)),"")</f>
        <v/>
      </c>
      <c r="Q391" s="24">
        <f>IF(AND(LEFT($G391,1)="T",$H391="no"),"sí","no")</f>
        <v/>
      </c>
    </row>
    <row r="392">
      <c r="A392" s="5" t="inlineStr">
        <is>
          <t>2026-S33</t>
        </is>
      </c>
      <c r="B392" s="5" t="inlineStr">
        <is>
          <t>jueves</t>
        </is>
      </c>
      <c r="C392" s="5" t="inlineStr">
        <is>
          <t>Jorge Díaz</t>
        </is>
      </c>
      <c r="D392" s="24">
        <f>IFERROR(INDEX('TECNICOS'!$D$4:$D$19,MATCH($C392,'TECNICOS'!$B$4:$B$19,0)),"")</f>
        <v/>
      </c>
      <c r="E392" s="24">
        <f>IFERROR(INDEX('TECNICOS'!$C$4:$C$19,MATCH($C392,'TECNICOS'!$B$4:$B$19,0)),"")</f>
        <v/>
      </c>
      <c r="F392" s="24">
        <f>COUNTIFS('TECNICOS'!$F$4:$F$19,"sí",'TECNICOS'!$C$4:$C$19,$E392,'TECNICOS'!$D$4:$D$19,$D392,'TECNICOS'!$H$4:$H$19,"sí")</f>
        <v/>
      </c>
      <c r="G392" s="24">
        <f>IF(OR($C392="",$A392="",$B392="domingo",IFERROR(INDEX('TECNICOS'!$H$4:$H$19,MATCH($C392,'TECNICOS'!$B$4:$B$19,0)),"no")&lt;&gt;"sí"),"",IF(IFERROR(INDEX('TECNICOS'!$F$4:$F$19,MATCH($C392,'TECNICOS'!$B$4:$B$19,0)),"no")&lt;&gt;"sí","B",IF(MOD((IFERROR(INDEX('TECNICOS'!$G$4:$G$19,MATCH($C392,'TECNICOS'!$B$4:$B$19,0)),0)-1)+((DATE(VALUE(LEFT($A392,4)),1,4)-WEEKDAY(DATE(VALUE(LEFT($A392,4)),1,4),2)+1+(VALUE(MID($A392,7,2))-1)*7)-p_semana_referencia)/7,$F392)&lt;($F392-3),"B"&amp;(($F392-3)-MOD((IFERROR(INDEX('TECNICOS'!$G$4:$G$19,MATCH($C392,'TECNICOS'!$B$4:$B$19,0)),0)-1)+((DATE(VALUE(LEFT($A392,4)),1,4)-WEEKDAY(DATE(VALUE(LEFT($A392,4)),1,4),2)+1+(VALUE(MID($A392,7,2))-1)*7)-p_semana_referencia)/7,$F392)),"T"&amp;($F392-MOD((IFERROR(INDEX('TECNICOS'!$G$4:$G$19,MATCH($C392,'TECNICOS'!$B$4:$B$19,0)),0)-1)+((DATE(VALUE(LEFT($A392,4)),1,4)-WEEKDAY(DATE(VALUE(LEFT($A392,4)),1,4),2)+1+(VALUE(MID($A392,7,2))-1)*7)-p_semana_referencia)/7,$F392)))))</f>
        <v/>
      </c>
      <c r="H392" s="24">
        <f>IF(COUNTIFS('PLAN_VACACIONES'!$A$4:$A$103,$C392,'PLAN_VACACIONES'!$B$4:$B$103,"&lt;="&amp;$L392,'PLAN_VACACIONES'!$C$4:$C$103,"&gt;="&amp;$L392)&gt;0,"sí","no")</f>
        <v/>
      </c>
      <c r="I392" s="4" t="n"/>
      <c r="J392" s="24">
        <f>IF($I392&lt;&gt;"",$I392,IF($G392="","",IF($H392="sí","VAC",IF(LEFT($G392,1)="B","B",$G392))))</f>
        <v/>
      </c>
      <c r="K392" s="24">
        <f>IFERROR(INDEX('TECNICOS'!$E$4:$E$19,MATCH($C392,'TECNICOS'!$B$4:$B$19,0)),"")</f>
        <v/>
      </c>
      <c r="L392" s="30">
        <f>IF($A392="","",DATE(VALUE(LEFT($A392,4)),1,4)-WEEKDAY(DATE(VALUE(LEFT($A392,4)),1,4),2)+1+(VALUE(MID($A392,7,2))-1)*7+MATCH($B392,lista_dias,0)-1)</f>
        <v/>
      </c>
      <c r="M392" s="24">
        <f>IF(OR($J392="",ISNUMBER(MATCH($J392,lista_no_disponible,0)),(IFERROR(INDEX('CALENDARIO'!$C$15:$C$214,MATCH(TEXT($L392,"yyyy-mm-dd")&amp;"|"&amp;$D392&amp;"|"&amp;"",'CALENDARIO'!$G$15:$G$214,0)),IFERROR(INDEX('CALENDARIO'!$C$15:$C$214,MATCH(TEXT($L392,"yyyy-mm-dd")&amp;"|"&amp;$D392&amp;"|",'CALENDARIO'!$G$15:$G$214,0)),IFERROR(INDEX('CALENDARIO'!$C$15:$C$214,MATCH(TEXT($L392,"yyyy-mm-dd")&amp;"||",'CALENDARIO'!$G$15:$G$214,0)),INDEX(patronHabil,WEEKDAY($L392,2))))))&lt;&gt;"sí"),0,p_horas_jornada)</f>
        <v/>
      </c>
      <c r="N392" s="24">
        <f>$A392&amp;"|"&amp;$B392&amp;"|"&amp;$C392</f>
        <v/>
      </c>
      <c r="O392" s="24">
        <f>IFERROR(INDEX('CAT_TURNOS'!$C$4:$C$22,MATCH($J392,'CAT_TURNOS'!$A$4:$A$22,0)),"")</f>
        <v/>
      </c>
      <c r="P392" s="24">
        <f>IFERROR(INDEX('CAT_TURNOS'!$D$4:$D$22,MATCH($J392,'CAT_TURNOS'!$A$4:$A$22,0)),"")</f>
        <v/>
      </c>
      <c r="Q392" s="24">
        <f>IF(AND(LEFT($G392,1)="T",$H392="no"),"sí","no")</f>
        <v/>
      </c>
    </row>
    <row r="393">
      <c r="A393" s="5" t="inlineStr">
        <is>
          <t>2026-S33</t>
        </is>
      </c>
      <c r="B393" s="5" t="inlineStr">
        <is>
          <t>viernes</t>
        </is>
      </c>
      <c r="C393" s="5" t="inlineStr">
        <is>
          <t>Jorge Díaz</t>
        </is>
      </c>
      <c r="D393" s="24">
        <f>IFERROR(INDEX('TECNICOS'!$D$4:$D$19,MATCH($C393,'TECNICOS'!$B$4:$B$19,0)),"")</f>
        <v/>
      </c>
      <c r="E393" s="24">
        <f>IFERROR(INDEX('TECNICOS'!$C$4:$C$19,MATCH($C393,'TECNICOS'!$B$4:$B$19,0)),"")</f>
        <v/>
      </c>
      <c r="F393" s="24">
        <f>COUNTIFS('TECNICOS'!$F$4:$F$19,"sí",'TECNICOS'!$C$4:$C$19,$E393,'TECNICOS'!$D$4:$D$19,$D393,'TECNICOS'!$H$4:$H$19,"sí")</f>
        <v/>
      </c>
      <c r="G393" s="24">
        <f>IF(OR($C393="",$A393="",$B393="domingo",IFERROR(INDEX('TECNICOS'!$H$4:$H$19,MATCH($C393,'TECNICOS'!$B$4:$B$19,0)),"no")&lt;&gt;"sí"),"",IF(IFERROR(INDEX('TECNICOS'!$F$4:$F$19,MATCH($C393,'TECNICOS'!$B$4:$B$19,0)),"no")&lt;&gt;"sí","B",IF(MOD((IFERROR(INDEX('TECNICOS'!$G$4:$G$19,MATCH($C393,'TECNICOS'!$B$4:$B$19,0)),0)-1)+((DATE(VALUE(LEFT($A393,4)),1,4)-WEEKDAY(DATE(VALUE(LEFT($A393,4)),1,4),2)+1+(VALUE(MID($A393,7,2))-1)*7)-p_semana_referencia)/7,$F393)&lt;($F393-3),"B"&amp;(($F393-3)-MOD((IFERROR(INDEX('TECNICOS'!$G$4:$G$19,MATCH($C393,'TECNICOS'!$B$4:$B$19,0)),0)-1)+((DATE(VALUE(LEFT($A393,4)),1,4)-WEEKDAY(DATE(VALUE(LEFT($A393,4)),1,4),2)+1+(VALUE(MID($A393,7,2))-1)*7)-p_semana_referencia)/7,$F393)),"T"&amp;($F393-MOD((IFERROR(INDEX('TECNICOS'!$G$4:$G$19,MATCH($C393,'TECNICOS'!$B$4:$B$19,0)),0)-1)+((DATE(VALUE(LEFT($A393,4)),1,4)-WEEKDAY(DATE(VALUE(LEFT($A393,4)),1,4),2)+1+(VALUE(MID($A393,7,2))-1)*7)-p_semana_referencia)/7,$F393)))))</f>
        <v/>
      </c>
      <c r="H393" s="24">
        <f>IF(COUNTIFS('PLAN_VACACIONES'!$A$4:$A$103,$C393,'PLAN_VACACIONES'!$B$4:$B$103,"&lt;="&amp;$L393,'PLAN_VACACIONES'!$C$4:$C$103,"&gt;="&amp;$L393)&gt;0,"sí","no")</f>
        <v/>
      </c>
      <c r="I393" s="4" t="n"/>
      <c r="J393" s="24">
        <f>IF($I393&lt;&gt;"",$I393,IF($G393="","",IF($H393="sí","VAC",IF(LEFT($G393,1)="B","B",$G393))))</f>
        <v/>
      </c>
      <c r="K393" s="24">
        <f>IFERROR(INDEX('TECNICOS'!$E$4:$E$19,MATCH($C393,'TECNICOS'!$B$4:$B$19,0)),"")</f>
        <v/>
      </c>
      <c r="L393" s="30">
        <f>IF($A393="","",DATE(VALUE(LEFT($A393,4)),1,4)-WEEKDAY(DATE(VALUE(LEFT($A393,4)),1,4),2)+1+(VALUE(MID($A393,7,2))-1)*7+MATCH($B393,lista_dias,0)-1)</f>
        <v/>
      </c>
      <c r="M393" s="24">
        <f>IF(OR($J393="",ISNUMBER(MATCH($J393,lista_no_disponible,0)),(IFERROR(INDEX('CALENDARIO'!$C$15:$C$214,MATCH(TEXT($L393,"yyyy-mm-dd")&amp;"|"&amp;$D393&amp;"|"&amp;"",'CALENDARIO'!$G$15:$G$214,0)),IFERROR(INDEX('CALENDARIO'!$C$15:$C$214,MATCH(TEXT($L393,"yyyy-mm-dd")&amp;"|"&amp;$D393&amp;"|",'CALENDARIO'!$G$15:$G$214,0)),IFERROR(INDEX('CALENDARIO'!$C$15:$C$214,MATCH(TEXT($L393,"yyyy-mm-dd")&amp;"||",'CALENDARIO'!$G$15:$G$214,0)),INDEX(patronHabil,WEEKDAY($L393,2))))))&lt;&gt;"sí"),0,p_horas_jornada)</f>
        <v/>
      </c>
      <c r="N393" s="24">
        <f>$A393&amp;"|"&amp;$B393&amp;"|"&amp;$C393</f>
        <v/>
      </c>
      <c r="O393" s="24">
        <f>IFERROR(INDEX('CAT_TURNOS'!$C$4:$C$22,MATCH($J393,'CAT_TURNOS'!$A$4:$A$22,0)),"")</f>
        <v/>
      </c>
      <c r="P393" s="24">
        <f>IFERROR(INDEX('CAT_TURNOS'!$D$4:$D$22,MATCH($J393,'CAT_TURNOS'!$A$4:$A$22,0)),"")</f>
        <v/>
      </c>
      <c r="Q393" s="24">
        <f>IF(AND(LEFT($G393,1)="T",$H393="no"),"sí","no")</f>
        <v/>
      </c>
    </row>
    <row r="394">
      <c r="A394" s="5" t="inlineStr">
        <is>
          <t>2026-S33</t>
        </is>
      </c>
      <c r="B394" s="5" t="inlineStr">
        <is>
          <t>sábado</t>
        </is>
      </c>
      <c r="C394" s="5" t="inlineStr">
        <is>
          <t>Jorge Díaz</t>
        </is>
      </c>
      <c r="D394" s="24">
        <f>IFERROR(INDEX('TECNICOS'!$D$4:$D$19,MATCH($C394,'TECNICOS'!$B$4:$B$19,0)),"")</f>
        <v/>
      </c>
      <c r="E394" s="24">
        <f>IFERROR(INDEX('TECNICOS'!$C$4:$C$19,MATCH($C394,'TECNICOS'!$B$4:$B$19,0)),"")</f>
        <v/>
      </c>
      <c r="F394" s="24">
        <f>COUNTIFS('TECNICOS'!$F$4:$F$19,"sí",'TECNICOS'!$C$4:$C$19,$E394,'TECNICOS'!$D$4:$D$19,$D394,'TECNICOS'!$H$4:$H$19,"sí")</f>
        <v/>
      </c>
      <c r="G394" s="24">
        <f>IF(OR($C394="",$A394="",$B394="domingo",IFERROR(INDEX('TECNICOS'!$H$4:$H$19,MATCH($C394,'TECNICOS'!$B$4:$B$19,0)),"no")&lt;&gt;"sí"),"",IF(IFERROR(INDEX('TECNICOS'!$F$4:$F$19,MATCH($C394,'TECNICOS'!$B$4:$B$19,0)),"no")&lt;&gt;"sí","B",IF(MOD((IFERROR(INDEX('TECNICOS'!$G$4:$G$19,MATCH($C394,'TECNICOS'!$B$4:$B$19,0)),0)-1)+((DATE(VALUE(LEFT($A394,4)),1,4)-WEEKDAY(DATE(VALUE(LEFT($A394,4)),1,4),2)+1+(VALUE(MID($A394,7,2))-1)*7)-p_semana_referencia)/7,$F394)&lt;($F394-3),"B"&amp;(($F394-3)-MOD((IFERROR(INDEX('TECNICOS'!$G$4:$G$19,MATCH($C394,'TECNICOS'!$B$4:$B$19,0)),0)-1)+((DATE(VALUE(LEFT($A394,4)),1,4)-WEEKDAY(DATE(VALUE(LEFT($A394,4)),1,4),2)+1+(VALUE(MID($A394,7,2))-1)*7)-p_semana_referencia)/7,$F394)),"T"&amp;($F394-MOD((IFERROR(INDEX('TECNICOS'!$G$4:$G$19,MATCH($C394,'TECNICOS'!$B$4:$B$19,0)),0)-1)+((DATE(VALUE(LEFT($A394,4)),1,4)-WEEKDAY(DATE(VALUE(LEFT($A394,4)),1,4),2)+1+(VALUE(MID($A394,7,2))-1)*7)-p_semana_referencia)/7,$F394)))))</f>
        <v/>
      </c>
      <c r="H394" s="24">
        <f>IF(COUNTIFS('PLAN_VACACIONES'!$A$4:$A$103,$C394,'PLAN_VACACIONES'!$B$4:$B$103,"&lt;="&amp;$L394,'PLAN_VACACIONES'!$C$4:$C$103,"&gt;="&amp;$L394)&gt;0,"sí","no")</f>
        <v/>
      </c>
      <c r="I394" s="4" t="n"/>
      <c r="J394" s="24">
        <f>IF($I394&lt;&gt;"",$I394,IF($G394="","",IF($H394="sí","VAC",IF(LEFT($G394,1)="B","B",$G394))))</f>
        <v/>
      </c>
      <c r="K394" s="24">
        <f>IFERROR(INDEX('TECNICOS'!$E$4:$E$19,MATCH($C394,'TECNICOS'!$B$4:$B$19,0)),"")</f>
        <v/>
      </c>
      <c r="L394" s="30">
        <f>IF($A394="","",DATE(VALUE(LEFT($A394,4)),1,4)-WEEKDAY(DATE(VALUE(LEFT($A394,4)),1,4),2)+1+(VALUE(MID($A394,7,2))-1)*7+MATCH($B394,lista_dias,0)-1)</f>
        <v/>
      </c>
      <c r="M394" s="24">
        <f>IF(OR($J394="",ISNUMBER(MATCH($J394,lista_no_disponible,0)),(IFERROR(INDEX('CALENDARIO'!$C$15:$C$214,MATCH(TEXT($L394,"yyyy-mm-dd")&amp;"|"&amp;$D394&amp;"|"&amp;"",'CALENDARIO'!$G$15:$G$214,0)),IFERROR(INDEX('CALENDARIO'!$C$15:$C$214,MATCH(TEXT($L394,"yyyy-mm-dd")&amp;"|"&amp;$D394&amp;"|",'CALENDARIO'!$G$15:$G$214,0)),IFERROR(INDEX('CALENDARIO'!$C$15:$C$214,MATCH(TEXT($L394,"yyyy-mm-dd")&amp;"||",'CALENDARIO'!$G$15:$G$214,0)),INDEX(patronHabil,WEEKDAY($L394,2))))))&lt;&gt;"sí"),0,p_horas_jornada)</f>
        <v/>
      </c>
      <c r="N394" s="24">
        <f>$A394&amp;"|"&amp;$B394&amp;"|"&amp;$C394</f>
        <v/>
      </c>
      <c r="O394" s="24">
        <f>IFERROR(INDEX('CAT_TURNOS'!$C$4:$C$22,MATCH($J394,'CAT_TURNOS'!$A$4:$A$22,0)),"")</f>
        <v/>
      </c>
      <c r="P394" s="24">
        <f>IFERROR(INDEX('CAT_TURNOS'!$D$4:$D$22,MATCH($J394,'CAT_TURNOS'!$A$4:$A$22,0)),"")</f>
        <v/>
      </c>
      <c r="Q394" s="24">
        <f>IF(AND(LEFT($G394,1)="T",$H394="no"),"sí","no")</f>
        <v/>
      </c>
    </row>
    <row r="395">
      <c r="A395" s="5" t="inlineStr">
        <is>
          <t>2026-S33</t>
        </is>
      </c>
      <c r="B395" s="5" t="inlineStr">
        <is>
          <t>domingo</t>
        </is>
      </c>
      <c r="C395" s="5" t="inlineStr">
        <is>
          <t>Jorge Díaz</t>
        </is>
      </c>
      <c r="D395" s="24">
        <f>IFERROR(INDEX('TECNICOS'!$D$4:$D$19,MATCH($C395,'TECNICOS'!$B$4:$B$19,0)),"")</f>
        <v/>
      </c>
      <c r="E395" s="24">
        <f>IFERROR(INDEX('TECNICOS'!$C$4:$C$19,MATCH($C395,'TECNICOS'!$B$4:$B$19,0)),"")</f>
        <v/>
      </c>
      <c r="F395" s="24">
        <f>COUNTIFS('TECNICOS'!$F$4:$F$19,"sí",'TECNICOS'!$C$4:$C$19,$E395,'TECNICOS'!$D$4:$D$19,$D395,'TECNICOS'!$H$4:$H$19,"sí")</f>
        <v/>
      </c>
      <c r="G395" s="24">
        <f>IF(OR($C395="",$A395="",$B395="domingo",IFERROR(INDEX('TECNICOS'!$H$4:$H$19,MATCH($C395,'TECNICOS'!$B$4:$B$19,0)),"no")&lt;&gt;"sí"),"",IF(IFERROR(INDEX('TECNICOS'!$F$4:$F$19,MATCH($C395,'TECNICOS'!$B$4:$B$19,0)),"no")&lt;&gt;"sí","B",IF(MOD((IFERROR(INDEX('TECNICOS'!$G$4:$G$19,MATCH($C395,'TECNICOS'!$B$4:$B$19,0)),0)-1)+((DATE(VALUE(LEFT($A395,4)),1,4)-WEEKDAY(DATE(VALUE(LEFT($A395,4)),1,4),2)+1+(VALUE(MID($A395,7,2))-1)*7)-p_semana_referencia)/7,$F395)&lt;($F395-3),"B"&amp;(($F395-3)-MOD((IFERROR(INDEX('TECNICOS'!$G$4:$G$19,MATCH($C395,'TECNICOS'!$B$4:$B$19,0)),0)-1)+((DATE(VALUE(LEFT($A395,4)),1,4)-WEEKDAY(DATE(VALUE(LEFT($A395,4)),1,4),2)+1+(VALUE(MID($A395,7,2))-1)*7)-p_semana_referencia)/7,$F395)),"T"&amp;($F395-MOD((IFERROR(INDEX('TECNICOS'!$G$4:$G$19,MATCH($C395,'TECNICOS'!$B$4:$B$19,0)),0)-1)+((DATE(VALUE(LEFT($A395,4)),1,4)-WEEKDAY(DATE(VALUE(LEFT($A395,4)),1,4),2)+1+(VALUE(MID($A395,7,2))-1)*7)-p_semana_referencia)/7,$F395)))))</f>
        <v/>
      </c>
      <c r="H395" s="24">
        <f>IF(COUNTIFS('PLAN_VACACIONES'!$A$4:$A$103,$C395,'PLAN_VACACIONES'!$B$4:$B$103,"&lt;="&amp;$L395,'PLAN_VACACIONES'!$C$4:$C$103,"&gt;="&amp;$L395)&gt;0,"sí","no")</f>
        <v/>
      </c>
      <c r="I395" s="4" t="n"/>
      <c r="J395" s="24">
        <f>IF($I395&lt;&gt;"",$I395,IF($G395="","",IF($H395="sí","VAC",IF(LEFT($G395,1)="B","B",$G395))))</f>
        <v/>
      </c>
      <c r="K395" s="24">
        <f>IFERROR(INDEX('TECNICOS'!$E$4:$E$19,MATCH($C395,'TECNICOS'!$B$4:$B$19,0)),"")</f>
        <v/>
      </c>
      <c r="L395" s="30">
        <f>IF($A395="","",DATE(VALUE(LEFT($A395,4)),1,4)-WEEKDAY(DATE(VALUE(LEFT($A395,4)),1,4),2)+1+(VALUE(MID($A395,7,2))-1)*7+MATCH($B395,lista_dias,0)-1)</f>
        <v/>
      </c>
      <c r="M395" s="24">
        <f>IF(OR($J395="",ISNUMBER(MATCH($J395,lista_no_disponible,0)),(IFERROR(INDEX('CALENDARIO'!$C$15:$C$214,MATCH(TEXT($L395,"yyyy-mm-dd")&amp;"|"&amp;$D395&amp;"|"&amp;"",'CALENDARIO'!$G$15:$G$214,0)),IFERROR(INDEX('CALENDARIO'!$C$15:$C$214,MATCH(TEXT($L395,"yyyy-mm-dd")&amp;"|"&amp;$D395&amp;"|",'CALENDARIO'!$G$15:$G$214,0)),IFERROR(INDEX('CALENDARIO'!$C$15:$C$214,MATCH(TEXT($L395,"yyyy-mm-dd")&amp;"||",'CALENDARIO'!$G$15:$G$214,0)),INDEX(patronHabil,WEEKDAY($L395,2))))))&lt;&gt;"sí"),0,p_horas_jornada)</f>
        <v/>
      </c>
      <c r="N395" s="24">
        <f>$A395&amp;"|"&amp;$B395&amp;"|"&amp;$C395</f>
        <v/>
      </c>
      <c r="O395" s="24">
        <f>IFERROR(INDEX('CAT_TURNOS'!$C$4:$C$22,MATCH($J395,'CAT_TURNOS'!$A$4:$A$22,0)),"")</f>
        <v/>
      </c>
      <c r="P395" s="24">
        <f>IFERROR(INDEX('CAT_TURNOS'!$D$4:$D$22,MATCH($J395,'CAT_TURNOS'!$A$4:$A$22,0)),"")</f>
        <v/>
      </c>
      <c r="Q395" s="24">
        <f>IF(AND(LEFT($G395,1)="T",$H395="no"),"sí","no")</f>
        <v/>
      </c>
    </row>
    <row r="396">
      <c r="A396" s="5" t="inlineStr">
        <is>
          <t>2026-S33</t>
        </is>
      </c>
      <c r="B396" s="5" t="inlineStr">
        <is>
          <t>lunes</t>
        </is>
      </c>
      <c r="C396" s="5" t="inlineStr">
        <is>
          <t>Roberto Castro</t>
        </is>
      </c>
      <c r="D396" s="24">
        <f>IFERROR(INDEX('TECNICOS'!$D$4:$D$19,MATCH($C396,'TECNICOS'!$B$4:$B$19,0)),"")</f>
        <v/>
      </c>
      <c r="E396" s="24">
        <f>IFERROR(INDEX('TECNICOS'!$C$4:$C$19,MATCH($C396,'TECNICOS'!$B$4:$B$19,0)),"")</f>
        <v/>
      </c>
      <c r="F396" s="24">
        <f>COUNTIFS('TECNICOS'!$F$4:$F$19,"sí",'TECNICOS'!$C$4:$C$19,$E396,'TECNICOS'!$D$4:$D$19,$D396,'TECNICOS'!$H$4:$H$19,"sí")</f>
        <v/>
      </c>
      <c r="G396" s="24">
        <f>IF(OR($C396="",$A396="",$B396="domingo",IFERROR(INDEX('TECNICOS'!$H$4:$H$19,MATCH($C396,'TECNICOS'!$B$4:$B$19,0)),"no")&lt;&gt;"sí"),"",IF(IFERROR(INDEX('TECNICOS'!$F$4:$F$19,MATCH($C396,'TECNICOS'!$B$4:$B$19,0)),"no")&lt;&gt;"sí","B",IF(MOD((IFERROR(INDEX('TECNICOS'!$G$4:$G$19,MATCH($C396,'TECNICOS'!$B$4:$B$19,0)),0)-1)+((DATE(VALUE(LEFT($A396,4)),1,4)-WEEKDAY(DATE(VALUE(LEFT($A396,4)),1,4),2)+1+(VALUE(MID($A396,7,2))-1)*7)-p_semana_referencia)/7,$F396)&lt;($F396-3),"B"&amp;(($F396-3)-MOD((IFERROR(INDEX('TECNICOS'!$G$4:$G$19,MATCH($C396,'TECNICOS'!$B$4:$B$19,0)),0)-1)+((DATE(VALUE(LEFT($A396,4)),1,4)-WEEKDAY(DATE(VALUE(LEFT($A396,4)),1,4),2)+1+(VALUE(MID($A396,7,2))-1)*7)-p_semana_referencia)/7,$F396)),"T"&amp;($F396-MOD((IFERROR(INDEX('TECNICOS'!$G$4:$G$19,MATCH($C396,'TECNICOS'!$B$4:$B$19,0)),0)-1)+((DATE(VALUE(LEFT($A396,4)),1,4)-WEEKDAY(DATE(VALUE(LEFT($A396,4)),1,4),2)+1+(VALUE(MID($A396,7,2))-1)*7)-p_semana_referencia)/7,$F396)))))</f>
        <v/>
      </c>
      <c r="H396" s="24">
        <f>IF(COUNTIFS('PLAN_VACACIONES'!$A$4:$A$103,$C396,'PLAN_VACACIONES'!$B$4:$B$103,"&lt;="&amp;$L396,'PLAN_VACACIONES'!$C$4:$C$103,"&gt;="&amp;$L396)&gt;0,"sí","no")</f>
        <v/>
      </c>
      <c r="I396" s="4" t="n"/>
      <c r="J396" s="24">
        <f>IF($I396&lt;&gt;"",$I396,IF($G396="","",IF($H396="sí","VAC",IF(LEFT($G396,1)="B","B",$G396))))</f>
        <v/>
      </c>
      <c r="K396" s="24">
        <f>IFERROR(INDEX('TECNICOS'!$E$4:$E$19,MATCH($C396,'TECNICOS'!$B$4:$B$19,0)),"")</f>
        <v/>
      </c>
      <c r="L396" s="30">
        <f>IF($A396="","",DATE(VALUE(LEFT($A396,4)),1,4)-WEEKDAY(DATE(VALUE(LEFT($A396,4)),1,4),2)+1+(VALUE(MID($A396,7,2))-1)*7+MATCH($B396,lista_dias,0)-1)</f>
        <v/>
      </c>
      <c r="M396" s="24">
        <f>IF(OR($J396="",ISNUMBER(MATCH($J396,lista_no_disponible,0)),(IFERROR(INDEX('CALENDARIO'!$C$15:$C$214,MATCH(TEXT($L396,"yyyy-mm-dd")&amp;"|"&amp;$D396&amp;"|"&amp;"",'CALENDARIO'!$G$15:$G$214,0)),IFERROR(INDEX('CALENDARIO'!$C$15:$C$214,MATCH(TEXT($L396,"yyyy-mm-dd")&amp;"|"&amp;$D396&amp;"|",'CALENDARIO'!$G$15:$G$214,0)),IFERROR(INDEX('CALENDARIO'!$C$15:$C$214,MATCH(TEXT($L396,"yyyy-mm-dd")&amp;"||",'CALENDARIO'!$G$15:$G$214,0)),INDEX(patronHabil,WEEKDAY($L396,2))))))&lt;&gt;"sí"),0,p_horas_jornada)</f>
        <v/>
      </c>
      <c r="N396" s="24">
        <f>$A396&amp;"|"&amp;$B396&amp;"|"&amp;$C396</f>
        <v/>
      </c>
      <c r="O396" s="24">
        <f>IFERROR(INDEX('CAT_TURNOS'!$C$4:$C$22,MATCH($J396,'CAT_TURNOS'!$A$4:$A$22,0)),"")</f>
        <v/>
      </c>
      <c r="P396" s="24">
        <f>IFERROR(INDEX('CAT_TURNOS'!$D$4:$D$22,MATCH($J396,'CAT_TURNOS'!$A$4:$A$22,0)),"")</f>
        <v/>
      </c>
      <c r="Q396" s="24">
        <f>IF(AND(LEFT($G396,1)="T",$H396="no"),"sí","no")</f>
        <v/>
      </c>
    </row>
    <row r="397">
      <c r="A397" s="5" t="inlineStr">
        <is>
          <t>2026-S33</t>
        </is>
      </c>
      <c r="B397" s="5" t="inlineStr">
        <is>
          <t>martes</t>
        </is>
      </c>
      <c r="C397" s="5" t="inlineStr">
        <is>
          <t>Roberto Castro</t>
        </is>
      </c>
      <c r="D397" s="24">
        <f>IFERROR(INDEX('TECNICOS'!$D$4:$D$19,MATCH($C397,'TECNICOS'!$B$4:$B$19,0)),"")</f>
        <v/>
      </c>
      <c r="E397" s="24">
        <f>IFERROR(INDEX('TECNICOS'!$C$4:$C$19,MATCH($C397,'TECNICOS'!$B$4:$B$19,0)),"")</f>
        <v/>
      </c>
      <c r="F397" s="24">
        <f>COUNTIFS('TECNICOS'!$F$4:$F$19,"sí",'TECNICOS'!$C$4:$C$19,$E397,'TECNICOS'!$D$4:$D$19,$D397,'TECNICOS'!$H$4:$H$19,"sí")</f>
        <v/>
      </c>
      <c r="G397" s="24">
        <f>IF(OR($C397="",$A397="",$B397="domingo",IFERROR(INDEX('TECNICOS'!$H$4:$H$19,MATCH($C397,'TECNICOS'!$B$4:$B$19,0)),"no")&lt;&gt;"sí"),"",IF(IFERROR(INDEX('TECNICOS'!$F$4:$F$19,MATCH($C397,'TECNICOS'!$B$4:$B$19,0)),"no")&lt;&gt;"sí","B",IF(MOD((IFERROR(INDEX('TECNICOS'!$G$4:$G$19,MATCH($C397,'TECNICOS'!$B$4:$B$19,0)),0)-1)+((DATE(VALUE(LEFT($A397,4)),1,4)-WEEKDAY(DATE(VALUE(LEFT($A397,4)),1,4),2)+1+(VALUE(MID($A397,7,2))-1)*7)-p_semana_referencia)/7,$F397)&lt;($F397-3),"B"&amp;(($F397-3)-MOD((IFERROR(INDEX('TECNICOS'!$G$4:$G$19,MATCH($C397,'TECNICOS'!$B$4:$B$19,0)),0)-1)+((DATE(VALUE(LEFT($A397,4)),1,4)-WEEKDAY(DATE(VALUE(LEFT($A397,4)),1,4),2)+1+(VALUE(MID($A397,7,2))-1)*7)-p_semana_referencia)/7,$F397)),"T"&amp;($F397-MOD((IFERROR(INDEX('TECNICOS'!$G$4:$G$19,MATCH($C397,'TECNICOS'!$B$4:$B$19,0)),0)-1)+((DATE(VALUE(LEFT($A397,4)),1,4)-WEEKDAY(DATE(VALUE(LEFT($A397,4)),1,4),2)+1+(VALUE(MID($A397,7,2))-1)*7)-p_semana_referencia)/7,$F397)))))</f>
        <v/>
      </c>
      <c r="H397" s="24">
        <f>IF(COUNTIFS('PLAN_VACACIONES'!$A$4:$A$103,$C397,'PLAN_VACACIONES'!$B$4:$B$103,"&lt;="&amp;$L397,'PLAN_VACACIONES'!$C$4:$C$103,"&gt;="&amp;$L397)&gt;0,"sí","no")</f>
        <v/>
      </c>
      <c r="I397" s="4" t="n"/>
      <c r="J397" s="24">
        <f>IF($I397&lt;&gt;"",$I397,IF($G397="","",IF($H397="sí","VAC",IF(LEFT($G397,1)="B","B",$G397))))</f>
        <v/>
      </c>
      <c r="K397" s="24">
        <f>IFERROR(INDEX('TECNICOS'!$E$4:$E$19,MATCH($C397,'TECNICOS'!$B$4:$B$19,0)),"")</f>
        <v/>
      </c>
      <c r="L397" s="30">
        <f>IF($A397="","",DATE(VALUE(LEFT($A397,4)),1,4)-WEEKDAY(DATE(VALUE(LEFT($A397,4)),1,4),2)+1+(VALUE(MID($A397,7,2))-1)*7+MATCH($B397,lista_dias,0)-1)</f>
        <v/>
      </c>
      <c r="M397" s="24">
        <f>IF(OR($J397="",ISNUMBER(MATCH($J397,lista_no_disponible,0)),(IFERROR(INDEX('CALENDARIO'!$C$15:$C$214,MATCH(TEXT($L397,"yyyy-mm-dd")&amp;"|"&amp;$D397&amp;"|"&amp;"",'CALENDARIO'!$G$15:$G$214,0)),IFERROR(INDEX('CALENDARIO'!$C$15:$C$214,MATCH(TEXT($L397,"yyyy-mm-dd")&amp;"|"&amp;$D397&amp;"|",'CALENDARIO'!$G$15:$G$214,0)),IFERROR(INDEX('CALENDARIO'!$C$15:$C$214,MATCH(TEXT($L397,"yyyy-mm-dd")&amp;"||",'CALENDARIO'!$G$15:$G$214,0)),INDEX(patronHabil,WEEKDAY($L397,2))))))&lt;&gt;"sí"),0,p_horas_jornada)</f>
        <v/>
      </c>
      <c r="N397" s="24">
        <f>$A397&amp;"|"&amp;$B397&amp;"|"&amp;$C397</f>
        <v/>
      </c>
      <c r="O397" s="24">
        <f>IFERROR(INDEX('CAT_TURNOS'!$C$4:$C$22,MATCH($J397,'CAT_TURNOS'!$A$4:$A$22,0)),"")</f>
        <v/>
      </c>
      <c r="P397" s="24">
        <f>IFERROR(INDEX('CAT_TURNOS'!$D$4:$D$22,MATCH($J397,'CAT_TURNOS'!$A$4:$A$22,0)),"")</f>
        <v/>
      </c>
      <c r="Q397" s="24">
        <f>IF(AND(LEFT($G397,1)="T",$H397="no"),"sí","no")</f>
        <v/>
      </c>
    </row>
    <row r="398">
      <c r="A398" s="5" t="inlineStr">
        <is>
          <t>2026-S33</t>
        </is>
      </c>
      <c r="B398" s="5" t="inlineStr">
        <is>
          <t>miércoles</t>
        </is>
      </c>
      <c r="C398" s="5" t="inlineStr">
        <is>
          <t>Roberto Castro</t>
        </is>
      </c>
      <c r="D398" s="24">
        <f>IFERROR(INDEX('TECNICOS'!$D$4:$D$19,MATCH($C398,'TECNICOS'!$B$4:$B$19,0)),"")</f>
        <v/>
      </c>
      <c r="E398" s="24">
        <f>IFERROR(INDEX('TECNICOS'!$C$4:$C$19,MATCH($C398,'TECNICOS'!$B$4:$B$19,0)),"")</f>
        <v/>
      </c>
      <c r="F398" s="24">
        <f>COUNTIFS('TECNICOS'!$F$4:$F$19,"sí",'TECNICOS'!$C$4:$C$19,$E398,'TECNICOS'!$D$4:$D$19,$D398,'TECNICOS'!$H$4:$H$19,"sí")</f>
        <v/>
      </c>
      <c r="G398" s="24">
        <f>IF(OR($C398="",$A398="",$B398="domingo",IFERROR(INDEX('TECNICOS'!$H$4:$H$19,MATCH($C398,'TECNICOS'!$B$4:$B$19,0)),"no")&lt;&gt;"sí"),"",IF(IFERROR(INDEX('TECNICOS'!$F$4:$F$19,MATCH($C398,'TECNICOS'!$B$4:$B$19,0)),"no")&lt;&gt;"sí","B",IF(MOD((IFERROR(INDEX('TECNICOS'!$G$4:$G$19,MATCH($C398,'TECNICOS'!$B$4:$B$19,0)),0)-1)+((DATE(VALUE(LEFT($A398,4)),1,4)-WEEKDAY(DATE(VALUE(LEFT($A398,4)),1,4),2)+1+(VALUE(MID($A398,7,2))-1)*7)-p_semana_referencia)/7,$F398)&lt;($F398-3),"B"&amp;(($F398-3)-MOD((IFERROR(INDEX('TECNICOS'!$G$4:$G$19,MATCH($C398,'TECNICOS'!$B$4:$B$19,0)),0)-1)+((DATE(VALUE(LEFT($A398,4)),1,4)-WEEKDAY(DATE(VALUE(LEFT($A398,4)),1,4),2)+1+(VALUE(MID($A398,7,2))-1)*7)-p_semana_referencia)/7,$F398)),"T"&amp;($F398-MOD((IFERROR(INDEX('TECNICOS'!$G$4:$G$19,MATCH($C398,'TECNICOS'!$B$4:$B$19,0)),0)-1)+((DATE(VALUE(LEFT($A398,4)),1,4)-WEEKDAY(DATE(VALUE(LEFT($A398,4)),1,4),2)+1+(VALUE(MID($A398,7,2))-1)*7)-p_semana_referencia)/7,$F398)))))</f>
        <v/>
      </c>
      <c r="H398" s="24">
        <f>IF(COUNTIFS('PLAN_VACACIONES'!$A$4:$A$103,$C398,'PLAN_VACACIONES'!$B$4:$B$103,"&lt;="&amp;$L398,'PLAN_VACACIONES'!$C$4:$C$103,"&gt;="&amp;$L398)&gt;0,"sí","no")</f>
        <v/>
      </c>
      <c r="I398" s="4" t="n"/>
      <c r="J398" s="24">
        <f>IF($I398&lt;&gt;"",$I398,IF($G398="","",IF($H398="sí","VAC",IF(LEFT($G398,1)="B","B",$G398))))</f>
        <v/>
      </c>
      <c r="K398" s="24">
        <f>IFERROR(INDEX('TECNICOS'!$E$4:$E$19,MATCH($C398,'TECNICOS'!$B$4:$B$19,0)),"")</f>
        <v/>
      </c>
      <c r="L398" s="30">
        <f>IF($A398="","",DATE(VALUE(LEFT($A398,4)),1,4)-WEEKDAY(DATE(VALUE(LEFT($A398,4)),1,4),2)+1+(VALUE(MID($A398,7,2))-1)*7+MATCH($B398,lista_dias,0)-1)</f>
        <v/>
      </c>
      <c r="M398" s="24">
        <f>IF(OR($J398="",ISNUMBER(MATCH($J398,lista_no_disponible,0)),(IFERROR(INDEX('CALENDARIO'!$C$15:$C$214,MATCH(TEXT($L398,"yyyy-mm-dd")&amp;"|"&amp;$D398&amp;"|"&amp;"",'CALENDARIO'!$G$15:$G$214,0)),IFERROR(INDEX('CALENDARIO'!$C$15:$C$214,MATCH(TEXT($L398,"yyyy-mm-dd")&amp;"|"&amp;$D398&amp;"|",'CALENDARIO'!$G$15:$G$214,0)),IFERROR(INDEX('CALENDARIO'!$C$15:$C$214,MATCH(TEXT($L398,"yyyy-mm-dd")&amp;"||",'CALENDARIO'!$G$15:$G$214,0)),INDEX(patronHabil,WEEKDAY($L398,2))))))&lt;&gt;"sí"),0,p_horas_jornada)</f>
        <v/>
      </c>
      <c r="N398" s="24">
        <f>$A398&amp;"|"&amp;$B398&amp;"|"&amp;$C398</f>
        <v/>
      </c>
      <c r="O398" s="24">
        <f>IFERROR(INDEX('CAT_TURNOS'!$C$4:$C$22,MATCH($J398,'CAT_TURNOS'!$A$4:$A$22,0)),"")</f>
        <v/>
      </c>
      <c r="P398" s="24">
        <f>IFERROR(INDEX('CAT_TURNOS'!$D$4:$D$22,MATCH($J398,'CAT_TURNOS'!$A$4:$A$22,0)),"")</f>
        <v/>
      </c>
      <c r="Q398" s="24">
        <f>IF(AND(LEFT($G398,1)="T",$H398="no"),"sí","no")</f>
        <v/>
      </c>
    </row>
    <row r="399">
      <c r="A399" s="5" t="inlineStr">
        <is>
          <t>2026-S33</t>
        </is>
      </c>
      <c r="B399" s="5" t="inlineStr">
        <is>
          <t>jueves</t>
        </is>
      </c>
      <c r="C399" s="5" t="inlineStr">
        <is>
          <t>Roberto Castro</t>
        </is>
      </c>
      <c r="D399" s="24">
        <f>IFERROR(INDEX('TECNICOS'!$D$4:$D$19,MATCH($C399,'TECNICOS'!$B$4:$B$19,0)),"")</f>
        <v/>
      </c>
      <c r="E399" s="24">
        <f>IFERROR(INDEX('TECNICOS'!$C$4:$C$19,MATCH($C399,'TECNICOS'!$B$4:$B$19,0)),"")</f>
        <v/>
      </c>
      <c r="F399" s="24">
        <f>COUNTIFS('TECNICOS'!$F$4:$F$19,"sí",'TECNICOS'!$C$4:$C$19,$E399,'TECNICOS'!$D$4:$D$19,$D399,'TECNICOS'!$H$4:$H$19,"sí")</f>
        <v/>
      </c>
      <c r="G399" s="24">
        <f>IF(OR($C399="",$A399="",$B399="domingo",IFERROR(INDEX('TECNICOS'!$H$4:$H$19,MATCH($C399,'TECNICOS'!$B$4:$B$19,0)),"no")&lt;&gt;"sí"),"",IF(IFERROR(INDEX('TECNICOS'!$F$4:$F$19,MATCH($C399,'TECNICOS'!$B$4:$B$19,0)),"no")&lt;&gt;"sí","B",IF(MOD((IFERROR(INDEX('TECNICOS'!$G$4:$G$19,MATCH($C399,'TECNICOS'!$B$4:$B$19,0)),0)-1)+((DATE(VALUE(LEFT($A399,4)),1,4)-WEEKDAY(DATE(VALUE(LEFT($A399,4)),1,4),2)+1+(VALUE(MID($A399,7,2))-1)*7)-p_semana_referencia)/7,$F399)&lt;($F399-3),"B"&amp;(($F399-3)-MOD((IFERROR(INDEX('TECNICOS'!$G$4:$G$19,MATCH($C399,'TECNICOS'!$B$4:$B$19,0)),0)-1)+((DATE(VALUE(LEFT($A399,4)),1,4)-WEEKDAY(DATE(VALUE(LEFT($A399,4)),1,4),2)+1+(VALUE(MID($A399,7,2))-1)*7)-p_semana_referencia)/7,$F399)),"T"&amp;($F399-MOD((IFERROR(INDEX('TECNICOS'!$G$4:$G$19,MATCH($C399,'TECNICOS'!$B$4:$B$19,0)),0)-1)+((DATE(VALUE(LEFT($A399,4)),1,4)-WEEKDAY(DATE(VALUE(LEFT($A399,4)),1,4),2)+1+(VALUE(MID($A399,7,2))-1)*7)-p_semana_referencia)/7,$F399)))))</f>
        <v/>
      </c>
      <c r="H399" s="24">
        <f>IF(COUNTIFS('PLAN_VACACIONES'!$A$4:$A$103,$C399,'PLAN_VACACIONES'!$B$4:$B$103,"&lt;="&amp;$L399,'PLAN_VACACIONES'!$C$4:$C$103,"&gt;="&amp;$L399)&gt;0,"sí","no")</f>
        <v/>
      </c>
      <c r="I399" s="4" t="n"/>
      <c r="J399" s="24">
        <f>IF($I399&lt;&gt;"",$I399,IF($G399="","",IF($H399="sí","VAC",IF(LEFT($G399,1)="B","B",$G399))))</f>
        <v/>
      </c>
      <c r="K399" s="24">
        <f>IFERROR(INDEX('TECNICOS'!$E$4:$E$19,MATCH($C399,'TECNICOS'!$B$4:$B$19,0)),"")</f>
        <v/>
      </c>
      <c r="L399" s="30">
        <f>IF($A399="","",DATE(VALUE(LEFT($A399,4)),1,4)-WEEKDAY(DATE(VALUE(LEFT($A399,4)),1,4),2)+1+(VALUE(MID($A399,7,2))-1)*7+MATCH($B399,lista_dias,0)-1)</f>
        <v/>
      </c>
      <c r="M399" s="24">
        <f>IF(OR($J399="",ISNUMBER(MATCH($J399,lista_no_disponible,0)),(IFERROR(INDEX('CALENDARIO'!$C$15:$C$214,MATCH(TEXT($L399,"yyyy-mm-dd")&amp;"|"&amp;$D399&amp;"|"&amp;"",'CALENDARIO'!$G$15:$G$214,0)),IFERROR(INDEX('CALENDARIO'!$C$15:$C$214,MATCH(TEXT($L399,"yyyy-mm-dd")&amp;"|"&amp;$D399&amp;"|",'CALENDARIO'!$G$15:$G$214,0)),IFERROR(INDEX('CALENDARIO'!$C$15:$C$214,MATCH(TEXT($L399,"yyyy-mm-dd")&amp;"||",'CALENDARIO'!$G$15:$G$214,0)),INDEX(patronHabil,WEEKDAY($L399,2))))))&lt;&gt;"sí"),0,p_horas_jornada)</f>
        <v/>
      </c>
      <c r="N399" s="24">
        <f>$A399&amp;"|"&amp;$B399&amp;"|"&amp;$C399</f>
        <v/>
      </c>
      <c r="O399" s="24">
        <f>IFERROR(INDEX('CAT_TURNOS'!$C$4:$C$22,MATCH($J399,'CAT_TURNOS'!$A$4:$A$22,0)),"")</f>
        <v/>
      </c>
      <c r="P399" s="24">
        <f>IFERROR(INDEX('CAT_TURNOS'!$D$4:$D$22,MATCH($J399,'CAT_TURNOS'!$A$4:$A$22,0)),"")</f>
        <v/>
      </c>
      <c r="Q399" s="24">
        <f>IF(AND(LEFT($G399,1)="T",$H399="no"),"sí","no")</f>
        <v/>
      </c>
    </row>
    <row r="400">
      <c r="A400" s="5" t="inlineStr">
        <is>
          <t>2026-S33</t>
        </is>
      </c>
      <c r="B400" s="5" t="inlineStr">
        <is>
          <t>viernes</t>
        </is>
      </c>
      <c r="C400" s="5" t="inlineStr">
        <is>
          <t>Roberto Castro</t>
        </is>
      </c>
      <c r="D400" s="24">
        <f>IFERROR(INDEX('TECNICOS'!$D$4:$D$19,MATCH($C400,'TECNICOS'!$B$4:$B$19,0)),"")</f>
        <v/>
      </c>
      <c r="E400" s="24">
        <f>IFERROR(INDEX('TECNICOS'!$C$4:$C$19,MATCH($C400,'TECNICOS'!$B$4:$B$19,0)),"")</f>
        <v/>
      </c>
      <c r="F400" s="24">
        <f>COUNTIFS('TECNICOS'!$F$4:$F$19,"sí",'TECNICOS'!$C$4:$C$19,$E400,'TECNICOS'!$D$4:$D$19,$D400,'TECNICOS'!$H$4:$H$19,"sí")</f>
        <v/>
      </c>
      <c r="G400" s="24">
        <f>IF(OR($C400="",$A400="",$B400="domingo",IFERROR(INDEX('TECNICOS'!$H$4:$H$19,MATCH($C400,'TECNICOS'!$B$4:$B$19,0)),"no")&lt;&gt;"sí"),"",IF(IFERROR(INDEX('TECNICOS'!$F$4:$F$19,MATCH($C400,'TECNICOS'!$B$4:$B$19,0)),"no")&lt;&gt;"sí","B",IF(MOD((IFERROR(INDEX('TECNICOS'!$G$4:$G$19,MATCH($C400,'TECNICOS'!$B$4:$B$19,0)),0)-1)+((DATE(VALUE(LEFT($A400,4)),1,4)-WEEKDAY(DATE(VALUE(LEFT($A400,4)),1,4),2)+1+(VALUE(MID($A400,7,2))-1)*7)-p_semana_referencia)/7,$F400)&lt;($F400-3),"B"&amp;(($F400-3)-MOD((IFERROR(INDEX('TECNICOS'!$G$4:$G$19,MATCH($C400,'TECNICOS'!$B$4:$B$19,0)),0)-1)+((DATE(VALUE(LEFT($A400,4)),1,4)-WEEKDAY(DATE(VALUE(LEFT($A400,4)),1,4),2)+1+(VALUE(MID($A400,7,2))-1)*7)-p_semana_referencia)/7,$F400)),"T"&amp;($F400-MOD((IFERROR(INDEX('TECNICOS'!$G$4:$G$19,MATCH($C400,'TECNICOS'!$B$4:$B$19,0)),0)-1)+((DATE(VALUE(LEFT($A400,4)),1,4)-WEEKDAY(DATE(VALUE(LEFT($A400,4)),1,4),2)+1+(VALUE(MID($A400,7,2))-1)*7)-p_semana_referencia)/7,$F400)))))</f>
        <v/>
      </c>
      <c r="H400" s="24">
        <f>IF(COUNTIFS('PLAN_VACACIONES'!$A$4:$A$103,$C400,'PLAN_VACACIONES'!$B$4:$B$103,"&lt;="&amp;$L400,'PLAN_VACACIONES'!$C$4:$C$103,"&gt;="&amp;$L400)&gt;0,"sí","no")</f>
        <v/>
      </c>
      <c r="I400" s="4" t="n"/>
      <c r="J400" s="24">
        <f>IF($I400&lt;&gt;"",$I400,IF($G400="","",IF($H400="sí","VAC",IF(LEFT($G400,1)="B","B",$G400))))</f>
        <v/>
      </c>
      <c r="K400" s="24">
        <f>IFERROR(INDEX('TECNICOS'!$E$4:$E$19,MATCH($C400,'TECNICOS'!$B$4:$B$19,0)),"")</f>
        <v/>
      </c>
      <c r="L400" s="30">
        <f>IF($A400="","",DATE(VALUE(LEFT($A400,4)),1,4)-WEEKDAY(DATE(VALUE(LEFT($A400,4)),1,4),2)+1+(VALUE(MID($A400,7,2))-1)*7+MATCH($B400,lista_dias,0)-1)</f>
        <v/>
      </c>
      <c r="M400" s="24">
        <f>IF(OR($J400="",ISNUMBER(MATCH($J400,lista_no_disponible,0)),(IFERROR(INDEX('CALENDARIO'!$C$15:$C$214,MATCH(TEXT($L400,"yyyy-mm-dd")&amp;"|"&amp;$D400&amp;"|"&amp;"",'CALENDARIO'!$G$15:$G$214,0)),IFERROR(INDEX('CALENDARIO'!$C$15:$C$214,MATCH(TEXT($L400,"yyyy-mm-dd")&amp;"|"&amp;$D400&amp;"|",'CALENDARIO'!$G$15:$G$214,0)),IFERROR(INDEX('CALENDARIO'!$C$15:$C$214,MATCH(TEXT($L400,"yyyy-mm-dd")&amp;"||",'CALENDARIO'!$G$15:$G$214,0)),INDEX(patronHabil,WEEKDAY($L400,2))))))&lt;&gt;"sí"),0,p_horas_jornada)</f>
        <v/>
      </c>
      <c r="N400" s="24">
        <f>$A400&amp;"|"&amp;$B400&amp;"|"&amp;$C400</f>
        <v/>
      </c>
      <c r="O400" s="24">
        <f>IFERROR(INDEX('CAT_TURNOS'!$C$4:$C$22,MATCH($J400,'CAT_TURNOS'!$A$4:$A$22,0)),"")</f>
        <v/>
      </c>
      <c r="P400" s="24">
        <f>IFERROR(INDEX('CAT_TURNOS'!$D$4:$D$22,MATCH($J400,'CAT_TURNOS'!$A$4:$A$22,0)),"")</f>
        <v/>
      </c>
      <c r="Q400" s="24">
        <f>IF(AND(LEFT($G400,1)="T",$H400="no"),"sí","no")</f>
        <v/>
      </c>
    </row>
    <row r="401">
      <c r="A401" s="5" t="inlineStr">
        <is>
          <t>2026-S33</t>
        </is>
      </c>
      <c r="B401" s="5" t="inlineStr">
        <is>
          <t>sábado</t>
        </is>
      </c>
      <c r="C401" s="5" t="inlineStr">
        <is>
          <t>Roberto Castro</t>
        </is>
      </c>
      <c r="D401" s="24">
        <f>IFERROR(INDEX('TECNICOS'!$D$4:$D$19,MATCH($C401,'TECNICOS'!$B$4:$B$19,0)),"")</f>
        <v/>
      </c>
      <c r="E401" s="24">
        <f>IFERROR(INDEX('TECNICOS'!$C$4:$C$19,MATCH($C401,'TECNICOS'!$B$4:$B$19,0)),"")</f>
        <v/>
      </c>
      <c r="F401" s="24">
        <f>COUNTIFS('TECNICOS'!$F$4:$F$19,"sí",'TECNICOS'!$C$4:$C$19,$E401,'TECNICOS'!$D$4:$D$19,$D401,'TECNICOS'!$H$4:$H$19,"sí")</f>
        <v/>
      </c>
      <c r="G401" s="24">
        <f>IF(OR($C401="",$A401="",$B401="domingo",IFERROR(INDEX('TECNICOS'!$H$4:$H$19,MATCH($C401,'TECNICOS'!$B$4:$B$19,0)),"no")&lt;&gt;"sí"),"",IF(IFERROR(INDEX('TECNICOS'!$F$4:$F$19,MATCH($C401,'TECNICOS'!$B$4:$B$19,0)),"no")&lt;&gt;"sí","B",IF(MOD((IFERROR(INDEX('TECNICOS'!$G$4:$G$19,MATCH($C401,'TECNICOS'!$B$4:$B$19,0)),0)-1)+((DATE(VALUE(LEFT($A401,4)),1,4)-WEEKDAY(DATE(VALUE(LEFT($A401,4)),1,4),2)+1+(VALUE(MID($A401,7,2))-1)*7)-p_semana_referencia)/7,$F401)&lt;($F401-3),"B"&amp;(($F401-3)-MOD((IFERROR(INDEX('TECNICOS'!$G$4:$G$19,MATCH($C401,'TECNICOS'!$B$4:$B$19,0)),0)-1)+((DATE(VALUE(LEFT($A401,4)),1,4)-WEEKDAY(DATE(VALUE(LEFT($A401,4)),1,4),2)+1+(VALUE(MID($A401,7,2))-1)*7)-p_semana_referencia)/7,$F401)),"T"&amp;($F401-MOD((IFERROR(INDEX('TECNICOS'!$G$4:$G$19,MATCH($C401,'TECNICOS'!$B$4:$B$19,0)),0)-1)+((DATE(VALUE(LEFT($A401,4)),1,4)-WEEKDAY(DATE(VALUE(LEFT($A401,4)),1,4),2)+1+(VALUE(MID($A401,7,2))-1)*7)-p_semana_referencia)/7,$F401)))))</f>
        <v/>
      </c>
      <c r="H401" s="24">
        <f>IF(COUNTIFS('PLAN_VACACIONES'!$A$4:$A$103,$C401,'PLAN_VACACIONES'!$B$4:$B$103,"&lt;="&amp;$L401,'PLAN_VACACIONES'!$C$4:$C$103,"&gt;="&amp;$L401)&gt;0,"sí","no")</f>
        <v/>
      </c>
      <c r="I401" s="4" t="n"/>
      <c r="J401" s="24">
        <f>IF($I401&lt;&gt;"",$I401,IF($G401="","",IF($H401="sí","VAC",IF(LEFT($G401,1)="B","B",$G401))))</f>
        <v/>
      </c>
      <c r="K401" s="24">
        <f>IFERROR(INDEX('TECNICOS'!$E$4:$E$19,MATCH($C401,'TECNICOS'!$B$4:$B$19,0)),"")</f>
        <v/>
      </c>
      <c r="L401" s="30">
        <f>IF($A401="","",DATE(VALUE(LEFT($A401,4)),1,4)-WEEKDAY(DATE(VALUE(LEFT($A401,4)),1,4),2)+1+(VALUE(MID($A401,7,2))-1)*7+MATCH($B401,lista_dias,0)-1)</f>
        <v/>
      </c>
      <c r="M401" s="24">
        <f>IF(OR($J401="",ISNUMBER(MATCH($J401,lista_no_disponible,0)),(IFERROR(INDEX('CALENDARIO'!$C$15:$C$214,MATCH(TEXT($L401,"yyyy-mm-dd")&amp;"|"&amp;$D401&amp;"|"&amp;"",'CALENDARIO'!$G$15:$G$214,0)),IFERROR(INDEX('CALENDARIO'!$C$15:$C$214,MATCH(TEXT($L401,"yyyy-mm-dd")&amp;"|"&amp;$D401&amp;"|",'CALENDARIO'!$G$15:$G$214,0)),IFERROR(INDEX('CALENDARIO'!$C$15:$C$214,MATCH(TEXT($L401,"yyyy-mm-dd")&amp;"||",'CALENDARIO'!$G$15:$G$214,0)),INDEX(patronHabil,WEEKDAY($L401,2))))))&lt;&gt;"sí"),0,p_horas_jornada)</f>
        <v/>
      </c>
      <c r="N401" s="24">
        <f>$A401&amp;"|"&amp;$B401&amp;"|"&amp;$C401</f>
        <v/>
      </c>
      <c r="O401" s="24">
        <f>IFERROR(INDEX('CAT_TURNOS'!$C$4:$C$22,MATCH($J401,'CAT_TURNOS'!$A$4:$A$22,0)),"")</f>
        <v/>
      </c>
      <c r="P401" s="24">
        <f>IFERROR(INDEX('CAT_TURNOS'!$D$4:$D$22,MATCH($J401,'CAT_TURNOS'!$A$4:$A$22,0)),"")</f>
        <v/>
      </c>
      <c r="Q401" s="24">
        <f>IF(AND(LEFT($G401,1)="T",$H401="no"),"sí","no")</f>
        <v/>
      </c>
    </row>
    <row r="402">
      <c r="A402" s="5" t="inlineStr">
        <is>
          <t>2026-S33</t>
        </is>
      </c>
      <c r="B402" s="5" t="inlineStr">
        <is>
          <t>domingo</t>
        </is>
      </c>
      <c r="C402" s="5" t="inlineStr">
        <is>
          <t>Roberto Castro</t>
        </is>
      </c>
      <c r="D402" s="24">
        <f>IFERROR(INDEX('TECNICOS'!$D$4:$D$19,MATCH($C402,'TECNICOS'!$B$4:$B$19,0)),"")</f>
        <v/>
      </c>
      <c r="E402" s="24">
        <f>IFERROR(INDEX('TECNICOS'!$C$4:$C$19,MATCH($C402,'TECNICOS'!$B$4:$B$19,0)),"")</f>
        <v/>
      </c>
      <c r="F402" s="24">
        <f>COUNTIFS('TECNICOS'!$F$4:$F$19,"sí",'TECNICOS'!$C$4:$C$19,$E402,'TECNICOS'!$D$4:$D$19,$D402,'TECNICOS'!$H$4:$H$19,"sí")</f>
        <v/>
      </c>
      <c r="G402" s="24">
        <f>IF(OR($C402="",$A402="",$B402="domingo",IFERROR(INDEX('TECNICOS'!$H$4:$H$19,MATCH($C402,'TECNICOS'!$B$4:$B$19,0)),"no")&lt;&gt;"sí"),"",IF(IFERROR(INDEX('TECNICOS'!$F$4:$F$19,MATCH($C402,'TECNICOS'!$B$4:$B$19,0)),"no")&lt;&gt;"sí","B",IF(MOD((IFERROR(INDEX('TECNICOS'!$G$4:$G$19,MATCH($C402,'TECNICOS'!$B$4:$B$19,0)),0)-1)+((DATE(VALUE(LEFT($A402,4)),1,4)-WEEKDAY(DATE(VALUE(LEFT($A402,4)),1,4),2)+1+(VALUE(MID($A402,7,2))-1)*7)-p_semana_referencia)/7,$F402)&lt;($F402-3),"B"&amp;(($F402-3)-MOD((IFERROR(INDEX('TECNICOS'!$G$4:$G$19,MATCH($C402,'TECNICOS'!$B$4:$B$19,0)),0)-1)+((DATE(VALUE(LEFT($A402,4)),1,4)-WEEKDAY(DATE(VALUE(LEFT($A402,4)),1,4),2)+1+(VALUE(MID($A402,7,2))-1)*7)-p_semana_referencia)/7,$F402)),"T"&amp;($F402-MOD((IFERROR(INDEX('TECNICOS'!$G$4:$G$19,MATCH($C402,'TECNICOS'!$B$4:$B$19,0)),0)-1)+((DATE(VALUE(LEFT($A402,4)),1,4)-WEEKDAY(DATE(VALUE(LEFT($A402,4)),1,4),2)+1+(VALUE(MID($A402,7,2))-1)*7)-p_semana_referencia)/7,$F402)))))</f>
        <v/>
      </c>
      <c r="H402" s="24">
        <f>IF(COUNTIFS('PLAN_VACACIONES'!$A$4:$A$103,$C402,'PLAN_VACACIONES'!$B$4:$B$103,"&lt;="&amp;$L402,'PLAN_VACACIONES'!$C$4:$C$103,"&gt;="&amp;$L402)&gt;0,"sí","no")</f>
        <v/>
      </c>
      <c r="I402" s="4" t="n"/>
      <c r="J402" s="24">
        <f>IF($I402&lt;&gt;"",$I402,IF($G402="","",IF($H402="sí","VAC",IF(LEFT($G402,1)="B","B",$G402))))</f>
        <v/>
      </c>
      <c r="K402" s="24">
        <f>IFERROR(INDEX('TECNICOS'!$E$4:$E$19,MATCH($C402,'TECNICOS'!$B$4:$B$19,0)),"")</f>
        <v/>
      </c>
      <c r="L402" s="30">
        <f>IF($A402="","",DATE(VALUE(LEFT($A402,4)),1,4)-WEEKDAY(DATE(VALUE(LEFT($A402,4)),1,4),2)+1+(VALUE(MID($A402,7,2))-1)*7+MATCH($B402,lista_dias,0)-1)</f>
        <v/>
      </c>
      <c r="M402" s="24">
        <f>IF(OR($J402="",ISNUMBER(MATCH($J402,lista_no_disponible,0)),(IFERROR(INDEX('CALENDARIO'!$C$15:$C$214,MATCH(TEXT($L402,"yyyy-mm-dd")&amp;"|"&amp;$D402&amp;"|"&amp;"",'CALENDARIO'!$G$15:$G$214,0)),IFERROR(INDEX('CALENDARIO'!$C$15:$C$214,MATCH(TEXT($L402,"yyyy-mm-dd")&amp;"|"&amp;$D402&amp;"|",'CALENDARIO'!$G$15:$G$214,0)),IFERROR(INDEX('CALENDARIO'!$C$15:$C$214,MATCH(TEXT($L402,"yyyy-mm-dd")&amp;"||",'CALENDARIO'!$G$15:$G$214,0)),INDEX(patronHabil,WEEKDAY($L402,2))))))&lt;&gt;"sí"),0,p_horas_jornada)</f>
        <v/>
      </c>
      <c r="N402" s="24">
        <f>$A402&amp;"|"&amp;$B402&amp;"|"&amp;$C402</f>
        <v/>
      </c>
      <c r="O402" s="24">
        <f>IFERROR(INDEX('CAT_TURNOS'!$C$4:$C$22,MATCH($J402,'CAT_TURNOS'!$A$4:$A$22,0)),"")</f>
        <v/>
      </c>
      <c r="P402" s="24">
        <f>IFERROR(INDEX('CAT_TURNOS'!$D$4:$D$22,MATCH($J402,'CAT_TURNOS'!$A$4:$A$22,0)),"")</f>
        <v/>
      </c>
      <c r="Q402" s="24">
        <f>IF(AND(LEFT($G402,1)="T",$H402="no"),"sí","no")</f>
        <v/>
      </c>
    </row>
    <row r="403">
      <c r="A403" s="5" t="inlineStr">
        <is>
          <t>2026-S33</t>
        </is>
      </c>
      <c r="B403" s="5" t="inlineStr">
        <is>
          <t>lunes</t>
        </is>
      </c>
      <c r="C403" s="5" t="inlineStr">
        <is>
          <t>Laura Morales</t>
        </is>
      </c>
      <c r="D403" s="24">
        <f>IFERROR(INDEX('TECNICOS'!$D$4:$D$19,MATCH($C403,'TECNICOS'!$B$4:$B$19,0)),"")</f>
        <v/>
      </c>
      <c r="E403" s="24">
        <f>IFERROR(INDEX('TECNICOS'!$C$4:$C$19,MATCH($C403,'TECNICOS'!$B$4:$B$19,0)),"")</f>
        <v/>
      </c>
      <c r="F403" s="24">
        <f>COUNTIFS('TECNICOS'!$F$4:$F$19,"sí",'TECNICOS'!$C$4:$C$19,$E403,'TECNICOS'!$D$4:$D$19,$D403,'TECNICOS'!$H$4:$H$19,"sí")</f>
        <v/>
      </c>
      <c r="G403" s="24">
        <f>IF(OR($C403="",$A403="",$B403="domingo",IFERROR(INDEX('TECNICOS'!$H$4:$H$19,MATCH($C403,'TECNICOS'!$B$4:$B$19,0)),"no")&lt;&gt;"sí"),"",IF(IFERROR(INDEX('TECNICOS'!$F$4:$F$19,MATCH($C403,'TECNICOS'!$B$4:$B$19,0)),"no")&lt;&gt;"sí","B",IF(MOD((IFERROR(INDEX('TECNICOS'!$G$4:$G$19,MATCH($C403,'TECNICOS'!$B$4:$B$19,0)),0)-1)+((DATE(VALUE(LEFT($A403,4)),1,4)-WEEKDAY(DATE(VALUE(LEFT($A403,4)),1,4),2)+1+(VALUE(MID($A403,7,2))-1)*7)-p_semana_referencia)/7,$F403)&lt;($F403-3),"B"&amp;(($F403-3)-MOD((IFERROR(INDEX('TECNICOS'!$G$4:$G$19,MATCH($C403,'TECNICOS'!$B$4:$B$19,0)),0)-1)+((DATE(VALUE(LEFT($A403,4)),1,4)-WEEKDAY(DATE(VALUE(LEFT($A403,4)),1,4),2)+1+(VALUE(MID($A403,7,2))-1)*7)-p_semana_referencia)/7,$F403)),"T"&amp;($F403-MOD((IFERROR(INDEX('TECNICOS'!$G$4:$G$19,MATCH($C403,'TECNICOS'!$B$4:$B$19,0)),0)-1)+((DATE(VALUE(LEFT($A403,4)),1,4)-WEEKDAY(DATE(VALUE(LEFT($A403,4)),1,4),2)+1+(VALUE(MID($A403,7,2))-1)*7)-p_semana_referencia)/7,$F403)))))</f>
        <v/>
      </c>
      <c r="H403" s="24">
        <f>IF(COUNTIFS('PLAN_VACACIONES'!$A$4:$A$103,$C403,'PLAN_VACACIONES'!$B$4:$B$103,"&lt;="&amp;$L403,'PLAN_VACACIONES'!$C$4:$C$103,"&gt;="&amp;$L403)&gt;0,"sí","no")</f>
        <v/>
      </c>
      <c r="I403" s="4" t="n"/>
      <c r="J403" s="24">
        <f>IF($I403&lt;&gt;"",$I403,IF($G403="","",IF($H403="sí","VAC",IF(LEFT($G403,1)="B","B",$G403))))</f>
        <v/>
      </c>
      <c r="K403" s="24">
        <f>IFERROR(INDEX('TECNICOS'!$E$4:$E$19,MATCH($C403,'TECNICOS'!$B$4:$B$19,0)),"")</f>
        <v/>
      </c>
      <c r="L403" s="30">
        <f>IF($A403="","",DATE(VALUE(LEFT($A403,4)),1,4)-WEEKDAY(DATE(VALUE(LEFT($A403,4)),1,4),2)+1+(VALUE(MID($A403,7,2))-1)*7+MATCH($B403,lista_dias,0)-1)</f>
        <v/>
      </c>
      <c r="M403" s="24">
        <f>IF(OR($J403="",ISNUMBER(MATCH($J403,lista_no_disponible,0)),(IFERROR(INDEX('CALENDARIO'!$C$15:$C$214,MATCH(TEXT($L403,"yyyy-mm-dd")&amp;"|"&amp;$D403&amp;"|"&amp;"",'CALENDARIO'!$G$15:$G$214,0)),IFERROR(INDEX('CALENDARIO'!$C$15:$C$214,MATCH(TEXT($L403,"yyyy-mm-dd")&amp;"|"&amp;$D403&amp;"|",'CALENDARIO'!$G$15:$G$214,0)),IFERROR(INDEX('CALENDARIO'!$C$15:$C$214,MATCH(TEXT($L403,"yyyy-mm-dd")&amp;"||",'CALENDARIO'!$G$15:$G$214,0)),INDEX(patronHabil,WEEKDAY($L403,2))))))&lt;&gt;"sí"),0,p_horas_jornada)</f>
        <v/>
      </c>
      <c r="N403" s="24">
        <f>$A403&amp;"|"&amp;$B403&amp;"|"&amp;$C403</f>
        <v/>
      </c>
      <c r="O403" s="24">
        <f>IFERROR(INDEX('CAT_TURNOS'!$C$4:$C$22,MATCH($J403,'CAT_TURNOS'!$A$4:$A$22,0)),"")</f>
        <v/>
      </c>
      <c r="P403" s="24">
        <f>IFERROR(INDEX('CAT_TURNOS'!$D$4:$D$22,MATCH($J403,'CAT_TURNOS'!$A$4:$A$22,0)),"")</f>
        <v/>
      </c>
      <c r="Q403" s="24">
        <f>IF(AND(LEFT($G403,1)="T",$H403="no"),"sí","no")</f>
        <v/>
      </c>
    </row>
    <row r="404">
      <c r="A404" s="5" t="inlineStr">
        <is>
          <t>2026-S33</t>
        </is>
      </c>
      <c r="B404" s="5" t="inlineStr">
        <is>
          <t>martes</t>
        </is>
      </c>
      <c r="C404" s="5" t="inlineStr">
        <is>
          <t>Laura Morales</t>
        </is>
      </c>
      <c r="D404" s="24">
        <f>IFERROR(INDEX('TECNICOS'!$D$4:$D$19,MATCH($C404,'TECNICOS'!$B$4:$B$19,0)),"")</f>
        <v/>
      </c>
      <c r="E404" s="24">
        <f>IFERROR(INDEX('TECNICOS'!$C$4:$C$19,MATCH($C404,'TECNICOS'!$B$4:$B$19,0)),"")</f>
        <v/>
      </c>
      <c r="F404" s="24">
        <f>COUNTIFS('TECNICOS'!$F$4:$F$19,"sí",'TECNICOS'!$C$4:$C$19,$E404,'TECNICOS'!$D$4:$D$19,$D404,'TECNICOS'!$H$4:$H$19,"sí")</f>
        <v/>
      </c>
      <c r="G404" s="24">
        <f>IF(OR($C404="",$A404="",$B404="domingo",IFERROR(INDEX('TECNICOS'!$H$4:$H$19,MATCH($C404,'TECNICOS'!$B$4:$B$19,0)),"no")&lt;&gt;"sí"),"",IF(IFERROR(INDEX('TECNICOS'!$F$4:$F$19,MATCH($C404,'TECNICOS'!$B$4:$B$19,0)),"no")&lt;&gt;"sí","B",IF(MOD((IFERROR(INDEX('TECNICOS'!$G$4:$G$19,MATCH($C404,'TECNICOS'!$B$4:$B$19,0)),0)-1)+((DATE(VALUE(LEFT($A404,4)),1,4)-WEEKDAY(DATE(VALUE(LEFT($A404,4)),1,4),2)+1+(VALUE(MID($A404,7,2))-1)*7)-p_semana_referencia)/7,$F404)&lt;($F404-3),"B"&amp;(($F404-3)-MOD((IFERROR(INDEX('TECNICOS'!$G$4:$G$19,MATCH($C404,'TECNICOS'!$B$4:$B$19,0)),0)-1)+((DATE(VALUE(LEFT($A404,4)),1,4)-WEEKDAY(DATE(VALUE(LEFT($A404,4)),1,4),2)+1+(VALUE(MID($A404,7,2))-1)*7)-p_semana_referencia)/7,$F404)),"T"&amp;($F404-MOD((IFERROR(INDEX('TECNICOS'!$G$4:$G$19,MATCH($C404,'TECNICOS'!$B$4:$B$19,0)),0)-1)+((DATE(VALUE(LEFT($A404,4)),1,4)-WEEKDAY(DATE(VALUE(LEFT($A404,4)),1,4),2)+1+(VALUE(MID($A404,7,2))-1)*7)-p_semana_referencia)/7,$F404)))))</f>
        <v/>
      </c>
      <c r="H404" s="24">
        <f>IF(COUNTIFS('PLAN_VACACIONES'!$A$4:$A$103,$C404,'PLAN_VACACIONES'!$B$4:$B$103,"&lt;="&amp;$L404,'PLAN_VACACIONES'!$C$4:$C$103,"&gt;="&amp;$L404)&gt;0,"sí","no")</f>
        <v/>
      </c>
      <c r="I404" s="4" t="n"/>
      <c r="J404" s="24">
        <f>IF($I404&lt;&gt;"",$I404,IF($G404="","",IF($H404="sí","VAC",IF(LEFT($G404,1)="B","B",$G404))))</f>
        <v/>
      </c>
      <c r="K404" s="24">
        <f>IFERROR(INDEX('TECNICOS'!$E$4:$E$19,MATCH($C404,'TECNICOS'!$B$4:$B$19,0)),"")</f>
        <v/>
      </c>
      <c r="L404" s="30">
        <f>IF($A404="","",DATE(VALUE(LEFT($A404,4)),1,4)-WEEKDAY(DATE(VALUE(LEFT($A404,4)),1,4),2)+1+(VALUE(MID($A404,7,2))-1)*7+MATCH($B404,lista_dias,0)-1)</f>
        <v/>
      </c>
      <c r="M404" s="24">
        <f>IF(OR($J404="",ISNUMBER(MATCH($J404,lista_no_disponible,0)),(IFERROR(INDEX('CALENDARIO'!$C$15:$C$214,MATCH(TEXT($L404,"yyyy-mm-dd")&amp;"|"&amp;$D404&amp;"|"&amp;"",'CALENDARIO'!$G$15:$G$214,0)),IFERROR(INDEX('CALENDARIO'!$C$15:$C$214,MATCH(TEXT($L404,"yyyy-mm-dd")&amp;"|"&amp;$D404&amp;"|",'CALENDARIO'!$G$15:$G$214,0)),IFERROR(INDEX('CALENDARIO'!$C$15:$C$214,MATCH(TEXT($L404,"yyyy-mm-dd")&amp;"||",'CALENDARIO'!$G$15:$G$214,0)),INDEX(patronHabil,WEEKDAY($L404,2))))))&lt;&gt;"sí"),0,p_horas_jornada)</f>
        <v/>
      </c>
      <c r="N404" s="24">
        <f>$A404&amp;"|"&amp;$B404&amp;"|"&amp;$C404</f>
        <v/>
      </c>
      <c r="O404" s="24">
        <f>IFERROR(INDEX('CAT_TURNOS'!$C$4:$C$22,MATCH($J404,'CAT_TURNOS'!$A$4:$A$22,0)),"")</f>
        <v/>
      </c>
      <c r="P404" s="24">
        <f>IFERROR(INDEX('CAT_TURNOS'!$D$4:$D$22,MATCH($J404,'CAT_TURNOS'!$A$4:$A$22,0)),"")</f>
        <v/>
      </c>
      <c r="Q404" s="24">
        <f>IF(AND(LEFT($G404,1)="T",$H404="no"),"sí","no")</f>
        <v/>
      </c>
    </row>
    <row r="405">
      <c r="A405" s="5" t="inlineStr">
        <is>
          <t>2026-S33</t>
        </is>
      </c>
      <c r="B405" s="5" t="inlineStr">
        <is>
          <t>miércoles</t>
        </is>
      </c>
      <c r="C405" s="5" t="inlineStr">
        <is>
          <t>Laura Morales</t>
        </is>
      </c>
      <c r="D405" s="24">
        <f>IFERROR(INDEX('TECNICOS'!$D$4:$D$19,MATCH($C405,'TECNICOS'!$B$4:$B$19,0)),"")</f>
        <v/>
      </c>
      <c r="E405" s="24">
        <f>IFERROR(INDEX('TECNICOS'!$C$4:$C$19,MATCH($C405,'TECNICOS'!$B$4:$B$19,0)),"")</f>
        <v/>
      </c>
      <c r="F405" s="24">
        <f>COUNTIFS('TECNICOS'!$F$4:$F$19,"sí",'TECNICOS'!$C$4:$C$19,$E405,'TECNICOS'!$D$4:$D$19,$D405,'TECNICOS'!$H$4:$H$19,"sí")</f>
        <v/>
      </c>
      <c r="G405" s="24">
        <f>IF(OR($C405="",$A405="",$B405="domingo",IFERROR(INDEX('TECNICOS'!$H$4:$H$19,MATCH($C405,'TECNICOS'!$B$4:$B$19,0)),"no")&lt;&gt;"sí"),"",IF(IFERROR(INDEX('TECNICOS'!$F$4:$F$19,MATCH($C405,'TECNICOS'!$B$4:$B$19,0)),"no")&lt;&gt;"sí","B",IF(MOD((IFERROR(INDEX('TECNICOS'!$G$4:$G$19,MATCH($C405,'TECNICOS'!$B$4:$B$19,0)),0)-1)+((DATE(VALUE(LEFT($A405,4)),1,4)-WEEKDAY(DATE(VALUE(LEFT($A405,4)),1,4),2)+1+(VALUE(MID($A405,7,2))-1)*7)-p_semana_referencia)/7,$F405)&lt;($F405-3),"B"&amp;(($F405-3)-MOD((IFERROR(INDEX('TECNICOS'!$G$4:$G$19,MATCH($C405,'TECNICOS'!$B$4:$B$19,0)),0)-1)+((DATE(VALUE(LEFT($A405,4)),1,4)-WEEKDAY(DATE(VALUE(LEFT($A405,4)),1,4),2)+1+(VALUE(MID($A405,7,2))-1)*7)-p_semana_referencia)/7,$F405)),"T"&amp;($F405-MOD((IFERROR(INDEX('TECNICOS'!$G$4:$G$19,MATCH($C405,'TECNICOS'!$B$4:$B$19,0)),0)-1)+((DATE(VALUE(LEFT($A405,4)),1,4)-WEEKDAY(DATE(VALUE(LEFT($A405,4)),1,4),2)+1+(VALUE(MID($A405,7,2))-1)*7)-p_semana_referencia)/7,$F405)))))</f>
        <v/>
      </c>
      <c r="H405" s="24">
        <f>IF(COUNTIFS('PLAN_VACACIONES'!$A$4:$A$103,$C405,'PLAN_VACACIONES'!$B$4:$B$103,"&lt;="&amp;$L405,'PLAN_VACACIONES'!$C$4:$C$103,"&gt;="&amp;$L405)&gt;0,"sí","no")</f>
        <v/>
      </c>
      <c r="I405" s="4" t="n"/>
      <c r="J405" s="24">
        <f>IF($I405&lt;&gt;"",$I405,IF($G405="","",IF($H405="sí","VAC",IF(LEFT($G405,1)="B","B",$G405))))</f>
        <v/>
      </c>
      <c r="K405" s="24">
        <f>IFERROR(INDEX('TECNICOS'!$E$4:$E$19,MATCH($C405,'TECNICOS'!$B$4:$B$19,0)),"")</f>
        <v/>
      </c>
      <c r="L405" s="30">
        <f>IF($A405="","",DATE(VALUE(LEFT($A405,4)),1,4)-WEEKDAY(DATE(VALUE(LEFT($A405,4)),1,4),2)+1+(VALUE(MID($A405,7,2))-1)*7+MATCH($B405,lista_dias,0)-1)</f>
        <v/>
      </c>
      <c r="M405" s="24">
        <f>IF(OR($J405="",ISNUMBER(MATCH($J405,lista_no_disponible,0)),(IFERROR(INDEX('CALENDARIO'!$C$15:$C$214,MATCH(TEXT($L405,"yyyy-mm-dd")&amp;"|"&amp;$D405&amp;"|"&amp;"",'CALENDARIO'!$G$15:$G$214,0)),IFERROR(INDEX('CALENDARIO'!$C$15:$C$214,MATCH(TEXT($L405,"yyyy-mm-dd")&amp;"|"&amp;$D405&amp;"|",'CALENDARIO'!$G$15:$G$214,0)),IFERROR(INDEX('CALENDARIO'!$C$15:$C$214,MATCH(TEXT($L405,"yyyy-mm-dd")&amp;"||",'CALENDARIO'!$G$15:$G$214,0)),INDEX(patronHabil,WEEKDAY($L405,2))))))&lt;&gt;"sí"),0,p_horas_jornada)</f>
        <v/>
      </c>
      <c r="N405" s="24">
        <f>$A405&amp;"|"&amp;$B405&amp;"|"&amp;$C405</f>
        <v/>
      </c>
      <c r="O405" s="24">
        <f>IFERROR(INDEX('CAT_TURNOS'!$C$4:$C$22,MATCH($J405,'CAT_TURNOS'!$A$4:$A$22,0)),"")</f>
        <v/>
      </c>
      <c r="P405" s="24">
        <f>IFERROR(INDEX('CAT_TURNOS'!$D$4:$D$22,MATCH($J405,'CAT_TURNOS'!$A$4:$A$22,0)),"")</f>
        <v/>
      </c>
      <c r="Q405" s="24">
        <f>IF(AND(LEFT($G405,1)="T",$H405="no"),"sí","no")</f>
        <v/>
      </c>
    </row>
    <row r="406">
      <c r="A406" s="5" t="inlineStr">
        <is>
          <t>2026-S33</t>
        </is>
      </c>
      <c r="B406" s="5" t="inlineStr">
        <is>
          <t>jueves</t>
        </is>
      </c>
      <c r="C406" s="5" t="inlineStr">
        <is>
          <t>Laura Morales</t>
        </is>
      </c>
      <c r="D406" s="24">
        <f>IFERROR(INDEX('TECNICOS'!$D$4:$D$19,MATCH($C406,'TECNICOS'!$B$4:$B$19,0)),"")</f>
        <v/>
      </c>
      <c r="E406" s="24">
        <f>IFERROR(INDEX('TECNICOS'!$C$4:$C$19,MATCH($C406,'TECNICOS'!$B$4:$B$19,0)),"")</f>
        <v/>
      </c>
      <c r="F406" s="24">
        <f>COUNTIFS('TECNICOS'!$F$4:$F$19,"sí",'TECNICOS'!$C$4:$C$19,$E406,'TECNICOS'!$D$4:$D$19,$D406,'TECNICOS'!$H$4:$H$19,"sí")</f>
        <v/>
      </c>
      <c r="G406" s="24">
        <f>IF(OR($C406="",$A406="",$B406="domingo",IFERROR(INDEX('TECNICOS'!$H$4:$H$19,MATCH($C406,'TECNICOS'!$B$4:$B$19,0)),"no")&lt;&gt;"sí"),"",IF(IFERROR(INDEX('TECNICOS'!$F$4:$F$19,MATCH($C406,'TECNICOS'!$B$4:$B$19,0)),"no")&lt;&gt;"sí","B",IF(MOD((IFERROR(INDEX('TECNICOS'!$G$4:$G$19,MATCH($C406,'TECNICOS'!$B$4:$B$19,0)),0)-1)+((DATE(VALUE(LEFT($A406,4)),1,4)-WEEKDAY(DATE(VALUE(LEFT($A406,4)),1,4),2)+1+(VALUE(MID($A406,7,2))-1)*7)-p_semana_referencia)/7,$F406)&lt;($F406-3),"B"&amp;(($F406-3)-MOD((IFERROR(INDEX('TECNICOS'!$G$4:$G$19,MATCH($C406,'TECNICOS'!$B$4:$B$19,0)),0)-1)+((DATE(VALUE(LEFT($A406,4)),1,4)-WEEKDAY(DATE(VALUE(LEFT($A406,4)),1,4),2)+1+(VALUE(MID($A406,7,2))-1)*7)-p_semana_referencia)/7,$F406)),"T"&amp;($F406-MOD((IFERROR(INDEX('TECNICOS'!$G$4:$G$19,MATCH($C406,'TECNICOS'!$B$4:$B$19,0)),0)-1)+((DATE(VALUE(LEFT($A406,4)),1,4)-WEEKDAY(DATE(VALUE(LEFT($A406,4)),1,4),2)+1+(VALUE(MID($A406,7,2))-1)*7)-p_semana_referencia)/7,$F406)))))</f>
        <v/>
      </c>
      <c r="H406" s="24">
        <f>IF(COUNTIFS('PLAN_VACACIONES'!$A$4:$A$103,$C406,'PLAN_VACACIONES'!$B$4:$B$103,"&lt;="&amp;$L406,'PLAN_VACACIONES'!$C$4:$C$103,"&gt;="&amp;$L406)&gt;0,"sí","no")</f>
        <v/>
      </c>
      <c r="I406" s="4" t="n"/>
      <c r="J406" s="24">
        <f>IF($I406&lt;&gt;"",$I406,IF($G406="","",IF($H406="sí","VAC",IF(LEFT($G406,1)="B","B",$G406))))</f>
        <v/>
      </c>
      <c r="K406" s="24">
        <f>IFERROR(INDEX('TECNICOS'!$E$4:$E$19,MATCH($C406,'TECNICOS'!$B$4:$B$19,0)),"")</f>
        <v/>
      </c>
      <c r="L406" s="30">
        <f>IF($A406="","",DATE(VALUE(LEFT($A406,4)),1,4)-WEEKDAY(DATE(VALUE(LEFT($A406,4)),1,4),2)+1+(VALUE(MID($A406,7,2))-1)*7+MATCH($B406,lista_dias,0)-1)</f>
        <v/>
      </c>
      <c r="M406" s="24">
        <f>IF(OR($J406="",ISNUMBER(MATCH($J406,lista_no_disponible,0)),(IFERROR(INDEX('CALENDARIO'!$C$15:$C$214,MATCH(TEXT($L406,"yyyy-mm-dd")&amp;"|"&amp;$D406&amp;"|"&amp;"",'CALENDARIO'!$G$15:$G$214,0)),IFERROR(INDEX('CALENDARIO'!$C$15:$C$214,MATCH(TEXT($L406,"yyyy-mm-dd")&amp;"|"&amp;$D406&amp;"|",'CALENDARIO'!$G$15:$G$214,0)),IFERROR(INDEX('CALENDARIO'!$C$15:$C$214,MATCH(TEXT($L406,"yyyy-mm-dd")&amp;"||",'CALENDARIO'!$G$15:$G$214,0)),INDEX(patronHabil,WEEKDAY($L406,2))))))&lt;&gt;"sí"),0,p_horas_jornada)</f>
        <v/>
      </c>
      <c r="N406" s="24">
        <f>$A406&amp;"|"&amp;$B406&amp;"|"&amp;$C406</f>
        <v/>
      </c>
      <c r="O406" s="24">
        <f>IFERROR(INDEX('CAT_TURNOS'!$C$4:$C$22,MATCH($J406,'CAT_TURNOS'!$A$4:$A$22,0)),"")</f>
        <v/>
      </c>
      <c r="P406" s="24">
        <f>IFERROR(INDEX('CAT_TURNOS'!$D$4:$D$22,MATCH($J406,'CAT_TURNOS'!$A$4:$A$22,0)),"")</f>
        <v/>
      </c>
      <c r="Q406" s="24">
        <f>IF(AND(LEFT($G406,1)="T",$H406="no"),"sí","no")</f>
        <v/>
      </c>
    </row>
    <row r="407">
      <c r="A407" s="5" t="inlineStr">
        <is>
          <t>2026-S33</t>
        </is>
      </c>
      <c r="B407" s="5" t="inlineStr">
        <is>
          <t>viernes</t>
        </is>
      </c>
      <c r="C407" s="5" t="inlineStr">
        <is>
          <t>Laura Morales</t>
        </is>
      </c>
      <c r="D407" s="24">
        <f>IFERROR(INDEX('TECNICOS'!$D$4:$D$19,MATCH($C407,'TECNICOS'!$B$4:$B$19,0)),"")</f>
        <v/>
      </c>
      <c r="E407" s="24">
        <f>IFERROR(INDEX('TECNICOS'!$C$4:$C$19,MATCH($C407,'TECNICOS'!$B$4:$B$19,0)),"")</f>
        <v/>
      </c>
      <c r="F407" s="24">
        <f>COUNTIFS('TECNICOS'!$F$4:$F$19,"sí",'TECNICOS'!$C$4:$C$19,$E407,'TECNICOS'!$D$4:$D$19,$D407,'TECNICOS'!$H$4:$H$19,"sí")</f>
        <v/>
      </c>
      <c r="G407" s="24">
        <f>IF(OR($C407="",$A407="",$B407="domingo",IFERROR(INDEX('TECNICOS'!$H$4:$H$19,MATCH($C407,'TECNICOS'!$B$4:$B$19,0)),"no")&lt;&gt;"sí"),"",IF(IFERROR(INDEX('TECNICOS'!$F$4:$F$19,MATCH($C407,'TECNICOS'!$B$4:$B$19,0)),"no")&lt;&gt;"sí","B",IF(MOD((IFERROR(INDEX('TECNICOS'!$G$4:$G$19,MATCH($C407,'TECNICOS'!$B$4:$B$19,0)),0)-1)+((DATE(VALUE(LEFT($A407,4)),1,4)-WEEKDAY(DATE(VALUE(LEFT($A407,4)),1,4),2)+1+(VALUE(MID($A407,7,2))-1)*7)-p_semana_referencia)/7,$F407)&lt;($F407-3),"B"&amp;(($F407-3)-MOD((IFERROR(INDEX('TECNICOS'!$G$4:$G$19,MATCH($C407,'TECNICOS'!$B$4:$B$19,0)),0)-1)+((DATE(VALUE(LEFT($A407,4)),1,4)-WEEKDAY(DATE(VALUE(LEFT($A407,4)),1,4),2)+1+(VALUE(MID($A407,7,2))-1)*7)-p_semana_referencia)/7,$F407)),"T"&amp;($F407-MOD((IFERROR(INDEX('TECNICOS'!$G$4:$G$19,MATCH($C407,'TECNICOS'!$B$4:$B$19,0)),0)-1)+((DATE(VALUE(LEFT($A407,4)),1,4)-WEEKDAY(DATE(VALUE(LEFT($A407,4)),1,4),2)+1+(VALUE(MID($A407,7,2))-1)*7)-p_semana_referencia)/7,$F407)))))</f>
        <v/>
      </c>
      <c r="H407" s="24">
        <f>IF(COUNTIFS('PLAN_VACACIONES'!$A$4:$A$103,$C407,'PLAN_VACACIONES'!$B$4:$B$103,"&lt;="&amp;$L407,'PLAN_VACACIONES'!$C$4:$C$103,"&gt;="&amp;$L407)&gt;0,"sí","no")</f>
        <v/>
      </c>
      <c r="I407" s="4" t="n"/>
      <c r="J407" s="24">
        <f>IF($I407&lt;&gt;"",$I407,IF($G407="","",IF($H407="sí","VAC",IF(LEFT($G407,1)="B","B",$G407))))</f>
        <v/>
      </c>
      <c r="K407" s="24">
        <f>IFERROR(INDEX('TECNICOS'!$E$4:$E$19,MATCH($C407,'TECNICOS'!$B$4:$B$19,0)),"")</f>
        <v/>
      </c>
      <c r="L407" s="30">
        <f>IF($A407="","",DATE(VALUE(LEFT($A407,4)),1,4)-WEEKDAY(DATE(VALUE(LEFT($A407,4)),1,4),2)+1+(VALUE(MID($A407,7,2))-1)*7+MATCH($B407,lista_dias,0)-1)</f>
        <v/>
      </c>
      <c r="M407" s="24">
        <f>IF(OR($J407="",ISNUMBER(MATCH($J407,lista_no_disponible,0)),(IFERROR(INDEX('CALENDARIO'!$C$15:$C$214,MATCH(TEXT($L407,"yyyy-mm-dd")&amp;"|"&amp;$D407&amp;"|"&amp;"",'CALENDARIO'!$G$15:$G$214,0)),IFERROR(INDEX('CALENDARIO'!$C$15:$C$214,MATCH(TEXT($L407,"yyyy-mm-dd")&amp;"|"&amp;$D407&amp;"|",'CALENDARIO'!$G$15:$G$214,0)),IFERROR(INDEX('CALENDARIO'!$C$15:$C$214,MATCH(TEXT($L407,"yyyy-mm-dd")&amp;"||",'CALENDARIO'!$G$15:$G$214,0)),INDEX(patronHabil,WEEKDAY($L407,2))))))&lt;&gt;"sí"),0,p_horas_jornada)</f>
        <v/>
      </c>
      <c r="N407" s="24">
        <f>$A407&amp;"|"&amp;$B407&amp;"|"&amp;$C407</f>
        <v/>
      </c>
      <c r="O407" s="24">
        <f>IFERROR(INDEX('CAT_TURNOS'!$C$4:$C$22,MATCH($J407,'CAT_TURNOS'!$A$4:$A$22,0)),"")</f>
        <v/>
      </c>
      <c r="P407" s="24">
        <f>IFERROR(INDEX('CAT_TURNOS'!$D$4:$D$22,MATCH($J407,'CAT_TURNOS'!$A$4:$A$22,0)),"")</f>
        <v/>
      </c>
      <c r="Q407" s="24">
        <f>IF(AND(LEFT($G407,1)="T",$H407="no"),"sí","no")</f>
        <v/>
      </c>
    </row>
    <row r="408">
      <c r="A408" s="5" t="inlineStr">
        <is>
          <t>2026-S33</t>
        </is>
      </c>
      <c r="B408" s="5" t="inlineStr">
        <is>
          <t>sábado</t>
        </is>
      </c>
      <c r="C408" s="5" t="inlineStr">
        <is>
          <t>Laura Morales</t>
        </is>
      </c>
      <c r="D408" s="24">
        <f>IFERROR(INDEX('TECNICOS'!$D$4:$D$19,MATCH($C408,'TECNICOS'!$B$4:$B$19,0)),"")</f>
        <v/>
      </c>
      <c r="E408" s="24">
        <f>IFERROR(INDEX('TECNICOS'!$C$4:$C$19,MATCH($C408,'TECNICOS'!$B$4:$B$19,0)),"")</f>
        <v/>
      </c>
      <c r="F408" s="24">
        <f>COUNTIFS('TECNICOS'!$F$4:$F$19,"sí",'TECNICOS'!$C$4:$C$19,$E408,'TECNICOS'!$D$4:$D$19,$D408,'TECNICOS'!$H$4:$H$19,"sí")</f>
        <v/>
      </c>
      <c r="G408" s="24">
        <f>IF(OR($C408="",$A408="",$B408="domingo",IFERROR(INDEX('TECNICOS'!$H$4:$H$19,MATCH($C408,'TECNICOS'!$B$4:$B$19,0)),"no")&lt;&gt;"sí"),"",IF(IFERROR(INDEX('TECNICOS'!$F$4:$F$19,MATCH($C408,'TECNICOS'!$B$4:$B$19,0)),"no")&lt;&gt;"sí","B",IF(MOD((IFERROR(INDEX('TECNICOS'!$G$4:$G$19,MATCH($C408,'TECNICOS'!$B$4:$B$19,0)),0)-1)+((DATE(VALUE(LEFT($A408,4)),1,4)-WEEKDAY(DATE(VALUE(LEFT($A408,4)),1,4),2)+1+(VALUE(MID($A408,7,2))-1)*7)-p_semana_referencia)/7,$F408)&lt;($F408-3),"B"&amp;(($F408-3)-MOD((IFERROR(INDEX('TECNICOS'!$G$4:$G$19,MATCH($C408,'TECNICOS'!$B$4:$B$19,0)),0)-1)+((DATE(VALUE(LEFT($A408,4)),1,4)-WEEKDAY(DATE(VALUE(LEFT($A408,4)),1,4),2)+1+(VALUE(MID($A408,7,2))-1)*7)-p_semana_referencia)/7,$F408)),"T"&amp;($F408-MOD((IFERROR(INDEX('TECNICOS'!$G$4:$G$19,MATCH($C408,'TECNICOS'!$B$4:$B$19,0)),0)-1)+((DATE(VALUE(LEFT($A408,4)),1,4)-WEEKDAY(DATE(VALUE(LEFT($A408,4)),1,4),2)+1+(VALUE(MID($A408,7,2))-1)*7)-p_semana_referencia)/7,$F408)))))</f>
        <v/>
      </c>
      <c r="H408" s="24">
        <f>IF(COUNTIFS('PLAN_VACACIONES'!$A$4:$A$103,$C408,'PLAN_VACACIONES'!$B$4:$B$103,"&lt;="&amp;$L408,'PLAN_VACACIONES'!$C$4:$C$103,"&gt;="&amp;$L408)&gt;0,"sí","no")</f>
        <v/>
      </c>
      <c r="I408" s="4" t="n"/>
      <c r="J408" s="24">
        <f>IF($I408&lt;&gt;"",$I408,IF($G408="","",IF($H408="sí","VAC",IF(LEFT($G408,1)="B","B",$G408))))</f>
        <v/>
      </c>
      <c r="K408" s="24">
        <f>IFERROR(INDEX('TECNICOS'!$E$4:$E$19,MATCH($C408,'TECNICOS'!$B$4:$B$19,0)),"")</f>
        <v/>
      </c>
      <c r="L408" s="30">
        <f>IF($A408="","",DATE(VALUE(LEFT($A408,4)),1,4)-WEEKDAY(DATE(VALUE(LEFT($A408,4)),1,4),2)+1+(VALUE(MID($A408,7,2))-1)*7+MATCH($B408,lista_dias,0)-1)</f>
        <v/>
      </c>
      <c r="M408" s="24">
        <f>IF(OR($J408="",ISNUMBER(MATCH($J408,lista_no_disponible,0)),(IFERROR(INDEX('CALENDARIO'!$C$15:$C$214,MATCH(TEXT($L408,"yyyy-mm-dd")&amp;"|"&amp;$D408&amp;"|"&amp;"",'CALENDARIO'!$G$15:$G$214,0)),IFERROR(INDEX('CALENDARIO'!$C$15:$C$214,MATCH(TEXT($L408,"yyyy-mm-dd")&amp;"|"&amp;$D408&amp;"|",'CALENDARIO'!$G$15:$G$214,0)),IFERROR(INDEX('CALENDARIO'!$C$15:$C$214,MATCH(TEXT($L408,"yyyy-mm-dd")&amp;"||",'CALENDARIO'!$G$15:$G$214,0)),INDEX(patronHabil,WEEKDAY($L408,2))))))&lt;&gt;"sí"),0,p_horas_jornada)</f>
        <v/>
      </c>
      <c r="N408" s="24">
        <f>$A408&amp;"|"&amp;$B408&amp;"|"&amp;$C408</f>
        <v/>
      </c>
      <c r="O408" s="24">
        <f>IFERROR(INDEX('CAT_TURNOS'!$C$4:$C$22,MATCH($J408,'CAT_TURNOS'!$A$4:$A$22,0)),"")</f>
        <v/>
      </c>
      <c r="P408" s="24">
        <f>IFERROR(INDEX('CAT_TURNOS'!$D$4:$D$22,MATCH($J408,'CAT_TURNOS'!$A$4:$A$22,0)),"")</f>
        <v/>
      </c>
      <c r="Q408" s="24">
        <f>IF(AND(LEFT($G408,1)="T",$H408="no"),"sí","no")</f>
        <v/>
      </c>
    </row>
    <row r="409">
      <c r="A409" s="5" t="inlineStr">
        <is>
          <t>2026-S33</t>
        </is>
      </c>
      <c r="B409" s="5" t="inlineStr">
        <is>
          <t>domingo</t>
        </is>
      </c>
      <c r="C409" s="5" t="inlineStr">
        <is>
          <t>Laura Morales</t>
        </is>
      </c>
      <c r="D409" s="24">
        <f>IFERROR(INDEX('TECNICOS'!$D$4:$D$19,MATCH($C409,'TECNICOS'!$B$4:$B$19,0)),"")</f>
        <v/>
      </c>
      <c r="E409" s="24">
        <f>IFERROR(INDEX('TECNICOS'!$C$4:$C$19,MATCH($C409,'TECNICOS'!$B$4:$B$19,0)),"")</f>
        <v/>
      </c>
      <c r="F409" s="24">
        <f>COUNTIFS('TECNICOS'!$F$4:$F$19,"sí",'TECNICOS'!$C$4:$C$19,$E409,'TECNICOS'!$D$4:$D$19,$D409,'TECNICOS'!$H$4:$H$19,"sí")</f>
        <v/>
      </c>
      <c r="G409" s="24">
        <f>IF(OR($C409="",$A409="",$B409="domingo",IFERROR(INDEX('TECNICOS'!$H$4:$H$19,MATCH($C409,'TECNICOS'!$B$4:$B$19,0)),"no")&lt;&gt;"sí"),"",IF(IFERROR(INDEX('TECNICOS'!$F$4:$F$19,MATCH($C409,'TECNICOS'!$B$4:$B$19,0)),"no")&lt;&gt;"sí","B",IF(MOD((IFERROR(INDEX('TECNICOS'!$G$4:$G$19,MATCH($C409,'TECNICOS'!$B$4:$B$19,0)),0)-1)+((DATE(VALUE(LEFT($A409,4)),1,4)-WEEKDAY(DATE(VALUE(LEFT($A409,4)),1,4),2)+1+(VALUE(MID($A409,7,2))-1)*7)-p_semana_referencia)/7,$F409)&lt;($F409-3),"B"&amp;(($F409-3)-MOD((IFERROR(INDEX('TECNICOS'!$G$4:$G$19,MATCH($C409,'TECNICOS'!$B$4:$B$19,0)),0)-1)+((DATE(VALUE(LEFT($A409,4)),1,4)-WEEKDAY(DATE(VALUE(LEFT($A409,4)),1,4),2)+1+(VALUE(MID($A409,7,2))-1)*7)-p_semana_referencia)/7,$F409)),"T"&amp;($F409-MOD((IFERROR(INDEX('TECNICOS'!$G$4:$G$19,MATCH($C409,'TECNICOS'!$B$4:$B$19,0)),0)-1)+((DATE(VALUE(LEFT($A409,4)),1,4)-WEEKDAY(DATE(VALUE(LEFT($A409,4)),1,4),2)+1+(VALUE(MID($A409,7,2))-1)*7)-p_semana_referencia)/7,$F409)))))</f>
        <v/>
      </c>
      <c r="H409" s="24">
        <f>IF(COUNTIFS('PLAN_VACACIONES'!$A$4:$A$103,$C409,'PLAN_VACACIONES'!$B$4:$B$103,"&lt;="&amp;$L409,'PLAN_VACACIONES'!$C$4:$C$103,"&gt;="&amp;$L409)&gt;0,"sí","no")</f>
        <v/>
      </c>
      <c r="I409" s="4" t="n"/>
      <c r="J409" s="24">
        <f>IF($I409&lt;&gt;"",$I409,IF($G409="","",IF($H409="sí","VAC",IF(LEFT($G409,1)="B","B",$G409))))</f>
        <v/>
      </c>
      <c r="K409" s="24">
        <f>IFERROR(INDEX('TECNICOS'!$E$4:$E$19,MATCH($C409,'TECNICOS'!$B$4:$B$19,0)),"")</f>
        <v/>
      </c>
      <c r="L409" s="30">
        <f>IF($A409="","",DATE(VALUE(LEFT($A409,4)),1,4)-WEEKDAY(DATE(VALUE(LEFT($A409,4)),1,4),2)+1+(VALUE(MID($A409,7,2))-1)*7+MATCH($B409,lista_dias,0)-1)</f>
        <v/>
      </c>
      <c r="M409" s="24">
        <f>IF(OR($J409="",ISNUMBER(MATCH($J409,lista_no_disponible,0)),(IFERROR(INDEX('CALENDARIO'!$C$15:$C$214,MATCH(TEXT($L409,"yyyy-mm-dd")&amp;"|"&amp;$D409&amp;"|"&amp;"",'CALENDARIO'!$G$15:$G$214,0)),IFERROR(INDEX('CALENDARIO'!$C$15:$C$214,MATCH(TEXT($L409,"yyyy-mm-dd")&amp;"|"&amp;$D409&amp;"|",'CALENDARIO'!$G$15:$G$214,0)),IFERROR(INDEX('CALENDARIO'!$C$15:$C$214,MATCH(TEXT($L409,"yyyy-mm-dd")&amp;"||",'CALENDARIO'!$G$15:$G$214,0)),INDEX(patronHabil,WEEKDAY($L409,2))))))&lt;&gt;"sí"),0,p_horas_jornada)</f>
        <v/>
      </c>
      <c r="N409" s="24">
        <f>$A409&amp;"|"&amp;$B409&amp;"|"&amp;$C409</f>
        <v/>
      </c>
      <c r="O409" s="24">
        <f>IFERROR(INDEX('CAT_TURNOS'!$C$4:$C$22,MATCH($J409,'CAT_TURNOS'!$A$4:$A$22,0)),"")</f>
        <v/>
      </c>
      <c r="P409" s="24">
        <f>IFERROR(INDEX('CAT_TURNOS'!$D$4:$D$22,MATCH($J409,'CAT_TURNOS'!$A$4:$A$22,0)),"")</f>
        <v/>
      </c>
      <c r="Q409" s="24">
        <f>IF(AND(LEFT($G409,1)="T",$H409="no"),"sí","no")</f>
        <v/>
      </c>
    </row>
    <row r="410">
      <c r="A410" s="5" t="inlineStr">
        <is>
          <t>2026-S33</t>
        </is>
      </c>
      <c r="B410" s="5" t="inlineStr">
        <is>
          <t>lunes</t>
        </is>
      </c>
      <c r="C410" s="5" t="inlineStr">
        <is>
          <t>Ricardo Ortiz</t>
        </is>
      </c>
      <c r="D410" s="24">
        <f>IFERROR(INDEX('TECNICOS'!$D$4:$D$19,MATCH($C410,'TECNICOS'!$B$4:$B$19,0)),"")</f>
        <v/>
      </c>
      <c r="E410" s="24">
        <f>IFERROR(INDEX('TECNICOS'!$C$4:$C$19,MATCH($C410,'TECNICOS'!$B$4:$B$19,0)),"")</f>
        <v/>
      </c>
      <c r="F410" s="24">
        <f>COUNTIFS('TECNICOS'!$F$4:$F$19,"sí",'TECNICOS'!$C$4:$C$19,$E410,'TECNICOS'!$D$4:$D$19,$D410,'TECNICOS'!$H$4:$H$19,"sí")</f>
        <v/>
      </c>
      <c r="G410" s="24">
        <f>IF(OR($C410="",$A410="",$B410="domingo",IFERROR(INDEX('TECNICOS'!$H$4:$H$19,MATCH($C410,'TECNICOS'!$B$4:$B$19,0)),"no")&lt;&gt;"sí"),"",IF(IFERROR(INDEX('TECNICOS'!$F$4:$F$19,MATCH($C410,'TECNICOS'!$B$4:$B$19,0)),"no")&lt;&gt;"sí","B",IF(MOD((IFERROR(INDEX('TECNICOS'!$G$4:$G$19,MATCH($C410,'TECNICOS'!$B$4:$B$19,0)),0)-1)+((DATE(VALUE(LEFT($A410,4)),1,4)-WEEKDAY(DATE(VALUE(LEFT($A410,4)),1,4),2)+1+(VALUE(MID($A410,7,2))-1)*7)-p_semana_referencia)/7,$F410)&lt;($F410-3),"B"&amp;(($F410-3)-MOD((IFERROR(INDEX('TECNICOS'!$G$4:$G$19,MATCH($C410,'TECNICOS'!$B$4:$B$19,0)),0)-1)+((DATE(VALUE(LEFT($A410,4)),1,4)-WEEKDAY(DATE(VALUE(LEFT($A410,4)),1,4),2)+1+(VALUE(MID($A410,7,2))-1)*7)-p_semana_referencia)/7,$F410)),"T"&amp;($F410-MOD((IFERROR(INDEX('TECNICOS'!$G$4:$G$19,MATCH($C410,'TECNICOS'!$B$4:$B$19,0)),0)-1)+((DATE(VALUE(LEFT($A410,4)),1,4)-WEEKDAY(DATE(VALUE(LEFT($A410,4)),1,4),2)+1+(VALUE(MID($A410,7,2))-1)*7)-p_semana_referencia)/7,$F410)))))</f>
        <v/>
      </c>
      <c r="H410" s="24">
        <f>IF(COUNTIFS('PLAN_VACACIONES'!$A$4:$A$103,$C410,'PLAN_VACACIONES'!$B$4:$B$103,"&lt;="&amp;$L410,'PLAN_VACACIONES'!$C$4:$C$103,"&gt;="&amp;$L410)&gt;0,"sí","no")</f>
        <v/>
      </c>
      <c r="I410" s="4" t="n"/>
      <c r="J410" s="24">
        <f>IF($I410&lt;&gt;"",$I410,IF($G410="","",IF($H410="sí","VAC",IF(LEFT($G410,1)="B","B",$G410))))</f>
        <v/>
      </c>
      <c r="K410" s="24">
        <f>IFERROR(INDEX('TECNICOS'!$E$4:$E$19,MATCH($C410,'TECNICOS'!$B$4:$B$19,0)),"")</f>
        <v/>
      </c>
      <c r="L410" s="30">
        <f>IF($A410="","",DATE(VALUE(LEFT($A410,4)),1,4)-WEEKDAY(DATE(VALUE(LEFT($A410,4)),1,4),2)+1+(VALUE(MID($A410,7,2))-1)*7+MATCH($B410,lista_dias,0)-1)</f>
        <v/>
      </c>
      <c r="M410" s="24">
        <f>IF(OR($J410="",ISNUMBER(MATCH($J410,lista_no_disponible,0)),(IFERROR(INDEX('CALENDARIO'!$C$15:$C$214,MATCH(TEXT($L410,"yyyy-mm-dd")&amp;"|"&amp;$D410&amp;"|"&amp;"",'CALENDARIO'!$G$15:$G$214,0)),IFERROR(INDEX('CALENDARIO'!$C$15:$C$214,MATCH(TEXT($L410,"yyyy-mm-dd")&amp;"|"&amp;$D410&amp;"|",'CALENDARIO'!$G$15:$G$214,0)),IFERROR(INDEX('CALENDARIO'!$C$15:$C$214,MATCH(TEXT($L410,"yyyy-mm-dd")&amp;"||",'CALENDARIO'!$G$15:$G$214,0)),INDEX(patronHabil,WEEKDAY($L410,2))))))&lt;&gt;"sí"),0,p_horas_jornada)</f>
        <v/>
      </c>
      <c r="N410" s="24">
        <f>$A410&amp;"|"&amp;$B410&amp;"|"&amp;$C410</f>
        <v/>
      </c>
      <c r="O410" s="24">
        <f>IFERROR(INDEX('CAT_TURNOS'!$C$4:$C$22,MATCH($J410,'CAT_TURNOS'!$A$4:$A$22,0)),"")</f>
        <v/>
      </c>
      <c r="P410" s="24">
        <f>IFERROR(INDEX('CAT_TURNOS'!$D$4:$D$22,MATCH($J410,'CAT_TURNOS'!$A$4:$A$22,0)),"")</f>
        <v/>
      </c>
      <c r="Q410" s="24">
        <f>IF(AND(LEFT($G410,1)="T",$H410="no"),"sí","no")</f>
        <v/>
      </c>
    </row>
    <row r="411">
      <c r="A411" s="5" t="inlineStr">
        <is>
          <t>2026-S33</t>
        </is>
      </c>
      <c r="B411" s="5" t="inlineStr">
        <is>
          <t>martes</t>
        </is>
      </c>
      <c r="C411" s="5" t="inlineStr">
        <is>
          <t>Ricardo Ortiz</t>
        </is>
      </c>
      <c r="D411" s="24">
        <f>IFERROR(INDEX('TECNICOS'!$D$4:$D$19,MATCH($C411,'TECNICOS'!$B$4:$B$19,0)),"")</f>
        <v/>
      </c>
      <c r="E411" s="24">
        <f>IFERROR(INDEX('TECNICOS'!$C$4:$C$19,MATCH($C411,'TECNICOS'!$B$4:$B$19,0)),"")</f>
        <v/>
      </c>
      <c r="F411" s="24">
        <f>COUNTIFS('TECNICOS'!$F$4:$F$19,"sí",'TECNICOS'!$C$4:$C$19,$E411,'TECNICOS'!$D$4:$D$19,$D411,'TECNICOS'!$H$4:$H$19,"sí")</f>
        <v/>
      </c>
      <c r="G411" s="24">
        <f>IF(OR($C411="",$A411="",$B411="domingo",IFERROR(INDEX('TECNICOS'!$H$4:$H$19,MATCH($C411,'TECNICOS'!$B$4:$B$19,0)),"no")&lt;&gt;"sí"),"",IF(IFERROR(INDEX('TECNICOS'!$F$4:$F$19,MATCH($C411,'TECNICOS'!$B$4:$B$19,0)),"no")&lt;&gt;"sí","B",IF(MOD((IFERROR(INDEX('TECNICOS'!$G$4:$G$19,MATCH($C411,'TECNICOS'!$B$4:$B$19,0)),0)-1)+((DATE(VALUE(LEFT($A411,4)),1,4)-WEEKDAY(DATE(VALUE(LEFT($A411,4)),1,4),2)+1+(VALUE(MID($A411,7,2))-1)*7)-p_semana_referencia)/7,$F411)&lt;($F411-3),"B"&amp;(($F411-3)-MOD((IFERROR(INDEX('TECNICOS'!$G$4:$G$19,MATCH($C411,'TECNICOS'!$B$4:$B$19,0)),0)-1)+((DATE(VALUE(LEFT($A411,4)),1,4)-WEEKDAY(DATE(VALUE(LEFT($A411,4)),1,4),2)+1+(VALUE(MID($A411,7,2))-1)*7)-p_semana_referencia)/7,$F411)),"T"&amp;($F411-MOD((IFERROR(INDEX('TECNICOS'!$G$4:$G$19,MATCH($C411,'TECNICOS'!$B$4:$B$19,0)),0)-1)+((DATE(VALUE(LEFT($A411,4)),1,4)-WEEKDAY(DATE(VALUE(LEFT($A411,4)),1,4),2)+1+(VALUE(MID($A411,7,2))-1)*7)-p_semana_referencia)/7,$F411)))))</f>
        <v/>
      </c>
      <c r="H411" s="24">
        <f>IF(COUNTIFS('PLAN_VACACIONES'!$A$4:$A$103,$C411,'PLAN_VACACIONES'!$B$4:$B$103,"&lt;="&amp;$L411,'PLAN_VACACIONES'!$C$4:$C$103,"&gt;="&amp;$L411)&gt;0,"sí","no")</f>
        <v/>
      </c>
      <c r="I411" s="4" t="n"/>
      <c r="J411" s="24">
        <f>IF($I411&lt;&gt;"",$I411,IF($G411="","",IF($H411="sí","VAC",IF(LEFT($G411,1)="B","B",$G411))))</f>
        <v/>
      </c>
      <c r="K411" s="24">
        <f>IFERROR(INDEX('TECNICOS'!$E$4:$E$19,MATCH($C411,'TECNICOS'!$B$4:$B$19,0)),"")</f>
        <v/>
      </c>
      <c r="L411" s="30">
        <f>IF($A411="","",DATE(VALUE(LEFT($A411,4)),1,4)-WEEKDAY(DATE(VALUE(LEFT($A411,4)),1,4),2)+1+(VALUE(MID($A411,7,2))-1)*7+MATCH($B411,lista_dias,0)-1)</f>
        <v/>
      </c>
      <c r="M411" s="24">
        <f>IF(OR($J411="",ISNUMBER(MATCH($J411,lista_no_disponible,0)),(IFERROR(INDEX('CALENDARIO'!$C$15:$C$214,MATCH(TEXT($L411,"yyyy-mm-dd")&amp;"|"&amp;$D411&amp;"|"&amp;"",'CALENDARIO'!$G$15:$G$214,0)),IFERROR(INDEX('CALENDARIO'!$C$15:$C$214,MATCH(TEXT($L411,"yyyy-mm-dd")&amp;"|"&amp;$D411&amp;"|",'CALENDARIO'!$G$15:$G$214,0)),IFERROR(INDEX('CALENDARIO'!$C$15:$C$214,MATCH(TEXT($L411,"yyyy-mm-dd")&amp;"||",'CALENDARIO'!$G$15:$G$214,0)),INDEX(patronHabil,WEEKDAY($L411,2))))))&lt;&gt;"sí"),0,p_horas_jornada)</f>
        <v/>
      </c>
      <c r="N411" s="24">
        <f>$A411&amp;"|"&amp;$B411&amp;"|"&amp;$C411</f>
        <v/>
      </c>
      <c r="O411" s="24">
        <f>IFERROR(INDEX('CAT_TURNOS'!$C$4:$C$22,MATCH($J411,'CAT_TURNOS'!$A$4:$A$22,0)),"")</f>
        <v/>
      </c>
      <c r="P411" s="24">
        <f>IFERROR(INDEX('CAT_TURNOS'!$D$4:$D$22,MATCH($J411,'CAT_TURNOS'!$A$4:$A$22,0)),"")</f>
        <v/>
      </c>
      <c r="Q411" s="24">
        <f>IF(AND(LEFT($G411,1)="T",$H411="no"),"sí","no")</f>
        <v/>
      </c>
    </row>
    <row r="412">
      <c r="A412" s="5" t="inlineStr">
        <is>
          <t>2026-S33</t>
        </is>
      </c>
      <c r="B412" s="5" t="inlineStr">
        <is>
          <t>miércoles</t>
        </is>
      </c>
      <c r="C412" s="5" t="inlineStr">
        <is>
          <t>Ricardo Ortiz</t>
        </is>
      </c>
      <c r="D412" s="24">
        <f>IFERROR(INDEX('TECNICOS'!$D$4:$D$19,MATCH($C412,'TECNICOS'!$B$4:$B$19,0)),"")</f>
        <v/>
      </c>
      <c r="E412" s="24">
        <f>IFERROR(INDEX('TECNICOS'!$C$4:$C$19,MATCH($C412,'TECNICOS'!$B$4:$B$19,0)),"")</f>
        <v/>
      </c>
      <c r="F412" s="24">
        <f>COUNTIFS('TECNICOS'!$F$4:$F$19,"sí",'TECNICOS'!$C$4:$C$19,$E412,'TECNICOS'!$D$4:$D$19,$D412,'TECNICOS'!$H$4:$H$19,"sí")</f>
        <v/>
      </c>
      <c r="G412" s="24">
        <f>IF(OR($C412="",$A412="",$B412="domingo",IFERROR(INDEX('TECNICOS'!$H$4:$H$19,MATCH($C412,'TECNICOS'!$B$4:$B$19,0)),"no")&lt;&gt;"sí"),"",IF(IFERROR(INDEX('TECNICOS'!$F$4:$F$19,MATCH($C412,'TECNICOS'!$B$4:$B$19,0)),"no")&lt;&gt;"sí","B",IF(MOD((IFERROR(INDEX('TECNICOS'!$G$4:$G$19,MATCH($C412,'TECNICOS'!$B$4:$B$19,0)),0)-1)+((DATE(VALUE(LEFT($A412,4)),1,4)-WEEKDAY(DATE(VALUE(LEFT($A412,4)),1,4),2)+1+(VALUE(MID($A412,7,2))-1)*7)-p_semana_referencia)/7,$F412)&lt;($F412-3),"B"&amp;(($F412-3)-MOD((IFERROR(INDEX('TECNICOS'!$G$4:$G$19,MATCH($C412,'TECNICOS'!$B$4:$B$19,0)),0)-1)+((DATE(VALUE(LEFT($A412,4)),1,4)-WEEKDAY(DATE(VALUE(LEFT($A412,4)),1,4),2)+1+(VALUE(MID($A412,7,2))-1)*7)-p_semana_referencia)/7,$F412)),"T"&amp;($F412-MOD((IFERROR(INDEX('TECNICOS'!$G$4:$G$19,MATCH($C412,'TECNICOS'!$B$4:$B$19,0)),0)-1)+((DATE(VALUE(LEFT($A412,4)),1,4)-WEEKDAY(DATE(VALUE(LEFT($A412,4)),1,4),2)+1+(VALUE(MID($A412,7,2))-1)*7)-p_semana_referencia)/7,$F412)))))</f>
        <v/>
      </c>
      <c r="H412" s="24">
        <f>IF(COUNTIFS('PLAN_VACACIONES'!$A$4:$A$103,$C412,'PLAN_VACACIONES'!$B$4:$B$103,"&lt;="&amp;$L412,'PLAN_VACACIONES'!$C$4:$C$103,"&gt;="&amp;$L412)&gt;0,"sí","no")</f>
        <v/>
      </c>
      <c r="I412" s="4" t="n"/>
      <c r="J412" s="24">
        <f>IF($I412&lt;&gt;"",$I412,IF($G412="","",IF($H412="sí","VAC",IF(LEFT($G412,1)="B","B",$G412))))</f>
        <v/>
      </c>
      <c r="K412" s="24">
        <f>IFERROR(INDEX('TECNICOS'!$E$4:$E$19,MATCH($C412,'TECNICOS'!$B$4:$B$19,0)),"")</f>
        <v/>
      </c>
      <c r="L412" s="30">
        <f>IF($A412="","",DATE(VALUE(LEFT($A412,4)),1,4)-WEEKDAY(DATE(VALUE(LEFT($A412,4)),1,4),2)+1+(VALUE(MID($A412,7,2))-1)*7+MATCH($B412,lista_dias,0)-1)</f>
        <v/>
      </c>
      <c r="M412" s="24">
        <f>IF(OR($J412="",ISNUMBER(MATCH($J412,lista_no_disponible,0)),(IFERROR(INDEX('CALENDARIO'!$C$15:$C$214,MATCH(TEXT($L412,"yyyy-mm-dd")&amp;"|"&amp;$D412&amp;"|"&amp;"",'CALENDARIO'!$G$15:$G$214,0)),IFERROR(INDEX('CALENDARIO'!$C$15:$C$214,MATCH(TEXT($L412,"yyyy-mm-dd")&amp;"|"&amp;$D412&amp;"|",'CALENDARIO'!$G$15:$G$214,0)),IFERROR(INDEX('CALENDARIO'!$C$15:$C$214,MATCH(TEXT($L412,"yyyy-mm-dd")&amp;"||",'CALENDARIO'!$G$15:$G$214,0)),INDEX(patronHabil,WEEKDAY($L412,2))))))&lt;&gt;"sí"),0,p_horas_jornada)</f>
        <v/>
      </c>
      <c r="N412" s="24">
        <f>$A412&amp;"|"&amp;$B412&amp;"|"&amp;$C412</f>
        <v/>
      </c>
      <c r="O412" s="24">
        <f>IFERROR(INDEX('CAT_TURNOS'!$C$4:$C$22,MATCH($J412,'CAT_TURNOS'!$A$4:$A$22,0)),"")</f>
        <v/>
      </c>
      <c r="P412" s="24">
        <f>IFERROR(INDEX('CAT_TURNOS'!$D$4:$D$22,MATCH($J412,'CAT_TURNOS'!$A$4:$A$22,0)),"")</f>
        <v/>
      </c>
      <c r="Q412" s="24">
        <f>IF(AND(LEFT($G412,1)="T",$H412="no"),"sí","no")</f>
        <v/>
      </c>
    </row>
    <row r="413">
      <c r="A413" s="5" t="inlineStr">
        <is>
          <t>2026-S33</t>
        </is>
      </c>
      <c r="B413" s="5" t="inlineStr">
        <is>
          <t>jueves</t>
        </is>
      </c>
      <c r="C413" s="5" t="inlineStr">
        <is>
          <t>Ricardo Ortiz</t>
        </is>
      </c>
      <c r="D413" s="24">
        <f>IFERROR(INDEX('TECNICOS'!$D$4:$D$19,MATCH($C413,'TECNICOS'!$B$4:$B$19,0)),"")</f>
        <v/>
      </c>
      <c r="E413" s="24">
        <f>IFERROR(INDEX('TECNICOS'!$C$4:$C$19,MATCH($C413,'TECNICOS'!$B$4:$B$19,0)),"")</f>
        <v/>
      </c>
      <c r="F413" s="24">
        <f>COUNTIFS('TECNICOS'!$F$4:$F$19,"sí",'TECNICOS'!$C$4:$C$19,$E413,'TECNICOS'!$D$4:$D$19,$D413,'TECNICOS'!$H$4:$H$19,"sí")</f>
        <v/>
      </c>
      <c r="G413" s="24">
        <f>IF(OR($C413="",$A413="",$B413="domingo",IFERROR(INDEX('TECNICOS'!$H$4:$H$19,MATCH($C413,'TECNICOS'!$B$4:$B$19,0)),"no")&lt;&gt;"sí"),"",IF(IFERROR(INDEX('TECNICOS'!$F$4:$F$19,MATCH($C413,'TECNICOS'!$B$4:$B$19,0)),"no")&lt;&gt;"sí","B",IF(MOD((IFERROR(INDEX('TECNICOS'!$G$4:$G$19,MATCH($C413,'TECNICOS'!$B$4:$B$19,0)),0)-1)+((DATE(VALUE(LEFT($A413,4)),1,4)-WEEKDAY(DATE(VALUE(LEFT($A413,4)),1,4),2)+1+(VALUE(MID($A413,7,2))-1)*7)-p_semana_referencia)/7,$F413)&lt;($F413-3),"B"&amp;(($F413-3)-MOD((IFERROR(INDEX('TECNICOS'!$G$4:$G$19,MATCH($C413,'TECNICOS'!$B$4:$B$19,0)),0)-1)+((DATE(VALUE(LEFT($A413,4)),1,4)-WEEKDAY(DATE(VALUE(LEFT($A413,4)),1,4),2)+1+(VALUE(MID($A413,7,2))-1)*7)-p_semana_referencia)/7,$F413)),"T"&amp;($F413-MOD((IFERROR(INDEX('TECNICOS'!$G$4:$G$19,MATCH($C413,'TECNICOS'!$B$4:$B$19,0)),0)-1)+((DATE(VALUE(LEFT($A413,4)),1,4)-WEEKDAY(DATE(VALUE(LEFT($A413,4)),1,4),2)+1+(VALUE(MID($A413,7,2))-1)*7)-p_semana_referencia)/7,$F413)))))</f>
        <v/>
      </c>
      <c r="H413" s="24">
        <f>IF(COUNTIFS('PLAN_VACACIONES'!$A$4:$A$103,$C413,'PLAN_VACACIONES'!$B$4:$B$103,"&lt;="&amp;$L413,'PLAN_VACACIONES'!$C$4:$C$103,"&gt;="&amp;$L413)&gt;0,"sí","no")</f>
        <v/>
      </c>
      <c r="I413" s="4" t="n"/>
      <c r="J413" s="24">
        <f>IF($I413&lt;&gt;"",$I413,IF($G413="","",IF($H413="sí","VAC",IF(LEFT($G413,1)="B","B",$G413))))</f>
        <v/>
      </c>
      <c r="K413" s="24">
        <f>IFERROR(INDEX('TECNICOS'!$E$4:$E$19,MATCH($C413,'TECNICOS'!$B$4:$B$19,0)),"")</f>
        <v/>
      </c>
      <c r="L413" s="30">
        <f>IF($A413="","",DATE(VALUE(LEFT($A413,4)),1,4)-WEEKDAY(DATE(VALUE(LEFT($A413,4)),1,4),2)+1+(VALUE(MID($A413,7,2))-1)*7+MATCH($B413,lista_dias,0)-1)</f>
        <v/>
      </c>
      <c r="M413" s="24">
        <f>IF(OR($J413="",ISNUMBER(MATCH($J413,lista_no_disponible,0)),(IFERROR(INDEX('CALENDARIO'!$C$15:$C$214,MATCH(TEXT($L413,"yyyy-mm-dd")&amp;"|"&amp;$D413&amp;"|"&amp;"",'CALENDARIO'!$G$15:$G$214,0)),IFERROR(INDEX('CALENDARIO'!$C$15:$C$214,MATCH(TEXT($L413,"yyyy-mm-dd")&amp;"|"&amp;$D413&amp;"|",'CALENDARIO'!$G$15:$G$214,0)),IFERROR(INDEX('CALENDARIO'!$C$15:$C$214,MATCH(TEXT($L413,"yyyy-mm-dd")&amp;"||",'CALENDARIO'!$G$15:$G$214,0)),INDEX(patronHabil,WEEKDAY($L413,2))))))&lt;&gt;"sí"),0,p_horas_jornada)</f>
        <v/>
      </c>
      <c r="N413" s="24">
        <f>$A413&amp;"|"&amp;$B413&amp;"|"&amp;$C413</f>
        <v/>
      </c>
      <c r="O413" s="24">
        <f>IFERROR(INDEX('CAT_TURNOS'!$C$4:$C$22,MATCH($J413,'CAT_TURNOS'!$A$4:$A$22,0)),"")</f>
        <v/>
      </c>
      <c r="P413" s="24">
        <f>IFERROR(INDEX('CAT_TURNOS'!$D$4:$D$22,MATCH($J413,'CAT_TURNOS'!$A$4:$A$22,0)),"")</f>
        <v/>
      </c>
      <c r="Q413" s="24">
        <f>IF(AND(LEFT($G413,1)="T",$H413="no"),"sí","no")</f>
        <v/>
      </c>
    </row>
    <row r="414">
      <c r="A414" s="5" t="inlineStr">
        <is>
          <t>2026-S33</t>
        </is>
      </c>
      <c r="B414" s="5" t="inlineStr">
        <is>
          <t>viernes</t>
        </is>
      </c>
      <c r="C414" s="5" t="inlineStr">
        <is>
          <t>Ricardo Ortiz</t>
        </is>
      </c>
      <c r="D414" s="24">
        <f>IFERROR(INDEX('TECNICOS'!$D$4:$D$19,MATCH($C414,'TECNICOS'!$B$4:$B$19,0)),"")</f>
        <v/>
      </c>
      <c r="E414" s="24">
        <f>IFERROR(INDEX('TECNICOS'!$C$4:$C$19,MATCH($C414,'TECNICOS'!$B$4:$B$19,0)),"")</f>
        <v/>
      </c>
      <c r="F414" s="24">
        <f>COUNTIFS('TECNICOS'!$F$4:$F$19,"sí",'TECNICOS'!$C$4:$C$19,$E414,'TECNICOS'!$D$4:$D$19,$D414,'TECNICOS'!$H$4:$H$19,"sí")</f>
        <v/>
      </c>
      <c r="G414" s="24">
        <f>IF(OR($C414="",$A414="",$B414="domingo",IFERROR(INDEX('TECNICOS'!$H$4:$H$19,MATCH($C414,'TECNICOS'!$B$4:$B$19,0)),"no")&lt;&gt;"sí"),"",IF(IFERROR(INDEX('TECNICOS'!$F$4:$F$19,MATCH($C414,'TECNICOS'!$B$4:$B$19,0)),"no")&lt;&gt;"sí","B",IF(MOD((IFERROR(INDEX('TECNICOS'!$G$4:$G$19,MATCH($C414,'TECNICOS'!$B$4:$B$19,0)),0)-1)+((DATE(VALUE(LEFT($A414,4)),1,4)-WEEKDAY(DATE(VALUE(LEFT($A414,4)),1,4),2)+1+(VALUE(MID($A414,7,2))-1)*7)-p_semana_referencia)/7,$F414)&lt;($F414-3),"B"&amp;(($F414-3)-MOD((IFERROR(INDEX('TECNICOS'!$G$4:$G$19,MATCH($C414,'TECNICOS'!$B$4:$B$19,0)),0)-1)+((DATE(VALUE(LEFT($A414,4)),1,4)-WEEKDAY(DATE(VALUE(LEFT($A414,4)),1,4),2)+1+(VALUE(MID($A414,7,2))-1)*7)-p_semana_referencia)/7,$F414)),"T"&amp;($F414-MOD((IFERROR(INDEX('TECNICOS'!$G$4:$G$19,MATCH($C414,'TECNICOS'!$B$4:$B$19,0)),0)-1)+((DATE(VALUE(LEFT($A414,4)),1,4)-WEEKDAY(DATE(VALUE(LEFT($A414,4)),1,4),2)+1+(VALUE(MID($A414,7,2))-1)*7)-p_semana_referencia)/7,$F414)))))</f>
        <v/>
      </c>
      <c r="H414" s="24">
        <f>IF(COUNTIFS('PLAN_VACACIONES'!$A$4:$A$103,$C414,'PLAN_VACACIONES'!$B$4:$B$103,"&lt;="&amp;$L414,'PLAN_VACACIONES'!$C$4:$C$103,"&gt;="&amp;$L414)&gt;0,"sí","no")</f>
        <v/>
      </c>
      <c r="I414" s="4" t="n"/>
      <c r="J414" s="24">
        <f>IF($I414&lt;&gt;"",$I414,IF($G414="","",IF($H414="sí","VAC",IF(LEFT($G414,1)="B","B",$G414))))</f>
        <v/>
      </c>
      <c r="K414" s="24">
        <f>IFERROR(INDEX('TECNICOS'!$E$4:$E$19,MATCH($C414,'TECNICOS'!$B$4:$B$19,0)),"")</f>
        <v/>
      </c>
      <c r="L414" s="30">
        <f>IF($A414="","",DATE(VALUE(LEFT($A414,4)),1,4)-WEEKDAY(DATE(VALUE(LEFT($A414,4)),1,4),2)+1+(VALUE(MID($A414,7,2))-1)*7+MATCH($B414,lista_dias,0)-1)</f>
        <v/>
      </c>
      <c r="M414" s="24">
        <f>IF(OR($J414="",ISNUMBER(MATCH($J414,lista_no_disponible,0)),(IFERROR(INDEX('CALENDARIO'!$C$15:$C$214,MATCH(TEXT($L414,"yyyy-mm-dd")&amp;"|"&amp;$D414&amp;"|"&amp;"",'CALENDARIO'!$G$15:$G$214,0)),IFERROR(INDEX('CALENDARIO'!$C$15:$C$214,MATCH(TEXT($L414,"yyyy-mm-dd")&amp;"|"&amp;$D414&amp;"|",'CALENDARIO'!$G$15:$G$214,0)),IFERROR(INDEX('CALENDARIO'!$C$15:$C$214,MATCH(TEXT($L414,"yyyy-mm-dd")&amp;"||",'CALENDARIO'!$G$15:$G$214,0)),INDEX(patronHabil,WEEKDAY($L414,2))))))&lt;&gt;"sí"),0,p_horas_jornada)</f>
        <v/>
      </c>
      <c r="N414" s="24">
        <f>$A414&amp;"|"&amp;$B414&amp;"|"&amp;$C414</f>
        <v/>
      </c>
      <c r="O414" s="24">
        <f>IFERROR(INDEX('CAT_TURNOS'!$C$4:$C$22,MATCH($J414,'CAT_TURNOS'!$A$4:$A$22,0)),"")</f>
        <v/>
      </c>
      <c r="P414" s="24">
        <f>IFERROR(INDEX('CAT_TURNOS'!$D$4:$D$22,MATCH($J414,'CAT_TURNOS'!$A$4:$A$22,0)),"")</f>
        <v/>
      </c>
      <c r="Q414" s="24">
        <f>IF(AND(LEFT($G414,1)="T",$H414="no"),"sí","no")</f>
        <v/>
      </c>
    </row>
    <row r="415">
      <c r="A415" s="5" t="inlineStr">
        <is>
          <t>2026-S33</t>
        </is>
      </c>
      <c r="B415" s="5" t="inlineStr">
        <is>
          <t>sábado</t>
        </is>
      </c>
      <c r="C415" s="5" t="inlineStr">
        <is>
          <t>Ricardo Ortiz</t>
        </is>
      </c>
      <c r="D415" s="24">
        <f>IFERROR(INDEX('TECNICOS'!$D$4:$D$19,MATCH($C415,'TECNICOS'!$B$4:$B$19,0)),"")</f>
        <v/>
      </c>
      <c r="E415" s="24">
        <f>IFERROR(INDEX('TECNICOS'!$C$4:$C$19,MATCH($C415,'TECNICOS'!$B$4:$B$19,0)),"")</f>
        <v/>
      </c>
      <c r="F415" s="24">
        <f>COUNTIFS('TECNICOS'!$F$4:$F$19,"sí",'TECNICOS'!$C$4:$C$19,$E415,'TECNICOS'!$D$4:$D$19,$D415,'TECNICOS'!$H$4:$H$19,"sí")</f>
        <v/>
      </c>
      <c r="G415" s="24">
        <f>IF(OR($C415="",$A415="",$B415="domingo",IFERROR(INDEX('TECNICOS'!$H$4:$H$19,MATCH($C415,'TECNICOS'!$B$4:$B$19,0)),"no")&lt;&gt;"sí"),"",IF(IFERROR(INDEX('TECNICOS'!$F$4:$F$19,MATCH($C415,'TECNICOS'!$B$4:$B$19,0)),"no")&lt;&gt;"sí","B",IF(MOD((IFERROR(INDEX('TECNICOS'!$G$4:$G$19,MATCH($C415,'TECNICOS'!$B$4:$B$19,0)),0)-1)+((DATE(VALUE(LEFT($A415,4)),1,4)-WEEKDAY(DATE(VALUE(LEFT($A415,4)),1,4),2)+1+(VALUE(MID($A415,7,2))-1)*7)-p_semana_referencia)/7,$F415)&lt;($F415-3),"B"&amp;(($F415-3)-MOD((IFERROR(INDEX('TECNICOS'!$G$4:$G$19,MATCH($C415,'TECNICOS'!$B$4:$B$19,0)),0)-1)+((DATE(VALUE(LEFT($A415,4)),1,4)-WEEKDAY(DATE(VALUE(LEFT($A415,4)),1,4),2)+1+(VALUE(MID($A415,7,2))-1)*7)-p_semana_referencia)/7,$F415)),"T"&amp;($F415-MOD((IFERROR(INDEX('TECNICOS'!$G$4:$G$19,MATCH($C415,'TECNICOS'!$B$4:$B$19,0)),0)-1)+((DATE(VALUE(LEFT($A415,4)),1,4)-WEEKDAY(DATE(VALUE(LEFT($A415,4)),1,4),2)+1+(VALUE(MID($A415,7,2))-1)*7)-p_semana_referencia)/7,$F415)))))</f>
        <v/>
      </c>
      <c r="H415" s="24">
        <f>IF(COUNTIFS('PLAN_VACACIONES'!$A$4:$A$103,$C415,'PLAN_VACACIONES'!$B$4:$B$103,"&lt;="&amp;$L415,'PLAN_VACACIONES'!$C$4:$C$103,"&gt;="&amp;$L415)&gt;0,"sí","no")</f>
        <v/>
      </c>
      <c r="I415" s="4" t="n"/>
      <c r="J415" s="24">
        <f>IF($I415&lt;&gt;"",$I415,IF($G415="","",IF($H415="sí","VAC",IF(LEFT($G415,1)="B","B",$G415))))</f>
        <v/>
      </c>
      <c r="K415" s="24">
        <f>IFERROR(INDEX('TECNICOS'!$E$4:$E$19,MATCH($C415,'TECNICOS'!$B$4:$B$19,0)),"")</f>
        <v/>
      </c>
      <c r="L415" s="30">
        <f>IF($A415="","",DATE(VALUE(LEFT($A415,4)),1,4)-WEEKDAY(DATE(VALUE(LEFT($A415,4)),1,4),2)+1+(VALUE(MID($A415,7,2))-1)*7+MATCH($B415,lista_dias,0)-1)</f>
        <v/>
      </c>
      <c r="M415" s="24">
        <f>IF(OR($J415="",ISNUMBER(MATCH($J415,lista_no_disponible,0)),(IFERROR(INDEX('CALENDARIO'!$C$15:$C$214,MATCH(TEXT($L415,"yyyy-mm-dd")&amp;"|"&amp;$D415&amp;"|"&amp;"",'CALENDARIO'!$G$15:$G$214,0)),IFERROR(INDEX('CALENDARIO'!$C$15:$C$214,MATCH(TEXT($L415,"yyyy-mm-dd")&amp;"|"&amp;$D415&amp;"|",'CALENDARIO'!$G$15:$G$214,0)),IFERROR(INDEX('CALENDARIO'!$C$15:$C$214,MATCH(TEXT($L415,"yyyy-mm-dd")&amp;"||",'CALENDARIO'!$G$15:$G$214,0)),INDEX(patronHabil,WEEKDAY($L415,2))))))&lt;&gt;"sí"),0,p_horas_jornada)</f>
        <v/>
      </c>
      <c r="N415" s="24">
        <f>$A415&amp;"|"&amp;$B415&amp;"|"&amp;$C415</f>
        <v/>
      </c>
      <c r="O415" s="24">
        <f>IFERROR(INDEX('CAT_TURNOS'!$C$4:$C$22,MATCH($J415,'CAT_TURNOS'!$A$4:$A$22,0)),"")</f>
        <v/>
      </c>
      <c r="P415" s="24">
        <f>IFERROR(INDEX('CAT_TURNOS'!$D$4:$D$22,MATCH($J415,'CAT_TURNOS'!$A$4:$A$22,0)),"")</f>
        <v/>
      </c>
      <c r="Q415" s="24">
        <f>IF(AND(LEFT($G415,1)="T",$H415="no"),"sí","no")</f>
        <v/>
      </c>
    </row>
    <row r="416">
      <c r="A416" s="5" t="inlineStr">
        <is>
          <t>2026-S33</t>
        </is>
      </c>
      <c r="B416" s="5" t="inlineStr">
        <is>
          <t>domingo</t>
        </is>
      </c>
      <c r="C416" s="5" t="inlineStr">
        <is>
          <t>Ricardo Ortiz</t>
        </is>
      </c>
      <c r="D416" s="24">
        <f>IFERROR(INDEX('TECNICOS'!$D$4:$D$19,MATCH($C416,'TECNICOS'!$B$4:$B$19,0)),"")</f>
        <v/>
      </c>
      <c r="E416" s="24">
        <f>IFERROR(INDEX('TECNICOS'!$C$4:$C$19,MATCH($C416,'TECNICOS'!$B$4:$B$19,0)),"")</f>
        <v/>
      </c>
      <c r="F416" s="24">
        <f>COUNTIFS('TECNICOS'!$F$4:$F$19,"sí",'TECNICOS'!$C$4:$C$19,$E416,'TECNICOS'!$D$4:$D$19,$D416,'TECNICOS'!$H$4:$H$19,"sí")</f>
        <v/>
      </c>
      <c r="G416" s="24">
        <f>IF(OR($C416="",$A416="",$B416="domingo",IFERROR(INDEX('TECNICOS'!$H$4:$H$19,MATCH($C416,'TECNICOS'!$B$4:$B$19,0)),"no")&lt;&gt;"sí"),"",IF(IFERROR(INDEX('TECNICOS'!$F$4:$F$19,MATCH($C416,'TECNICOS'!$B$4:$B$19,0)),"no")&lt;&gt;"sí","B",IF(MOD((IFERROR(INDEX('TECNICOS'!$G$4:$G$19,MATCH($C416,'TECNICOS'!$B$4:$B$19,0)),0)-1)+((DATE(VALUE(LEFT($A416,4)),1,4)-WEEKDAY(DATE(VALUE(LEFT($A416,4)),1,4),2)+1+(VALUE(MID($A416,7,2))-1)*7)-p_semana_referencia)/7,$F416)&lt;($F416-3),"B"&amp;(($F416-3)-MOD((IFERROR(INDEX('TECNICOS'!$G$4:$G$19,MATCH($C416,'TECNICOS'!$B$4:$B$19,0)),0)-1)+((DATE(VALUE(LEFT($A416,4)),1,4)-WEEKDAY(DATE(VALUE(LEFT($A416,4)),1,4),2)+1+(VALUE(MID($A416,7,2))-1)*7)-p_semana_referencia)/7,$F416)),"T"&amp;($F416-MOD((IFERROR(INDEX('TECNICOS'!$G$4:$G$19,MATCH($C416,'TECNICOS'!$B$4:$B$19,0)),0)-1)+((DATE(VALUE(LEFT($A416,4)),1,4)-WEEKDAY(DATE(VALUE(LEFT($A416,4)),1,4),2)+1+(VALUE(MID($A416,7,2))-1)*7)-p_semana_referencia)/7,$F416)))))</f>
        <v/>
      </c>
      <c r="H416" s="24">
        <f>IF(COUNTIFS('PLAN_VACACIONES'!$A$4:$A$103,$C416,'PLAN_VACACIONES'!$B$4:$B$103,"&lt;="&amp;$L416,'PLAN_VACACIONES'!$C$4:$C$103,"&gt;="&amp;$L416)&gt;0,"sí","no")</f>
        <v/>
      </c>
      <c r="I416" s="4" t="n"/>
      <c r="J416" s="24">
        <f>IF($I416&lt;&gt;"",$I416,IF($G416="","",IF($H416="sí","VAC",IF(LEFT($G416,1)="B","B",$G416))))</f>
        <v/>
      </c>
      <c r="K416" s="24">
        <f>IFERROR(INDEX('TECNICOS'!$E$4:$E$19,MATCH($C416,'TECNICOS'!$B$4:$B$19,0)),"")</f>
        <v/>
      </c>
      <c r="L416" s="30">
        <f>IF($A416="","",DATE(VALUE(LEFT($A416,4)),1,4)-WEEKDAY(DATE(VALUE(LEFT($A416,4)),1,4),2)+1+(VALUE(MID($A416,7,2))-1)*7+MATCH($B416,lista_dias,0)-1)</f>
        <v/>
      </c>
      <c r="M416" s="24">
        <f>IF(OR($J416="",ISNUMBER(MATCH($J416,lista_no_disponible,0)),(IFERROR(INDEX('CALENDARIO'!$C$15:$C$214,MATCH(TEXT($L416,"yyyy-mm-dd")&amp;"|"&amp;$D416&amp;"|"&amp;"",'CALENDARIO'!$G$15:$G$214,0)),IFERROR(INDEX('CALENDARIO'!$C$15:$C$214,MATCH(TEXT($L416,"yyyy-mm-dd")&amp;"|"&amp;$D416&amp;"|",'CALENDARIO'!$G$15:$G$214,0)),IFERROR(INDEX('CALENDARIO'!$C$15:$C$214,MATCH(TEXT($L416,"yyyy-mm-dd")&amp;"||",'CALENDARIO'!$G$15:$G$214,0)),INDEX(patronHabil,WEEKDAY($L416,2))))))&lt;&gt;"sí"),0,p_horas_jornada)</f>
        <v/>
      </c>
      <c r="N416" s="24">
        <f>$A416&amp;"|"&amp;$B416&amp;"|"&amp;$C416</f>
        <v/>
      </c>
      <c r="O416" s="24">
        <f>IFERROR(INDEX('CAT_TURNOS'!$C$4:$C$22,MATCH($J416,'CAT_TURNOS'!$A$4:$A$22,0)),"")</f>
        <v/>
      </c>
      <c r="P416" s="24">
        <f>IFERROR(INDEX('CAT_TURNOS'!$D$4:$D$22,MATCH($J416,'CAT_TURNOS'!$A$4:$A$22,0)),"")</f>
        <v/>
      </c>
      <c r="Q416" s="24">
        <f>IF(AND(LEFT($G416,1)="T",$H416="no"),"sí","no")</f>
        <v/>
      </c>
    </row>
    <row r="417">
      <c r="A417" s="5" t="inlineStr">
        <is>
          <t>2026-S33</t>
        </is>
      </c>
      <c r="B417" s="5" t="inlineStr">
        <is>
          <t>lunes</t>
        </is>
      </c>
      <c r="C417" s="5" t="inlineStr">
        <is>
          <t>Eduardo Silva</t>
        </is>
      </c>
      <c r="D417" s="24">
        <f>IFERROR(INDEX('TECNICOS'!$D$4:$D$19,MATCH($C417,'TECNICOS'!$B$4:$B$19,0)),"")</f>
        <v/>
      </c>
      <c r="E417" s="24">
        <f>IFERROR(INDEX('TECNICOS'!$C$4:$C$19,MATCH($C417,'TECNICOS'!$B$4:$B$19,0)),"")</f>
        <v/>
      </c>
      <c r="F417" s="24">
        <f>COUNTIFS('TECNICOS'!$F$4:$F$19,"sí",'TECNICOS'!$C$4:$C$19,$E417,'TECNICOS'!$D$4:$D$19,$D417,'TECNICOS'!$H$4:$H$19,"sí")</f>
        <v/>
      </c>
      <c r="G417" s="24">
        <f>IF(OR($C417="",$A417="",$B417="domingo",IFERROR(INDEX('TECNICOS'!$H$4:$H$19,MATCH($C417,'TECNICOS'!$B$4:$B$19,0)),"no")&lt;&gt;"sí"),"",IF(IFERROR(INDEX('TECNICOS'!$F$4:$F$19,MATCH($C417,'TECNICOS'!$B$4:$B$19,0)),"no")&lt;&gt;"sí","B",IF(MOD((IFERROR(INDEX('TECNICOS'!$G$4:$G$19,MATCH($C417,'TECNICOS'!$B$4:$B$19,0)),0)-1)+((DATE(VALUE(LEFT($A417,4)),1,4)-WEEKDAY(DATE(VALUE(LEFT($A417,4)),1,4),2)+1+(VALUE(MID($A417,7,2))-1)*7)-p_semana_referencia)/7,$F417)&lt;($F417-3),"B"&amp;(($F417-3)-MOD((IFERROR(INDEX('TECNICOS'!$G$4:$G$19,MATCH($C417,'TECNICOS'!$B$4:$B$19,0)),0)-1)+((DATE(VALUE(LEFT($A417,4)),1,4)-WEEKDAY(DATE(VALUE(LEFT($A417,4)),1,4),2)+1+(VALUE(MID($A417,7,2))-1)*7)-p_semana_referencia)/7,$F417)),"T"&amp;($F417-MOD((IFERROR(INDEX('TECNICOS'!$G$4:$G$19,MATCH($C417,'TECNICOS'!$B$4:$B$19,0)),0)-1)+((DATE(VALUE(LEFT($A417,4)),1,4)-WEEKDAY(DATE(VALUE(LEFT($A417,4)),1,4),2)+1+(VALUE(MID($A417,7,2))-1)*7)-p_semana_referencia)/7,$F417)))))</f>
        <v/>
      </c>
      <c r="H417" s="24">
        <f>IF(COUNTIFS('PLAN_VACACIONES'!$A$4:$A$103,$C417,'PLAN_VACACIONES'!$B$4:$B$103,"&lt;="&amp;$L417,'PLAN_VACACIONES'!$C$4:$C$103,"&gt;="&amp;$L417)&gt;0,"sí","no")</f>
        <v/>
      </c>
      <c r="I417" s="4" t="n"/>
      <c r="J417" s="24">
        <f>IF($I417&lt;&gt;"",$I417,IF($G417="","",IF($H417="sí","VAC",IF(LEFT($G417,1)="B","B",$G417))))</f>
        <v/>
      </c>
      <c r="K417" s="24">
        <f>IFERROR(INDEX('TECNICOS'!$E$4:$E$19,MATCH($C417,'TECNICOS'!$B$4:$B$19,0)),"")</f>
        <v/>
      </c>
      <c r="L417" s="30">
        <f>IF($A417="","",DATE(VALUE(LEFT($A417,4)),1,4)-WEEKDAY(DATE(VALUE(LEFT($A417,4)),1,4),2)+1+(VALUE(MID($A417,7,2))-1)*7+MATCH($B417,lista_dias,0)-1)</f>
        <v/>
      </c>
      <c r="M417" s="24">
        <f>IF(OR($J417="",ISNUMBER(MATCH($J417,lista_no_disponible,0)),(IFERROR(INDEX('CALENDARIO'!$C$15:$C$214,MATCH(TEXT($L417,"yyyy-mm-dd")&amp;"|"&amp;$D417&amp;"|"&amp;"",'CALENDARIO'!$G$15:$G$214,0)),IFERROR(INDEX('CALENDARIO'!$C$15:$C$214,MATCH(TEXT($L417,"yyyy-mm-dd")&amp;"|"&amp;$D417&amp;"|",'CALENDARIO'!$G$15:$G$214,0)),IFERROR(INDEX('CALENDARIO'!$C$15:$C$214,MATCH(TEXT($L417,"yyyy-mm-dd")&amp;"||",'CALENDARIO'!$G$15:$G$214,0)),INDEX(patronHabil,WEEKDAY($L417,2))))))&lt;&gt;"sí"),0,p_horas_jornada)</f>
        <v/>
      </c>
      <c r="N417" s="24">
        <f>$A417&amp;"|"&amp;$B417&amp;"|"&amp;$C417</f>
        <v/>
      </c>
      <c r="O417" s="24">
        <f>IFERROR(INDEX('CAT_TURNOS'!$C$4:$C$22,MATCH($J417,'CAT_TURNOS'!$A$4:$A$22,0)),"")</f>
        <v/>
      </c>
      <c r="P417" s="24">
        <f>IFERROR(INDEX('CAT_TURNOS'!$D$4:$D$22,MATCH($J417,'CAT_TURNOS'!$A$4:$A$22,0)),"")</f>
        <v/>
      </c>
      <c r="Q417" s="24">
        <f>IF(AND(LEFT($G417,1)="T",$H417="no"),"sí","no")</f>
        <v/>
      </c>
    </row>
    <row r="418">
      <c r="A418" s="5" t="inlineStr">
        <is>
          <t>2026-S33</t>
        </is>
      </c>
      <c r="B418" s="5" t="inlineStr">
        <is>
          <t>martes</t>
        </is>
      </c>
      <c r="C418" s="5" t="inlineStr">
        <is>
          <t>Eduardo Silva</t>
        </is>
      </c>
      <c r="D418" s="24">
        <f>IFERROR(INDEX('TECNICOS'!$D$4:$D$19,MATCH($C418,'TECNICOS'!$B$4:$B$19,0)),"")</f>
        <v/>
      </c>
      <c r="E418" s="24">
        <f>IFERROR(INDEX('TECNICOS'!$C$4:$C$19,MATCH($C418,'TECNICOS'!$B$4:$B$19,0)),"")</f>
        <v/>
      </c>
      <c r="F418" s="24">
        <f>COUNTIFS('TECNICOS'!$F$4:$F$19,"sí",'TECNICOS'!$C$4:$C$19,$E418,'TECNICOS'!$D$4:$D$19,$D418,'TECNICOS'!$H$4:$H$19,"sí")</f>
        <v/>
      </c>
      <c r="G418" s="24">
        <f>IF(OR($C418="",$A418="",$B418="domingo",IFERROR(INDEX('TECNICOS'!$H$4:$H$19,MATCH($C418,'TECNICOS'!$B$4:$B$19,0)),"no")&lt;&gt;"sí"),"",IF(IFERROR(INDEX('TECNICOS'!$F$4:$F$19,MATCH($C418,'TECNICOS'!$B$4:$B$19,0)),"no")&lt;&gt;"sí","B",IF(MOD((IFERROR(INDEX('TECNICOS'!$G$4:$G$19,MATCH($C418,'TECNICOS'!$B$4:$B$19,0)),0)-1)+((DATE(VALUE(LEFT($A418,4)),1,4)-WEEKDAY(DATE(VALUE(LEFT($A418,4)),1,4),2)+1+(VALUE(MID($A418,7,2))-1)*7)-p_semana_referencia)/7,$F418)&lt;($F418-3),"B"&amp;(($F418-3)-MOD((IFERROR(INDEX('TECNICOS'!$G$4:$G$19,MATCH($C418,'TECNICOS'!$B$4:$B$19,0)),0)-1)+((DATE(VALUE(LEFT($A418,4)),1,4)-WEEKDAY(DATE(VALUE(LEFT($A418,4)),1,4),2)+1+(VALUE(MID($A418,7,2))-1)*7)-p_semana_referencia)/7,$F418)),"T"&amp;($F418-MOD((IFERROR(INDEX('TECNICOS'!$G$4:$G$19,MATCH($C418,'TECNICOS'!$B$4:$B$19,0)),0)-1)+((DATE(VALUE(LEFT($A418,4)),1,4)-WEEKDAY(DATE(VALUE(LEFT($A418,4)),1,4),2)+1+(VALUE(MID($A418,7,2))-1)*7)-p_semana_referencia)/7,$F418)))))</f>
        <v/>
      </c>
      <c r="H418" s="24">
        <f>IF(COUNTIFS('PLAN_VACACIONES'!$A$4:$A$103,$C418,'PLAN_VACACIONES'!$B$4:$B$103,"&lt;="&amp;$L418,'PLAN_VACACIONES'!$C$4:$C$103,"&gt;="&amp;$L418)&gt;0,"sí","no")</f>
        <v/>
      </c>
      <c r="I418" s="4" t="n"/>
      <c r="J418" s="24">
        <f>IF($I418&lt;&gt;"",$I418,IF($G418="","",IF($H418="sí","VAC",IF(LEFT($G418,1)="B","B",$G418))))</f>
        <v/>
      </c>
      <c r="K418" s="24">
        <f>IFERROR(INDEX('TECNICOS'!$E$4:$E$19,MATCH($C418,'TECNICOS'!$B$4:$B$19,0)),"")</f>
        <v/>
      </c>
      <c r="L418" s="30">
        <f>IF($A418="","",DATE(VALUE(LEFT($A418,4)),1,4)-WEEKDAY(DATE(VALUE(LEFT($A418,4)),1,4),2)+1+(VALUE(MID($A418,7,2))-1)*7+MATCH($B418,lista_dias,0)-1)</f>
        <v/>
      </c>
      <c r="M418" s="24">
        <f>IF(OR($J418="",ISNUMBER(MATCH($J418,lista_no_disponible,0)),(IFERROR(INDEX('CALENDARIO'!$C$15:$C$214,MATCH(TEXT($L418,"yyyy-mm-dd")&amp;"|"&amp;$D418&amp;"|"&amp;"",'CALENDARIO'!$G$15:$G$214,0)),IFERROR(INDEX('CALENDARIO'!$C$15:$C$214,MATCH(TEXT($L418,"yyyy-mm-dd")&amp;"|"&amp;$D418&amp;"|",'CALENDARIO'!$G$15:$G$214,0)),IFERROR(INDEX('CALENDARIO'!$C$15:$C$214,MATCH(TEXT($L418,"yyyy-mm-dd")&amp;"||",'CALENDARIO'!$G$15:$G$214,0)),INDEX(patronHabil,WEEKDAY($L418,2))))))&lt;&gt;"sí"),0,p_horas_jornada)</f>
        <v/>
      </c>
      <c r="N418" s="24">
        <f>$A418&amp;"|"&amp;$B418&amp;"|"&amp;$C418</f>
        <v/>
      </c>
      <c r="O418" s="24">
        <f>IFERROR(INDEX('CAT_TURNOS'!$C$4:$C$22,MATCH($J418,'CAT_TURNOS'!$A$4:$A$22,0)),"")</f>
        <v/>
      </c>
      <c r="P418" s="24">
        <f>IFERROR(INDEX('CAT_TURNOS'!$D$4:$D$22,MATCH($J418,'CAT_TURNOS'!$A$4:$A$22,0)),"")</f>
        <v/>
      </c>
      <c r="Q418" s="24">
        <f>IF(AND(LEFT($G418,1)="T",$H418="no"),"sí","no")</f>
        <v/>
      </c>
    </row>
    <row r="419">
      <c r="A419" s="5" t="inlineStr">
        <is>
          <t>2026-S33</t>
        </is>
      </c>
      <c r="B419" s="5" t="inlineStr">
        <is>
          <t>miércoles</t>
        </is>
      </c>
      <c r="C419" s="5" t="inlineStr">
        <is>
          <t>Eduardo Silva</t>
        </is>
      </c>
      <c r="D419" s="24">
        <f>IFERROR(INDEX('TECNICOS'!$D$4:$D$19,MATCH($C419,'TECNICOS'!$B$4:$B$19,0)),"")</f>
        <v/>
      </c>
      <c r="E419" s="24">
        <f>IFERROR(INDEX('TECNICOS'!$C$4:$C$19,MATCH($C419,'TECNICOS'!$B$4:$B$19,0)),"")</f>
        <v/>
      </c>
      <c r="F419" s="24">
        <f>COUNTIFS('TECNICOS'!$F$4:$F$19,"sí",'TECNICOS'!$C$4:$C$19,$E419,'TECNICOS'!$D$4:$D$19,$D419,'TECNICOS'!$H$4:$H$19,"sí")</f>
        <v/>
      </c>
      <c r="G419" s="24">
        <f>IF(OR($C419="",$A419="",$B419="domingo",IFERROR(INDEX('TECNICOS'!$H$4:$H$19,MATCH($C419,'TECNICOS'!$B$4:$B$19,0)),"no")&lt;&gt;"sí"),"",IF(IFERROR(INDEX('TECNICOS'!$F$4:$F$19,MATCH($C419,'TECNICOS'!$B$4:$B$19,0)),"no")&lt;&gt;"sí","B",IF(MOD((IFERROR(INDEX('TECNICOS'!$G$4:$G$19,MATCH($C419,'TECNICOS'!$B$4:$B$19,0)),0)-1)+((DATE(VALUE(LEFT($A419,4)),1,4)-WEEKDAY(DATE(VALUE(LEFT($A419,4)),1,4),2)+1+(VALUE(MID($A419,7,2))-1)*7)-p_semana_referencia)/7,$F419)&lt;($F419-3),"B"&amp;(($F419-3)-MOD((IFERROR(INDEX('TECNICOS'!$G$4:$G$19,MATCH($C419,'TECNICOS'!$B$4:$B$19,0)),0)-1)+((DATE(VALUE(LEFT($A419,4)),1,4)-WEEKDAY(DATE(VALUE(LEFT($A419,4)),1,4),2)+1+(VALUE(MID($A419,7,2))-1)*7)-p_semana_referencia)/7,$F419)),"T"&amp;($F419-MOD((IFERROR(INDEX('TECNICOS'!$G$4:$G$19,MATCH($C419,'TECNICOS'!$B$4:$B$19,0)),0)-1)+((DATE(VALUE(LEFT($A419,4)),1,4)-WEEKDAY(DATE(VALUE(LEFT($A419,4)),1,4),2)+1+(VALUE(MID($A419,7,2))-1)*7)-p_semana_referencia)/7,$F419)))))</f>
        <v/>
      </c>
      <c r="H419" s="24">
        <f>IF(COUNTIFS('PLAN_VACACIONES'!$A$4:$A$103,$C419,'PLAN_VACACIONES'!$B$4:$B$103,"&lt;="&amp;$L419,'PLAN_VACACIONES'!$C$4:$C$103,"&gt;="&amp;$L419)&gt;0,"sí","no")</f>
        <v/>
      </c>
      <c r="I419" s="4" t="n"/>
      <c r="J419" s="24">
        <f>IF($I419&lt;&gt;"",$I419,IF($G419="","",IF($H419="sí","VAC",IF(LEFT($G419,1)="B","B",$G419))))</f>
        <v/>
      </c>
      <c r="K419" s="24">
        <f>IFERROR(INDEX('TECNICOS'!$E$4:$E$19,MATCH($C419,'TECNICOS'!$B$4:$B$19,0)),"")</f>
        <v/>
      </c>
      <c r="L419" s="30">
        <f>IF($A419="","",DATE(VALUE(LEFT($A419,4)),1,4)-WEEKDAY(DATE(VALUE(LEFT($A419,4)),1,4),2)+1+(VALUE(MID($A419,7,2))-1)*7+MATCH($B419,lista_dias,0)-1)</f>
        <v/>
      </c>
      <c r="M419" s="24">
        <f>IF(OR($J419="",ISNUMBER(MATCH($J419,lista_no_disponible,0)),(IFERROR(INDEX('CALENDARIO'!$C$15:$C$214,MATCH(TEXT($L419,"yyyy-mm-dd")&amp;"|"&amp;$D419&amp;"|"&amp;"",'CALENDARIO'!$G$15:$G$214,0)),IFERROR(INDEX('CALENDARIO'!$C$15:$C$214,MATCH(TEXT($L419,"yyyy-mm-dd")&amp;"|"&amp;$D419&amp;"|",'CALENDARIO'!$G$15:$G$214,0)),IFERROR(INDEX('CALENDARIO'!$C$15:$C$214,MATCH(TEXT($L419,"yyyy-mm-dd")&amp;"||",'CALENDARIO'!$G$15:$G$214,0)),INDEX(patronHabil,WEEKDAY($L419,2))))))&lt;&gt;"sí"),0,p_horas_jornada)</f>
        <v/>
      </c>
      <c r="N419" s="24">
        <f>$A419&amp;"|"&amp;$B419&amp;"|"&amp;$C419</f>
        <v/>
      </c>
      <c r="O419" s="24">
        <f>IFERROR(INDEX('CAT_TURNOS'!$C$4:$C$22,MATCH($J419,'CAT_TURNOS'!$A$4:$A$22,0)),"")</f>
        <v/>
      </c>
      <c r="P419" s="24">
        <f>IFERROR(INDEX('CAT_TURNOS'!$D$4:$D$22,MATCH($J419,'CAT_TURNOS'!$A$4:$A$22,0)),"")</f>
        <v/>
      </c>
      <c r="Q419" s="24">
        <f>IF(AND(LEFT($G419,1)="T",$H419="no"),"sí","no")</f>
        <v/>
      </c>
    </row>
    <row r="420">
      <c r="A420" s="5" t="inlineStr">
        <is>
          <t>2026-S33</t>
        </is>
      </c>
      <c r="B420" s="5" t="inlineStr">
        <is>
          <t>jueves</t>
        </is>
      </c>
      <c r="C420" s="5" t="inlineStr">
        <is>
          <t>Eduardo Silva</t>
        </is>
      </c>
      <c r="D420" s="24">
        <f>IFERROR(INDEX('TECNICOS'!$D$4:$D$19,MATCH($C420,'TECNICOS'!$B$4:$B$19,0)),"")</f>
        <v/>
      </c>
      <c r="E420" s="24">
        <f>IFERROR(INDEX('TECNICOS'!$C$4:$C$19,MATCH($C420,'TECNICOS'!$B$4:$B$19,0)),"")</f>
        <v/>
      </c>
      <c r="F420" s="24">
        <f>COUNTIFS('TECNICOS'!$F$4:$F$19,"sí",'TECNICOS'!$C$4:$C$19,$E420,'TECNICOS'!$D$4:$D$19,$D420,'TECNICOS'!$H$4:$H$19,"sí")</f>
        <v/>
      </c>
      <c r="G420" s="24">
        <f>IF(OR($C420="",$A420="",$B420="domingo",IFERROR(INDEX('TECNICOS'!$H$4:$H$19,MATCH($C420,'TECNICOS'!$B$4:$B$19,0)),"no")&lt;&gt;"sí"),"",IF(IFERROR(INDEX('TECNICOS'!$F$4:$F$19,MATCH($C420,'TECNICOS'!$B$4:$B$19,0)),"no")&lt;&gt;"sí","B",IF(MOD((IFERROR(INDEX('TECNICOS'!$G$4:$G$19,MATCH($C420,'TECNICOS'!$B$4:$B$19,0)),0)-1)+((DATE(VALUE(LEFT($A420,4)),1,4)-WEEKDAY(DATE(VALUE(LEFT($A420,4)),1,4),2)+1+(VALUE(MID($A420,7,2))-1)*7)-p_semana_referencia)/7,$F420)&lt;($F420-3),"B"&amp;(($F420-3)-MOD((IFERROR(INDEX('TECNICOS'!$G$4:$G$19,MATCH($C420,'TECNICOS'!$B$4:$B$19,0)),0)-1)+((DATE(VALUE(LEFT($A420,4)),1,4)-WEEKDAY(DATE(VALUE(LEFT($A420,4)),1,4),2)+1+(VALUE(MID($A420,7,2))-1)*7)-p_semana_referencia)/7,$F420)),"T"&amp;($F420-MOD((IFERROR(INDEX('TECNICOS'!$G$4:$G$19,MATCH($C420,'TECNICOS'!$B$4:$B$19,0)),0)-1)+((DATE(VALUE(LEFT($A420,4)),1,4)-WEEKDAY(DATE(VALUE(LEFT($A420,4)),1,4),2)+1+(VALUE(MID($A420,7,2))-1)*7)-p_semana_referencia)/7,$F420)))))</f>
        <v/>
      </c>
      <c r="H420" s="24">
        <f>IF(COUNTIFS('PLAN_VACACIONES'!$A$4:$A$103,$C420,'PLAN_VACACIONES'!$B$4:$B$103,"&lt;="&amp;$L420,'PLAN_VACACIONES'!$C$4:$C$103,"&gt;="&amp;$L420)&gt;0,"sí","no")</f>
        <v/>
      </c>
      <c r="I420" s="4" t="n"/>
      <c r="J420" s="24">
        <f>IF($I420&lt;&gt;"",$I420,IF($G420="","",IF($H420="sí","VAC",IF(LEFT($G420,1)="B","B",$G420))))</f>
        <v/>
      </c>
      <c r="K420" s="24">
        <f>IFERROR(INDEX('TECNICOS'!$E$4:$E$19,MATCH($C420,'TECNICOS'!$B$4:$B$19,0)),"")</f>
        <v/>
      </c>
      <c r="L420" s="30">
        <f>IF($A420="","",DATE(VALUE(LEFT($A420,4)),1,4)-WEEKDAY(DATE(VALUE(LEFT($A420,4)),1,4),2)+1+(VALUE(MID($A420,7,2))-1)*7+MATCH($B420,lista_dias,0)-1)</f>
        <v/>
      </c>
      <c r="M420" s="24">
        <f>IF(OR($J420="",ISNUMBER(MATCH($J420,lista_no_disponible,0)),(IFERROR(INDEX('CALENDARIO'!$C$15:$C$214,MATCH(TEXT($L420,"yyyy-mm-dd")&amp;"|"&amp;$D420&amp;"|"&amp;"",'CALENDARIO'!$G$15:$G$214,0)),IFERROR(INDEX('CALENDARIO'!$C$15:$C$214,MATCH(TEXT($L420,"yyyy-mm-dd")&amp;"|"&amp;$D420&amp;"|",'CALENDARIO'!$G$15:$G$214,0)),IFERROR(INDEX('CALENDARIO'!$C$15:$C$214,MATCH(TEXT($L420,"yyyy-mm-dd")&amp;"||",'CALENDARIO'!$G$15:$G$214,0)),INDEX(patronHabil,WEEKDAY($L420,2))))))&lt;&gt;"sí"),0,p_horas_jornada)</f>
        <v/>
      </c>
      <c r="N420" s="24">
        <f>$A420&amp;"|"&amp;$B420&amp;"|"&amp;$C420</f>
        <v/>
      </c>
      <c r="O420" s="24">
        <f>IFERROR(INDEX('CAT_TURNOS'!$C$4:$C$22,MATCH($J420,'CAT_TURNOS'!$A$4:$A$22,0)),"")</f>
        <v/>
      </c>
      <c r="P420" s="24">
        <f>IFERROR(INDEX('CAT_TURNOS'!$D$4:$D$22,MATCH($J420,'CAT_TURNOS'!$A$4:$A$22,0)),"")</f>
        <v/>
      </c>
      <c r="Q420" s="24">
        <f>IF(AND(LEFT($G420,1)="T",$H420="no"),"sí","no")</f>
        <v/>
      </c>
    </row>
    <row r="421">
      <c r="A421" s="5" t="inlineStr">
        <is>
          <t>2026-S33</t>
        </is>
      </c>
      <c r="B421" s="5" t="inlineStr">
        <is>
          <t>viernes</t>
        </is>
      </c>
      <c r="C421" s="5" t="inlineStr">
        <is>
          <t>Eduardo Silva</t>
        </is>
      </c>
      <c r="D421" s="24">
        <f>IFERROR(INDEX('TECNICOS'!$D$4:$D$19,MATCH($C421,'TECNICOS'!$B$4:$B$19,0)),"")</f>
        <v/>
      </c>
      <c r="E421" s="24">
        <f>IFERROR(INDEX('TECNICOS'!$C$4:$C$19,MATCH($C421,'TECNICOS'!$B$4:$B$19,0)),"")</f>
        <v/>
      </c>
      <c r="F421" s="24">
        <f>COUNTIFS('TECNICOS'!$F$4:$F$19,"sí",'TECNICOS'!$C$4:$C$19,$E421,'TECNICOS'!$D$4:$D$19,$D421,'TECNICOS'!$H$4:$H$19,"sí")</f>
        <v/>
      </c>
      <c r="G421" s="24">
        <f>IF(OR($C421="",$A421="",$B421="domingo",IFERROR(INDEX('TECNICOS'!$H$4:$H$19,MATCH($C421,'TECNICOS'!$B$4:$B$19,0)),"no")&lt;&gt;"sí"),"",IF(IFERROR(INDEX('TECNICOS'!$F$4:$F$19,MATCH($C421,'TECNICOS'!$B$4:$B$19,0)),"no")&lt;&gt;"sí","B",IF(MOD((IFERROR(INDEX('TECNICOS'!$G$4:$G$19,MATCH($C421,'TECNICOS'!$B$4:$B$19,0)),0)-1)+((DATE(VALUE(LEFT($A421,4)),1,4)-WEEKDAY(DATE(VALUE(LEFT($A421,4)),1,4),2)+1+(VALUE(MID($A421,7,2))-1)*7)-p_semana_referencia)/7,$F421)&lt;($F421-3),"B"&amp;(($F421-3)-MOD((IFERROR(INDEX('TECNICOS'!$G$4:$G$19,MATCH($C421,'TECNICOS'!$B$4:$B$19,0)),0)-1)+((DATE(VALUE(LEFT($A421,4)),1,4)-WEEKDAY(DATE(VALUE(LEFT($A421,4)),1,4),2)+1+(VALUE(MID($A421,7,2))-1)*7)-p_semana_referencia)/7,$F421)),"T"&amp;($F421-MOD((IFERROR(INDEX('TECNICOS'!$G$4:$G$19,MATCH($C421,'TECNICOS'!$B$4:$B$19,0)),0)-1)+((DATE(VALUE(LEFT($A421,4)),1,4)-WEEKDAY(DATE(VALUE(LEFT($A421,4)),1,4),2)+1+(VALUE(MID($A421,7,2))-1)*7)-p_semana_referencia)/7,$F421)))))</f>
        <v/>
      </c>
      <c r="H421" s="24">
        <f>IF(COUNTIFS('PLAN_VACACIONES'!$A$4:$A$103,$C421,'PLAN_VACACIONES'!$B$4:$B$103,"&lt;="&amp;$L421,'PLAN_VACACIONES'!$C$4:$C$103,"&gt;="&amp;$L421)&gt;0,"sí","no")</f>
        <v/>
      </c>
      <c r="I421" s="4" t="n"/>
      <c r="J421" s="24">
        <f>IF($I421&lt;&gt;"",$I421,IF($G421="","",IF($H421="sí","VAC",IF(LEFT($G421,1)="B","B",$G421))))</f>
        <v/>
      </c>
      <c r="K421" s="24">
        <f>IFERROR(INDEX('TECNICOS'!$E$4:$E$19,MATCH($C421,'TECNICOS'!$B$4:$B$19,0)),"")</f>
        <v/>
      </c>
      <c r="L421" s="30">
        <f>IF($A421="","",DATE(VALUE(LEFT($A421,4)),1,4)-WEEKDAY(DATE(VALUE(LEFT($A421,4)),1,4),2)+1+(VALUE(MID($A421,7,2))-1)*7+MATCH($B421,lista_dias,0)-1)</f>
        <v/>
      </c>
      <c r="M421" s="24">
        <f>IF(OR($J421="",ISNUMBER(MATCH($J421,lista_no_disponible,0)),(IFERROR(INDEX('CALENDARIO'!$C$15:$C$214,MATCH(TEXT($L421,"yyyy-mm-dd")&amp;"|"&amp;$D421&amp;"|"&amp;"",'CALENDARIO'!$G$15:$G$214,0)),IFERROR(INDEX('CALENDARIO'!$C$15:$C$214,MATCH(TEXT($L421,"yyyy-mm-dd")&amp;"|"&amp;$D421&amp;"|",'CALENDARIO'!$G$15:$G$214,0)),IFERROR(INDEX('CALENDARIO'!$C$15:$C$214,MATCH(TEXT($L421,"yyyy-mm-dd")&amp;"||",'CALENDARIO'!$G$15:$G$214,0)),INDEX(patronHabil,WEEKDAY($L421,2))))))&lt;&gt;"sí"),0,p_horas_jornada)</f>
        <v/>
      </c>
      <c r="N421" s="24">
        <f>$A421&amp;"|"&amp;$B421&amp;"|"&amp;$C421</f>
        <v/>
      </c>
      <c r="O421" s="24">
        <f>IFERROR(INDEX('CAT_TURNOS'!$C$4:$C$22,MATCH($J421,'CAT_TURNOS'!$A$4:$A$22,0)),"")</f>
        <v/>
      </c>
      <c r="P421" s="24">
        <f>IFERROR(INDEX('CAT_TURNOS'!$D$4:$D$22,MATCH($J421,'CAT_TURNOS'!$A$4:$A$22,0)),"")</f>
        <v/>
      </c>
      <c r="Q421" s="24">
        <f>IF(AND(LEFT($G421,1)="T",$H421="no"),"sí","no")</f>
        <v/>
      </c>
    </row>
    <row r="422">
      <c r="A422" s="5" t="inlineStr">
        <is>
          <t>2026-S33</t>
        </is>
      </c>
      <c r="B422" s="5" t="inlineStr">
        <is>
          <t>sábado</t>
        </is>
      </c>
      <c r="C422" s="5" t="inlineStr">
        <is>
          <t>Eduardo Silva</t>
        </is>
      </c>
      <c r="D422" s="24">
        <f>IFERROR(INDEX('TECNICOS'!$D$4:$D$19,MATCH($C422,'TECNICOS'!$B$4:$B$19,0)),"")</f>
        <v/>
      </c>
      <c r="E422" s="24">
        <f>IFERROR(INDEX('TECNICOS'!$C$4:$C$19,MATCH($C422,'TECNICOS'!$B$4:$B$19,0)),"")</f>
        <v/>
      </c>
      <c r="F422" s="24">
        <f>COUNTIFS('TECNICOS'!$F$4:$F$19,"sí",'TECNICOS'!$C$4:$C$19,$E422,'TECNICOS'!$D$4:$D$19,$D422,'TECNICOS'!$H$4:$H$19,"sí")</f>
        <v/>
      </c>
      <c r="G422" s="24">
        <f>IF(OR($C422="",$A422="",$B422="domingo",IFERROR(INDEX('TECNICOS'!$H$4:$H$19,MATCH($C422,'TECNICOS'!$B$4:$B$19,0)),"no")&lt;&gt;"sí"),"",IF(IFERROR(INDEX('TECNICOS'!$F$4:$F$19,MATCH($C422,'TECNICOS'!$B$4:$B$19,0)),"no")&lt;&gt;"sí","B",IF(MOD((IFERROR(INDEX('TECNICOS'!$G$4:$G$19,MATCH($C422,'TECNICOS'!$B$4:$B$19,0)),0)-1)+((DATE(VALUE(LEFT($A422,4)),1,4)-WEEKDAY(DATE(VALUE(LEFT($A422,4)),1,4),2)+1+(VALUE(MID($A422,7,2))-1)*7)-p_semana_referencia)/7,$F422)&lt;($F422-3),"B"&amp;(($F422-3)-MOD((IFERROR(INDEX('TECNICOS'!$G$4:$G$19,MATCH($C422,'TECNICOS'!$B$4:$B$19,0)),0)-1)+((DATE(VALUE(LEFT($A422,4)),1,4)-WEEKDAY(DATE(VALUE(LEFT($A422,4)),1,4),2)+1+(VALUE(MID($A422,7,2))-1)*7)-p_semana_referencia)/7,$F422)),"T"&amp;($F422-MOD((IFERROR(INDEX('TECNICOS'!$G$4:$G$19,MATCH($C422,'TECNICOS'!$B$4:$B$19,0)),0)-1)+((DATE(VALUE(LEFT($A422,4)),1,4)-WEEKDAY(DATE(VALUE(LEFT($A422,4)),1,4),2)+1+(VALUE(MID($A422,7,2))-1)*7)-p_semana_referencia)/7,$F422)))))</f>
        <v/>
      </c>
      <c r="H422" s="24">
        <f>IF(COUNTIFS('PLAN_VACACIONES'!$A$4:$A$103,$C422,'PLAN_VACACIONES'!$B$4:$B$103,"&lt;="&amp;$L422,'PLAN_VACACIONES'!$C$4:$C$103,"&gt;="&amp;$L422)&gt;0,"sí","no")</f>
        <v/>
      </c>
      <c r="I422" s="4" t="n"/>
      <c r="J422" s="24">
        <f>IF($I422&lt;&gt;"",$I422,IF($G422="","",IF($H422="sí","VAC",IF(LEFT($G422,1)="B","B",$G422))))</f>
        <v/>
      </c>
      <c r="K422" s="24">
        <f>IFERROR(INDEX('TECNICOS'!$E$4:$E$19,MATCH($C422,'TECNICOS'!$B$4:$B$19,0)),"")</f>
        <v/>
      </c>
      <c r="L422" s="30">
        <f>IF($A422="","",DATE(VALUE(LEFT($A422,4)),1,4)-WEEKDAY(DATE(VALUE(LEFT($A422,4)),1,4),2)+1+(VALUE(MID($A422,7,2))-1)*7+MATCH($B422,lista_dias,0)-1)</f>
        <v/>
      </c>
      <c r="M422" s="24">
        <f>IF(OR($J422="",ISNUMBER(MATCH($J422,lista_no_disponible,0)),(IFERROR(INDEX('CALENDARIO'!$C$15:$C$214,MATCH(TEXT($L422,"yyyy-mm-dd")&amp;"|"&amp;$D422&amp;"|"&amp;"",'CALENDARIO'!$G$15:$G$214,0)),IFERROR(INDEX('CALENDARIO'!$C$15:$C$214,MATCH(TEXT($L422,"yyyy-mm-dd")&amp;"|"&amp;$D422&amp;"|",'CALENDARIO'!$G$15:$G$214,0)),IFERROR(INDEX('CALENDARIO'!$C$15:$C$214,MATCH(TEXT($L422,"yyyy-mm-dd")&amp;"||",'CALENDARIO'!$G$15:$G$214,0)),INDEX(patronHabil,WEEKDAY($L422,2))))))&lt;&gt;"sí"),0,p_horas_jornada)</f>
        <v/>
      </c>
      <c r="N422" s="24">
        <f>$A422&amp;"|"&amp;$B422&amp;"|"&amp;$C422</f>
        <v/>
      </c>
      <c r="O422" s="24">
        <f>IFERROR(INDEX('CAT_TURNOS'!$C$4:$C$22,MATCH($J422,'CAT_TURNOS'!$A$4:$A$22,0)),"")</f>
        <v/>
      </c>
      <c r="P422" s="24">
        <f>IFERROR(INDEX('CAT_TURNOS'!$D$4:$D$22,MATCH($J422,'CAT_TURNOS'!$A$4:$A$22,0)),"")</f>
        <v/>
      </c>
      <c r="Q422" s="24">
        <f>IF(AND(LEFT($G422,1)="T",$H422="no"),"sí","no")</f>
        <v/>
      </c>
    </row>
    <row r="423">
      <c r="A423" s="5" t="inlineStr">
        <is>
          <t>2026-S33</t>
        </is>
      </c>
      <c r="B423" s="5" t="inlineStr">
        <is>
          <t>domingo</t>
        </is>
      </c>
      <c r="C423" s="5" t="inlineStr">
        <is>
          <t>Eduardo Silva</t>
        </is>
      </c>
      <c r="D423" s="24">
        <f>IFERROR(INDEX('TECNICOS'!$D$4:$D$19,MATCH($C423,'TECNICOS'!$B$4:$B$19,0)),"")</f>
        <v/>
      </c>
      <c r="E423" s="24">
        <f>IFERROR(INDEX('TECNICOS'!$C$4:$C$19,MATCH($C423,'TECNICOS'!$B$4:$B$19,0)),"")</f>
        <v/>
      </c>
      <c r="F423" s="24">
        <f>COUNTIFS('TECNICOS'!$F$4:$F$19,"sí",'TECNICOS'!$C$4:$C$19,$E423,'TECNICOS'!$D$4:$D$19,$D423,'TECNICOS'!$H$4:$H$19,"sí")</f>
        <v/>
      </c>
      <c r="G423" s="24">
        <f>IF(OR($C423="",$A423="",$B423="domingo",IFERROR(INDEX('TECNICOS'!$H$4:$H$19,MATCH($C423,'TECNICOS'!$B$4:$B$19,0)),"no")&lt;&gt;"sí"),"",IF(IFERROR(INDEX('TECNICOS'!$F$4:$F$19,MATCH($C423,'TECNICOS'!$B$4:$B$19,0)),"no")&lt;&gt;"sí","B",IF(MOD((IFERROR(INDEX('TECNICOS'!$G$4:$G$19,MATCH($C423,'TECNICOS'!$B$4:$B$19,0)),0)-1)+((DATE(VALUE(LEFT($A423,4)),1,4)-WEEKDAY(DATE(VALUE(LEFT($A423,4)),1,4),2)+1+(VALUE(MID($A423,7,2))-1)*7)-p_semana_referencia)/7,$F423)&lt;($F423-3),"B"&amp;(($F423-3)-MOD((IFERROR(INDEX('TECNICOS'!$G$4:$G$19,MATCH($C423,'TECNICOS'!$B$4:$B$19,0)),0)-1)+((DATE(VALUE(LEFT($A423,4)),1,4)-WEEKDAY(DATE(VALUE(LEFT($A423,4)),1,4),2)+1+(VALUE(MID($A423,7,2))-1)*7)-p_semana_referencia)/7,$F423)),"T"&amp;($F423-MOD((IFERROR(INDEX('TECNICOS'!$G$4:$G$19,MATCH($C423,'TECNICOS'!$B$4:$B$19,0)),0)-1)+((DATE(VALUE(LEFT($A423,4)),1,4)-WEEKDAY(DATE(VALUE(LEFT($A423,4)),1,4),2)+1+(VALUE(MID($A423,7,2))-1)*7)-p_semana_referencia)/7,$F423)))))</f>
        <v/>
      </c>
      <c r="H423" s="24">
        <f>IF(COUNTIFS('PLAN_VACACIONES'!$A$4:$A$103,$C423,'PLAN_VACACIONES'!$B$4:$B$103,"&lt;="&amp;$L423,'PLAN_VACACIONES'!$C$4:$C$103,"&gt;="&amp;$L423)&gt;0,"sí","no")</f>
        <v/>
      </c>
      <c r="I423" s="4" t="n"/>
      <c r="J423" s="24">
        <f>IF($I423&lt;&gt;"",$I423,IF($G423="","",IF($H423="sí","VAC",IF(LEFT($G423,1)="B","B",$G423))))</f>
        <v/>
      </c>
      <c r="K423" s="24">
        <f>IFERROR(INDEX('TECNICOS'!$E$4:$E$19,MATCH($C423,'TECNICOS'!$B$4:$B$19,0)),"")</f>
        <v/>
      </c>
      <c r="L423" s="30">
        <f>IF($A423="","",DATE(VALUE(LEFT($A423,4)),1,4)-WEEKDAY(DATE(VALUE(LEFT($A423,4)),1,4),2)+1+(VALUE(MID($A423,7,2))-1)*7+MATCH($B423,lista_dias,0)-1)</f>
        <v/>
      </c>
      <c r="M423" s="24">
        <f>IF(OR($J423="",ISNUMBER(MATCH($J423,lista_no_disponible,0)),(IFERROR(INDEX('CALENDARIO'!$C$15:$C$214,MATCH(TEXT($L423,"yyyy-mm-dd")&amp;"|"&amp;$D423&amp;"|"&amp;"",'CALENDARIO'!$G$15:$G$214,0)),IFERROR(INDEX('CALENDARIO'!$C$15:$C$214,MATCH(TEXT($L423,"yyyy-mm-dd")&amp;"|"&amp;$D423&amp;"|",'CALENDARIO'!$G$15:$G$214,0)),IFERROR(INDEX('CALENDARIO'!$C$15:$C$214,MATCH(TEXT($L423,"yyyy-mm-dd")&amp;"||",'CALENDARIO'!$G$15:$G$214,0)),INDEX(patronHabil,WEEKDAY($L423,2))))))&lt;&gt;"sí"),0,p_horas_jornada)</f>
        <v/>
      </c>
      <c r="N423" s="24">
        <f>$A423&amp;"|"&amp;$B423&amp;"|"&amp;$C423</f>
        <v/>
      </c>
      <c r="O423" s="24">
        <f>IFERROR(INDEX('CAT_TURNOS'!$C$4:$C$22,MATCH($J423,'CAT_TURNOS'!$A$4:$A$22,0)),"")</f>
        <v/>
      </c>
      <c r="P423" s="24">
        <f>IFERROR(INDEX('CAT_TURNOS'!$D$4:$D$22,MATCH($J423,'CAT_TURNOS'!$A$4:$A$22,0)),"")</f>
        <v/>
      </c>
      <c r="Q423" s="24">
        <f>IF(AND(LEFT($G423,1)="T",$H423="no"),"sí","no")</f>
        <v/>
      </c>
    </row>
    <row r="424">
      <c r="A424" s="5" t="inlineStr">
        <is>
          <t>2026-S33</t>
        </is>
      </c>
      <c r="B424" s="5" t="inlineStr">
        <is>
          <t>lunes</t>
        </is>
      </c>
      <c r="C424" s="5" t="inlineStr">
        <is>
          <t>Gabriela Rojas</t>
        </is>
      </c>
      <c r="D424" s="24">
        <f>IFERROR(INDEX('TECNICOS'!$D$4:$D$19,MATCH($C424,'TECNICOS'!$B$4:$B$19,0)),"")</f>
        <v/>
      </c>
      <c r="E424" s="24">
        <f>IFERROR(INDEX('TECNICOS'!$C$4:$C$19,MATCH($C424,'TECNICOS'!$B$4:$B$19,0)),"")</f>
        <v/>
      </c>
      <c r="F424" s="24">
        <f>COUNTIFS('TECNICOS'!$F$4:$F$19,"sí",'TECNICOS'!$C$4:$C$19,$E424,'TECNICOS'!$D$4:$D$19,$D424,'TECNICOS'!$H$4:$H$19,"sí")</f>
        <v/>
      </c>
      <c r="G424" s="24">
        <f>IF(OR($C424="",$A424="",$B424="domingo",IFERROR(INDEX('TECNICOS'!$H$4:$H$19,MATCH($C424,'TECNICOS'!$B$4:$B$19,0)),"no")&lt;&gt;"sí"),"",IF(IFERROR(INDEX('TECNICOS'!$F$4:$F$19,MATCH($C424,'TECNICOS'!$B$4:$B$19,0)),"no")&lt;&gt;"sí","B",IF(MOD((IFERROR(INDEX('TECNICOS'!$G$4:$G$19,MATCH($C424,'TECNICOS'!$B$4:$B$19,0)),0)-1)+((DATE(VALUE(LEFT($A424,4)),1,4)-WEEKDAY(DATE(VALUE(LEFT($A424,4)),1,4),2)+1+(VALUE(MID($A424,7,2))-1)*7)-p_semana_referencia)/7,$F424)&lt;($F424-3),"B"&amp;(($F424-3)-MOD((IFERROR(INDEX('TECNICOS'!$G$4:$G$19,MATCH($C424,'TECNICOS'!$B$4:$B$19,0)),0)-1)+((DATE(VALUE(LEFT($A424,4)),1,4)-WEEKDAY(DATE(VALUE(LEFT($A424,4)),1,4),2)+1+(VALUE(MID($A424,7,2))-1)*7)-p_semana_referencia)/7,$F424)),"T"&amp;($F424-MOD((IFERROR(INDEX('TECNICOS'!$G$4:$G$19,MATCH($C424,'TECNICOS'!$B$4:$B$19,0)),0)-1)+((DATE(VALUE(LEFT($A424,4)),1,4)-WEEKDAY(DATE(VALUE(LEFT($A424,4)),1,4),2)+1+(VALUE(MID($A424,7,2))-1)*7)-p_semana_referencia)/7,$F424)))))</f>
        <v/>
      </c>
      <c r="H424" s="24">
        <f>IF(COUNTIFS('PLAN_VACACIONES'!$A$4:$A$103,$C424,'PLAN_VACACIONES'!$B$4:$B$103,"&lt;="&amp;$L424,'PLAN_VACACIONES'!$C$4:$C$103,"&gt;="&amp;$L424)&gt;0,"sí","no")</f>
        <v/>
      </c>
      <c r="I424" s="4" t="n"/>
      <c r="J424" s="24">
        <f>IF($I424&lt;&gt;"",$I424,IF($G424="","",IF($H424="sí","VAC",IF(LEFT($G424,1)="B","B",$G424))))</f>
        <v/>
      </c>
      <c r="K424" s="24">
        <f>IFERROR(INDEX('TECNICOS'!$E$4:$E$19,MATCH($C424,'TECNICOS'!$B$4:$B$19,0)),"")</f>
        <v/>
      </c>
      <c r="L424" s="30">
        <f>IF($A424="","",DATE(VALUE(LEFT($A424,4)),1,4)-WEEKDAY(DATE(VALUE(LEFT($A424,4)),1,4),2)+1+(VALUE(MID($A424,7,2))-1)*7+MATCH($B424,lista_dias,0)-1)</f>
        <v/>
      </c>
      <c r="M424" s="24">
        <f>IF(OR($J424="",ISNUMBER(MATCH($J424,lista_no_disponible,0)),(IFERROR(INDEX('CALENDARIO'!$C$15:$C$214,MATCH(TEXT($L424,"yyyy-mm-dd")&amp;"|"&amp;$D424&amp;"|"&amp;"",'CALENDARIO'!$G$15:$G$214,0)),IFERROR(INDEX('CALENDARIO'!$C$15:$C$214,MATCH(TEXT($L424,"yyyy-mm-dd")&amp;"|"&amp;$D424&amp;"|",'CALENDARIO'!$G$15:$G$214,0)),IFERROR(INDEX('CALENDARIO'!$C$15:$C$214,MATCH(TEXT($L424,"yyyy-mm-dd")&amp;"||",'CALENDARIO'!$G$15:$G$214,0)),INDEX(patronHabil,WEEKDAY($L424,2))))))&lt;&gt;"sí"),0,p_horas_jornada)</f>
        <v/>
      </c>
      <c r="N424" s="24">
        <f>$A424&amp;"|"&amp;$B424&amp;"|"&amp;$C424</f>
        <v/>
      </c>
      <c r="O424" s="24">
        <f>IFERROR(INDEX('CAT_TURNOS'!$C$4:$C$22,MATCH($J424,'CAT_TURNOS'!$A$4:$A$22,0)),"")</f>
        <v/>
      </c>
      <c r="P424" s="24">
        <f>IFERROR(INDEX('CAT_TURNOS'!$D$4:$D$22,MATCH($J424,'CAT_TURNOS'!$A$4:$A$22,0)),"")</f>
        <v/>
      </c>
      <c r="Q424" s="24">
        <f>IF(AND(LEFT($G424,1)="T",$H424="no"),"sí","no")</f>
        <v/>
      </c>
    </row>
    <row r="425">
      <c r="A425" s="5" t="inlineStr">
        <is>
          <t>2026-S33</t>
        </is>
      </c>
      <c r="B425" s="5" t="inlineStr">
        <is>
          <t>martes</t>
        </is>
      </c>
      <c r="C425" s="5" t="inlineStr">
        <is>
          <t>Gabriela Rojas</t>
        </is>
      </c>
      <c r="D425" s="24">
        <f>IFERROR(INDEX('TECNICOS'!$D$4:$D$19,MATCH($C425,'TECNICOS'!$B$4:$B$19,0)),"")</f>
        <v/>
      </c>
      <c r="E425" s="24">
        <f>IFERROR(INDEX('TECNICOS'!$C$4:$C$19,MATCH($C425,'TECNICOS'!$B$4:$B$19,0)),"")</f>
        <v/>
      </c>
      <c r="F425" s="24">
        <f>COUNTIFS('TECNICOS'!$F$4:$F$19,"sí",'TECNICOS'!$C$4:$C$19,$E425,'TECNICOS'!$D$4:$D$19,$D425,'TECNICOS'!$H$4:$H$19,"sí")</f>
        <v/>
      </c>
      <c r="G425" s="24">
        <f>IF(OR($C425="",$A425="",$B425="domingo",IFERROR(INDEX('TECNICOS'!$H$4:$H$19,MATCH($C425,'TECNICOS'!$B$4:$B$19,0)),"no")&lt;&gt;"sí"),"",IF(IFERROR(INDEX('TECNICOS'!$F$4:$F$19,MATCH($C425,'TECNICOS'!$B$4:$B$19,0)),"no")&lt;&gt;"sí","B",IF(MOD((IFERROR(INDEX('TECNICOS'!$G$4:$G$19,MATCH($C425,'TECNICOS'!$B$4:$B$19,0)),0)-1)+((DATE(VALUE(LEFT($A425,4)),1,4)-WEEKDAY(DATE(VALUE(LEFT($A425,4)),1,4),2)+1+(VALUE(MID($A425,7,2))-1)*7)-p_semana_referencia)/7,$F425)&lt;($F425-3),"B"&amp;(($F425-3)-MOD((IFERROR(INDEX('TECNICOS'!$G$4:$G$19,MATCH($C425,'TECNICOS'!$B$4:$B$19,0)),0)-1)+((DATE(VALUE(LEFT($A425,4)),1,4)-WEEKDAY(DATE(VALUE(LEFT($A425,4)),1,4),2)+1+(VALUE(MID($A425,7,2))-1)*7)-p_semana_referencia)/7,$F425)),"T"&amp;($F425-MOD((IFERROR(INDEX('TECNICOS'!$G$4:$G$19,MATCH($C425,'TECNICOS'!$B$4:$B$19,0)),0)-1)+((DATE(VALUE(LEFT($A425,4)),1,4)-WEEKDAY(DATE(VALUE(LEFT($A425,4)),1,4),2)+1+(VALUE(MID($A425,7,2))-1)*7)-p_semana_referencia)/7,$F425)))))</f>
        <v/>
      </c>
      <c r="H425" s="24">
        <f>IF(COUNTIFS('PLAN_VACACIONES'!$A$4:$A$103,$C425,'PLAN_VACACIONES'!$B$4:$B$103,"&lt;="&amp;$L425,'PLAN_VACACIONES'!$C$4:$C$103,"&gt;="&amp;$L425)&gt;0,"sí","no")</f>
        <v/>
      </c>
      <c r="I425" s="4" t="n"/>
      <c r="J425" s="24">
        <f>IF($I425&lt;&gt;"",$I425,IF($G425="","",IF($H425="sí","VAC",IF(LEFT($G425,1)="B","B",$G425))))</f>
        <v/>
      </c>
      <c r="K425" s="24">
        <f>IFERROR(INDEX('TECNICOS'!$E$4:$E$19,MATCH($C425,'TECNICOS'!$B$4:$B$19,0)),"")</f>
        <v/>
      </c>
      <c r="L425" s="30">
        <f>IF($A425="","",DATE(VALUE(LEFT($A425,4)),1,4)-WEEKDAY(DATE(VALUE(LEFT($A425,4)),1,4),2)+1+(VALUE(MID($A425,7,2))-1)*7+MATCH($B425,lista_dias,0)-1)</f>
        <v/>
      </c>
      <c r="M425" s="24">
        <f>IF(OR($J425="",ISNUMBER(MATCH($J425,lista_no_disponible,0)),(IFERROR(INDEX('CALENDARIO'!$C$15:$C$214,MATCH(TEXT($L425,"yyyy-mm-dd")&amp;"|"&amp;$D425&amp;"|"&amp;"",'CALENDARIO'!$G$15:$G$214,0)),IFERROR(INDEX('CALENDARIO'!$C$15:$C$214,MATCH(TEXT($L425,"yyyy-mm-dd")&amp;"|"&amp;$D425&amp;"|",'CALENDARIO'!$G$15:$G$214,0)),IFERROR(INDEX('CALENDARIO'!$C$15:$C$214,MATCH(TEXT($L425,"yyyy-mm-dd")&amp;"||",'CALENDARIO'!$G$15:$G$214,0)),INDEX(patronHabil,WEEKDAY($L425,2))))))&lt;&gt;"sí"),0,p_horas_jornada)</f>
        <v/>
      </c>
      <c r="N425" s="24">
        <f>$A425&amp;"|"&amp;$B425&amp;"|"&amp;$C425</f>
        <v/>
      </c>
      <c r="O425" s="24">
        <f>IFERROR(INDEX('CAT_TURNOS'!$C$4:$C$22,MATCH($J425,'CAT_TURNOS'!$A$4:$A$22,0)),"")</f>
        <v/>
      </c>
      <c r="P425" s="24">
        <f>IFERROR(INDEX('CAT_TURNOS'!$D$4:$D$22,MATCH($J425,'CAT_TURNOS'!$A$4:$A$22,0)),"")</f>
        <v/>
      </c>
      <c r="Q425" s="24">
        <f>IF(AND(LEFT($G425,1)="T",$H425="no"),"sí","no")</f>
        <v/>
      </c>
    </row>
    <row r="426">
      <c r="A426" s="5" t="inlineStr">
        <is>
          <t>2026-S33</t>
        </is>
      </c>
      <c r="B426" s="5" t="inlineStr">
        <is>
          <t>miércoles</t>
        </is>
      </c>
      <c r="C426" s="5" t="inlineStr">
        <is>
          <t>Gabriela Rojas</t>
        </is>
      </c>
      <c r="D426" s="24">
        <f>IFERROR(INDEX('TECNICOS'!$D$4:$D$19,MATCH($C426,'TECNICOS'!$B$4:$B$19,0)),"")</f>
        <v/>
      </c>
      <c r="E426" s="24">
        <f>IFERROR(INDEX('TECNICOS'!$C$4:$C$19,MATCH($C426,'TECNICOS'!$B$4:$B$19,0)),"")</f>
        <v/>
      </c>
      <c r="F426" s="24">
        <f>COUNTIFS('TECNICOS'!$F$4:$F$19,"sí",'TECNICOS'!$C$4:$C$19,$E426,'TECNICOS'!$D$4:$D$19,$D426,'TECNICOS'!$H$4:$H$19,"sí")</f>
        <v/>
      </c>
      <c r="G426" s="24">
        <f>IF(OR($C426="",$A426="",$B426="domingo",IFERROR(INDEX('TECNICOS'!$H$4:$H$19,MATCH($C426,'TECNICOS'!$B$4:$B$19,0)),"no")&lt;&gt;"sí"),"",IF(IFERROR(INDEX('TECNICOS'!$F$4:$F$19,MATCH($C426,'TECNICOS'!$B$4:$B$19,0)),"no")&lt;&gt;"sí","B",IF(MOD((IFERROR(INDEX('TECNICOS'!$G$4:$G$19,MATCH($C426,'TECNICOS'!$B$4:$B$19,0)),0)-1)+((DATE(VALUE(LEFT($A426,4)),1,4)-WEEKDAY(DATE(VALUE(LEFT($A426,4)),1,4),2)+1+(VALUE(MID($A426,7,2))-1)*7)-p_semana_referencia)/7,$F426)&lt;($F426-3),"B"&amp;(($F426-3)-MOD((IFERROR(INDEX('TECNICOS'!$G$4:$G$19,MATCH($C426,'TECNICOS'!$B$4:$B$19,0)),0)-1)+((DATE(VALUE(LEFT($A426,4)),1,4)-WEEKDAY(DATE(VALUE(LEFT($A426,4)),1,4),2)+1+(VALUE(MID($A426,7,2))-1)*7)-p_semana_referencia)/7,$F426)),"T"&amp;($F426-MOD((IFERROR(INDEX('TECNICOS'!$G$4:$G$19,MATCH($C426,'TECNICOS'!$B$4:$B$19,0)),0)-1)+((DATE(VALUE(LEFT($A426,4)),1,4)-WEEKDAY(DATE(VALUE(LEFT($A426,4)),1,4),2)+1+(VALUE(MID($A426,7,2))-1)*7)-p_semana_referencia)/7,$F426)))))</f>
        <v/>
      </c>
      <c r="H426" s="24">
        <f>IF(COUNTIFS('PLAN_VACACIONES'!$A$4:$A$103,$C426,'PLAN_VACACIONES'!$B$4:$B$103,"&lt;="&amp;$L426,'PLAN_VACACIONES'!$C$4:$C$103,"&gt;="&amp;$L426)&gt;0,"sí","no")</f>
        <v/>
      </c>
      <c r="I426" s="4" t="n"/>
      <c r="J426" s="24">
        <f>IF($I426&lt;&gt;"",$I426,IF($G426="","",IF($H426="sí","VAC",IF(LEFT($G426,1)="B","B",$G426))))</f>
        <v/>
      </c>
      <c r="K426" s="24">
        <f>IFERROR(INDEX('TECNICOS'!$E$4:$E$19,MATCH($C426,'TECNICOS'!$B$4:$B$19,0)),"")</f>
        <v/>
      </c>
      <c r="L426" s="30">
        <f>IF($A426="","",DATE(VALUE(LEFT($A426,4)),1,4)-WEEKDAY(DATE(VALUE(LEFT($A426,4)),1,4),2)+1+(VALUE(MID($A426,7,2))-1)*7+MATCH($B426,lista_dias,0)-1)</f>
        <v/>
      </c>
      <c r="M426" s="24">
        <f>IF(OR($J426="",ISNUMBER(MATCH($J426,lista_no_disponible,0)),(IFERROR(INDEX('CALENDARIO'!$C$15:$C$214,MATCH(TEXT($L426,"yyyy-mm-dd")&amp;"|"&amp;$D426&amp;"|"&amp;"",'CALENDARIO'!$G$15:$G$214,0)),IFERROR(INDEX('CALENDARIO'!$C$15:$C$214,MATCH(TEXT($L426,"yyyy-mm-dd")&amp;"|"&amp;$D426&amp;"|",'CALENDARIO'!$G$15:$G$214,0)),IFERROR(INDEX('CALENDARIO'!$C$15:$C$214,MATCH(TEXT($L426,"yyyy-mm-dd")&amp;"||",'CALENDARIO'!$G$15:$G$214,0)),INDEX(patronHabil,WEEKDAY($L426,2))))))&lt;&gt;"sí"),0,p_horas_jornada)</f>
        <v/>
      </c>
      <c r="N426" s="24">
        <f>$A426&amp;"|"&amp;$B426&amp;"|"&amp;$C426</f>
        <v/>
      </c>
      <c r="O426" s="24">
        <f>IFERROR(INDEX('CAT_TURNOS'!$C$4:$C$22,MATCH($J426,'CAT_TURNOS'!$A$4:$A$22,0)),"")</f>
        <v/>
      </c>
      <c r="P426" s="24">
        <f>IFERROR(INDEX('CAT_TURNOS'!$D$4:$D$22,MATCH($J426,'CAT_TURNOS'!$A$4:$A$22,0)),"")</f>
        <v/>
      </c>
      <c r="Q426" s="24">
        <f>IF(AND(LEFT($G426,1)="T",$H426="no"),"sí","no")</f>
        <v/>
      </c>
    </row>
    <row r="427">
      <c r="A427" s="5" t="inlineStr">
        <is>
          <t>2026-S33</t>
        </is>
      </c>
      <c r="B427" s="5" t="inlineStr">
        <is>
          <t>jueves</t>
        </is>
      </c>
      <c r="C427" s="5" t="inlineStr">
        <is>
          <t>Gabriela Rojas</t>
        </is>
      </c>
      <c r="D427" s="24">
        <f>IFERROR(INDEX('TECNICOS'!$D$4:$D$19,MATCH($C427,'TECNICOS'!$B$4:$B$19,0)),"")</f>
        <v/>
      </c>
      <c r="E427" s="24">
        <f>IFERROR(INDEX('TECNICOS'!$C$4:$C$19,MATCH($C427,'TECNICOS'!$B$4:$B$19,0)),"")</f>
        <v/>
      </c>
      <c r="F427" s="24">
        <f>COUNTIFS('TECNICOS'!$F$4:$F$19,"sí",'TECNICOS'!$C$4:$C$19,$E427,'TECNICOS'!$D$4:$D$19,$D427,'TECNICOS'!$H$4:$H$19,"sí")</f>
        <v/>
      </c>
      <c r="G427" s="24">
        <f>IF(OR($C427="",$A427="",$B427="domingo",IFERROR(INDEX('TECNICOS'!$H$4:$H$19,MATCH($C427,'TECNICOS'!$B$4:$B$19,0)),"no")&lt;&gt;"sí"),"",IF(IFERROR(INDEX('TECNICOS'!$F$4:$F$19,MATCH($C427,'TECNICOS'!$B$4:$B$19,0)),"no")&lt;&gt;"sí","B",IF(MOD((IFERROR(INDEX('TECNICOS'!$G$4:$G$19,MATCH($C427,'TECNICOS'!$B$4:$B$19,0)),0)-1)+((DATE(VALUE(LEFT($A427,4)),1,4)-WEEKDAY(DATE(VALUE(LEFT($A427,4)),1,4),2)+1+(VALUE(MID($A427,7,2))-1)*7)-p_semana_referencia)/7,$F427)&lt;($F427-3),"B"&amp;(($F427-3)-MOD((IFERROR(INDEX('TECNICOS'!$G$4:$G$19,MATCH($C427,'TECNICOS'!$B$4:$B$19,0)),0)-1)+((DATE(VALUE(LEFT($A427,4)),1,4)-WEEKDAY(DATE(VALUE(LEFT($A427,4)),1,4),2)+1+(VALUE(MID($A427,7,2))-1)*7)-p_semana_referencia)/7,$F427)),"T"&amp;($F427-MOD((IFERROR(INDEX('TECNICOS'!$G$4:$G$19,MATCH($C427,'TECNICOS'!$B$4:$B$19,0)),0)-1)+((DATE(VALUE(LEFT($A427,4)),1,4)-WEEKDAY(DATE(VALUE(LEFT($A427,4)),1,4),2)+1+(VALUE(MID($A427,7,2))-1)*7)-p_semana_referencia)/7,$F427)))))</f>
        <v/>
      </c>
      <c r="H427" s="24">
        <f>IF(COUNTIFS('PLAN_VACACIONES'!$A$4:$A$103,$C427,'PLAN_VACACIONES'!$B$4:$B$103,"&lt;="&amp;$L427,'PLAN_VACACIONES'!$C$4:$C$103,"&gt;="&amp;$L427)&gt;0,"sí","no")</f>
        <v/>
      </c>
      <c r="I427" s="4" t="n"/>
      <c r="J427" s="24">
        <f>IF($I427&lt;&gt;"",$I427,IF($G427="","",IF($H427="sí","VAC",IF(LEFT($G427,1)="B","B",$G427))))</f>
        <v/>
      </c>
      <c r="K427" s="24">
        <f>IFERROR(INDEX('TECNICOS'!$E$4:$E$19,MATCH($C427,'TECNICOS'!$B$4:$B$19,0)),"")</f>
        <v/>
      </c>
      <c r="L427" s="30">
        <f>IF($A427="","",DATE(VALUE(LEFT($A427,4)),1,4)-WEEKDAY(DATE(VALUE(LEFT($A427,4)),1,4),2)+1+(VALUE(MID($A427,7,2))-1)*7+MATCH($B427,lista_dias,0)-1)</f>
        <v/>
      </c>
      <c r="M427" s="24">
        <f>IF(OR($J427="",ISNUMBER(MATCH($J427,lista_no_disponible,0)),(IFERROR(INDEX('CALENDARIO'!$C$15:$C$214,MATCH(TEXT($L427,"yyyy-mm-dd")&amp;"|"&amp;$D427&amp;"|"&amp;"",'CALENDARIO'!$G$15:$G$214,0)),IFERROR(INDEX('CALENDARIO'!$C$15:$C$214,MATCH(TEXT($L427,"yyyy-mm-dd")&amp;"|"&amp;$D427&amp;"|",'CALENDARIO'!$G$15:$G$214,0)),IFERROR(INDEX('CALENDARIO'!$C$15:$C$214,MATCH(TEXT($L427,"yyyy-mm-dd")&amp;"||",'CALENDARIO'!$G$15:$G$214,0)),INDEX(patronHabil,WEEKDAY($L427,2))))))&lt;&gt;"sí"),0,p_horas_jornada)</f>
        <v/>
      </c>
      <c r="N427" s="24">
        <f>$A427&amp;"|"&amp;$B427&amp;"|"&amp;$C427</f>
        <v/>
      </c>
      <c r="O427" s="24">
        <f>IFERROR(INDEX('CAT_TURNOS'!$C$4:$C$22,MATCH($J427,'CAT_TURNOS'!$A$4:$A$22,0)),"")</f>
        <v/>
      </c>
      <c r="P427" s="24">
        <f>IFERROR(INDEX('CAT_TURNOS'!$D$4:$D$22,MATCH($J427,'CAT_TURNOS'!$A$4:$A$22,0)),"")</f>
        <v/>
      </c>
      <c r="Q427" s="24">
        <f>IF(AND(LEFT($G427,1)="T",$H427="no"),"sí","no")</f>
        <v/>
      </c>
    </row>
    <row r="428">
      <c r="A428" s="5" t="inlineStr">
        <is>
          <t>2026-S33</t>
        </is>
      </c>
      <c r="B428" s="5" t="inlineStr">
        <is>
          <t>viernes</t>
        </is>
      </c>
      <c r="C428" s="5" t="inlineStr">
        <is>
          <t>Gabriela Rojas</t>
        </is>
      </c>
      <c r="D428" s="24">
        <f>IFERROR(INDEX('TECNICOS'!$D$4:$D$19,MATCH($C428,'TECNICOS'!$B$4:$B$19,0)),"")</f>
        <v/>
      </c>
      <c r="E428" s="24">
        <f>IFERROR(INDEX('TECNICOS'!$C$4:$C$19,MATCH($C428,'TECNICOS'!$B$4:$B$19,0)),"")</f>
        <v/>
      </c>
      <c r="F428" s="24">
        <f>COUNTIFS('TECNICOS'!$F$4:$F$19,"sí",'TECNICOS'!$C$4:$C$19,$E428,'TECNICOS'!$D$4:$D$19,$D428,'TECNICOS'!$H$4:$H$19,"sí")</f>
        <v/>
      </c>
      <c r="G428" s="24">
        <f>IF(OR($C428="",$A428="",$B428="domingo",IFERROR(INDEX('TECNICOS'!$H$4:$H$19,MATCH($C428,'TECNICOS'!$B$4:$B$19,0)),"no")&lt;&gt;"sí"),"",IF(IFERROR(INDEX('TECNICOS'!$F$4:$F$19,MATCH($C428,'TECNICOS'!$B$4:$B$19,0)),"no")&lt;&gt;"sí","B",IF(MOD((IFERROR(INDEX('TECNICOS'!$G$4:$G$19,MATCH($C428,'TECNICOS'!$B$4:$B$19,0)),0)-1)+((DATE(VALUE(LEFT($A428,4)),1,4)-WEEKDAY(DATE(VALUE(LEFT($A428,4)),1,4),2)+1+(VALUE(MID($A428,7,2))-1)*7)-p_semana_referencia)/7,$F428)&lt;($F428-3),"B"&amp;(($F428-3)-MOD((IFERROR(INDEX('TECNICOS'!$G$4:$G$19,MATCH($C428,'TECNICOS'!$B$4:$B$19,0)),0)-1)+((DATE(VALUE(LEFT($A428,4)),1,4)-WEEKDAY(DATE(VALUE(LEFT($A428,4)),1,4),2)+1+(VALUE(MID($A428,7,2))-1)*7)-p_semana_referencia)/7,$F428)),"T"&amp;($F428-MOD((IFERROR(INDEX('TECNICOS'!$G$4:$G$19,MATCH($C428,'TECNICOS'!$B$4:$B$19,0)),0)-1)+((DATE(VALUE(LEFT($A428,4)),1,4)-WEEKDAY(DATE(VALUE(LEFT($A428,4)),1,4),2)+1+(VALUE(MID($A428,7,2))-1)*7)-p_semana_referencia)/7,$F428)))))</f>
        <v/>
      </c>
      <c r="H428" s="24">
        <f>IF(COUNTIFS('PLAN_VACACIONES'!$A$4:$A$103,$C428,'PLAN_VACACIONES'!$B$4:$B$103,"&lt;="&amp;$L428,'PLAN_VACACIONES'!$C$4:$C$103,"&gt;="&amp;$L428)&gt;0,"sí","no")</f>
        <v/>
      </c>
      <c r="I428" s="4" t="n"/>
      <c r="J428" s="24">
        <f>IF($I428&lt;&gt;"",$I428,IF($G428="","",IF($H428="sí","VAC",IF(LEFT($G428,1)="B","B",$G428))))</f>
        <v/>
      </c>
      <c r="K428" s="24">
        <f>IFERROR(INDEX('TECNICOS'!$E$4:$E$19,MATCH($C428,'TECNICOS'!$B$4:$B$19,0)),"")</f>
        <v/>
      </c>
      <c r="L428" s="30">
        <f>IF($A428="","",DATE(VALUE(LEFT($A428,4)),1,4)-WEEKDAY(DATE(VALUE(LEFT($A428,4)),1,4),2)+1+(VALUE(MID($A428,7,2))-1)*7+MATCH($B428,lista_dias,0)-1)</f>
        <v/>
      </c>
      <c r="M428" s="24">
        <f>IF(OR($J428="",ISNUMBER(MATCH($J428,lista_no_disponible,0)),(IFERROR(INDEX('CALENDARIO'!$C$15:$C$214,MATCH(TEXT($L428,"yyyy-mm-dd")&amp;"|"&amp;$D428&amp;"|"&amp;"",'CALENDARIO'!$G$15:$G$214,0)),IFERROR(INDEX('CALENDARIO'!$C$15:$C$214,MATCH(TEXT($L428,"yyyy-mm-dd")&amp;"|"&amp;$D428&amp;"|",'CALENDARIO'!$G$15:$G$214,0)),IFERROR(INDEX('CALENDARIO'!$C$15:$C$214,MATCH(TEXT($L428,"yyyy-mm-dd")&amp;"||",'CALENDARIO'!$G$15:$G$214,0)),INDEX(patronHabil,WEEKDAY($L428,2))))))&lt;&gt;"sí"),0,p_horas_jornada)</f>
        <v/>
      </c>
      <c r="N428" s="24">
        <f>$A428&amp;"|"&amp;$B428&amp;"|"&amp;$C428</f>
        <v/>
      </c>
      <c r="O428" s="24">
        <f>IFERROR(INDEX('CAT_TURNOS'!$C$4:$C$22,MATCH($J428,'CAT_TURNOS'!$A$4:$A$22,0)),"")</f>
        <v/>
      </c>
      <c r="P428" s="24">
        <f>IFERROR(INDEX('CAT_TURNOS'!$D$4:$D$22,MATCH($J428,'CAT_TURNOS'!$A$4:$A$22,0)),"")</f>
        <v/>
      </c>
      <c r="Q428" s="24">
        <f>IF(AND(LEFT($G428,1)="T",$H428="no"),"sí","no")</f>
        <v/>
      </c>
    </row>
    <row r="429">
      <c r="A429" s="5" t="inlineStr">
        <is>
          <t>2026-S33</t>
        </is>
      </c>
      <c r="B429" s="5" t="inlineStr">
        <is>
          <t>sábado</t>
        </is>
      </c>
      <c r="C429" s="5" t="inlineStr">
        <is>
          <t>Gabriela Rojas</t>
        </is>
      </c>
      <c r="D429" s="24">
        <f>IFERROR(INDEX('TECNICOS'!$D$4:$D$19,MATCH($C429,'TECNICOS'!$B$4:$B$19,0)),"")</f>
        <v/>
      </c>
      <c r="E429" s="24">
        <f>IFERROR(INDEX('TECNICOS'!$C$4:$C$19,MATCH($C429,'TECNICOS'!$B$4:$B$19,0)),"")</f>
        <v/>
      </c>
      <c r="F429" s="24">
        <f>COUNTIFS('TECNICOS'!$F$4:$F$19,"sí",'TECNICOS'!$C$4:$C$19,$E429,'TECNICOS'!$D$4:$D$19,$D429,'TECNICOS'!$H$4:$H$19,"sí")</f>
        <v/>
      </c>
      <c r="G429" s="24">
        <f>IF(OR($C429="",$A429="",$B429="domingo",IFERROR(INDEX('TECNICOS'!$H$4:$H$19,MATCH($C429,'TECNICOS'!$B$4:$B$19,0)),"no")&lt;&gt;"sí"),"",IF(IFERROR(INDEX('TECNICOS'!$F$4:$F$19,MATCH($C429,'TECNICOS'!$B$4:$B$19,0)),"no")&lt;&gt;"sí","B",IF(MOD((IFERROR(INDEX('TECNICOS'!$G$4:$G$19,MATCH($C429,'TECNICOS'!$B$4:$B$19,0)),0)-1)+((DATE(VALUE(LEFT($A429,4)),1,4)-WEEKDAY(DATE(VALUE(LEFT($A429,4)),1,4),2)+1+(VALUE(MID($A429,7,2))-1)*7)-p_semana_referencia)/7,$F429)&lt;($F429-3),"B"&amp;(($F429-3)-MOD((IFERROR(INDEX('TECNICOS'!$G$4:$G$19,MATCH($C429,'TECNICOS'!$B$4:$B$19,0)),0)-1)+((DATE(VALUE(LEFT($A429,4)),1,4)-WEEKDAY(DATE(VALUE(LEFT($A429,4)),1,4),2)+1+(VALUE(MID($A429,7,2))-1)*7)-p_semana_referencia)/7,$F429)),"T"&amp;($F429-MOD((IFERROR(INDEX('TECNICOS'!$G$4:$G$19,MATCH($C429,'TECNICOS'!$B$4:$B$19,0)),0)-1)+((DATE(VALUE(LEFT($A429,4)),1,4)-WEEKDAY(DATE(VALUE(LEFT($A429,4)),1,4),2)+1+(VALUE(MID($A429,7,2))-1)*7)-p_semana_referencia)/7,$F429)))))</f>
        <v/>
      </c>
      <c r="H429" s="24">
        <f>IF(COUNTIFS('PLAN_VACACIONES'!$A$4:$A$103,$C429,'PLAN_VACACIONES'!$B$4:$B$103,"&lt;="&amp;$L429,'PLAN_VACACIONES'!$C$4:$C$103,"&gt;="&amp;$L429)&gt;0,"sí","no")</f>
        <v/>
      </c>
      <c r="I429" s="4" t="n"/>
      <c r="J429" s="24">
        <f>IF($I429&lt;&gt;"",$I429,IF($G429="","",IF($H429="sí","VAC",IF(LEFT($G429,1)="B","B",$G429))))</f>
        <v/>
      </c>
      <c r="K429" s="24">
        <f>IFERROR(INDEX('TECNICOS'!$E$4:$E$19,MATCH($C429,'TECNICOS'!$B$4:$B$19,0)),"")</f>
        <v/>
      </c>
      <c r="L429" s="30">
        <f>IF($A429="","",DATE(VALUE(LEFT($A429,4)),1,4)-WEEKDAY(DATE(VALUE(LEFT($A429,4)),1,4),2)+1+(VALUE(MID($A429,7,2))-1)*7+MATCH($B429,lista_dias,0)-1)</f>
        <v/>
      </c>
      <c r="M429" s="24">
        <f>IF(OR($J429="",ISNUMBER(MATCH($J429,lista_no_disponible,0)),(IFERROR(INDEX('CALENDARIO'!$C$15:$C$214,MATCH(TEXT($L429,"yyyy-mm-dd")&amp;"|"&amp;$D429&amp;"|"&amp;"",'CALENDARIO'!$G$15:$G$214,0)),IFERROR(INDEX('CALENDARIO'!$C$15:$C$214,MATCH(TEXT($L429,"yyyy-mm-dd")&amp;"|"&amp;$D429&amp;"|",'CALENDARIO'!$G$15:$G$214,0)),IFERROR(INDEX('CALENDARIO'!$C$15:$C$214,MATCH(TEXT($L429,"yyyy-mm-dd")&amp;"||",'CALENDARIO'!$G$15:$G$214,0)),INDEX(patronHabil,WEEKDAY($L429,2))))))&lt;&gt;"sí"),0,p_horas_jornada)</f>
        <v/>
      </c>
      <c r="N429" s="24">
        <f>$A429&amp;"|"&amp;$B429&amp;"|"&amp;$C429</f>
        <v/>
      </c>
      <c r="O429" s="24">
        <f>IFERROR(INDEX('CAT_TURNOS'!$C$4:$C$22,MATCH($J429,'CAT_TURNOS'!$A$4:$A$22,0)),"")</f>
        <v/>
      </c>
      <c r="P429" s="24">
        <f>IFERROR(INDEX('CAT_TURNOS'!$D$4:$D$22,MATCH($J429,'CAT_TURNOS'!$A$4:$A$22,0)),"")</f>
        <v/>
      </c>
      <c r="Q429" s="24">
        <f>IF(AND(LEFT($G429,1)="T",$H429="no"),"sí","no")</f>
        <v/>
      </c>
    </row>
    <row r="430">
      <c r="A430" s="5" t="inlineStr">
        <is>
          <t>2026-S33</t>
        </is>
      </c>
      <c r="B430" s="5" t="inlineStr">
        <is>
          <t>domingo</t>
        </is>
      </c>
      <c r="C430" s="5" t="inlineStr">
        <is>
          <t>Gabriela Rojas</t>
        </is>
      </c>
      <c r="D430" s="24">
        <f>IFERROR(INDEX('TECNICOS'!$D$4:$D$19,MATCH($C430,'TECNICOS'!$B$4:$B$19,0)),"")</f>
        <v/>
      </c>
      <c r="E430" s="24">
        <f>IFERROR(INDEX('TECNICOS'!$C$4:$C$19,MATCH($C430,'TECNICOS'!$B$4:$B$19,0)),"")</f>
        <v/>
      </c>
      <c r="F430" s="24">
        <f>COUNTIFS('TECNICOS'!$F$4:$F$19,"sí",'TECNICOS'!$C$4:$C$19,$E430,'TECNICOS'!$D$4:$D$19,$D430,'TECNICOS'!$H$4:$H$19,"sí")</f>
        <v/>
      </c>
      <c r="G430" s="24">
        <f>IF(OR($C430="",$A430="",$B430="domingo",IFERROR(INDEX('TECNICOS'!$H$4:$H$19,MATCH($C430,'TECNICOS'!$B$4:$B$19,0)),"no")&lt;&gt;"sí"),"",IF(IFERROR(INDEX('TECNICOS'!$F$4:$F$19,MATCH($C430,'TECNICOS'!$B$4:$B$19,0)),"no")&lt;&gt;"sí","B",IF(MOD((IFERROR(INDEX('TECNICOS'!$G$4:$G$19,MATCH($C430,'TECNICOS'!$B$4:$B$19,0)),0)-1)+((DATE(VALUE(LEFT($A430,4)),1,4)-WEEKDAY(DATE(VALUE(LEFT($A430,4)),1,4),2)+1+(VALUE(MID($A430,7,2))-1)*7)-p_semana_referencia)/7,$F430)&lt;($F430-3),"B"&amp;(($F430-3)-MOD((IFERROR(INDEX('TECNICOS'!$G$4:$G$19,MATCH($C430,'TECNICOS'!$B$4:$B$19,0)),0)-1)+((DATE(VALUE(LEFT($A430,4)),1,4)-WEEKDAY(DATE(VALUE(LEFT($A430,4)),1,4),2)+1+(VALUE(MID($A430,7,2))-1)*7)-p_semana_referencia)/7,$F430)),"T"&amp;($F430-MOD((IFERROR(INDEX('TECNICOS'!$G$4:$G$19,MATCH($C430,'TECNICOS'!$B$4:$B$19,0)),0)-1)+((DATE(VALUE(LEFT($A430,4)),1,4)-WEEKDAY(DATE(VALUE(LEFT($A430,4)),1,4),2)+1+(VALUE(MID($A430,7,2))-1)*7)-p_semana_referencia)/7,$F430)))))</f>
        <v/>
      </c>
      <c r="H430" s="24">
        <f>IF(COUNTIFS('PLAN_VACACIONES'!$A$4:$A$103,$C430,'PLAN_VACACIONES'!$B$4:$B$103,"&lt;="&amp;$L430,'PLAN_VACACIONES'!$C$4:$C$103,"&gt;="&amp;$L430)&gt;0,"sí","no")</f>
        <v/>
      </c>
      <c r="I430" s="4" t="n"/>
      <c r="J430" s="24">
        <f>IF($I430&lt;&gt;"",$I430,IF($G430="","",IF($H430="sí","VAC",IF(LEFT($G430,1)="B","B",$G430))))</f>
        <v/>
      </c>
      <c r="K430" s="24">
        <f>IFERROR(INDEX('TECNICOS'!$E$4:$E$19,MATCH($C430,'TECNICOS'!$B$4:$B$19,0)),"")</f>
        <v/>
      </c>
      <c r="L430" s="30">
        <f>IF($A430="","",DATE(VALUE(LEFT($A430,4)),1,4)-WEEKDAY(DATE(VALUE(LEFT($A430,4)),1,4),2)+1+(VALUE(MID($A430,7,2))-1)*7+MATCH($B430,lista_dias,0)-1)</f>
        <v/>
      </c>
      <c r="M430" s="24">
        <f>IF(OR($J430="",ISNUMBER(MATCH($J430,lista_no_disponible,0)),(IFERROR(INDEX('CALENDARIO'!$C$15:$C$214,MATCH(TEXT($L430,"yyyy-mm-dd")&amp;"|"&amp;$D430&amp;"|"&amp;"",'CALENDARIO'!$G$15:$G$214,0)),IFERROR(INDEX('CALENDARIO'!$C$15:$C$214,MATCH(TEXT($L430,"yyyy-mm-dd")&amp;"|"&amp;$D430&amp;"|",'CALENDARIO'!$G$15:$G$214,0)),IFERROR(INDEX('CALENDARIO'!$C$15:$C$214,MATCH(TEXT($L430,"yyyy-mm-dd")&amp;"||",'CALENDARIO'!$G$15:$G$214,0)),INDEX(patronHabil,WEEKDAY($L430,2))))))&lt;&gt;"sí"),0,p_horas_jornada)</f>
        <v/>
      </c>
      <c r="N430" s="24">
        <f>$A430&amp;"|"&amp;$B430&amp;"|"&amp;$C430</f>
        <v/>
      </c>
      <c r="O430" s="24">
        <f>IFERROR(INDEX('CAT_TURNOS'!$C$4:$C$22,MATCH($J430,'CAT_TURNOS'!$A$4:$A$22,0)),"")</f>
        <v/>
      </c>
      <c r="P430" s="24">
        <f>IFERROR(INDEX('CAT_TURNOS'!$D$4:$D$22,MATCH($J430,'CAT_TURNOS'!$A$4:$A$22,0)),"")</f>
        <v/>
      </c>
      <c r="Q430" s="24">
        <f>IF(AND(LEFT($G430,1)="T",$H430="no"),"sí","no")</f>
        <v/>
      </c>
    </row>
    <row r="431">
      <c r="A431" s="5" t="inlineStr">
        <is>
          <t>2026-S33</t>
        </is>
      </c>
      <c r="B431" s="5" t="inlineStr">
        <is>
          <t>lunes</t>
        </is>
      </c>
      <c r="C431" s="5" t="inlineStr">
        <is>
          <t>Fernando Mendoza</t>
        </is>
      </c>
      <c r="D431" s="24">
        <f>IFERROR(INDEX('TECNICOS'!$D$4:$D$19,MATCH($C431,'TECNICOS'!$B$4:$B$19,0)),"")</f>
        <v/>
      </c>
      <c r="E431" s="24">
        <f>IFERROR(INDEX('TECNICOS'!$C$4:$C$19,MATCH($C431,'TECNICOS'!$B$4:$B$19,0)),"")</f>
        <v/>
      </c>
      <c r="F431" s="24">
        <f>COUNTIFS('TECNICOS'!$F$4:$F$19,"sí",'TECNICOS'!$C$4:$C$19,$E431,'TECNICOS'!$D$4:$D$19,$D431,'TECNICOS'!$H$4:$H$19,"sí")</f>
        <v/>
      </c>
      <c r="G431" s="24">
        <f>IF(OR($C431="",$A431="",$B431="domingo",IFERROR(INDEX('TECNICOS'!$H$4:$H$19,MATCH($C431,'TECNICOS'!$B$4:$B$19,0)),"no")&lt;&gt;"sí"),"",IF(IFERROR(INDEX('TECNICOS'!$F$4:$F$19,MATCH($C431,'TECNICOS'!$B$4:$B$19,0)),"no")&lt;&gt;"sí","B",IF(MOD((IFERROR(INDEX('TECNICOS'!$G$4:$G$19,MATCH($C431,'TECNICOS'!$B$4:$B$19,0)),0)-1)+((DATE(VALUE(LEFT($A431,4)),1,4)-WEEKDAY(DATE(VALUE(LEFT($A431,4)),1,4),2)+1+(VALUE(MID($A431,7,2))-1)*7)-p_semana_referencia)/7,$F431)&lt;($F431-3),"B"&amp;(($F431-3)-MOD((IFERROR(INDEX('TECNICOS'!$G$4:$G$19,MATCH($C431,'TECNICOS'!$B$4:$B$19,0)),0)-1)+((DATE(VALUE(LEFT($A431,4)),1,4)-WEEKDAY(DATE(VALUE(LEFT($A431,4)),1,4),2)+1+(VALUE(MID($A431,7,2))-1)*7)-p_semana_referencia)/7,$F431)),"T"&amp;($F431-MOD((IFERROR(INDEX('TECNICOS'!$G$4:$G$19,MATCH($C431,'TECNICOS'!$B$4:$B$19,0)),0)-1)+((DATE(VALUE(LEFT($A431,4)),1,4)-WEEKDAY(DATE(VALUE(LEFT($A431,4)),1,4),2)+1+(VALUE(MID($A431,7,2))-1)*7)-p_semana_referencia)/7,$F431)))))</f>
        <v/>
      </c>
      <c r="H431" s="24">
        <f>IF(COUNTIFS('PLAN_VACACIONES'!$A$4:$A$103,$C431,'PLAN_VACACIONES'!$B$4:$B$103,"&lt;="&amp;$L431,'PLAN_VACACIONES'!$C$4:$C$103,"&gt;="&amp;$L431)&gt;0,"sí","no")</f>
        <v/>
      </c>
      <c r="I431" s="4" t="n"/>
      <c r="J431" s="24">
        <f>IF($I431&lt;&gt;"",$I431,IF($G431="","",IF($H431="sí","VAC",IF(LEFT($G431,1)="B","B",$G431))))</f>
        <v/>
      </c>
      <c r="K431" s="24">
        <f>IFERROR(INDEX('TECNICOS'!$E$4:$E$19,MATCH($C431,'TECNICOS'!$B$4:$B$19,0)),"")</f>
        <v/>
      </c>
      <c r="L431" s="30">
        <f>IF($A431="","",DATE(VALUE(LEFT($A431,4)),1,4)-WEEKDAY(DATE(VALUE(LEFT($A431,4)),1,4),2)+1+(VALUE(MID($A431,7,2))-1)*7+MATCH($B431,lista_dias,0)-1)</f>
        <v/>
      </c>
      <c r="M431" s="24">
        <f>IF(OR($J431="",ISNUMBER(MATCH($J431,lista_no_disponible,0)),(IFERROR(INDEX('CALENDARIO'!$C$15:$C$214,MATCH(TEXT($L431,"yyyy-mm-dd")&amp;"|"&amp;$D431&amp;"|"&amp;"",'CALENDARIO'!$G$15:$G$214,0)),IFERROR(INDEX('CALENDARIO'!$C$15:$C$214,MATCH(TEXT($L431,"yyyy-mm-dd")&amp;"|"&amp;$D431&amp;"|",'CALENDARIO'!$G$15:$G$214,0)),IFERROR(INDEX('CALENDARIO'!$C$15:$C$214,MATCH(TEXT($L431,"yyyy-mm-dd")&amp;"||",'CALENDARIO'!$G$15:$G$214,0)),INDEX(patronHabil,WEEKDAY($L431,2))))))&lt;&gt;"sí"),0,p_horas_jornada)</f>
        <v/>
      </c>
      <c r="N431" s="24">
        <f>$A431&amp;"|"&amp;$B431&amp;"|"&amp;$C431</f>
        <v/>
      </c>
      <c r="O431" s="24">
        <f>IFERROR(INDEX('CAT_TURNOS'!$C$4:$C$22,MATCH($J431,'CAT_TURNOS'!$A$4:$A$22,0)),"")</f>
        <v/>
      </c>
      <c r="P431" s="24">
        <f>IFERROR(INDEX('CAT_TURNOS'!$D$4:$D$22,MATCH($J431,'CAT_TURNOS'!$A$4:$A$22,0)),"")</f>
        <v/>
      </c>
      <c r="Q431" s="24">
        <f>IF(AND(LEFT($G431,1)="T",$H431="no"),"sí","no")</f>
        <v/>
      </c>
    </row>
    <row r="432">
      <c r="A432" s="5" t="inlineStr">
        <is>
          <t>2026-S33</t>
        </is>
      </c>
      <c r="B432" s="5" t="inlineStr">
        <is>
          <t>martes</t>
        </is>
      </c>
      <c r="C432" s="5" t="inlineStr">
        <is>
          <t>Fernando Mendoza</t>
        </is>
      </c>
      <c r="D432" s="24">
        <f>IFERROR(INDEX('TECNICOS'!$D$4:$D$19,MATCH($C432,'TECNICOS'!$B$4:$B$19,0)),"")</f>
        <v/>
      </c>
      <c r="E432" s="24">
        <f>IFERROR(INDEX('TECNICOS'!$C$4:$C$19,MATCH($C432,'TECNICOS'!$B$4:$B$19,0)),"")</f>
        <v/>
      </c>
      <c r="F432" s="24">
        <f>COUNTIFS('TECNICOS'!$F$4:$F$19,"sí",'TECNICOS'!$C$4:$C$19,$E432,'TECNICOS'!$D$4:$D$19,$D432,'TECNICOS'!$H$4:$H$19,"sí")</f>
        <v/>
      </c>
      <c r="G432" s="24">
        <f>IF(OR($C432="",$A432="",$B432="domingo",IFERROR(INDEX('TECNICOS'!$H$4:$H$19,MATCH($C432,'TECNICOS'!$B$4:$B$19,0)),"no")&lt;&gt;"sí"),"",IF(IFERROR(INDEX('TECNICOS'!$F$4:$F$19,MATCH($C432,'TECNICOS'!$B$4:$B$19,0)),"no")&lt;&gt;"sí","B",IF(MOD((IFERROR(INDEX('TECNICOS'!$G$4:$G$19,MATCH($C432,'TECNICOS'!$B$4:$B$19,0)),0)-1)+((DATE(VALUE(LEFT($A432,4)),1,4)-WEEKDAY(DATE(VALUE(LEFT($A432,4)),1,4),2)+1+(VALUE(MID($A432,7,2))-1)*7)-p_semana_referencia)/7,$F432)&lt;($F432-3),"B"&amp;(($F432-3)-MOD((IFERROR(INDEX('TECNICOS'!$G$4:$G$19,MATCH($C432,'TECNICOS'!$B$4:$B$19,0)),0)-1)+((DATE(VALUE(LEFT($A432,4)),1,4)-WEEKDAY(DATE(VALUE(LEFT($A432,4)),1,4),2)+1+(VALUE(MID($A432,7,2))-1)*7)-p_semana_referencia)/7,$F432)),"T"&amp;($F432-MOD((IFERROR(INDEX('TECNICOS'!$G$4:$G$19,MATCH($C432,'TECNICOS'!$B$4:$B$19,0)),0)-1)+((DATE(VALUE(LEFT($A432,4)),1,4)-WEEKDAY(DATE(VALUE(LEFT($A432,4)),1,4),2)+1+(VALUE(MID($A432,7,2))-1)*7)-p_semana_referencia)/7,$F432)))))</f>
        <v/>
      </c>
      <c r="H432" s="24">
        <f>IF(COUNTIFS('PLAN_VACACIONES'!$A$4:$A$103,$C432,'PLAN_VACACIONES'!$B$4:$B$103,"&lt;="&amp;$L432,'PLAN_VACACIONES'!$C$4:$C$103,"&gt;="&amp;$L432)&gt;0,"sí","no")</f>
        <v/>
      </c>
      <c r="I432" s="4" t="n"/>
      <c r="J432" s="24">
        <f>IF($I432&lt;&gt;"",$I432,IF($G432="","",IF($H432="sí","VAC",IF(LEFT($G432,1)="B","B",$G432))))</f>
        <v/>
      </c>
      <c r="K432" s="24">
        <f>IFERROR(INDEX('TECNICOS'!$E$4:$E$19,MATCH($C432,'TECNICOS'!$B$4:$B$19,0)),"")</f>
        <v/>
      </c>
      <c r="L432" s="30">
        <f>IF($A432="","",DATE(VALUE(LEFT($A432,4)),1,4)-WEEKDAY(DATE(VALUE(LEFT($A432,4)),1,4),2)+1+(VALUE(MID($A432,7,2))-1)*7+MATCH($B432,lista_dias,0)-1)</f>
        <v/>
      </c>
      <c r="M432" s="24">
        <f>IF(OR($J432="",ISNUMBER(MATCH($J432,lista_no_disponible,0)),(IFERROR(INDEX('CALENDARIO'!$C$15:$C$214,MATCH(TEXT($L432,"yyyy-mm-dd")&amp;"|"&amp;$D432&amp;"|"&amp;"",'CALENDARIO'!$G$15:$G$214,0)),IFERROR(INDEX('CALENDARIO'!$C$15:$C$214,MATCH(TEXT($L432,"yyyy-mm-dd")&amp;"|"&amp;$D432&amp;"|",'CALENDARIO'!$G$15:$G$214,0)),IFERROR(INDEX('CALENDARIO'!$C$15:$C$214,MATCH(TEXT($L432,"yyyy-mm-dd")&amp;"||",'CALENDARIO'!$G$15:$G$214,0)),INDEX(patronHabil,WEEKDAY($L432,2))))))&lt;&gt;"sí"),0,p_horas_jornada)</f>
        <v/>
      </c>
      <c r="N432" s="24">
        <f>$A432&amp;"|"&amp;$B432&amp;"|"&amp;$C432</f>
        <v/>
      </c>
      <c r="O432" s="24">
        <f>IFERROR(INDEX('CAT_TURNOS'!$C$4:$C$22,MATCH($J432,'CAT_TURNOS'!$A$4:$A$22,0)),"")</f>
        <v/>
      </c>
      <c r="P432" s="24">
        <f>IFERROR(INDEX('CAT_TURNOS'!$D$4:$D$22,MATCH($J432,'CAT_TURNOS'!$A$4:$A$22,0)),"")</f>
        <v/>
      </c>
      <c r="Q432" s="24">
        <f>IF(AND(LEFT($G432,1)="T",$H432="no"),"sí","no")</f>
        <v/>
      </c>
    </row>
    <row r="433">
      <c r="A433" s="5" t="inlineStr">
        <is>
          <t>2026-S33</t>
        </is>
      </c>
      <c r="B433" s="5" t="inlineStr">
        <is>
          <t>miércoles</t>
        </is>
      </c>
      <c r="C433" s="5" t="inlineStr">
        <is>
          <t>Fernando Mendoza</t>
        </is>
      </c>
      <c r="D433" s="24">
        <f>IFERROR(INDEX('TECNICOS'!$D$4:$D$19,MATCH($C433,'TECNICOS'!$B$4:$B$19,0)),"")</f>
        <v/>
      </c>
      <c r="E433" s="24">
        <f>IFERROR(INDEX('TECNICOS'!$C$4:$C$19,MATCH($C433,'TECNICOS'!$B$4:$B$19,0)),"")</f>
        <v/>
      </c>
      <c r="F433" s="24">
        <f>COUNTIFS('TECNICOS'!$F$4:$F$19,"sí",'TECNICOS'!$C$4:$C$19,$E433,'TECNICOS'!$D$4:$D$19,$D433,'TECNICOS'!$H$4:$H$19,"sí")</f>
        <v/>
      </c>
      <c r="G433" s="24">
        <f>IF(OR($C433="",$A433="",$B433="domingo",IFERROR(INDEX('TECNICOS'!$H$4:$H$19,MATCH($C433,'TECNICOS'!$B$4:$B$19,0)),"no")&lt;&gt;"sí"),"",IF(IFERROR(INDEX('TECNICOS'!$F$4:$F$19,MATCH($C433,'TECNICOS'!$B$4:$B$19,0)),"no")&lt;&gt;"sí","B",IF(MOD((IFERROR(INDEX('TECNICOS'!$G$4:$G$19,MATCH($C433,'TECNICOS'!$B$4:$B$19,0)),0)-1)+((DATE(VALUE(LEFT($A433,4)),1,4)-WEEKDAY(DATE(VALUE(LEFT($A433,4)),1,4),2)+1+(VALUE(MID($A433,7,2))-1)*7)-p_semana_referencia)/7,$F433)&lt;($F433-3),"B"&amp;(($F433-3)-MOD((IFERROR(INDEX('TECNICOS'!$G$4:$G$19,MATCH($C433,'TECNICOS'!$B$4:$B$19,0)),0)-1)+((DATE(VALUE(LEFT($A433,4)),1,4)-WEEKDAY(DATE(VALUE(LEFT($A433,4)),1,4),2)+1+(VALUE(MID($A433,7,2))-1)*7)-p_semana_referencia)/7,$F433)),"T"&amp;($F433-MOD((IFERROR(INDEX('TECNICOS'!$G$4:$G$19,MATCH($C433,'TECNICOS'!$B$4:$B$19,0)),0)-1)+((DATE(VALUE(LEFT($A433,4)),1,4)-WEEKDAY(DATE(VALUE(LEFT($A433,4)),1,4),2)+1+(VALUE(MID($A433,7,2))-1)*7)-p_semana_referencia)/7,$F433)))))</f>
        <v/>
      </c>
      <c r="H433" s="24">
        <f>IF(COUNTIFS('PLAN_VACACIONES'!$A$4:$A$103,$C433,'PLAN_VACACIONES'!$B$4:$B$103,"&lt;="&amp;$L433,'PLAN_VACACIONES'!$C$4:$C$103,"&gt;="&amp;$L433)&gt;0,"sí","no")</f>
        <v/>
      </c>
      <c r="I433" s="4" t="n"/>
      <c r="J433" s="24">
        <f>IF($I433&lt;&gt;"",$I433,IF($G433="","",IF($H433="sí","VAC",IF(LEFT($G433,1)="B","B",$G433))))</f>
        <v/>
      </c>
      <c r="K433" s="24">
        <f>IFERROR(INDEX('TECNICOS'!$E$4:$E$19,MATCH($C433,'TECNICOS'!$B$4:$B$19,0)),"")</f>
        <v/>
      </c>
      <c r="L433" s="30">
        <f>IF($A433="","",DATE(VALUE(LEFT($A433,4)),1,4)-WEEKDAY(DATE(VALUE(LEFT($A433,4)),1,4),2)+1+(VALUE(MID($A433,7,2))-1)*7+MATCH($B433,lista_dias,0)-1)</f>
        <v/>
      </c>
      <c r="M433" s="24">
        <f>IF(OR($J433="",ISNUMBER(MATCH($J433,lista_no_disponible,0)),(IFERROR(INDEX('CALENDARIO'!$C$15:$C$214,MATCH(TEXT($L433,"yyyy-mm-dd")&amp;"|"&amp;$D433&amp;"|"&amp;"",'CALENDARIO'!$G$15:$G$214,0)),IFERROR(INDEX('CALENDARIO'!$C$15:$C$214,MATCH(TEXT($L433,"yyyy-mm-dd")&amp;"|"&amp;$D433&amp;"|",'CALENDARIO'!$G$15:$G$214,0)),IFERROR(INDEX('CALENDARIO'!$C$15:$C$214,MATCH(TEXT($L433,"yyyy-mm-dd")&amp;"||",'CALENDARIO'!$G$15:$G$214,0)),INDEX(patronHabil,WEEKDAY($L433,2))))))&lt;&gt;"sí"),0,p_horas_jornada)</f>
        <v/>
      </c>
      <c r="N433" s="24">
        <f>$A433&amp;"|"&amp;$B433&amp;"|"&amp;$C433</f>
        <v/>
      </c>
      <c r="O433" s="24">
        <f>IFERROR(INDEX('CAT_TURNOS'!$C$4:$C$22,MATCH($J433,'CAT_TURNOS'!$A$4:$A$22,0)),"")</f>
        <v/>
      </c>
      <c r="P433" s="24">
        <f>IFERROR(INDEX('CAT_TURNOS'!$D$4:$D$22,MATCH($J433,'CAT_TURNOS'!$A$4:$A$22,0)),"")</f>
        <v/>
      </c>
      <c r="Q433" s="24">
        <f>IF(AND(LEFT($G433,1)="T",$H433="no"),"sí","no")</f>
        <v/>
      </c>
    </row>
    <row r="434">
      <c r="A434" s="5" t="inlineStr">
        <is>
          <t>2026-S33</t>
        </is>
      </c>
      <c r="B434" s="5" t="inlineStr">
        <is>
          <t>jueves</t>
        </is>
      </c>
      <c r="C434" s="5" t="inlineStr">
        <is>
          <t>Fernando Mendoza</t>
        </is>
      </c>
      <c r="D434" s="24">
        <f>IFERROR(INDEX('TECNICOS'!$D$4:$D$19,MATCH($C434,'TECNICOS'!$B$4:$B$19,0)),"")</f>
        <v/>
      </c>
      <c r="E434" s="24">
        <f>IFERROR(INDEX('TECNICOS'!$C$4:$C$19,MATCH($C434,'TECNICOS'!$B$4:$B$19,0)),"")</f>
        <v/>
      </c>
      <c r="F434" s="24">
        <f>COUNTIFS('TECNICOS'!$F$4:$F$19,"sí",'TECNICOS'!$C$4:$C$19,$E434,'TECNICOS'!$D$4:$D$19,$D434,'TECNICOS'!$H$4:$H$19,"sí")</f>
        <v/>
      </c>
      <c r="G434" s="24">
        <f>IF(OR($C434="",$A434="",$B434="domingo",IFERROR(INDEX('TECNICOS'!$H$4:$H$19,MATCH($C434,'TECNICOS'!$B$4:$B$19,0)),"no")&lt;&gt;"sí"),"",IF(IFERROR(INDEX('TECNICOS'!$F$4:$F$19,MATCH($C434,'TECNICOS'!$B$4:$B$19,0)),"no")&lt;&gt;"sí","B",IF(MOD((IFERROR(INDEX('TECNICOS'!$G$4:$G$19,MATCH($C434,'TECNICOS'!$B$4:$B$19,0)),0)-1)+((DATE(VALUE(LEFT($A434,4)),1,4)-WEEKDAY(DATE(VALUE(LEFT($A434,4)),1,4),2)+1+(VALUE(MID($A434,7,2))-1)*7)-p_semana_referencia)/7,$F434)&lt;($F434-3),"B"&amp;(($F434-3)-MOD((IFERROR(INDEX('TECNICOS'!$G$4:$G$19,MATCH($C434,'TECNICOS'!$B$4:$B$19,0)),0)-1)+((DATE(VALUE(LEFT($A434,4)),1,4)-WEEKDAY(DATE(VALUE(LEFT($A434,4)),1,4),2)+1+(VALUE(MID($A434,7,2))-1)*7)-p_semana_referencia)/7,$F434)),"T"&amp;($F434-MOD((IFERROR(INDEX('TECNICOS'!$G$4:$G$19,MATCH($C434,'TECNICOS'!$B$4:$B$19,0)),0)-1)+((DATE(VALUE(LEFT($A434,4)),1,4)-WEEKDAY(DATE(VALUE(LEFT($A434,4)),1,4),2)+1+(VALUE(MID($A434,7,2))-1)*7)-p_semana_referencia)/7,$F434)))))</f>
        <v/>
      </c>
      <c r="H434" s="24">
        <f>IF(COUNTIFS('PLAN_VACACIONES'!$A$4:$A$103,$C434,'PLAN_VACACIONES'!$B$4:$B$103,"&lt;="&amp;$L434,'PLAN_VACACIONES'!$C$4:$C$103,"&gt;="&amp;$L434)&gt;0,"sí","no")</f>
        <v/>
      </c>
      <c r="I434" s="4" t="n"/>
      <c r="J434" s="24">
        <f>IF($I434&lt;&gt;"",$I434,IF($G434="","",IF($H434="sí","VAC",IF(LEFT($G434,1)="B","B",$G434))))</f>
        <v/>
      </c>
      <c r="K434" s="24">
        <f>IFERROR(INDEX('TECNICOS'!$E$4:$E$19,MATCH($C434,'TECNICOS'!$B$4:$B$19,0)),"")</f>
        <v/>
      </c>
      <c r="L434" s="30">
        <f>IF($A434="","",DATE(VALUE(LEFT($A434,4)),1,4)-WEEKDAY(DATE(VALUE(LEFT($A434,4)),1,4),2)+1+(VALUE(MID($A434,7,2))-1)*7+MATCH($B434,lista_dias,0)-1)</f>
        <v/>
      </c>
      <c r="M434" s="24">
        <f>IF(OR($J434="",ISNUMBER(MATCH($J434,lista_no_disponible,0)),(IFERROR(INDEX('CALENDARIO'!$C$15:$C$214,MATCH(TEXT($L434,"yyyy-mm-dd")&amp;"|"&amp;$D434&amp;"|"&amp;"",'CALENDARIO'!$G$15:$G$214,0)),IFERROR(INDEX('CALENDARIO'!$C$15:$C$214,MATCH(TEXT($L434,"yyyy-mm-dd")&amp;"|"&amp;$D434&amp;"|",'CALENDARIO'!$G$15:$G$214,0)),IFERROR(INDEX('CALENDARIO'!$C$15:$C$214,MATCH(TEXT($L434,"yyyy-mm-dd")&amp;"||",'CALENDARIO'!$G$15:$G$214,0)),INDEX(patronHabil,WEEKDAY($L434,2))))))&lt;&gt;"sí"),0,p_horas_jornada)</f>
        <v/>
      </c>
      <c r="N434" s="24">
        <f>$A434&amp;"|"&amp;$B434&amp;"|"&amp;$C434</f>
        <v/>
      </c>
      <c r="O434" s="24">
        <f>IFERROR(INDEX('CAT_TURNOS'!$C$4:$C$22,MATCH($J434,'CAT_TURNOS'!$A$4:$A$22,0)),"")</f>
        <v/>
      </c>
      <c r="P434" s="24">
        <f>IFERROR(INDEX('CAT_TURNOS'!$D$4:$D$22,MATCH($J434,'CAT_TURNOS'!$A$4:$A$22,0)),"")</f>
        <v/>
      </c>
      <c r="Q434" s="24">
        <f>IF(AND(LEFT($G434,1)="T",$H434="no"),"sí","no")</f>
        <v/>
      </c>
    </row>
    <row r="435">
      <c r="A435" s="5" t="inlineStr">
        <is>
          <t>2026-S33</t>
        </is>
      </c>
      <c r="B435" s="5" t="inlineStr">
        <is>
          <t>viernes</t>
        </is>
      </c>
      <c r="C435" s="5" t="inlineStr">
        <is>
          <t>Fernando Mendoza</t>
        </is>
      </c>
      <c r="D435" s="24">
        <f>IFERROR(INDEX('TECNICOS'!$D$4:$D$19,MATCH($C435,'TECNICOS'!$B$4:$B$19,0)),"")</f>
        <v/>
      </c>
      <c r="E435" s="24">
        <f>IFERROR(INDEX('TECNICOS'!$C$4:$C$19,MATCH($C435,'TECNICOS'!$B$4:$B$19,0)),"")</f>
        <v/>
      </c>
      <c r="F435" s="24">
        <f>COUNTIFS('TECNICOS'!$F$4:$F$19,"sí",'TECNICOS'!$C$4:$C$19,$E435,'TECNICOS'!$D$4:$D$19,$D435,'TECNICOS'!$H$4:$H$19,"sí")</f>
        <v/>
      </c>
      <c r="G435" s="24">
        <f>IF(OR($C435="",$A435="",$B435="domingo",IFERROR(INDEX('TECNICOS'!$H$4:$H$19,MATCH($C435,'TECNICOS'!$B$4:$B$19,0)),"no")&lt;&gt;"sí"),"",IF(IFERROR(INDEX('TECNICOS'!$F$4:$F$19,MATCH($C435,'TECNICOS'!$B$4:$B$19,0)),"no")&lt;&gt;"sí","B",IF(MOD((IFERROR(INDEX('TECNICOS'!$G$4:$G$19,MATCH($C435,'TECNICOS'!$B$4:$B$19,0)),0)-1)+((DATE(VALUE(LEFT($A435,4)),1,4)-WEEKDAY(DATE(VALUE(LEFT($A435,4)),1,4),2)+1+(VALUE(MID($A435,7,2))-1)*7)-p_semana_referencia)/7,$F435)&lt;($F435-3),"B"&amp;(($F435-3)-MOD((IFERROR(INDEX('TECNICOS'!$G$4:$G$19,MATCH($C435,'TECNICOS'!$B$4:$B$19,0)),0)-1)+((DATE(VALUE(LEFT($A435,4)),1,4)-WEEKDAY(DATE(VALUE(LEFT($A435,4)),1,4),2)+1+(VALUE(MID($A435,7,2))-1)*7)-p_semana_referencia)/7,$F435)),"T"&amp;($F435-MOD((IFERROR(INDEX('TECNICOS'!$G$4:$G$19,MATCH($C435,'TECNICOS'!$B$4:$B$19,0)),0)-1)+((DATE(VALUE(LEFT($A435,4)),1,4)-WEEKDAY(DATE(VALUE(LEFT($A435,4)),1,4),2)+1+(VALUE(MID($A435,7,2))-1)*7)-p_semana_referencia)/7,$F435)))))</f>
        <v/>
      </c>
      <c r="H435" s="24">
        <f>IF(COUNTIFS('PLAN_VACACIONES'!$A$4:$A$103,$C435,'PLAN_VACACIONES'!$B$4:$B$103,"&lt;="&amp;$L435,'PLAN_VACACIONES'!$C$4:$C$103,"&gt;="&amp;$L435)&gt;0,"sí","no")</f>
        <v/>
      </c>
      <c r="I435" s="4" t="n"/>
      <c r="J435" s="24">
        <f>IF($I435&lt;&gt;"",$I435,IF($G435="","",IF($H435="sí","VAC",IF(LEFT($G435,1)="B","B",$G435))))</f>
        <v/>
      </c>
      <c r="K435" s="24">
        <f>IFERROR(INDEX('TECNICOS'!$E$4:$E$19,MATCH($C435,'TECNICOS'!$B$4:$B$19,0)),"")</f>
        <v/>
      </c>
      <c r="L435" s="30">
        <f>IF($A435="","",DATE(VALUE(LEFT($A435,4)),1,4)-WEEKDAY(DATE(VALUE(LEFT($A435,4)),1,4),2)+1+(VALUE(MID($A435,7,2))-1)*7+MATCH($B435,lista_dias,0)-1)</f>
        <v/>
      </c>
      <c r="M435" s="24">
        <f>IF(OR($J435="",ISNUMBER(MATCH($J435,lista_no_disponible,0)),(IFERROR(INDEX('CALENDARIO'!$C$15:$C$214,MATCH(TEXT($L435,"yyyy-mm-dd")&amp;"|"&amp;$D435&amp;"|"&amp;"",'CALENDARIO'!$G$15:$G$214,0)),IFERROR(INDEX('CALENDARIO'!$C$15:$C$214,MATCH(TEXT($L435,"yyyy-mm-dd")&amp;"|"&amp;$D435&amp;"|",'CALENDARIO'!$G$15:$G$214,0)),IFERROR(INDEX('CALENDARIO'!$C$15:$C$214,MATCH(TEXT($L435,"yyyy-mm-dd")&amp;"||",'CALENDARIO'!$G$15:$G$214,0)),INDEX(patronHabil,WEEKDAY($L435,2))))))&lt;&gt;"sí"),0,p_horas_jornada)</f>
        <v/>
      </c>
      <c r="N435" s="24">
        <f>$A435&amp;"|"&amp;$B435&amp;"|"&amp;$C435</f>
        <v/>
      </c>
      <c r="O435" s="24">
        <f>IFERROR(INDEX('CAT_TURNOS'!$C$4:$C$22,MATCH($J435,'CAT_TURNOS'!$A$4:$A$22,0)),"")</f>
        <v/>
      </c>
      <c r="P435" s="24">
        <f>IFERROR(INDEX('CAT_TURNOS'!$D$4:$D$22,MATCH($J435,'CAT_TURNOS'!$A$4:$A$22,0)),"")</f>
        <v/>
      </c>
      <c r="Q435" s="24">
        <f>IF(AND(LEFT($G435,1)="T",$H435="no"),"sí","no")</f>
        <v/>
      </c>
    </row>
    <row r="436">
      <c r="A436" s="5" t="inlineStr">
        <is>
          <t>2026-S33</t>
        </is>
      </c>
      <c r="B436" s="5" t="inlineStr">
        <is>
          <t>sábado</t>
        </is>
      </c>
      <c r="C436" s="5" t="inlineStr">
        <is>
          <t>Fernando Mendoza</t>
        </is>
      </c>
      <c r="D436" s="24">
        <f>IFERROR(INDEX('TECNICOS'!$D$4:$D$19,MATCH($C436,'TECNICOS'!$B$4:$B$19,0)),"")</f>
        <v/>
      </c>
      <c r="E436" s="24">
        <f>IFERROR(INDEX('TECNICOS'!$C$4:$C$19,MATCH($C436,'TECNICOS'!$B$4:$B$19,0)),"")</f>
        <v/>
      </c>
      <c r="F436" s="24">
        <f>COUNTIFS('TECNICOS'!$F$4:$F$19,"sí",'TECNICOS'!$C$4:$C$19,$E436,'TECNICOS'!$D$4:$D$19,$D436,'TECNICOS'!$H$4:$H$19,"sí")</f>
        <v/>
      </c>
      <c r="G436" s="24">
        <f>IF(OR($C436="",$A436="",$B436="domingo",IFERROR(INDEX('TECNICOS'!$H$4:$H$19,MATCH($C436,'TECNICOS'!$B$4:$B$19,0)),"no")&lt;&gt;"sí"),"",IF(IFERROR(INDEX('TECNICOS'!$F$4:$F$19,MATCH($C436,'TECNICOS'!$B$4:$B$19,0)),"no")&lt;&gt;"sí","B",IF(MOD((IFERROR(INDEX('TECNICOS'!$G$4:$G$19,MATCH($C436,'TECNICOS'!$B$4:$B$19,0)),0)-1)+((DATE(VALUE(LEFT($A436,4)),1,4)-WEEKDAY(DATE(VALUE(LEFT($A436,4)),1,4),2)+1+(VALUE(MID($A436,7,2))-1)*7)-p_semana_referencia)/7,$F436)&lt;($F436-3),"B"&amp;(($F436-3)-MOD((IFERROR(INDEX('TECNICOS'!$G$4:$G$19,MATCH($C436,'TECNICOS'!$B$4:$B$19,0)),0)-1)+((DATE(VALUE(LEFT($A436,4)),1,4)-WEEKDAY(DATE(VALUE(LEFT($A436,4)),1,4),2)+1+(VALUE(MID($A436,7,2))-1)*7)-p_semana_referencia)/7,$F436)),"T"&amp;($F436-MOD((IFERROR(INDEX('TECNICOS'!$G$4:$G$19,MATCH($C436,'TECNICOS'!$B$4:$B$19,0)),0)-1)+((DATE(VALUE(LEFT($A436,4)),1,4)-WEEKDAY(DATE(VALUE(LEFT($A436,4)),1,4),2)+1+(VALUE(MID($A436,7,2))-1)*7)-p_semana_referencia)/7,$F436)))))</f>
        <v/>
      </c>
      <c r="H436" s="24">
        <f>IF(COUNTIFS('PLAN_VACACIONES'!$A$4:$A$103,$C436,'PLAN_VACACIONES'!$B$4:$B$103,"&lt;="&amp;$L436,'PLAN_VACACIONES'!$C$4:$C$103,"&gt;="&amp;$L436)&gt;0,"sí","no")</f>
        <v/>
      </c>
      <c r="I436" s="4" t="n"/>
      <c r="J436" s="24">
        <f>IF($I436&lt;&gt;"",$I436,IF($G436="","",IF($H436="sí","VAC",IF(LEFT($G436,1)="B","B",$G436))))</f>
        <v/>
      </c>
      <c r="K436" s="24">
        <f>IFERROR(INDEX('TECNICOS'!$E$4:$E$19,MATCH($C436,'TECNICOS'!$B$4:$B$19,0)),"")</f>
        <v/>
      </c>
      <c r="L436" s="30">
        <f>IF($A436="","",DATE(VALUE(LEFT($A436,4)),1,4)-WEEKDAY(DATE(VALUE(LEFT($A436,4)),1,4),2)+1+(VALUE(MID($A436,7,2))-1)*7+MATCH($B436,lista_dias,0)-1)</f>
        <v/>
      </c>
      <c r="M436" s="24">
        <f>IF(OR($J436="",ISNUMBER(MATCH($J436,lista_no_disponible,0)),(IFERROR(INDEX('CALENDARIO'!$C$15:$C$214,MATCH(TEXT($L436,"yyyy-mm-dd")&amp;"|"&amp;$D436&amp;"|"&amp;"",'CALENDARIO'!$G$15:$G$214,0)),IFERROR(INDEX('CALENDARIO'!$C$15:$C$214,MATCH(TEXT($L436,"yyyy-mm-dd")&amp;"|"&amp;$D436&amp;"|",'CALENDARIO'!$G$15:$G$214,0)),IFERROR(INDEX('CALENDARIO'!$C$15:$C$214,MATCH(TEXT($L436,"yyyy-mm-dd")&amp;"||",'CALENDARIO'!$G$15:$G$214,0)),INDEX(patronHabil,WEEKDAY($L436,2))))))&lt;&gt;"sí"),0,p_horas_jornada)</f>
        <v/>
      </c>
      <c r="N436" s="24">
        <f>$A436&amp;"|"&amp;$B436&amp;"|"&amp;$C436</f>
        <v/>
      </c>
      <c r="O436" s="24">
        <f>IFERROR(INDEX('CAT_TURNOS'!$C$4:$C$22,MATCH($J436,'CAT_TURNOS'!$A$4:$A$22,0)),"")</f>
        <v/>
      </c>
      <c r="P436" s="24">
        <f>IFERROR(INDEX('CAT_TURNOS'!$D$4:$D$22,MATCH($J436,'CAT_TURNOS'!$A$4:$A$22,0)),"")</f>
        <v/>
      </c>
      <c r="Q436" s="24">
        <f>IF(AND(LEFT($G436,1)="T",$H436="no"),"sí","no")</f>
        <v/>
      </c>
    </row>
    <row r="437">
      <c r="A437" s="5" t="inlineStr">
        <is>
          <t>2026-S33</t>
        </is>
      </c>
      <c r="B437" s="5" t="inlineStr">
        <is>
          <t>domingo</t>
        </is>
      </c>
      <c r="C437" s="5" t="inlineStr">
        <is>
          <t>Fernando Mendoza</t>
        </is>
      </c>
      <c r="D437" s="24">
        <f>IFERROR(INDEX('TECNICOS'!$D$4:$D$19,MATCH($C437,'TECNICOS'!$B$4:$B$19,0)),"")</f>
        <v/>
      </c>
      <c r="E437" s="24">
        <f>IFERROR(INDEX('TECNICOS'!$C$4:$C$19,MATCH($C437,'TECNICOS'!$B$4:$B$19,0)),"")</f>
        <v/>
      </c>
      <c r="F437" s="24">
        <f>COUNTIFS('TECNICOS'!$F$4:$F$19,"sí",'TECNICOS'!$C$4:$C$19,$E437,'TECNICOS'!$D$4:$D$19,$D437,'TECNICOS'!$H$4:$H$19,"sí")</f>
        <v/>
      </c>
      <c r="G437" s="24">
        <f>IF(OR($C437="",$A437="",$B437="domingo",IFERROR(INDEX('TECNICOS'!$H$4:$H$19,MATCH($C437,'TECNICOS'!$B$4:$B$19,0)),"no")&lt;&gt;"sí"),"",IF(IFERROR(INDEX('TECNICOS'!$F$4:$F$19,MATCH($C437,'TECNICOS'!$B$4:$B$19,0)),"no")&lt;&gt;"sí","B",IF(MOD((IFERROR(INDEX('TECNICOS'!$G$4:$G$19,MATCH($C437,'TECNICOS'!$B$4:$B$19,0)),0)-1)+((DATE(VALUE(LEFT($A437,4)),1,4)-WEEKDAY(DATE(VALUE(LEFT($A437,4)),1,4),2)+1+(VALUE(MID($A437,7,2))-1)*7)-p_semana_referencia)/7,$F437)&lt;($F437-3),"B"&amp;(($F437-3)-MOD((IFERROR(INDEX('TECNICOS'!$G$4:$G$19,MATCH($C437,'TECNICOS'!$B$4:$B$19,0)),0)-1)+((DATE(VALUE(LEFT($A437,4)),1,4)-WEEKDAY(DATE(VALUE(LEFT($A437,4)),1,4),2)+1+(VALUE(MID($A437,7,2))-1)*7)-p_semana_referencia)/7,$F437)),"T"&amp;($F437-MOD((IFERROR(INDEX('TECNICOS'!$G$4:$G$19,MATCH($C437,'TECNICOS'!$B$4:$B$19,0)),0)-1)+((DATE(VALUE(LEFT($A437,4)),1,4)-WEEKDAY(DATE(VALUE(LEFT($A437,4)),1,4),2)+1+(VALUE(MID($A437,7,2))-1)*7)-p_semana_referencia)/7,$F437)))))</f>
        <v/>
      </c>
      <c r="H437" s="24">
        <f>IF(COUNTIFS('PLAN_VACACIONES'!$A$4:$A$103,$C437,'PLAN_VACACIONES'!$B$4:$B$103,"&lt;="&amp;$L437,'PLAN_VACACIONES'!$C$4:$C$103,"&gt;="&amp;$L437)&gt;0,"sí","no")</f>
        <v/>
      </c>
      <c r="I437" s="4" t="n"/>
      <c r="J437" s="24">
        <f>IF($I437&lt;&gt;"",$I437,IF($G437="","",IF($H437="sí","VAC",IF(LEFT($G437,1)="B","B",$G437))))</f>
        <v/>
      </c>
      <c r="K437" s="24">
        <f>IFERROR(INDEX('TECNICOS'!$E$4:$E$19,MATCH($C437,'TECNICOS'!$B$4:$B$19,0)),"")</f>
        <v/>
      </c>
      <c r="L437" s="30">
        <f>IF($A437="","",DATE(VALUE(LEFT($A437,4)),1,4)-WEEKDAY(DATE(VALUE(LEFT($A437,4)),1,4),2)+1+(VALUE(MID($A437,7,2))-1)*7+MATCH($B437,lista_dias,0)-1)</f>
        <v/>
      </c>
      <c r="M437" s="24">
        <f>IF(OR($J437="",ISNUMBER(MATCH($J437,lista_no_disponible,0)),(IFERROR(INDEX('CALENDARIO'!$C$15:$C$214,MATCH(TEXT($L437,"yyyy-mm-dd")&amp;"|"&amp;$D437&amp;"|"&amp;"",'CALENDARIO'!$G$15:$G$214,0)),IFERROR(INDEX('CALENDARIO'!$C$15:$C$214,MATCH(TEXT($L437,"yyyy-mm-dd")&amp;"|"&amp;$D437&amp;"|",'CALENDARIO'!$G$15:$G$214,0)),IFERROR(INDEX('CALENDARIO'!$C$15:$C$214,MATCH(TEXT($L437,"yyyy-mm-dd")&amp;"||",'CALENDARIO'!$G$15:$G$214,0)),INDEX(patronHabil,WEEKDAY($L437,2))))))&lt;&gt;"sí"),0,p_horas_jornada)</f>
        <v/>
      </c>
      <c r="N437" s="24">
        <f>$A437&amp;"|"&amp;$B437&amp;"|"&amp;$C437</f>
        <v/>
      </c>
      <c r="O437" s="24">
        <f>IFERROR(INDEX('CAT_TURNOS'!$C$4:$C$22,MATCH($J437,'CAT_TURNOS'!$A$4:$A$22,0)),"")</f>
        <v/>
      </c>
      <c r="P437" s="24">
        <f>IFERROR(INDEX('CAT_TURNOS'!$D$4:$D$22,MATCH($J437,'CAT_TURNOS'!$A$4:$A$22,0)),"")</f>
        <v/>
      </c>
      <c r="Q437" s="24">
        <f>IF(AND(LEFT($G437,1)="T",$H437="no"),"sí","no")</f>
        <v/>
      </c>
    </row>
    <row r="438">
      <c r="A438" s="5" t="inlineStr">
        <is>
          <t>2026-S33</t>
        </is>
      </c>
      <c r="B438" s="5" t="inlineStr">
        <is>
          <t>lunes</t>
        </is>
      </c>
      <c r="C438" s="5" t="inlineStr">
        <is>
          <t>Alberto Vargas</t>
        </is>
      </c>
      <c r="D438" s="24">
        <f>IFERROR(INDEX('TECNICOS'!$D$4:$D$19,MATCH($C438,'TECNICOS'!$B$4:$B$19,0)),"")</f>
        <v/>
      </c>
      <c r="E438" s="24">
        <f>IFERROR(INDEX('TECNICOS'!$C$4:$C$19,MATCH($C438,'TECNICOS'!$B$4:$B$19,0)),"")</f>
        <v/>
      </c>
      <c r="F438" s="24">
        <f>COUNTIFS('TECNICOS'!$F$4:$F$19,"sí",'TECNICOS'!$C$4:$C$19,$E438,'TECNICOS'!$D$4:$D$19,$D438,'TECNICOS'!$H$4:$H$19,"sí")</f>
        <v/>
      </c>
      <c r="G438" s="24">
        <f>IF(OR($C438="",$A438="",$B438="domingo",IFERROR(INDEX('TECNICOS'!$H$4:$H$19,MATCH($C438,'TECNICOS'!$B$4:$B$19,0)),"no")&lt;&gt;"sí"),"",IF(IFERROR(INDEX('TECNICOS'!$F$4:$F$19,MATCH($C438,'TECNICOS'!$B$4:$B$19,0)),"no")&lt;&gt;"sí","B",IF(MOD((IFERROR(INDEX('TECNICOS'!$G$4:$G$19,MATCH($C438,'TECNICOS'!$B$4:$B$19,0)),0)-1)+((DATE(VALUE(LEFT($A438,4)),1,4)-WEEKDAY(DATE(VALUE(LEFT($A438,4)),1,4),2)+1+(VALUE(MID($A438,7,2))-1)*7)-p_semana_referencia)/7,$F438)&lt;($F438-3),"B"&amp;(($F438-3)-MOD((IFERROR(INDEX('TECNICOS'!$G$4:$G$19,MATCH($C438,'TECNICOS'!$B$4:$B$19,0)),0)-1)+((DATE(VALUE(LEFT($A438,4)),1,4)-WEEKDAY(DATE(VALUE(LEFT($A438,4)),1,4),2)+1+(VALUE(MID($A438,7,2))-1)*7)-p_semana_referencia)/7,$F438)),"T"&amp;($F438-MOD((IFERROR(INDEX('TECNICOS'!$G$4:$G$19,MATCH($C438,'TECNICOS'!$B$4:$B$19,0)),0)-1)+((DATE(VALUE(LEFT($A438,4)),1,4)-WEEKDAY(DATE(VALUE(LEFT($A438,4)),1,4),2)+1+(VALUE(MID($A438,7,2))-1)*7)-p_semana_referencia)/7,$F438)))))</f>
        <v/>
      </c>
      <c r="H438" s="24">
        <f>IF(COUNTIFS('PLAN_VACACIONES'!$A$4:$A$103,$C438,'PLAN_VACACIONES'!$B$4:$B$103,"&lt;="&amp;$L438,'PLAN_VACACIONES'!$C$4:$C$103,"&gt;="&amp;$L438)&gt;0,"sí","no")</f>
        <v/>
      </c>
      <c r="I438" s="4" t="n"/>
      <c r="J438" s="24">
        <f>IF($I438&lt;&gt;"",$I438,IF($G438="","",IF($H438="sí","VAC",IF(LEFT($G438,1)="B","B",$G438))))</f>
        <v/>
      </c>
      <c r="K438" s="24">
        <f>IFERROR(INDEX('TECNICOS'!$E$4:$E$19,MATCH($C438,'TECNICOS'!$B$4:$B$19,0)),"")</f>
        <v/>
      </c>
      <c r="L438" s="30">
        <f>IF($A438="","",DATE(VALUE(LEFT($A438,4)),1,4)-WEEKDAY(DATE(VALUE(LEFT($A438,4)),1,4),2)+1+(VALUE(MID($A438,7,2))-1)*7+MATCH($B438,lista_dias,0)-1)</f>
        <v/>
      </c>
      <c r="M438" s="24">
        <f>IF(OR($J438="",ISNUMBER(MATCH($J438,lista_no_disponible,0)),(IFERROR(INDEX('CALENDARIO'!$C$15:$C$214,MATCH(TEXT($L438,"yyyy-mm-dd")&amp;"|"&amp;$D438&amp;"|"&amp;"",'CALENDARIO'!$G$15:$G$214,0)),IFERROR(INDEX('CALENDARIO'!$C$15:$C$214,MATCH(TEXT($L438,"yyyy-mm-dd")&amp;"|"&amp;$D438&amp;"|",'CALENDARIO'!$G$15:$G$214,0)),IFERROR(INDEX('CALENDARIO'!$C$15:$C$214,MATCH(TEXT($L438,"yyyy-mm-dd")&amp;"||",'CALENDARIO'!$G$15:$G$214,0)),INDEX(patronHabil,WEEKDAY($L438,2))))))&lt;&gt;"sí"),0,p_horas_jornada)</f>
        <v/>
      </c>
      <c r="N438" s="24">
        <f>$A438&amp;"|"&amp;$B438&amp;"|"&amp;$C438</f>
        <v/>
      </c>
      <c r="O438" s="24">
        <f>IFERROR(INDEX('CAT_TURNOS'!$C$4:$C$22,MATCH($J438,'CAT_TURNOS'!$A$4:$A$22,0)),"")</f>
        <v/>
      </c>
      <c r="P438" s="24">
        <f>IFERROR(INDEX('CAT_TURNOS'!$D$4:$D$22,MATCH($J438,'CAT_TURNOS'!$A$4:$A$22,0)),"")</f>
        <v/>
      </c>
      <c r="Q438" s="24">
        <f>IF(AND(LEFT($G438,1)="T",$H438="no"),"sí","no")</f>
        <v/>
      </c>
    </row>
    <row r="439">
      <c r="A439" s="5" t="inlineStr">
        <is>
          <t>2026-S33</t>
        </is>
      </c>
      <c r="B439" s="5" t="inlineStr">
        <is>
          <t>martes</t>
        </is>
      </c>
      <c r="C439" s="5" t="inlineStr">
        <is>
          <t>Alberto Vargas</t>
        </is>
      </c>
      <c r="D439" s="24">
        <f>IFERROR(INDEX('TECNICOS'!$D$4:$D$19,MATCH($C439,'TECNICOS'!$B$4:$B$19,0)),"")</f>
        <v/>
      </c>
      <c r="E439" s="24">
        <f>IFERROR(INDEX('TECNICOS'!$C$4:$C$19,MATCH($C439,'TECNICOS'!$B$4:$B$19,0)),"")</f>
        <v/>
      </c>
      <c r="F439" s="24">
        <f>COUNTIFS('TECNICOS'!$F$4:$F$19,"sí",'TECNICOS'!$C$4:$C$19,$E439,'TECNICOS'!$D$4:$D$19,$D439,'TECNICOS'!$H$4:$H$19,"sí")</f>
        <v/>
      </c>
      <c r="G439" s="24">
        <f>IF(OR($C439="",$A439="",$B439="domingo",IFERROR(INDEX('TECNICOS'!$H$4:$H$19,MATCH($C439,'TECNICOS'!$B$4:$B$19,0)),"no")&lt;&gt;"sí"),"",IF(IFERROR(INDEX('TECNICOS'!$F$4:$F$19,MATCH($C439,'TECNICOS'!$B$4:$B$19,0)),"no")&lt;&gt;"sí","B",IF(MOD((IFERROR(INDEX('TECNICOS'!$G$4:$G$19,MATCH($C439,'TECNICOS'!$B$4:$B$19,0)),0)-1)+((DATE(VALUE(LEFT($A439,4)),1,4)-WEEKDAY(DATE(VALUE(LEFT($A439,4)),1,4),2)+1+(VALUE(MID($A439,7,2))-1)*7)-p_semana_referencia)/7,$F439)&lt;($F439-3),"B"&amp;(($F439-3)-MOD((IFERROR(INDEX('TECNICOS'!$G$4:$G$19,MATCH($C439,'TECNICOS'!$B$4:$B$19,0)),0)-1)+((DATE(VALUE(LEFT($A439,4)),1,4)-WEEKDAY(DATE(VALUE(LEFT($A439,4)),1,4),2)+1+(VALUE(MID($A439,7,2))-1)*7)-p_semana_referencia)/7,$F439)),"T"&amp;($F439-MOD((IFERROR(INDEX('TECNICOS'!$G$4:$G$19,MATCH($C439,'TECNICOS'!$B$4:$B$19,0)),0)-1)+((DATE(VALUE(LEFT($A439,4)),1,4)-WEEKDAY(DATE(VALUE(LEFT($A439,4)),1,4),2)+1+(VALUE(MID($A439,7,2))-1)*7)-p_semana_referencia)/7,$F439)))))</f>
        <v/>
      </c>
      <c r="H439" s="24">
        <f>IF(COUNTIFS('PLAN_VACACIONES'!$A$4:$A$103,$C439,'PLAN_VACACIONES'!$B$4:$B$103,"&lt;="&amp;$L439,'PLAN_VACACIONES'!$C$4:$C$103,"&gt;="&amp;$L439)&gt;0,"sí","no")</f>
        <v/>
      </c>
      <c r="I439" s="4" t="n"/>
      <c r="J439" s="24">
        <f>IF($I439&lt;&gt;"",$I439,IF($G439="","",IF($H439="sí","VAC",IF(LEFT($G439,1)="B","B",$G439))))</f>
        <v/>
      </c>
      <c r="K439" s="24">
        <f>IFERROR(INDEX('TECNICOS'!$E$4:$E$19,MATCH($C439,'TECNICOS'!$B$4:$B$19,0)),"")</f>
        <v/>
      </c>
      <c r="L439" s="30">
        <f>IF($A439="","",DATE(VALUE(LEFT($A439,4)),1,4)-WEEKDAY(DATE(VALUE(LEFT($A439,4)),1,4),2)+1+(VALUE(MID($A439,7,2))-1)*7+MATCH($B439,lista_dias,0)-1)</f>
        <v/>
      </c>
      <c r="M439" s="24">
        <f>IF(OR($J439="",ISNUMBER(MATCH($J439,lista_no_disponible,0)),(IFERROR(INDEX('CALENDARIO'!$C$15:$C$214,MATCH(TEXT($L439,"yyyy-mm-dd")&amp;"|"&amp;$D439&amp;"|"&amp;"",'CALENDARIO'!$G$15:$G$214,0)),IFERROR(INDEX('CALENDARIO'!$C$15:$C$214,MATCH(TEXT($L439,"yyyy-mm-dd")&amp;"|"&amp;$D439&amp;"|",'CALENDARIO'!$G$15:$G$214,0)),IFERROR(INDEX('CALENDARIO'!$C$15:$C$214,MATCH(TEXT($L439,"yyyy-mm-dd")&amp;"||",'CALENDARIO'!$G$15:$G$214,0)),INDEX(patronHabil,WEEKDAY($L439,2))))))&lt;&gt;"sí"),0,p_horas_jornada)</f>
        <v/>
      </c>
      <c r="N439" s="24">
        <f>$A439&amp;"|"&amp;$B439&amp;"|"&amp;$C439</f>
        <v/>
      </c>
      <c r="O439" s="24">
        <f>IFERROR(INDEX('CAT_TURNOS'!$C$4:$C$22,MATCH($J439,'CAT_TURNOS'!$A$4:$A$22,0)),"")</f>
        <v/>
      </c>
      <c r="P439" s="24">
        <f>IFERROR(INDEX('CAT_TURNOS'!$D$4:$D$22,MATCH($J439,'CAT_TURNOS'!$A$4:$A$22,0)),"")</f>
        <v/>
      </c>
      <c r="Q439" s="24">
        <f>IF(AND(LEFT($G439,1)="T",$H439="no"),"sí","no")</f>
        <v/>
      </c>
    </row>
    <row r="440">
      <c r="A440" s="5" t="inlineStr">
        <is>
          <t>2026-S33</t>
        </is>
      </c>
      <c r="B440" s="5" t="inlineStr">
        <is>
          <t>miércoles</t>
        </is>
      </c>
      <c r="C440" s="5" t="inlineStr">
        <is>
          <t>Alberto Vargas</t>
        </is>
      </c>
      <c r="D440" s="24">
        <f>IFERROR(INDEX('TECNICOS'!$D$4:$D$19,MATCH($C440,'TECNICOS'!$B$4:$B$19,0)),"")</f>
        <v/>
      </c>
      <c r="E440" s="24">
        <f>IFERROR(INDEX('TECNICOS'!$C$4:$C$19,MATCH($C440,'TECNICOS'!$B$4:$B$19,0)),"")</f>
        <v/>
      </c>
      <c r="F440" s="24">
        <f>COUNTIFS('TECNICOS'!$F$4:$F$19,"sí",'TECNICOS'!$C$4:$C$19,$E440,'TECNICOS'!$D$4:$D$19,$D440,'TECNICOS'!$H$4:$H$19,"sí")</f>
        <v/>
      </c>
      <c r="G440" s="24">
        <f>IF(OR($C440="",$A440="",$B440="domingo",IFERROR(INDEX('TECNICOS'!$H$4:$H$19,MATCH($C440,'TECNICOS'!$B$4:$B$19,0)),"no")&lt;&gt;"sí"),"",IF(IFERROR(INDEX('TECNICOS'!$F$4:$F$19,MATCH($C440,'TECNICOS'!$B$4:$B$19,0)),"no")&lt;&gt;"sí","B",IF(MOD((IFERROR(INDEX('TECNICOS'!$G$4:$G$19,MATCH($C440,'TECNICOS'!$B$4:$B$19,0)),0)-1)+((DATE(VALUE(LEFT($A440,4)),1,4)-WEEKDAY(DATE(VALUE(LEFT($A440,4)),1,4),2)+1+(VALUE(MID($A440,7,2))-1)*7)-p_semana_referencia)/7,$F440)&lt;($F440-3),"B"&amp;(($F440-3)-MOD((IFERROR(INDEX('TECNICOS'!$G$4:$G$19,MATCH($C440,'TECNICOS'!$B$4:$B$19,0)),0)-1)+((DATE(VALUE(LEFT($A440,4)),1,4)-WEEKDAY(DATE(VALUE(LEFT($A440,4)),1,4),2)+1+(VALUE(MID($A440,7,2))-1)*7)-p_semana_referencia)/7,$F440)),"T"&amp;($F440-MOD((IFERROR(INDEX('TECNICOS'!$G$4:$G$19,MATCH($C440,'TECNICOS'!$B$4:$B$19,0)),0)-1)+((DATE(VALUE(LEFT($A440,4)),1,4)-WEEKDAY(DATE(VALUE(LEFT($A440,4)),1,4),2)+1+(VALUE(MID($A440,7,2))-1)*7)-p_semana_referencia)/7,$F440)))))</f>
        <v/>
      </c>
      <c r="H440" s="24">
        <f>IF(COUNTIFS('PLAN_VACACIONES'!$A$4:$A$103,$C440,'PLAN_VACACIONES'!$B$4:$B$103,"&lt;="&amp;$L440,'PLAN_VACACIONES'!$C$4:$C$103,"&gt;="&amp;$L440)&gt;0,"sí","no")</f>
        <v/>
      </c>
      <c r="I440" s="4" t="n"/>
      <c r="J440" s="24">
        <f>IF($I440&lt;&gt;"",$I440,IF($G440="","",IF($H440="sí","VAC",IF(LEFT($G440,1)="B","B",$G440))))</f>
        <v/>
      </c>
      <c r="K440" s="24">
        <f>IFERROR(INDEX('TECNICOS'!$E$4:$E$19,MATCH($C440,'TECNICOS'!$B$4:$B$19,0)),"")</f>
        <v/>
      </c>
      <c r="L440" s="30">
        <f>IF($A440="","",DATE(VALUE(LEFT($A440,4)),1,4)-WEEKDAY(DATE(VALUE(LEFT($A440,4)),1,4),2)+1+(VALUE(MID($A440,7,2))-1)*7+MATCH($B440,lista_dias,0)-1)</f>
        <v/>
      </c>
      <c r="M440" s="24">
        <f>IF(OR($J440="",ISNUMBER(MATCH($J440,lista_no_disponible,0)),(IFERROR(INDEX('CALENDARIO'!$C$15:$C$214,MATCH(TEXT($L440,"yyyy-mm-dd")&amp;"|"&amp;$D440&amp;"|"&amp;"",'CALENDARIO'!$G$15:$G$214,0)),IFERROR(INDEX('CALENDARIO'!$C$15:$C$214,MATCH(TEXT($L440,"yyyy-mm-dd")&amp;"|"&amp;$D440&amp;"|",'CALENDARIO'!$G$15:$G$214,0)),IFERROR(INDEX('CALENDARIO'!$C$15:$C$214,MATCH(TEXT($L440,"yyyy-mm-dd")&amp;"||",'CALENDARIO'!$G$15:$G$214,0)),INDEX(patronHabil,WEEKDAY($L440,2))))))&lt;&gt;"sí"),0,p_horas_jornada)</f>
        <v/>
      </c>
      <c r="N440" s="24">
        <f>$A440&amp;"|"&amp;$B440&amp;"|"&amp;$C440</f>
        <v/>
      </c>
      <c r="O440" s="24">
        <f>IFERROR(INDEX('CAT_TURNOS'!$C$4:$C$22,MATCH($J440,'CAT_TURNOS'!$A$4:$A$22,0)),"")</f>
        <v/>
      </c>
      <c r="P440" s="24">
        <f>IFERROR(INDEX('CAT_TURNOS'!$D$4:$D$22,MATCH($J440,'CAT_TURNOS'!$A$4:$A$22,0)),"")</f>
        <v/>
      </c>
      <c r="Q440" s="24">
        <f>IF(AND(LEFT($G440,1)="T",$H440="no"),"sí","no")</f>
        <v/>
      </c>
    </row>
    <row r="441">
      <c r="A441" s="5" t="inlineStr">
        <is>
          <t>2026-S33</t>
        </is>
      </c>
      <c r="B441" s="5" t="inlineStr">
        <is>
          <t>jueves</t>
        </is>
      </c>
      <c r="C441" s="5" t="inlineStr">
        <is>
          <t>Alberto Vargas</t>
        </is>
      </c>
      <c r="D441" s="24">
        <f>IFERROR(INDEX('TECNICOS'!$D$4:$D$19,MATCH($C441,'TECNICOS'!$B$4:$B$19,0)),"")</f>
        <v/>
      </c>
      <c r="E441" s="24">
        <f>IFERROR(INDEX('TECNICOS'!$C$4:$C$19,MATCH($C441,'TECNICOS'!$B$4:$B$19,0)),"")</f>
        <v/>
      </c>
      <c r="F441" s="24">
        <f>COUNTIFS('TECNICOS'!$F$4:$F$19,"sí",'TECNICOS'!$C$4:$C$19,$E441,'TECNICOS'!$D$4:$D$19,$D441,'TECNICOS'!$H$4:$H$19,"sí")</f>
        <v/>
      </c>
      <c r="G441" s="24">
        <f>IF(OR($C441="",$A441="",$B441="domingo",IFERROR(INDEX('TECNICOS'!$H$4:$H$19,MATCH($C441,'TECNICOS'!$B$4:$B$19,0)),"no")&lt;&gt;"sí"),"",IF(IFERROR(INDEX('TECNICOS'!$F$4:$F$19,MATCH($C441,'TECNICOS'!$B$4:$B$19,0)),"no")&lt;&gt;"sí","B",IF(MOD((IFERROR(INDEX('TECNICOS'!$G$4:$G$19,MATCH($C441,'TECNICOS'!$B$4:$B$19,0)),0)-1)+((DATE(VALUE(LEFT($A441,4)),1,4)-WEEKDAY(DATE(VALUE(LEFT($A441,4)),1,4),2)+1+(VALUE(MID($A441,7,2))-1)*7)-p_semana_referencia)/7,$F441)&lt;($F441-3),"B"&amp;(($F441-3)-MOD((IFERROR(INDEX('TECNICOS'!$G$4:$G$19,MATCH($C441,'TECNICOS'!$B$4:$B$19,0)),0)-1)+((DATE(VALUE(LEFT($A441,4)),1,4)-WEEKDAY(DATE(VALUE(LEFT($A441,4)),1,4),2)+1+(VALUE(MID($A441,7,2))-1)*7)-p_semana_referencia)/7,$F441)),"T"&amp;($F441-MOD((IFERROR(INDEX('TECNICOS'!$G$4:$G$19,MATCH($C441,'TECNICOS'!$B$4:$B$19,0)),0)-1)+((DATE(VALUE(LEFT($A441,4)),1,4)-WEEKDAY(DATE(VALUE(LEFT($A441,4)),1,4),2)+1+(VALUE(MID($A441,7,2))-1)*7)-p_semana_referencia)/7,$F441)))))</f>
        <v/>
      </c>
      <c r="H441" s="24">
        <f>IF(COUNTIFS('PLAN_VACACIONES'!$A$4:$A$103,$C441,'PLAN_VACACIONES'!$B$4:$B$103,"&lt;="&amp;$L441,'PLAN_VACACIONES'!$C$4:$C$103,"&gt;="&amp;$L441)&gt;0,"sí","no")</f>
        <v/>
      </c>
      <c r="I441" s="4" t="n"/>
      <c r="J441" s="24">
        <f>IF($I441&lt;&gt;"",$I441,IF($G441="","",IF($H441="sí","VAC",IF(LEFT($G441,1)="B","B",$G441))))</f>
        <v/>
      </c>
      <c r="K441" s="24">
        <f>IFERROR(INDEX('TECNICOS'!$E$4:$E$19,MATCH($C441,'TECNICOS'!$B$4:$B$19,0)),"")</f>
        <v/>
      </c>
      <c r="L441" s="30">
        <f>IF($A441="","",DATE(VALUE(LEFT($A441,4)),1,4)-WEEKDAY(DATE(VALUE(LEFT($A441,4)),1,4),2)+1+(VALUE(MID($A441,7,2))-1)*7+MATCH($B441,lista_dias,0)-1)</f>
        <v/>
      </c>
      <c r="M441" s="24">
        <f>IF(OR($J441="",ISNUMBER(MATCH($J441,lista_no_disponible,0)),(IFERROR(INDEX('CALENDARIO'!$C$15:$C$214,MATCH(TEXT($L441,"yyyy-mm-dd")&amp;"|"&amp;$D441&amp;"|"&amp;"",'CALENDARIO'!$G$15:$G$214,0)),IFERROR(INDEX('CALENDARIO'!$C$15:$C$214,MATCH(TEXT($L441,"yyyy-mm-dd")&amp;"|"&amp;$D441&amp;"|",'CALENDARIO'!$G$15:$G$214,0)),IFERROR(INDEX('CALENDARIO'!$C$15:$C$214,MATCH(TEXT($L441,"yyyy-mm-dd")&amp;"||",'CALENDARIO'!$G$15:$G$214,0)),INDEX(patronHabil,WEEKDAY($L441,2))))))&lt;&gt;"sí"),0,p_horas_jornada)</f>
        <v/>
      </c>
      <c r="N441" s="24">
        <f>$A441&amp;"|"&amp;$B441&amp;"|"&amp;$C441</f>
        <v/>
      </c>
      <c r="O441" s="24">
        <f>IFERROR(INDEX('CAT_TURNOS'!$C$4:$C$22,MATCH($J441,'CAT_TURNOS'!$A$4:$A$22,0)),"")</f>
        <v/>
      </c>
      <c r="P441" s="24">
        <f>IFERROR(INDEX('CAT_TURNOS'!$D$4:$D$22,MATCH($J441,'CAT_TURNOS'!$A$4:$A$22,0)),"")</f>
        <v/>
      </c>
      <c r="Q441" s="24">
        <f>IF(AND(LEFT($G441,1)="T",$H441="no"),"sí","no")</f>
        <v/>
      </c>
    </row>
    <row r="442">
      <c r="A442" s="5" t="inlineStr">
        <is>
          <t>2026-S33</t>
        </is>
      </c>
      <c r="B442" s="5" t="inlineStr">
        <is>
          <t>viernes</t>
        </is>
      </c>
      <c r="C442" s="5" t="inlineStr">
        <is>
          <t>Alberto Vargas</t>
        </is>
      </c>
      <c r="D442" s="24">
        <f>IFERROR(INDEX('TECNICOS'!$D$4:$D$19,MATCH($C442,'TECNICOS'!$B$4:$B$19,0)),"")</f>
        <v/>
      </c>
      <c r="E442" s="24">
        <f>IFERROR(INDEX('TECNICOS'!$C$4:$C$19,MATCH($C442,'TECNICOS'!$B$4:$B$19,0)),"")</f>
        <v/>
      </c>
      <c r="F442" s="24">
        <f>COUNTIFS('TECNICOS'!$F$4:$F$19,"sí",'TECNICOS'!$C$4:$C$19,$E442,'TECNICOS'!$D$4:$D$19,$D442,'TECNICOS'!$H$4:$H$19,"sí")</f>
        <v/>
      </c>
      <c r="G442" s="24">
        <f>IF(OR($C442="",$A442="",$B442="domingo",IFERROR(INDEX('TECNICOS'!$H$4:$H$19,MATCH($C442,'TECNICOS'!$B$4:$B$19,0)),"no")&lt;&gt;"sí"),"",IF(IFERROR(INDEX('TECNICOS'!$F$4:$F$19,MATCH($C442,'TECNICOS'!$B$4:$B$19,0)),"no")&lt;&gt;"sí","B",IF(MOD((IFERROR(INDEX('TECNICOS'!$G$4:$G$19,MATCH($C442,'TECNICOS'!$B$4:$B$19,0)),0)-1)+((DATE(VALUE(LEFT($A442,4)),1,4)-WEEKDAY(DATE(VALUE(LEFT($A442,4)),1,4),2)+1+(VALUE(MID($A442,7,2))-1)*7)-p_semana_referencia)/7,$F442)&lt;($F442-3),"B"&amp;(($F442-3)-MOD((IFERROR(INDEX('TECNICOS'!$G$4:$G$19,MATCH($C442,'TECNICOS'!$B$4:$B$19,0)),0)-1)+((DATE(VALUE(LEFT($A442,4)),1,4)-WEEKDAY(DATE(VALUE(LEFT($A442,4)),1,4),2)+1+(VALUE(MID($A442,7,2))-1)*7)-p_semana_referencia)/7,$F442)),"T"&amp;($F442-MOD((IFERROR(INDEX('TECNICOS'!$G$4:$G$19,MATCH($C442,'TECNICOS'!$B$4:$B$19,0)),0)-1)+((DATE(VALUE(LEFT($A442,4)),1,4)-WEEKDAY(DATE(VALUE(LEFT($A442,4)),1,4),2)+1+(VALUE(MID($A442,7,2))-1)*7)-p_semana_referencia)/7,$F442)))))</f>
        <v/>
      </c>
      <c r="H442" s="24">
        <f>IF(COUNTIFS('PLAN_VACACIONES'!$A$4:$A$103,$C442,'PLAN_VACACIONES'!$B$4:$B$103,"&lt;="&amp;$L442,'PLAN_VACACIONES'!$C$4:$C$103,"&gt;="&amp;$L442)&gt;0,"sí","no")</f>
        <v/>
      </c>
      <c r="I442" s="4" t="n"/>
      <c r="J442" s="24">
        <f>IF($I442&lt;&gt;"",$I442,IF($G442="","",IF($H442="sí","VAC",IF(LEFT($G442,1)="B","B",$G442))))</f>
        <v/>
      </c>
      <c r="K442" s="24">
        <f>IFERROR(INDEX('TECNICOS'!$E$4:$E$19,MATCH($C442,'TECNICOS'!$B$4:$B$19,0)),"")</f>
        <v/>
      </c>
      <c r="L442" s="30">
        <f>IF($A442="","",DATE(VALUE(LEFT($A442,4)),1,4)-WEEKDAY(DATE(VALUE(LEFT($A442,4)),1,4),2)+1+(VALUE(MID($A442,7,2))-1)*7+MATCH($B442,lista_dias,0)-1)</f>
        <v/>
      </c>
      <c r="M442" s="24">
        <f>IF(OR($J442="",ISNUMBER(MATCH($J442,lista_no_disponible,0)),(IFERROR(INDEX('CALENDARIO'!$C$15:$C$214,MATCH(TEXT($L442,"yyyy-mm-dd")&amp;"|"&amp;$D442&amp;"|"&amp;"",'CALENDARIO'!$G$15:$G$214,0)),IFERROR(INDEX('CALENDARIO'!$C$15:$C$214,MATCH(TEXT($L442,"yyyy-mm-dd")&amp;"|"&amp;$D442&amp;"|",'CALENDARIO'!$G$15:$G$214,0)),IFERROR(INDEX('CALENDARIO'!$C$15:$C$214,MATCH(TEXT($L442,"yyyy-mm-dd")&amp;"||",'CALENDARIO'!$G$15:$G$214,0)),INDEX(patronHabil,WEEKDAY($L442,2))))))&lt;&gt;"sí"),0,p_horas_jornada)</f>
        <v/>
      </c>
      <c r="N442" s="24">
        <f>$A442&amp;"|"&amp;$B442&amp;"|"&amp;$C442</f>
        <v/>
      </c>
      <c r="O442" s="24">
        <f>IFERROR(INDEX('CAT_TURNOS'!$C$4:$C$22,MATCH($J442,'CAT_TURNOS'!$A$4:$A$22,0)),"")</f>
        <v/>
      </c>
      <c r="P442" s="24">
        <f>IFERROR(INDEX('CAT_TURNOS'!$D$4:$D$22,MATCH($J442,'CAT_TURNOS'!$A$4:$A$22,0)),"")</f>
        <v/>
      </c>
      <c r="Q442" s="24">
        <f>IF(AND(LEFT($G442,1)="T",$H442="no"),"sí","no")</f>
        <v/>
      </c>
    </row>
    <row r="443">
      <c r="A443" s="5" t="inlineStr">
        <is>
          <t>2026-S33</t>
        </is>
      </c>
      <c r="B443" s="5" t="inlineStr">
        <is>
          <t>sábado</t>
        </is>
      </c>
      <c r="C443" s="5" t="inlineStr">
        <is>
          <t>Alberto Vargas</t>
        </is>
      </c>
      <c r="D443" s="24">
        <f>IFERROR(INDEX('TECNICOS'!$D$4:$D$19,MATCH($C443,'TECNICOS'!$B$4:$B$19,0)),"")</f>
        <v/>
      </c>
      <c r="E443" s="24">
        <f>IFERROR(INDEX('TECNICOS'!$C$4:$C$19,MATCH($C443,'TECNICOS'!$B$4:$B$19,0)),"")</f>
        <v/>
      </c>
      <c r="F443" s="24">
        <f>COUNTIFS('TECNICOS'!$F$4:$F$19,"sí",'TECNICOS'!$C$4:$C$19,$E443,'TECNICOS'!$D$4:$D$19,$D443,'TECNICOS'!$H$4:$H$19,"sí")</f>
        <v/>
      </c>
      <c r="G443" s="24">
        <f>IF(OR($C443="",$A443="",$B443="domingo",IFERROR(INDEX('TECNICOS'!$H$4:$H$19,MATCH($C443,'TECNICOS'!$B$4:$B$19,0)),"no")&lt;&gt;"sí"),"",IF(IFERROR(INDEX('TECNICOS'!$F$4:$F$19,MATCH($C443,'TECNICOS'!$B$4:$B$19,0)),"no")&lt;&gt;"sí","B",IF(MOD((IFERROR(INDEX('TECNICOS'!$G$4:$G$19,MATCH($C443,'TECNICOS'!$B$4:$B$19,0)),0)-1)+((DATE(VALUE(LEFT($A443,4)),1,4)-WEEKDAY(DATE(VALUE(LEFT($A443,4)),1,4),2)+1+(VALUE(MID($A443,7,2))-1)*7)-p_semana_referencia)/7,$F443)&lt;($F443-3),"B"&amp;(($F443-3)-MOD((IFERROR(INDEX('TECNICOS'!$G$4:$G$19,MATCH($C443,'TECNICOS'!$B$4:$B$19,0)),0)-1)+((DATE(VALUE(LEFT($A443,4)),1,4)-WEEKDAY(DATE(VALUE(LEFT($A443,4)),1,4),2)+1+(VALUE(MID($A443,7,2))-1)*7)-p_semana_referencia)/7,$F443)),"T"&amp;($F443-MOD((IFERROR(INDEX('TECNICOS'!$G$4:$G$19,MATCH($C443,'TECNICOS'!$B$4:$B$19,0)),0)-1)+((DATE(VALUE(LEFT($A443,4)),1,4)-WEEKDAY(DATE(VALUE(LEFT($A443,4)),1,4),2)+1+(VALUE(MID($A443,7,2))-1)*7)-p_semana_referencia)/7,$F443)))))</f>
        <v/>
      </c>
      <c r="H443" s="24">
        <f>IF(COUNTIFS('PLAN_VACACIONES'!$A$4:$A$103,$C443,'PLAN_VACACIONES'!$B$4:$B$103,"&lt;="&amp;$L443,'PLAN_VACACIONES'!$C$4:$C$103,"&gt;="&amp;$L443)&gt;0,"sí","no")</f>
        <v/>
      </c>
      <c r="I443" s="4" t="n"/>
      <c r="J443" s="24">
        <f>IF($I443&lt;&gt;"",$I443,IF($G443="","",IF($H443="sí","VAC",IF(LEFT($G443,1)="B","B",$G443))))</f>
        <v/>
      </c>
      <c r="K443" s="24">
        <f>IFERROR(INDEX('TECNICOS'!$E$4:$E$19,MATCH($C443,'TECNICOS'!$B$4:$B$19,0)),"")</f>
        <v/>
      </c>
      <c r="L443" s="30">
        <f>IF($A443="","",DATE(VALUE(LEFT($A443,4)),1,4)-WEEKDAY(DATE(VALUE(LEFT($A443,4)),1,4),2)+1+(VALUE(MID($A443,7,2))-1)*7+MATCH($B443,lista_dias,0)-1)</f>
        <v/>
      </c>
      <c r="M443" s="24">
        <f>IF(OR($J443="",ISNUMBER(MATCH($J443,lista_no_disponible,0)),(IFERROR(INDEX('CALENDARIO'!$C$15:$C$214,MATCH(TEXT($L443,"yyyy-mm-dd")&amp;"|"&amp;$D443&amp;"|"&amp;"",'CALENDARIO'!$G$15:$G$214,0)),IFERROR(INDEX('CALENDARIO'!$C$15:$C$214,MATCH(TEXT($L443,"yyyy-mm-dd")&amp;"|"&amp;$D443&amp;"|",'CALENDARIO'!$G$15:$G$214,0)),IFERROR(INDEX('CALENDARIO'!$C$15:$C$214,MATCH(TEXT($L443,"yyyy-mm-dd")&amp;"||",'CALENDARIO'!$G$15:$G$214,0)),INDEX(patronHabil,WEEKDAY($L443,2))))))&lt;&gt;"sí"),0,p_horas_jornada)</f>
        <v/>
      </c>
      <c r="N443" s="24">
        <f>$A443&amp;"|"&amp;$B443&amp;"|"&amp;$C443</f>
        <v/>
      </c>
      <c r="O443" s="24">
        <f>IFERROR(INDEX('CAT_TURNOS'!$C$4:$C$22,MATCH($J443,'CAT_TURNOS'!$A$4:$A$22,0)),"")</f>
        <v/>
      </c>
      <c r="P443" s="24">
        <f>IFERROR(INDEX('CAT_TURNOS'!$D$4:$D$22,MATCH($J443,'CAT_TURNOS'!$A$4:$A$22,0)),"")</f>
        <v/>
      </c>
      <c r="Q443" s="24">
        <f>IF(AND(LEFT($G443,1)="T",$H443="no"),"sí","no")</f>
        <v/>
      </c>
    </row>
    <row r="444">
      <c r="A444" s="5" t="inlineStr">
        <is>
          <t>2026-S33</t>
        </is>
      </c>
      <c r="B444" s="5" t="inlineStr">
        <is>
          <t>domingo</t>
        </is>
      </c>
      <c r="C444" s="5" t="inlineStr">
        <is>
          <t>Alberto Vargas</t>
        </is>
      </c>
      <c r="D444" s="24">
        <f>IFERROR(INDEX('TECNICOS'!$D$4:$D$19,MATCH($C444,'TECNICOS'!$B$4:$B$19,0)),"")</f>
        <v/>
      </c>
      <c r="E444" s="24">
        <f>IFERROR(INDEX('TECNICOS'!$C$4:$C$19,MATCH($C444,'TECNICOS'!$B$4:$B$19,0)),"")</f>
        <v/>
      </c>
      <c r="F444" s="24">
        <f>COUNTIFS('TECNICOS'!$F$4:$F$19,"sí",'TECNICOS'!$C$4:$C$19,$E444,'TECNICOS'!$D$4:$D$19,$D444,'TECNICOS'!$H$4:$H$19,"sí")</f>
        <v/>
      </c>
      <c r="G444" s="24">
        <f>IF(OR($C444="",$A444="",$B444="domingo",IFERROR(INDEX('TECNICOS'!$H$4:$H$19,MATCH($C444,'TECNICOS'!$B$4:$B$19,0)),"no")&lt;&gt;"sí"),"",IF(IFERROR(INDEX('TECNICOS'!$F$4:$F$19,MATCH($C444,'TECNICOS'!$B$4:$B$19,0)),"no")&lt;&gt;"sí","B",IF(MOD((IFERROR(INDEX('TECNICOS'!$G$4:$G$19,MATCH($C444,'TECNICOS'!$B$4:$B$19,0)),0)-1)+((DATE(VALUE(LEFT($A444,4)),1,4)-WEEKDAY(DATE(VALUE(LEFT($A444,4)),1,4),2)+1+(VALUE(MID($A444,7,2))-1)*7)-p_semana_referencia)/7,$F444)&lt;($F444-3),"B"&amp;(($F444-3)-MOD((IFERROR(INDEX('TECNICOS'!$G$4:$G$19,MATCH($C444,'TECNICOS'!$B$4:$B$19,0)),0)-1)+((DATE(VALUE(LEFT($A444,4)),1,4)-WEEKDAY(DATE(VALUE(LEFT($A444,4)),1,4),2)+1+(VALUE(MID($A444,7,2))-1)*7)-p_semana_referencia)/7,$F444)),"T"&amp;($F444-MOD((IFERROR(INDEX('TECNICOS'!$G$4:$G$19,MATCH($C444,'TECNICOS'!$B$4:$B$19,0)),0)-1)+((DATE(VALUE(LEFT($A444,4)),1,4)-WEEKDAY(DATE(VALUE(LEFT($A444,4)),1,4),2)+1+(VALUE(MID($A444,7,2))-1)*7)-p_semana_referencia)/7,$F444)))))</f>
        <v/>
      </c>
      <c r="H444" s="24">
        <f>IF(COUNTIFS('PLAN_VACACIONES'!$A$4:$A$103,$C444,'PLAN_VACACIONES'!$B$4:$B$103,"&lt;="&amp;$L444,'PLAN_VACACIONES'!$C$4:$C$103,"&gt;="&amp;$L444)&gt;0,"sí","no")</f>
        <v/>
      </c>
      <c r="I444" s="4" t="n"/>
      <c r="J444" s="24">
        <f>IF($I444&lt;&gt;"",$I444,IF($G444="","",IF($H444="sí","VAC",IF(LEFT($G444,1)="B","B",$G444))))</f>
        <v/>
      </c>
      <c r="K444" s="24">
        <f>IFERROR(INDEX('TECNICOS'!$E$4:$E$19,MATCH($C444,'TECNICOS'!$B$4:$B$19,0)),"")</f>
        <v/>
      </c>
      <c r="L444" s="30">
        <f>IF($A444="","",DATE(VALUE(LEFT($A444,4)),1,4)-WEEKDAY(DATE(VALUE(LEFT($A444,4)),1,4),2)+1+(VALUE(MID($A444,7,2))-1)*7+MATCH($B444,lista_dias,0)-1)</f>
        <v/>
      </c>
      <c r="M444" s="24">
        <f>IF(OR($J444="",ISNUMBER(MATCH($J444,lista_no_disponible,0)),(IFERROR(INDEX('CALENDARIO'!$C$15:$C$214,MATCH(TEXT($L444,"yyyy-mm-dd")&amp;"|"&amp;$D444&amp;"|"&amp;"",'CALENDARIO'!$G$15:$G$214,0)),IFERROR(INDEX('CALENDARIO'!$C$15:$C$214,MATCH(TEXT($L444,"yyyy-mm-dd")&amp;"|"&amp;$D444&amp;"|",'CALENDARIO'!$G$15:$G$214,0)),IFERROR(INDEX('CALENDARIO'!$C$15:$C$214,MATCH(TEXT($L444,"yyyy-mm-dd")&amp;"||",'CALENDARIO'!$G$15:$G$214,0)),INDEX(patronHabil,WEEKDAY($L444,2))))))&lt;&gt;"sí"),0,p_horas_jornada)</f>
        <v/>
      </c>
      <c r="N444" s="24">
        <f>$A444&amp;"|"&amp;$B444&amp;"|"&amp;$C444</f>
        <v/>
      </c>
      <c r="O444" s="24">
        <f>IFERROR(INDEX('CAT_TURNOS'!$C$4:$C$22,MATCH($J444,'CAT_TURNOS'!$A$4:$A$22,0)),"")</f>
        <v/>
      </c>
      <c r="P444" s="24">
        <f>IFERROR(INDEX('CAT_TURNOS'!$D$4:$D$22,MATCH($J444,'CAT_TURNOS'!$A$4:$A$22,0)),"")</f>
        <v/>
      </c>
      <c r="Q444" s="24">
        <f>IF(AND(LEFT($G444,1)="T",$H444="no"),"sí","no")</f>
        <v/>
      </c>
    </row>
    <row r="445">
      <c r="A445" s="5" t="inlineStr">
        <is>
          <t>2026-S33</t>
        </is>
      </c>
      <c r="B445" s="5" t="inlineStr">
        <is>
          <t>lunes</t>
        </is>
      </c>
      <c r="C445" s="5" t="inlineStr">
        <is>
          <t>Daniela Medina</t>
        </is>
      </c>
      <c r="D445" s="24">
        <f>IFERROR(INDEX('TECNICOS'!$D$4:$D$19,MATCH($C445,'TECNICOS'!$B$4:$B$19,0)),"")</f>
        <v/>
      </c>
      <c r="E445" s="24">
        <f>IFERROR(INDEX('TECNICOS'!$C$4:$C$19,MATCH($C445,'TECNICOS'!$B$4:$B$19,0)),"")</f>
        <v/>
      </c>
      <c r="F445" s="24">
        <f>COUNTIFS('TECNICOS'!$F$4:$F$19,"sí",'TECNICOS'!$C$4:$C$19,$E445,'TECNICOS'!$D$4:$D$19,$D445,'TECNICOS'!$H$4:$H$19,"sí")</f>
        <v/>
      </c>
      <c r="G445" s="24">
        <f>IF(OR($C445="",$A445="",$B445="domingo",IFERROR(INDEX('TECNICOS'!$H$4:$H$19,MATCH($C445,'TECNICOS'!$B$4:$B$19,0)),"no")&lt;&gt;"sí"),"",IF(IFERROR(INDEX('TECNICOS'!$F$4:$F$19,MATCH($C445,'TECNICOS'!$B$4:$B$19,0)),"no")&lt;&gt;"sí","B",IF(MOD((IFERROR(INDEX('TECNICOS'!$G$4:$G$19,MATCH($C445,'TECNICOS'!$B$4:$B$19,0)),0)-1)+((DATE(VALUE(LEFT($A445,4)),1,4)-WEEKDAY(DATE(VALUE(LEFT($A445,4)),1,4),2)+1+(VALUE(MID($A445,7,2))-1)*7)-p_semana_referencia)/7,$F445)&lt;($F445-3),"B"&amp;(($F445-3)-MOD((IFERROR(INDEX('TECNICOS'!$G$4:$G$19,MATCH($C445,'TECNICOS'!$B$4:$B$19,0)),0)-1)+((DATE(VALUE(LEFT($A445,4)),1,4)-WEEKDAY(DATE(VALUE(LEFT($A445,4)),1,4),2)+1+(VALUE(MID($A445,7,2))-1)*7)-p_semana_referencia)/7,$F445)),"T"&amp;($F445-MOD((IFERROR(INDEX('TECNICOS'!$G$4:$G$19,MATCH($C445,'TECNICOS'!$B$4:$B$19,0)),0)-1)+((DATE(VALUE(LEFT($A445,4)),1,4)-WEEKDAY(DATE(VALUE(LEFT($A445,4)),1,4),2)+1+(VALUE(MID($A445,7,2))-1)*7)-p_semana_referencia)/7,$F445)))))</f>
        <v/>
      </c>
      <c r="H445" s="24">
        <f>IF(COUNTIFS('PLAN_VACACIONES'!$A$4:$A$103,$C445,'PLAN_VACACIONES'!$B$4:$B$103,"&lt;="&amp;$L445,'PLAN_VACACIONES'!$C$4:$C$103,"&gt;="&amp;$L445)&gt;0,"sí","no")</f>
        <v/>
      </c>
      <c r="I445" s="4" t="n"/>
      <c r="J445" s="24">
        <f>IF($I445&lt;&gt;"",$I445,IF($G445="","",IF($H445="sí","VAC",IF(LEFT($G445,1)="B","B",$G445))))</f>
        <v/>
      </c>
      <c r="K445" s="24">
        <f>IFERROR(INDEX('TECNICOS'!$E$4:$E$19,MATCH($C445,'TECNICOS'!$B$4:$B$19,0)),"")</f>
        <v/>
      </c>
      <c r="L445" s="30">
        <f>IF($A445="","",DATE(VALUE(LEFT($A445,4)),1,4)-WEEKDAY(DATE(VALUE(LEFT($A445,4)),1,4),2)+1+(VALUE(MID($A445,7,2))-1)*7+MATCH($B445,lista_dias,0)-1)</f>
        <v/>
      </c>
      <c r="M445" s="24">
        <f>IF(OR($J445="",ISNUMBER(MATCH($J445,lista_no_disponible,0)),(IFERROR(INDEX('CALENDARIO'!$C$15:$C$214,MATCH(TEXT($L445,"yyyy-mm-dd")&amp;"|"&amp;$D445&amp;"|"&amp;"",'CALENDARIO'!$G$15:$G$214,0)),IFERROR(INDEX('CALENDARIO'!$C$15:$C$214,MATCH(TEXT($L445,"yyyy-mm-dd")&amp;"|"&amp;$D445&amp;"|",'CALENDARIO'!$G$15:$G$214,0)),IFERROR(INDEX('CALENDARIO'!$C$15:$C$214,MATCH(TEXT($L445,"yyyy-mm-dd")&amp;"||",'CALENDARIO'!$G$15:$G$214,0)),INDEX(patronHabil,WEEKDAY($L445,2))))))&lt;&gt;"sí"),0,p_horas_jornada)</f>
        <v/>
      </c>
      <c r="N445" s="24">
        <f>$A445&amp;"|"&amp;$B445&amp;"|"&amp;$C445</f>
        <v/>
      </c>
      <c r="O445" s="24">
        <f>IFERROR(INDEX('CAT_TURNOS'!$C$4:$C$22,MATCH($J445,'CAT_TURNOS'!$A$4:$A$22,0)),"")</f>
        <v/>
      </c>
      <c r="P445" s="24">
        <f>IFERROR(INDEX('CAT_TURNOS'!$D$4:$D$22,MATCH($J445,'CAT_TURNOS'!$A$4:$A$22,0)),"")</f>
        <v/>
      </c>
      <c r="Q445" s="24">
        <f>IF(AND(LEFT($G445,1)="T",$H445="no"),"sí","no")</f>
        <v/>
      </c>
    </row>
    <row r="446">
      <c r="A446" s="5" t="inlineStr">
        <is>
          <t>2026-S33</t>
        </is>
      </c>
      <c r="B446" s="5" t="inlineStr">
        <is>
          <t>martes</t>
        </is>
      </c>
      <c r="C446" s="5" t="inlineStr">
        <is>
          <t>Daniela Medina</t>
        </is>
      </c>
      <c r="D446" s="24">
        <f>IFERROR(INDEX('TECNICOS'!$D$4:$D$19,MATCH($C446,'TECNICOS'!$B$4:$B$19,0)),"")</f>
        <v/>
      </c>
      <c r="E446" s="24">
        <f>IFERROR(INDEX('TECNICOS'!$C$4:$C$19,MATCH($C446,'TECNICOS'!$B$4:$B$19,0)),"")</f>
        <v/>
      </c>
      <c r="F446" s="24">
        <f>COUNTIFS('TECNICOS'!$F$4:$F$19,"sí",'TECNICOS'!$C$4:$C$19,$E446,'TECNICOS'!$D$4:$D$19,$D446,'TECNICOS'!$H$4:$H$19,"sí")</f>
        <v/>
      </c>
      <c r="G446" s="24">
        <f>IF(OR($C446="",$A446="",$B446="domingo",IFERROR(INDEX('TECNICOS'!$H$4:$H$19,MATCH($C446,'TECNICOS'!$B$4:$B$19,0)),"no")&lt;&gt;"sí"),"",IF(IFERROR(INDEX('TECNICOS'!$F$4:$F$19,MATCH($C446,'TECNICOS'!$B$4:$B$19,0)),"no")&lt;&gt;"sí","B",IF(MOD((IFERROR(INDEX('TECNICOS'!$G$4:$G$19,MATCH($C446,'TECNICOS'!$B$4:$B$19,0)),0)-1)+((DATE(VALUE(LEFT($A446,4)),1,4)-WEEKDAY(DATE(VALUE(LEFT($A446,4)),1,4),2)+1+(VALUE(MID($A446,7,2))-1)*7)-p_semana_referencia)/7,$F446)&lt;($F446-3),"B"&amp;(($F446-3)-MOD((IFERROR(INDEX('TECNICOS'!$G$4:$G$19,MATCH($C446,'TECNICOS'!$B$4:$B$19,0)),0)-1)+((DATE(VALUE(LEFT($A446,4)),1,4)-WEEKDAY(DATE(VALUE(LEFT($A446,4)),1,4),2)+1+(VALUE(MID($A446,7,2))-1)*7)-p_semana_referencia)/7,$F446)),"T"&amp;($F446-MOD((IFERROR(INDEX('TECNICOS'!$G$4:$G$19,MATCH($C446,'TECNICOS'!$B$4:$B$19,0)),0)-1)+((DATE(VALUE(LEFT($A446,4)),1,4)-WEEKDAY(DATE(VALUE(LEFT($A446,4)),1,4),2)+1+(VALUE(MID($A446,7,2))-1)*7)-p_semana_referencia)/7,$F446)))))</f>
        <v/>
      </c>
      <c r="H446" s="24">
        <f>IF(COUNTIFS('PLAN_VACACIONES'!$A$4:$A$103,$C446,'PLAN_VACACIONES'!$B$4:$B$103,"&lt;="&amp;$L446,'PLAN_VACACIONES'!$C$4:$C$103,"&gt;="&amp;$L446)&gt;0,"sí","no")</f>
        <v/>
      </c>
      <c r="I446" s="4" t="n"/>
      <c r="J446" s="24">
        <f>IF($I446&lt;&gt;"",$I446,IF($G446="","",IF($H446="sí","VAC",IF(LEFT($G446,1)="B","B",$G446))))</f>
        <v/>
      </c>
      <c r="K446" s="24">
        <f>IFERROR(INDEX('TECNICOS'!$E$4:$E$19,MATCH($C446,'TECNICOS'!$B$4:$B$19,0)),"")</f>
        <v/>
      </c>
      <c r="L446" s="30">
        <f>IF($A446="","",DATE(VALUE(LEFT($A446,4)),1,4)-WEEKDAY(DATE(VALUE(LEFT($A446,4)),1,4),2)+1+(VALUE(MID($A446,7,2))-1)*7+MATCH($B446,lista_dias,0)-1)</f>
        <v/>
      </c>
      <c r="M446" s="24">
        <f>IF(OR($J446="",ISNUMBER(MATCH($J446,lista_no_disponible,0)),(IFERROR(INDEX('CALENDARIO'!$C$15:$C$214,MATCH(TEXT($L446,"yyyy-mm-dd")&amp;"|"&amp;$D446&amp;"|"&amp;"",'CALENDARIO'!$G$15:$G$214,0)),IFERROR(INDEX('CALENDARIO'!$C$15:$C$214,MATCH(TEXT($L446,"yyyy-mm-dd")&amp;"|"&amp;$D446&amp;"|",'CALENDARIO'!$G$15:$G$214,0)),IFERROR(INDEX('CALENDARIO'!$C$15:$C$214,MATCH(TEXT($L446,"yyyy-mm-dd")&amp;"||",'CALENDARIO'!$G$15:$G$214,0)),INDEX(patronHabil,WEEKDAY($L446,2))))))&lt;&gt;"sí"),0,p_horas_jornada)</f>
        <v/>
      </c>
      <c r="N446" s="24">
        <f>$A446&amp;"|"&amp;$B446&amp;"|"&amp;$C446</f>
        <v/>
      </c>
      <c r="O446" s="24">
        <f>IFERROR(INDEX('CAT_TURNOS'!$C$4:$C$22,MATCH($J446,'CAT_TURNOS'!$A$4:$A$22,0)),"")</f>
        <v/>
      </c>
      <c r="P446" s="24">
        <f>IFERROR(INDEX('CAT_TURNOS'!$D$4:$D$22,MATCH($J446,'CAT_TURNOS'!$A$4:$A$22,0)),"")</f>
        <v/>
      </c>
      <c r="Q446" s="24">
        <f>IF(AND(LEFT($G446,1)="T",$H446="no"),"sí","no")</f>
        <v/>
      </c>
    </row>
    <row r="447">
      <c r="A447" s="5" t="inlineStr">
        <is>
          <t>2026-S33</t>
        </is>
      </c>
      <c r="B447" s="5" t="inlineStr">
        <is>
          <t>miércoles</t>
        </is>
      </c>
      <c r="C447" s="5" t="inlineStr">
        <is>
          <t>Daniela Medina</t>
        </is>
      </c>
      <c r="D447" s="24">
        <f>IFERROR(INDEX('TECNICOS'!$D$4:$D$19,MATCH($C447,'TECNICOS'!$B$4:$B$19,0)),"")</f>
        <v/>
      </c>
      <c r="E447" s="24">
        <f>IFERROR(INDEX('TECNICOS'!$C$4:$C$19,MATCH($C447,'TECNICOS'!$B$4:$B$19,0)),"")</f>
        <v/>
      </c>
      <c r="F447" s="24">
        <f>COUNTIFS('TECNICOS'!$F$4:$F$19,"sí",'TECNICOS'!$C$4:$C$19,$E447,'TECNICOS'!$D$4:$D$19,$D447,'TECNICOS'!$H$4:$H$19,"sí")</f>
        <v/>
      </c>
      <c r="G447" s="24">
        <f>IF(OR($C447="",$A447="",$B447="domingo",IFERROR(INDEX('TECNICOS'!$H$4:$H$19,MATCH($C447,'TECNICOS'!$B$4:$B$19,0)),"no")&lt;&gt;"sí"),"",IF(IFERROR(INDEX('TECNICOS'!$F$4:$F$19,MATCH($C447,'TECNICOS'!$B$4:$B$19,0)),"no")&lt;&gt;"sí","B",IF(MOD((IFERROR(INDEX('TECNICOS'!$G$4:$G$19,MATCH($C447,'TECNICOS'!$B$4:$B$19,0)),0)-1)+((DATE(VALUE(LEFT($A447,4)),1,4)-WEEKDAY(DATE(VALUE(LEFT($A447,4)),1,4),2)+1+(VALUE(MID($A447,7,2))-1)*7)-p_semana_referencia)/7,$F447)&lt;($F447-3),"B"&amp;(($F447-3)-MOD((IFERROR(INDEX('TECNICOS'!$G$4:$G$19,MATCH($C447,'TECNICOS'!$B$4:$B$19,0)),0)-1)+((DATE(VALUE(LEFT($A447,4)),1,4)-WEEKDAY(DATE(VALUE(LEFT($A447,4)),1,4),2)+1+(VALUE(MID($A447,7,2))-1)*7)-p_semana_referencia)/7,$F447)),"T"&amp;($F447-MOD((IFERROR(INDEX('TECNICOS'!$G$4:$G$19,MATCH($C447,'TECNICOS'!$B$4:$B$19,0)),0)-1)+((DATE(VALUE(LEFT($A447,4)),1,4)-WEEKDAY(DATE(VALUE(LEFT($A447,4)),1,4),2)+1+(VALUE(MID($A447,7,2))-1)*7)-p_semana_referencia)/7,$F447)))))</f>
        <v/>
      </c>
      <c r="H447" s="24">
        <f>IF(COUNTIFS('PLAN_VACACIONES'!$A$4:$A$103,$C447,'PLAN_VACACIONES'!$B$4:$B$103,"&lt;="&amp;$L447,'PLAN_VACACIONES'!$C$4:$C$103,"&gt;="&amp;$L447)&gt;0,"sí","no")</f>
        <v/>
      </c>
      <c r="I447" s="4" t="n"/>
      <c r="J447" s="24">
        <f>IF($I447&lt;&gt;"",$I447,IF($G447="","",IF($H447="sí","VAC",IF(LEFT($G447,1)="B","B",$G447))))</f>
        <v/>
      </c>
      <c r="K447" s="24">
        <f>IFERROR(INDEX('TECNICOS'!$E$4:$E$19,MATCH($C447,'TECNICOS'!$B$4:$B$19,0)),"")</f>
        <v/>
      </c>
      <c r="L447" s="30">
        <f>IF($A447="","",DATE(VALUE(LEFT($A447,4)),1,4)-WEEKDAY(DATE(VALUE(LEFT($A447,4)),1,4),2)+1+(VALUE(MID($A447,7,2))-1)*7+MATCH($B447,lista_dias,0)-1)</f>
        <v/>
      </c>
      <c r="M447" s="24">
        <f>IF(OR($J447="",ISNUMBER(MATCH($J447,lista_no_disponible,0)),(IFERROR(INDEX('CALENDARIO'!$C$15:$C$214,MATCH(TEXT($L447,"yyyy-mm-dd")&amp;"|"&amp;$D447&amp;"|"&amp;"",'CALENDARIO'!$G$15:$G$214,0)),IFERROR(INDEX('CALENDARIO'!$C$15:$C$214,MATCH(TEXT($L447,"yyyy-mm-dd")&amp;"|"&amp;$D447&amp;"|",'CALENDARIO'!$G$15:$G$214,0)),IFERROR(INDEX('CALENDARIO'!$C$15:$C$214,MATCH(TEXT($L447,"yyyy-mm-dd")&amp;"||",'CALENDARIO'!$G$15:$G$214,0)),INDEX(patronHabil,WEEKDAY($L447,2))))))&lt;&gt;"sí"),0,p_horas_jornada)</f>
        <v/>
      </c>
      <c r="N447" s="24">
        <f>$A447&amp;"|"&amp;$B447&amp;"|"&amp;$C447</f>
        <v/>
      </c>
      <c r="O447" s="24">
        <f>IFERROR(INDEX('CAT_TURNOS'!$C$4:$C$22,MATCH($J447,'CAT_TURNOS'!$A$4:$A$22,0)),"")</f>
        <v/>
      </c>
      <c r="P447" s="24">
        <f>IFERROR(INDEX('CAT_TURNOS'!$D$4:$D$22,MATCH($J447,'CAT_TURNOS'!$A$4:$A$22,0)),"")</f>
        <v/>
      </c>
      <c r="Q447" s="24">
        <f>IF(AND(LEFT($G447,1)="T",$H447="no"),"sí","no")</f>
        <v/>
      </c>
    </row>
    <row r="448">
      <c r="A448" s="5" t="inlineStr">
        <is>
          <t>2026-S33</t>
        </is>
      </c>
      <c r="B448" s="5" t="inlineStr">
        <is>
          <t>jueves</t>
        </is>
      </c>
      <c r="C448" s="5" t="inlineStr">
        <is>
          <t>Daniela Medina</t>
        </is>
      </c>
      <c r="D448" s="24">
        <f>IFERROR(INDEX('TECNICOS'!$D$4:$D$19,MATCH($C448,'TECNICOS'!$B$4:$B$19,0)),"")</f>
        <v/>
      </c>
      <c r="E448" s="24">
        <f>IFERROR(INDEX('TECNICOS'!$C$4:$C$19,MATCH($C448,'TECNICOS'!$B$4:$B$19,0)),"")</f>
        <v/>
      </c>
      <c r="F448" s="24">
        <f>COUNTIFS('TECNICOS'!$F$4:$F$19,"sí",'TECNICOS'!$C$4:$C$19,$E448,'TECNICOS'!$D$4:$D$19,$D448,'TECNICOS'!$H$4:$H$19,"sí")</f>
        <v/>
      </c>
      <c r="G448" s="24">
        <f>IF(OR($C448="",$A448="",$B448="domingo",IFERROR(INDEX('TECNICOS'!$H$4:$H$19,MATCH($C448,'TECNICOS'!$B$4:$B$19,0)),"no")&lt;&gt;"sí"),"",IF(IFERROR(INDEX('TECNICOS'!$F$4:$F$19,MATCH($C448,'TECNICOS'!$B$4:$B$19,0)),"no")&lt;&gt;"sí","B",IF(MOD((IFERROR(INDEX('TECNICOS'!$G$4:$G$19,MATCH($C448,'TECNICOS'!$B$4:$B$19,0)),0)-1)+((DATE(VALUE(LEFT($A448,4)),1,4)-WEEKDAY(DATE(VALUE(LEFT($A448,4)),1,4),2)+1+(VALUE(MID($A448,7,2))-1)*7)-p_semana_referencia)/7,$F448)&lt;($F448-3),"B"&amp;(($F448-3)-MOD((IFERROR(INDEX('TECNICOS'!$G$4:$G$19,MATCH($C448,'TECNICOS'!$B$4:$B$19,0)),0)-1)+((DATE(VALUE(LEFT($A448,4)),1,4)-WEEKDAY(DATE(VALUE(LEFT($A448,4)),1,4),2)+1+(VALUE(MID($A448,7,2))-1)*7)-p_semana_referencia)/7,$F448)),"T"&amp;($F448-MOD((IFERROR(INDEX('TECNICOS'!$G$4:$G$19,MATCH($C448,'TECNICOS'!$B$4:$B$19,0)),0)-1)+((DATE(VALUE(LEFT($A448,4)),1,4)-WEEKDAY(DATE(VALUE(LEFT($A448,4)),1,4),2)+1+(VALUE(MID($A448,7,2))-1)*7)-p_semana_referencia)/7,$F448)))))</f>
        <v/>
      </c>
      <c r="H448" s="24">
        <f>IF(COUNTIFS('PLAN_VACACIONES'!$A$4:$A$103,$C448,'PLAN_VACACIONES'!$B$4:$B$103,"&lt;="&amp;$L448,'PLAN_VACACIONES'!$C$4:$C$103,"&gt;="&amp;$L448)&gt;0,"sí","no")</f>
        <v/>
      </c>
      <c r="I448" s="4" t="n"/>
      <c r="J448" s="24">
        <f>IF($I448&lt;&gt;"",$I448,IF($G448="","",IF($H448="sí","VAC",IF(LEFT($G448,1)="B","B",$G448))))</f>
        <v/>
      </c>
      <c r="K448" s="24">
        <f>IFERROR(INDEX('TECNICOS'!$E$4:$E$19,MATCH($C448,'TECNICOS'!$B$4:$B$19,0)),"")</f>
        <v/>
      </c>
      <c r="L448" s="30">
        <f>IF($A448="","",DATE(VALUE(LEFT($A448,4)),1,4)-WEEKDAY(DATE(VALUE(LEFT($A448,4)),1,4),2)+1+(VALUE(MID($A448,7,2))-1)*7+MATCH($B448,lista_dias,0)-1)</f>
        <v/>
      </c>
      <c r="M448" s="24">
        <f>IF(OR($J448="",ISNUMBER(MATCH($J448,lista_no_disponible,0)),(IFERROR(INDEX('CALENDARIO'!$C$15:$C$214,MATCH(TEXT($L448,"yyyy-mm-dd")&amp;"|"&amp;$D448&amp;"|"&amp;"",'CALENDARIO'!$G$15:$G$214,0)),IFERROR(INDEX('CALENDARIO'!$C$15:$C$214,MATCH(TEXT($L448,"yyyy-mm-dd")&amp;"|"&amp;$D448&amp;"|",'CALENDARIO'!$G$15:$G$214,0)),IFERROR(INDEX('CALENDARIO'!$C$15:$C$214,MATCH(TEXT($L448,"yyyy-mm-dd")&amp;"||",'CALENDARIO'!$G$15:$G$214,0)),INDEX(patronHabil,WEEKDAY($L448,2))))))&lt;&gt;"sí"),0,p_horas_jornada)</f>
        <v/>
      </c>
      <c r="N448" s="24">
        <f>$A448&amp;"|"&amp;$B448&amp;"|"&amp;$C448</f>
        <v/>
      </c>
      <c r="O448" s="24">
        <f>IFERROR(INDEX('CAT_TURNOS'!$C$4:$C$22,MATCH($J448,'CAT_TURNOS'!$A$4:$A$22,0)),"")</f>
        <v/>
      </c>
      <c r="P448" s="24">
        <f>IFERROR(INDEX('CAT_TURNOS'!$D$4:$D$22,MATCH($J448,'CAT_TURNOS'!$A$4:$A$22,0)),"")</f>
        <v/>
      </c>
      <c r="Q448" s="24">
        <f>IF(AND(LEFT($G448,1)="T",$H448="no"),"sí","no")</f>
        <v/>
      </c>
    </row>
    <row r="449">
      <c r="A449" s="5" t="inlineStr">
        <is>
          <t>2026-S33</t>
        </is>
      </c>
      <c r="B449" s="5" t="inlineStr">
        <is>
          <t>viernes</t>
        </is>
      </c>
      <c r="C449" s="5" t="inlineStr">
        <is>
          <t>Daniela Medina</t>
        </is>
      </c>
      <c r="D449" s="24">
        <f>IFERROR(INDEX('TECNICOS'!$D$4:$D$19,MATCH($C449,'TECNICOS'!$B$4:$B$19,0)),"")</f>
        <v/>
      </c>
      <c r="E449" s="24">
        <f>IFERROR(INDEX('TECNICOS'!$C$4:$C$19,MATCH($C449,'TECNICOS'!$B$4:$B$19,0)),"")</f>
        <v/>
      </c>
      <c r="F449" s="24">
        <f>COUNTIFS('TECNICOS'!$F$4:$F$19,"sí",'TECNICOS'!$C$4:$C$19,$E449,'TECNICOS'!$D$4:$D$19,$D449,'TECNICOS'!$H$4:$H$19,"sí")</f>
        <v/>
      </c>
      <c r="G449" s="24">
        <f>IF(OR($C449="",$A449="",$B449="domingo",IFERROR(INDEX('TECNICOS'!$H$4:$H$19,MATCH($C449,'TECNICOS'!$B$4:$B$19,0)),"no")&lt;&gt;"sí"),"",IF(IFERROR(INDEX('TECNICOS'!$F$4:$F$19,MATCH($C449,'TECNICOS'!$B$4:$B$19,0)),"no")&lt;&gt;"sí","B",IF(MOD((IFERROR(INDEX('TECNICOS'!$G$4:$G$19,MATCH($C449,'TECNICOS'!$B$4:$B$19,0)),0)-1)+((DATE(VALUE(LEFT($A449,4)),1,4)-WEEKDAY(DATE(VALUE(LEFT($A449,4)),1,4),2)+1+(VALUE(MID($A449,7,2))-1)*7)-p_semana_referencia)/7,$F449)&lt;($F449-3),"B"&amp;(($F449-3)-MOD((IFERROR(INDEX('TECNICOS'!$G$4:$G$19,MATCH($C449,'TECNICOS'!$B$4:$B$19,0)),0)-1)+((DATE(VALUE(LEFT($A449,4)),1,4)-WEEKDAY(DATE(VALUE(LEFT($A449,4)),1,4),2)+1+(VALUE(MID($A449,7,2))-1)*7)-p_semana_referencia)/7,$F449)),"T"&amp;($F449-MOD((IFERROR(INDEX('TECNICOS'!$G$4:$G$19,MATCH($C449,'TECNICOS'!$B$4:$B$19,0)),0)-1)+((DATE(VALUE(LEFT($A449,4)),1,4)-WEEKDAY(DATE(VALUE(LEFT($A449,4)),1,4),2)+1+(VALUE(MID($A449,7,2))-1)*7)-p_semana_referencia)/7,$F449)))))</f>
        <v/>
      </c>
      <c r="H449" s="24">
        <f>IF(COUNTIFS('PLAN_VACACIONES'!$A$4:$A$103,$C449,'PLAN_VACACIONES'!$B$4:$B$103,"&lt;="&amp;$L449,'PLAN_VACACIONES'!$C$4:$C$103,"&gt;="&amp;$L449)&gt;0,"sí","no")</f>
        <v/>
      </c>
      <c r="I449" s="4" t="n"/>
      <c r="J449" s="24">
        <f>IF($I449&lt;&gt;"",$I449,IF($G449="","",IF($H449="sí","VAC",IF(LEFT($G449,1)="B","B",$G449))))</f>
        <v/>
      </c>
      <c r="K449" s="24">
        <f>IFERROR(INDEX('TECNICOS'!$E$4:$E$19,MATCH($C449,'TECNICOS'!$B$4:$B$19,0)),"")</f>
        <v/>
      </c>
      <c r="L449" s="30">
        <f>IF($A449="","",DATE(VALUE(LEFT($A449,4)),1,4)-WEEKDAY(DATE(VALUE(LEFT($A449,4)),1,4),2)+1+(VALUE(MID($A449,7,2))-1)*7+MATCH($B449,lista_dias,0)-1)</f>
        <v/>
      </c>
      <c r="M449" s="24">
        <f>IF(OR($J449="",ISNUMBER(MATCH($J449,lista_no_disponible,0)),(IFERROR(INDEX('CALENDARIO'!$C$15:$C$214,MATCH(TEXT($L449,"yyyy-mm-dd")&amp;"|"&amp;$D449&amp;"|"&amp;"",'CALENDARIO'!$G$15:$G$214,0)),IFERROR(INDEX('CALENDARIO'!$C$15:$C$214,MATCH(TEXT($L449,"yyyy-mm-dd")&amp;"|"&amp;$D449&amp;"|",'CALENDARIO'!$G$15:$G$214,0)),IFERROR(INDEX('CALENDARIO'!$C$15:$C$214,MATCH(TEXT($L449,"yyyy-mm-dd")&amp;"||",'CALENDARIO'!$G$15:$G$214,0)),INDEX(patronHabil,WEEKDAY($L449,2))))))&lt;&gt;"sí"),0,p_horas_jornada)</f>
        <v/>
      </c>
      <c r="N449" s="24">
        <f>$A449&amp;"|"&amp;$B449&amp;"|"&amp;$C449</f>
        <v/>
      </c>
      <c r="O449" s="24">
        <f>IFERROR(INDEX('CAT_TURNOS'!$C$4:$C$22,MATCH($J449,'CAT_TURNOS'!$A$4:$A$22,0)),"")</f>
        <v/>
      </c>
      <c r="P449" s="24">
        <f>IFERROR(INDEX('CAT_TURNOS'!$D$4:$D$22,MATCH($J449,'CAT_TURNOS'!$A$4:$A$22,0)),"")</f>
        <v/>
      </c>
      <c r="Q449" s="24">
        <f>IF(AND(LEFT($G449,1)="T",$H449="no"),"sí","no")</f>
        <v/>
      </c>
    </row>
    <row r="450">
      <c r="A450" s="5" t="inlineStr">
        <is>
          <t>2026-S33</t>
        </is>
      </c>
      <c r="B450" s="5" t="inlineStr">
        <is>
          <t>sábado</t>
        </is>
      </c>
      <c r="C450" s="5" t="inlineStr">
        <is>
          <t>Daniela Medina</t>
        </is>
      </c>
      <c r="D450" s="24">
        <f>IFERROR(INDEX('TECNICOS'!$D$4:$D$19,MATCH($C450,'TECNICOS'!$B$4:$B$19,0)),"")</f>
        <v/>
      </c>
      <c r="E450" s="24">
        <f>IFERROR(INDEX('TECNICOS'!$C$4:$C$19,MATCH($C450,'TECNICOS'!$B$4:$B$19,0)),"")</f>
        <v/>
      </c>
      <c r="F450" s="24">
        <f>COUNTIFS('TECNICOS'!$F$4:$F$19,"sí",'TECNICOS'!$C$4:$C$19,$E450,'TECNICOS'!$D$4:$D$19,$D450,'TECNICOS'!$H$4:$H$19,"sí")</f>
        <v/>
      </c>
      <c r="G450" s="24">
        <f>IF(OR($C450="",$A450="",$B450="domingo",IFERROR(INDEX('TECNICOS'!$H$4:$H$19,MATCH($C450,'TECNICOS'!$B$4:$B$19,0)),"no")&lt;&gt;"sí"),"",IF(IFERROR(INDEX('TECNICOS'!$F$4:$F$19,MATCH($C450,'TECNICOS'!$B$4:$B$19,0)),"no")&lt;&gt;"sí","B",IF(MOD((IFERROR(INDEX('TECNICOS'!$G$4:$G$19,MATCH($C450,'TECNICOS'!$B$4:$B$19,0)),0)-1)+((DATE(VALUE(LEFT($A450,4)),1,4)-WEEKDAY(DATE(VALUE(LEFT($A450,4)),1,4),2)+1+(VALUE(MID($A450,7,2))-1)*7)-p_semana_referencia)/7,$F450)&lt;($F450-3),"B"&amp;(($F450-3)-MOD((IFERROR(INDEX('TECNICOS'!$G$4:$G$19,MATCH($C450,'TECNICOS'!$B$4:$B$19,0)),0)-1)+((DATE(VALUE(LEFT($A450,4)),1,4)-WEEKDAY(DATE(VALUE(LEFT($A450,4)),1,4),2)+1+(VALUE(MID($A450,7,2))-1)*7)-p_semana_referencia)/7,$F450)),"T"&amp;($F450-MOD((IFERROR(INDEX('TECNICOS'!$G$4:$G$19,MATCH($C450,'TECNICOS'!$B$4:$B$19,0)),0)-1)+((DATE(VALUE(LEFT($A450,4)),1,4)-WEEKDAY(DATE(VALUE(LEFT($A450,4)),1,4),2)+1+(VALUE(MID($A450,7,2))-1)*7)-p_semana_referencia)/7,$F450)))))</f>
        <v/>
      </c>
      <c r="H450" s="24">
        <f>IF(COUNTIFS('PLAN_VACACIONES'!$A$4:$A$103,$C450,'PLAN_VACACIONES'!$B$4:$B$103,"&lt;="&amp;$L450,'PLAN_VACACIONES'!$C$4:$C$103,"&gt;="&amp;$L450)&gt;0,"sí","no")</f>
        <v/>
      </c>
      <c r="I450" s="4" t="n"/>
      <c r="J450" s="24">
        <f>IF($I450&lt;&gt;"",$I450,IF($G450="","",IF($H450="sí","VAC",IF(LEFT($G450,1)="B","B",$G450))))</f>
        <v/>
      </c>
      <c r="K450" s="24">
        <f>IFERROR(INDEX('TECNICOS'!$E$4:$E$19,MATCH($C450,'TECNICOS'!$B$4:$B$19,0)),"")</f>
        <v/>
      </c>
      <c r="L450" s="30">
        <f>IF($A450="","",DATE(VALUE(LEFT($A450,4)),1,4)-WEEKDAY(DATE(VALUE(LEFT($A450,4)),1,4),2)+1+(VALUE(MID($A450,7,2))-1)*7+MATCH($B450,lista_dias,0)-1)</f>
        <v/>
      </c>
      <c r="M450" s="24">
        <f>IF(OR($J450="",ISNUMBER(MATCH($J450,lista_no_disponible,0)),(IFERROR(INDEX('CALENDARIO'!$C$15:$C$214,MATCH(TEXT($L450,"yyyy-mm-dd")&amp;"|"&amp;$D450&amp;"|"&amp;"",'CALENDARIO'!$G$15:$G$214,0)),IFERROR(INDEX('CALENDARIO'!$C$15:$C$214,MATCH(TEXT($L450,"yyyy-mm-dd")&amp;"|"&amp;$D450&amp;"|",'CALENDARIO'!$G$15:$G$214,0)),IFERROR(INDEX('CALENDARIO'!$C$15:$C$214,MATCH(TEXT($L450,"yyyy-mm-dd")&amp;"||",'CALENDARIO'!$G$15:$G$214,0)),INDEX(patronHabil,WEEKDAY($L450,2))))))&lt;&gt;"sí"),0,p_horas_jornada)</f>
        <v/>
      </c>
      <c r="N450" s="24">
        <f>$A450&amp;"|"&amp;$B450&amp;"|"&amp;$C450</f>
        <v/>
      </c>
      <c r="O450" s="24">
        <f>IFERROR(INDEX('CAT_TURNOS'!$C$4:$C$22,MATCH($J450,'CAT_TURNOS'!$A$4:$A$22,0)),"")</f>
        <v/>
      </c>
      <c r="P450" s="24">
        <f>IFERROR(INDEX('CAT_TURNOS'!$D$4:$D$22,MATCH($J450,'CAT_TURNOS'!$A$4:$A$22,0)),"")</f>
        <v/>
      </c>
      <c r="Q450" s="24">
        <f>IF(AND(LEFT($G450,1)="T",$H450="no"),"sí","no")</f>
        <v/>
      </c>
    </row>
    <row r="451">
      <c r="A451" s="5" t="inlineStr">
        <is>
          <t>2026-S33</t>
        </is>
      </c>
      <c r="B451" s="5" t="inlineStr">
        <is>
          <t>domingo</t>
        </is>
      </c>
      <c r="C451" s="5" t="inlineStr">
        <is>
          <t>Daniela Medina</t>
        </is>
      </c>
      <c r="D451" s="24">
        <f>IFERROR(INDEX('TECNICOS'!$D$4:$D$19,MATCH($C451,'TECNICOS'!$B$4:$B$19,0)),"")</f>
        <v/>
      </c>
      <c r="E451" s="24">
        <f>IFERROR(INDEX('TECNICOS'!$C$4:$C$19,MATCH($C451,'TECNICOS'!$B$4:$B$19,0)),"")</f>
        <v/>
      </c>
      <c r="F451" s="24">
        <f>COUNTIFS('TECNICOS'!$F$4:$F$19,"sí",'TECNICOS'!$C$4:$C$19,$E451,'TECNICOS'!$D$4:$D$19,$D451,'TECNICOS'!$H$4:$H$19,"sí")</f>
        <v/>
      </c>
      <c r="G451" s="24">
        <f>IF(OR($C451="",$A451="",$B451="domingo",IFERROR(INDEX('TECNICOS'!$H$4:$H$19,MATCH($C451,'TECNICOS'!$B$4:$B$19,0)),"no")&lt;&gt;"sí"),"",IF(IFERROR(INDEX('TECNICOS'!$F$4:$F$19,MATCH($C451,'TECNICOS'!$B$4:$B$19,0)),"no")&lt;&gt;"sí","B",IF(MOD((IFERROR(INDEX('TECNICOS'!$G$4:$G$19,MATCH($C451,'TECNICOS'!$B$4:$B$19,0)),0)-1)+((DATE(VALUE(LEFT($A451,4)),1,4)-WEEKDAY(DATE(VALUE(LEFT($A451,4)),1,4),2)+1+(VALUE(MID($A451,7,2))-1)*7)-p_semana_referencia)/7,$F451)&lt;($F451-3),"B"&amp;(($F451-3)-MOD((IFERROR(INDEX('TECNICOS'!$G$4:$G$19,MATCH($C451,'TECNICOS'!$B$4:$B$19,0)),0)-1)+((DATE(VALUE(LEFT($A451,4)),1,4)-WEEKDAY(DATE(VALUE(LEFT($A451,4)),1,4),2)+1+(VALUE(MID($A451,7,2))-1)*7)-p_semana_referencia)/7,$F451)),"T"&amp;($F451-MOD((IFERROR(INDEX('TECNICOS'!$G$4:$G$19,MATCH($C451,'TECNICOS'!$B$4:$B$19,0)),0)-1)+((DATE(VALUE(LEFT($A451,4)),1,4)-WEEKDAY(DATE(VALUE(LEFT($A451,4)),1,4),2)+1+(VALUE(MID($A451,7,2))-1)*7)-p_semana_referencia)/7,$F451)))))</f>
        <v/>
      </c>
      <c r="H451" s="24">
        <f>IF(COUNTIFS('PLAN_VACACIONES'!$A$4:$A$103,$C451,'PLAN_VACACIONES'!$B$4:$B$103,"&lt;="&amp;$L451,'PLAN_VACACIONES'!$C$4:$C$103,"&gt;="&amp;$L451)&gt;0,"sí","no")</f>
        <v/>
      </c>
      <c r="I451" s="4" t="n"/>
      <c r="J451" s="24">
        <f>IF($I451&lt;&gt;"",$I451,IF($G451="","",IF($H451="sí","VAC",IF(LEFT($G451,1)="B","B",$G451))))</f>
        <v/>
      </c>
      <c r="K451" s="24">
        <f>IFERROR(INDEX('TECNICOS'!$E$4:$E$19,MATCH($C451,'TECNICOS'!$B$4:$B$19,0)),"")</f>
        <v/>
      </c>
      <c r="L451" s="30">
        <f>IF($A451="","",DATE(VALUE(LEFT($A451,4)),1,4)-WEEKDAY(DATE(VALUE(LEFT($A451,4)),1,4),2)+1+(VALUE(MID($A451,7,2))-1)*7+MATCH($B451,lista_dias,0)-1)</f>
        <v/>
      </c>
      <c r="M451" s="24">
        <f>IF(OR($J451="",ISNUMBER(MATCH($J451,lista_no_disponible,0)),(IFERROR(INDEX('CALENDARIO'!$C$15:$C$214,MATCH(TEXT($L451,"yyyy-mm-dd")&amp;"|"&amp;$D451&amp;"|"&amp;"",'CALENDARIO'!$G$15:$G$214,0)),IFERROR(INDEX('CALENDARIO'!$C$15:$C$214,MATCH(TEXT($L451,"yyyy-mm-dd")&amp;"|"&amp;$D451&amp;"|",'CALENDARIO'!$G$15:$G$214,0)),IFERROR(INDEX('CALENDARIO'!$C$15:$C$214,MATCH(TEXT($L451,"yyyy-mm-dd")&amp;"||",'CALENDARIO'!$G$15:$G$214,0)),INDEX(patronHabil,WEEKDAY($L451,2))))))&lt;&gt;"sí"),0,p_horas_jornada)</f>
        <v/>
      </c>
      <c r="N451" s="24">
        <f>$A451&amp;"|"&amp;$B451&amp;"|"&amp;$C451</f>
        <v/>
      </c>
      <c r="O451" s="24">
        <f>IFERROR(INDEX('CAT_TURNOS'!$C$4:$C$22,MATCH($J451,'CAT_TURNOS'!$A$4:$A$22,0)),"")</f>
        <v/>
      </c>
      <c r="P451" s="24">
        <f>IFERROR(INDEX('CAT_TURNOS'!$D$4:$D$22,MATCH($J451,'CAT_TURNOS'!$A$4:$A$22,0)),"")</f>
        <v/>
      </c>
      <c r="Q451" s="24">
        <f>IF(AND(LEFT($G451,1)="T",$H451="no"),"sí","no")</f>
        <v/>
      </c>
    </row>
  </sheetData>
  <dataValidations count="1">
    <dataValidation sqref="I4:I451" showDropDown="0" showInputMessage="0" showErrorMessage="0" allowBlank="1" type="list">
      <formula1>lista_turnos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6" customWidth="1" min="3" max="3"/>
    <col width="13" customWidth="1" min="4" max="4"/>
    <col width="34" customWidth="1" min="5" max="5"/>
    <col width="20" customWidth="1" min="6" max="6"/>
    <col width="12" customWidth="1" min="7" max="7"/>
  </cols>
  <sheetData>
    <row r="1">
      <c r="A1" s="3" t="inlineStr">
        <is>
          <t>AJUSTES DE DURACIÓN (tblAjustes) — por id_operacion. Se re-aplican solos tras cada re-importación, sin importar el orden de las filas. Ante duplicados gana la primera fila. Azul = editable.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id_operacion</t>
        </is>
      </c>
      <c r="B3" s="14" t="inlineStr">
        <is>
          <t>horas_ajustadas</t>
        </is>
      </c>
      <c r="C3" s="14" t="inlineStr">
        <is>
          <t>motivo</t>
        </is>
      </c>
      <c r="D3" s="14" t="inlineStr">
        <is>
          <t>fecha_ajuste</t>
        </is>
      </c>
      <c r="E3" s="23" t="inlineStr">
        <is>
          <t>descripcion</t>
        </is>
      </c>
      <c r="F3" s="23" t="inlineStr">
        <is>
          <t>estado_ajuste</t>
        </is>
      </c>
      <c r="G3" s="23" t="inlineStr">
        <is>
          <t>desviacion_h</t>
        </is>
      </c>
    </row>
    <row r="4">
      <c r="A4" s="4" t="n"/>
      <c r="B4" s="43" t="n"/>
      <c r="C4" s="4" t="n"/>
      <c r="D4" s="44" t="n"/>
      <c r="E4" s="24">
        <f>IF($A4="","",IFERROR(INDEX('ORDENES'!$D$4:$D$1203,MATCH($A4,'ORDENES'!$AU$4:$AU$1203,0)),"(no encontrada)"))</f>
        <v/>
      </c>
      <c r="F4" s="24">
        <f>IF($A4="","",IF(ISNA(MATCH($A4,'ORDENES'!$AU$4:$AU$1203,0)),"huérfano",IF(COUNTIF($A$4:$A4,$A4)&gt;1,"duplicado (se ignora)","aplicado")))</f>
        <v/>
      </c>
      <c r="G4" s="45">
        <f>IF($F4&lt;&gt;"aplicado","",IF(IFERROR(INDEX('ORDENES'!$K$4:$K$1203,MATCH($A4,'ORDENES'!$AU$4:$AU$1203,0)),"")="","",$B4-IFERROR(INDEX('ORDENES'!$K$4:$K$1203,MATCH($A4,'ORDENES'!$AU$4:$AU$1203,0)),"")))</f>
        <v/>
      </c>
    </row>
    <row r="5">
      <c r="A5" s="4" t="n"/>
      <c r="B5" s="43" t="n"/>
      <c r="C5" s="4" t="n"/>
      <c r="D5" s="44" t="n"/>
      <c r="E5" s="24">
        <f>IF($A5="","",IFERROR(INDEX('ORDENES'!$D$4:$D$1203,MATCH($A5,'ORDENES'!$AU$4:$AU$1203,0)),"(no encontrada)"))</f>
        <v/>
      </c>
      <c r="F5" s="24">
        <f>IF($A5="","",IF(ISNA(MATCH($A5,'ORDENES'!$AU$4:$AU$1203,0)),"huérfano",IF(COUNTIF($A$4:$A5,$A5)&gt;1,"duplicado (se ignora)","aplicado")))</f>
        <v/>
      </c>
      <c r="G5" s="45">
        <f>IF($F5&lt;&gt;"aplicado","",IF(IFERROR(INDEX('ORDENES'!$K$4:$K$1203,MATCH($A5,'ORDENES'!$AU$4:$AU$1203,0)),"")="","",$B5-IFERROR(INDEX('ORDENES'!$K$4:$K$1203,MATCH($A5,'ORDENES'!$AU$4:$AU$1203,0)),"")))</f>
        <v/>
      </c>
    </row>
    <row r="6">
      <c r="A6" s="4" t="n"/>
      <c r="B6" s="43" t="n"/>
      <c r="C6" s="4" t="n"/>
      <c r="D6" s="44" t="n"/>
      <c r="E6" s="24">
        <f>IF($A6="","",IFERROR(INDEX('ORDENES'!$D$4:$D$1203,MATCH($A6,'ORDENES'!$AU$4:$AU$1203,0)),"(no encontrada)"))</f>
        <v/>
      </c>
      <c r="F6" s="24">
        <f>IF($A6="","",IF(ISNA(MATCH($A6,'ORDENES'!$AU$4:$AU$1203,0)),"huérfano",IF(COUNTIF($A$4:$A6,$A6)&gt;1,"duplicado (se ignora)","aplicado")))</f>
        <v/>
      </c>
      <c r="G6" s="45">
        <f>IF($F6&lt;&gt;"aplicado","",IF(IFERROR(INDEX('ORDENES'!$K$4:$K$1203,MATCH($A6,'ORDENES'!$AU$4:$AU$1203,0)),"")="","",$B6-IFERROR(INDEX('ORDENES'!$K$4:$K$1203,MATCH($A6,'ORDENES'!$AU$4:$AU$1203,0)),"")))</f>
        <v/>
      </c>
    </row>
    <row r="7">
      <c r="A7" s="4" t="n"/>
      <c r="B7" s="43" t="n"/>
      <c r="C7" s="4" t="n"/>
      <c r="D7" s="44" t="n"/>
      <c r="E7" s="24">
        <f>IF($A7="","",IFERROR(INDEX('ORDENES'!$D$4:$D$1203,MATCH($A7,'ORDENES'!$AU$4:$AU$1203,0)),"(no encontrada)"))</f>
        <v/>
      </c>
      <c r="F7" s="24">
        <f>IF($A7="","",IF(ISNA(MATCH($A7,'ORDENES'!$AU$4:$AU$1203,0)),"huérfano",IF(COUNTIF($A$4:$A7,$A7)&gt;1,"duplicado (se ignora)","aplicado")))</f>
        <v/>
      </c>
      <c r="G7" s="45">
        <f>IF($F7&lt;&gt;"aplicado","",IF(IFERROR(INDEX('ORDENES'!$K$4:$K$1203,MATCH($A7,'ORDENES'!$AU$4:$AU$1203,0)),"")="","",$B7-IFERROR(INDEX('ORDENES'!$K$4:$K$1203,MATCH($A7,'ORDENES'!$AU$4:$AU$1203,0)),"")))</f>
        <v/>
      </c>
    </row>
    <row r="8">
      <c r="A8" s="4" t="n"/>
      <c r="B8" s="43" t="n"/>
      <c r="C8" s="4" t="n"/>
      <c r="D8" s="44" t="n"/>
      <c r="E8" s="24">
        <f>IF($A8="","",IFERROR(INDEX('ORDENES'!$D$4:$D$1203,MATCH($A8,'ORDENES'!$AU$4:$AU$1203,0)),"(no encontrada)"))</f>
        <v/>
      </c>
      <c r="F8" s="24">
        <f>IF($A8="","",IF(ISNA(MATCH($A8,'ORDENES'!$AU$4:$AU$1203,0)),"huérfano",IF(COUNTIF($A$4:$A8,$A8)&gt;1,"duplicado (se ignora)","aplicado")))</f>
        <v/>
      </c>
      <c r="G8" s="45">
        <f>IF($F8&lt;&gt;"aplicado","",IF(IFERROR(INDEX('ORDENES'!$K$4:$K$1203,MATCH($A8,'ORDENES'!$AU$4:$AU$1203,0)),"")="","",$B8-IFERROR(INDEX('ORDENES'!$K$4:$K$1203,MATCH($A8,'ORDENES'!$AU$4:$AU$1203,0)),"")))</f>
        <v/>
      </c>
    </row>
    <row r="9">
      <c r="A9" s="4" t="n"/>
      <c r="B9" s="43" t="n"/>
      <c r="C9" s="4" t="n"/>
      <c r="D9" s="44" t="n"/>
      <c r="E9" s="24">
        <f>IF($A9="","",IFERROR(INDEX('ORDENES'!$D$4:$D$1203,MATCH($A9,'ORDENES'!$AU$4:$AU$1203,0)),"(no encontrada)"))</f>
        <v/>
      </c>
      <c r="F9" s="24">
        <f>IF($A9="","",IF(ISNA(MATCH($A9,'ORDENES'!$AU$4:$AU$1203,0)),"huérfano",IF(COUNTIF($A$4:$A9,$A9)&gt;1,"duplicado (se ignora)","aplicado")))</f>
        <v/>
      </c>
      <c r="G9" s="45">
        <f>IF($F9&lt;&gt;"aplicado","",IF(IFERROR(INDEX('ORDENES'!$K$4:$K$1203,MATCH($A9,'ORDENES'!$AU$4:$AU$1203,0)),"")="","",$B9-IFERROR(INDEX('ORDENES'!$K$4:$K$1203,MATCH($A9,'ORDENES'!$AU$4:$AU$1203,0)),"")))</f>
        <v/>
      </c>
    </row>
    <row r="10">
      <c r="A10" s="4" t="n"/>
      <c r="B10" s="43" t="n"/>
      <c r="C10" s="4" t="n"/>
      <c r="D10" s="44" t="n"/>
      <c r="E10" s="24">
        <f>IF($A10="","",IFERROR(INDEX('ORDENES'!$D$4:$D$1203,MATCH($A10,'ORDENES'!$AU$4:$AU$1203,0)),"(no encontrada)"))</f>
        <v/>
      </c>
      <c r="F10" s="24">
        <f>IF($A10="","",IF(ISNA(MATCH($A10,'ORDENES'!$AU$4:$AU$1203,0)),"huérfano",IF(COUNTIF($A$4:$A10,$A10)&gt;1,"duplicado (se ignora)","aplicado")))</f>
        <v/>
      </c>
      <c r="G10" s="45">
        <f>IF($F10&lt;&gt;"aplicado","",IF(IFERROR(INDEX('ORDENES'!$K$4:$K$1203,MATCH($A10,'ORDENES'!$AU$4:$AU$1203,0)),"")="","",$B10-IFERROR(INDEX('ORDENES'!$K$4:$K$1203,MATCH($A10,'ORDENES'!$AU$4:$AU$1203,0)),"")))</f>
        <v/>
      </c>
    </row>
    <row r="11">
      <c r="A11" s="4" t="n"/>
      <c r="B11" s="43" t="n"/>
      <c r="C11" s="4" t="n"/>
      <c r="D11" s="44" t="n"/>
      <c r="E11" s="24">
        <f>IF($A11="","",IFERROR(INDEX('ORDENES'!$D$4:$D$1203,MATCH($A11,'ORDENES'!$AU$4:$AU$1203,0)),"(no encontrada)"))</f>
        <v/>
      </c>
      <c r="F11" s="24">
        <f>IF($A11="","",IF(ISNA(MATCH($A11,'ORDENES'!$AU$4:$AU$1203,0)),"huérfano",IF(COUNTIF($A$4:$A11,$A11)&gt;1,"duplicado (se ignora)","aplicado")))</f>
        <v/>
      </c>
      <c r="G11" s="45">
        <f>IF($F11&lt;&gt;"aplicado","",IF(IFERROR(INDEX('ORDENES'!$K$4:$K$1203,MATCH($A11,'ORDENES'!$AU$4:$AU$1203,0)),"")="","",$B11-IFERROR(INDEX('ORDENES'!$K$4:$K$1203,MATCH($A11,'ORDENES'!$AU$4:$AU$1203,0)),"")))</f>
        <v/>
      </c>
    </row>
    <row r="12">
      <c r="A12" s="4" t="n"/>
      <c r="B12" s="43" t="n"/>
      <c r="C12" s="4" t="n"/>
      <c r="D12" s="44" t="n"/>
      <c r="E12" s="24">
        <f>IF($A12="","",IFERROR(INDEX('ORDENES'!$D$4:$D$1203,MATCH($A12,'ORDENES'!$AU$4:$AU$1203,0)),"(no encontrada)"))</f>
        <v/>
      </c>
      <c r="F12" s="24">
        <f>IF($A12="","",IF(ISNA(MATCH($A12,'ORDENES'!$AU$4:$AU$1203,0)),"huérfano",IF(COUNTIF($A$4:$A12,$A12)&gt;1,"duplicado (se ignora)","aplicado")))</f>
        <v/>
      </c>
      <c r="G12" s="45">
        <f>IF($F12&lt;&gt;"aplicado","",IF(IFERROR(INDEX('ORDENES'!$K$4:$K$1203,MATCH($A12,'ORDENES'!$AU$4:$AU$1203,0)),"")="","",$B12-IFERROR(INDEX('ORDENES'!$K$4:$K$1203,MATCH($A12,'ORDENES'!$AU$4:$AU$1203,0)),"")))</f>
        <v/>
      </c>
    </row>
    <row r="13">
      <c r="A13" s="4" t="n"/>
      <c r="B13" s="43" t="n"/>
      <c r="C13" s="4" t="n"/>
      <c r="D13" s="44" t="n"/>
      <c r="E13" s="24">
        <f>IF($A13="","",IFERROR(INDEX('ORDENES'!$D$4:$D$1203,MATCH($A13,'ORDENES'!$AU$4:$AU$1203,0)),"(no encontrada)"))</f>
        <v/>
      </c>
      <c r="F13" s="24">
        <f>IF($A13="","",IF(ISNA(MATCH($A13,'ORDENES'!$AU$4:$AU$1203,0)),"huérfano",IF(COUNTIF($A$4:$A13,$A13)&gt;1,"duplicado (se ignora)","aplicado")))</f>
        <v/>
      </c>
      <c r="G13" s="45">
        <f>IF($F13&lt;&gt;"aplicado","",IF(IFERROR(INDEX('ORDENES'!$K$4:$K$1203,MATCH($A13,'ORDENES'!$AU$4:$AU$1203,0)),"")="","",$B13-IFERROR(INDEX('ORDENES'!$K$4:$K$1203,MATCH($A13,'ORDENES'!$AU$4:$AU$1203,0)),"")))</f>
        <v/>
      </c>
    </row>
    <row r="14">
      <c r="A14" s="4" t="n"/>
      <c r="B14" s="43" t="n"/>
      <c r="C14" s="4" t="n"/>
      <c r="D14" s="44" t="n"/>
      <c r="E14" s="24">
        <f>IF($A14="","",IFERROR(INDEX('ORDENES'!$D$4:$D$1203,MATCH($A14,'ORDENES'!$AU$4:$AU$1203,0)),"(no encontrada)"))</f>
        <v/>
      </c>
      <c r="F14" s="24">
        <f>IF($A14="","",IF(ISNA(MATCH($A14,'ORDENES'!$AU$4:$AU$1203,0)),"huérfano",IF(COUNTIF($A$4:$A14,$A14)&gt;1,"duplicado (se ignora)","aplicado")))</f>
        <v/>
      </c>
      <c r="G14" s="45">
        <f>IF($F14&lt;&gt;"aplicado","",IF(IFERROR(INDEX('ORDENES'!$K$4:$K$1203,MATCH($A14,'ORDENES'!$AU$4:$AU$1203,0)),"")="","",$B14-IFERROR(INDEX('ORDENES'!$K$4:$K$1203,MATCH($A14,'ORDENES'!$AU$4:$AU$1203,0)),"")))</f>
        <v/>
      </c>
    </row>
    <row r="15">
      <c r="A15" s="4" t="n"/>
      <c r="B15" s="43" t="n"/>
      <c r="C15" s="4" t="n"/>
      <c r="D15" s="44" t="n"/>
      <c r="E15" s="24">
        <f>IF($A15="","",IFERROR(INDEX('ORDENES'!$D$4:$D$1203,MATCH($A15,'ORDENES'!$AU$4:$AU$1203,0)),"(no encontrada)"))</f>
        <v/>
      </c>
      <c r="F15" s="24">
        <f>IF($A15="","",IF(ISNA(MATCH($A15,'ORDENES'!$AU$4:$AU$1203,0)),"huérfano",IF(COUNTIF($A$4:$A15,$A15)&gt;1,"duplicado (se ignora)","aplicado")))</f>
        <v/>
      </c>
      <c r="G15" s="45">
        <f>IF($F15&lt;&gt;"aplicado","",IF(IFERROR(INDEX('ORDENES'!$K$4:$K$1203,MATCH($A15,'ORDENES'!$AU$4:$AU$1203,0)),"")="","",$B15-IFERROR(INDEX('ORDENES'!$K$4:$K$1203,MATCH($A15,'ORDENES'!$AU$4:$AU$1203,0)),"")))</f>
        <v/>
      </c>
    </row>
    <row r="16">
      <c r="A16" s="4" t="n"/>
      <c r="B16" s="43" t="n"/>
      <c r="C16" s="4" t="n"/>
      <c r="D16" s="44" t="n"/>
      <c r="E16" s="24">
        <f>IF($A16="","",IFERROR(INDEX('ORDENES'!$D$4:$D$1203,MATCH($A16,'ORDENES'!$AU$4:$AU$1203,0)),"(no encontrada)"))</f>
        <v/>
      </c>
      <c r="F16" s="24">
        <f>IF($A16="","",IF(ISNA(MATCH($A16,'ORDENES'!$AU$4:$AU$1203,0)),"huérfano",IF(COUNTIF($A$4:$A16,$A16)&gt;1,"duplicado (se ignora)","aplicado")))</f>
        <v/>
      </c>
      <c r="G16" s="45">
        <f>IF($F16&lt;&gt;"aplicado","",IF(IFERROR(INDEX('ORDENES'!$K$4:$K$1203,MATCH($A16,'ORDENES'!$AU$4:$AU$1203,0)),"")="","",$B16-IFERROR(INDEX('ORDENES'!$K$4:$K$1203,MATCH($A16,'ORDENES'!$AU$4:$AU$1203,0)),"")))</f>
        <v/>
      </c>
    </row>
    <row r="17">
      <c r="A17" s="4" t="n"/>
      <c r="B17" s="43" t="n"/>
      <c r="C17" s="4" t="n"/>
      <c r="D17" s="44" t="n"/>
      <c r="E17" s="24">
        <f>IF($A17="","",IFERROR(INDEX('ORDENES'!$D$4:$D$1203,MATCH($A17,'ORDENES'!$AU$4:$AU$1203,0)),"(no encontrada)"))</f>
        <v/>
      </c>
      <c r="F17" s="24">
        <f>IF($A17="","",IF(ISNA(MATCH($A17,'ORDENES'!$AU$4:$AU$1203,0)),"huérfano",IF(COUNTIF($A$4:$A17,$A17)&gt;1,"duplicado (se ignora)","aplicado")))</f>
        <v/>
      </c>
      <c r="G17" s="45">
        <f>IF($F17&lt;&gt;"aplicado","",IF(IFERROR(INDEX('ORDENES'!$K$4:$K$1203,MATCH($A17,'ORDENES'!$AU$4:$AU$1203,0)),"")="","",$B17-IFERROR(INDEX('ORDENES'!$K$4:$K$1203,MATCH($A17,'ORDENES'!$AU$4:$AU$1203,0)),"")))</f>
        <v/>
      </c>
    </row>
    <row r="18">
      <c r="A18" s="4" t="n"/>
      <c r="B18" s="43" t="n"/>
      <c r="C18" s="4" t="n"/>
      <c r="D18" s="44" t="n"/>
      <c r="E18" s="24">
        <f>IF($A18="","",IFERROR(INDEX('ORDENES'!$D$4:$D$1203,MATCH($A18,'ORDENES'!$AU$4:$AU$1203,0)),"(no encontrada)"))</f>
        <v/>
      </c>
      <c r="F18" s="24">
        <f>IF($A18="","",IF(ISNA(MATCH($A18,'ORDENES'!$AU$4:$AU$1203,0)),"huérfano",IF(COUNTIF($A$4:$A18,$A18)&gt;1,"duplicado (se ignora)","aplicado")))</f>
        <v/>
      </c>
      <c r="G18" s="45">
        <f>IF($F18&lt;&gt;"aplicado","",IF(IFERROR(INDEX('ORDENES'!$K$4:$K$1203,MATCH($A18,'ORDENES'!$AU$4:$AU$1203,0)),"")="","",$B18-IFERROR(INDEX('ORDENES'!$K$4:$K$1203,MATCH($A18,'ORDENES'!$AU$4:$AU$1203,0)),"")))</f>
        <v/>
      </c>
    </row>
    <row r="19">
      <c r="A19" s="4" t="n"/>
      <c r="B19" s="43" t="n"/>
      <c r="C19" s="4" t="n"/>
      <c r="D19" s="44" t="n"/>
      <c r="E19" s="24">
        <f>IF($A19="","",IFERROR(INDEX('ORDENES'!$D$4:$D$1203,MATCH($A19,'ORDENES'!$AU$4:$AU$1203,0)),"(no encontrada)"))</f>
        <v/>
      </c>
      <c r="F19" s="24">
        <f>IF($A19="","",IF(ISNA(MATCH($A19,'ORDENES'!$AU$4:$AU$1203,0)),"huérfano",IF(COUNTIF($A$4:$A19,$A19)&gt;1,"duplicado (se ignora)","aplicado")))</f>
        <v/>
      </c>
      <c r="G19" s="45">
        <f>IF($F19&lt;&gt;"aplicado","",IF(IFERROR(INDEX('ORDENES'!$K$4:$K$1203,MATCH($A19,'ORDENES'!$AU$4:$AU$1203,0)),"")="","",$B19-IFERROR(INDEX('ORDENES'!$K$4:$K$1203,MATCH($A19,'ORDENES'!$AU$4:$AU$1203,0)),"")))</f>
        <v/>
      </c>
    </row>
    <row r="20">
      <c r="A20" s="4" t="n"/>
      <c r="B20" s="43" t="n"/>
      <c r="C20" s="4" t="n"/>
      <c r="D20" s="44" t="n"/>
      <c r="E20" s="24">
        <f>IF($A20="","",IFERROR(INDEX('ORDENES'!$D$4:$D$1203,MATCH($A20,'ORDENES'!$AU$4:$AU$1203,0)),"(no encontrada)"))</f>
        <v/>
      </c>
      <c r="F20" s="24">
        <f>IF($A20="","",IF(ISNA(MATCH($A20,'ORDENES'!$AU$4:$AU$1203,0)),"huérfano",IF(COUNTIF($A$4:$A20,$A20)&gt;1,"duplicado (se ignora)","aplicado")))</f>
        <v/>
      </c>
      <c r="G20" s="45">
        <f>IF($F20&lt;&gt;"aplicado","",IF(IFERROR(INDEX('ORDENES'!$K$4:$K$1203,MATCH($A20,'ORDENES'!$AU$4:$AU$1203,0)),"")="","",$B20-IFERROR(INDEX('ORDENES'!$K$4:$K$1203,MATCH($A20,'ORDENES'!$AU$4:$AU$1203,0)),"")))</f>
        <v/>
      </c>
    </row>
    <row r="21">
      <c r="A21" s="4" t="n"/>
      <c r="B21" s="43" t="n"/>
      <c r="C21" s="4" t="n"/>
      <c r="D21" s="44" t="n"/>
      <c r="E21" s="24">
        <f>IF($A21="","",IFERROR(INDEX('ORDENES'!$D$4:$D$1203,MATCH($A21,'ORDENES'!$AU$4:$AU$1203,0)),"(no encontrada)"))</f>
        <v/>
      </c>
      <c r="F21" s="24">
        <f>IF($A21="","",IF(ISNA(MATCH($A21,'ORDENES'!$AU$4:$AU$1203,0)),"huérfano",IF(COUNTIF($A$4:$A21,$A21)&gt;1,"duplicado (se ignora)","aplicado")))</f>
        <v/>
      </c>
      <c r="G21" s="45">
        <f>IF($F21&lt;&gt;"aplicado","",IF(IFERROR(INDEX('ORDENES'!$K$4:$K$1203,MATCH($A21,'ORDENES'!$AU$4:$AU$1203,0)),"")="","",$B21-IFERROR(INDEX('ORDENES'!$K$4:$K$1203,MATCH($A21,'ORDENES'!$AU$4:$AU$1203,0)),"")))</f>
        <v/>
      </c>
    </row>
    <row r="22">
      <c r="A22" s="4" t="n"/>
      <c r="B22" s="43" t="n"/>
      <c r="C22" s="4" t="n"/>
      <c r="D22" s="44" t="n"/>
      <c r="E22" s="24">
        <f>IF($A22="","",IFERROR(INDEX('ORDENES'!$D$4:$D$1203,MATCH($A22,'ORDENES'!$AU$4:$AU$1203,0)),"(no encontrada)"))</f>
        <v/>
      </c>
      <c r="F22" s="24">
        <f>IF($A22="","",IF(ISNA(MATCH($A22,'ORDENES'!$AU$4:$AU$1203,0)),"huérfano",IF(COUNTIF($A$4:$A22,$A22)&gt;1,"duplicado (se ignora)","aplicado")))</f>
        <v/>
      </c>
      <c r="G22" s="45">
        <f>IF($F22&lt;&gt;"aplicado","",IF(IFERROR(INDEX('ORDENES'!$K$4:$K$1203,MATCH($A22,'ORDENES'!$AU$4:$AU$1203,0)),"")="","",$B22-IFERROR(INDEX('ORDENES'!$K$4:$K$1203,MATCH($A22,'ORDENES'!$AU$4:$AU$1203,0)),"")))</f>
        <v/>
      </c>
    </row>
    <row r="23">
      <c r="A23" s="4" t="n"/>
      <c r="B23" s="43" t="n"/>
      <c r="C23" s="4" t="n"/>
      <c r="D23" s="44" t="n"/>
      <c r="E23" s="24">
        <f>IF($A23="","",IFERROR(INDEX('ORDENES'!$D$4:$D$1203,MATCH($A23,'ORDENES'!$AU$4:$AU$1203,0)),"(no encontrada)"))</f>
        <v/>
      </c>
      <c r="F23" s="24">
        <f>IF($A23="","",IF(ISNA(MATCH($A23,'ORDENES'!$AU$4:$AU$1203,0)),"huérfano",IF(COUNTIF($A$4:$A23,$A23)&gt;1,"duplicado (se ignora)","aplicado")))</f>
        <v/>
      </c>
      <c r="G23" s="45">
        <f>IF($F23&lt;&gt;"aplicado","",IF(IFERROR(INDEX('ORDENES'!$K$4:$K$1203,MATCH($A23,'ORDENES'!$AU$4:$AU$1203,0)),"")="","",$B23-IFERROR(INDEX('ORDENES'!$K$4:$K$1203,MATCH($A23,'ORDENES'!$AU$4:$AU$1203,0)),"")))</f>
        <v/>
      </c>
    </row>
    <row r="24">
      <c r="A24" s="4" t="n"/>
      <c r="B24" s="43" t="n"/>
      <c r="C24" s="4" t="n"/>
      <c r="D24" s="44" t="n"/>
      <c r="E24" s="24">
        <f>IF($A24="","",IFERROR(INDEX('ORDENES'!$D$4:$D$1203,MATCH($A24,'ORDENES'!$AU$4:$AU$1203,0)),"(no encontrada)"))</f>
        <v/>
      </c>
      <c r="F24" s="24">
        <f>IF($A24="","",IF(ISNA(MATCH($A24,'ORDENES'!$AU$4:$AU$1203,0)),"huérfano",IF(COUNTIF($A$4:$A24,$A24)&gt;1,"duplicado (se ignora)","aplicado")))</f>
        <v/>
      </c>
      <c r="G24" s="45">
        <f>IF($F24&lt;&gt;"aplicado","",IF(IFERROR(INDEX('ORDENES'!$K$4:$K$1203,MATCH($A24,'ORDENES'!$AU$4:$AU$1203,0)),"")="","",$B24-IFERROR(INDEX('ORDENES'!$K$4:$K$1203,MATCH($A24,'ORDENES'!$AU$4:$AU$1203,0)),"")))</f>
        <v/>
      </c>
    </row>
    <row r="25">
      <c r="A25" s="4" t="n"/>
      <c r="B25" s="43" t="n"/>
      <c r="C25" s="4" t="n"/>
      <c r="D25" s="44" t="n"/>
      <c r="E25" s="24">
        <f>IF($A25="","",IFERROR(INDEX('ORDENES'!$D$4:$D$1203,MATCH($A25,'ORDENES'!$AU$4:$AU$1203,0)),"(no encontrada)"))</f>
        <v/>
      </c>
      <c r="F25" s="24">
        <f>IF($A25="","",IF(ISNA(MATCH($A25,'ORDENES'!$AU$4:$AU$1203,0)),"huérfano",IF(COUNTIF($A$4:$A25,$A25)&gt;1,"duplicado (se ignora)","aplicado")))</f>
        <v/>
      </c>
      <c r="G25" s="45">
        <f>IF($F25&lt;&gt;"aplicado","",IF(IFERROR(INDEX('ORDENES'!$K$4:$K$1203,MATCH($A25,'ORDENES'!$AU$4:$AU$1203,0)),"")="","",$B25-IFERROR(INDEX('ORDENES'!$K$4:$K$1203,MATCH($A25,'ORDENES'!$AU$4:$AU$1203,0)),"")))</f>
        <v/>
      </c>
    </row>
    <row r="26">
      <c r="A26" s="4" t="n"/>
      <c r="B26" s="43" t="n"/>
      <c r="C26" s="4" t="n"/>
      <c r="D26" s="44" t="n"/>
      <c r="E26" s="24">
        <f>IF($A26="","",IFERROR(INDEX('ORDENES'!$D$4:$D$1203,MATCH($A26,'ORDENES'!$AU$4:$AU$1203,0)),"(no encontrada)"))</f>
        <v/>
      </c>
      <c r="F26" s="24">
        <f>IF($A26="","",IF(ISNA(MATCH($A26,'ORDENES'!$AU$4:$AU$1203,0)),"huérfano",IF(COUNTIF($A$4:$A26,$A26)&gt;1,"duplicado (se ignora)","aplicado")))</f>
        <v/>
      </c>
      <c r="G26" s="45">
        <f>IF($F26&lt;&gt;"aplicado","",IF(IFERROR(INDEX('ORDENES'!$K$4:$K$1203,MATCH($A26,'ORDENES'!$AU$4:$AU$1203,0)),"")="","",$B26-IFERROR(INDEX('ORDENES'!$K$4:$K$1203,MATCH($A26,'ORDENES'!$AU$4:$AU$1203,0)),"")))</f>
        <v/>
      </c>
    </row>
    <row r="27">
      <c r="A27" s="4" t="n"/>
      <c r="B27" s="43" t="n"/>
      <c r="C27" s="4" t="n"/>
      <c r="D27" s="44" t="n"/>
      <c r="E27" s="24">
        <f>IF($A27="","",IFERROR(INDEX('ORDENES'!$D$4:$D$1203,MATCH($A27,'ORDENES'!$AU$4:$AU$1203,0)),"(no encontrada)"))</f>
        <v/>
      </c>
      <c r="F27" s="24">
        <f>IF($A27="","",IF(ISNA(MATCH($A27,'ORDENES'!$AU$4:$AU$1203,0)),"huérfano",IF(COUNTIF($A$4:$A27,$A27)&gt;1,"duplicado (se ignora)","aplicado")))</f>
        <v/>
      </c>
      <c r="G27" s="45">
        <f>IF($F27&lt;&gt;"aplicado","",IF(IFERROR(INDEX('ORDENES'!$K$4:$K$1203,MATCH($A27,'ORDENES'!$AU$4:$AU$1203,0)),"")="","",$B27-IFERROR(INDEX('ORDENES'!$K$4:$K$1203,MATCH($A27,'ORDENES'!$AU$4:$AU$1203,0)),"")))</f>
        <v/>
      </c>
    </row>
    <row r="28">
      <c r="A28" s="4" t="n"/>
      <c r="B28" s="43" t="n"/>
      <c r="C28" s="4" t="n"/>
      <c r="D28" s="44" t="n"/>
      <c r="E28" s="24">
        <f>IF($A28="","",IFERROR(INDEX('ORDENES'!$D$4:$D$1203,MATCH($A28,'ORDENES'!$AU$4:$AU$1203,0)),"(no encontrada)"))</f>
        <v/>
      </c>
      <c r="F28" s="24">
        <f>IF($A28="","",IF(ISNA(MATCH($A28,'ORDENES'!$AU$4:$AU$1203,0)),"huérfano",IF(COUNTIF($A$4:$A28,$A28)&gt;1,"duplicado (se ignora)","aplicado")))</f>
        <v/>
      </c>
      <c r="G28" s="45">
        <f>IF($F28&lt;&gt;"aplicado","",IF(IFERROR(INDEX('ORDENES'!$K$4:$K$1203,MATCH($A28,'ORDENES'!$AU$4:$AU$1203,0)),"")="","",$B28-IFERROR(INDEX('ORDENES'!$K$4:$K$1203,MATCH($A28,'ORDENES'!$AU$4:$AU$1203,0)),"")))</f>
        <v/>
      </c>
    </row>
    <row r="29">
      <c r="A29" s="4" t="n"/>
      <c r="B29" s="43" t="n"/>
      <c r="C29" s="4" t="n"/>
      <c r="D29" s="44" t="n"/>
      <c r="E29" s="24">
        <f>IF($A29="","",IFERROR(INDEX('ORDENES'!$D$4:$D$1203,MATCH($A29,'ORDENES'!$AU$4:$AU$1203,0)),"(no encontrada)"))</f>
        <v/>
      </c>
      <c r="F29" s="24">
        <f>IF($A29="","",IF(ISNA(MATCH($A29,'ORDENES'!$AU$4:$AU$1203,0)),"huérfano",IF(COUNTIF($A$4:$A29,$A29)&gt;1,"duplicado (se ignora)","aplicado")))</f>
        <v/>
      </c>
      <c r="G29" s="45">
        <f>IF($F29&lt;&gt;"aplicado","",IF(IFERROR(INDEX('ORDENES'!$K$4:$K$1203,MATCH($A29,'ORDENES'!$AU$4:$AU$1203,0)),"")="","",$B29-IFERROR(INDEX('ORDENES'!$K$4:$K$1203,MATCH($A29,'ORDENES'!$AU$4:$AU$1203,0)),"")))</f>
        <v/>
      </c>
    </row>
    <row r="30">
      <c r="A30" s="4" t="n"/>
      <c r="B30" s="43" t="n"/>
      <c r="C30" s="4" t="n"/>
      <c r="D30" s="44" t="n"/>
      <c r="E30" s="24">
        <f>IF($A30="","",IFERROR(INDEX('ORDENES'!$D$4:$D$1203,MATCH($A30,'ORDENES'!$AU$4:$AU$1203,0)),"(no encontrada)"))</f>
        <v/>
      </c>
      <c r="F30" s="24">
        <f>IF($A30="","",IF(ISNA(MATCH($A30,'ORDENES'!$AU$4:$AU$1203,0)),"huérfano",IF(COUNTIF($A$4:$A30,$A30)&gt;1,"duplicado (se ignora)","aplicado")))</f>
        <v/>
      </c>
      <c r="G30" s="45">
        <f>IF($F30&lt;&gt;"aplicado","",IF(IFERROR(INDEX('ORDENES'!$K$4:$K$1203,MATCH($A30,'ORDENES'!$AU$4:$AU$1203,0)),"")="","",$B30-IFERROR(INDEX('ORDENES'!$K$4:$K$1203,MATCH($A30,'ORDENES'!$AU$4:$AU$1203,0)),"")))</f>
        <v/>
      </c>
    </row>
    <row r="31">
      <c r="A31" s="4" t="n"/>
      <c r="B31" s="43" t="n"/>
      <c r="C31" s="4" t="n"/>
      <c r="D31" s="44" t="n"/>
      <c r="E31" s="24">
        <f>IF($A31="","",IFERROR(INDEX('ORDENES'!$D$4:$D$1203,MATCH($A31,'ORDENES'!$AU$4:$AU$1203,0)),"(no encontrada)"))</f>
        <v/>
      </c>
      <c r="F31" s="24">
        <f>IF($A31="","",IF(ISNA(MATCH($A31,'ORDENES'!$AU$4:$AU$1203,0)),"huérfano",IF(COUNTIF($A$4:$A31,$A31)&gt;1,"duplicado (se ignora)","aplicado")))</f>
        <v/>
      </c>
      <c r="G31" s="45">
        <f>IF($F31&lt;&gt;"aplicado","",IF(IFERROR(INDEX('ORDENES'!$K$4:$K$1203,MATCH($A31,'ORDENES'!$AU$4:$AU$1203,0)),"")="","",$B31-IFERROR(INDEX('ORDENES'!$K$4:$K$1203,MATCH($A31,'ORDENES'!$AU$4:$AU$1203,0)),"")))</f>
        <v/>
      </c>
    </row>
    <row r="32">
      <c r="A32" s="4" t="n"/>
      <c r="B32" s="43" t="n"/>
      <c r="C32" s="4" t="n"/>
      <c r="D32" s="44" t="n"/>
      <c r="E32" s="24">
        <f>IF($A32="","",IFERROR(INDEX('ORDENES'!$D$4:$D$1203,MATCH($A32,'ORDENES'!$AU$4:$AU$1203,0)),"(no encontrada)"))</f>
        <v/>
      </c>
      <c r="F32" s="24">
        <f>IF($A32="","",IF(ISNA(MATCH($A32,'ORDENES'!$AU$4:$AU$1203,0)),"huérfano",IF(COUNTIF($A$4:$A32,$A32)&gt;1,"duplicado (se ignora)","aplicado")))</f>
        <v/>
      </c>
      <c r="G32" s="45">
        <f>IF($F32&lt;&gt;"aplicado","",IF(IFERROR(INDEX('ORDENES'!$K$4:$K$1203,MATCH($A32,'ORDENES'!$AU$4:$AU$1203,0)),"")="","",$B32-IFERROR(INDEX('ORDENES'!$K$4:$K$1203,MATCH($A32,'ORDENES'!$AU$4:$AU$1203,0)),"")))</f>
        <v/>
      </c>
    </row>
    <row r="33">
      <c r="A33" s="4" t="n"/>
      <c r="B33" s="43" t="n"/>
      <c r="C33" s="4" t="n"/>
      <c r="D33" s="44" t="n"/>
      <c r="E33" s="24">
        <f>IF($A33="","",IFERROR(INDEX('ORDENES'!$D$4:$D$1203,MATCH($A33,'ORDENES'!$AU$4:$AU$1203,0)),"(no encontrada)"))</f>
        <v/>
      </c>
      <c r="F33" s="24">
        <f>IF($A33="","",IF(ISNA(MATCH($A33,'ORDENES'!$AU$4:$AU$1203,0)),"huérfano",IF(COUNTIF($A$4:$A33,$A33)&gt;1,"duplicado (se ignora)","aplicado")))</f>
        <v/>
      </c>
      <c r="G33" s="45">
        <f>IF($F33&lt;&gt;"aplicado","",IF(IFERROR(INDEX('ORDENES'!$K$4:$K$1203,MATCH($A33,'ORDENES'!$AU$4:$AU$1203,0)),"")="","",$B33-IFERROR(INDEX('ORDENES'!$K$4:$K$1203,MATCH($A33,'ORDENES'!$AU$4:$AU$1203,0)),"")))</f>
        <v/>
      </c>
    </row>
    <row r="34">
      <c r="A34" s="4" t="n"/>
      <c r="B34" s="43" t="n"/>
      <c r="C34" s="4" t="n"/>
      <c r="D34" s="44" t="n"/>
      <c r="E34" s="24">
        <f>IF($A34="","",IFERROR(INDEX('ORDENES'!$D$4:$D$1203,MATCH($A34,'ORDENES'!$AU$4:$AU$1203,0)),"(no encontrada)"))</f>
        <v/>
      </c>
      <c r="F34" s="24">
        <f>IF($A34="","",IF(ISNA(MATCH($A34,'ORDENES'!$AU$4:$AU$1203,0)),"huérfano",IF(COUNTIF($A$4:$A34,$A34)&gt;1,"duplicado (se ignora)","aplicado")))</f>
        <v/>
      </c>
      <c r="G34" s="45">
        <f>IF($F34&lt;&gt;"aplicado","",IF(IFERROR(INDEX('ORDENES'!$K$4:$K$1203,MATCH($A34,'ORDENES'!$AU$4:$AU$1203,0)),"")="","",$B34-IFERROR(INDEX('ORDENES'!$K$4:$K$1203,MATCH($A34,'ORDENES'!$AU$4:$AU$1203,0)),"")))</f>
        <v/>
      </c>
    </row>
    <row r="35">
      <c r="A35" s="4" t="n"/>
      <c r="B35" s="43" t="n"/>
      <c r="C35" s="4" t="n"/>
      <c r="D35" s="44" t="n"/>
      <c r="E35" s="24">
        <f>IF($A35="","",IFERROR(INDEX('ORDENES'!$D$4:$D$1203,MATCH($A35,'ORDENES'!$AU$4:$AU$1203,0)),"(no encontrada)"))</f>
        <v/>
      </c>
      <c r="F35" s="24">
        <f>IF($A35="","",IF(ISNA(MATCH($A35,'ORDENES'!$AU$4:$AU$1203,0)),"huérfano",IF(COUNTIF($A$4:$A35,$A35)&gt;1,"duplicado (se ignora)","aplicado")))</f>
        <v/>
      </c>
      <c r="G35" s="45">
        <f>IF($F35&lt;&gt;"aplicado","",IF(IFERROR(INDEX('ORDENES'!$K$4:$K$1203,MATCH($A35,'ORDENES'!$AU$4:$AU$1203,0)),"")="","",$B35-IFERROR(INDEX('ORDENES'!$K$4:$K$1203,MATCH($A35,'ORDENES'!$AU$4:$AU$1203,0)),"")))</f>
        <v/>
      </c>
    </row>
    <row r="36">
      <c r="A36" s="4" t="n"/>
      <c r="B36" s="43" t="n"/>
      <c r="C36" s="4" t="n"/>
      <c r="D36" s="44" t="n"/>
      <c r="E36" s="24">
        <f>IF($A36="","",IFERROR(INDEX('ORDENES'!$D$4:$D$1203,MATCH($A36,'ORDENES'!$AU$4:$AU$1203,0)),"(no encontrada)"))</f>
        <v/>
      </c>
      <c r="F36" s="24">
        <f>IF($A36="","",IF(ISNA(MATCH($A36,'ORDENES'!$AU$4:$AU$1203,0)),"huérfano",IF(COUNTIF($A$4:$A36,$A36)&gt;1,"duplicado (se ignora)","aplicado")))</f>
        <v/>
      </c>
      <c r="G36" s="45">
        <f>IF($F36&lt;&gt;"aplicado","",IF(IFERROR(INDEX('ORDENES'!$K$4:$K$1203,MATCH($A36,'ORDENES'!$AU$4:$AU$1203,0)),"")="","",$B36-IFERROR(INDEX('ORDENES'!$K$4:$K$1203,MATCH($A36,'ORDENES'!$AU$4:$AU$1203,0)),"")))</f>
        <v/>
      </c>
    </row>
    <row r="37">
      <c r="A37" s="4" t="n"/>
      <c r="B37" s="43" t="n"/>
      <c r="C37" s="4" t="n"/>
      <c r="D37" s="44" t="n"/>
      <c r="E37" s="24">
        <f>IF($A37="","",IFERROR(INDEX('ORDENES'!$D$4:$D$1203,MATCH($A37,'ORDENES'!$AU$4:$AU$1203,0)),"(no encontrada)"))</f>
        <v/>
      </c>
      <c r="F37" s="24">
        <f>IF($A37="","",IF(ISNA(MATCH($A37,'ORDENES'!$AU$4:$AU$1203,0)),"huérfano",IF(COUNTIF($A$4:$A37,$A37)&gt;1,"duplicado (se ignora)","aplicado")))</f>
        <v/>
      </c>
      <c r="G37" s="45">
        <f>IF($F37&lt;&gt;"aplicado","",IF(IFERROR(INDEX('ORDENES'!$K$4:$K$1203,MATCH($A37,'ORDENES'!$AU$4:$AU$1203,0)),"")="","",$B37-IFERROR(INDEX('ORDENES'!$K$4:$K$1203,MATCH($A37,'ORDENES'!$AU$4:$AU$1203,0)),"")))</f>
        <v/>
      </c>
    </row>
    <row r="38">
      <c r="A38" s="4" t="n"/>
      <c r="B38" s="43" t="n"/>
      <c r="C38" s="4" t="n"/>
      <c r="D38" s="44" t="n"/>
      <c r="E38" s="24">
        <f>IF($A38="","",IFERROR(INDEX('ORDENES'!$D$4:$D$1203,MATCH($A38,'ORDENES'!$AU$4:$AU$1203,0)),"(no encontrada)"))</f>
        <v/>
      </c>
      <c r="F38" s="24">
        <f>IF($A38="","",IF(ISNA(MATCH($A38,'ORDENES'!$AU$4:$AU$1203,0)),"huérfano",IF(COUNTIF($A$4:$A38,$A38)&gt;1,"duplicado (se ignora)","aplicado")))</f>
        <v/>
      </c>
      <c r="G38" s="45">
        <f>IF($F38&lt;&gt;"aplicado","",IF(IFERROR(INDEX('ORDENES'!$K$4:$K$1203,MATCH($A38,'ORDENES'!$AU$4:$AU$1203,0)),"")="","",$B38-IFERROR(INDEX('ORDENES'!$K$4:$K$1203,MATCH($A38,'ORDENES'!$AU$4:$AU$1203,0)),"")))</f>
        <v/>
      </c>
    </row>
    <row r="39">
      <c r="A39" s="4" t="n"/>
      <c r="B39" s="43" t="n"/>
      <c r="C39" s="4" t="n"/>
      <c r="D39" s="44" t="n"/>
      <c r="E39" s="24">
        <f>IF($A39="","",IFERROR(INDEX('ORDENES'!$D$4:$D$1203,MATCH($A39,'ORDENES'!$AU$4:$AU$1203,0)),"(no encontrada)"))</f>
        <v/>
      </c>
      <c r="F39" s="24">
        <f>IF($A39="","",IF(ISNA(MATCH($A39,'ORDENES'!$AU$4:$AU$1203,0)),"huérfano",IF(COUNTIF($A$4:$A39,$A39)&gt;1,"duplicado (se ignora)","aplicado")))</f>
        <v/>
      </c>
      <c r="G39" s="45">
        <f>IF($F39&lt;&gt;"aplicado","",IF(IFERROR(INDEX('ORDENES'!$K$4:$K$1203,MATCH($A39,'ORDENES'!$AU$4:$AU$1203,0)),"")="","",$B39-IFERROR(INDEX('ORDENES'!$K$4:$K$1203,MATCH($A39,'ORDENES'!$AU$4:$AU$1203,0)),"")))</f>
        <v/>
      </c>
    </row>
    <row r="40">
      <c r="A40" s="4" t="n"/>
      <c r="B40" s="43" t="n"/>
      <c r="C40" s="4" t="n"/>
      <c r="D40" s="44" t="n"/>
      <c r="E40" s="24">
        <f>IF($A40="","",IFERROR(INDEX('ORDENES'!$D$4:$D$1203,MATCH($A40,'ORDENES'!$AU$4:$AU$1203,0)),"(no encontrada)"))</f>
        <v/>
      </c>
      <c r="F40" s="24">
        <f>IF($A40="","",IF(ISNA(MATCH($A40,'ORDENES'!$AU$4:$AU$1203,0)),"huérfano",IF(COUNTIF($A$4:$A40,$A40)&gt;1,"duplicado (se ignora)","aplicado")))</f>
        <v/>
      </c>
      <c r="G40" s="45">
        <f>IF($F40&lt;&gt;"aplicado","",IF(IFERROR(INDEX('ORDENES'!$K$4:$K$1203,MATCH($A40,'ORDENES'!$AU$4:$AU$1203,0)),"")="","",$B40-IFERROR(INDEX('ORDENES'!$K$4:$K$1203,MATCH($A40,'ORDENES'!$AU$4:$AU$1203,0)),"")))</f>
        <v/>
      </c>
    </row>
    <row r="41">
      <c r="A41" s="4" t="n"/>
      <c r="B41" s="43" t="n"/>
      <c r="C41" s="4" t="n"/>
      <c r="D41" s="44" t="n"/>
      <c r="E41" s="24">
        <f>IF($A41="","",IFERROR(INDEX('ORDENES'!$D$4:$D$1203,MATCH($A41,'ORDENES'!$AU$4:$AU$1203,0)),"(no encontrada)"))</f>
        <v/>
      </c>
      <c r="F41" s="24">
        <f>IF($A41="","",IF(ISNA(MATCH($A41,'ORDENES'!$AU$4:$AU$1203,0)),"huérfano",IF(COUNTIF($A$4:$A41,$A41)&gt;1,"duplicado (se ignora)","aplicado")))</f>
        <v/>
      </c>
      <c r="G41" s="45">
        <f>IF($F41&lt;&gt;"aplicado","",IF(IFERROR(INDEX('ORDENES'!$K$4:$K$1203,MATCH($A41,'ORDENES'!$AU$4:$AU$1203,0)),"")="","",$B41-IFERROR(INDEX('ORDENES'!$K$4:$K$1203,MATCH($A41,'ORDENES'!$AU$4:$AU$1203,0)),"")))</f>
        <v/>
      </c>
    </row>
    <row r="42">
      <c r="A42" s="4" t="n"/>
      <c r="B42" s="43" t="n"/>
      <c r="C42" s="4" t="n"/>
      <c r="D42" s="44" t="n"/>
      <c r="E42" s="24">
        <f>IF($A42="","",IFERROR(INDEX('ORDENES'!$D$4:$D$1203,MATCH($A42,'ORDENES'!$AU$4:$AU$1203,0)),"(no encontrada)"))</f>
        <v/>
      </c>
      <c r="F42" s="24">
        <f>IF($A42="","",IF(ISNA(MATCH($A42,'ORDENES'!$AU$4:$AU$1203,0)),"huérfano",IF(COUNTIF($A$4:$A42,$A42)&gt;1,"duplicado (se ignora)","aplicado")))</f>
        <v/>
      </c>
      <c r="G42" s="45">
        <f>IF($F42&lt;&gt;"aplicado","",IF(IFERROR(INDEX('ORDENES'!$K$4:$K$1203,MATCH($A42,'ORDENES'!$AU$4:$AU$1203,0)),"")="","",$B42-IFERROR(INDEX('ORDENES'!$K$4:$K$1203,MATCH($A42,'ORDENES'!$AU$4:$AU$1203,0)),"")))</f>
        <v/>
      </c>
    </row>
    <row r="43">
      <c r="A43" s="4" t="n"/>
      <c r="B43" s="43" t="n"/>
      <c r="C43" s="4" t="n"/>
      <c r="D43" s="44" t="n"/>
      <c r="E43" s="24">
        <f>IF($A43="","",IFERROR(INDEX('ORDENES'!$D$4:$D$1203,MATCH($A43,'ORDENES'!$AU$4:$AU$1203,0)),"(no encontrada)"))</f>
        <v/>
      </c>
      <c r="F43" s="24">
        <f>IF($A43="","",IF(ISNA(MATCH($A43,'ORDENES'!$AU$4:$AU$1203,0)),"huérfano",IF(COUNTIF($A$4:$A43,$A43)&gt;1,"duplicado (se ignora)","aplicado")))</f>
        <v/>
      </c>
      <c r="G43" s="45">
        <f>IF($F43&lt;&gt;"aplicado","",IF(IFERROR(INDEX('ORDENES'!$K$4:$K$1203,MATCH($A43,'ORDENES'!$AU$4:$AU$1203,0)),"")="","",$B43-IFERROR(INDEX('ORDENES'!$K$4:$K$1203,MATCH($A43,'ORDENES'!$AU$4:$AU$1203,0)),"")))</f>
        <v/>
      </c>
    </row>
    <row r="44">
      <c r="A44" s="4" t="n"/>
      <c r="B44" s="43" t="n"/>
      <c r="C44" s="4" t="n"/>
      <c r="D44" s="44" t="n"/>
      <c r="E44" s="24">
        <f>IF($A44="","",IFERROR(INDEX('ORDENES'!$D$4:$D$1203,MATCH($A44,'ORDENES'!$AU$4:$AU$1203,0)),"(no encontrada)"))</f>
        <v/>
      </c>
      <c r="F44" s="24">
        <f>IF($A44="","",IF(ISNA(MATCH($A44,'ORDENES'!$AU$4:$AU$1203,0)),"huérfano",IF(COUNTIF($A$4:$A44,$A44)&gt;1,"duplicado (se ignora)","aplicado")))</f>
        <v/>
      </c>
      <c r="G44" s="45">
        <f>IF($F44&lt;&gt;"aplicado","",IF(IFERROR(INDEX('ORDENES'!$K$4:$K$1203,MATCH($A44,'ORDENES'!$AU$4:$AU$1203,0)),"")="","",$B44-IFERROR(INDEX('ORDENES'!$K$4:$K$1203,MATCH($A44,'ORDENES'!$AU$4:$AU$1203,0)),"")))</f>
        <v/>
      </c>
    </row>
    <row r="45">
      <c r="A45" s="4" t="n"/>
      <c r="B45" s="43" t="n"/>
      <c r="C45" s="4" t="n"/>
      <c r="D45" s="44" t="n"/>
      <c r="E45" s="24">
        <f>IF($A45="","",IFERROR(INDEX('ORDENES'!$D$4:$D$1203,MATCH($A45,'ORDENES'!$AU$4:$AU$1203,0)),"(no encontrada)"))</f>
        <v/>
      </c>
      <c r="F45" s="24">
        <f>IF($A45="","",IF(ISNA(MATCH($A45,'ORDENES'!$AU$4:$AU$1203,0)),"huérfano",IF(COUNTIF($A$4:$A45,$A45)&gt;1,"duplicado (se ignora)","aplicado")))</f>
        <v/>
      </c>
      <c r="G45" s="45">
        <f>IF($F45&lt;&gt;"aplicado","",IF(IFERROR(INDEX('ORDENES'!$K$4:$K$1203,MATCH($A45,'ORDENES'!$AU$4:$AU$1203,0)),"")="","",$B45-IFERROR(INDEX('ORDENES'!$K$4:$K$1203,MATCH($A45,'ORDENES'!$AU$4:$AU$1203,0)),"")))</f>
        <v/>
      </c>
    </row>
    <row r="46">
      <c r="A46" s="4" t="n"/>
      <c r="B46" s="43" t="n"/>
      <c r="C46" s="4" t="n"/>
      <c r="D46" s="44" t="n"/>
      <c r="E46" s="24">
        <f>IF($A46="","",IFERROR(INDEX('ORDENES'!$D$4:$D$1203,MATCH($A46,'ORDENES'!$AU$4:$AU$1203,0)),"(no encontrada)"))</f>
        <v/>
      </c>
      <c r="F46" s="24">
        <f>IF($A46="","",IF(ISNA(MATCH($A46,'ORDENES'!$AU$4:$AU$1203,0)),"huérfano",IF(COUNTIF($A$4:$A46,$A46)&gt;1,"duplicado (se ignora)","aplicado")))</f>
        <v/>
      </c>
      <c r="G46" s="45">
        <f>IF($F46&lt;&gt;"aplicado","",IF(IFERROR(INDEX('ORDENES'!$K$4:$K$1203,MATCH($A46,'ORDENES'!$AU$4:$AU$1203,0)),"")="","",$B46-IFERROR(INDEX('ORDENES'!$K$4:$K$1203,MATCH($A46,'ORDENES'!$AU$4:$AU$1203,0)),"")))</f>
        <v/>
      </c>
    </row>
    <row r="47">
      <c r="A47" s="4" t="n"/>
      <c r="B47" s="43" t="n"/>
      <c r="C47" s="4" t="n"/>
      <c r="D47" s="44" t="n"/>
      <c r="E47" s="24">
        <f>IF($A47="","",IFERROR(INDEX('ORDENES'!$D$4:$D$1203,MATCH($A47,'ORDENES'!$AU$4:$AU$1203,0)),"(no encontrada)"))</f>
        <v/>
      </c>
      <c r="F47" s="24">
        <f>IF($A47="","",IF(ISNA(MATCH($A47,'ORDENES'!$AU$4:$AU$1203,0)),"huérfano",IF(COUNTIF($A$4:$A47,$A47)&gt;1,"duplicado (se ignora)","aplicado")))</f>
        <v/>
      </c>
      <c r="G47" s="45">
        <f>IF($F47&lt;&gt;"aplicado","",IF(IFERROR(INDEX('ORDENES'!$K$4:$K$1203,MATCH($A47,'ORDENES'!$AU$4:$AU$1203,0)),"")="","",$B47-IFERROR(INDEX('ORDENES'!$K$4:$K$1203,MATCH($A47,'ORDENES'!$AU$4:$AU$1203,0)),"")))</f>
        <v/>
      </c>
    </row>
    <row r="48">
      <c r="A48" s="4" t="n"/>
      <c r="B48" s="43" t="n"/>
      <c r="C48" s="4" t="n"/>
      <c r="D48" s="44" t="n"/>
      <c r="E48" s="24">
        <f>IF($A48="","",IFERROR(INDEX('ORDENES'!$D$4:$D$1203,MATCH($A48,'ORDENES'!$AU$4:$AU$1203,0)),"(no encontrada)"))</f>
        <v/>
      </c>
      <c r="F48" s="24">
        <f>IF($A48="","",IF(ISNA(MATCH($A48,'ORDENES'!$AU$4:$AU$1203,0)),"huérfano",IF(COUNTIF($A$4:$A48,$A48)&gt;1,"duplicado (se ignora)","aplicado")))</f>
        <v/>
      </c>
      <c r="G48" s="45">
        <f>IF($F48&lt;&gt;"aplicado","",IF(IFERROR(INDEX('ORDENES'!$K$4:$K$1203,MATCH($A48,'ORDENES'!$AU$4:$AU$1203,0)),"")="","",$B48-IFERROR(INDEX('ORDENES'!$K$4:$K$1203,MATCH($A48,'ORDENES'!$AU$4:$AU$1203,0)),"")))</f>
        <v/>
      </c>
    </row>
    <row r="49">
      <c r="A49" s="4" t="n"/>
      <c r="B49" s="43" t="n"/>
      <c r="C49" s="4" t="n"/>
      <c r="D49" s="44" t="n"/>
      <c r="E49" s="24">
        <f>IF($A49="","",IFERROR(INDEX('ORDENES'!$D$4:$D$1203,MATCH($A49,'ORDENES'!$AU$4:$AU$1203,0)),"(no encontrada)"))</f>
        <v/>
      </c>
      <c r="F49" s="24">
        <f>IF($A49="","",IF(ISNA(MATCH($A49,'ORDENES'!$AU$4:$AU$1203,0)),"huérfano",IF(COUNTIF($A$4:$A49,$A49)&gt;1,"duplicado (se ignora)","aplicado")))</f>
        <v/>
      </c>
      <c r="G49" s="45">
        <f>IF($F49&lt;&gt;"aplicado","",IF(IFERROR(INDEX('ORDENES'!$K$4:$K$1203,MATCH($A49,'ORDENES'!$AU$4:$AU$1203,0)),"")="","",$B49-IFERROR(INDEX('ORDENES'!$K$4:$K$1203,MATCH($A49,'ORDENES'!$AU$4:$AU$1203,0)),"")))</f>
        <v/>
      </c>
    </row>
    <row r="50">
      <c r="A50" s="4" t="n"/>
      <c r="B50" s="43" t="n"/>
      <c r="C50" s="4" t="n"/>
      <c r="D50" s="44" t="n"/>
      <c r="E50" s="24">
        <f>IF($A50="","",IFERROR(INDEX('ORDENES'!$D$4:$D$1203,MATCH($A50,'ORDENES'!$AU$4:$AU$1203,0)),"(no encontrada)"))</f>
        <v/>
      </c>
      <c r="F50" s="24">
        <f>IF($A50="","",IF(ISNA(MATCH($A50,'ORDENES'!$AU$4:$AU$1203,0)),"huérfano",IF(COUNTIF($A$4:$A50,$A50)&gt;1,"duplicado (se ignora)","aplicado")))</f>
        <v/>
      </c>
      <c r="G50" s="45">
        <f>IF($F50&lt;&gt;"aplicado","",IF(IFERROR(INDEX('ORDENES'!$K$4:$K$1203,MATCH($A50,'ORDENES'!$AU$4:$AU$1203,0)),"")="","",$B50-IFERROR(INDEX('ORDENES'!$K$4:$K$1203,MATCH($A50,'ORDENES'!$AU$4:$AU$1203,0)),"")))</f>
        <v/>
      </c>
    </row>
    <row r="51">
      <c r="A51" s="4" t="n"/>
      <c r="B51" s="43" t="n"/>
      <c r="C51" s="4" t="n"/>
      <c r="D51" s="44" t="n"/>
      <c r="E51" s="24">
        <f>IF($A51="","",IFERROR(INDEX('ORDENES'!$D$4:$D$1203,MATCH($A51,'ORDENES'!$AU$4:$AU$1203,0)),"(no encontrada)"))</f>
        <v/>
      </c>
      <c r="F51" s="24">
        <f>IF($A51="","",IF(ISNA(MATCH($A51,'ORDENES'!$AU$4:$AU$1203,0)),"huérfano",IF(COUNTIF($A$4:$A51,$A51)&gt;1,"duplicado (se ignora)","aplicado")))</f>
        <v/>
      </c>
      <c r="G51" s="45">
        <f>IF($F51&lt;&gt;"aplicado","",IF(IFERROR(INDEX('ORDENES'!$K$4:$K$1203,MATCH($A51,'ORDENES'!$AU$4:$AU$1203,0)),"")="","",$B51-IFERROR(INDEX('ORDENES'!$K$4:$K$1203,MATCH($A51,'ORDENES'!$AU$4:$AU$1203,0)),"")))</f>
        <v/>
      </c>
    </row>
    <row r="52">
      <c r="A52" s="4" t="n"/>
      <c r="B52" s="43" t="n"/>
      <c r="C52" s="4" t="n"/>
      <c r="D52" s="44" t="n"/>
      <c r="E52" s="24">
        <f>IF($A52="","",IFERROR(INDEX('ORDENES'!$D$4:$D$1203,MATCH($A52,'ORDENES'!$AU$4:$AU$1203,0)),"(no encontrada)"))</f>
        <v/>
      </c>
      <c r="F52" s="24">
        <f>IF($A52="","",IF(ISNA(MATCH($A52,'ORDENES'!$AU$4:$AU$1203,0)),"huérfano",IF(COUNTIF($A$4:$A52,$A52)&gt;1,"duplicado (se ignora)","aplicado")))</f>
        <v/>
      </c>
      <c r="G52" s="45">
        <f>IF($F52&lt;&gt;"aplicado","",IF(IFERROR(INDEX('ORDENES'!$K$4:$K$1203,MATCH($A52,'ORDENES'!$AU$4:$AU$1203,0)),"")="","",$B52-IFERROR(INDEX('ORDENES'!$K$4:$K$1203,MATCH($A52,'ORDENES'!$AU$4:$AU$1203,0)),"")))</f>
        <v/>
      </c>
    </row>
    <row r="53">
      <c r="A53" s="4" t="n"/>
      <c r="B53" s="43" t="n"/>
      <c r="C53" s="4" t="n"/>
      <c r="D53" s="44" t="n"/>
      <c r="E53" s="24">
        <f>IF($A53="","",IFERROR(INDEX('ORDENES'!$D$4:$D$1203,MATCH($A53,'ORDENES'!$AU$4:$AU$1203,0)),"(no encontrada)"))</f>
        <v/>
      </c>
      <c r="F53" s="24">
        <f>IF($A53="","",IF(ISNA(MATCH($A53,'ORDENES'!$AU$4:$AU$1203,0)),"huérfano",IF(COUNTIF($A$4:$A53,$A53)&gt;1,"duplicado (se ignora)","aplicado")))</f>
        <v/>
      </c>
      <c r="G53" s="45">
        <f>IF($F53&lt;&gt;"aplicado","",IF(IFERROR(INDEX('ORDENES'!$K$4:$K$1203,MATCH($A53,'ORDENES'!$AU$4:$AU$1203,0)),"")="","",$B53-IFERROR(INDEX('ORDENES'!$K$4:$K$1203,MATCH($A53,'ORDENES'!$AU$4:$AU$1203,0)),"")))</f>
        <v/>
      </c>
    </row>
    <row r="54">
      <c r="A54" s="4" t="n"/>
      <c r="B54" s="43" t="n"/>
      <c r="C54" s="4" t="n"/>
      <c r="D54" s="44" t="n"/>
      <c r="E54" s="24">
        <f>IF($A54="","",IFERROR(INDEX('ORDENES'!$D$4:$D$1203,MATCH($A54,'ORDENES'!$AU$4:$AU$1203,0)),"(no encontrada)"))</f>
        <v/>
      </c>
      <c r="F54" s="24">
        <f>IF($A54="","",IF(ISNA(MATCH($A54,'ORDENES'!$AU$4:$AU$1203,0)),"huérfano",IF(COUNTIF($A$4:$A54,$A54)&gt;1,"duplicado (se ignora)","aplicado")))</f>
        <v/>
      </c>
      <c r="G54" s="45">
        <f>IF($F54&lt;&gt;"aplicado","",IF(IFERROR(INDEX('ORDENES'!$K$4:$K$1203,MATCH($A54,'ORDENES'!$AU$4:$AU$1203,0)),"")="","",$B54-IFERROR(INDEX('ORDENES'!$K$4:$K$1203,MATCH($A54,'ORDENES'!$AU$4:$AU$1203,0)),"")))</f>
        <v/>
      </c>
    </row>
    <row r="55">
      <c r="A55" s="4" t="n"/>
      <c r="B55" s="43" t="n"/>
      <c r="C55" s="4" t="n"/>
      <c r="D55" s="44" t="n"/>
      <c r="E55" s="24">
        <f>IF($A55="","",IFERROR(INDEX('ORDENES'!$D$4:$D$1203,MATCH($A55,'ORDENES'!$AU$4:$AU$1203,0)),"(no encontrada)"))</f>
        <v/>
      </c>
      <c r="F55" s="24">
        <f>IF($A55="","",IF(ISNA(MATCH($A55,'ORDENES'!$AU$4:$AU$1203,0)),"huérfano",IF(COUNTIF($A$4:$A55,$A55)&gt;1,"duplicado (se ignora)","aplicado")))</f>
        <v/>
      </c>
      <c r="G55" s="45">
        <f>IF($F55&lt;&gt;"aplicado","",IF(IFERROR(INDEX('ORDENES'!$K$4:$K$1203,MATCH($A55,'ORDENES'!$AU$4:$AU$1203,0)),"")="","",$B55-IFERROR(INDEX('ORDENES'!$K$4:$K$1203,MATCH($A55,'ORDENES'!$AU$4:$AU$1203,0)),"")))</f>
        <v/>
      </c>
    </row>
    <row r="56">
      <c r="A56" s="4" t="n"/>
      <c r="B56" s="43" t="n"/>
      <c r="C56" s="4" t="n"/>
      <c r="D56" s="44" t="n"/>
      <c r="E56" s="24">
        <f>IF($A56="","",IFERROR(INDEX('ORDENES'!$D$4:$D$1203,MATCH($A56,'ORDENES'!$AU$4:$AU$1203,0)),"(no encontrada)"))</f>
        <v/>
      </c>
      <c r="F56" s="24">
        <f>IF($A56="","",IF(ISNA(MATCH($A56,'ORDENES'!$AU$4:$AU$1203,0)),"huérfano",IF(COUNTIF($A$4:$A56,$A56)&gt;1,"duplicado (se ignora)","aplicado")))</f>
        <v/>
      </c>
      <c r="G56" s="45">
        <f>IF($F56&lt;&gt;"aplicado","",IF(IFERROR(INDEX('ORDENES'!$K$4:$K$1203,MATCH($A56,'ORDENES'!$AU$4:$AU$1203,0)),"")="","",$B56-IFERROR(INDEX('ORDENES'!$K$4:$K$1203,MATCH($A56,'ORDENES'!$AU$4:$AU$1203,0)),"")))</f>
        <v/>
      </c>
    </row>
    <row r="57">
      <c r="A57" s="4" t="n"/>
      <c r="B57" s="43" t="n"/>
      <c r="C57" s="4" t="n"/>
      <c r="D57" s="44" t="n"/>
      <c r="E57" s="24">
        <f>IF($A57="","",IFERROR(INDEX('ORDENES'!$D$4:$D$1203,MATCH($A57,'ORDENES'!$AU$4:$AU$1203,0)),"(no encontrada)"))</f>
        <v/>
      </c>
      <c r="F57" s="24">
        <f>IF($A57="","",IF(ISNA(MATCH($A57,'ORDENES'!$AU$4:$AU$1203,0)),"huérfano",IF(COUNTIF($A$4:$A57,$A57)&gt;1,"duplicado (se ignora)","aplicado")))</f>
        <v/>
      </c>
      <c r="G57" s="45">
        <f>IF($F57&lt;&gt;"aplicado","",IF(IFERROR(INDEX('ORDENES'!$K$4:$K$1203,MATCH($A57,'ORDENES'!$AU$4:$AU$1203,0)),"")="","",$B57-IFERROR(INDEX('ORDENES'!$K$4:$K$1203,MATCH($A57,'ORDENES'!$AU$4:$AU$1203,0)),"")))</f>
        <v/>
      </c>
    </row>
    <row r="58">
      <c r="A58" s="4" t="n"/>
      <c r="B58" s="43" t="n"/>
      <c r="C58" s="4" t="n"/>
      <c r="D58" s="44" t="n"/>
      <c r="E58" s="24">
        <f>IF($A58="","",IFERROR(INDEX('ORDENES'!$D$4:$D$1203,MATCH($A58,'ORDENES'!$AU$4:$AU$1203,0)),"(no encontrada)"))</f>
        <v/>
      </c>
      <c r="F58" s="24">
        <f>IF($A58="","",IF(ISNA(MATCH($A58,'ORDENES'!$AU$4:$AU$1203,0)),"huérfano",IF(COUNTIF($A$4:$A58,$A58)&gt;1,"duplicado (se ignora)","aplicado")))</f>
        <v/>
      </c>
      <c r="G58" s="45">
        <f>IF($F58&lt;&gt;"aplicado","",IF(IFERROR(INDEX('ORDENES'!$K$4:$K$1203,MATCH($A58,'ORDENES'!$AU$4:$AU$1203,0)),"")="","",$B58-IFERROR(INDEX('ORDENES'!$K$4:$K$1203,MATCH($A58,'ORDENES'!$AU$4:$AU$1203,0)),"")))</f>
        <v/>
      </c>
    </row>
    <row r="59">
      <c r="A59" s="4" t="n"/>
      <c r="B59" s="43" t="n"/>
      <c r="C59" s="4" t="n"/>
      <c r="D59" s="44" t="n"/>
      <c r="E59" s="24">
        <f>IF($A59="","",IFERROR(INDEX('ORDENES'!$D$4:$D$1203,MATCH($A59,'ORDENES'!$AU$4:$AU$1203,0)),"(no encontrada)"))</f>
        <v/>
      </c>
      <c r="F59" s="24">
        <f>IF($A59="","",IF(ISNA(MATCH($A59,'ORDENES'!$AU$4:$AU$1203,0)),"huérfano",IF(COUNTIF($A$4:$A59,$A59)&gt;1,"duplicado (se ignora)","aplicado")))</f>
        <v/>
      </c>
      <c r="G59" s="45">
        <f>IF($F59&lt;&gt;"aplicado","",IF(IFERROR(INDEX('ORDENES'!$K$4:$K$1203,MATCH($A59,'ORDENES'!$AU$4:$AU$1203,0)),"")="","",$B59-IFERROR(INDEX('ORDENES'!$K$4:$K$1203,MATCH($A59,'ORDENES'!$AU$4:$AU$1203,0)),"")))</f>
        <v/>
      </c>
    </row>
    <row r="60">
      <c r="A60" s="4" t="n"/>
      <c r="B60" s="43" t="n"/>
      <c r="C60" s="4" t="n"/>
      <c r="D60" s="44" t="n"/>
      <c r="E60" s="24">
        <f>IF($A60="","",IFERROR(INDEX('ORDENES'!$D$4:$D$1203,MATCH($A60,'ORDENES'!$AU$4:$AU$1203,0)),"(no encontrada)"))</f>
        <v/>
      </c>
      <c r="F60" s="24">
        <f>IF($A60="","",IF(ISNA(MATCH($A60,'ORDENES'!$AU$4:$AU$1203,0)),"huérfano",IF(COUNTIF($A$4:$A60,$A60)&gt;1,"duplicado (se ignora)","aplicado")))</f>
        <v/>
      </c>
      <c r="G60" s="45">
        <f>IF($F60&lt;&gt;"aplicado","",IF(IFERROR(INDEX('ORDENES'!$K$4:$K$1203,MATCH($A60,'ORDENES'!$AU$4:$AU$1203,0)),"")="","",$B60-IFERROR(INDEX('ORDENES'!$K$4:$K$1203,MATCH($A60,'ORDENES'!$AU$4:$AU$1203,0)),"")))</f>
        <v/>
      </c>
    </row>
    <row r="61">
      <c r="A61" s="4" t="n"/>
      <c r="B61" s="43" t="n"/>
      <c r="C61" s="4" t="n"/>
      <c r="D61" s="44" t="n"/>
      <c r="E61" s="24">
        <f>IF($A61="","",IFERROR(INDEX('ORDENES'!$D$4:$D$1203,MATCH($A61,'ORDENES'!$AU$4:$AU$1203,0)),"(no encontrada)"))</f>
        <v/>
      </c>
      <c r="F61" s="24">
        <f>IF($A61="","",IF(ISNA(MATCH($A61,'ORDENES'!$AU$4:$AU$1203,0)),"huérfano",IF(COUNTIF($A$4:$A61,$A61)&gt;1,"duplicado (se ignora)","aplicado")))</f>
        <v/>
      </c>
      <c r="G61" s="45">
        <f>IF($F61&lt;&gt;"aplicado","",IF(IFERROR(INDEX('ORDENES'!$K$4:$K$1203,MATCH($A61,'ORDENES'!$AU$4:$AU$1203,0)),"")="","",$B61-IFERROR(INDEX('ORDENES'!$K$4:$K$1203,MATCH($A61,'ORDENES'!$AU$4:$AU$1203,0)),"")))</f>
        <v/>
      </c>
    </row>
    <row r="62">
      <c r="A62" s="4" t="n"/>
      <c r="B62" s="43" t="n"/>
      <c r="C62" s="4" t="n"/>
      <c r="D62" s="44" t="n"/>
      <c r="E62" s="24">
        <f>IF($A62="","",IFERROR(INDEX('ORDENES'!$D$4:$D$1203,MATCH($A62,'ORDENES'!$AU$4:$AU$1203,0)),"(no encontrada)"))</f>
        <v/>
      </c>
      <c r="F62" s="24">
        <f>IF($A62="","",IF(ISNA(MATCH($A62,'ORDENES'!$AU$4:$AU$1203,0)),"huérfano",IF(COUNTIF($A$4:$A62,$A62)&gt;1,"duplicado (se ignora)","aplicado")))</f>
        <v/>
      </c>
      <c r="G62" s="45">
        <f>IF($F62&lt;&gt;"aplicado","",IF(IFERROR(INDEX('ORDENES'!$K$4:$K$1203,MATCH($A62,'ORDENES'!$AU$4:$AU$1203,0)),"")="","",$B62-IFERROR(INDEX('ORDENES'!$K$4:$K$1203,MATCH($A62,'ORDENES'!$AU$4:$AU$1203,0)),"")))</f>
        <v/>
      </c>
    </row>
    <row r="63">
      <c r="A63" s="4" t="n"/>
      <c r="B63" s="43" t="n"/>
      <c r="C63" s="4" t="n"/>
      <c r="D63" s="44" t="n"/>
      <c r="E63" s="24">
        <f>IF($A63="","",IFERROR(INDEX('ORDENES'!$D$4:$D$1203,MATCH($A63,'ORDENES'!$AU$4:$AU$1203,0)),"(no encontrada)"))</f>
        <v/>
      </c>
      <c r="F63" s="24">
        <f>IF($A63="","",IF(ISNA(MATCH($A63,'ORDENES'!$AU$4:$AU$1203,0)),"huérfano",IF(COUNTIF($A$4:$A63,$A63)&gt;1,"duplicado (se ignora)","aplicado")))</f>
        <v/>
      </c>
      <c r="G63" s="45">
        <f>IF($F63&lt;&gt;"aplicado","",IF(IFERROR(INDEX('ORDENES'!$K$4:$K$1203,MATCH($A63,'ORDENES'!$AU$4:$AU$1203,0)),"")="","",$B63-IFERROR(INDEX('ORDENES'!$K$4:$K$1203,MATCH($A63,'ORDENES'!$AU$4:$AU$1203,0)),"")))</f>
        <v/>
      </c>
    </row>
    <row r="64">
      <c r="A64" s="4" t="n"/>
      <c r="B64" s="43" t="n"/>
      <c r="C64" s="4" t="n"/>
      <c r="D64" s="44" t="n"/>
      <c r="E64" s="24">
        <f>IF($A64="","",IFERROR(INDEX('ORDENES'!$D$4:$D$1203,MATCH($A64,'ORDENES'!$AU$4:$AU$1203,0)),"(no encontrada)"))</f>
        <v/>
      </c>
      <c r="F64" s="24">
        <f>IF($A64="","",IF(ISNA(MATCH($A64,'ORDENES'!$AU$4:$AU$1203,0)),"huérfano",IF(COUNTIF($A$4:$A64,$A64)&gt;1,"duplicado (se ignora)","aplicado")))</f>
        <v/>
      </c>
      <c r="G64" s="45">
        <f>IF($F64&lt;&gt;"aplicado","",IF(IFERROR(INDEX('ORDENES'!$K$4:$K$1203,MATCH($A64,'ORDENES'!$AU$4:$AU$1203,0)),"")="","",$B64-IFERROR(INDEX('ORDENES'!$K$4:$K$1203,MATCH($A64,'ORDENES'!$AU$4:$AU$1203,0)),"")))</f>
        <v/>
      </c>
    </row>
    <row r="65">
      <c r="A65" s="4" t="n"/>
      <c r="B65" s="43" t="n"/>
      <c r="C65" s="4" t="n"/>
      <c r="D65" s="44" t="n"/>
      <c r="E65" s="24">
        <f>IF($A65="","",IFERROR(INDEX('ORDENES'!$D$4:$D$1203,MATCH($A65,'ORDENES'!$AU$4:$AU$1203,0)),"(no encontrada)"))</f>
        <v/>
      </c>
      <c r="F65" s="24">
        <f>IF($A65="","",IF(ISNA(MATCH($A65,'ORDENES'!$AU$4:$AU$1203,0)),"huérfano",IF(COUNTIF($A$4:$A65,$A65)&gt;1,"duplicado (se ignora)","aplicado")))</f>
        <v/>
      </c>
      <c r="G65" s="45">
        <f>IF($F65&lt;&gt;"aplicado","",IF(IFERROR(INDEX('ORDENES'!$K$4:$K$1203,MATCH($A65,'ORDENES'!$AU$4:$AU$1203,0)),"")="","",$B65-IFERROR(INDEX('ORDENES'!$K$4:$K$1203,MATCH($A65,'ORDENES'!$AU$4:$AU$1203,0)),"")))</f>
        <v/>
      </c>
    </row>
    <row r="66">
      <c r="A66" s="4" t="n"/>
      <c r="B66" s="43" t="n"/>
      <c r="C66" s="4" t="n"/>
      <c r="D66" s="44" t="n"/>
      <c r="E66" s="24">
        <f>IF($A66="","",IFERROR(INDEX('ORDENES'!$D$4:$D$1203,MATCH($A66,'ORDENES'!$AU$4:$AU$1203,0)),"(no encontrada)"))</f>
        <v/>
      </c>
      <c r="F66" s="24">
        <f>IF($A66="","",IF(ISNA(MATCH($A66,'ORDENES'!$AU$4:$AU$1203,0)),"huérfano",IF(COUNTIF($A$4:$A66,$A66)&gt;1,"duplicado (se ignora)","aplicado")))</f>
        <v/>
      </c>
      <c r="G66" s="45">
        <f>IF($F66&lt;&gt;"aplicado","",IF(IFERROR(INDEX('ORDENES'!$K$4:$K$1203,MATCH($A66,'ORDENES'!$AU$4:$AU$1203,0)),"")="","",$B66-IFERROR(INDEX('ORDENES'!$K$4:$K$1203,MATCH($A66,'ORDENES'!$AU$4:$AU$1203,0)),"")))</f>
        <v/>
      </c>
    </row>
    <row r="67">
      <c r="A67" s="4" t="n"/>
      <c r="B67" s="43" t="n"/>
      <c r="C67" s="4" t="n"/>
      <c r="D67" s="44" t="n"/>
      <c r="E67" s="24">
        <f>IF($A67="","",IFERROR(INDEX('ORDENES'!$D$4:$D$1203,MATCH($A67,'ORDENES'!$AU$4:$AU$1203,0)),"(no encontrada)"))</f>
        <v/>
      </c>
      <c r="F67" s="24">
        <f>IF($A67="","",IF(ISNA(MATCH($A67,'ORDENES'!$AU$4:$AU$1203,0)),"huérfano",IF(COUNTIF($A$4:$A67,$A67)&gt;1,"duplicado (se ignora)","aplicado")))</f>
        <v/>
      </c>
      <c r="G67" s="45">
        <f>IF($F67&lt;&gt;"aplicado","",IF(IFERROR(INDEX('ORDENES'!$K$4:$K$1203,MATCH($A67,'ORDENES'!$AU$4:$AU$1203,0)),"")="","",$B67-IFERROR(INDEX('ORDENES'!$K$4:$K$1203,MATCH($A67,'ORDENES'!$AU$4:$AU$1203,0)),"")))</f>
        <v/>
      </c>
    </row>
    <row r="68">
      <c r="A68" s="4" t="n"/>
      <c r="B68" s="43" t="n"/>
      <c r="C68" s="4" t="n"/>
      <c r="D68" s="44" t="n"/>
      <c r="E68" s="24">
        <f>IF($A68="","",IFERROR(INDEX('ORDENES'!$D$4:$D$1203,MATCH($A68,'ORDENES'!$AU$4:$AU$1203,0)),"(no encontrada)"))</f>
        <v/>
      </c>
      <c r="F68" s="24">
        <f>IF($A68="","",IF(ISNA(MATCH($A68,'ORDENES'!$AU$4:$AU$1203,0)),"huérfano",IF(COUNTIF($A$4:$A68,$A68)&gt;1,"duplicado (se ignora)","aplicado")))</f>
        <v/>
      </c>
      <c r="G68" s="45">
        <f>IF($F68&lt;&gt;"aplicado","",IF(IFERROR(INDEX('ORDENES'!$K$4:$K$1203,MATCH($A68,'ORDENES'!$AU$4:$AU$1203,0)),"")="","",$B68-IFERROR(INDEX('ORDENES'!$K$4:$K$1203,MATCH($A68,'ORDENES'!$AU$4:$AU$1203,0)),"")))</f>
        <v/>
      </c>
    </row>
    <row r="69">
      <c r="A69" s="4" t="n"/>
      <c r="B69" s="43" t="n"/>
      <c r="C69" s="4" t="n"/>
      <c r="D69" s="44" t="n"/>
      <c r="E69" s="24">
        <f>IF($A69="","",IFERROR(INDEX('ORDENES'!$D$4:$D$1203,MATCH($A69,'ORDENES'!$AU$4:$AU$1203,0)),"(no encontrada)"))</f>
        <v/>
      </c>
      <c r="F69" s="24">
        <f>IF($A69="","",IF(ISNA(MATCH($A69,'ORDENES'!$AU$4:$AU$1203,0)),"huérfano",IF(COUNTIF($A$4:$A69,$A69)&gt;1,"duplicado (se ignora)","aplicado")))</f>
        <v/>
      </c>
      <c r="G69" s="45">
        <f>IF($F69&lt;&gt;"aplicado","",IF(IFERROR(INDEX('ORDENES'!$K$4:$K$1203,MATCH($A69,'ORDENES'!$AU$4:$AU$1203,0)),"")="","",$B69-IFERROR(INDEX('ORDENES'!$K$4:$K$1203,MATCH($A69,'ORDENES'!$AU$4:$AU$1203,0)),"")))</f>
        <v/>
      </c>
    </row>
    <row r="70">
      <c r="A70" s="4" t="n"/>
      <c r="B70" s="43" t="n"/>
      <c r="C70" s="4" t="n"/>
      <c r="D70" s="44" t="n"/>
      <c r="E70" s="24">
        <f>IF($A70="","",IFERROR(INDEX('ORDENES'!$D$4:$D$1203,MATCH($A70,'ORDENES'!$AU$4:$AU$1203,0)),"(no encontrada)"))</f>
        <v/>
      </c>
      <c r="F70" s="24">
        <f>IF($A70="","",IF(ISNA(MATCH($A70,'ORDENES'!$AU$4:$AU$1203,0)),"huérfano",IF(COUNTIF($A$4:$A70,$A70)&gt;1,"duplicado (se ignora)","aplicado")))</f>
        <v/>
      </c>
      <c r="G70" s="45">
        <f>IF($F70&lt;&gt;"aplicado","",IF(IFERROR(INDEX('ORDENES'!$K$4:$K$1203,MATCH($A70,'ORDENES'!$AU$4:$AU$1203,0)),"")="","",$B70-IFERROR(INDEX('ORDENES'!$K$4:$K$1203,MATCH($A70,'ORDENES'!$AU$4:$AU$1203,0)),"")))</f>
        <v/>
      </c>
    </row>
    <row r="71">
      <c r="A71" s="4" t="n"/>
      <c r="B71" s="43" t="n"/>
      <c r="C71" s="4" t="n"/>
      <c r="D71" s="44" t="n"/>
      <c r="E71" s="24">
        <f>IF($A71="","",IFERROR(INDEX('ORDENES'!$D$4:$D$1203,MATCH($A71,'ORDENES'!$AU$4:$AU$1203,0)),"(no encontrada)"))</f>
        <v/>
      </c>
      <c r="F71" s="24">
        <f>IF($A71="","",IF(ISNA(MATCH($A71,'ORDENES'!$AU$4:$AU$1203,0)),"huérfano",IF(COUNTIF($A$4:$A71,$A71)&gt;1,"duplicado (se ignora)","aplicado")))</f>
        <v/>
      </c>
      <c r="G71" s="45">
        <f>IF($F71&lt;&gt;"aplicado","",IF(IFERROR(INDEX('ORDENES'!$K$4:$K$1203,MATCH($A71,'ORDENES'!$AU$4:$AU$1203,0)),"")="","",$B71-IFERROR(INDEX('ORDENES'!$K$4:$K$1203,MATCH($A71,'ORDENES'!$AU$4:$AU$1203,0)),"")))</f>
        <v/>
      </c>
    </row>
    <row r="72">
      <c r="A72" s="4" t="n"/>
      <c r="B72" s="43" t="n"/>
      <c r="C72" s="4" t="n"/>
      <c r="D72" s="44" t="n"/>
      <c r="E72" s="24">
        <f>IF($A72="","",IFERROR(INDEX('ORDENES'!$D$4:$D$1203,MATCH($A72,'ORDENES'!$AU$4:$AU$1203,0)),"(no encontrada)"))</f>
        <v/>
      </c>
      <c r="F72" s="24">
        <f>IF($A72="","",IF(ISNA(MATCH($A72,'ORDENES'!$AU$4:$AU$1203,0)),"huérfano",IF(COUNTIF($A$4:$A72,$A72)&gt;1,"duplicado (se ignora)","aplicado")))</f>
        <v/>
      </c>
      <c r="G72" s="45">
        <f>IF($F72&lt;&gt;"aplicado","",IF(IFERROR(INDEX('ORDENES'!$K$4:$K$1203,MATCH($A72,'ORDENES'!$AU$4:$AU$1203,0)),"")="","",$B72-IFERROR(INDEX('ORDENES'!$K$4:$K$1203,MATCH($A72,'ORDENES'!$AU$4:$AU$1203,0)),"")))</f>
        <v/>
      </c>
    </row>
    <row r="73">
      <c r="A73" s="4" t="n"/>
      <c r="B73" s="43" t="n"/>
      <c r="C73" s="4" t="n"/>
      <c r="D73" s="44" t="n"/>
      <c r="E73" s="24">
        <f>IF($A73="","",IFERROR(INDEX('ORDENES'!$D$4:$D$1203,MATCH($A73,'ORDENES'!$AU$4:$AU$1203,0)),"(no encontrada)"))</f>
        <v/>
      </c>
      <c r="F73" s="24">
        <f>IF($A73="","",IF(ISNA(MATCH($A73,'ORDENES'!$AU$4:$AU$1203,0)),"huérfano",IF(COUNTIF($A$4:$A73,$A73)&gt;1,"duplicado (se ignora)","aplicado")))</f>
        <v/>
      </c>
      <c r="G73" s="45">
        <f>IF($F73&lt;&gt;"aplicado","",IF(IFERROR(INDEX('ORDENES'!$K$4:$K$1203,MATCH($A73,'ORDENES'!$AU$4:$AU$1203,0)),"")="","",$B73-IFERROR(INDEX('ORDENES'!$K$4:$K$1203,MATCH($A73,'ORDENES'!$AU$4:$AU$1203,0)),"")))</f>
        <v/>
      </c>
    </row>
    <row r="74">
      <c r="A74" s="4" t="n"/>
      <c r="B74" s="43" t="n"/>
      <c r="C74" s="4" t="n"/>
      <c r="D74" s="44" t="n"/>
      <c r="E74" s="24">
        <f>IF($A74="","",IFERROR(INDEX('ORDENES'!$D$4:$D$1203,MATCH($A74,'ORDENES'!$AU$4:$AU$1203,0)),"(no encontrada)"))</f>
        <v/>
      </c>
      <c r="F74" s="24">
        <f>IF($A74="","",IF(ISNA(MATCH($A74,'ORDENES'!$AU$4:$AU$1203,0)),"huérfano",IF(COUNTIF($A$4:$A74,$A74)&gt;1,"duplicado (se ignora)","aplicado")))</f>
        <v/>
      </c>
      <c r="G74" s="45">
        <f>IF($F74&lt;&gt;"aplicado","",IF(IFERROR(INDEX('ORDENES'!$K$4:$K$1203,MATCH($A74,'ORDENES'!$AU$4:$AU$1203,0)),"")="","",$B74-IFERROR(INDEX('ORDENES'!$K$4:$K$1203,MATCH($A74,'ORDENES'!$AU$4:$AU$1203,0)),"")))</f>
        <v/>
      </c>
    </row>
    <row r="75">
      <c r="A75" s="4" t="n"/>
      <c r="B75" s="43" t="n"/>
      <c r="C75" s="4" t="n"/>
      <c r="D75" s="44" t="n"/>
      <c r="E75" s="24">
        <f>IF($A75="","",IFERROR(INDEX('ORDENES'!$D$4:$D$1203,MATCH($A75,'ORDENES'!$AU$4:$AU$1203,0)),"(no encontrada)"))</f>
        <v/>
      </c>
      <c r="F75" s="24">
        <f>IF($A75="","",IF(ISNA(MATCH($A75,'ORDENES'!$AU$4:$AU$1203,0)),"huérfano",IF(COUNTIF($A$4:$A75,$A75)&gt;1,"duplicado (se ignora)","aplicado")))</f>
        <v/>
      </c>
      <c r="G75" s="45">
        <f>IF($F75&lt;&gt;"aplicado","",IF(IFERROR(INDEX('ORDENES'!$K$4:$K$1203,MATCH($A75,'ORDENES'!$AU$4:$AU$1203,0)),"")="","",$B75-IFERROR(INDEX('ORDENES'!$K$4:$K$1203,MATCH($A75,'ORDENES'!$AU$4:$AU$1203,0)),"")))</f>
        <v/>
      </c>
    </row>
    <row r="76">
      <c r="A76" s="4" t="n"/>
      <c r="B76" s="43" t="n"/>
      <c r="C76" s="4" t="n"/>
      <c r="D76" s="44" t="n"/>
      <c r="E76" s="24">
        <f>IF($A76="","",IFERROR(INDEX('ORDENES'!$D$4:$D$1203,MATCH($A76,'ORDENES'!$AU$4:$AU$1203,0)),"(no encontrada)"))</f>
        <v/>
      </c>
      <c r="F76" s="24">
        <f>IF($A76="","",IF(ISNA(MATCH($A76,'ORDENES'!$AU$4:$AU$1203,0)),"huérfano",IF(COUNTIF($A$4:$A76,$A76)&gt;1,"duplicado (se ignora)","aplicado")))</f>
        <v/>
      </c>
      <c r="G76" s="45">
        <f>IF($F76&lt;&gt;"aplicado","",IF(IFERROR(INDEX('ORDENES'!$K$4:$K$1203,MATCH($A76,'ORDENES'!$AU$4:$AU$1203,0)),"")="","",$B76-IFERROR(INDEX('ORDENES'!$K$4:$K$1203,MATCH($A76,'ORDENES'!$AU$4:$AU$1203,0)),"")))</f>
        <v/>
      </c>
    </row>
    <row r="77">
      <c r="A77" s="4" t="n"/>
      <c r="B77" s="43" t="n"/>
      <c r="C77" s="4" t="n"/>
      <c r="D77" s="44" t="n"/>
      <c r="E77" s="24">
        <f>IF($A77="","",IFERROR(INDEX('ORDENES'!$D$4:$D$1203,MATCH($A77,'ORDENES'!$AU$4:$AU$1203,0)),"(no encontrada)"))</f>
        <v/>
      </c>
      <c r="F77" s="24">
        <f>IF($A77="","",IF(ISNA(MATCH($A77,'ORDENES'!$AU$4:$AU$1203,0)),"huérfano",IF(COUNTIF($A$4:$A77,$A77)&gt;1,"duplicado (se ignora)","aplicado")))</f>
        <v/>
      </c>
      <c r="G77" s="45">
        <f>IF($F77&lt;&gt;"aplicado","",IF(IFERROR(INDEX('ORDENES'!$K$4:$K$1203,MATCH($A77,'ORDENES'!$AU$4:$AU$1203,0)),"")="","",$B77-IFERROR(INDEX('ORDENES'!$K$4:$K$1203,MATCH($A77,'ORDENES'!$AU$4:$AU$1203,0)),"")))</f>
        <v/>
      </c>
    </row>
    <row r="78">
      <c r="A78" s="4" t="n"/>
      <c r="B78" s="43" t="n"/>
      <c r="C78" s="4" t="n"/>
      <c r="D78" s="44" t="n"/>
      <c r="E78" s="24">
        <f>IF($A78="","",IFERROR(INDEX('ORDENES'!$D$4:$D$1203,MATCH($A78,'ORDENES'!$AU$4:$AU$1203,0)),"(no encontrada)"))</f>
        <v/>
      </c>
      <c r="F78" s="24">
        <f>IF($A78="","",IF(ISNA(MATCH($A78,'ORDENES'!$AU$4:$AU$1203,0)),"huérfano",IF(COUNTIF($A$4:$A78,$A78)&gt;1,"duplicado (se ignora)","aplicado")))</f>
        <v/>
      </c>
      <c r="G78" s="45">
        <f>IF($F78&lt;&gt;"aplicado","",IF(IFERROR(INDEX('ORDENES'!$K$4:$K$1203,MATCH($A78,'ORDENES'!$AU$4:$AU$1203,0)),"")="","",$B78-IFERROR(INDEX('ORDENES'!$K$4:$K$1203,MATCH($A78,'ORDENES'!$AU$4:$AU$1203,0)),"")))</f>
        <v/>
      </c>
    </row>
    <row r="79">
      <c r="A79" s="4" t="n"/>
      <c r="B79" s="43" t="n"/>
      <c r="C79" s="4" t="n"/>
      <c r="D79" s="44" t="n"/>
      <c r="E79" s="24">
        <f>IF($A79="","",IFERROR(INDEX('ORDENES'!$D$4:$D$1203,MATCH($A79,'ORDENES'!$AU$4:$AU$1203,0)),"(no encontrada)"))</f>
        <v/>
      </c>
      <c r="F79" s="24">
        <f>IF($A79="","",IF(ISNA(MATCH($A79,'ORDENES'!$AU$4:$AU$1203,0)),"huérfano",IF(COUNTIF($A$4:$A79,$A79)&gt;1,"duplicado (se ignora)","aplicado")))</f>
        <v/>
      </c>
      <c r="G79" s="45">
        <f>IF($F79&lt;&gt;"aplicado","",IF(IFERROR(INDEX('ORDENES'!$K$4:$K$1203,MATCH($A79,'ORDENES'!$AU$4:$AU$1203,0)),"")="","",$B79-IFERROR(INDEX('ORDENES'!$K$4:$K$1203,MATCH($A79,'ORDENES'!$AU$4:$AU$1203,0)),"")))</f>
        <v/>
      </c>
    </row>
    <row r="80">
      <c r="A80" s="4" t="n"/>
      <c r="B80" s="43" t="n"/>
      <c r="C80" s="4" t="n"/>
      <c r="D80" s="44" t="n"/>
      <c r="E80" s="24">
        <f>IF($A80="","",IFERROR(INDEX('ORDENES'!$D$4:$D$1203,MATCH($A80,'ORDENES'!$AU$4:$AU$1203,0)),"(no encontrada)"))</f>
        <v/>
      </c>
      <c r="F80" s="24">
        <f>IF($A80="","",IF(ISNA(MATCH($A80,'ORDENES'!$AU$4:$AU$1203,0)),"huérfano",IF(COUNTIF($A$4:$A80,$A80)&gt;1,"duplicado (se ignora)","aplicado")))</f>
        <v/>
      </c>
      <c r="G80" s="45">
        <f>IF($F80&lt;&gt;"aplicado","",IF(IFERROR(INDEX('ORDENES'!$K$4:$K$1203,MATCH($A80,'ORDENES'!$AU$4:$AU$1203,0)),"")="","",$B80-IFERROR(INDEX('ORDENES'!$K$4:$K$1203,MATCH($A80,'ORDENES'!$AU$4:$AU$1203,0)),"")))</f>
        <v/>
      </c>
    </row>
    <row r="81">
      <c r="A81" s="4" t="n"/>
      <c r="B81" s="43" t="n"/>
      <c r="C81" s="4" t="n"/>
      <c r="D81" s="44" t="n"/>
      <c r="E81" s="24">
        <f>IF($A81="","",IFERROR(INDEX('ORDENES'!$D$4:$D$1203,MATCH($A81,'ORDENES'!$AU$4:$AU$1203,0)),"(no encontrada)"))</f>
        <v/>
      </c>
      <c r="F81" s="24">
        <f>IF($A81="","",IF(ISNA(MATCH($A81,'ORDENES'!$AU$4:$AU$1203,0)),"huérfano",IF(COUNTIF($A$4:$A81,$A81)&gt;1,"duplicado (se ignora)","aplicado")))</f>
        <v/>
      </c>
      <c r="G81" s="45">
        <f>IF($F81&lt;&gt;"aplicado","",IF(IFERROR(INDEX('ORDENES'!$K$4:$K$1203,MATCH($A81,'ORDENES'!$AU$4:$AU$1203,0)),"")="","",$B81-IFERROR(INDEX('ORDENES'!$K$4:$K$1203,MATCH($A81,'ORDENES'!$AU$4:$AU$1203,0)),"")))</f>
        <v/>
      </c>
    </row>
    <row r="82">
      <c r="A82" s="4" t="n"/>
      <c r="B82" s="43" t="n"/>
      <c r="C82" s="4" t="n"/>
      <c r="D82" s="44" t="n"/>
      <c r="E82" s="24">
        <f>IF($A82="","",IFERROR(INDEX('ORDENES'!$D$4:$D$1203,MATCH($A82,'ORDENES'!$AU$4:$AU$1203,0)),"(no encontrada)"))</f>
        <v/>
      </c>
      <c r="F82" s="24">
        <f>IF($A82="","",IF(ISNA(MATCH($A82,'ORDENES'!$AU$4:$AU$1203,0)),"huérfano",IF(COUNTIF($A$4:$A82,$A82)&gt;1,"duplicado (se ignora)","aplicado")))</f>
        <v/>
      </c>
      <c r="G82" s="45">
        <f>IF($F82&lt;&gt;"aplicado","",IF(IFERROR(INDEX('ORDENES'!$K$4:$K$1203,MATCH($A82,'ORDENES'!$AU$4:$AU$1203,0)),"")="","",$B82-IFERROR(INDEX('ORDENES'!$K$4:$K$1203,MATCH($A82,'ORDENES'!$AU$4:$AU$1203,0)),"")))</f>
        <v/>
      </c>
    </row>
    <row r="83">
      <c r="A83" s="4" t="n"/>
      <c r="B83" s="43" t="n"/>
      <c r="C83" s="4" t="n"/>
      <c r="D83" s="44" t="n"/>
      <c r="E83" s="24">
        <f>IF($A83="","",IFERROR(INDEX('ORDENES'!$D$4:$D$1203,MATCH($A83,'ORDENES'!$AU$4:$AU$1203,0)),"(no encontrada)"))</f>
        <v/>
      </c>
      <c r="F83" s="24">
        <f>IF($A83="","",IF(ISNA(MATCH($A83,'ORDENES'!$AU$4:$AU$1203,0)),"huérfano",IF(COUNTIF($A$4:$A83,$A83)&gt;1,"duplicado (se ignora)","aplicado")))</f>
        <v/>
      </c>
      <c r="G83" s="45">
        <f>IF($F83&lt;&gt;"aplicado","",IF(IFERROR(INDEX('ORDENES'!$K$4:$K$1203,MATCH($A83,'ORDENES'!$AU$4:$AU$1203,0)),"")="","",$B83-IFERROR(INDEX('ORDENES'!$K$4:$K$1203,MATCH($A83,'ORDENES'!$AU$4:$AU$1203,0)),"")))</f>
        <v/>
      </c>
    </row>
    <row r="84">
      <c r="A84" s="4" t="n"/>
      <c r="B84" s="43" t="n"/>
      <c r="C84" s="4" t="n"/>
      <c r="D84" s="44" t="n"/>
      <c r="E84" s="24">
        <f>IF($A84="","",IFERROR(INDEX('ORDENES'!$D$4:$D$1203,MATCH($A84,'ORDENES'!$AU$4:$AU$1203,0)),"(no encontrada)"))</f>
        <v/>
      </c>
      <c r="F84" s="24">
        <f>IF($A84="","",IF(ISNA(MATCH($A84,'ORDENES'!$AU$4:$AU$1203,0)),"huérfano",IF(COUNTIF($A$4:$A84,$A84)&gt;1,"duplicado (se ignora)","aplicado")))</f>
        <v/>
      </c>
      <c r="G84" s="45">
        <f>IF($F84&lt;&gt;"aplicado","",IF(IFERROR(INDEX('ORDENES'!$K$4:$K$1203,MATCH($A84,'ORDENES'!$AU$4:$AU$1203,0)),"")="","",$B84-IFERROR(INDEX('ORDENES'!$K$4:$K$1203,MATCH($A84,'ORDENES'!$AU$4:$AU$1203,0)),"")))</f>
        <v/>
      </c>
    </row>
    <row r="85">
      <c r="A85" s="4" t="n"/>
      <c r="B85" s="43" t="n"/>
      <c r="C85" s="4" t="n"/>
      <c r="D85" s="44" t="n"/>
      <c r="E85" s="24">
        <f>IF($A85="","",IFERROR(INDEX('ORDENES'!$D$4:$D$1203,MATCH($A85,'ORDENES'!$AU$4:$AU$1203,0)),"(no encontrada)"))</f>
        <v/>
      </c>
      <c r="F85" s="24">
        <f>IF($A85="","",IF(ISNA(MATCH($A85,'ORDENES'!$AU$4:$AU$1203,0)),"huérfano",IF(COUNTIF($A$4:$A85,$A85)&gt;1,"duplicado (se ignora)","aplicado")))</f>
        <v/>
      </c>
      <c r="G85" s="45">
        <f>IF($F85&lt;&gt;"aplicado","",IF(IFERROR(INDEX('ORDENES'!$K$4:$K$1203,MATCH($A85,'ORDENES'!$AU$4:$AU$1203,0)),"")="","",$B85-IFERROR(INDEX('ORDENES'!$K$4:$K$1203,MATCH($A85,'ORDENES'!$AU$4:$AU$1203,0)),"")))</f>
        <v/>
      </c>
    </row>
    <row r="86">
      <c r="A86" s="4" t="n"/>
      <c r="B86" s="43" t="n"/>
      <c r="C86" s="4" t="n"/>
      <c r="D86" s="44" t="n"/>
      <c r="E86" s="24">
        <f>IF($A86="","",IFERROR(INDEX('ORDENES'!$D$4:$D$1203,MATCH($A86,'ORDENES'!$AU$4:$AU$1203,0)),"(no encontrada)"))</f>
        <v/>
      </c>
      <c r="F86" s="24">
        <f>IF($A86="","",IF(ISNA(MATCH($A86,'ORDENES'!$AU$4:$AU$1203,0)),"huérfano",IF(COUNTIF($A$4:$A86,$A86)&gt;1,"duplicado (se ignora)","aplicado")))</f>
        <v/>
      </c>
      <c r="G86" s="45">
        <f>IF($F86&lt;&gt;"aplicado","",IF(IFERROR(INDEX('ORDENES'!$K$4:$K$1203,MATCH($A86,'ORDENES'!$AU$4:$AU$1203,0)),"")="","",$B86-IFERROR(INDEX('ORDENES'!$K$4:$K$1203,MATCH($A86,'ORDENES'!$AU$4:$AU$1203,0)),"")))</f>
        <v/>
      </c>
    </row>
    <row r="87">
      <c r="A87" s="4" t="n"/>
      <c r="B87" s="43" t="n"/>
      <c r="C87" s="4" t="n"/>
      <c r="D87" s="44" t="n"/>
      <c r="E87" s="24">
        <f>IF($A87="","",IFERROR(INDEX('ORDENES'!$D$4:$D$1203,MATCH($A87,'ORDENES'!$AU$4:$AU$1203,0)),"(no encontrada)"))</f>
        <v/>
      </c>
      <c r="F87" s="24">
        <f>IF($A87="","",IF(ISNA(MATCH($A87,'ORDENES'!$AU$4:$AU$1203,0)),"huérfano",IF(COUNTIF($A$4:$A87,$A87)&gt;1,"duplicado (se ignora)","aplicado")))</f>
        <v/>
      </c>
      <c r="G87" s="45">
        <f>IF($F87&lt;&gt;"aplicado","",IF(IFERROR(INDEX('ORDENES'!$K$4:$K$1203,MATCH($A87,'ORDENES'!$AU$4:$AU$1203,0)),"")="","",$B87-IFERROR(INDEX('ORDENES'!$K$4:$K$1203,MATCH($A87,'ORDENES'!$AU$4:$AU$1203,0)),"")))</f>
        <v/>
      </c>
    </row>
    <row r="88">
      <c r="A88" s="4" t="n"/>
      <c r="B88" s="43" t="n"/>
      <c r="C88" s="4" t="n"/>
      <c r="D88" s="44" t="n"/>
      <c r="E88" s="24">
        <f>IF($A88="","",IFERROR(INDEX('ORDENES'!$D$4:$D$1203,MATCH($A88,'ORDENES'!$AU$4:$AU$1203,0)),"(no encontrada)"))</f>
        <v/>
      </c>
      <c r="F88" s="24">
        <f>IF($A88="","",IF(ISNA(MATCH($A88,'ORDENES'!$AU$4:$AU$1203,0)),"huérfano",IF(COUNTIF($A$4:$A88,$A88)&gt;1,"duplicado (se ignora)","aplicado")))</f>
        <v/>
      </c>
      <c r="G88" s="45">
        <f>IF($F88&lt;&gt;"aplicado","",IF(IFERROR(INDEX('ORDENES'!$K$4:$K$1203,MATCH($A88,'ORDENES'!$AU$4:$AU$1203,0)),"")="","",$B88-IFERROR(INDEX('ORDENES'!$K$4:$K$1203,MATCH($A88,'ORDENES'!$AU$4:$AU$1203,0)),"")))</f>
        <v/>
      </c>
    </row>
    <row r="89">
      <c r="A89" s="4" t="n"/>
      <c r="B89" s="43" t="n"/>
      <c r="C89" s="4" t="n"/>
      <c r="D89" s="44" t="n"/>
      <c r="E89" s="24">
        <f>IF($A89="","",IFERROR(INDEX('ORDENES'!$D$4:$D$1203,MATCH($A89,'ORDENES'!$AU$4:$AU$1203,0)),"(no encontrada)"))</f>
        <v/>
      </c>
      <c r="F89" s="24">
        <f>IF($A89="","",IF(ISNA(MATCH($A89,'ORDENES'!$AU$4:$AU$1203,0)),"huérfano",IF(COUNTIF($A$4:$A89,$A89)&gt;1,"duplicado (se ignora)","aplicado")))</f>
        <v/>
      </c>
      <c r="G89" s="45">
        <f>IF($F89&lt;&gt;"aplicado","",IF(IFERROR(INDEX('ORDENES'!$K$4:$K$1203,MATCH($A89,'ORDENES'!$AU$4:$AU$1203,0)),"")="","",$B89-IFERROR(INDEX('ORDENES'!$K$4:$K$1203,MATCH($A89,'ORDENES'!$AU$4:$AU$1203,0)),"")))</f>
        <v/>
      </c>
    </row>
    <row r="90">
      <c r="A90" s="4" t="n"/>
      <c r="B90" s="43" t="n"/>
      <c r="C90" s="4" t="n"/>
      <c r="D90" s="44" t="n"/>
      <c r="E90" s="24">
        <f>IF($A90="","",IFERROR(INDEX('ORDENES'!$D$4:$D$1203,MATCH($A90,'ORDENES'!$AU$4:$AU$1203,0)),"(no encontrada)"))</f>
        <v/>
      </c>
      <c r="F90" s="24">
        <f>IF($A90="","",IF(ISNA(MATCH($A90,'ORDENES'!$AU$4:$AU$1203,0)),"huérfano",IF(COUNTIF($A$4:$A90,$A90)&gt;1,"duplicado (se ignora)","aplicado")))</f>
        <v/>
      </c>
      <c r="G90" s="45">
        <f>IF($F90&lt;&gt;"aplicado","",IF(IFERROR(INDEX('ORDENES'!$K$4:$K$1203,MATCH($A90,'ORDENES'!$AU$4:$AU$1203,0)),"")="","",$B90-IFERROR(INDEX('ORDENES'!$K$4:$K$1203,MATCH($A90,'ORDENES'!$AU$4:$AU$1203,0)),"")))</f>
        <v/>
      </c>
    </row>
    <row r="91">
      <c r="A91" s="4" t="n"/>
      <c r="B91" s="43" t="n"/>
      <c r="C91" s="4" t="n"/>
      <c r="D91" s="44" t="n"/>
      <c r="E91" s="24">
        <f>IF($A91="","",IFERROR(INDEX('ORDENES'!$D$4:$D$1203,MATCH($A91,'ORDENES'!$AU$4:$AU$1203,0)),"(no encontrada)"))</f>
        <v/>
      </c>
      <c r="F91" s="24">
        <f>IF($A91="","",IF(ISNA(MATCH($A91,'ORDENES'!$AU$4:$AU$1203,0)),"huérfano",IF(COUNTIF($A$4:$A91,$A91)&gt;1,"duplicado (se ignora)","aplicado")))</f>
        <v/>
      </c>
      <c r="G91" s="45">
        <f>IF($F91&lt;&gt;"aplicado","",IF(IFERROR(INDEX('ORDENES'!$K$4:$K$1203,MATCH($A91,'ORDENES'!$AU$4:$AU$1203,0)),"")="","",$B91-IFERROR(INDEX('ORDENES'!$K$4:$K$1203,MATCH($A91,'ORDENES'!$AU$4:$AU$1203,0)),"")))</f>
        <v/>
      </c>
    </row>
    <row r="92">
      <c r="A92" s="4" t="n"/>
      <c r="B92" s="43" t="n"/>
      <c r="C92" s="4" t="n"/>
      <c r="D92" s="44" t="n"/>
      <c r="E92" s="24">
        <f>IF($A92="","",IFERROR(INDEX('ORDENES'!$D$4:$D$1203,MATCH($A92,'ORDENES'!$AU$4:$AU$1203,0)),"(no encontrada)"))</f>
        <v/>
      </c>
      <c r="F92" s="24">
        <f>IF($A92="","",IF(ISNA(MATCH($A92,'ORDENES'!$AU$4:$AU$1203,0)),"huérfano",IF(COUNTIF($A$4:$A92,$A92)&gt;1,"duplicado (se ignora)","aplicado")))</f>
        <v/>
      </c>
      <c r="G92" s="45">
        <f>IF($F92&lt;&gt;"aplicado","",IF(IFERROR(INDEX('ORDENES'!$K$4:$K$1203,MATCH($A92,'ORDENES'!$AU$4:$AU$1203,0)),"")="","",$B92-IFERROR(INDEX('ORDENES'!$K$4:$K$1203,MATCH($A92,'ORDENES'!$AU$4:$AU$1203,0)),"")))</f>
        <v/>
      </c>
    </row>
    <row r="93">
      <c r="A93" s="4" t="n"/>
      <c r="B93" s="43" t="n"/>
      <c r="C93" s="4" t="n"/>
      <c r="D93" s="44" t="n"/>
      <c r="E93" s="24">
        <f>IF($A93="","",IFERROR(INDEX('ORDENES'!$D$4:$D$1203,MATCH($A93,'ORDENES'!$AU$4:$AU$1203,0)),"(no encontrada)"))</f>
        <v/>
      </c>
      <c r="F93" s="24">
        <f>IF($A93="","",IF(ISNA(MATCH($A93,'ORDENES'!$AU$4:$AU$1203,0)),"huérfano",IF(COUNTIF($A$4:$A93,$A93)&gt;1,"duplicado (se ignora)","aplicado")))</f>
        <v/>
      </c>
      <c r="G93" s="45">
        <f>IF($F93&lt;&gt;"aplicado","",IF(IFERROR(INDEX('ORDENES'!$K$4:$K$1203,MATCH($A93,'ORDENES'!$AU$4:$AU$1203,0)),"")="","",$B93-IFERROR(INDEX('ORDENES'!$K$4:$K$1203,MATCH($A93,'ORDENES'!$AU$4:$AU$1203,0)),"")))</f>
        <v/>
      </c>
    </row>
    <row r="94">
      <c r="A94" s="4" t="n"/>
      <c r="B94" s="43" t="n"/>
      <c r="C94" s="4" t="n"/>
      <c r="D94" s="44" t="n"/>
      <c r="E94" s="24">
        <f>IF($A94="","",IFERROR(INDEX('ORDENES'!$D$4:$D$1203,MATCH($A94,'ORDENES'!$AU$4:$AU$1203,0)),"(no encontrada)"))</f>
        <v/>
      </c>
      <c r="F94" s="24">
        <f>IF($A94="","",IF(ISNA(MATCH($A94,'ORDENES'!$AU$4:$AU$1203,0)),"huérfano",IF(COUNTIF($A$4:$A94,$A94)&gt;1,"duplicado (se ignora)","aplicado")))</f>
        <v/>
      </c>
      <c r="G94" s="45">
        <f>IF($F94&lt;&gt;"aplicado","",IF(IFERROR(INDEX('ORDENES'!$K$4:$K$1203,MATCH($A94,'ORDENES'!$AU$4:$AU$1203,0)),"")="","",$B94-IFERROR(INDEX('ORDENES'!$K$4:$K$1203,MATCH($A94,'ORDENES'!$AU$4:$AU$1203,0)),"")))</f>
        <v/>
      </c>
    </row>
    <row r="95">
      <c r="A95" s="4" t="n"/>
      <c r="B95" s="43" t="n"/>
      <c r="C95" s="4" t="n"/>
      <c r="D95" s="44" t="n"/>
      <c r="E95" s="24">
        <f>IF($A95="","",IFERROR(INDEX('ORDENES'!$D$4:$D$1203,MATCH($A95,'ORDENES'!$AU$4:$AU$1203,0)),"(no encontrada)"))</f>
        <v/>
      </c>
      <c r="F95" s="24">
        <f>IF($A95="","",IF(ISNA(MATCH($A95,'ORDENES'!$AU$4:$AU$1203,0)),"huérfano",IF(COUNTIF($A$4:$A95,$A95)&gt;1,"duplicado (se ignora)","aplicado")))</f>
        <v/>
      </c>
      <c r="G95" s="45">
        <f>IF($F95&lt;&gt;"aplicado","",IF(IFERROR(INDEX('ORDENES'!$K$4:$K$1203,MATCH($A95,'ORDENES'!$AU$4:$AU$1203,0)),"")="","",$B95-IFERROR(INDEX('ORDENES'!$K$4:$K$1203,MATCH($A95,'ORDENES'!$AU$4:$AU$1203,0)),"")))</f>
        <v/>
      </c>
    </row>
    <row r="96">
      <c r="A96" s="4" t="n"/>
      <c r="B96" s="43" t="n"/>
      <c r="C96" s="4" t="n"/>
      <c r="D96" s="44" t="n"/>
      <c r="E96" s="24">
        <f>IF($A96="","",IFERROR(INDEX('ORDENES'!$D$4:$D$1203,MATCH($A96,'ORDENES'!$AU$4:$AU$1203,0)),"(no encontrada)"))</f>
        <v/>
      </c>
      <c r="F96" s="24">
        <f>IF($A96="","",IF(ISNA(MATCH($A96,'ORDENES'!$AU$4:$AU$1203,0)),"huérfano",IF(COUNTIF($A$4:$A96,$A96)&gt;1,"duplicado (se ignora)","aplicado")))</f>
        <v/>
      </c>
      <c r="G96" s="45">
        <f>IF($F96&lt;&gt;"aplicado","",IF(IFERROR(INDEX('ORDENES'!$K$4:$K$1203,MATCH($A96,'ORDENES'!$AU$4:$AU$1203,0)),"")="","",$B96-IFERROR(INDEX('ORDENES'!$K$4:$K$1203,MATCH($A96,'ORDENES'!$AU$4:$AU$1203,0)),"")))</f>
        <v/>
      </c>
    </row>
    <row r="97">
      <c r="A97" s="4" t="n"/>
      <c r="B97" s="43" t="n"/>
      <c r="C97" s="4" t="n"/>
      <c r="D97" s="44" t="n"/>
      <c r="E97" s="24">
        <f>IF($A97="","",IFERROR(INDEX('ORDENES'!$D$4:$D$1203,MATCH($A97,'ORDENES'!$AU$4:$AU$1203,0)),"(no encontrada)"))</f>
        <v/>
      </c>
      <c r="F97" s="24">
        <f>IF($A97="","",IF(ISNA(MATCH($A97,'ORDENES'!$AU$4:$AU$1203,0)),"huérfano",IF(COUNTIF($A$4:$A97,$A97)&gt;1,"duplicado (se ignora)","aplicado")))</f>
        <v/>
      </c>
      <c r="G97" s="45">
        <f>IF($F97&lt;&gt;"aplicado","",IF(IFERROR(INDEX('ORDENES'!$K$4:$K$1203,MATCH($A97,'ORDENES'!$AU$4:$AU$1203,0)),"")="","",$B97-IFERROR(INDEX('ORDENES'!$K$4:$K$1203,MATCH($A97,'ORDENES'!$AU$4:$AU$1203,0)),"")))</f>
        <v/>
      </c>
    </row>
    <row r="98">
      <c r="A98" s="4" t="n"/>
      <c r="B98" s="43" t="n"/>
      <c r="C98" s="4" t="n"/>
      <c r="D98" s="44" t="n"/>
      <c r="E98" s="24">
        <f>IF($A98="","",IFERROR(INDEX('ORDENES'!$D$4:$D$1203,MATCH($A98,'ORDENES'!$AU$4:$AU$1203,0)),"(no encontrada)"))</f>
        <v/>
      </c>
      <c r="F98" s="24">
        <f>IF($A98="","",IF(ISNA(MATCH($A98,'ORDENES'!$AU$4:$AU$1203,0)),"huérfano",IF(COUNTIF($A$4:$A98,$A98)&gt;1,"duplicado (se ignora)","aplicado")))</f>
        <v/>
      </c>
      <c r="G98" s="45">
        <f>IF($F98&lt;&gt;"aplicado","",IF(IFERROR(INDEX('ORDENES'!$K$4:$K$1203,MATCH($A98,'ORDENES'!$AU$4:$AU$1203,0)),"")="","",$B98-IFERROR(INDEX('ORDENES'!$K$4:$K$1203,MATCH($A98,'ORDENES'!$AU$4:$AU$1203,0)),"")))</f>
        <v/>
      </c>
    </row>
    <row r="99">
      <c r="A99" s="4" t="n"/>
      <c r="B99" s="43" t="n"/>
      <c r="C99" s="4" t="n"/>
      <c r="D99" s="44" t="n"/>
      <c r="E99" s="24">
        <f>IF($A99="","",IFERROR(INDEX('ORDENES'!$D$4:$D$1203,MATCH($A99,'ORDENES'!$AU$4:$AU$1203,0)),"(no encontrada)"))</f>
        <v/>
      </c>
      <c r="F99" s="24">
        <f>IF($A99="","",IF(ISNA(MATCH($A99,'ORDENES'!$AU$4:$AU$1203,0)),"huérfano",IF(COUNTIF($A$4:$A99,$A99)&gt;1,"duplicado (se ignora)","aplicado")))</f>
        <v/>
      </c>
      <c r="G99" s="45">
        <f>IF($F99&lt;&gt;"aplicado","",IF(IFERROR(INDEX('ORDENES'!$K$4:$K$1203,MATCH($A99,'ORDENES'!$AU$4:$AU$1203,0)),"")="","",$B99-IFERROR(INDEX('ORDENES'!$K$4:$K$1203,MATCH($A99,'ORDENES'!$AU$4:$AU$1203,0)),"")))</f>
        <v/>
      </c>
    </row>
    <row r="100">
      <c r="A100" s="4" t="n"/>
      <c r="B100" s="43" t="n"/>
      <c r="C100" s="4" t="n"/>
      <c r="D100" s="44" t="n"/>
      <c r="E100" s="24">
        <f>IF($A100="","",IFERROR(INDEX('ORDENES'!$D$4:$D$1203,MATCH($A100,'ORDENES'!$AU$4:$AU$1203,0)),"(no encontrada)"))</f>
        <v/>
      </c>
      <c r="F100" s="24">
        <f>IF($A100="","",IF(ISNA(MATCH($A100,'ORDENES'!$AU$4:$AU$1203,0)),"huérfano",IF(COUNTIF($A$4:$A100,$A100)&gt;1,"duplicado (se ignora)","aplicado")))</f>
        <v/>
      </c>
      <c r="G100" s="45">
        <f>IF($F100&lt;&gt;"aplicado","",IF(IFERROR(INDEX('ORDENES'!$K$4:$K$1203,MATCH($A100,'ORDENES'!$AU$4:$AU$1203,0)),"")="","",$B100-IFERROR(INDEX('ORDENES'!$K$4:$K$1203,MATCH($A100,'ORDENES'!$AU$4:$AU$1203,0)),"")))</f>
        <v/>
      </c>
    </row>
    <row r="101">
      <c r="A101" s="4" t="n"/>
      <c r="B101" s="43" t="n"/>
      <c r="C101" s="4" t="n"/>
      <c r="D101" s="44" t="n"/>
      <c r="E101" s="24">
        <f>IF($A101="","",IFERROR(INDEX('ORDENES'!$D$4:$D$1203,MATCH($A101,'ORDENES'!$AU$4:$AU$1203,0)),"(no encontrada)"))</f>
        <v/>
      </c>
      <c r="F101" s="24">
        <f>IF($A101="","",IF(ISNA(MATCH($A101,'ORDENES'!$AU$4:$AU$1203,0)),"huérfano",IF(COUNTIF($A$4:$A101,$A101)&gt;1,"duplicado (se ignora)","aplicado")))</f>
        <v/>
      </c>
      <c r="G101" s="45">
        <f>IF($F101&lt;&gt;"aplicado","",IF(IFERROR(INDEX('ORDENES'!$K$4:$K$1203,MATCH($A101,'ORDENES'!$AU$4:$AU$1203,0)),"")="","",$B101-IFERROR(INDEX('ORDENES'!$K$4:$K$1203,MATCH($A101,'ORDENES'!$AU$4:$AU$1203,0)),"")))</f>
        <v/>
      </c>
    </row>
    <row r="102">
      <c r="A102" s="4" t="n"/>
      <c r="B102" s="43" t="n"/>
      <c r="C102" s="4" t="n"/>
      <c r="D102" s="44" t="n"/>
      <c r="E102" s="24">
        <f>IF($A102="","",IFERROR(INDEX('ORDENES'!$D$4:$D$1203,MATCH($A102,'ORDENES'!$AU$4:$AU$1203,0)),"(no encontrada)"))</f>
        <v/>
      </c>
      <c r="F102" s="24">
        <f>IF($A102="","",IF(ISNA(MATCH($A102,'ORDENES'!$AU$4:$AU$1203,0)),"huérfano",IF(COUNTIF($A$4:$A102,$A102)&gt;1,"duplicado (se ignora)","aplicado")))</f>
        <v/>
      </c>
      <c r="G102" s="45">
        <f>IF($F102&lt;&gt;"aplicado","",IF(IFERROR(INDEX('ORDENES'!$K$4:$K$1203,MATCH($A102,'ORDENES'!$AU$4:$AU$1203,0)),"")="","",$B102-IFERROR(INDEX('ORDENES'!$K$4:$K$1203,MATCH($A102,'ORDENES'!$AU$4:$AU$1203,0)),"")))</f>
        <v/>
      </c>
    </row>
    <row r="103">
      <c r="A103" s="4" t="n"/>
      <c r="B103" s="43" t="n"/>
      <c r="C103" s="4" t="n"/>
      <c r="D103" s="44" t="n"/>
      <c r="E103" s="24">
        <f>IF($A103="","",IFERROR(INDEX('ORDENES'!$D$4:$D$1203,MATCH($A103,'ORDENES'!$AU$4:$AU$1203,0)),"(no encontrada)"))</f>
        <v/>
      </c>
      <c r="F103" s="24">
        <f>IF($A103="","",IF(ISNA(MATCH($A103,'ORDENES'!$AU$4:$AU$1203,0)),"huérfano",IF(COUNTIF($A$4:$A103,$A103)&gt;1,"duplicado (se ignora)","aplicado")))</f>
        <v/>
      </c>
      <c r="G103" s="45">
        <f>IF($F103&lt;&gt;"aplicado","",IF(IFERROR(INDEX('ORDENES'!$K$4:$K$1203,MATCH($A103,'ORDENES'!$AU$4:$AU$1203,0)),"")="","",$B103-IFERROR(INDEX('ORDENES'!$K$4:$K$1203,MATCH($A103,'ORDENES'!$AU$4:$AU$1203,0)),"")))</f>
        <v/>
      </c>
    </row>
    <row r="104">
      <c r="A104" s="4" t="n"/>
      <c r="B104" s="43" t="n"/>
      <c r="C104" s="4" t="n"/>
      <c r="D104" s="44" t="n"/>
      <c r="E104" s="24">
        <f>IF($A104="","",IFERROR(INDEX('ORDENES'!$D$4:$D$1203,MATCH($A104,'ORDENES'!$AU$4:$AU$1203,0)),"(no encontrada)"))</f>
        <v/>
      </c>
      <c r="F104" s="24">
        <f>IF($A104="","",IF(ISNA(MATCH($A104,'ORDENES'!$AU$4:$AU$1203,0)),"huérfano",IF(COUNTIF($A$4:$A104,$A104)&gt;1,"duplicado (se ignora)","aplicado")))</f>
        <v/>
      </c>
      <c r="G104" s="45">
        <f>IF($F104&lt;&gt;"aplicado","",IF(IFERROR(INDEX('ORDENES'!$K$4:$K$1203,MATCH($A104,'ORDENES'!$AU$4:$AU$1203,0)),"")="","",$B104-IFERROR(INDEX('ORDENES'!$K$4:$K$1203,MATCH($A104,'ORDENES'!$AU$4:$AU$1203,0)),"")))</f>
        <v/>
      </c>
    </row>
    <row r="105">
      <c r="A105" s="4" t="n"/>
      <c r="B105" s="43" t="n"/>
      <c r="C105" s="4" t="n"/>
      <c r="D105" s="44" t="n"/>
      <c r="E105" s="24">
        <f>IF($A105="","",IFERROR(INDEX('ORDENES'!$D$4:$D$1203,MATCH($A105,'ORDENES'!$AU$4:$AU$1203,0)),"(no encontrada)"))</f>
        <v/>
      </c>
      <c r="F105" s="24">
        <f>IF($A105="","",IF(ISNA(MATCH($A105,'ORDENES'!$AU$4:$AU$1203,0)),"huérfano",IF(COUNTIF($A$4:$A105,$A105)&gt;1,"duplicado (se ignora)","aplicado")))</f>
        <v/>
      </c>
      <c r="G105" s="45">
        <f>IF($F105&lt;&gt;"aplicado","",IF(IFERROR(INDEX('ORDENES'!$K$4:$K$1203,MATCH($A105,'ORDENES'!$AU$4:$AU$1203,0)),"")="","",$B105-IFERROR(INDEX('ORDENES'!$K$4:$K$1203,MATCH($A105,'ORDENES'!$AU$4:$AU$1203,0)),"")))</f>
        <v/>
      </c>
    </row>
    <row r="106">
      <c r="A106" s="4" t="n"/>
      <c r="B106" s="43" t="n"/>
      <c r="C106" s="4" t="n"/>
      <c r="D106" s="44" t="n"/>
      <c r="E106" s="24">
        <f>IF($A106="","",IFERROR(INDEX('ORDENES'!$D$4:$D$1203,MATCH($A106,'ORDENES'!$AU$4:$AU$1203,0)),"(no encontrada)"))</f>
        <v/>
      </c>
      <c r="F106" s="24">
        <f>IF($A106="","",IF(ISNA(MATCH($A106,'ORDENES'!$AU$4:$AU$1203,0)),"huérfano",IF(COUNTIF($A$4:$A106,$A106)&gt;1,"duplicado (se ignora)","aplicado")))</f>
        <v/>
      </c>
      <c r="G106" s="45">
        <f>IF($F106&lt;&gt;"aplicado","",IF(IFERROR(INDEX('ORDENES'!$K$4:$K$1203,MATCH($A106,'ORDENES'!$AU$4:$AU$1203,0)),"")="","",$B106-IFERROR(INDEX('ORDENES'!$K$4:$K$1203,MATCH($A106,'ORDENES'!$AU$4:$AU$1203,0)),"")))</f>
        <v/>
      </c>
    </row>
    <row r="107">
      <c r="A107" s="4" t="n"/>
      <c r="B107" s="43" t="n"/>
      <c r="C107" s="4" t="n"/>
      <c r="D107" s="44" t="n"/>
      <c r="E107" s="24">
        <f>IF($A107="","",IFERROR(INDEX('ORDENES'!$D$4:$D$1203,MATCH($A107,'ORDENES'!$AU$4:$AU$1203,0)),"(no encontrada)"))</f>
        <v/>
      </c>
      <c r="F107" s="24">
        <f>IF($A107="","",IF(ISNA(MATCH($A107,'ORDENES'!$AU$4:$AU$1203,0)),"huérfano",IF(COUNTIF($A$4:$A107,$A107)&gt;1,"duplicado (se ignora)","aplicado")))</f>
        <v/>
      </c>
      <c r="G107" s="45">
        <f>IF($F107&lt;&gt;"aplicado","",IF(IFERROR(INDEX('ORDENES'!$K$4:$K$1203,MATCH($A107,'ORDENES'!$AU$4:$AU$1203,0)),"")="","",$B107-IFERROR(INDEX('ORDENES'!$K$4:$K$1203,MATCH($A107,'ORDENES'!$AU$4:$AU$1203,0)),"")))</f>
        <v/>
      </c>
    </row>
    <row r="108">
      <c r="A108" s="4" t="n"/>
      <c r="B108" s="43" t="n"/>
      <c r="C108" s="4" t="n"/>
      <c r="D108" s="44" t="n"/>
      <c r="E108" s="24">
        <f>IF($A108="","",IFERROR(INDEX('ORDENES'!$D$4:$D$1203,MATCH($A108,'ORDENES'!$AU$4:$AU$1203,0)),"(no encontrada)"))</f>
        <v/>
      </c>
      <c r="F108" s="24">
        <f>IF($A108="","",IF(ISNA(MATCH($A108,'ORDENES'!$AU$4:$AU$1203,0)),"huérfano",IF(COUNTIF($A$4:$A108,$A108)&gt;1,"duplicado (se ignora)","aplicado")))</f>
        <v/>
      </c>
      <c r="G108" s="45">
        <f>IF($F108&lt;&gt;"aplicado","",IF(IFERROR(INDEX('ORDENES'!$K$4:$K$1203,MATCH($A108,'ORDENES'!$AU$4:$AU$1203,0)),"")="","",$B108-IFERROR(INDEX('ORDENES'!$K$4:$K$1203,MATCH($A108,'ORDENES'!$AU$4:$AU$1203,0)),"")))</f>
        <v/>
      </c>
    </row>
    <row r="109">
      <c r="A109" s="4" t="n"/>
      <c r="B109" s="43" t="n"/>
      <c r="C109" s="4" t="n"/>
      <c r="D109" s="44" t="n"/>
      <c r="E109" s="24">
        <f>IF($A109="","",IFERROR(INDEX('ORDENES'!$D$4:$D$1203,MATCH($A109,'ORDENES'!$AU$4:$AU$1203,0)),"(no encontrada)"))</f>
        <v/>
      </c>
      <c r="F109" s="24">
        <f>IF($A109="","",IF(ISNA(MATCH($A109,'ORDENES'!$AU$4:$AU$1203,0)),"huérfano",IF(COUNTIF($A$4:$A109,$A109)&gt;1,"duplicado (se ignora)","aplicado")))</f>
        <v/>
      </c>
      <c r="G109" s="45">
        <f>IF($F109&lt;&gt;"aplicado","",IF(IFERROR(INDEX('ORDENES'!$K$4:$K$1203,MATCH($A109,'ORDENES'!$AU$4:$AU$1203,0)),"")="","",$B109-IFERROR(INDEX('ORDENES'!$K$4:$K$1203,MATCH($A109,'ORDENES'!$AU$4:$AU$1203,0)),"")))</f>
        <v/>
      </c>
    </row>
    <row r="110">
      <c r="A110" s="4" t="n"/>
      <c r="B110" s="43" t="n"/>
      <c r="C110" s="4" t="n"/>
      <c r="D110" s="44" t="n"/>
      <c r="E110" s="24">
        <f>IF($A110="","",IFERROR(INDEX('ORDENES'!$D$4:$D$1203,MATCH($A110,'ORDENES'!$AU$4:$AU$1203,0)),"(no encontrada)"))</f>
        <v/>
      </c>
      <c r="F110" s="24">
        <f>IF($A110="","",IF(ISNA(MATCH($A110,'ORDENES'!$AU$4:$AU$1203,0)),"huérfano",IF(COUNTIF($A$4:$A110,$A110)&gt;1,"duplicado (se ignora)","aplicado")))</f>
        <v/>
      </c>
      <c r="G110" s="45">
        <f>IF($F110&lt;&gt;"aplicado","",IF(IFERROR(INDEX('ORDENES'!$K$4:$K$1203,MATCH($A110,'ORDENES'!$AU$4:$AU$1203,0)),"")="","",$B110-IFERROR(INDEX('ORDENES'!$K$4:$K$1203,MATCH($A110,'ORDENES'!$AU$4:$AU$1203,0)),"")))</f>
        <v/>
      </c>
    </row>
    <row r="111">
      <c r="A111" s="4" t="n"/>
      <c r="B111" s="43" t="n"/>
      <c r="C111" s="4" t="n"/>
      <c r="D111" s="44" t="n"/>
      <c r="E111" s="24">
        <f>IF($A111="","",IFERROR(INDEX('ORDENES'!$D$4:$D$1203,MATCH($A111,'ORDENES'!$AU$4:$AU$1203,0)),"(no encontrada)"))</f>
        <v/>
      </c>
      <c r="F111" s="24">
        <f>IF($A111="","",IF(ISNA(MATCH($A111,'ORDENES'!$AU$4:$AU$1203,0)),"huérfano",IF(COUNTIF($A$4:$A111,$A111)&gt;1,"duplicado (se ignora)","aplicado")))</f>
        <v/>
      </c>
      <c r="G111" s="45">
        <f>IF($F111&lt;&gt;"aplicado","",IF(IFERROR(INDEX('ORDENES'!$K$4:$K$1203,MATCH($A111,'ORDENES'!$AU$4:$AU$1203,0)),"")="","",$B111-IFERROR(INDEX('ORDENES'!$K$4:$K$1203,MATCH($A111,'ORDENES'!$AU$4:$AU$1203,0)),"")))</f>
        <v/>
      </c>
    </row>
    <row r="112">
      <c r="A112" s="4" t="n"/>
      <c r="B112" s="43" t="n"/>
      <c r="C112" s="4" t="n"/>
      <c r="D112" s="44" t="n"/>
      <c r="E112" s="24">
        <f>IF($A112="","",IFERROR(INDEX('ORDENES'!$D$4:$D$1203,MATCH($A112,'ORDENES'!$AU$4:$AU$1203,0)),"(no encontrada)"))</f>
        <v/>
      </c>
      <c r="F112" s="24">
        <f>IF($A112="","",IF(ISNA(MATCH($A112,'ORDENES'!$AU$4:$AU$1203,0)),"huérfano",IF(COUNTIF($A$4:$A112,$A112)&gt;1,"duplicado (se ignora)","aplicado")))</f>
        <v/>
      </c>
      <c r="G112" s="45">
        <f>IF($F112&lt;&gt;"aplicado","",IF(IFERROR(INDEX('ORDENES'!$K$4:$K$1203,MATCH($A112,'ORDENES'!$AU$4:$AU$1203,0)),"")="","",$B112-IFERROR(INDEX('ORDENES'!$K$4:$K$1203,MATCH($A112,'ORDENES'!$AU$4:$AU$1203,0)),"")))</f>
        <v/>
      </c>
    </row>
    <row r="113">
      <c r="A113" s="4" t="n"/>
      <c r="B113" s="43" t="n"/>
      <c r="C113" s="4" t="n"/>
      <c r="D113" s="44" t="n"/>
      <c r="E113" s="24">
        <f>IF($A113="","",IFERROR(INDEX('ORDENES'!$D$4:$D$1203,MATCH($A113,'ORDENES'!$AU$4:$AU$1203,0)),"(no encontrada)"))</f>
        <v/>
      </c>
      <c r="F113" s="24">
        <f>IF($A113="","",IF(ISNA(MATCH($A113,'ORDENES'!$AU$4:$AU$1203,0)),"huérfano",IF(COUNTIF($A$4:$A113,$A113)&gt;1,"duplicado (se ignora)","aplicado")))</f>
        <v/>
      </c>
      <c r="G113" s="45">
        <f>IF($F113&lt;&gt;"aplicado","",IF(IFERROR(INDEX('ORDENES'!$K$4:$K$1203,MATCH($A113,'ORDENES'!$AU$4:$AU$1203,0)),"")="","",$B113-IFERROR(INDEX('ORDENES'!$K$4:$K$1203,MATCH($A113,'ORDENES'!$AU$4:$AU$1203,0)),"")))</f>
        <v/>
      </c>
    </row>
    <row r="114">
      <c r="A114" s="4" t="n"/>
      <c r="B114" s="43" t="n"/>
      <c r="C114" s="4" t="n"/>
      <c r="D114" s="44" t="n"/>
      <c r="E114" s="24">
        <f>IF($A114="","",IFERROR(INDEX('ORDENES'!$D$4:$D$1203,MATCH($A114,'ORDENES'!$AU$4:$AU$1203,0)),"(no encontrada)"))</f>
        <v/>
      </c>
      <c r="F114" s="24">
        <f>IF($A114="","",IF(ISNA(MATCH($A114,'ORDENES'!$AU$4:$AU$1203,0)),"huérfano",IF(COUNTIF($A$4:$A114,$A114)&gt;1,"duplicado (se ignora)","aplicado")))</f>
        <v/>
      </c>
      <c r="G114" s="45">
        <f>IF($F114&lt;&gt;"aplicado","",IF(IFERROR(INDEX('ORDENES'!$K$4:$K$1203,MATCH($A114,'ORDENES'!$AU$4:$AU$1203,0)),"")="","",$B114-IFERROR(INDEX('ORDENES'!$K$4:$K$1203,MATCH($A114,'ORDENES'!$AU$4:$AU$1203,0)),"")))</f>
        <v/>
      </c>
    </row>
    <row r="115">
      <c r="A115" s="4" t="n"/>
      <c r="B115" s="43" t="n"/>
      <c r="C115" s="4" t="n"/>
      <c r="D115" s="44" t="n"/>
      <c r="E115" s="24">
        <f>IF($A115="","",IFERROR(INDEX('ORDENES'!$D$4:$D$1203,MATCH($A115,'ORDENES'!$AU$4:$AU$1203,0)),"(no encontrada)"))</f>
        <v/>
      </c>
      <c r="F115" s="24">
        <f>IF($A115="","",IF(ISNA(MATCH($A115,'ORDENES'!$AU$4:$AU$1203,0)),"huérfano",IF(COUNTIF($A$4:$A115,$A115)&gt;1,"duplicado (se ignora)","aplicado")))</f>
        <v/>
      </c>
      <c r="G115" s="45">
        <f>IF($F115&lt;&gt;"aplicado","",IF(IFERROR(INDEX('ORDENES'!$K$4:$K$1203,MATCH($A115,'ORDENES'!$AU$4:$AU$1203,0)),"")="","",$B115-IFERROR(INDEX('ORDENES'!$K$4:$K$1203,MATCH($A115,'ORDENES'!$AU$4:$AU$1203,0)),"")))</f>
        <v/>
      </c>
    </row>
    <row r="116">
      <c r="A116" s="4" t="n"/>
      <c r="B116" s="43" t="n"/>
      <c r="C116" s="4" t="n"/>
      <c r="D116" s="44" t="n"/>
      <c r="E116" s="24">
        <f>IF($A116="","",IFERROR(INDEX('ORDENES'!$D$4:$D$1203,MATCH($A116,'ORDENES'!$AU$4:$AU$1203,0)),"(no encontrada)"))</f>
        <v/>
      </c>
      <c r="F116" s="24">
        <f>IF($A116="","",IF(ISNA(MATCH($A116,'ORDENES'!$AU$4:$AU$1203,0)),"huérfano",IF(COUNTIF($A$4:$A116,$A116)&gt;1,"duplicado (se ignora)","aplicado")))</f>
        <v/>
      </c>
      <c r="G116" s="45">
        <f>IF($F116&lt;&gt;"aplicado","",IF(IFERROR(INDEX('ORDENES'!$K$4:$K$1203,MATCH($A116,'ORDENES'!$AU$4:$AU$1203,0)),"")="","",$B116-IFERROR(INDEX('ORDENES'!$K$4:$K$1203,MATCH($A116,'ORDENES'!$AU$4:$AU$1203,0)),"")))</f>
        <v/>
      </c>
    </row>
    <row r="117">
      <c r="A117" s="4" t="n"/>
      <c r="B117" s="43" t="n"/>
      <c r="C117" s="4" t="n"/>
      <c r="D117" s="44" t="n"/>
      <c r="E117" s="24">
        <f>IF($A117="","",IFERROR(INDEX('ORDENES'!$D$4:$D$1203,MATCH($A117,'ORDENES'!$AU$4:$AU$1203,0)),"(no encontrada)"))</f>
        <v/>
      </c>
      <c r="F117" s="24">
        <f>IF($A117="","",IF(ISNA(MATCH($A117,'ORDENES'!$AU$4:$AU$1203,0)),"huérfano",IF(COUNTIF($A$4:$A117,$A117)&gt;1,"duplicado (se ignora)","aplicado")))</f>
        <v/>
      </c>
      <c r="G117" s="45">
        <f>IF($F117&lt;&gt;"aplicado","",IF(IFERROR(INDEX('ORDENES'!$K$4:$K$1203,MATCH($A117,'ORDENES'!$AU$4:$AU$1203,0)),"")="","",$B117-IFERROR(INDEX('ORDENES'!$K$4:$K$1203,MATCH($A117,'ORDENES'!$AU$4:$AU$1203,0)),"")))</f>
        <v/>
      </c>
    </row>
    <row r="118">
      <c r="A118" s="4" t="n"/>
      <c r="B118" s="43" t="n"/>
      <c r="C118" s="4" t="n"/>
      <c r="D118" s="44" t="n"/>
      <c r="E118" s="24">
        <f>IF($A118="","",IFERROR(INDEX('ORDENES'!$D$4:$D$1203,MATCH($A118,'ORDENES'!$AU$4:$AU$1203,0)),"(no encontrada)"))</f>
        <v/>
      </c>
      <c r="F118" s="24">
        <f>IF($A118="","",IF(ISNA(MATCH($A118,'ORDENES'!$AU$4:$AU$1203,0)),"huérfano",IF(COUNTIF($A$4:$A118,$A118)&gt;1,"duplicado (se ignora)","aplicado")))</f>
        <v/>
      </c>
      <c r="G118" s="45">
        <f>IF($F118&lt;&gt;"aplicado","",IF(IFERROR(INDEX('ORDENES'!$K$4:$K$1203,MATCH($A118,'ORDENES'!$AU$4:$AU$1203,0)),"")="","",$B118-IFERROR(INDEX('ORDENES'!$K$4:$K$1203,MATCH($A118,'ORDENES'!$AU$4:$AU$1203,0)),"")))</f>
        <v/>
      </c>
    </row>
    <row r="119">
      <c r="A119" s="4" t="n"/>
      <c r="B119" s="43" t="n"/>
      <c r="C119" s="4" t="n"/>
      <c r="D119" s="44" t="n"/>
      <c r="E119" s="24">
        <f>IF($A119="","",IFERROR(INDEX('ORDENES'!$D$4:$D$1203,MATCH($A119,'ORDENES'!$AU$4:$AU$1203,0)),"(no encontrada)"))</f>
        <v/>
      </c>
      <c r="F119" s="24">
        <f>IF($A119="","",IF(ISNA(MATCH($A119,'ORDENES'!$AU$4:$AU$1203,0)),"huérfano",IF(COUNTIF($A$4:$A119,$A119)&gt;1,"duplicado (se ignora)","aplicado")))</f>
        <v/>
      </c>
      <c r="G119" s="45">
        <f>IF($F119&lt;&gt;"aplicado","",IF(IFERROR(INDEX('ORDENES'!$K$4:$K$1203,MATCH($A119,'ORDENES'!$AU$4:$AU$1203,0)),"")="","",$B119-IFERROR(INDEX('ORDENES'!$K$4:$K$1203,MATCH($A119,'ORDENES'!$AU$4:$AU$1203,0)),"")))</f>
        <v/>
      </c>
    </row>
    <row r="120">
      <c r="A120" s="4" t="n"/>
      <c r="B120" s="43" t="n"/>
      <c r="C120" s="4" t="n"/>
      <c r="D120" s="44" t="n"/>
      <c r="E120" s="24">
        <f>IF($A120="","",IFERROR(INDEX('ORDENES'!$D$4:$D$1203,MATCH($A120,'ORDENES'!$AU$4:$AU$1203,0)),"(no encontrada)"))</f>
        <v/>
      </c>
      <c r="F120" s="24">
        <f>IF($A120="","",IF(ISNA(MATCH($A120,'ORDENES'!$AU$4:$AU$1203,0)),"huérfano",IF(COUNTIF($A$4:$A120,$A120)&gt;1,"duplicado (se ignora)","aplicado")))</f>
        <v/>
      </c>
      <c r="G120" s="45">
        <f>IF($F120&lt;&gt;"aplicado","",IF(IFERROR(INDEX('ORDENES'!$K$4:$K$1203,MATCH($A120,'ORDENES'!$AU$4:$AU$1203,0)),"")="","",$B120-IFERROR(INDEX('ORDENES'!$K$4:$K$1203,MATCH($A120,'ORDENES'!$AU$4:$AU$1203,0)),"")))</f>
        <v/>
      </c>
    </row>
    <row r="121">
      <c r="A121" s="4" t="n"/>
      <c r="B121" s="43" t="n"/>
      <c r="C121" s="4" t="n"/>
      <c r="D121" s="44" t="n"/>
      <c r="E121" s="24">
        <f>IF($A121="","",IFERROR(INDEX('ORDENES'!$D$4:$D$1203,MATCH($A121,'ORDENES'!$AU$4:$AU$1203,0)),"(no encontrada)"))</f>
        <v/>
      </c>
      <c r="F121" s="24">
        <f>IF($A121="","",IF(ISNA(MATCH($A121,'ORDENES'!$AU$4:$AU$1203,0)),"huérfano",IF(COUNTIF($A$4:$A121,$A121)&gt;1,"duplicado (se ignora)","aplicado")))</f>
        <v/>
      </c>
      <c r="G121" s="45">
        <f>IF($F121&lt;&gt;"aplicado","",IF(IFERROR(INDEX('ORDENES'!$K$4:$K$1203,MATCH($A121,'ORDENES'!$AU$4:$AU$1203,0)),"")="","",$B121-IFERROR(INDEX('ORDENES'!$K$4:$K$1203,MATCH($A121,'ORDENES'!$AU$4:$AU$1203,0)),"")))</f>
        <v/>
      </c>
    </row>
    <row r="122">
      <c r="A122" s="4" t="n"/>
      <c r="B122" s="43" t="n"/>
      <c r="C122" s="4" t="n"/>
      <c r="D122" s="44" t="n"/>
      <c r="E122" s="24">
        <f>IF($A122="","",IFERROR(INDEX('ORDENES'!$D$4:$D$1203,MATCH($A122,'ORDENES'!$AU$4:$AU$1203,0)),"(no encontrada)"))</f>
        <v/>
      </c>
      <c r="F122" s="24">
        <f>IF($A122="","",IF(ISNA(MATCH($A122,'ORDENES'!$AU$4:$AU$1203,0)),"huérfano",IF(COUNTIF($A$4:$A122,$A122)&gt;1,"duplicado (se ignora)","aplicado")))</f>
        <v/>
      </c>
      <c r="G122" s="45">
        <f>IF($F122&lt;&gt;"aplicado","",IF(IFERROR(INDEX('ORDENES'!$K$4:$K$1203,MATCH($A122,'ORDENES'!$AU$4:$AU$1203,0)),"")="","",$B122-IFERROR(INDEX('ORDENES'!$K$4:$K$1203,MATCH($A122,'ORDENES'!$AU$4:$AU$1203,0)),"")))</f>
        <v/>
      </c>
    </row>
    <row r="123">
      <c r="A123" s="4" t="n"/>
      <c r="B123" s="43" t="n"/>
      <c r="C123" s="4" t="n"/>
      <c r="D123" s="44" t="n"/>
      <c r="E123" s="24">
        <f>IF($A123="","",IFERROR(INDEX('ORDENES'!$D$4:$D$1203,MATCH($A123,'ORDENES'!$AU$4:$AU$1203,0)),"(no encontrada)"))</f>
        <v/>
      </c>
      <c r="F123" s="24">
        <f>IF($A123="","",IF(ISNA(MATCH($A123,'ORDENES'!$AU$4:$AU$1203,0)),"huérfano",IF(COUNTIF($A$4:$A123,$A123)&gt;1,"duplicado (se ignora)","aplicado")))</f>
        <v/>
      </c>
      <c r="G123" s="45">
        <f>IF($F123&lt;&gt;"aplicado","",IF(IFERROR(INDEX('ORDENES'!$K$4:$K$1203,MATCH($A123,'ORDENES'!$AU$4:$AU$1203,0)),"")="","",$B123-IFERROR(INDEX('ORDENES'!$K$4:$K$1203,MATCH($A123,'ORDENES'!$AU$4:$AU$1203,0)),"")))</f>
        <v/>
      </c>
    </row>
    <row r="124">
      <c r="A124" s="4" t="n"/>
      <c r="B124" s="43" t="n"/>
      <c r="C124" s="4" t="n"/>
      <c r="D124" s="44" t="n"/>
      <c r="E124" s="24">
        <f>IF($A124="","",IFERROR(INDEX('ORDENES'!$D$4:$D$1203,MATCH($A124,'ORDENES'!$AU$4:$AU$1203,0)),"(no encontrada)"))</f>
        <v/>
      </c>
      <c r="F124" s="24">
        <f>IF($A124="","",IF(ISNA(MATCH($A124,'ORDENES'!$AU$4:$AU$1203,0)),"huérfano",IF(COUNTIF($A$4:$A124,$A124)&gt;1,"duplicado (se ignora)","aplicado")))</f>
        <v/>
      </c>
      <c r="G124" s="45">
        <f>IF($F124&lt;&gt;"aplicado","",IF(IFERROR(INDEX('ORDENES'!$K$4:$K$1203,MATCH($A124,'ORDENES'!$AU$4:$AU$1203,0)),"")="","",$B124-IFERROR(INDEX('ORDENES'!$K$4:$K$1203,MATCH($A124,'ORDENES'!$AU$4:$AU$1203,0)),"")))</f>
        <v/>
      </c>
    </row>
    <row r="125">
      <c r="A125" s="4" t="n"/>
      <c r="B125" s="43" t="n"/>
      <c r="C125" s="4" t="n"/>
      <c r="D125" s="44" t="n"/>
      <c r="E125" s="24">
        <f>IF($A125="","",IFERROR(INDEX('ORDENES'!$D$4:$D$1203,MATCH($A125,'ORDENES'!$AU$4:$AU$1203,0)),"(no encontrada)"))</f>
        <v/>
      </c>
      <c r="F125" s="24">
        <f>IF($A125="","",IF(ISNA(MATCH($A125,'ORDENES'!$AU$4:$AU$1203,0)),"huérfano",IF(COUNTIF($A$4:$A125,$A125)&gt;1,"duplicado (se ignora)","aplicado")))</f>
        <v/>
      </c>
      <c r="G125" s="45">
        <f>IF($F125&lt;&gt;"aplicado","",IF(IFERROR(INDEX('ORDENES'!$K$4:$K$1203,MATCH($A125,'ORDENES'!$AU$4:$AU$1203,0)),"")="","",$B125-IFERROR(INDEX('ORDENES'!$K$4:$K$1203,MATCH($A125,'ORDENES'!$AU$4:$AU$1203,0)),"")))</f>
        <v/>
      </c>
    </row>
    <row r="126">
      <c r="A126" s="4" t="n"/>
      <c r="B126" s="43" t="n"/>
      <c r="C126" s="4" t="n"/>
      <c r="D126" s="44" t="n"/>
      <c r="E126" s="24">
        <f>IF($A126="","",IFERROR(INDEX('ORDENES'!$D$4:$D$1203,MATCH($A126,'ORDENES'!$AU$4:$AU$1203,0)),"(no encontrada)"))</f>
        <v/>
      </c>
      <c r="F126" s="24">
        <f>IF($A126="","",IF(ISNA(MATCH($A126,'ORDENES'!$AU$4:$AU$1203,0)),"huérfano",IF(COUNTIF($A$4:$A126,$A126)&gt;1,"duplicado (se ignora)","aplicado")))</f>
        <v/>
      </c>
      <c r="G126" s="45">
        <f>IF($F126&lt;&gt;"aplicado","",IF(IFERROR(INDEX('ORDENES'!$K$4:$K$1203,MATCH($A126,'ORDENES'!$AU$4:$AU$1203,0)),"")="","",$B126-IFERROR(INDEX('ORDENES'!$K$4:$K$1203,MATCH($A126,'ORDENES'!$AU$4:$AU$1203,0)),"")))</f>
        <v/>
      </c>
    </row>
    <row r="127">
      <c r="A127" s="4" t="n"/>
      <c r="B127" s="43" t="n"/>
      <c r="C127" s="4" t="n"/>
      <c r="D127" s="44" t="n"/>
      <c r="E127" s="24">
        <f>IF($A127="","",IFERROR(INDEX('ORDENES'!$D$4:$D$1203,MATCH($A127,'ORDENES'!$AU$4:$AU$1203,0)),"(no encontrada)"))</f>
        <v/>
      </c>
      <c r="F127" s="24">
        <f>IF($A127="","",IF(ISNA(MATCH($A127,'ORDENES'!$AU$4:$AU$1203,0)),"huérfano",IF(COUNTIF($A$4:$A127,$A127)&gt;1,"duplicado (se ignora)","aplicado")))</f>
        <v/>
      </c>
      <c r="G127" s="45">
        <f>IF($F127&lt;&gt;"aplicado","",IF(IFERROR(INDEX('ORDENES'!$K$4:$K$1203,MATCH($A127,'ORDENES'!$AU$4:$AU$1203,0)),"")="","",$B127-IFERROR(INDEX('ORDENES'!$K$4:$K$1203,MATCH($A127,'ORDENES'!$AU$4:$AU$1203,0)),"")))</f>
        <v/>
      </c>
    </row>
    <row r="128">
      <c r="A128" s="4" t="n"/>
      <c r="B128" s="43" t="n"/>
      <c r="C128" s="4" t="n"/>
      <c r="D128" s="44" t="n"/>
      <c r="E128" s="24">
        <f>IF($A128="","",IFERROR(INDEX('ORDENES'!$D$4:$D$1203,MATCH($A128,'ORDENES'!$AU$4:$AU$1203,0)),"(no encontrada)"))</f>
        <v/>
      </c>
      <c r="F128" s="24">
        <f>IF($A128="","",IF(ISNA(MATCH($A128,'ORDENES'!$AU$4:$AU$1203,0)),"huérfano",IF(COUNTIF($A$4:$A128,$A128)&gt;1,"duplicado (se ignora)","aplicado")))</f>
        <v/>
      </c>
      <c r="G128" s="45">
        <f>IF($F128&lt;&gt;"aplicado","",IF(IFERROR(INDEX('ORDENES'!$K$4:$K$1203,MATCH($A128,'ORDENES'!$AU$4:$AU$1203,0)),"")="","",$B128-IFERROR(INDEX('ORDENES'!$K$4:$K$1203,MATCH($A128,'ORDENES'!$AU$4:$AU$1203,0)),"")))</f>
        <v/>
      </c>
    </row>
    <row r="129">
      <c r="A129" s="4" t="n"/>
      <c r="B129" s="43" t="n"/>
      <c r="C129" s="4" t="n"/>
      <c r="D129" s="44" t="n"/>
      <c r="E129" s="24">
        <f>IF($A129="","",IFERROR(INDEX('ORDENES'!$D$4:$D$1203,MATCH($A129,'ORDENES'!$AU$4:$AU$1203,0)),"(no encontrada)"))</f>
        <v/>
      </c>
      <c r="F129" s="24">
        <f>IF($A129="","",IF(ISNA(MATCH($A129,'ORDENES'!$AU$4:$AU$1203,0)),"huérfano",IF(COUNTIF($A$4:$A129,$A129)&gt;1,"duplicado (se ignora)","aplicado")))</f>
        <v/>
      </c>
      <c r="G129" s="45">
        <f>IF($F129&lt;&gt;"aplicado","",IF(IFERROR(INDEX('ORDENES'!$K$4:$K$1203,MATCH($A129,'ORDENES'!$AU$4:$AU$1203,0)),"")="","",$B129-IFERROR(INDEX('ORDENES'!$K$4:$K$1203,MATCH($A129,'ORDENES'!$AU$4:$AU$1203,0)),"")))</f>
        <v/>
      </c>
    </row>
    <row r="130">
      <c r="A130" s="4" t="n"/>
      <c r="B130" s="43" t="n"/>
      <c r="C130" s="4" t="n"/>
      <c r="D130" s="44" t="n"/>
      <c r="E130" s="24">
        <f>IF($A130="","",IFERROR(INDEX('ORDENES'!$D$4:$D$1203,MATCH($A130,'ORDENES'!$AU$4:$AU$1203,0)),"(no encontrada)"))</f>
        <v/>
      </c>
      <c r="F130" s="24">
        <f>IF($A130="","",IF(ISNA(MATCH($A130,'ORDENES'!$AU$4:$AU$1203,0)),"huérfano",IF(COUNTIF($A$4:$A130,$A130)&gt;1,"duplicado (se ignora)","aplicado")))</f>
        <v/>
      </c>
      <c r="G130" s="45">
        <f>IF($F130&lt;&gt;"aplicado","",IF(IFERROR(INDEX('ORDENES'!$K$4:$K$1203,MATCH($A130,'ORDENES'!$AU$4:$AU$1203,0)),"")="","",$B130-IFERROR(INDEX('ORDENES'!$K$4:$K$1203,MATCH($A130,'ORDENES'!$AU$4:$AU$1203,0)),"")))</f>
        <v/>
      </c>
    </row>
    <row r="131">
      <c r="A131" s="4" t="n"/>
      <c r="B131" s="43" t="n"/>
      <c r="C131" s="4" t="n"/>
      <c r="D131" s="44" t="n"/>
      <c r="E131" s="24">
        <f>IF($A131="","",IFERROR(INDEX('ORDENES'!$D$4:$D$1203,MATCH($A131,'ORDENES'!$AU$4:$AU$1203,0)),"(no encontrada)"))</f>
        <v/>
      </c>
      <c r="F131" s="24">
        <f>IF($A131="","",IF(ISNA(MATCH($A131,'ORDENES'!$AU$4:$AU$1203,0)),"huérfano",IF(COUNTIF($A$4:$A131,$A131)&gt;1,"duplicado (se ignora)","aplicado")))</f>
        <v/>
      </c>
      <c r="G131" s="45">
        <f>IF($F131&lt;&gt;"aplicado","",IF(IFERROR(INDEX('ORDENES'!$K$4:$K$1203,MATCH($A131,'ORDENES'!$AU$4:$AU$1203,0)),"")="","",$B131-IFERROR(INDEX('ORDENES'!$K$4:$K$1203,MATCH($A131,'ORDENES'!$AU$4:$AU$1203,0)),"")))</f>
        <v/>
      </c>
    </row>
    <row r="132">
      <c r="A132" s="4" t="n"/>
      <c r="B132" s="43" t="n"/>
      <c r="C132" s="4" t="n"/>
      <c r="D132" s="44" t="n"/>
      <c r="E132" s="24">
        <f>IF($A132="","",IFERROR(INDEX('ORDENES'!$D$4:$D$1203,MATCH($A132,'ORDENES'!$AU$4:$AU$1203,0)),"(no encontrada)"))</f>
        <v/>
      </c>
      <c r="F132" s="24">
        <f>IF($A132="","",IF(ISNA(MATCH($A132,'ORDENES'!$AU$4:$AU$1203,0)),"huérfano",IF(COUNTIF($A$4:$A132,$A132)&gt;1,"duplicado (se ignora)","aplicado")))</f>
        <v/>
      </c>
      <c r="G132" s="45">
        <f>IF($F132&lt;&gt;"aplicado","",IF(IFERROR(INDEX('ORDENES'!$K$4:$K$1203,MATCH($A132,'ORDENES'!$AU$4:$AU$1203,0)),"")="","",$B132-IFERROR(INDEX('ORDENES'!$K$4:$K$1203,MATCH($A132,'ORDENES'!$AU$4:$AU$1203,0)),"")))</f>
        <v/>
      </c>
    </row>
    <row r="133">
      <c r="A133" s="4" t="n"/>
      <c r="B133" s="43" t="n"/>
      <c r="C133" s="4" t="n"/>
      <c r="D133" s="44" t="n"/>
      <c r="E133" s="24">
        <f>IF($A133="","",IFERROR(INDEX('ORDENES'!$D$4:$D$1203,MATCH($A133,'ORDENES'!$AU$4:$AU$1203,0)),"(no encontrada)"))</f>
        <v/>
      </c>
      <c r="F133" s="24">
        <f>IF($A133="","",IF(ISNA(MATCH($A133,'ORDENES'!$AU$4:$AU$1203,0)),"huérfano",IF(COUNTIF($A$4:$A133,$A133)&gt;1,"duplicado (se ignora)","aplicado")))</f>
        <v/>
      </c>
      <c r="G133" s="45">
        <f>IF($F133&lt;&gt;"aplicado","",IF(IFERROR(INDEX('ORDENES'!$K$4:$K$1203,MATCH($A133,'ORDENES'!$AU$4:$AU$1203,0)),"")="","",$B133-IFERROR(INDEX('ORDENES'!$K$4:$K$1203,MATCH($A133,'ORDENES'!$AU$4:$AU$1203,0)),"")))</f>
        <v/>
      </c>
    </row>
    <row r="134">
      <c r="A134" s="4" t="n"/>
      <c r="B134" s="43" t="n"/>
      <c r="C134" s="4" t="n"/>
      <c r="D134" s="44" t="n"/>
      <c r="E134" s="24">
        <f>IF($A134="","",IFERROR(INDEX('ORDENES'!$D$4:$D$1203,MATCH($A134,'ORDENES'!$AU$4:$AU$1203,0)),"(no encontrada)"))</f>
        <v/>
      </c>
      <c r="F134" s="24">
        <f>IF($A134="","",IF(ISNA(MATCH($A134,'ORDENES'!$AU$4:$AU$1203,0)),"huérfano",IF(COUNTIF($A$4:$A134,$A134)&gt;1,"duplicado (se ignora)","aplicado")))</f>
        <v/>
      </c>
      <c r="G134" s="45">
        <f>IF($F134&lt;&gt;"aplicado","",IF(IFERROR(INDEX('ORDENES'!$K$4:$K$1203,MATCH($A134,'ORDENES'!$AU$4:$AU$1203,0)),"")="","",$B134-IFERROR(INDEX('ORDENES'!$K$4:$K$1203,MATCH($A134,'ORDENES'!$AU$4:$AU$1203,0)),"")))</f>
        <v/>
      </c>
    </row>
    <row r="135">
      <c r="A135" s="4" t="n"/>
      <c r="B135" s="43" t="n"/>
      <c r="C135" s="4" t="n"/>
      <c r="D135" s="44" t="n"/>
      <c r="E135" s="24">
        <f>IF($A135="","",IFERROR(INDEX('ORDENES'!$D$4:$D$1203,MATCH($A135,'ORDENES'!$AU$4:$AU$1203,0)),"(no encontrada)"))</f>
        <v/>
      </c>
      <c r="F135" s="24">
        <f>IF($A135="","",IF(ISNA(MATCH($A135,'ORDENES'!$AU$4:$AU$1203,0)),"huérfano",IF(COUNTIF($A$4:$A135,$A135)&gt;1,"duplicado (se ignora)","aplicado")))</f>
        <v/>
      </c>
      <c r="G135" s="45">
        <f>IF($F135&lt;&gt;"aplicado","",IF(IFERROR(INDEX('ORDENES'!$K$4:$K$1203,MATCH($A135,'ORDENES'!$AU$4:$AU$1203,0)),"")="","",$B135-IFERROR(INDEX('ORDENES'!$K$4:$K$1203,MATCH($A135,'ORDENES'!$AU$4:$AU$1203,0)),"")))</f>
        <v/>
      </c>
    </row>
    <row r="136">
      <c r="A136" s="4" t="n"/>
      <c r="B136" s="43" t="n"/>
      <c r="C136" s="4" t="n"/>
      <c r="D136" s="44" t="n"/>
      <c r="E136" s="24">
        <f>IF($A136="","",IFERROR(INDEX('ORDENES'!$D$4:$D$1203,MATCH($A136,'ORDENES'!$AU$4:$AU$1203,0)),"(no encontrada)"))</f>
        <v/>
      </c>
      <c r="F136" s="24">
        <f>IF($A136="","",IF(ISNA(MATCH($A136,'ORDENES'!$AU$4:$AU$1203,0)),"huérfano",IF(COUNTIF($A$4:$A136,$A136)&gt;1,"duplicado (se ignora)","aplicado")))</f>
        <v/>
      </c>
      <c r="G136" s="45">
        <f>IF($F136&lt;&gt;"aplicado","",IF(IFERROR(INDEX('ORDENES'!$K$4:$K$1203,MATCH($A136,'ORDENES'!$AU$4:$AU$1203,0)),"")="","",$B136-IFERROR(INDEX('ORDENES'!$K$4:$K$1203,MATCH($A136,'ORDENES'!$AU$4:$AU$1203,0)),"")))</f>
        <v/>
      </c>
    </row>
    <row r="137">
      <c r="A137" s="4" t="n"/>
      <c r="B137" s="43" t="n"/>
      <c r="C137" s="4" t="n"/>
      <c r="D137" s="44" t="n"/>
      <c r="E137" s="24">
        <f>IF($A137="","",IFERROR(INDEX('ORDENES'!$D$4:$D$1203,MATCH($A137,'ORDENES'!$AU$4:$AU$1203,0)),"(no encontrada)"))</f>
        <v/>
      </c>
      <c r="F137" s="24">
        <f>IF($A137="","",IF(ISNA(MATCH($A137,'ORDENES'!$AU$4:$AU$1203,0)),"huérfano",IF(COUNTIF($A$4:$A137,$A137)&gt;1,"duplicado (se ignora)","aplicado")))</f>
        <v/>
      </c>
      <c r="G137" s="45">
        <f>IF($F137&lt;&gt;"aplicado","",IF(IFERROR(INDEX('ORDENES'!$K$4:$K$1203,MATCH($A137,'ORDENES'!$AU$4:$AU$1203,0)),"")="","",$B137-IFERROR(INDEX('ORDENES'!$K$4:$K$1203,MATCH($A137,'ORDENES'!$AU$4:$AU$1203,0)),"")))</f>
        <v/>
      </c>
    </row>
    <row r="138">
      <c r="A138" s="4" t="n"/>
      <c r="B138" s="43" t="n"/>
      <c r="C138" s="4" t="n"/>
      <c r="D138" s="44" t="n"/>
      <c r="E138" s="24">
        <f>IF($A138="","",IFERROR(INDEX('ORDENES'!$D$4:$D$1203,MATCH($A138,'ORDENES'!$AU$4:$AU$1203,0)),"(no encontrada)"))</f>
        <v/>
      </c>
      <c r="F138" s="24">
        <f>IF($A138="","",IF(ISNA(MATCH($A138,'ORDENES'!$AU$4:$AU$1203,0)),"huérfano",IF(COUNTIF($A$4:$A138,$A138)&gt;1,"duplicado (se ignora)","aplicado")))</f>
        <v/>
      </c>
      <c r="G138" s="45">
        <f>IF($F138&lt;&gt;"aplicado","",IF(IFERROR(INDEX('ORDENES'!$K$4:$K$1203,MATCH($A138,'ORDENES'!$AU$4:$AU$1203,0)),"")="","",$B138-IFERROR(INDEX('ORDENES'!$K$4:$K$1203,MATCH($A138,'ORDENES'!$AU$4:$AU$1203,0)),"")))</f>
        <v/>
      </c>
    </row>
    <row r="139">
      <c r="A139" s="4" t="n"/>
      <c r="B139" s="43" t="n"/>
      <c r="C139" s="4" t="n"/>
      <c r="D139" s="44" t="n"/>
      <c r="E139" s="24">
        <f>IF($A139="","",IFERROR(INDEX('ORDENES'!$D$4:$D$1203,MATCH($A139,'ORDENES'!$AU$4:$AU$1203,0)),"(no encontrada)"))</f>
        <v/>
      </c>
      <c r="F139" s="24">
        <f>IF($A139="","",IF(ISNA(MATCH($A139,'ORDENES'!$AU$4:$AU$1203,0)),"huérfano",IF(COUNTIF($A$4:$A139,$A139)&gt;1,"duplicado (se ignora)","aplicado")))</f>
        <v/>
      </c>
      <c r="G139" s="45">
        <f>IF($F139&lt;&gt;"aplicado","",IF(IFERROR(INDEX('ORDENES'!$K$4:$K$1203,MATCH($A139,'ORDENES'!$AU$4:$AU$1203,0)),"")="","",$B139-IFERROR(INDEX('ORDENES'!$K$4:$K$1203,MATCH($A139,'ORDENES'!$AU$4:$AU$1203,0)),"")))</f>
        <v/>
      </c>
    </row>
    <row r="140">
      <c r="A140" s="4" t="n"/>
      <c r="B140" s="43" t="n"/>
      <c r="C140" s="4" t="n"/>
      <c r="D140" s="44" t="n"/>
      <c r="E140" s="24">
        <f>IF($A140="","",IFERROR(INDEX('ORDENES'!$D$4:$D$1203,MATCH($A140,'ORDENES'!$AU$4:$AU$1203,0)),"(no encontrada)"))</f>
        <v/>
      </c>
      <c r="F140" s="24">
        <f>IF($A140="","",IF(ISNA(MATCH($A140,'ORDENES'!$AU$4:$AU$1203,0)),"huérfano",IF(COUNTIF($A$4:$A140,$A140)&gt;1,"duplicado (se ignora)","aplicado")))</f>
        <v/>
      </c>
      <c r="G140" s="45">
        <f>IF($F140&lt;&gt;"aplicado","",IF(IFERROR(INDEX('ORDENES'!$K$4:$K$1203,MATCH($A140,'ORDENES'!$AU$4:$AU$1203,0)),"")="","",$B140-IFERROR(INDEX('ORDENES'!$K$4:$K$1203,MATCH($A140,'ORDENES'!$AU$4:$AU$1203,0)),"")))</f>
        <v/>
      </c>
    </row>
    <row r="141">
      <c r="A141" s="4" t="n"/>
      <c r="B141" s="43" t="n"/>
      <c r="C141" s="4" t="n"/>
      <c r="D141" s="44" t="n"/>
      <c r="E141" s="24">
        <f>IF($A141="","",IFERROR(INDEX('ORDENES'!$D$4:$D$1203,MATCH($A141,'ORDENES'!$AU$4:$AU$1203,0)),"(no encontrada)"))</f>
        <v/>
      </c>
      <c r="F141" s="24">
        <f>IF($A141="","",IF(ISNA(MATCH($A141,'ORDENES'!$AU$4:$AU$1203,0)),"huérfano",IF(COUNTIF($A$4:$A141,$A141)&gt;1,"duplicado (se ignora)","aplicado")))</f>
        <v/>
      </c>
      <c r="G141" s="45">
        <f>IF($F141&lt;&gt;"aplicado","",IF(IFERROR(INDEX('ORDENES'!$K$4:$K$1203,MATCH($A141,'ORDENES'!$AU$4:$AU$1203,0)),"")="","",$B141-IFERROR(INDEX('ORDENES'!$K$4:$K$1203,MATCH($A141,'ORDENES'!$AU$4:$AU$1203,0)),"")))</f>
        <v/>
      </c>
    </row>
    <row r="142">
      <c r="A142" s="4" t="n"/>
      <c r="B142" s="43" t="n"/>
      <c r="C142" s="4" t="n"/>
      <c r="D142" s="44" t="n"/>
      <c r="E142" s="24">
        <f>IF($A142="","",IFERROR(INDEX('ORDENES'!$D$4:$D$1203,MATCH($A142,'ORDENES'!$AU$4:$AU$1203,0)),"(no encontrada)"))</f>
        <v/>
      </c>
      <c r="F142" s="24">
        <f>IF($A142="","",IF(ISNA(MATCH($A142,'ORDENES'!$AU$4:$AU$1203,0)),"huérfano",IF(COUNTIF($A$4:$A142,$A142)&gt;1,"duplicado (se ignora)","aplicado")))</f>
        <v/>
      </c>
      <c r="G142" s="45">
        <f>IF($F142&lt;&gt;"aplicado","",IF(IFERROR(INDEX('ORDENES'!$K$4:$K$1203,MATCH($A142,'ORDENES'!$AU$4:$AU$1203,0)),"")="","",$B142-IFERROR(INDEX('ORDENES'!$K$4:$K$1203,MATCH($A142,'ORDENES'!$AU$4:$AU$1203,0)),"")))</f>
        <v/>
      </c>
    </row>
    <row r="143">
      <c r="A143" s="4" t="n"/>
      <c r="B143" s="43" t="n"/>
      <c r="C143" s="4" t="n"/>
      <c r="D143" s="44" t="n"/>
      <c r="E143" s="24">
        <f>IF($A143="","",IFERROR(INDEX('ORDENES'!$D$4:$D$1203,MATCH($A143,'ORDENES'!$AU$4:$AU$1203,0)),"(no encontrada)"))</f>
        <v/>
      </c>
      <c r="F143" s="24">
        <f>IF($A143="","",IF(ISNA(MATCH($A143,'ORDENES'!$AU$4:$AU$1203,0)),"huérfano",IF(COUNTIF($A$4:$A143,$A143)&gt;1,"duplicado (se ignora)","aplicado")))</f>
        <v/>
      </c>
      <c r="G143" s="45">
        <f>IF($F143&lt;&gt;"aplicado","",IF(IFERROR(INDEX('ORDENES'!$K$4:$K$1203,MATCH($A143,'ORDENES'!$AU$4:$AU$1203,0)),"")="","",$B143-IFERROR(INDEX('ORDENES'!$K$4:$K$1203,MATCH($A143,'ORDENES'!$AU$4:$AU$1203,0)),"")))</f>
        <v/>
      </c>
    </row>
    <row r="144">
      <c r="A144" s="4" t="n"/>
      <c r="B144" s="43" t="n"/>
      <c r="C144" s="4" t="n"/>
      <c r="D144" s="44" t="n"/>
      <c r="E144" s="24">
        <f>IF($A144="","",IFERROR(INDEX('ORDENES'!$D$4:$D$1203,MATCH($A144,'ORDENES'!$AU$4:$AU$1203,0)),"(no encontrada)"))</f>
        <v/>
      </c>
      <c r="F144" s="24">
        <f>IF($A144="","",IF(ISNA(MATCH($A144,'ORDENES'!$AU$4:$AU$1203,0)),"huérfano",IF(COUNTIF($A$4:$A144,$A144)&gt;1,"duplicado (se ignora)","aplicado")))</f>
        <v/>
      </c>
      <c r="G144" s="45">
        <f>IF($F144&lt;&gt;"aplicado","",IF(IFERROR(INDEX('ORDENES'!$K$4:$K$1203,MATCH($A144,'ORDENES'!$AU$4:$AU$1203,0)),"")="","",$B144-IFERROR(INDEX('ORDENES'!$K$4:$K$1203,MATCH($A144,'ORDENES'!$AU$4:$AU$1203,0)),"")))</f>
        <v/>
      </c>
    </row>
    <row r="145">
      <c r="A145" s="4" t="n"/>
      <c r="B145" s="43" t="n"/>
      <c r="C145" s="4" t="n"/>
      <c r="D145" s="44" t="n"/>
      <c r="E145" s="24">
        <f>IF($A145="","",IFERROR(INDEX('ORDENES'!$D$4:$D$1203,MATCH($A145,'ORDENES'!$AU$4:$AU$1203,0)),"(no encontrada)"))</f>
        <v/>
      </c>
      <c r="F145" s="24">
        <f>IF($A145="","",IF(ISNA(MATCH($A145,'ORDENES'!$AU$4:$AU$1203,0)),"huérfano",IF(COUNTIF($A$4:$A145,$A145)&gt;1,"duplicado (se ignora)","aplicado")))</f>
        <v/>
      </c>
      <c r="G145" s="45">
        <f>IF($F145&lt;&gt;"aplicado","",IF(IFERROR(INDEX('ORDENES'!$K$4:$K$1203,MATCH($A145,'ORDENES'!$AU$4:$AU$1203,0)),"")="","",$B145-IFERROR(INDEX('ORDENES'!$K$4:$K$1203,MATCH($A145,'ORDENES'!$AU$4:$AU$1203,0)),"")))</f>
        <v/>
      </c>
    </row>
    <row r="146">
      <c r="A146" s="4" t="n"/>
      <c r="B146" s="43" t="n"/>
      <c r="C146" s="4" t="n"/>
      <c r="D146" s="44" t="n"/>
      <c r="E146" s="24">
        <f>IF($A146="","",IFERROR(INDEX('ORDENES'!$D$4:$D$1203,MATCH($A146,'ORDENES'!$AU$4:$AU$1203,0)),"(no encontrada)"))</f>
        <v/>
      </c>
      <c r="F146" s="24">
        <f>IF($A146="","",IF(ISNA(MATCH($A146,'ORDENES'!$AU$4:$AU$1203,0)),"huérfano",IF(COUNTIF($A$4:$A146,$A146)&gt;1,"duplicado (se ignora)","aplicado")))</f>
        <v/>
      </c>
      <c r="G146" s="45">
        <f>IF($F146&lt;&gt;"aplicado","",IF(IFERROR(INDEX('ORDENES'!$K$4:$K$1203,MATCH($A146,'ORDENES'!$AU$4:$AU$1203,0)),"")="","",$B146-IFERROR(INDEX('ORDENES'!$K$4:$K$1203,MATCH($A146,'ORDENES'!$AU$4:$AU$1203,0)),"")))</f>
        <v/>
      </c>
    </row>
    <row r="147">
      <c r="A147" s="4" t="n"/>
      <c r="B147" s="43" t="n"/>
      <c r="C147" s="4" t="n"/>
      <c r="D147" s="44" t="n"/>
      <c r="E147" s="24">
        <f>IF($A147="","",IFERROR(INDEX('ORDENES'!$D$4:$D$1203,MATCH($A147,'ORDENES'!$AU$4:$AU$1203,0)),"(no encontrada)"))</f>
        <v/>
      </c>
      <c r="F147" s="24">
        <f>IF($A147="","",IF(ISNA(MATCH($A147,'ORDENES'!$AU$4:$AU$1203,0)),"huérfano",IF(COUNTIF($A$4:$A147,$A147)&gt;1,"duplicado (se ignora)","aplicado")))</f>
        <v/>
      </c>
      <c r="G147" s="45">
        <f>IF($F147&lt;&gt;"aplicado","",IF(IFERROR(INDEX('ORDENES'!$K$4:$K$1203,MATCH($A147,'ORDENES'!$AU$4:$AU$1203,0)),"")="","",$B147-IFERROR(INDEX('ORDENES'!$K$4:$K$1203,MATCH($A147,'ORDENES'!$AU$4:$AU$1203,0)),"")))</f>
        <v/>
      </c>
    </row>
    <row r="148">
      <c r="A148" s="4" t="n"/>
      <c r="B148" s="43" t="n"/>
      <c r="C148" s="4" t="n"/>
      <c r="D148" s="44" t="n"/>
      <c r="E148" s="24">
        <f>IF($A148="","",IFERROR(INDEX('ORDENES'!$D$4:$D$1203,MATCH($A148,'ORDENES'!$AU$4:$AU$1203,0)),"(no encontrada)"))</f>
        <v/>
      </c>
      <c r="F148" s="24">
        <f>IF($A148="","",IF(ISNA(MATCH($A148,'ORDENES'!$AU$4:$AU$1203,0)),"huérfano",IF(COUNTIF($A$4:$A148,$A148)&gt;1,"duplicado (se ignora)","aplicado")))</f>
        <v/>
      </c>
      <c r="G148" s="45">
        <f>IF($F148&lt;&gt;"aplicado","",IF(IFERROR(INDEX('ORDENES'!$K$4:$K$1203,MATCH($A148,'ORDENES'!$AU$4:$AU$1203,0)),"")="","",$B148-IFERROR(INDEX('ORDENES'!$K$4:$K$1203,MATCH($A148,'ORDENES'!$AU$4:$AU$1203,0)),"")))</f>
        <v/>
      </c>
    </row>
    <row r="149">
      <c r="A149" s="4" t="n"/>
      <c r="B149" s="43" t="n"/>
      <c r="C149" s="4" t="n"/>
      <c r="D149" s="44" t="n"/>
      <c r="E149" s="24">
        <f>IF($A149="","",IFERROR(INDEX('ORDENES'!$D$4:$D$1203,MATCH($A149,'ORDENES'!$AU$4:$AU$1203,0)),"(no encontrada)"))</f>
        <v/>
      </c>
      <c r="F149" s="24">
        <f>IF($A149="","",IF(ISNA(MATCH($A149,'ORDENES'!$AU$4:$AU$1203,0)),"huérfano",IF(COUNTIF($A$4:$A149,$A149)&gt;1,"duplicado (se ignora)","aplicado")))</f>
        <v/>
      </c>
      <c r="G149" s="45">
        <f>IF($F149&lt;&gt;"aplicado","",IF(IFERROR(INDEX('ORDENES'!$K$4:$K$1203,MATCH($A149,'ORDENES'!$AU$4:$AU$1203,0)),"")="","",$B149-IFERROR(INDEX('ORDENES'!$K$4:$K$1203,MATCH($A149,'ORDENES'!$AU$4:$AU$1203,0)),"")))</f>
        <v/>
      </c>
    </row>
    <row r="150">
      <c r="A150" s="4" t="n"/>
      <c r="B150" s="43" t="n"/>
      <c r="C150" s="4" t="n"/>
      <c r="D150" s="44" t="n"/>
      <c r="E150" s="24">
        <f>IF($A150="","",IFERROR(INDEX('ORDENES'!$D$4:$D$1203,MATCH($A150,'ORDENES'!$AU$4:$AU$1203,0)),"(no encontrada)"))</f>
        <v/>
      </c>
      <c r="F150" s="24">
        <f>IF($A150="","",IF(ISNA(MATCH($A150,'ORDENES'!$AU$4:$AU$1203,0)),"huérfano",IF(COUNTIF($A$4:$A150,$A150)&gt;1,"duplicado (se ignora)","aplicado")))</f>
        <v/>
      </c>
      <c r="G150" s="45">
        <f>IF($F150&lt;&gt;"aplicado","",IF(IFERROR(INDEX('ORDENES'!$K$4:$K$1203,MATCH($A150,'ORDENES'!$AU$4:$AU$1203,0)),"")="","",$B150-IFERROR(INDEX('ORDENES'!$K$4:$K$1203,MATCH($A150,'ORDENES'!$AU$4:$AU$1203,0)),"")))</f>
        <v/>
      </c>
    </row>
    <row r="151">
      <c r="A151" s="4" t="n"/>
      <c r="B151" s="43" t="n"/>
      <c r="C151" s="4" t="n"/>
      <c r="D151" s="44" t="n"/>
      <c r="E151" s="24">
        <f>IF($A151="","",IFERROR(INDEX('ORDENES'!$D$4:$D$1203,MATCH($A151,'ORDENES'!$AU$4:$AU$1203,0)),"(no encontrada)"))</f>
        <v/>
      </c>
      <c r="F151" s="24">
        <f>IF($A151="","",IF(ISNA(MATCH($A151,'ORDENES'!$AU$4:$AU$1203,0)),"huérfano",IF(COUNTIF($A$4:$A151,$A151)&gt;1,"duplicado (se ignora)","aplicado")))</f>
        <v/>
      </c>
      <c r="G151" s="45">
        <f>IF($F151&lt;&gt;"aplicado","",IF(IFERROR(INDEX('ORDENES'!$K$4:$K$1203,MATCH($A151,'ORDENES'!$AU$4:$AU$1203,0)),"")="","",$B151-IFERROR(INDEX('ORDENES'!$K$4:$K$1203,MATCH($A151,'ORDENES'!$AU$4:$AU$1203,0)),"")))</f>
        <v/>
      </c>
    </row>
    <row r="152">
      <c r="A152" s="4" t="n"/>
      <c r="B152" s="43" t="n"/>
      <c r="C152" s="4" t="n"/>
      <c r="D152" s="44" t="n"/>
      <c r="E152" s="24">
        <f>IF($A152="","",IFERROR(INDEX('ORDENES'!$D$4:$D$1203,MATCH($A152,'ORDENES'!$AU$4:$AU$1203,0)),"(no encontrada)"))</f>
        <v/>
      </c>
      <c r="F152" s="24">
        <f>IF($A152="","",IF(ISNA(MATCH($A152,'ORDENES'!$AU$4:$AU$1203,0)),"huérfano",IF(COUNTIF($A$4:$A152,$A152)&gt;1,"duplicado (se ignora)","aplicado")))</f>
        <v/>
      </c>
      <c r="G152" s="45">
        <f>IF($F152&lt;&gt;"aplicado","",IF(IFERROR(INDEX('ORDENES'!$K$4:$K$1203,MATCH($A152,'ORDENES'!$AU$4:$AU$1203,0)),"")="","",$B152-IFERROR(INDEX('ORDENES'!$K$4:$K$1203,MATCH($A152,'ORDENES'!$AU$4:$AU$1203,0)),"")))</f>
        <v/>
      </c>
    </row>
    <row r="153">
      <c r="A153" s="4" t="n"/>
      <c r="B153" s="43" t="n"/>
      <c r="C153" s="4" t="n"/>
      <c r="D153" s="44" t="n"/>
      <c r="E153" s="24">
        <f>IF($A153="","",IFERROR(INDEX('ORDENES'!$D$4:$D$1203,MATCH($A153,'ORDENES'!$AU$4:$AU$1203,0)),"(no encontrada)"))</f>
        <v/>
      </c>
      <c r="F153" s="24">
        <f>IF($A153="","",IF(ISNA(MATCH($A153,'ORDENES'!$AU$4:$AU$1203,0)),"huérfano",IF(COUNTIF($A$4:$A153,$A153)&gt;1,"duplicado (se ignora)","aplicado")))</f>
        <v/>
      </c>
      <c r="G153" s="45">
        <f>IF($F153&lt;&gt;"aplicado","",IF(IFERROR(INDEX('ORDENES'!$K$4:$K$1203,MATCH($A153,'ORDENES'!$AU$4:$AU$1203,0)),"")="","",$B153-IFERROR(INDEX('ORDENES'!$K$4:$K$1203,MATCH($A153,'ORDENES'!$AU$4:$AU$1203,0)),"")))</f>
        <v/>
      </c>
    </row>
    <row r="154">
      <c r="A154" s="4" t="n"/>
      <c r="B154" s="43" t="n"/>
      <c r="C154" s="4" t="n"/>
      <c r="D154" s="44" t="n"/>
      <c r="E154" s="24">
        <f>IF($A154="","",IFERROR(INDEX('ORDENES'!$D$4:$D$1203,MATCH($A154,'ORDENES'!$AU$4:$AU$1203,0)),"(no encontrada)"))</f>
        <v/>
      </c>
      <c r="F154" s="24">
        <f>IF($A154="","",IF(ISNA(MATCH($A154,'ORDENES'!$AU$4:$AU$1203,0)),"huérfano",IF(COUNTIF($A$4:$A154,$A154)&gt;1,"duplicado (se ignora)","aplicado")))</f>
        <v/>
      </c>
      <c r="G154" s="45">
        <f>IF($F154&lt;&gt;"aplicado","",IF(IFERROR(INDEX('ORDENES'!$K$4:$K$1203,MATCH($A154,'ORDENES'!$AU$4:$AU$1203,0)),"")="","",$B154-IFERROR(INDEX('ORDENES'!$K$4:$K$1203,MATCH($A154,'ORDENES'!$AU$4:$AU$1203,0)),"")))</f>
        <v/>
      </c>
    </row>
    <row r="155">
      <c r="A155" s="4" t="n"/>
      <c r="B155" s="43" t="n"/>
      <c r="C155" s="4" t="n"/>
      <c r="D155" s="44" t="n"/>
      <c r="E155" s="24">
        <f>IF($A155="","",IFERROR(INDEX('ORDENES'!$D$4:$D$1203,MATCH($A155,'ORDENES'!$AU$4:$AU$1203,0)),"(no encontrada)"))</f>
        <v/>
      </c>
      <c r="F155" s="24">
        <f>IF($A155="","",IF(ISNA(MATCH($A155,'ORDENES'!$AU$4:$AU$1203,0)),"huérfano",IF(COUNTIF($A$4:$A155,$A155)&gt;1,"duplicado (se ignora)","aplicado")))</f>
        <v/>
      </c>
      <c r="G155" s="45">
        <f>IF($F155&lt;&gt;"aplicado","",IF(IFERROR(INDEX('ORDENES'!$K$4:$K$1203,MATCH($A155,'ORDENES'!$AU$4:$AU$1203,0)),"")="","",$B155-IFERROR(INDEX('ORDENES'!$K$4:$K$1203,MATCH($A155,'ORDENES'!$AU$4:$AU$1203,0)),"")))</f>
        <v/>
      </c>
    </row>
    <row r="156">
      <c r="A156" s="4" t="n"/>
      <c r="B156" s="43" t="n"/>
      <c r="C156" s="4" t="n"/>
      <c r="D156" s="44" t="n"/>
      <c r="E156" s="24">
        <f>IF($A156="","",IFERROR(INDEX('ORDENES'!$D$4:$D$1203,MATCH($A156,'ORDENES'!$AU$4:$AU$1203,0)),"(no encontrada)"))</f>
        <v/>
      </c>
      <c r="F156" s="24">
        <f>IF($A156="","",IF(ISNA(MATCH($A156,'ORDENES'!$AU$4:$AU$1203,0)),"huérfano",IF(COUNTIF($A$4:$A156,$A156)&gt;1,"duplicado (se ignora)","aplicado")))</f>
        <v/>
      </c>
      <c r="G156" s="45">
        <f>IF($F156&lt;&gt;"aplicado","",IF(IFERROR(INDEX('ORDENES'!$K$4:$K$1203,MATCH($A156,'ORDENES'!$AU$4:$AU$1203,0)),"")="","",$B156-IFERROR(INDEX('ORDENES'!$K$4:$K$1203,MATCH($A156,'ORDENES'!$AU$4:$AU$1203,0)),"")))</f>
        <v/>
      </c>
    </row>
    <row r="157">
      <c r="A157" s="4" t="n"/>
      <c r="B157" s="43" t="n"/>
      <c r="C157" s="4" t="n"/>
      <c r="D157" s="44" t="n"/>
      <c r="E157" s="24">
        <f>IF($A157="","",IFERROR(INDEX('ORDENES'!$D$4:$D$1203,MATCH($A157,'ORDENES'!$AU$4:$AU$1203,0)),"(no encontrada)"))</f>
        <v/>
      </c>
      <c r="F157" s="24">
        <f>IF($A157="","",IF(ISNA(MATCH($A157,'ORDENES'!$AU$4:$AU$1203,0)),"huérfano",IF(COUNTIF($A$4:$A157,$A157)&gt;1,"duplicado (se ignora)","aplicado")))</f>
        <v/>
      </c>
      <c r="G157" s="45">
        <f>IF($F157&lt;&gt;"aplicado","",IF(IFERROR(INDEX('ORDENES'!$K$4:$K$1203,MATCH($A157,'ORDENES'!$AU$4:$AU$1203,0)),"")="","",$B157-IFERROR(INDEX('ORDENES'!$K$4:$K$1203,MATCH($A157,'ORDENES'!$AU$4:$AU$1203,0)),"")))</f>
        <v/>
      </c>
    </row>
    <row r="158">
      <c r="A158" s="4" t="n"/>
      <c r="B158" s="43" t="n"/>
      <c r="C158" s="4" t="n"/>
      <c r="D158" s="44" t="n"/>
      <c r="E158" s="24">
        <f>IF($A158="","",IFERROR(INDEX('ORDENES'!$D$4:$D$1203,MATCH($A158,'ORDENES'!$AU$4:$AU$1203,0)),"(no encontrada)"))</f>
        <v/>
      </c>
      <c r="F158" s="24">
        <f>IF($A158="","",IF(ISNA(MATCH($A158,'ORDENES'!$AU$4:$AU$1203,0)),"huérfano",IF(COUNTIF($A$4:$A158,$A158)&gt;1,"duplicado (se ignora)","aplicado")))</f>
        <v/>
      </c>
      <c r="G158" s="45">
        <f>IF($F158&lt;&gt;"aplicado","",IF(IFERROR(INDEX('ORDENES'!$K$4:$K$1203,MATCH($A158,'ORDENES'!$AU$4:$AU$1203,0)),"")="","",$B158-IFERROR(INDEX('ORDENES'!$K$4:$K$1203,MATCH($A158,'ORDENES'!$AU$4:$AU$1203,0)),"")))</f>
        <v/>
      </c>
    </row>
    <row r="159">
      <c r="A159" s="4" t="n"/>
      <c r="B159" s="43" t="n"/>
      <c r="C159" s="4" t="n"/>
      <c r="D159" s="44" t="n"/>
      <c r="E159" s="24">
        <f>IF($A159="","",IFERROR(INDEX('ORDENES'!$D$4:$D$1203,MATCH($A159,'ORDENES'!$AU$4:$AU$1203,0)),"(no encontrada)"))</f>
        <v/>
      </c>
      <c r="F159" s="24">
        <f>IF($A159="","",IF(ISNA(MATCH($A159,'ORDENES'!$AU$4:$AU$1203,0)),"huérfano",IF(COUNTIF($A$4:$A159,$A159)&gt;1,"duplicado (se ignora)","aplicado")))</f>
        <v/>
      </c>
      <c r="G159" s="45">
        <f>IF($F159&lt;&gt;"aplicado","",IF(IFERROR(INDEX('ORDENES'!$K$4:$K$1203,MATCH($A159,'ORDENES'!$AU$4:$AU$1203,0)),"")="","",$B159-IFERROR(INDEX('ORDENES'!$K$4:$K$1203,MATCH($A159,'ORDENES'!$AU$4:$AU$1203,0)),"")))</f>
        <v/>
      </c>
    </row>
    <row r="160">
      <c r="A160" s="4" t="n"/>
      <c r="B160" s="43" t="n"/>
      <c r="C160" s="4" t="n"/>
      <c r="D160" s="44" t="n"/>
      <c r="E160" s="24">
        <f>IF($A160="","",IFERROR(INDEX('ORDENES'!$D$4:$D$1203,MATCH($A160,'ORDENES'!$AU$4:$AU$1203,0)),"(no encontrada)"))</f>
        <v/>
      </c>
      <c r="F160" s="24">
        <f>IF($A160="","",IF(ISNA(MATCH($A160,'ORDENES'!$AU$4:$AU$1203,0)),"huérfano",IF(COUNTIF($A$4:$A160,$A160)&gt;1,"duplicado (se ignora)","aplicado")))</f>
        <v/>
      </c>
      <c r="G160" s="45">
        <f>IF($F160&lt;&gt;"aplicado","",IF(IFERROR(INDEX('ORDENES'!$K$4:$K$1203,MATCH($A160,'ORDENES'!$AU$4:$AU$1203,0)),"")="","",$B160-IFERROR(INDEX('ORDENES'!$K$4:$K$1203,MATCH($A160,'ORDENES'!$AU$4:$AU$1203,0)),"")))</f>
        <v/>
      </c>
    </row>
    <row r="161">
      <c r="A161" s="4" t="n"/>
      <c r="B161" s="43" t="n"/>
      <c r="C161" s="4" t="n"/>
      <c r="D161" s="44" t="n"/>
      <c r="E161" s="24">
        <f>IF($A161="","",IFERROR(INDEX('ORDENES'!$D$4:$D$1203,MATCH($A161,'ORDENES'!$AU$4:$AU$1203,0)),"(no encontrada)"))</f>
        <v/>
      </c>
      <c r="F161" s="24">
        <f>IF($A161="","",IF(ISNA(MATCH($A161,'ORDENES'!$AU$4:$AU$1203,0)),"huérfano",IF(COUNTIF($A$4:$A161,$A161)&gt;1,"duplicado (se ignora)","aplicado")))</f>
        <v/>
      </c>
      <c r="G161" s="45">
        <f>IF($F161&lt;&gt;"aplicado","",IF(IFERROR(INDEX('ORDENES'!$K$4:$K$1203,MATCH($A161,'ORDENES'!$AU$4:$AU$1203,0)),"")="","",$B161-IFERROR(INDEX('ORDENES'!$K$4:$K$1203,MATCH($A161,'ORDENES'!$AU$4:$AU$1203,0)),"")))</f>
        <v/>
      </c>
    </row>
    <row r="162">
      <c r="A162" s="4" t="n"/>
      <c r="B162" s="43" t="n"/>
      <c r="C162" s="4" t="n"/>
      <c r="D162" s="44" t="n"/>
      <c r="E162" s="24">
        <f>IF($A162="","",IFERROR(INDEX('ORDENES'!$D$4:$D$1203,MATCH($A162,'ORDENES'!$AU$4:$AU$1203,0)),"(no encontrada)"))</f>
        <v/>
      </c>
      <c r="F162" s="24">
        <f>IF($A162="","",IF(ISNA(MATCH($A162,'ORDENES'!$AU$4:$AU$1203,0)),"huérfano",IF(COUNTIF($A$4:$A162,$A162)&gt;1,"duplicado (se ignora)","aplicado")))</f>
        <v/>
      </c>
      <c r="G162" s="45">
        <f>IF($F162&lt;&gt;"aplicado","",IF(IFERROR(INDEX('ORDENES'!$K$4:$K$1203,MATCH($A162,'ORDENES'!$AU$4:$AU$1203,0)),"")="","",$B162-IFERROR(INDEX('ORDENES'!$K$4:$K$1203,MATCH($A162,'ORDENES'!$AU$4:$AU$1203,0)),"")))</f>
        <v/>
      </c>
    </row>
    <row r="163">
      <c r="A163" s="4" t="n"/>
      <c r="B163" s="43" t="n"/>
      <c r="C163" s="4" t="n"/>
      <c r="D163" s="44" t="n"/>
      <c r="E163" s="24">
        <f>IF($A163="","",IFERROR(INDEX('ORDENES'!$D$4:$D$1203,MATCH($A163,'ORDENES'!$AU$4:$AU$1203,0)),"(no encontrada)"))</f>
        <v/>
      </c>
      <c r="F163" s="24">
        <f>IF($A163="","",IF(ISNA(MATCH($A163,'ORDENES'!$AU$4:$AU$1203,0)),"huérfano",IF(COUNTIF($A$4:$A163,$A163)&gt;1,"duplicado (se ignora)","aplicado")))</f>
        <v/>
      </c>
      <c r="G163" s="45">
        <f>IF($F163&lt;&gt;"aplicado","",IF(IFERROR(INDEX('ORDENES'!$K$4:$K$1203,MATCH($A163,'ORDENES'!$AU$4:$AU$1203,0)),"")="","",$B163-IFERROR(INDEX('ORDENES'!$K$4:$K$1203,MATCH($A163,'ORDENES'!$AU$4:$AU$1203,0)),"")))</f>
        <v/>
      </c>
    </row>
    <row r="164">
      <c r="A164" s="4" t="n"/>
      <c r="B164" s="43" t="n"/>
      <c r="C164" s="4" t="n"/>
      <c r="D164" s="44" t="n"/>
      <c r="E164" s="24">
        <f>IF($A164="","",IFERROR(INDEX('ORDENES'!$D$4:$D$1203,MATCH($A164,'ORDENES'!$AU$4:$AU$1203,0)),"(no encontrada)"))</f>
        <v/>
      </c>
      <c r="F164" s="24">
        <f>IF($A164="","",IF(ISNA(MATCH($A164,'ORDENES'!$AU$4:$AU$1203,0)),"huérfano",IF(COUNTIF($A$4:$A164,$A164)&gt;1,"duplicado (se ignora)","aplicado")))</f>
        <v/>
      </c>
      <c r="G164" s="45">
        <f>IF($F164&lt;&gt;"aplicado","",IF(IFERROR(INDEX('ORDENES'!$K$4:$K$1203,MATCH($A164,'ORDENES'!$AU$4:$AU$1203,0)),"")="","",$B164-IFERROR(INDEX('ORDENES'!$K$4:$K$1203,MATCH($A164,'ORDENES'!$AU$4:$AU$1203,0)),"")))</f>
        <v/>
      </c>
    </row>
    <row r="165">
      <c r="A165" s="4" t="n"/>
      <c r="B165" s="43" t="n"/>
      <c r="C165" s="4" t="n"/>
      <c r="D165" s="44" t="n"/>
      <c r="E165" s="24">
        <f>IF($A165="","",IFERROR(INDEX('ORDENES'!$D$4:$D$1203,MATCH($A165,'ORDENES'!$AU$4:$AU$1203,0)),"(no encontrada)"))</f>
        <v/>
      </c>
      <c r="F165" s="24">
        <f>IF($A165="","",IF(ISNA(MATCH($A165,'ORDENES'!$AU$4:$AU$1203,0)),"huérfano",IF(COUNTIF($A$4:$A165,$A165)&gt;1,"duplicado (se ignora)","aplicado")))</f>
        <v/>
      </c>
      <c r="G165" s="45">
        <f>IF($F165&lt;&gt;"aplicado","",IF(IFERROR(INDEX('ORDENES'!$K$4:$K$1203,MATCH($A165,'ORDENES'!$AU$4:$AU$1203,0)),"")="","",$B165-IFERROR(INDEX('ORDENES'!$K$4:$K$1203,MATCH($A165,'ORDENES'!$AU$4:$AU$1203,0)),"")))</f>
        <v/>
      </c>
    </row>
    <row r="166">
      <c r="A166" s="4" t="n"/>
      <c r="B166" s="43" t="n"/>
      <c r="C166" s="4" t="n"/>
      <c r="D166" s="44" t="n"/>
      <c r="E166" s="24">
        <f>IF($A166="","",IFERROR(INDEX('ORDENES'!$D$4:$D$1203,MATCH($A166,'ORDENES'!$AU$4:$AU$1203,0)),"(no encontrada)"))</f>
        <v/>
      </c>
      <c r="F166" s="24">
        <f>IF($A166="","",IF(ISNA(MATCH($A166,'ORDENES'!$AU$4:$AU$1203,0)),"huérfano",IF(COUNTIF($A$4:$A166,$A166)&gt;1,"duplicado (se ignora)","aplicado")))</f>
        <v/>
      </c>
      <c r="G166" s="45">
        <f>IF($F166&lt;&gt;"aplicado","",IF(IFERROR(INDEX('ORDENES'!$K$4:$K$1203,MATCH($A166,'ORDENES'!$AU$4:$AU$1203,0)),"")="","",$B166-IFERROR(INDEX('ORDENES'!$K$4:$K$1203,MATCH($A166,'ORDENES'!$AU$4:$AU$1203,0)),"")))</f>
        <v/>
      </c>
    </row>
    <row r="167">
      <c r="A167" s="4" t="n"/>
      <c r="B167" s="43" t="n"/>
      <c r="C167" s="4" t="n"/>
      <c r="D167" s="44" t="n"/>
      <c r="E167" s="24">
        <f>IF($A167="","",IFERROR(INDEX('ORDENES'!$D$4:$D$1203,MATCH($A167,'ORDENES'!$AU$4:$AU$1203,0)),"(no encontrada)"))</f>
        <v/>
      </c>
      <c r="F167" s="24">
        <f>IF($A167="","",IF(ISNA(MATCH($A167,'ORDENES'!$AU$4:$AU$1203,0)),"huérfano",IF(COUNTIF($A$4:$A167,$A167)&gt;1,"duplicado (se ignora)","aplicado")))</f>
        <v/>
      </c>
      <c r="G167" s="45">
        <f>IF($F167&lt;&gt;"aplicado","",IF(IFERROR(INDEX('ORDENES'!$K$4:$K$1203,MATCH($A167,'ORDENES'!$AU$4:$AU$1203,0)),"")="","",$B167-IFERROR(INDEX('ORDENES'!$K$4:$K$1203,MATCH($A167,'ORDENES'!$AU$4:$AU$1203,0)),"")))</f>
        <v/>
      </c>
    </row>
    <row r="168">
      <c r="A168" s="4" t="n"/>
      <c r="B168" s="43" t="n"/>
      <c r="C168" s="4" t="n"/>
      <c r="D168" s="44" t="n"/>
      <c r="E168" s="24">
        <f>IF($A168="","",IFERROR(INDEX('ORDENES'!$D$4:$D$1203,MATCH($A168,'ORDENES'!$AU$4:$AU$1203,0)),"(no encontrada)"))</f>
        <v/>
      </c>
      <c r="F168" s="24">
        <f>IF($A168="","",IF(ISNA(MATCH($A168,'ORDENES'!$AU$4:$AU$1203,0)),"huérfano",IF(COUNTIF($A$4:$A168,$A168)&gt;1,"duplicado (se ignora)","aplicado")))</f>
        <v/>
      </c>
      <c r="G168" s="45">
        <f>IF($F168&lt;&gt;"aplicado","",IF(IFERROR(INDEX('ORDENES'!$K$4:$K$1203,MATCH($A168,'ORDENES'!$AU$4:$AU$1203,0)),"")="","",$B168-IFERROR(INDEX('ORDENES'!$K$4:$K$1203,MATCH($A168,'ORDENES'!$AU$4:$AU$1203,0)),"")))</f>
        <v/>
      </c>
    </row>
    <row r="169">
      <c r="A169" s="4" t="n"/>
      <c r="B169" s="43" t="n"/>
      <c r="C169" s="4" t="n"/>
      <c r="D169" s="44" t="n"/>
      <c r="E169" s="24">
        <f>IF($A169="","",IFERROR(INDEX('ORDENES'!$D$4:$D$1203,MATCH($A169,'ORDENES'!$AU$4:$AU$1203,0)),"(no encontrada)"))</f>
        <v/>
      </c>
      <c r="F169" s="24">
        <f>IF($A169="","",IF(ISNA(MATCH($A169,'ORDENES'!$AU$4:$AU$1203,0)),"huérfano",IF(COUNTIF($A$4:$A169,$A169)&gt;1,"duplicado (se ignora)","aplicado")))</f>
        <v/>
      </c>
      <c r="G169" s="45">
        <f>IF($F169&lt;&gt;"aplicado","",IF(IFERROR(INDEX('ORDENES'!$K$4:$K$1203,MATCH($A169,'ORDENES'!$AU$4:$AU$1203,0)),"")="","",$B169-IFERROR(INDEX('ORDENES'!$K$4:$K$1203,MATCH($A169,'ORDENES'!$AU$4:$AU$1203,0)),"")))</f>
        <v/>
      </c>
    </row>
    <row r="170">
      <c r="A170" s="4" t="n"/>
      <c r="B170" s="43" t="n"/>
      <c r="C170" s="4" t="n"/>
      <c r="D170" s="44" t="n"/>
      <c r="E170" s="24">
        <f>IF($A170="","",IFERROR(INDEX('ORDENES'!$D$4:$D$1203,MATCH($A170,'ORDENES'!$AU$4:$AU$1203,0)),"(no encontrada)"))</f>
        <v/>
      </c>
      <c r="F170" s="24">
        <f>IF($A170="","",IF(ISNA(MATCH($A170,'ORDENES'!$AU$4:$AU$1203,0)),"huérfano",IF(COUNTIF($A$4:$A170,$A170)&gt;1,"duplicado (se ignora)","aplicado")))</f>
        <v/>
      </c>
      <c r="G170" s="45">
        <f>IF($F170&lt;&gt;"aplicado","",IF(IFERROR(INDEX('ORDENES'!$K$4:$K$1203,MATCH($A170,'ORDENES'!$AU$4:$AU$1203,0)),"")="","",$B170-IFERROR(INDEX('ORDENES'!$K$4:$K$1203,MATCH($A170,'ORDENES'!$AU$4:$AU$1203,0)),"")))</f>
        <v/>
      </c>
    </row>
    <row r="171">
      <c r="A171" s="4" t="n"/>
      <c r="B171" s="43" t="n"/>
      <c r="C171" s="4" t="n"/>
      <c r="D171" s="44" t="n"/>
      <c r="E171" s="24">
        <f>IF($A171="","",IFERROR(INDEX('ORDENES'!$D$4:$D$1203,MATCH($A171,'ORDENES'!$AU$4:$AU$1203,0)),"(no encontrada)"))</f>
        <v/>
      </c>
      <c r="F171" s="24">
        <f>IF($A171="","",IF(ISNA(MATCH($A171,'ORDENES'!$AU$4:$AU$1203,0)),"huérfano",IF(COUNTIF($A$4:$A171,$A171)&gt;1,"duplicado (se ignora)","aplicado")))</f>
        <v/>
      </c>
      <c r="G171" s="45">
        <f>IF($F171&lt;&gt;"aplicado","",IF(IFERROR(INDEX('ORDENES'!$K$4:$K$1203,MATCH($A171,'ORDENES'!$AU$4:$AU$1203,0)),"")="","",$B171-IFERROR(INDEX('ORDENES'!$K$4:$K$1203,MATCH($A171,'ORDENES'!$AU$4:$AU$1203,0)),"")))</f>
        <v/>
      </c>
    </row>
    <row r="172">
      <c r="A172" s="4" t="n"/>
      <c r="B172" s="43" t="n"/>
      <c r="C172" s="4" t="n"/>
      <c r="D172" s="44" t="n"/>
      <c r="E172" s="24">
        <f>IF($A172="","",IFERROR(INDEX('ORDENES'!$D$4:$D$1203,MATCH($A172,'ORDENES'!$AU$4:$AU$1203,0)),"(no encontrada)"))</f>
        <v/>
      </c>
      <c r="F172" s="24">
        <f>IF($A172="","",IF(ISNA(MATCH($A172,'ORDENES'!$AU$4:$AU$1203,0)),"huérfano",IF(COUNTIF($A$4:$A172,$A172)&gt;1,"duplicado (se ignora)","aplicado")))</f>
        <v/>
      </c>
      <c r="G172" s="45">
        <f>IF($F172&lt;&gt;"aplicado","",IF(IFERROR(INDEX('ORDENES'!$K$4:$K$1203,MATCH($A172,'ORDENES'!$AU$4:$AU$1203,0)),"")="","",$B172-IFERROR(INDEX('ORDENES'!$K$4:$K$1203,MATCH($A172,'ORDENES'!$AU$4:$AU$1203,0)),"")))</f>
        <v/>
      </c>
    </row>
    <row r="173">
      <c r="A173" s="4" t="n"/>
      <c r="B173" s="43" t="n"/>
      <c r="C173" s="4" t="n"/>
      <c r="D173" s="44" t="n"/>
      <c r="E173" s="24">
        <f>IF($A173="","",IFERROR(INDEX('ORDENES'!$D$4:$D$1203,MATCH($A173,'ORDENES'!$AU$4:$AU$1203,0)),"(no encontrada)"))</f>
        <v/>
      </c>
      <c r="F173" s="24">
        <f>IF($A173="","",IF(ISNA(MATCH($A173,'ORDENES'!$AU$4:$AU$1203,0)),"huérfano",IF(COUNTIF($A$4:$A173,$A173)&gt;1,"duplicado (se ignora)","aplicado")))</f>
        <v/>
      </c>
      <c r="G173" s="45">
        <f>IF($F173&lt;&gt;"aplicado","",IF(IFERROR(INDEX('ORDENES'!$K$4:$K$1203,MATCH($A173,'ORDENES'!$AU$4:$AU$1203,0)),"")="","",$B173-IFERROR(INDEX('ORDENES'!$K$4:$K$1203,MATCH($A173,'ORDENES'!$AU$4:$AU$1203,0)),"")))</f>
        <v/>
      </c>
    </row>
    <row r="174">
      <c r="A174" s="4" t="n"/>
      <c r="B174" s="43" t="n"/>
      <c r="C174" s="4" t="n"/>
      <c r="D174" s="44" t="n"/>
      <c r="E174" s="24">
        <f>IF($A174="","",IFERROR(INDEX('ORDENES'!$D$4:$D$1203,MATCH($A174,'ORDENES'!$AU$4:$AU$1203,0)),"(no encontrada)"))</f>
        <v/>
      </c>
      <c r="F174" s="24">
        <f>IF($A174="","",IF(ISNA(MATCH($A174,'ORDENES'!$AU$4:$AU$1203,0)),"huérfano",IF(COUNTIF($A$4:$A174,$A174)&gt;1,"duplicado (se ignora)","aplicado")))</f>
        <v/>
      </c>
      <c r="G174" s="45">
        <f>IF($F174&lt;&gt;"aplicado","",IF(IFERROR(INDEX('ORDENES'!$K$4:$K$1203,MATCH($A174,'ORDENES'!$AU$4:$AU$1203,0)),"")="","",$B174-IFERROR(INDEX('ORDENES'!$K$4:$K$1203,MATCH($A174,'ORDENES'!$AU$4:$AU$1203,0)),"")))</f>
        <v/>
      </c>
    </row>
    <row r="175">
      <c r="A175" s="4" t="n"/>
      <c r="B175" s="43" t="n"/>
      <c r="C175" s="4" t="n"/>
      <c r="D175" s="44" t="n"/>
      <c r="E175" s="24">
        <f>IF($A175="","",IFERROR(INDEX('ORDENES'!$D$4:$D$1203,MATCH($A175,'ORDENES'!$AU$4:$AU$1203,0)),"(no encontrada)"))</f>
        <v/>
      </c>
      <c r="F175" s="24">
        <f>IF($A175="","",IF(ISNA(MATCH($A175,'ORDENES'!$AU$4:$AU$1203,0)),"huérfano",IF(COUNTIF($A$4:$A175,$A175)&gt;1,"duplicado (se ignora)","aplicado")))</f>
        <v/>
      </c>
      <c r="G175" s="45">
        <f>IF($F175&lt;&gt;"aplicado","",IF(IFERROR(INDEX('ORDENES'!$K$4:$K$1203,MATCH($A175,'ORDENES'!$AU$4:$AU$1203,0)),"")="","",$B175-IFERROR(INDEX('ORDENES'!$K$4:$K$1203,MATCH($A175,'ORDENES'!$AU$4:$AU$1203,0)),"")))</f>
        <v/>
      </c>
    </row>
    <row r="176">
      <c r="A176" s="4" t="n"/>
      <c r="B176" s="43" t="n"/>
      <c r="C176" s="4" t="n"/>
      <c r="D176" s="44" t="n"/>
      <c r="E176" s="24">
        <f>IF($A176="","",IFERROR(INDEX('ORDENES'!$D$4:$D$1203,MATCH($A176,'ORDENES'!$AU$4:$AU$1203,0)),"(no encontrada)"))</f>
        <v/>
      </c>
      <c r="F176" s="24">
        <f>IF($A176="","",IF(ISNA(MATCH($A176,'ORDENES'!$AU$4:$AU$1203,0)),"huérfano",IF(COUNTIF($A$4:$A176,$A176)&gt;1,"duplicado (se ignora)","aplicado")))</f>
        <v/>
      </c>
      <c r="G176" s="45">
        <f>IF($F176&lt;&gt;"aplicado","",IF(IFERROR(INDEX('ORDENES'!$K$4:$K$1203,MATCH($A176,'ORDENES'!$AU$4:$AU$1203,0)),"")="","",$B176-IFERROR(INDEX('ORDENES'!$K$4:$K$1203,MATCH($A176,'ORDENES'!$AU$4:$AU$1203,0)),"")))</f>
        <v/>
      </c>
    </row>
    <row r="177">
      <c r="A177" s="4" t="n"/>
      <c r="B177" s="43" t="n"/>
      <c r="C177" s="4" t="n"/>
      <c r="D177" s="44" t="n"/>
      <c r="E177" s="24">
        <f>IF($A177="","",IFERROR(INDEX('ORDENES'!$D$4:$D$1203,MATCH($A177,'ORDENES'!$AU$4:$AU$1203,0)),"(no encontrada)"))</f>
        <v/>
      </c>
      <c r="F177" s="24">
        <f>IF($A177="","",IF(ISNA(MATCH($A177,'ORDENES'!$AU$4:$AU$1203,0)),"huérfano",IF(COUNTIF($A$4:$A177,$A177)&gt;1,"duplicado (se ignora)","aplicado")))</f>
        <v/>
      </c>
      <c r="G177" s="45">
        <f>IF($F177&lt;&gt;"aplicado","",IF(IFERROR(INDEX('ORDENES'!$K$4:$K$1203,MATCH($A177,'ORDENES'!$AU$4:$AU$1203,0)),"")="","",$B177-IFERROR(INDEX('ORDENES'!$K$4:$K$1203,MATCH($A177,'ORDENES'!$AU$4:$AU$1203,0)),"")))</f>
        <v/>
      </c>
    </row>
    <row r="178">
      <c r="A178" s="4" t="n"/>
      <c r="B178" s="43" t="n"/>
      <c r="C178" s="4" t="n"/>
      <c r="D178" s="44" t="n"/>
      <c r="E178" s="24">
        <f>IF($A178="","",IFERROR(INDEX('ORDENES'!$D$4:$D$1203,MATCH($A178,'ORDENES'!$AU$4:$AU$1203,0)),"(no encontrada)"))</f>
        <v/>
      </c>
      <c r="F178" s="24">
        <f>IF($A178="","",IF(ISNA(MATCH($A178,'ORDENES'!$AU$4:$AU$1203,0)),"huérfano",IF(COUNTIF($A$4:$A178,$A178)&gt;1,"duplicado (se ignora)","aplicado")))</f>
        <v/>
      </c>
      <c r="G178" s="45">
        <f>IF($F178&lt;&gt;"aplicado","",IF(IFERROR(INDEX('ORDENES'!$K$4:$K$1203,MATCH($A178,'ORDENES'!$AU$4:$AU$1203,0)),"")="","",$B178-IFERROR(INDEX('ORDENES'!$K$4:$K$1203,MATCH($A178,'ORDENES'!$AU$4:$AU$1203,0)),"")))</f>
        <v/>
      </c>
    </row>
    <row r="179">
      <c r="A179" s="4" t="n"/>
      <c r="B179" s="43" t="n"/>
      <c r="C179" s="4" t="n"/>
      <c r="D179" s="44" t="n"/>
      <c r="E179" s="24">
        <f>IF($A179="","",IFERROR(INDEX('ORDENES'!$D$4:$D$1203,MATCH($A179,'ORDENES'!$AU$4:$AU$1203,0)),"(no encontrada)"))</f>
        <v/>
      </c>
      <c r="F179" s="24">
        <f>IF($A179="","",IF(ISNA(MATCH($A179,'ORDENES'!$AU$4:$AU$1203,0)),"huérfano",IF(COUNTIF($A$4:$A179,$A179)&gt;1,"duplicado (se ignora)","aplicado")))</f>
        <v/>
      </c>
      <c r="G179" s="45">
        <f>IF($F179&lt;&gt;"aplicado","",IF(IFERROR(INDEX('ORDENES'!$K$4:$K$1203,MATCH($A179,'ORDENES'!$AU$4:$AU$1203,0)),"")="","",$B179-IFERROR(INDEX('ORDENES'!$K$4:$K$1203,MATCH($A179,'ORDENES'!$AU$4:$AU$1203,0)),"")))</f>
        <v/>
      </c>
    </row>
    <row r="180">
      <c r="A180" s="4" t="n"/>
      <c r="B180" s="43" t="n"/>
      <c r="C180" s="4" t="n"/>
      <c r="D180" s="44" t="n"/>
      <c r="E180" s="24">
        <f>IF($A180="","",IFERROR(INDEX('ORDENES'!$D$4:$D$1203,MATCH($A180,'ORDENES'!$AU$4:$AU$1203,0)),"(no encontrada)"))</f>
        <v/>
      </c>
      <c r="F180" s="24">
        <f>IF($A180="","",IF(ISNA(MATCH($A180,'ORDENES'!$AU$4:$AU$1203,0)),"huérfano",IF(COUNTIF($A$4:$A180,$A180)&gt;1,"duplicado (se ignora)","aplicado")))</f>
        <v/>
      </c>
      <c r="G180" s="45">
        <f>IF($F180&lt;&gt;"aplicado","",IF(IFERROR(INDEX('ORDENES'!$K$4:$K$1203,MATCH($A180,'ORDENES'!$AU$4:$AU$1203,0)),"")="","",$B180-IFERROR(INDEX('ORDENES'!$K$4:$K$1203,MATCH($A180,'ORDENES'!$AU$4:$AU$1203,0)),"")))</f>
        <v/>
      </c>
    </row>
    <row r="181">
      <c r="A181" s="4" t="n"/>
      <c r="B181" s="43" t="n"/>
      <c r="C181" s="4" t="n"/>
      <c r="D181" s="44" t="n"/>
      <c r="E181" s="24">
        <f>IF($A181="","",IFERROR(INDEX('ORDENES'!$D$4:$D$1203,MATCH($A181,'ORDENES'!$AU$4:$AU$1203,0)),"(no encontrada)"))</f>
        <v/>
      </c>
      <c r="F181" s="24">
        <f>IF($A181="","",IF(ISNA(MATCH($A181,'ORDENES'!$AU$4:$AU$1203,0)),"huérfano",IF(COUNTIF($A$4:$A181,$A181)&gt;1,"duplicado (se ignora)","aplicado")))</f>
        <v/>
      </c>
      <c r="G181" s="45">
        <f>IF($F181&lt;&gt;"aplicado","",IF(IFERROR(INDEX('ORDENES'!$K$4:$K$1203,MATCH($A181,'ORDENES'!$AU$4:$AU$1203,0)),"")="","",$B181-IFERROR(INDEX('ORDENES'!$K$4:$K$1203,MATCH($A181,'ORDENES'!$AU$4:$AU$1203,0)),"")))</f>
        <v/>
      </c>
    </row>
    <row r="182">
      <c r="A182" s="4" t="n"/>
      <c r="B182" s="43" t="n"/>
      <c r="C182" s="4" t="n"/>
      <c r="D182" s="44" t="n"/>
      <c r="E182" s="24">
        <f>IF($A182="","",IFERROR(INDEX('ORDENES'!$D$4:$D$1203,MATCH($A182,'ORDENES'!$AU$4:$AU$1203,0)),"(no encontrada)"))</f>
        <v/>
      </c>
      <c r="F182" s="24">
        <f>IF($A182="","",IF(ISNA(MATCH($A182,'ORDENES'!$AU$4:$AU$1203,0)),"huérfano",IF(COUNTIF($A$4:$A182,$A182)&gt;1,"duplicado (se ignora)","aplicado")))</f>
        <v/>
      </c>
      <c r="G182" s="45">
        <f>IF($F182&lt;&gt;"aplicado","",IF(IFERROR(INDEX('ORDENES'!$K$4:$K$1203,MATCH($A182,'ORDENES'!$AU$4:$AU$1203,0)),"")="","",$B182-IFERROR(INDEX('ORDENES'!$K$4:$K$1203,MATCH($A182,'ORDENES'!$AU$4:$AU$1203,0)),"")))</f>
        <v/>
      </c>
    </row>
    <row r="183">
      <c r="A183" s="4" t="n"/>
      <c r="B183" s="43" t="n"/>
      <c r="C183" s="4" t="n"/>
      <c r="D183" s="44" t="n"/>
      <c r="E183" s="24">
        <f>IF($A183="","",IFERROR(INDEX('ORDENES'!$D$4:$D$1203,MATCH($A183,'ORDENES'!$AU$4:$AU$1203,0)),"(no encontrada)"))</f>
        <v/>
      </c>
      <c r="F183" s="24">
        <f>IF($A183="","",IF(ISNA(MATCH($A183,'ORDENES'!$AU$4:$AU$1203,0)),"huérfano",IF(COUNTIF($A$4:$A183,$A183)&gt;1,"duplicado (se ignora)","aplicado")))</f>
        <v/>
      </c>
      <c r="G183" s="45">
        <f>IF($F183&lt;&gt;"aplicado","",IF(IFERROR(INDEX('ORDENES'!$K$4:$K$1203,MATCH($A183,'ORDENES'!$AU$4:$AU$1203,0)),"")="","",$B183-IFERROR(INDEX('ORDENES'!$K$4:$K$1203,MATCH($A183,'ORDENES'!$AU$4:$AU$1203,0)),"")))</f>
        <v/>
      </c>
    </row>
    <row r="184">
      <c r="A184" s="4" t="n"/>
      <c r="B184" s="43" t="n"/>
      <c r="C184" s="4" t="n"/>
      <c r="D184" s="44" t="n"/>
      <c r="E184" s="24">
        <f>IF($A184="","",IFERROR(INDEX('ORDENES'!$D$4:$D$1203,MATCH($A184,'ORDENES'!$AU$4:$AU$1203,0)),"(no encontrada)"))</f>
        <v/>
      </c>
      <c r="F184" s="24">
        <f>IF($A184="","",IF(ISNA(MATCH($A184,'ORDENES'!$AU$4:$AU$1203,0)),"huérfano",IF(COUNTIF($A$4:$A184,$A184)&gt;1,"duplicado (se ignora)","aplicado")))</f>
        <v/>
      </c>
      <c r="G184" s="45">
        <f>IF($F184&lt;&gt;"aplicado","",IF(IFERROR(INDEX('ORDENES'!$K$4:$K$1203,MATCH($A184,'ORDENES'!$AU$4:$AU$1203,0)),"")="","",$B184-IFERROR(INDEX('ORDENES'!$K$4:$K$1203,MATCH($A184,'ORDENES'!$AU$4:$AU$1203,0)),"")))</f>
        <v/>
      </c>
    </row>
    <row r="185">
      <c r="A185" s="4" t="n"/>
      <c r="B185" s="43" t="n"/>
      <c r="C185" s="4" t="n"/>
      <c r="D185" s="44" t="n"/>
      <c r="E185" s="24">
        <f>IF($A185="","",IFERROR(INDEX('ORDENES'!$D$4:$D$1203,MATCH($A185,'ORDENES'!$AU$4:$AU$1203,0)),"(no encontrada)"))</f>
        <v/>
      </c>
      <c r="F185" s="24">
        <f>IF($A185="","",IF(ISNA(MATCH($A185,'ORDENES'!$AU$4:$AU$1203,0)),"huérfano",IF(COUNTIF($A$4:$A185,$A185)&gt;1,"duplicado (se ignora)","aplicado")))</f>
        <v/>
      </c>
      <c r="G185" s="45">
        <f>IF($F185&lt;&gt;"aplicado","",IF(IFERROR(INDEX('ORDENES'!$K$4:$K$1203,MATCH($A185,'ORDENES'!$AU$4:$AU$1203,0)),"")="","",$B185-IFERROR(INDEX('ORDENES'!$K$4:$K$1203,MATCH($A185,'ORDENES'!$AU$4:$AU$1203,0)),"")))</f>
        <v/>
      </c>
    </row>
    <row r="186">
      <c r="A186" s="4" t="n"/>
      <c r="B186" s="43" t="n"/>
      <c r="C186" s="4" t="n"/>
      <c r="D186" s="44" t="n"/>
      <c r="E186" s="24">
        <f>IF($A186="","",IFERROR(INDEX('ORDENES'!$D$4:$D$1203,MATCH($A186,'ORDENES'!$AU$4:$AU$1203,0)),"(no encontrada)"))</f>
        <v/>
      </c>
      <c r="F186" s="24">
        <f>IF($A186="","",IF(ISNA(MATCH($A186,'ORDENES'!$AU$4:$AU$1203,0)),"huérfano",IF(COUNTIF($A$4:$A186,$A186)&gt;1,"duplicado (se ignora)","aplicado")))</f>
        <v/>
      </c>
      <c r="G186" s="45">
        <f>IF($F186&lt;&gt;"aplicado","",IF(IFERROR(INDEX('ORDENES'!$K$4:$K$1203,MATCH($A186,'ORDENES'!$AU$4:$AU$1203,0)),"")="","",$B186-IFERROR(INDEX('ORDENES'!$K$4:$K$1203,MATCH($A186,'ORDENES'!$AU$4:$AU$1203,0)),"")))</f>
        <v/>
      </c>
    </row>
    <row r="187">
      <c r="A187" s="4" t="n"/>
      <c r="B187" s="43" t="n"/>
      <c r="C187" s="4" t="n"/>
      <c r="D187" s="44" t="n"/>
      <c r="E187" s="24">
        <f>IF($A187="","",IFERROR(INDEX('ORDENES'!$D$4:$D$1203,MATCH($A187,'ORDENES'!$AU$4:$AU$1203,0)),"(no encontrada)"))</f>
        <v/>
      </c>
      <c r="F187" s="24">
        <f>IF($A187="","",IF(ISNA(MATCH($A187,'ORDENES'!$AU$4:$AU$1203,0)),"huérfano",IF(COUNTIF($A$4:$A187,$A187)&gt;1,"duplicado (se ignora)","aplicado")))</f>
        <v/>
      </c>
      <c r="G187" s="45">
        <f>IF($F187&lt;&gt;"aplicado","",IF(IFERROR(INDEX('ORDENES'!$K$4:$K$1203,MATCH($A187,'ORDENES'!$AU$4:$AU$1203,0)),"")="","",$B187-IFERROR(INDEX('ORDENES'!$K$4:$K$1203,MATCH($A187,'ORDENES'!$AU$4:$AU$1203,0)),"")))</f>
        <v/>
      </c>
    </row>
    <row r="188">
      <c r="A188" s="4" t="n"/>
      <c r="B188" s="43" t="n"/>
      <c r="C188" s="4" t="n"/>
      <c r="D188" s="44" t="n"/>
      <c r="E188" s="24">
        <f>IF($A188="","",IFERROR(INDEX('ORDENES'!$D$4:$D$1203,MATCH($A188,'ORDENES'!$AU$4:$AU$1203,0)),"(no encontrada)"))</f>
        <v/>
      </c>
      <c r="F188" s="24">
        <f>IF($A188="","",IF(ISNA(MATCH($A188,'ORDENES'!$AU$4:$AU$1203,0)),"huérfano",IF(COUNTIF($A$4:$A188,$A188)&gt;1,"duplicado (se ignora)","aplicado")))</f>
        <v/>
      </c>
      <c r="G188" s="45">
        <f>IF($F188&lt;&gt;"aplicado","",IF(IFERROR(INDEX('ORDENES'!$K$4:$K$1203,MATCH($A188,'ORDENES'!$AU$4:$AU$1203,0)),"")="","",$B188-IFERROR(INDEX('ORDENES'!$K$4:$K$1203,MATCH($A188,'ORDENES'!$AU$4:$AU$1203,0)),"")))</f>
        <v/>
      </c>
    </row>
    <row r="189">
      <c r="A189" s="4" t="n"/>
      <c r="B189" s="43" t="n"/>
      <c r="C189" s="4" t="n"/>
      <c r="D189" s="44" t="n"/>
      <c r="E189" s="24">
        <f>IF($A189="","",IFERROR(INDEX('ORDENES'!$D$4:$D$1203,MATCH($A189,'ORDENES'!$AU$4:$AU$1203,0)),"(no encontrada)"))</f>
        <v/>
      </c>
      <c r="F189" s="24">
        <f>IF($A189="","",IF(ISNA(MATCH($A189,'ORDENES'!$AU$4:$AU$1203,0)),"huérfano",IF(COUNTIF($A$4:$A189,$A189)&gt;1,"duplicado (se ignora)","aplicado")))</f>
        <v/>
      </c>
      <c r="G189" s="45">
        <f>IF($F189&lt;&gt;"aplicado","",IF(IFERROR(INDEX('ORDENES'!$K$4:$K$1203,MATCH($A189,'ORDENES'!$AU$4:$AU$1203,0)),"")="","",$B189-IFERROR(INDEX('ORDENES'!$K$4:$K$1203,MATCH($A189,'ORDENES'!$AU$4:$AU$1203,0)),"")))</f>
        <v/>
      </c>
    </row>
    <row r="190">
      <c r="A190" s="4" t="n"/>
      <c r="B190" s="43" t="n"/>
      <c r="C190" s="4" t="n"/>
      <c r="D190" s="44" t="n"/>
      <c r="E190" s="24">
        <f>IF($A190="","",IFERROR(INDEX('ORDENES'!$D$4:$D$1203,MATCH($A190,'ORDENES'!$AU$4:$AU$1203,0)),"(no encontrada)"))</f>
        <v/>
      </c>
      <c r="F190" s="24">
        <f>IF($A190="","",IF(ISNA(MATCH($A190,'ORDENES'!$AU$4:$AU$1203,0)),"huérfano",IF(COUNTIF($A$4:$A190,$A190)&gt;1,"duplicado (se ignora)","aplicado")))</f>
        <v/>
      </c>
      <c r="G190" s="45">
        <f>IF($F190&lt;&gt;"aplicado","",IF(IFERROR(INDEX('ORDENES'!$K$4:$K$1203,MATCH($A190,'ORDENES'!$AU$4:$AU$1203,0)),"")="","",$B190-IFERROR(INDEX('ORDENES'!$K$4:$K$1203,MATCH($A190,'ORDENES'!$AU$4:$AU$1203,0)),"")))</f>
        <v/>
      </c>
    </row>
    <row r="191">
      <c r="A191" s="4" t="n"/>
      <c r="B191" s="43" t="n"/>
      <c r="C191" s="4" t="n"/>
      <c r="D191" s="44" t="n"/>
      <c r="E191" s="24">
        <f>IF($A191="","",IFERROR(INDEX('ORDENES'!$D$4:$D$1203,MATCH($A191,'ORDENES'!$AU$4:$AU$1203,0)),"(no encontrada)"))</f>
        <v/>
      </c>
      <c r="F191" s="24">
        <f>IF($A191="","",IF(ISNA(MATCH($A191,'ORDENES'!$AU$4:$AU$1203,0)),"huérfano",IF(COUNTIF($A$4:$A191,$A191)&gt;1,"duplicado (se ignora)","aplicado")))</f>
        <v/>
      </c>
      <c r="G191" s="45">
        <f>IF($F191&lt;&gt;"aplicado","",IF(IFERROR(INDEX('ORDENES'!$K$4:$K$1203,MATCH($A191,'ORDENES'!$AU$4:$AU$1203,0)),"")="","",$B191-IFERROR(INDEX('ORDENES'!$K$4:$K$1203,MATCH($A191,'ORDENES'!$AU$4:$AU$1203,0)),"")))</f>
        <v/>
      </c>
    </row>
    <row r="192">
      <c r="A192" s="4" t="n"/>
      <c r="B192" s="43" t="n"/>
      <c r="C192" s="4" t="n"/>
      <c r="D192" s="44" t="n"/>
      <c r="E192" s="24">
        <f>IF($A192="","",IFERROR(INDEX('ORDENES'!$D$4:$D$1203,MATCH($A192,'ORDENES'!$AU$4:$AU$1203,0)),"(no encontrada)"))</f>
        <v/>
      </c>
      <c r="F192" s="24">
        <f>IF($A192="","",IF(ISNA(MATCH($A192,'ORDENES'!$AU$4:$AU$1203,0)),"huérfano",IF(COUNTIF($A$4:$A192,$A192)&gt;1,"duplicado (se ignora)","aplicado")))</f>
        <v/>
      </c>
      <c r="G192" s="45">
        <f>IF($F192&lt;&gt;"aplicado","",IF(IFERROR(INDEX('ORDENES'!$K$4:$K$1203,MATCH($A192,'ORDENES'!$AU$4:$AU$1203,0)),"")="","",$B192-IFERROR(INDEX('ORDENES'!$K$4:$K$1203,MATCH($A192,'ORDENES'!$AU$4:$AU$1203,0)),"")))</f>
        <v/>
      </c>
    </row>
    <row r="193">
      <c r="A193" s="4" t="n"/>
      <c r="B193" s="43" t="n"/>
      <c r="C193" s="4" t="n"/>
      <c r="D193" s="44" t="n"/>
      <c r="E193" s="24">
        <f>IF($A193="","",IFERROR(INDEX('ORDENES'!$D$4:$D$1203,MATCH($A193,'ORDENES'!$AU$4:$AU$1203,0)),"(no encontrada)"))</f>
        <v/>
      </c>
      <c r="F193" s="24">
        <f>IF($A193="","",IF(ISNA(MATCH($A193,'ORDENES'!$AU$4:$AU$1203,0)),"huérfano",IF(COUNTIF($A$4:$A193,$A193)&gt;1,"duplicado (se ignora)","aplicado")))</f>
        <v/>
      </c>
      <c r="G193" s="45">
        <f>IF($F193&lt;&gt;"aplicado","",IF(IFERROR(INDEX('ORDENES'!$K$4:$K$1203,MATCH($A193,'ORDENES'!$AU$4:$AU$1203,0)),"")="","",$B193-IFERROR(INDEX('ORDENES'!$K$4:$K$1203,MATCH($A193,'ORDENES'!$AU$4:$AU$1203,0)),"")))</f>
        <v/>
      </c>
    </row>
    <row r="194">
      <c r="A194" s="4" t="n"/>
      <c r="B194" s="43" t="n"/>
      <c r="C194" s="4" t="n"/>
      <c r="D194" s="44" t="n"/>
      <c r="E194" s="24">
        <f>IF($A194="","",IFERROR(INDEX('ORDENES'!$D$4:$D$1203,MATCH($A194,'ORDENES'!$AU$4:$AU$1203,0)),"(no encontrada)"))</f>
        <v/>
      </c>
      <c r="F194" s="24">
        <f>IF($A194="","",IF(ISNA(MATCH($A194,'ORDENES'!$AU$4:$AU$1203,0)),"huérfano",IF(COUNTIF($A$4:$A194,$A194)&gt;1,"duplicado (se ignora)","aplicado")))</f>
        <v/>
      </c>
      <c r="G194" s="45">
        <f>IF($F194&lt;&gt;"aplicado","",IF(IFERROR(INDEX('ORDENES'!$K$4:$K$1203,MATCH($A194,'ORDENES'!$AU$4:$AU$1203,0)),"")="","",$B194-IFERROR(INDEX('ORDENES'!$K$4:$K$1203,MATCH($A194,'ORDENES'!$AU$4:$AU$1203,0)),"")))</f>
        <v/>
      </c>
    </row>
    <row r="195">
      <c r="A195" s="4" t="n"/>
      <c r="B195" s="43" t="n"/>
      <c r="C195" s="4" t="n"/>
      <c r="D195" s="44" t="n"/>
      <c r="E195" s="24">
        <f>IF($A195="","",IFERROR(INDEX('ORDENES'!$D$4:$D$1203,MATCH($A195,'ORDENES'!$AU$4:$AU$1203,0)),"(no encontrada)"))</f>
        <v/>
      </c>
      <c r="F195" s="24">
        <f>IF($A195="","",IF(ISNA(MATCH($A195,'ORDENES'!$AU$4:$AU$1203,0)),"huérfano",IF(COUNTIF($A$4:$A195,$A195)&gt;1,"duplicado (se ignora)","aplicado")))</f>
        <v/>
      </c>
      <c r="G195" s="45">
        <f>IF($F195&lt;&gt;"aplicado","",IF(IFERROR(INDEX('ORDENES'!$K$4:$K$1203,MATCH($A195,'ORDENES'!$AU$4:$AU$1203,0)),"")="","",$B195-IFERROR(INDEX('ORDENES'!$K$4:$K$1203,MATCH($A195,'ORDENES'!$AU$4:$AU$1203,0)),"")))</f>
        <v/>
      </c>
    </row>
    <row r="196">
      <c r="A196" s="4" t="n"/>
      <c r="B196" s="43" t="n"/>
      <c r="C196" s="4" t="n"/>
      <c r="D196" s="44" t="n"/>
      <c r="E196" s="24">
        <f>IF($A196="","",IFERROR(INDEX('ORDENES'!$D$4:$D$1203,MATCH($A196,'ORDENES'!$AU$4:$AU$1203,0)),"(no encontrada)"))</f>
        <v/>
      </c>
      <c r="F196" s="24">
        <f>IF($A196="","",IF(ISNA(MATCH($A196,'ORDENES'!$AU$4:$AU$1203,0)),"huérfano",IF(COUNTIF($A$4:$A196,$A196)&gt;1,"duplicado (se ignora)","aplicado")))</f>
        <v/>
      </c>
      <c r="G196" s="45">
        <f>IF($F196&lt;&gt;"aplicado","",IF(IFERROR(INDEX('ORDENES'!$K$4:$K$1203,MATCH($A196,'ORDENES'!$AU$4:$AU$1203,0)),"")="","",$B196-IFERROR(INDEX('ORDENES'!$K$4:$K$1203,MATCH($A196,'ORDENES'!$AU$4:$AU$1203,0)),"")))</f>
        <v/>
      </c>
    </row>
    <row r="197">
      <c r="A197" s="4" t="n"/>
      <c r="B197" s="43" t="n"/>
      <c r="C197" s="4" t="n"/>
      <c r="D197" s="44" t="n"/>
      <c r="E197" s="24">
        <f>IF($A197="","",IFERROR(INDEX('ORDENES'!$D$4:$D$1203,MATCH($A197,'ORDENES'!$AU$4:$AU$1203,0)),"(no encontrada)"))</f>
        <v/>
      </c>
      <c r="F197" s="24">
        <f>IF($A197="","",IF(ISNA(MATCH($A197,'ORDENES'!$AU$4:$AU$1203,0)),"huérfano",IF(COUNTIF($A$4:$A197,$A197)&gt;1,"duplicado (se ignora)","aplicado")))</f>
        <v/>
      </c>
      <c r="G197" s="45">
        <f>IF($F197&lt;&gt;"aplicado","",IF(IFERROR(INDEX('ORDENES'!$K$4:$K$1203,MATCH($A197,'ORDENES'!$AU$4:$AU$1203,0)),"")="","",$B197-IFERROR(INDEX('ORDENES'!$K$4:$K$1203,MATCH($A197,'ORDENES'!$AU$4:$AU$1203,0)),"")))</f>
        <v/>
      </c>
    </row>
    <row r="198">
      <c r="A198" s="4" t="n"/>
      <c r="B198" s="43" t="n"/>
      <c r="C198" s="4" t="n"/>
      <c r="D198" s="44" t="n"/>
      <c r="E198" s="24">
        <f>IF($A198="","",IFERROR(INDEX('ORDENES'!$D$4:$D$1203,MATCH($A198,'ORDENES'!$AU$4:$AU$1203,0)),"(no encontrada)"))</f>
        <v/>
      </c>
      <c r="F198" s="24">
        <f>IF($A198="","",IF(ISNA(MATCH($A198,'ORDENES'!$AU$4:$AU$1203,0)),"huérfano",IF(COUNTIF($A$4:$A198,$A198)&gt;1,"duplicado (se ignora)","aplicado")))</f>
        <v/>
      </c>
      <c r="G198" s="45">
        <f>IF($F198&lt;&gt;"aplicado","",IF(IFERROR(INDEX('ORDENES'!$K$4:$K$1203,MATCH($A198,'ORDENES'!$AU$4:$AU$1203,0)),"")="","",$B198-IFERROR(INDEX('ORDENES'!$K$4:$K$1203,MATCH($A198,'ORDENES'!$AU$4:$AU$1203,0)),"")))</f>
        <v/>
      </c>
    </row>
    <row r="199">
      <c r="A199" s="4" t="n"/>
      <c r="B199" s="43" t="n"/>
      <c r="C199" s="4" t="n"/>
      <c r="D199" s="44" t="n"/>
      <c r="E199" s="24">
        <f>IF($A199="","",IFERROR(INDEX('ORDENES'!$D$4:$D$1203,MATCH($A199,'ORDENES'!$AU$4:$AU$1203,0)),"(no encontrada)"))</f>
        <v/>
      </c>
      <c r="F199" s="24">
        <f>IF($A199="","",IF(ISNA(MATCH($A199,'ORDENES'!$AU$4:$AU$1203,0)),"huérfano",IF(COUNTIF($A$4:$A199,$A199)&gt;1,"duplicado (se ignora)","aplicado")))</f>
        <v/>
      </c>
      <c r="G199" s="45">
        <f>IF($F199&lt;&gt;"aplicado","",IF(IFERROR(INDEX('ORDENES'!$K$4:$K$1203,MATCH($A199,'ORDENES'!$AU$4:$AU$1203,0)),"")="","",$B199-IFERROR(INDEX('ORDENES'!$K$4:$K$1203,MATCH($A199,'ORDENES'!$AU$4:$AU$1203,0)),"")))</f>
        <v/>
      </c>
    </row>
    <row r="200">
      <c r="A200" s="4" t="n"/>
      <c r="B200" s="43" t="n"/>
      <c r="C200" s="4" t="n"/>
      <c r="D200" s="44" t="n"/>
      <c r="E200" s="24">
        <f>IF($A200="","",IFERROR(INDEX('ORDENES'!$D$4:$D$1203,MATCH($A200,'ORDENES'!$AU$4:$AU$1203,0)),"(no encontrada)"))</f>
        <v/>
      </c>
      <c r="F200" s="24">
        <f>IF($A200="","",IF(ISNA(MATCH($A200,'ORDENES'!$AU$4:$AU$1203,0)),"huérfano",IF(COUNTIF($A$4:$A200,$A200)&gt;1,"duplicado (se ignora)","aplicado")))</f>
        <v/>
      </c>
      <c r="G200" s="45">
        <f>IF($F200&lt;&gt;"aplicado","",IF(IFERROR(INDEX('ORDENES'!$K$4:$K$1203,MATCH($A200,'ORDENES'!$AU$4:$AU$1203,0)),"")="","",$B200-IFERROR(INDEX('ORDENES'!$K$4:$K$1203,MATCH($A200,'ORDENES'!$AU$4:$AU$1203,0)),"")))</f>
        <v/>
      </c>
    </row>
    <row r="201">
      <c r="A201" s="4" t="n"/>
      <c r="B201" s="43" t="n"/>
      <c r="C201" s="4" t="n"/>
      <c r="D201" s="44" t="n"/>
      <c r="E201" s="24">
        <f>IF($A201="","",IFERROR(INDEX('ORDENES'!$D$4:$D$1203,MATCH($A201,'ORDENES'!$AU$4:$AU$1203,0)),"(no encontrada)"))</f>
        <v/>
      </c>
      <c r="F201" s="24">
        <f>IF($A201="","",IF(ISNA(MATCH($A201,'ORDENES'!$AU$4:$AU$1203,0)),"huérfano",IF(COUNTIF($A$4:$A201,$A201)&gt;1,"duplicado (se ignora)","aplicado")))</f>
        <v/>
      </c>
      <c r="G201" s="45">
        <f>IF($F201&lt;&gt;"aplicado","",IF(IFERROR(INDEX('ORDENES'!$K$4:$K$1203,MATCH($A201,'ORDENES'!$AU$4:$AU$1203,0)),"")="","",$B201-IFERROR(INDEX('ORDENES'!$K$4:$K$1203,MATCH($A201,'ORDENES'!$AU$4:$AU$1203,0)),"")))</f>
        <v/>
      </c>
    </row>
    <row r="202">
      <c r="A202" s="4" t="n"/>
      <c r="B202" s="43" t="n"/>
      <c r="C202" s="4" t="n"/>
      <c r="D202" s="44" t="n"/>
      <c r="E202" s="24">
        <f>IF($A202="","",IFERROR(INDEX('ORDENES'!$D$4:$D$1203,MATCH($A202,'ORDENES'!$AU$4:$AU$1203,0)),"(no encontrada)"))</f>
        <v/>
      </c>
      <c r="F202" s="24">
        <f>IF($A202="","",IF(ISNA(MATCH($A202,'ORDENES'!$AU$4:$AU$1203,0)),"huérfano",IF(COUNTIF($A$4:$A202,$A202)&gt;1,"duplicado (se ignora)","aplicado")))</f>
        <v/>
      </c>
      <c r="G202" s="45">
        <f>IF($F202&lt;&gt;"aplicado","",IF(IFERROR(INDEX('ORDENES'!$K$4:$K$1203,MATCH($A202,'ORDENES'!$AU$4:$AU$1203,0)),"")="","",$B202-IFERROR(INDEX('ORDENES'!$K$4:$K$1203,MATCH($A202,'ORDENES'!$AU$4:$AU$1203,0)),"")))</f>
        <v/>
      </c>
    </row>
    <row r="203">
      <c r="A203" s="4" t="n"/>
      <c r="B203" s="43" t="n"/>
      <c r="C203" s="4" t="n"/>
      <c r="D203" s="44" t="n"/>
      <c r="E203" s="24">
        <f>IF($A203="","",IFERROR(INDEX('ORDENES'!$D$4:$D$1203,MATCH($A203,'ORDENES'!$AU$4:$AU$1203,0)),"(no encontrada)"))</f>
        <v/>
      </c>
      <c r="F203" s="24">
        <f>IF($A203="","",IF(ISNA(MATCH($A203,'ORDENES'!$AU$4:$AU$1203,0)),"huérfano",IF(COUNTIF($A$4:$A203,$A203)&gt;1,"duplicado (se ignora)","aplicado")))</f>
        <v/>
      </c>
      <c r="G203" s="45">
        <f>IF($F203&lt;&gt;"aplicado","",IF(IFERROR(INDEX('ORDENES'!$K$4:$K$1203,MATCH($A203,'ORDENES'!$AU$4:$AU$1203,0)),"")="","",$B203-IFERROR(INDEX('ORDENES'!$K$4:$K$1203,MATCH($A203,'ORDENES'!$AU$4:$AU$1203,0)),"")))</f>
        <v/>
      </c>
    </row>
    <row r="204">
      <c r="A204" s="4" t="n"/>
      <c r="B204" s="43" t="n"/>
      <c r="C204" s="4" t="n"/>
      <c r="D204" s="44" t="n"/>
      <c r="E204" s="24">
        <f>IF($A204="","",IFERROR(INDEX('ORDENES'!$D$4:$D$1203,MATCH($A204,'ORDENES'!$AU$4:$AU$1203,0)),"(no encontrada)"))</f>
        <v/>
      </c>
      <c r="F204" s="24">
        <f>IF($A204="","",IF(ISNA(MATCH($A204,'ORDENES'!$AU$4:$AU$1203,0)),"huérfano",IF(COUNTIF($A$4:$A204,$A204)&gt;1,"duplicado (se ignora)","aplicado")))</f>
        <v/>
      </c>
      <c r="G204" s="45">
        <f>IF($F204&lt;&gt;"aplicado","",IF(IFERROR(INDEX('ORDENES'!$K$4:$K$1203,MATCH($A204,'ORDENES'!$AU$4:$AU$1203,0)),"")="","",$B204-IFERROR(INDEX('ORDENES'!$K$4:$K$1203,MATCH($A204,'ORDENES'!$AU$4:$AU$1203,0)),"")))</f>
        <v/>
      </c>
    </row>
    <row r="205">
      <c r="A205" s="4" t="n"/>
      <c r="B205" s="43" t="n"/>
      <c r="C205" s="4" t="n"/>
      <c r="D205" s="44" t="n"/>
      <c r="E205" s="24">
        <f>IF($A205="","",IFERROR(INDEX('ORDENES'!$D$4:$D$1203,MATCH($A205,'ORDENES'!$AU$4:$AU$1203,0)),"(no encontrada)"))</f>
        <v/>
      </c>
      <c r="F205" s="24">
        <f>IF($A205="","",IF(ISNA(MATCH($A205,'ORDENES'!$AU$4:$AU$1203,0)),"huérfano",IF(COUNTIF($A$4:$A205,$A205)&gt;1,"duplicado (se ignora)","aplicado")))</f>
        <v/>
      </c>
      <c r="G205" s="45">
        <f>IF($F205&lt;&gt;"aplicado","",IF(IFERROR(INDEX('ORDENES'!$K$4:$K$1203,MATCH($A205,'ORDENES'!$AU$4:$AU$1203,0)),"")="","",$B205-IFERROR(INDEX('ORDENES'!$K$4:$K$1203,MATCH($A205,'ORDENES'!$AU$4:$AU$1203,0)),"")))</f>
        <v/>
      </c>
    </row>
    <row r="206">
      <c r="A206" s="4" t="n"/>
      <c r="B206" s="43" t="n"/>
      <c r="C206" s="4" t="n"/>
      <c r="D206" s="44" t="n"/>
      <c r="E206" s="24">
        <f>IF($A206="","",IFERROR(INDEX('ORDENES'!$D$4:$D$1203,MATCH($A206,'ORDENES'!$AU$4:$AU$1203,0)),"(no encontrada)"))</f>
        <v/>
      </c>
      <c r="F206" s="24">
        <f>IF($A206="","",IF(ISNA(MATCH($A206,'ORDENES'!$AU$4:$AU$1203,0)),"huérfano",IF(COUNTIF($A$4:$A206,$A206)&gt;1,"duplicado (se ignora)","aplicado")))</f>
        <v/>
      </c>
      <c r="G206" s="45">
        <f>IF($F206&lt;&gt;"aplicado","",IF(IFERROR(INDEX('ORDENES'!$K$4:$K$1203,MATCH($A206,'ORDENES'!$AU$4:$AU$1203,0)),"")="","",$B206-IFERROR(INDEX('ORDENES'!$K$4:$K$1203,MATCH($A206,'ORDENES'!$AU$4:$AU$1203,0)),"")))</f>
        <v/>
      </c>
    </row>
    <row r="207">
      <c r="A207" s="4" t="n"/>
      <c r="B207" s="43" t="n"/>
      <c r="C207" s="4" t="n"/>
      <c r="D207" s="44" t="n"/>
      <c r="E207" s="24">
        <f>IF($A207="","",IFERROR(INDEX('ORDENES'!$D$4:$D$1203,MATCH($A207,'ORDENES'!$AU$4:$AU$1203,0)),"(no encontrada)"))</f>
        <v/>
      </c>
      <c r="F207" s="24">
        <f>IF($A207="","",IF(ISNA(MATCH($A207,'ORDENES'!$AU$4:$AU$1203,0)),"huérfano",IF(COUNTIF($A$4:$A207,$A207)&gt;1,"duplicado (se ignora)","aplicado")))</f>
        <v/>
      </c>
      <c r="G207" s="45">
        <f>IF($F207&lt;&gt;"aplicado","",IF(IFERROR(INDEX('ORDENES'!$K$4:$K$1203,MATCH($A207,'ORDENES'!$AU$4:$AU$1203,0)),"")="","",$B207-IFERROR(INDEX('ORDENES'!$K$4:$K$1203,MATCH($A207,'ORDENES'!$AU$4:$AU$1203,0)),"")))</f>
        <v/>
      </c>
    </row>
    <row r="208">
      <c r="A208" s="4" t="n"/>
      <c r="B208" s="43" t="n"/>
      <c r="C208" s="4" t="n"/>
      <c r="D208" s="44" t="n"/>
      <c r="E208" s="24">
        <f>IF($A208="","",IFERROR(INDEX('ORDENES'!$D$4:$D$1203,MATCH($A208,'ORDENES'!$AU$4:$AU$1203,0)),"(no encontrada)"))</f>
        <v/>
      </c>
      <c r="F208" s="24">
        <f>IF($A208="","",IF(ISNA(MATCH($A208,'ORDENES'!$AU$4:$AU$1203,0)),"huérfano",IF(COUNTIF($A$4:$A208,$A208)&gt;1,"duplicado (se ignora)","aplicado")))</f>
        <v/>
      </c>
      <c r="G208" s="45">
        <f>IF($F208&lt;&gt;"aplicado","",IF(IFERROR(INDEX('ORDENES'!$K$4:$K$1203,MATCH($A208,'ORDENES'!$AU$4:$AU$1203,0)),"")="","",$B208-IFERROR(INDEX('ORDENES'!$K$4:$K$1203,MATCH($A208,'ORDENES'!$AU$4:$AU$1203,0)),"")))</f>
        <v/>
      </c>
    </row>
    <row r="209">
      <c r="A209" s="4" t="n"/>
      <c r="B209" s="43" t="n"/>
      <c r="C209" s="4" t="n"/>
      <c r="D209" s="44" t="n"/>
      <c r="E209" s="24">
        <f>IF($A209="","",IFERROR(INDEX('ORDENES'!$D$4:$D$1203,MATCH($A209,'ORDENES'!$AU$4:$AU$1203,0)),"(no encontrada)"))</f>
        <v/>
      </c>
      <c r="F209" s="24">
        <f>IF($A209="","",IF(ISNA(MATCH($A209,'ORDENES'!$AU$4:$AU$1203,0)),"huérfano",IF(COUNTIF($A$4:$A209,$A209)&gt;1,"duplicado (se ignora)","aplicado")))</f>
        <v/>
      </c>
      <c r="G209" s="45">
        <f>IF($F209&lt;&gt;"aplicado","",IF(IFERROR(INDEX('ORDENES'!$K$4:$K$1203,MATCH($A209,'ORDENES'!$AU$4:$AU$1203,0)),"")="","",$B209-IFERROR(INDEX('ORDENES'!$K$4:$K$1203,MATCH($A209,'ORDENES'!$AU$4:$AU$1203,0)),"")))</f>
        <v/>
      </c>
    </row>
    <row r="210">
      <c r="A210" s="4" t="n"/>
      <c r="B210" s="43" t="n"/>
      <c r="C210" s="4" t="n"/>
      <c r="D210" s="44" t="n"/>
      <c r="E210" s="24">
        <f>IF($A210="","",IFERROR(INDEX('ORDENES'!$D$4:$D$1203,MATCH($A210,'ORDENES'!$AU$4:$AU$1203,0)),"(no encontrada)"))</f>
        <v/>
      </c>
      <c r="F210" s="24">
        <f>IF($A210="","",IF(ISNA(MATCH($A210,'ORDENES'!$AU$4:$AU$1203,0)),"huérfano",IF(COUNTIF($A$4:$A210,$A210)&gt;1,"duplicado (se ignora)","aplicado")))</f>
        <v/>
      </c>
      <c r="G210" s="45">
        <f>IF($F210&lt;&gt;"aplicado","",IF(IFERROR(INDEX('ORDENES'!$K$4:$K$1203,MATCH($A210,'ORDENES'!$AU$4:$AU$1203,0)),"")="","",$B210-IFERROR(INDEX('ORDENES'!$K$4:$K$1203,MATCH($A210,'ORDENES'!$AU$4:$AU$1203,0)),"")))</f>
        <v/>
      </c>
    </row>
    <row r="211">
      <c r="A211" s="4" t="n"/>
      <c r="B211" s="43" t="n"/>
      <c r="C211" s="4" t="n"/>
      <c r="D211" s="44" t="n"/>
      <c r="E211" s="24">
        <f>IF($A211="","",IFERROR(INDEX('ORDENES'!$D$4:$D$1203,MATCH($A211,'ORDENES'!$AU$4:$AU$1203,0)),"(no encontrada)"))</f>
        <v/>
      </c>
      <c r="F211" s="24">
        <f>IF($A211="","",IF(ISNA(MATCH($A211,'ORDENES'!$AU$4:$AU$1203,0)),"huérfano",IF(COUNTIF($A$4:$A211,$A211)&gt;1,"duplicado (se ignora)","aplicado")))</f>
        <v/>
      </c>
      <c r="G211" s="45">
        <f>IF($F211&lt;&gt;"aplicado","",IF(IFERROR(INDEX('ORDENES'!$K$4:$K$1203,MATCH($A211,'ORDENES'!$AU$4:$AU$1203,0)),"")="","",$B211-IFERROR(INDEX('ORDENES'!$K$4:$K$1203,MATCH($A211,'ORDENES'!$AU$4:$AU$1203,0)),"")))</f>
        <v/>
      </c>
    </row>
    <row r="212">
      <c r="A212" s="4" t="n"/>
      <c r="B212" s="43" t="n"/>
      <c r="C212" s="4" t="n"/>
      <c r="D212" s="44" t="n"/>
      <c r="E212" s="24">
        <f>IF($A212="","",IFERROR(INDEX('ORDENES'!$D$4:$D$1203,MATCH($A212,'ORDENES'!$AU$4:$AU$1203,0)),"(no encontrada)"))</f>
        <v/>
      </c>
      <c r="F212" s="24">
        <f>IF($A212="","",IF(ISNA(MATCH($A212,'ORDENES'!$AU$4:$AU$1203,0)),"huérfano",IF(COUNTIF($A$4:$A212,$A212)&gt;1,"duplicado (se ignora)","aplicado")))</f>
        <v/>
      </c>
      <c r="G212" s="45">
        <f>IF($F212&lt;&gt;"aplicado","",IF(IFERROR(INDEX('ORDENES'!$K$4:$K$1203,MATCH($A212,'ORDENES'!$AU$4:$AU$1203,0)),"")="","",$B212-IFERROR(INDEX('ORDENES'!$K$4:$K$1203,MATCH($A212,'ORDENES'!$AU$4:$AU$1203,0)),"")))</f>
        <v/>
      </c>
    </row>
    <row r="213">
      <c r="A213" s="4" t="n"/>
      <c r="B213" s="43" t="n"/>
      <c r="C213" s="4" t="n"/>
      <c r="D213" s="44" t="n"/>
      <c r="E213" s="24">
        <f>IF($A213="","",IFERROR(INDEX('ORDENES'!$D$4:$D$1203,MATCH($A213,'ORDENES'!$AU$4:$AU$1203,0)),"(no encontrada)"))</f>
        <v/>
      </c>
      <c r="F213" s="24">
        <f>IF($A213="","",IF(ISNA(MATCH($A213,'ORDENES'!$AU$4:$AU$1203,0)),"huérfano",IF(COUNTIF($A$4:$A213,$A213)&gt;1,"duplicado (se ignora)","aplicado")))</f>
        <v/>
      </c>
      <c r="G213" s="45">
        <f>IF($F213&lt;&gt;"aplicado","",IF(IFERROR(INDEX('ORDENES'!$K$4:$K$1203,MATCH($A213,'ORDENES'!$AU$4:$AU$1203,0)),"")="","",$B213-IFERROR(INDEX('ORDENES'!$K$4:$K$1203,MATCH($A213,'ORDENES'!$AU$4:$AU$1203,0)),"")))</f>
        <v/>
      </c>
    </row>
    <row r="214">
      <c r="A214" s="4" t="n"/>
      <c r="B214" s="43" t="n"/>
      <c r="C214" s="4" t="n"/>
      <c r="D214" s="44" t="n"/>
      <c r="E214" s="24">
        <f>IF($A214="","",IFERROR(INDEX('ORDENES'!$D$4:$D$1203,MATCH($A214,'ORDENES'!$AU$4:$AU$1203,0)),"(no encontrada)"))</f>
        <v/>
      </c>
      <c r="F214" s="24">
        <f>IF($A214="","",IF(ISNA(MATCH($A214,'ORDENES'!$AU$4:$AU$1203,0)),"huérfano",IF(COUNTIF($A$4:$A214,$A214)&gt;1,"duplicado (se ignora)","aplicado")))</f>
        <v/>
      </c>
      <c r="G214" s="45">
        <f>IF($F214&lt;&gt;"aplicado","",IF(IFERROR(INDEX('ORDENES'!$K$4:$K$1203,MATCH($A214,'ORDENES'!$AU$4:$AU$1203,0)),"")="","",$B214-IFERROR(INDEX('ORDENES'!$K$4:$K$1203,MATCH($A214,'ORDENES'!$AU$4:$AU$1203,0)),"")))</f>
        <v/>
      </c>
    </row>
    <row r="215">
      <c r="A215" s="4" t="n"/>
      <c r="B215" s="43" t="n"/>
      <c r="C215" s="4" t="n"/>
      <c r="D215" s="44" t="n"/>
      <c r="E215" s="24">
        <f>IF($A215="","",IFERROR(INDEX('ORDENES'!$D$4:$D$1203,MATCH($A215,'ORDENES'!$AU$4:$AU$1203,0)),"(no encontrada)"))</f>
        <v/>
      </c>
      <c r="F215" s="24">
        <f>IF($A215="","",IF(ISNA(MATCH($A215,'ORDENES'!$AU$4:$AU$1203,0)),"huérfano",IF(COUNTIF($A$4:$A215,$A215)&gt;1,"duplicado (se ignora)","aplicado")))</f>
        <v/>
      </c>
      <c r="G215" s="45">
        <f>IF($F215&lt;&gt;"aplicado","",IF(IFERROR(INDEX('ORDENES'!$K$4:$K$1203,MATCH($A215,'ORDENES'!$AU$4:$AU$1203,0)),"")="","",$B215-IFERROR(INDEX('ORDENES'!$K$4:$K$1203,MATCH($A215,'ORDENES'!$AU$4:$AU$1203,0)),"")))</f>
        <v/>
      </c>
    </row>
    <row r="216">
      <c r="A216" s="4" t="n"/>
      <c r="B216" s="43" t="n"/>
      <c r="C216" s="4" t="n"/>
      <c r="D216" s="44" t="n"/>
      <c r="E216" s="24">
        <f>IF($A216="","",IFERROR(INDEX('ORDENES'!$D$4:$D$1203,MATCH($A216,'ORDENES'!$AU$4:$AU$1203,0)),"(no encontrada)"))</f>
        <v/>
      </c>
      <c r="F216" s="24">
        <f>IF($A216="","",IF(ISNA(MATCH($A216,'ORDENES'!$AU$4:$AU$1203,0)),"huérfano",IF(COUNTIF($A$4:$A216,$A216)&gt;1,"duplicado (se ignora)","aplicado")))</f>
        <v/>
      </c>
      <c r="G216" s="45">
        <f>IF($F216&lt;&gt;"aplicado","",IF(IFERROR(INDEX('ORDENES'!$K$4:$K$1203,MATCH($A216,'ORDENES'!$AU$4:$AU$1203,0)),"")="","",$B216-IFERROR(INDEX('ORDENES'!$K$4:$K$1203,MATCH($A216,'ORDENES'!$AU$4:$AU$1203,0)),"")))</f>
        <v/>
      </c>
    </row>
    <row r="217">
      <c r="A217" s="4" t="n"/>
      <c r="B217" s="43" t="n"/>
      <c r="C217" s="4" t="n"/>
      <c r="D217" s="44" t="n"/>
      <c r="E217" s="24">
        <f>IF($A217="","",IFERROR(INDEX('ORDENES'!$D$4:$D$1203,MATCH($A217,'ORDENES'!$AU$4:$AU$1203,0)),"(no encontrada)"))</f>
        <v/>
      </c>
      <c r="F217" s="24">
        <f>IF($A217="","",IF(ISNA(MATCH($A217,'ORDENES'!$AU$4:$AU$1203,0)),"huérfano",IF(COUNTIF($A$4:$A217,$A217)&gt;1,"duplicado (se ignora)","aplicado")))</f>
        <v/>
      </c>
      <c r="G217" s="45">
        <f>IF($F217&lt;&gt;"aplicado","",IF(IFERROR(INDEX('ORDENES'!$K$4:$K$1203,MATCH($A217,'ORDENES'!$AU$4:$AU$1203,0)),"")="","",$B217-IFERROR(INDEX('ORDENES'!$K$4:$K$1203,MATCH($A217,'ORDENES'!$AU$4:$AU$1203,0)),"")))</f>
        <v/>
      </c>
    </row>
    <row r="218">
      <c r="A218" s="4" t="n"/>
      <c r="B218" s="43" t="n"/>
      <c r="C218" s="4" t="n"/>
      <c r="D218" s="44" t="n"/>
      <c r="E218" s="24">
        <f>IF($A218="","",IFERROR(INDEX('ORDENES'!$D$4:$D$1203,MATCH($A218,'ORDENES'!$AU$4:$AU$1203,0)),"(no encontrada)"))</f>
        <v/>
      </c>
      <c r="F218" s="24">
        <f>IF($A218="","",IF(ISNA(MATCH($A218,'ORDENES'!$AU$4:$AU$1203,0)),"huérfano",IF(COUNTIF($A$4:$A218,$A218)&gt;1,"duplicado (se ignora)","aplicado")))</f>
        <v/>
      </c>
      <c r="G218" s="45">
        <f>IF($F218&lt;&gt;"aplicado","",IF(IFERROR(INDEX('ORDENES'!$K$4:$K$1203,MATCH($A218,'ORDENES'!$AU$4:$AU$1203,0)),"")="","",$B218-IFERROR(INDEX('ORDENES'!$K$4:$K$1203,MATCH($A218,'ORDENES'!$AU$4:$AU$1203,0)),"")))</f>
        <v/>
      </c>
    </row>
    <row r="219">
      <c r="A219" s="4" t="n"/>
      <c r="B219" s="43" t="n"/>
      <c r="C219" s="4" t="n"/>
      <c r="D219" s="44" t="n"/>
      <c r="E219" s="24">
        <f>IF($A219="","",IFERROR(INDEX('ORDENES'!$D$4:$D$1203,MATCH($A219,'ORDENES'!$AU$4:$AU$1203,0)),"(no encontrada)"))</f>
        <v/>
      </c>
      <c r="F219" s="24">
        <f>IF($A219="","",IF(ISNA(MATCH($A219,'ORDENES'!$AU$4:$AU$1203,0)),"huérfano",IF(COUNTIF($A$4:$A219,$A219)&gt;1,"duplicado (se ignora)","aplicado")))</f>
        <v/>
      </c>
      <c r="G219" s="45">
        <f>IF($F219&lt;&gt;"aplicado","",IF(IFERROR(INDEX('ORDENES'!$K$4:$K$1203,MATCH($A219,'ORDENES'!$AU$4:$AU$1203,0)),"")="","",$B219-IFERROR(INDEX('ORDENES'!$K$4:$K$1203,MATCH($A219,'ORDENES'!$AU$4:$AU$1203,0)),"")))</f>
        <v/>
      </c>
    </row>
    <row r="220">
      <c r="A220" s="4" t="n"/>
      <c r="B220" s="43" t="n"/>
      <c r="C220" s="4" t="n"/>
      <c r="D220" s="44" t="n"/>
      <c r="E220" s="24">
        <f>IF($A220="","",IFERROR(INDEX('ORDENES'!$D$4:$D$1203,MATCH($A220,'ORDENES'!$AU$4:$AU$1203,0)),"(no encontrada)"))</f>
        <v/>
      </c>
      <c r="F220" s="24">
        <f>IF($A220="","",IF(ISNA(MATCH($A220,'ORDENES'!$AU$4:$AU$1203,0)),"huérfano",IF(COUNTIF($A$4:$A220,$A220)&gt;1,"duplicado (se ignora)","aplicado")))</f>
        <v/>
      </c>
      <c r="G220" s="45">
        <f>IF($F220&lt;&gt;"aplicado","",IF(IFERROR(INDEX('ORDENES'!$K$4:$K$1203,MATCH($A220,'ORDENES'!$AU$4:$AU$1203,0)),"")="","",$B220-IFERROR(INDEX('ORDENES'!$K$4:$K$1203,MATCH($A220,'ORDENES'!$AU$4:$AU$1203,0)),"")))</f>
        <v/>
      </c>
    </row>
    <row r="221">
      <c r="A221" s="4" t="n"/>
      <c r="B221" s="43" t="n"/>
      <c r="C221" s="4" t="n"/>
      <c r="D221" s="44" t="n"/>
      <c r="E221" s="24">
        <f>IF($A221="","",IFERROR(INDEX('ORDENES'!$D$4:$D$1203,MATCH($A221,'ORDENES'!$AU$4:$AU$1203,0)),"(no encontrada)"))</f>
        <v/>
      </c>
      <c r="F221" s="24">
        <f>IF($A221="","",IF(ISNA(MATCH($A221,'ORDENES'!$AU$4:$AU$1203,0)),"huérfano",IF(COUNTIF($A$4:$A221,$A221)&gt;1,"duplicado (se ignora)","aplicado")))</f>
        <v/>
      </c>
      <c r="G221" s="45">
        <f>IF($F221&lt;&gt;"aplicado","",IF(IFERROR(INDEX('ORDENES'!$K$4:$K$1203,MATCH($A221,'ORDENES'!$AU$4:$AU$1203,0)),"")="","",$B221-IFERROR(INDEX('ORDENES'!$K$4:$K$1203,MATCH($A221,'ORDENES'!$AU$4:$AU$1203,0)),"")))</f>
        <v/>
      </c>
    </row>
    <row r="222">
      <c r="A222" s="4" t="n"/>
      <c r="B222" s="43" t="n"/>
      <c r="C222" s="4" t="n"/>
      <c r="D222" s="44" t="n"/>
      <c r="E222" s="24">
        <f>IF($A222="","",IFERROR(INDEX('ORDENES'!$D$4:$D$1203,MATCH($A222,'ORDENES'!$AU$4:$AU$1203,0)),"(no encontrada)"))</f>
        <v/>
      </c>
      <c r="F222" s="24">
        <f>IF($A222="","",IF(ISNA(MATCH($A222,'ORDENES'!$AU$4:$AU$1203,0)),"huérfano",IF(COUNTIF($A$4:$A222,$A222)&gt;1,"duplicado (se ignora)","aplicado")))</f>
        <v/>
      </c>
      <c r="G222" s="45">
        <f>IF($F222&lt;&gt;"aplicado","",IF(IFERROR(INDEX('ORDENES'!$K$4:$K$1203,MATCH($A222,'ORDENES'!$AU$4:$AU$1203,0)),"")="","",$B222-IFERROR(INDEX('ORDENES'!$K$4:$K$1203,MATCH($A222,'ORDENES'!$AU$4:$AU$1203,0)),"")))</f>
        <v/>
      </c>
    </row>
    <row r="223">
      <c r="A223" s="4" t="n"/>
      <c r="B223" s="43" t="n"/>
      <c r="C223" s="4" t="n"/>
      <c r="D223" s="44" t="n"/>
      <c r="E223" s="24">
        <f>IF($A223="","",IFERROR(INDEX('ORDENES'!$D$4:$D$1203,MATCH($A223,'ORDENES'!$AU$4:$AU$1203,0)),"(no encontrada)"))</f>
        <v/>
      </c>
      <c r="F223" s="24">
        <f>IF($A223="","",IF(ISNA(MATCH($A223,'ORDENES'!$AU$4:$AU$1203,0)),"huérfano",IF(COUNTIF($A$4:$A223,$A223)&gt;1,"duplicado (se ignora)","aplicado")))</f>
        <v/>
      </c>
      <c r="G223" s="45">
        <f>IF($F223&lt;&gt;"aplicado","",IF(IFERROR(INDEX('ORDENES'!$K$4:$K$1203,MATCH($A223,'ORDENES'!$AU$4:$AU$1203,0)),"")="","",$B223-IFERROR(INDEX('ORDENES'!$K$4:$K$1203,MATCH($A223,'ORDENES'!$AU$4:$AU$1203,0)),"")))</f>
        <v/>
      </c>
    </row>
    <row r="224">
      <c r="A224" s="4" t="n"/>
      <c r="B224" s="43" t="n"/>
      <c r="C224" s="4" t="n"/>
      <c r="D224" s="44" t="n"/>
      <c r="E224" s="24">
        <f>IF($A224="","",IFERROR(INDEX('ORDENES'!$D$4:$D$1203,MATCH($A224,'ORDENES'!$AU$4:$AU$1203,0)),"(no encontrada)"))</f>
        <v/>
      </c>
      <c r="F224" s="24">
        <f>IF($A224="","",IF(ISNA(MATCH($A224,'ORDENES'!$AU$4:$AU$1203,0)),"huérfano",IF(COUNTIF($A$4:$A224,$A224)&gt;1,"duplicado (se ignora)","aplicado")))</f>
        <v/>
      </c>
      <c r="G224" s="45">
        <f>IF($F224&lt;&gt;"aplicado","",IF(IFERROR(INDEX('ORDENES'!$K$4:$K$1203,MATCH($A224,'ORDENES'!$AU$4:$AU$1203,0)),"")="","",$B224-IFERROR(INDEX('ORDENES'!$K$4:$K$1203,MATCH($A224,'ORDENES'!$AU$4:$AU$1203,0)),"")))</f>
        <v/>
      </c>
    </row>
    <row r="225">
      <c r="A225" s="4" t="n"/>
      <c r="B225" s="43" t="n"/>
      <c r="C225" s="4" t="n"/>
      <c r="D225" s="44" t="n"/>
      <c r="E225" s="24">
        <f>IF($A225="","",IFERROR(INDEX('ORDENES'!$D$4:$D$1203,MATCH($A225,'ORDENES'!$AU$4:$AU$1203,0)),"(no encontrada)"))</f>
        <v/>
      </c>
      <c r="F225" s="24">
        <f>IF($A225="","",IF(ISNA(MATCH($A225,'ORDENES'!$AU$4:$AU$1203,0)),"huérfano",IF(COUNTIF($A$4:$A225,$A225)&gt;1,"duplicado (se ignora)","aplicado")))</f>
        <v/>
      </c>
      <c r="G225" s="45">
        <f>IF($F225&lt;&gt;"aplicado","",IF(IFERROR(INDEX('ORDENES'!$K$4:$K$1203,MATCH($A225,'ORDENES'!$AU$4:$AU$1203,0)),"")="","",$B225-IFERROR(INDEX('ORDENES'!$K$4:$K$1203,MATCH($A225,'ORDENES'!$AU$4:$AU$1203,0)),"")))</f>
        <v/>
      </c>
    </row>
    <row r="226">
      <c r="A226" s="4" t="n"/>
      <c r="B226" s="43" t="n"/>
      <c r="C226" s="4" t="n"/>
      <c r="D226" s="44" t="n"/>
      <c r="E226" s="24">
        <f>IF($A226="","",IFERROR(INDEX('ORDENES'!$D$4:$D$1203,MATCH($A226,'ORDENES'!$AU$4:$AU$1203,0)),"(no encontrada)"))</f>
        <v/>
      </c>
      <c r="F226" s="24">
        <f>IF($A226="","",IF(ISNA(MATCH($A226,'ORDENES'!$AU$4:$AU$1203,0)),"huérfano",IF(COUNTIF($A$4:$A226,$A226)&gt;1,"duplicado (se ignora)","aplicado")))</f>
        <v/>
      </c>
      <c r="G226" s="45">
        <f>IF($F226&lt;&gt;"aplicado","",IF(IFERROR(INDEX('ORDENES'!$K$4:$K$1203,MATCH($A226,'ORDENES'!$AU$4:$AU$1203,0)),"")="","",$B226-IFERROR(INDEX('ORDENES'!$K$4:$K$1203,MATCH($A226,'ORDENES'!$AU$4:$AU$1203,0)),"")))</f>
        <v/>
      </c>
    </row>
    <row r="227">
      <c r="A227" s="4" t="n"/>
      <c r="B227" s="43" t="n"/>
      <c r="C227" s="4" t="n"/>
      <c r="D227" s="44" t="n"/>
      <c r="E227" s="24">
        <f>IF($A227="","",IFERROR(INDEX('ORDENES'!$D$4:$D$1203,MATCH($A227,'ORDENES'!$AU$4:$AU$1203,0)),"(no encontrada)"))</f>
        <v/>
      </c>
      <c r="F227" s="24">
        <f>IF($A227="","",IF(ISNA(MATCH($A227,'ORDENES'!$AU$4:$AU$1203,0)),"huérfano",IF(COUNTIF($A$4:$A227,$A227)&gt;1,"duplicado (se ignora)","aplicado")))</f>
        <v/>
      </c>
      <c r="G227" s="45">
        <f>IF($F227&lt;&gt;"aplicado","",IF(IFERROR(INDEX('ORDENES'!$K$4:$K$1203,MATCH($A227,'ORDENES'!$AU$4:$AU$1203,0)),"")="","",$B227-IFERROR(INDEX('ORDENES'!$K$4:$K$1203,MATCH($A227,'ORDENES'!$AU$4:$AU$1203,0)),"")))</f>
        <v/>
      </c>
    </row>
    <row r="228">
      <c r="A228" s="4" t="n"/>
      <c r="B228" s="43" t="n"/>
      <c r="C228" s="4" t="n"/>
      <c r="D228" s="44" t="n"/>
      <c r="E228" s="24">
        <f>IF($A228="","",IFERROR(INDEX('ORDENES'!$D$4:$D$1203,MATCH($A228,'ORDENES'!$AU$4:$AU$1203,0)),"(no encontrada)"))</f>
        <v/>
      </c>
      <c r="F228" s="24">
        <f>IF($A228="","",IF(ISNA(MATCH($A228,'ORDENES'!$AU$4:$AU$1203,0)),"huérfano",IF(COUNTIF($A$4:$A228,$A228)&gt;1,"duplicado (se ignora)","aplicado")))</f>
        <v/>
      </c>
      <c r="G228" s="45">
        <f>IF($F228&lt;&gt;"aplicado","",IF(IFERROR(INDEX('ORDENES'!$K$4:$K$1203,MATCH($A228,'ORDENES'!$AU$4:$AU$1203,0)),"")="","",$B228-IFERROR(INDEX('ORDENES'!$K$4:$K$1203,MATCH($A228,'ORDENES'!$AU$4:$AU$1203,0)),"")))</f>
        <v/>
      </c>
    </row>
    <row r="229">
      <c r="A229" s="4" t="n"/>
      <c r="B229" s="43" t="n"/>
      <c r="C229" s="4" t="n"/>
      <c r="D229" s="44" t="n"/>
      <c r="E229" s="24">
        <f>IF($A229="","",IFERROR(INDEX('ORDENES'!$D$4:$D$1203,MATCH($A229,'ORDENES'!$AU$4:$AU$1203,0)),"(no encontrada)"))</f>
        <v/>
      </c>
      <c r="F229" s="24">
        <f>IF($A229="","",IF(ISNA(MATCH($A229,'ORDENES'!$AU$4:$AU$1203,0)),"huérfano",IF(COUNTIF($A$4:$A229,$A229)&gt;1,"duplicado (se ignora)","aplicado")))</f>
        <v/>
      </c>
      <c r="G229" s="45">
        <f>IF($F229&lt;&gt;"aplicado","",IF(IFERROR(INDEX('ORDENES'!$K$4:$K$1203,MATCH($A229,'ORDENES'!$AU$4:$AU$1203,0)),"")="","",$B229-IFERROR(INDEX('ORDENES'!$K$4:$K$1203,MATCH($A229,'ORDENES'!$AU$4:$AU$1203,0)),"")))</f>
        <v/>
      </c>
    </row>
    <row r="230">
      <c r="A230" s="4" t="n"/>
      <c r="B230" s="43" t="n"/>
      <c r="C230" s="4" t="n"/>
      <c r="D230" s="44" t="n"/>
      <c r="E230" s="24">
        <f>IF($A230="","",IFERROR(INDEX('ORDENES'!$D$4:$D$1203,MATCH($A230,'ORDENES'!$AU$4:$AU$1203,0)),"(no encontrada)"))</f>
        <v/>
      </c>
      <c r="F230" s="24">
        <f>IF($A230="","",IF(ISNA(MATCH($A230,'ORDENES'!$AU$4:$AU$1203,0)),"huérfano",IF(COUNTIF($A$4:$A230,$A230)&gt;1,"duplicado (se ignora)","aplicado")))</f>
        <v/>
      </c>
      <c r="G230" s="45">
        <f>IF($F230&lt;&gt;"aplicado","",IF(IFERROR(INDEX('ORDENES'!$K$4:$K$1203,MATCH($A230,'ORDENES'!$AU$4:$AU$1203,0)),"")="","",$B230-IFERROR(INDEX('ORDENES'!$K$4:$K$1203,MATCH($A230,'ORDENES'!$AU$4:$AU$1203,0)),"")))</f>
        <v/>
      </c>
    </row>
    <row r="231">
      <c r="A231" s="4" t="n"/>
      <c r="B231" s="43" t="n"/>
      <c r="C231" s="4" t="n"/>
      <c r="D231" s="44" t="n"/>
      <c r="E231" s="24">
        <f>IF($A231="","",IFERROR(INDEX('ORDENES'!$D$4:$D$1203,MATCH($A231,'ORDENES'!$AU$4:$AU$1203,0)),"(no encontrada)"))</f>
        <v/>
      </c>
      <c r="F231" s="24">
        <f>IF($A231="","",IF(ISNA(MATCH($A231,'ORDENES'!$AU$4:$AU$1203,0)),"huérfano",IF(COUNTIF($A$4:$A231,$A231)&gt;1,"duplicado (se ignora)","aplicado")))</f>
        <v/>
      </c>
      <c r="G231" s="45">
        <f>IF($F231&lt;&gt;"aplicado","",IF(IFERROR(INDEX('ORDENES'!$K$4:$K$1203,MATCH($A231,'ORDENES'!$AU$4:$AU$1203,0)),"")="","",$B231-IFERROR(INDEX('ORDENES'!$K$4:$K$1203,MATCH($A231,'ORDENES'!$AU$4:$AU$1203,0)),"")))</f>
        <v/>
      </c>
    </row>
    <row r="232">
      <c r="A232" s="4" t="n"/>
      <c r="B232" s="43" t="n"/>
      <c r="C232" s="4" t="n"/>
      <c r="D232" s="44" t="n"/>
      <c r="E232" s="24">
        <f>IF($A232="","",IFERROR(INDEX('ORDENES'!$D$4:$D$1203,MATCH($A232,'ORDENES'!$AU$4:$AU$1203,0)),"(no encontrada)"))</f>
        <v/>
      </c>
      <c r="F232" s="24">
        <f>IF($A232="","",IF(ISNA(MATCH($A232,'ORDENES'!$AU$4:$AU$1203,0)),"huérfano",IF(COUNTIF($A$4:$A232,$A232)&gt;1,"duplicado (se ignora)","aplicado")))</f>
        <v/>
      </c>
      <c r="G232" s="45">
        <f>IF($F232&lt;&gt;"aplicado","",IF(IFERROR(INDEX('ORDENES'!$K$4:$K$1203,MATCH($A232,'ORDENES'!$AU$4:$AU$1203,0)),"")="","",$B232-IFERROR(INDEX('ORDENES'!$K$4:$K$1203,MATCH($A232,'ORDENES'!$AU$4:$AU$1203,0)),"")))</f>
        <v/>
      </c>
    </row>
    <row r="233">
      <c r="A233" s="4" t="n"/>
      <c r="B233" s="43" t="n"/>
      <c r="C233" s="4" t="n"/>
      <c r="D233" s="44" t="n"/>
      <c r="E233" s="24">
        <f>IF($A233="","",IFERROR(INDEX('ORDENES'!$D$4:$D$1203,MATCH($A233,'ORDENES'!$AU$4:$AU$1203,0)),"(no encontrada)"))</f>
        <v/>
      </c>
      <c r="F233" s="24">
        <f>IF($A233="","",IF(ISNA(MATCH($A233,'ORDENES'!$AU$4:$AU$1203,0)),"huérfano",IF(COUNTIF($A$4:$A233,$A233)&gt;1,"duplicado (se ignora)","aplicado")))</f>
        <v/>
      </c>
      <c r="G233" s="45">
        <f>IF($F233&lt;&gt;"aplicado","",IF(IFERROR(INDEX('ORDENES'!$K$4:$K$1203,MATCH($A233,'ORDENES'!$AU$4:$AU$1203,0)),"")="","",$B233-IFERROR(INDEX('ORDENES'!$K$4:$K$1203,MATCH($A233,'ORDENES'!$AU$4:$AU$1203,0)),"")))</f>
        <v/>
      </c>
    </row>
    <row r="234">
      <c r="A234" s="4" t="n"/>
      <c r="B234" s="43" t="n"/>
      <c r="C234" s="4" t="n"/>
      <c r="D234" s="44" t="n"/>
      <c r="E234" s="24">
        <f>IF($A234="","",IFERROR(INDEX('ORDENES'!$D$4:$D$1203,MATCH($A234,'ORDENES'!$AU$4:$AU$1203,0)),"(no encontrada)"))</f>
        <v/>
      </c>
      <c r="F234" s="24">
        <f>IF($A234="","",IF(ISNA(MATCH($A234,'ORDENES'!$AU$4:$AU$1203,0)),"huérfano",IF(COUNTIF($A$4:$A234,$A234)&gt;1,"duplicado (se ignora)","aplicado")))</f>
        <v/>
      </c>
      <c r="G234" s="45">
        <f>IF($F234&lt;&gt;"aplicado","",IF(IFERROR(INDEX('ORDENES'!$K$4:$K$1203,MATCH($A234,'ORDENES'!$AU$4:$AU$1203,0)),"")="","",$B234-IFERROR(INDEX('ORDENES'!$K$4:$K$1203,MATCH($A234,'ORDENES'!$AU$4:$AU$1203,0)),"")))</f>
        <v/>
      </c>
    </row>
    <row r="235">
      <c r="A235" s="4" t="n"/>
      <c r="B235" s="43" t="n"/>
      <c r="C235" s="4" t="n"/>
      <c r="D235" s="44" t="n"/>
      <c r="E235" s="24">
        <f>IF($A235="","",IFERROR(INDEX('ORDENES'!$D$4:$D$1203,MATCH($A235,'ORDENES'!$AU$4:$AU$1203,0)),"(no encontrada)"))</f>
        <v/>
      </c>
      <c r="F235" s="24">
        <f>IF($A235="","",IF(ISNA(MATCH($A235,'ORDENES'!$AU$4:$AU$1203,0)),"huérfano",IF(COUNTIF($A$4:$A235,$A235)&gt;1,"duplicado (se ignora)","aplicado")))</f>
        <v/>
      </c>
      <c r="G235" s="45">
        <f>IF($F235&lt;&gt;"aplicado","",IF(IFERROR(INDEX('ORDENES'!$K$4:$K$1203,MATCH($A235,'ORDENES'!$AU$4:$AU$1203,0)),"")="","",$B235-IFERROR(INDEX('ORDENES'!$K$4:$K$1203,MATCH($A235,'ORDENES'!$AU$4:$AU$1203,0)),"")))</f>
        <v/>
      </c>
    </row>
    <row r="236">
      <c r="A236" s="4" t="n"/>
      <c r="B236" s="43" t="n"/>
      <c r="C236" s="4" t="n"/>
      <c r="D236" s="44" t="n"/>
      <c r="E236" s="24">
        <f>IF($A236="","",IFERROR(INDEX('ORDENES'!$D$4:$D$1203,MATCH($A236,'ORDENES'!$AU$4:$AU$1203,0)),"(no encontrada)"))</f>
        <v/>
      </c>
      <c r="F236" s="24">
        <f>IF($A236="","",IF(ISNA(MATCH($A236,'ORDENES'!$AU$4:$AU$1203,0)),"huérfano",IF(COUNTIF($A$4:$A236,$A236)&gt;1,"duplicado (se ignora)","aplicado")))</f>
        <v/>
      </c>
      <c r="G236" s="45">
        <f>IF($F236&lt;&gt;"aplicado","",IF(IFERROR(INDEX('ORDENES'!$K$4:$K$1203,MATCH($A236,'ORDENES'!$AU$4:$AU$1203,0)),"")="","",$B236-IFERROR(INDEX('ORDENES'!$K$4:$K$1203,MATCH($A236,'ORDENES'!$AU$4:$AU$1203,0)),"")))</f>
        <v/>
      </c>
    </row>
    <row r="237">
      <c r="A237" s="4" t="n"/>
      <c r="B237" s="43" t="n"/>
      <c r="C237" s="4" t="n"/>
      <c r="D237" s="44" t="n"/>
      <c r="E237" s="24">
        <f>IF($A237="","",IFERROR(INDEX('ORDENES'!$D$4:$D$1203,MATCH($A237,'ORDENES'!$AU$4:$AU$1203,0)),"(no encontrada)"))</f>
        <v/>
      </c>
      <c r="F237" s="24">
        <f>IF($A237="","",IF(ISNA(MATCH($A237,'ORDENES'!$AU$4:$AU$1203,0)),"huérfano",IF(COUNTIF($A$4:$A237,$A237)&gt;1,"duplicado (se ignora)","aplicado")))</f>
        <v/>
      </c>
      <c r="G237" s="45">
        <f>IF($F237&lt;&gt;"aplicado","",IF(IFERROR(INDEX('ORDENES'!$K$4:$K$1203,MATCH($A237,'ORDENES'!$AU$4:$AU$1203,0)),"")="","",$B237-IFERROR(INDEX('ORDENES'!$K$4:$K$1203,MATCH($A237,'ORDENES'!$AU$4:$AU$1203,0)),"")))</f>
        <v/>
      </c>
    </row>
    <row r="238">
      <c r="A238" s="4" t="n"/>
      <c r="B238" s="43" t="n"/>
      <c r="C238" s="4" t="n"/>
      <c r="D238" s="44" t="n"/>
      <c r="E238" s="24">
        <f>IF($A238="","",IFERROR(INDEX('ORDENES'!$D$4:$D$1203,MATCH($A238,'ORDENES'!$AU$4:$AU$1203,0)),"(no encontrada)"))</f>
        <v/>
      </c>
      <c r="F238" s="24">
        <f>IF($A238="","",IF(ISNA(MATCH($A238,'ORDENES'!$AU$4:$AU$1203,0)),"huérfano",IF(COUNTIF($A$4:$A238,$A238)&gt;1,"duplicado (se ignora)","aplicado")))</f>
        <v/>
      </c>
      <c r="G238" s="45">
        <f>IF($F238&lt;&gt;"aplicado","",IF(IFERROR(INDEX('ORDENES'!$K$4:$K$1203,MATCH($A238,'ORDENES'!$AU$4:$AU$1203,0)),"")="","",$B238-IFERROR(INDEX('ORDENES'!$K$4:$K$1203,MATCH($A238,'ORDENES'!$AU$4:$AU$1203,0)),"")))</f>
        <v/>
      </c>
    </row>
    <row r="239">
      <c r="A239" s="4" t="n"/>
      <c r="B239" s="43" t="n"/>
      <c r="C239" s="4" t="n"/>
      <c r="D239" s="44" t="n"/>
      <c r="E239" s="24">
        <f>IF($A239="","",IFERROR(INDEX('ORDENES'!$D$4:$D$1203,MATCH($A239,'ORDENES'!$AU$4:$AU$1203,0)),"(no encontrada)"))</f>
        <v/>
      </c>
      <c r="F239" s="24">
        <f>IF($A239="","",IF(ISNA(MATCH($A239,'ORDENES'!$AU$4:$AU$1203,0)),"huérfano",IF(COUNTIF($A$4:$A239,$A239)&gt;1,"duplicado (se ignora)","aplicado")))</f>
        <v/>
      </c>
      <c r="G239" s="45">
        <f>IF($F239&lt;&gt;"aplicado","",IF(IFERROR(INDEX('ORDENES'!$K$4:$K$1203,MATCH($A239,'ORDENES'!$AU$4:$AU$1203,0)),"")="","",$B239-IFERROR(INDEX('ORDENES'!$K$4:$K$1203,MATCH($A239,'ORDENES'!$AU$4:$AU$1203,0)),"")))</f>
        <v/>
      </c>
    </row>
    <row r="240">
      <c r="A240" s="4" t="n"/>
      <c r="B240" s="43" t="n"/>
      <c r="C240" s="4" t="n"/>
      <c r="D240" s="44" t="n"/>
      <c r="E240" s="24">
        <f>IF($A240="","",IFERROR(INDEX('ORDENES'!$D$4:$D$1203,MATCH($A240,'ORDENES'!$AU$4:$AU$1203,0)),"(no encontrada)"))</f>
        <v/>
      </c>
      <c r="F240" s="24">
        <f>IF($A240="","",IF(ISNA(MATCH($A240,'ORDENES'!$AU$4:$AU$1203,0)),"huérfano",IF(COUNTIF($A$4:$A240,$A240)&gt;1,"duplicado (se ignora)","aplicado")))</f>
        <v/>
      </c>
      <c r="G240" s="45">
        <f>IF($F240&lt;&gt;"aplicado","",IF(IFERROR(INDEX('ORDENES'!$K$4:$K$1203,MATCH($A240,'ORDENES'!$AU$4:$AU$1203,0)),"")="","",$B240-IFERROR(INDEX('ORDENES'!$K$4:$K$1203,MATCH($A240,'ORDENES'!$AU$4:$AU$1203,0)),"")))</f>
        <v/>
      </c>
    </row>
    <row r="241">
      <c r="A241" s="4" t="n"/>
      <c r="B241" s="43" t="n"/>
      <c r="C241" s="4" t="n"/>
      <c r="D241" s="44" t="n"/>
      <c r="E241" s="24">
        <f>IF($A241="","",IFERROR(INDEX('ORDENES'!$D$4:$D$1203,MATCH($A241,'ORDENES'!$AU$4:$AU$1203,0)),"(no encontrada)"))</f>
        <v/>
      </c>
      <c r="F241" s="24">
        <f>IF($A241="","",IF(ISNA(MATCH($A241,'ORDENES'!$AU$4:$AU$1203,0)),"huérfano",IF(COUNTIF($A$4:$A241,$A241)&gt;1,"duplicado (se ignora)","aplicado")))</f>
        <v/>
      </c>
      <c r="G241" s="45">
        <f>IF($F241&lt;&gt;"aplicado","",IF(IFERROR(INDEX('ORDENES'!$K$4:$K$1203,MATCH($A241,'ORDENES'!$AU$4:$AU$1203,0)),"")="","",$B241-IFERROR(INDEX('ORDENES'!$K$4:$K$1203,MATCH($A241,'ORDENES'!$AU$4:$AU$1203,0)),"")))</f>
        <v/>
      </c>
    </row>
    <row r="242">
      <c r="A242" s="4" t="n"/>
      <c r="B242" s="43" t="n"/>
      <c r="C242" s="4" t="n"/>
      <c r="D242" s="44" t="n"/>
      <c r="E242" s="24">
        <f>IF($A242="","",IFERROR(INDEX('ORDENES'!$D$4:$D$1203,MATCH($A242,'ORDENES'!$AU$4:$AU$1203,0)),"(no encontrada)"))</f>
        <v/>
      </c>
      <c r="F242" s="24">
        <f>IF($A242="","",IF(ISNA(MATCH($A242,'ORDENES'!$AU$4:$AU$1203,0)),"huérfano",IF(COUNTIF($A$4:$A242,$A242)&gt;1,"duplicado (se ignora)","aplicado")))</f>
        <v/>
      </c>
      <c r="G242" s="45">
        <f>IF($F242&lt;&gt;"aplicado","",IF(IFERROR(INDEX('ORDENES'!$K$4:$K$1203,MATCH($A242,'ORDENES'!$AU$4:$AU$1203,0)),"")="","",$B242-IFERROR(INDEX('ORDENES'!$K$4:$K$1203,MATCH($A242,'ORDENES'!$AU$4:$AU$1203,0)),"")))</f>
        <v/>
      </c>
    </row>
    <row r="243">
      <c r="A243" s="4" t="n"/>
      <c r="B243" s="43" t="n"/>
      <c r="C243" s="4" t="n"/>
      <c r="D243" s="44" t="n"/>
      <c r="E243" s="24">
        <f>IF($A243="","",IFERROR(INDEX('ORDENES'!$D$4:$D$1203,MATCH($A243,'ORDENES'!$AU$4:$AU$1203,0)),"(no encontrada)"))</f>
        <v/>
      </c>
      <c r="F243" s="24">
        <f>IF($A243="","",IF(ISNA(MATCH($A243,'ORDENES'!$AU$4:$AU$1203,0)),"huérfano",IF(COUNTIF($A$4:$A243,$A243)&gt;1,"duplicado (se ignora)","aplicado")))</f>
        <v/>
      </c>
      <c r="G243" s="45">
        <f>IF($F243&lt;&gt;"aplicado","",IF(IFERROR(INDEX('ORDENES'!$K$4:$K$1203,MATCH($A243,'ORDENES'!$AU$4:$AU$1203,0)),"")="","",$B243-IFERROR(INDEX('ORDENES'!$K$4:$K$1203,MATCH($A243,'ORDENES'!$AU$4:$AU$1203,0)),"")))</f>
        <v/>
      </c>
    </row>
    <row r="244">
      <c r="A244" s="4" t="n"/>
      <c r="B244" s="43" t="n"/>
      <c r="C244" s="4" t="n"/>
      <c r="D244" s="44" t="n"/>
      <c r="E244" s="24">
        <f>IF($A244="","",IFERROR(INDEX('ORDENES'!$D$4:$D$1203,MATCH($A244,'ORDENES'!$AU$4:$AU$1203,0)),"(no encontrada)"))</f>
        <v/>
      </c>
      <c r="F244" s="24">
        <f>IF($A244="","",IF(ISNA(MATCH($A244,'ORDENES'!$AU$4:$AU$1203,0)),"huérfano",IF(COUNTIF($A$4:$A244,$A244)&gt;1,"duplicado (se ignora)","aplicado")))</f>
        <v/>
      </c>
      <c r="G244" s="45">
        <f>IF($F244&lt;&gt;"aplicado","",IF(IFERROR(INDEX('ORDENES'!$K$4:$K$1203,MATCH($A244,'ORDENES'!$AU$4:$AU$1203,0)),"")="","",$B244-IFERROR(INDEX('ORDENES'!$K$4:$K$1203,MATCH($A244,'ORDENES'!$AU$4:$AU$1203,0)),"")))</f>
        <v/>
      </c>
    </row>
    <row r="245">
      <c r="A245" s="4" t="n"/>
      <c r="B245" s="43" t="n"/>
      <c r="C245" s="4" t="n"/>
      <c r="D245" s="44" t="n"/>
      <c r="E245" s="24">
        <f>IF($A245="","",IFERROR(INDEX('ORDENES'!$D$4:$D$1203,MATCH($A245,'ORDENES'!$AU$4:$AU$1203,0)),"(no encontrada)"))</f>
        <v/>
      </c>
      <c r="F245" s="24">
        <f>IF($A245="","",IF(ISNA(MATCH($A245,'ORDENES'!$AU$4:$AU$1203,0)),"huérfano",IF(COUNTIF($A$4:$A245,$A245)&gt;1,"duplicado (se ignora)","aplicado")))</f>
        <v/>
      </c>
      <c r="G245" s="45">
        <f>IF($F245&lt;&gt;"aplicado","",IF(IFERROR(INDEX('ORDENES'!$K$4:$K$1203,MATCH($A245,'ORDENES'!$AU$4:$AU$1203,0)),"")="","",$B245-IFERROR(INDEX('ORDENES'!$K$4:$K$1203,MATCH($A245,'ORDENES'!$AU$4:$AU$1203,0)),"")))</f>
        <v/>
      </c>
    </row>
    <row r="246">
      <c r="A246" s="4" t="n"/>
      <c r="B246" s="43" t="n"/>
      <c r="C246" s="4" t="n"/>
      <c r="D246" s="44" t="n"/>
      <c r="E246" s="24">
        <f>IF($A246="","",IFERROR(INDEX('ORDENES'!$D$4:$D$1203,MATCH($A246,'ORDENES'!$AU$4:$AU$1203,0)),"(no encontrada)"))</f>
        <v/>
      </c>
      <c r="F246" s="24">
        <f>IF($A246="","",IF(ISNA(MATCH($A246,'ORDENES'!$AU$4:$AU$1203,0)),"huérfano",IF(COUNTIF($A$4:$A246,$A246)&gt;1,"duplicado (se ignora)","aplicado")))</f>
        <v/>
      </c>
      <c r="G246" s="45">
        <f>IF($F246&lt;&gt;"aplicado","",IF(IFERROR(INDEX('ORDENES'!$K$4:$K$1203,MATCH($A246,'ORDENES'!$AU$4:$AU$1203,0)),"")="","",$B246-IFERROR(INDEX('ORDENES'!$K$4:$K$1203,MATCH($A246,'ORDENES'!$AU$4:$AU$1203,0)),"")))</f>
        <v/>
      </c>
    </row>
    <row r="247">
      <c r="A247" s="4" t="n"/>
      <c r="B247" s="43" t="n"/>
      <c r="C247" s="4" t="n"/>
      <c r="D247" s="44" t="n"/>
      <c r="E247" s="24">
        <f>IF($A247="","",IFERROR(INDEX('ORDENES'!$D$4:$D$1203,MATCH($A247,'ORDENES'!$AU$4:$AU$1203,0)),"(no encontrada)"))</f>
        <v/>
      </c>
      <c r="F247" s="24">
        <f>IF($A247="","",IF(ISNA(MATCH($A247,'ORDENES'!$AU$4:$AU$1203,0)),"huérfano",IF(COUNTIF($A$4:$A247,$A247)&gt;1,"duplicado (se ignora)","aplicado")))</f>
        <v/>
      </c>
      <c r="G247" s="45">
        <f>IF($F247&lt;&gt;"aplicado","",IF(IFERROR(INDEX('ORDENES'!$K$4:$K$1203,MATCH($A247,'ORDENES'!$AU$4:$AU$1203,0)),"")="","",$B247-IFERROR(INDEX('ORDENES'!$K$4:$K$1203,MATCH($A247,'ORDENES'!$AU$4:$AU$1203,0)),"")))</f>
        <v/>
      </c>
    </row>
    <row r="248">
      <c r="A248" s="4" t="n"/>
      <c r="B248" s="43" t="n"/>
      <c r="C248" s="4" t="n"/>
      <c r="D248" s="44" t="n"/>
      <c r="E248" s="24">
        <f>IF($A248="","",IFERROR(INDEX('ORDENES'!$D$4:$D$1203,MATCH($A248,'ORDENES'!$AU$4:$AU$1203,0)),"(no encontrada)"))</f>
        <v/>
      </c>
      <c r="F248" s="24">
        <f>IF($A248="","",IF(ISNA(MATCH($A248,'ORDENES'!$AU$4:$AU$1203,0)),"huérfano",IF(COUNTIF($A$4:$A248,$A248)&gt;1,"duplicado (se ignora)","aplicado")))</f>
        <v/>
      </c>
      <c r="G248" s="45">
        <f>IF($F248&lt;&gt;"aplicado","",IF(IFERROR(INDEX('ORDENES'!$K$4:$K$1203,MATCH($A248,'ORDENES'!$AU$4:$AU$1203,0)),"")="","",$B248-IFERROR(INDEX('ORDENES'!$K$4:$K$1203,MATCH($A248,'ORDENES'!$AU$4:$AU$1203,0)),"")))</f>
        <v/>
      </c>
    </row>
    <row r="249">
      <c r="A249" s="4" t="n"/>
      <c r="B249" s="43" t="n"/>
      <c r="C249" s="4" t="n"/>
      <c r="D249" s="44" t="n"/>
      <c r="E249" s="24">
        <f>IF($A249="","",IFERROR(INDEX('ORDENES'!$D$4:$D$1203,MATCH($A249,'ORDENES'!$AU$4:$AU$1203,0)),"(no encontrada)"))</f>
        <v/>
      </c>
      <c r="F249" s="24">
        <f>IF($A249="","",IF(ISNA(MATCH($A249,'ORDENES'!$AU$4:$AU$1203,0)),"huérfano",IF(COUNTIF($A$4:$A249,$A249)&gt;1,"duplicado (se ignora)","aplicado")))</f>
        <v/>
      </c>
      <c r="G249" s="45">
        <f>IF($F249&lt;&gt;"aplicado","",IF(IFERROR(INDEX('ORDENES'!$K$4:$K$1203,MATCH($A249,'ORDENES'!$AU$4:$AU$1203,0)),"")="","",$B249-IFERROR(INDEX('ORDENES'!$K$4:$K$1203,MATCH($A249,'ORDENES'!$AU$4:$AU$1203,0)),"")))</f>
        <v/>
      </c>
    </row>
    <row r="250">
      <c r="A250" s="4" t="n"/>
      <c r="B250" s="43" t="n"/>
      <c r="C250" s="4" t="n"/>
      <c r="D250" s="44" t="n"/>
      <c r="E250" s="24">
        <f>IF($A250="","",IFERROR(INDEX('ORDENES'!$D$4:$D$1203,MATCH($A250,'ORDENES'!$AU$4:$AU$1203,0)),"(no encontrada)"))</f>
        <v/>
      </c>
      <c r="F250" s="24">
        <f>IF($A250="","",IF(ISNA(MATCH($A250,'ORDENES'!$AU$4:$AU$1203,0)),"huérfano",IF(COUNTIF($A$4:$A250,$A250)&gt;1,"duplicado (se ignora)","aplicado")))</f>
        <v/>
      </c>
      <c r="G250" s="45">
        <f>IF($F250&lt;&gt;"aplicado","",IF(IFERROR(INDEX('ORDENES'!$K$4:$K$1203,MATCH($A250,'ORDENES'!$AU$4:$AU$1203,0)),"")="","",$B250-IFERROR(INDEX('ORDENES'!$K$4:$K$1203,MATCH($A250,'ORDENES'!$AU$4:$AU$1203,0)),"")))</f>
        <v/>
      </c>
    </row>
    <row r="251">
      <c r="A251" s="4" t="n"/>
      <c r="B251" s="43" t="n"/>
      <c r="C251" s="4" t="n"/>
      <c r="D251" s="44" t="n"/>
      <c r="E251" s="24">
        <f>IF($A251="","",IFERROR(INDEX('ORDENES'!$D$4:$D$1203,MATCH($A251,'ORDENES'!$AU$4:$AU$1203,0)),"(no encontrada)"))</f>
        <v/>
      </c>
      <c r="F251" s="24">
        <f>IF($A251="","",IF(ISNA(MATCH($A251,'ORDENES'!$AU$4:$AU$1203,0)),"huérfano",IF(COUNTIF($A$4:$A251,$A251)&gt;1,"duplicado (se ignora)","aplicado")))</f>
        <v/>
      </c>
      <c r="G251" s="45">
        <f>IF($F251&lt;&gt;"aplicado","",IF(IFERROR(INDEX('ORDENES'!$K$4:$K$1203,MATCH($A251,'ORDENES'!$AU$4:$AU$1203,0)),"")="","",$B251-IFERROR(INDEX('ORDENES'!$K$4:$K$1203,MATCH($A251,'ORDENES'!$AU$4:$AU$1203,0)),"")))</f>
        <v/>
      </c>
    </row>
    <row r="252">
      <c r="A252" s="4" t="n"/>
      <c r="B252" s="43" t="n"/>
      <c r="C252" s="4" t="n"/>
      <c r="D252" s="44" t="n"/>
      <c r="E252" s="24">
        <f>IF($A252="","",IFERROR(INDEX('ORDENES'!$D$4:$D$1203,MATCH($A252,'ORDENES'!$AU$4:$AU$1203,0)),"(no encontrada)"))</f>
        <v/>
      </c>
      <c r="F252" s="24">
        <f>IF($A252="","",IF(ISNA(MATCH($A252,'ORDENES'!$AU$4:$AU$1203,0)),"huérfano",IF(COUNTIF($A$4:$A252,$A252)&gt;1,"duplicado (se ignora)","aplicado")))</f>
        <v/>
      </c>
      <c r="G252" s="45">
        <f>IF($F252&lt;&gt;"aplicado","",IF(IFERROR(INDEX('ORDENES'!$K$4:$K$1203,MATCH($A252,'ORDENES'!$AU$4:$AU$1203,0)),"")="","",$B252-IFERROR(INDEX('ORDENES'!$K$4:$K$1203,MATCH($A252,'ORDENES'!$AU$4:$AU$1203,0)),"")))</f>
        <v/>
      </c>
    </row>
    <row r="253">
      <c r="A253" s="4" t="n"/>
      <c r="B253" s="43" t="n"/>
      <c r="C253" s="4" t="n"/>
      <c r="D253" s="44" t="n"/>
      <c r="E253" s="24">
        <f>IF($A253="","",IFERROR(INDEX('ORDENES'!$D$4:$D$1203,MATCH($A253,'ORDENES'!$AU$4:$AU$1203,0)),"(no encontrada)"))</f>
        <v/>
      </c>
      <c r="F253" s="24">
        <f>IF($A253="","",IF(ISNA(MATCH($A253,'ORDENES'!$AU$4:$AU$1203,0)),"huérfano",IF(COUNTIF($A$4:$A253,$A253)&gt;1,"duplicado (se ignora)","aplicado")))</f>
        <v/>
      </c>
      <c r="G253" s="45">
        <f>IF($F253&lt;&gt;"aplicado","",IF(IFERROR(INDEX('ORDENES'!$K$4:$K$1203,MATCH($A253,'ORDENES'!$AU$4:$AU$1203,0)),"")="","",$B253-IFERROR(INDEX('ORDENES'!$K$4:$K$1203,MATCH($A253,'ORDENES'!$AU$4:$AU$1203,0)),"")))</f>
        <v/>
      </c>
    </row>
    <row r="254">
      <c r="A254" s="4" t="n"/>
      <c r="B254" s="43" t="n"/>
      <c r="C254" s="4" t="n"/>
      <c r="D254" s="44" t="n"/>
      <c r="E254" s="24">
        <f>IF($A254="","",IFERROR(INDEX('ORDENES'!$D$4:$D$1203,MATCH($A254,'ORDENES'!$AU$4:$AU$1203,0)),"(no encontrada)"))</f>
        <v/>
      </c>
      <c r="F254" s="24">
        <f>IF($A254="","",IF(ISNA(MATCH($A254,'ORDENES'!$AU$4:$AU$1203,0)),"huérfano",IF(COUNTIF($A$4:$A254,$A254)&gt;1,"duplicado (se ignora)","aplicado")))</f>
        <v/>
      </c>
      <c r="G254" s="45">
        <f>IF($F254&lt;&gt;"aplicado","",IF(IFERROR(INDEX('ORDENES'!$K$4:$K$1203,MATCH($A254,'ORDENES'!$AU$4:$AU$1203,0)),"")="","",$B254-IFERROR(INDEX('ORDENES'!$K$4:$K$1203,MATCH($A254,'ORDENES'!$AU$4:$AU$1203,0)),"")))</f>
        <v/>
      </c>
    </row>
    <row r="255">
      <c r="A255" s="4" t="n"/>
      <c r="B255" s="43" t="n"/>
      <c r="C255" s="4" t="n"/>
      <c r="D255" s="44" t="n"/>
      <c r="E255" s="24">
        <f>IF($A255="","",IFERROR(INDEX('ORDENES'!$D$4:$D$1203,MATCH($A255,'ORDENES'!$AU$4:$AU$1203,0)),"(no encontrada)"))</f>
        <v/>
      </c>
      <c r="F255" s="24">
        <f>IF($A255="","",IF(ISNA(MATCH($A255,'ORDENES'!$AU$4:$AU$1203,0)),"huérfano",IF(COUNTIF($A$4:$A255,$A255)&gt;1,"duplicado (se ignora)","aplicado")))</f>
        <v/>
      </c>
      <c r="G255" s="45">
        <f>IF($F255&lt;&gt;"aplicado","",IF(IFERROR(INDEX('ORDENES'!$K$4:$K$1203,MATCH($A255,'ORDENES'!$AU$4:$AU$1203,0)),"")="","",$B255-IFERROR(INDEX('ORDENES'!$K$4:$K$1203,MATCH($A255,'ORDENES'!$AU$4:$AU$1203,0)),"")))</f>
        <v/>
      </c>
    </row>
    <row r="256">
      <c r="A256" s="4" t="n"/>
      <c r="B256" s="43" t="n"/>
      <c r="C256" s="4" t="n"/>
      <c r="D256" s="44" t="n"/>
      <c r="E256" s="24">
        <f>IF($A256="","",IFERROR(INDEX('ORDENES'!$D$4:$D$1203,MATCH($A256,'ORDENES'!$AU$4:$AU$1203,0)),"(no encontrada)"))</f>
        <v/>
      </c>
      <c r="F256" s="24">
        <f>IF($A256="","",IF(ISNA(MATCH($A256,'ORDENES'!$AU$4:$AU$1203,0)),"huérfano",IF(COUNTIF($A$4:$A256,$A256)&gt;1,"duplicado (se ignora)","aplicado")))</f>
        <v/>
      </c>
      <c r="G256" s="45">
        <f>IF($F256&lt;&gt;"aplicado","",IF(IFERROR(INDEX('ORDENES'!$K$4:$K$1203,MATCH($A256,'ORDENES'!$AU$4:$AU$1203,0)),"")="","",$B256-IFERROR(INDEX('ORDENES'!$K$4:$K$1203,MATCH($A256,'ORDENES'!$AU$4:$AU$1203,0)),"")))</f>
        <v/>
      </c>
    </row>
    <row r="257">
      <c r="A257" s="4" t="n"/>
      <c r="B257" s="43" t="n"/>
      <c r="C257" s="4" t="n"/>
      <c r="D257" s="44" t="n"/>
      <c r="E257" s="24">
        <f>IF($A257="","",IFERROR(INDEX('ORDENES'!$D$4:$D$1203,MATCH($A257,'ORDENES'!$AU$4:$AU$1203,0)),"(no encontrada)"))</f>
        <v/>
      </c>
      <c r="F257" s="24">
        <f>IF($A257="","",IF(ISNA(MATCH($A257,'ORDENES'!$AU$4:$AU$1203,0)),"huérfano",IF(COUNTIF($A$4:$A257,$A257)&gt;1,"duplicado (se ignora)","aplicado")))</f>
        <v/>
      </c>
      <c r="G257" s="45">
        <f>IF($F257&lt;&gt;"aplicado","",IF(IFERROR(INDEX('ORDENES'!$K$4:$K$1203,MATCH($A257,'ORDENES'!$AU$4:$AU$1203,0)),"")="","",$B257-IFERROR(INDEX('ORDENES'!$K$4:$K$1203,MATCH($A257,'ORDENES'!$AU$4:$AU$1203,0)),"")))</f>
        <v/>
      </c>
    </row>
    <row r="258">
      <c r="A258" s="4" t="n"/>
      <c r="B258" s="43" t="n"/>
      <c r="C258" s="4" t="n"/>
      <c r="D258" s="44" t="n"/>
      <c r="E258" s="24">
        <f>IF($A258="","",IFERROR(INDEX('ORDENES'!$D$4:$D$1203,MATCH($A258,'ORDENES'!$AU$4:$AU$1203,0)),"(no encontrada)"))</f>
        <v/>
      </c>
      <c r="F258" s="24">
        <f>IF($A258="","",IF(ISNA(MATCH($A258,'ORDENES'!$AU$4:$AU$1203,0)),"huérfano",IF(COUNTIF($A$4:$A258,$A258)&gt;1,"duplicado (se ignora)","aplicado")))</f>
        <v/>
      </c>
      <c r="G258" s="45">
        <f>IF($F258&lt;&gt;"aplicado","",IF(IFERROR(INDEX('ORDENES'!$K$4:$K$1203,MATCH($A258,'ORDENES'!$AU$4:$AU$1203,0)),"")="","",$B258-IFERROR(INDEX('ORDENES'!$K$4:$K$1203,MATCH($A258,'ORDENES'!$AU$4:$AU$1203,0)),"")))</f>
        <v/>
      </c>
    </row>
    <row r="259">
      <c r="A259" s="4" t="n"/>
      <c r="B259" s="43" t="n"/>
      <c r="C259" s="4" t="n"/>
      <c r="D259" s="44" t="n"/>
      <c r="E259" s="24">
        <f>IF($A259="","",IFERROR(INDEX('ORDENES'!$D$4:$D$1203,MATCH($A259,'ORDENES'!$AU$4:$AU$1203,0)),"(no encontrada)"))</f>
        <v/>
      </c>
      <c r="F259" s="24">
        <f>IF($A259="","",IF(ISNA(MATCH($A259,'ORDENES'!$AU$4:$AU$1203,0)),"huérfano",IF(COUNTIF($A$4:$A259,$A259)&gt;1,"duplicado (se ignora)","aplicado")))</f>
        <v/>
      </c>
      <c r="G259" s="45">
        <f>IF($F259&lt;&gt;"aplicado","",IF(IFERROR(INDEX('ORDENES'!$K$4:$K$1203,MATCH($A259,'ORDENES'!$AU$4:$AU$1203,0)),"")="","",$B259-IFERROR(INDEX('ORDENES'!$K$4:$K$1203,MATCH($A259,'ORDENES'!$AU$4:$AU$1203,0)),"")))</f>
        <v/>
      </c>
    </row>
    <row r="260">
      <c r="A260" s="4" t="n"/>
      <c r="B260" s="43" t="n"/>
      <c r="C260" s="4" t="n"/>
      <c r="D260" s="44" t="n"/>
      <c r="E260" s="24">
        <f>IF($A260="","",IFERROR(INDEX('ORDENES'!$D$4:$D$1203,MATCH($A260,'ORDENES'!$AU$4:$AU$1203,0)),"(no encontrada)"))</f>
        <v/>
      </c>
      <c r="F260" s="24">
        <f>IF($A260="","",IF(ISNA(MATCH($A260,'ORDENES'!$AU$4:$AU$1203,0)),"huérfano",IF(COUNTIF($A$4:$A260,$A260)&gt;1,"duplicado (se ignora)","aplicado")))</f>
        <v/>
      </c>
      <c r="G260" s="45">
        <f>IF($F260&lt;&gt;"aplicado","",IF(IFERROR(INDEX('ORDENES'!$K$4:$K$1203,MATCH($A260,'ORDENES'!$AU$4:$AU$1203,0)),"")="","",$B260-IFERROR(INDEX('ORDENES'!$K$4:$K$1203,MATCH($A260,'ORDENES'!$AU$4:$AU$1203,0)),"")))</f>
        <v/>
      </c>
    </row>
    <row r="261">
      <c r="A261" s="4" t="n"/>
      <c r="B261" s="43" t="n"/>
      <c r="C261" s="4" t="n"/>
      <c r="D261" s="44" t="n"/>
      <c r="E261" s="24">
        <f>IF($A261="","",IFERROR(INDEX('ORDENES'!$D$4:$D$1203,MATCH($A261,'ORDENES'!$AU$4:$AU$1203,0)),"(no encontrada)"))</f>
        <v/>
      </c>
      <c r="F261" s="24">
        <f>IF($A261="","",IF(ISNA(MATCH($A261,'ORDENES'!$AU$4:$AU$1203,0)),"huérfano",IF(COUNTIF($A$4:$A261,$A261)&gt;1,"duplicado (se ignora)","aplicado")))</f>
        <v/>
      </c>
      <c r="G261" s="45">
        <f>IF($F261&lt;&gt;"aplicado","",IF(IFERROR(INDEX('ORDENES'!$K$4:$K$1203,MATCH($A261,'ORDENES'!$AU$4:$AU$1203,0)),"")="","",$B261-IFERROR(INDEX('ORDENES'!$K$4:$K$1203,MATCH($A261,'ORDENES'!$AU$4:$AU$1203,0)),"")))</f>
        <v/>
      </c>
    </row>
    <row r="262">
      <c r="A262" s="4" t="n"/>
      <c r="B262" s="43" t="n"/>
      <c r="C262" s="4" t="n"/>
      <c r="D262" s="44" t="n"/>
      <c r="E262" s="24">
        <f>IF($A262="","",IFERROR(INDEX('ORDENES'!$D$4:$D$1203,MATCH($A262,'ORDENES'!$AU$4:$AU$1203,0)),"(no encontrada)"))</f>
        <v/>
      </c>
      <c r="F262" s="24">
        <f>IF($A262="","",IF(ISNA(MATCH($A262,'ORDENES'!$AU$4:$AU$1203,0)),"huérfano",IF(COUNTIF($A$4:$A262,$A262)&gt;1,"duplicado (se ignora)","aplicado")))</f>
        <v/>
      </c>
      <c r="G262" s="45">
        <f>IF($F262&lt;&gt;"aplicado","",IF(IFERROR(INDEX('ORDENES'!$K$4:$K$1203,MATCH($A262,'ORDENES'!$AU$4:$AU$1203,0)),"")="","",$B262-IFERROR(INDEX('ORDENES'!$K$4:$K$1203,MATCH($A262,'ORDENES'!$AU$4:$AU$1203,0)),"")))</f>
        <v/>
      </c>
    </row>
    <row r="263">
      <c r="A263" s="4" t="n"/>
      <c r="B263" s="43" t="n"/>
      <c r="C263" s="4" t="n"/>
      <c r="D263" s="44" t="n"/>
      <c r="E263" s="24">
        <f>IF($A263="","",IFERROR(INDEX('ORDENES'!$D$4:$D$1203,MATCH($A263,'ORDENES'!$AU$4:$AU$1203,0)),"(no encontrada)"))</f>
        <v/>
      </c>
      <c r="F263" s="24">
        <f>IF($A263="","",IF(ISNA(MATCH($A263,'ORDENES'!$AU$4:$AU$1203,0)),"huérfano",IF(COUNTIF($A$4:$A263,$A263)&gt;1,"duplicado (se ignora)","aplicado")))</f>
        <v/>
      </c>
      <c r="G263" s="45">
        <f>IF($F263&lt;&gt;"aplicado","",IF(IFERROR(INDEX('ORDENES'!$K$4:$K$1203,MATCH($A263,'ORDENES'!$AU$4:$AU$1203,0)),"")="","",$B263-IFERROR(INDEX('ORDENES'!$K$4:$K$1203,MATCH($A263,'ORDENES'!$AU$4:$AU$1203,0)),"")))</f>
        <v/>
      </c>
    </row>
    <row r="264">
      <c r="A264" s="4" t="n"/>
      <c r="B264" s="43" t="n"/>
      <c r="C264" s="4" t="n"/>
      <c r="D264" s="44" t="n"/>
      <c r="E264" s="24">
        <f>IF($A264="","",IFERROR(INDEX('ORDENES'!$D$4:$D$1203,MATCH($A264,'ORDENES'!$AU$4:$AU$1203,0)),"(no encontrada)"))</f>
        <v/>
      </c>
      <c r="F264" s="24">
        <f>IF($A264="","",IF(ISNA(MATCH($A264,'ORDENES'!$AU$4:$AU$1203,0)),"huérfano",IF(COUNTIF($A$4:$A264,$A264)&gt;1,"duplicado (se ignora)","aplicado")))</f>
        <v/>
      </c>
      <c r="G264" s="45">
        <f>IF($F264&lt;&gt;"aplicado","",IF(IFERROR(INDEX('ORDENES'!$K$4:$K$1203,MATCH($A264,'ORDENES'!$AU$4:$AU$1203,0)),"")="","",$B264-IFERROR(INDEX('ORDENES'!$K$4:$K$1203,MATCH($A264,'ORDENES'!$AU$4:$AU$1203,0)),"")))</f>
        <v/>
      </c>
    </row>
    <row r="265">
      <c r="A265" s="4" t="n"/>
      <c r="B265" s="43" t="n"/>
      <c r="C265" s="4" t="n"/>
      <c r="D265" s="44" t="n"/>
      <c r="E265" s="24">
        <f>IF($A265="","",IFERROR(INDEX('ORDENES'!$D$4:$D$1203,MATCH($A265,'ORDENES'!$AU$4:$AU$1203,0)),"(no encontrada)"))</f>
        <v/>
      </c>
      <c r="F265" s="24">
        <f>IF($A265="","",IF(ISNA(MATCH($A265,'ORDENES'!$AU$4:$AU$1203,0)),"huérfano",IF(COUNTIF($A$4:$A265,$A265)&gt;1,"duplicado (se ignora)","aplicado")))</f>
        <v/>
      </c>
      <c r="G265" s="45">
        <f>IF($F265&lt;&gt;"aplicado","",IF(IFERROR(INDEX('ORDENES'!$K$4:$K$1203,MATCH($A265,'ORDENES'!$AU$4:$AU$1203,0)),"")="","",$B265-IFERROR(INDEX('ORDENES'!$K$4:$K$1203,MATCH($A265,'ORDENES'!$AU$4:$AU$1203,0)),"")))</f>
        <v/>
      </c>
    </row>
    <row r="266">
      <c r="A266" s="4" t="n"/>
      <c r="B266" s="43" t="n"/>
      <c r="C266" s="4" t="n"/>
      <c r="D266" s="44" t="n"/>
      <c r="E266" s="24">
        <f>IF($A266="","",IFERROR(INDEX('ORDENES'!$D$4:$D$1203,MATCH($A266,'ORDENES'!$AU$4:$AU$1203,0)),"(no encontrada)"))</f>
        <v/>
      </c>
      <c r="F266" s="24">
        <f>IF($A266="","",IF(ISNA(MATCH($A266,'ORDENES'!$AU$4:$AU$1203,0)),"huérfano",IF(COUNTIF($A$4:$A266,$A266)&gt;1,"duplicado (se ignora)","aplicado")))</f>
        <v/>
      </c>
      <c r="G266" s="45">
        <f>IF($F266&lt;&gt;"aplicado","",IF(IFERROR(INDEX('ORDENES'!$K$4:$K$1203,MATCH($A266,'ORDENES'!$AU$4:$AU$1203,0)),"")="","",$B266-IFERROR(INDEX('ORDENES'!$K$4:$K$1203,MATCH($A266,'ORDENES'!$AU$4:$AU$1203,0)),"")))</f>
        <v/>
      </c>
    </row>
    <row r="267">
      <c r="A267" s="4" t="n"/>
      <c r="B267" s="43" t="n"/>
      <c r="C267" s="4" t="n"/>
      <c r="D267" s="44" t="n"/>
      <c r="E267" s="24">
        <f>IF($A267="","",IFERROR(INDEX('ORDENES'!$D$4:$D$1203,MATCH($A267,'ORDENES'!$AU$4:$AU$1203,0)),"(no encontrada)"))</f>
        <v/>
      </c>
      <c r="F267" s="24">
        <f>IF($A267="","",IF(ISNA(MATCH($A267,'ORDENES'!$AU$4:$AU$1203,0)),"huérfano",IF(COUNTIF($A$4:$A267,$A267)&gt;1,"duplicado (se ignora)","aplicado")))</f>
        <v/>
      </c>
      <c r="G267" s="45">
        <f>IF($F267&lt;&gt;"aplicado","",IF(IFERROR(INDEX('ORDENES'!$K$4:$K$1203,MATCH($A267,'ORDENES'!$AU$4:$AU$1203,0)),"")="","",$B267-IFERROR(INDEX('ORDENES'!$K$4:$K$1203,MATCH($A267,'ORDENES'!$AU$4:$AU$1203,0)),"")))</f>
        <v/>
      </c>
    </row>
    <row r="268">
      <c r="A268" s="4" t="n"/>
      <c r="B268" s="43" t="n"/>
      <c r="C268" s="4" t="n"/>
      <c r="D268" s="44" t="n"/>
      <c r="E268" s="24">
        <f>IF($A268="","",IFERROR(INDEX('ORDENES'!$D$4:$D$1203,MATCH($A268,'ORDENES'!$AU$4:$AU$1203,0)),"(no encontrada)"))</f>
        <v/>
      </c>
      <c r="F268" s="24">
        <f>IF($A268="","",IF(ISNA(MATCH($A268,'ORDENES'!$AU$4:$AU$1203,0)),"huérfano",IF(COUNTIF($A$4:$A268,$A268)&gt;1,"duplicado (se ignora)","aplicado")))</f>
        <v/>
      </c>
      <c r="G268" s="45">
        <f>IF($F268&lt;&gt;"aplicado","",IF(IFERROR(INDEX('ORDENES'!$K$4:$K$1203,MATCH($A268,'ORDENES'!$AU$4:$AU$1203,0)),"")="","",$B268-IFERROR(INDEX('ORDENES'!$K$4:$K$1203,MATCH($A268,'ORDENES'!$AU$4:$AU$1203,0)),"")))</f>
        <v/>
      </c>
    </row>
    <row r="269">
      <c r="A269" s="4" t="n"/>
      <c r="B269" s="43" t="n"/>
      <c r="C269" s="4" t="n"/>
      <c r="D269" s="44" t="n"/>
      <c r="E269" s="24">
        <f>IF($A269="","",IFERROR(INDEX('ORDENES'!$D$4:$D$1203,MATCH($A269,'ORDENES'!$AU$4:$AU$1203,0)),"(no encontrada)"))</f>
        <v/>
      </c>
      <c r="F269" s="24">
        <f>IF($A269="","",IF(ISNA(MATCH($A269,'ORDENES'!$AU$4:$AU$1203,0)),"huérfano",IF(COUNTIF($A$4:$A269,$A269)&gt;1,"duplicado (se ignora)","aplicado")))</f>
        <v/>
      </c>
      <c r="G269" s="45">
        <f>IF($F269&lt;&gt;"aplicado","",IF(IFERROR(INDEX('ORDENES'!$K$4:$K$1203,MATCH($A269,'ORDENES'!$AU$4:$AU$1203,0)),"")="","",$B269-IFERROR(INDEX('ORDENES'!$K$4:$K$1203,MATCH($A269,'ORDENES'!$AU$4:$AU$1203,0)),"")))</f>
        <v/>
      </c>
    </row>
    <row r="270">
      <c r="A270" s="4" t="n"/>
      <c r="B270" s="43" t="n"/>
      <c r="C270" s="4" t="n"/>
      <c r="D270" s="44" t="n"/>
      <c r="E270" s="24">
        <f>IF($A270="","",IFERROR(INDEX('ORDENES'!$D$4:$D$1203,MATCH($A270,'ORDENES'!$AU$4:$AU$1203,0)),"(no encontrada)"))</f>
        <v/>
      </c>
      <c r="F270" s="24">
        <f>IF($A270="","",IF(ISNA(MATCH($A270,'ORDENES'!$AU$4:$AU$1203,0)),"huérfano",IF(COUNTIF($A$4:$A270,$A270)&gt;1,"duplicado (se ignora)","aplicado")))</f>
        <v/>
      </c>
      <c r="G270" s="45">
        <f>IF($F270&lt;&gt;"aplicado","",IF(IFERROR(INDEX('ORDENES'!$K$4:$K$1203,MATCH($A270,'ORDENES'!$AU$4:$AU$1203,0)),"")="","",$B270-IFERROR(INDEX('ORDENES'!$K$4:$K$1203,MATCH($A270,'ORDENES'!$AU$4:$AU$1203,0)),"")))</f>
        <v/>
      </c>
    </row>
    <row r="271">
      <c r="A271" s="4" t="n"/>
      <c r="B271" s="43" t="n"/>
      <c r="C271" s="4" t="n"/>
      <c r="D271" s="44" t="n"/>
      <c r="E271" s="24">
        <f>IF($A271="","",IFERROR(INDEX('ORDENES'!$D$4:$D$1203,MATCH($A271,'ORDENES'!$AU$4:$AU$1203,0)),"(no encontrada)"))</f>
        <v/>
      </c>
      <c r="F271" s="24">
        <f>IF($A271="","",IF(ISNA(MATCH($A271,'ORDENES'!$AU$4:$AU$1203,0)),"huérfano",IF(COUNTIF($A$4:$A271,$A271)&gt;1,"duplicado (se ignora)","aplicado")))</f>
        <v/>
      </c>
      <c r="G271" s="45">
        <f>IF($F271&lt;&gt;"aplicado","",IF(IFERROR(INDEX('ORDENES'!$K$4:$K$1203,MATCH($A271,'ORDENES'!$AU$4:$AU$1203,0)),"")="","",$B271-IFERROR(INDEX('ORDENES'!$K$4:$K$1203,MATCH($A271,'ORDENES'!$AU$4:$AU$1203,0)),"")))</f>
        <v/>
      </c>
    </row>
    <row r="272">
      <c r="A272" s="4" t="n"/>
      <c r="B272" s="43" t="n"/>
      <c r="C272" s="4" t="n"/>
      <c r="D272" s="44" t="n"/>
      <c r="E272" s="24">
        <f>IF($A272="","",IFERROR(INDEX('ORDENES'!$D$4:$D$1203,MATCH($A272,'ORDENES'!$AU$4:$AU$1203,0)),"(no encontrada)"))</f>
        <v/>
      </c>
      <c r="F272" s="24">
        <f>IF($A272="","",IF(ISNA(MATCH($A272,'ORDENES'!$AU$4:$AU$1203,0)),"huérfano",IF(COUNTIF($A$4:$A272,$A272)&gt;1,"duplicado (se ignora)","aplicado")))</f>
        <v/>
      </c>
      <c r="G272" s="45">
        <f>IF($F272&lt;&gt;"aplicado","",IF(IFERROR(INDEX('ORDENES'!$K$4:$K$1203,MATCH($A272,'ORDENES'!$AU$4:$AU$1203,0)),"")="","",$B272-IFERROR(INDEX('ORDENES'!$K$4:$K$1203,MATCH($A272,'ORDENES'!$AU$4:$AU$1203,0)),"")))</f>
        <v/>
      </c>
    </row>
    <row r="273">
      <c r="A273" s="4" t="n"/>
      <c r="B273" s="43" t="n"/>
      <c r="C273" s="4" t="n"/>
      <c r="D273" s="44" t="n"/>
      <c r="E273" s="24">
        <f>IF($A273="","",IFERROR(INDEX('ORDENES'!$D$4:$D$1203,MATCH($A273,'ORDENES'!$AU$4:$AU$1203,0)),"(no encontrada)"))</f>
        <v/>
      </c>
      <c r="F273" s="24">
        <f>IF($A273="","",IF(ISNA(MATCH($A273,'ORDENES'!$AU$4:$AU$1203,0)),"huérfano",IF(COUNTIF($A$4:$A273,$A273)&gt;1,"duplicado (se ignora)","aplicado")))</f>
        <v/>
      </c>
      <c r="G273" s="45">
        <f>IF($F273&lt;&gt;"aplicado","",IF(IFERROR(INDEX('ORDENES'!$K$4:$K$1203,MATCH($A273,'ORDENES'!$AU$4:$AU$1203,0)),"")="","",$B273-IFERROR(INDEX('ORDENES'!$K$4:$K$1203,MATCH($A273,'ORDENES'!$AU$4:$AU$1203,0)),"")))</f>
        <v/>
      </c>
    </row>
    <row r="274">
      <c r="A274" s="4" t="n"/>
      <c r="B274" s="43" t="n"/>
      <c r="C274" s="4" t="n"/>
      <c r="D274" s="44" t="n"/>
      <c r="E274" s="24">
        <f>IF($A274="","",IFERROR(INDEX('ORDENES'!$D$4:$D$1203,MATCH($A274,'ORDENES'!$AU$4:$AU$1203,0)),"(no encontrada)"))</f>
        <v/>
      </c>
      <c r="F274" s="24">
        <f>IF($A274="","",IF(ISNA(MATCH($A274,'ORDENES'!$AU$4:$AU$1203,0)),"huérfano",IF(COUNTIF($A$4:$A274,$A274)&gt;1,"duplicado (se ignora)","aplicado")))</f>
        <v/>
      </c>
      <c r="G274" s="45">
        <f>IF($F274&lt;&gt;"aplicado","",IF(IFERROR(INDEX('ORDENES'!$K$4:$K$1203,MATCH($A274,'ORDENES'!$AU$4:$AU$1203,0)),"")="","",$B274-IFERROR(INDEX('ORDENES'!$K$4:$K$1203,MATCH($A274,'ORDENES'!$AU$4:$AU$1203,0)),"")))</f>
        <v/>
      </c>
    </row>
    <row r="275">
      <c r="A275" s="4" t="n"/>
      <c r="B275" s="43" t="n"/>
      <c r="C275" s="4" t="n"/>
      <c r="D275" s="44" t="n"/>
      <c r="E275" s="24">
        <f>IF($A275="","",IFERROR(INDEX('ORDENES'!$D$4:$D$1203,MATCH($A275,'ORDENES'!$AU$4:$AU$1203,0)),"(no encontrada)"))</f>
        <v/>
      </c>
      <c r="F275" s="24">
        <f>IF($A275="","",IF(ISNA(MATCH($A275,'ORDENES'!$AU$4:$AU$1203,0)),"huérfano",IF(COUNTIF($A$4:$A275,$A275)&gt;1,"duplicado (se ignora)","aplicado")))</f>
        <v/>
      </c>
      <c r="G275" s="45">
        <f>IF($F275&lt;&gt;"aplicado","",IF(IFERROR(INDEX('ORDENES'!$K$4:$K$1203,MATCH($A275,'ORDENES'!$AU$4:$AU$1203,0)),"")="","",$B275-IFERROR(INDEX('ORDENES'!$K$4:$K$1203,MATCH($A275,'ORDENES'!$AU$4:$AU$1203,0)),"")))</f>
        <v/>
      </c>
    </row>
    <row r="276">
      <c r="A276" s="4" t="n"/>
      <c r="B276" s="43" t="n"/>
      <c r="C276" s="4" t="n"/>
      <c r="D276" s="44" t="n"/>
      <c r="E276" s="24">
        <f>IF($A276="","",IFERROR(INDEX('ORDENES'!$D$4:$D$1203,MATCH($A276,'ORDENES'!$AU$4:$AU$1203,0)),"(no encontrada)"))</f>
        <v/>
      </c>
      <c r="F276" s="24">
        <f>IF($A276="","",IF(ISNA(MATCH($A276,'ORDENES'!$AU$4:$AU$1203,0)),"huérfano",IF(COUNTIF($A$4:$A276,$A276)&gt;1,"duplicado (se ignora)","aplicado")))</f>
        <v/>
      </c>
      <c r="G276" s="45">
        <f>IF($F276&lt;&gt;"aplicado","",IF(IFERROR(INDEX('ORDENES'!$K$4:$K$1203,MATCH($A276,'ORDENES'!$AU$4:$AU$1203,0)),"")="","",$B276-IFERROR(INDEX('ORDENES'!$K$4:$K$1203,MATCH($A276,'ORDENES'!$AU$4:$AU$1203,0)),"")))</f>
        <v/>
      </c>
    </row>
    <row r="277">
      <c r="A277" s="4" t="n"/>
      <c r="B277" s="43" t="n"/>
      <c r="C277" s="4" t="n"/>
      <c r="D277" s="44" t="n"/>
      <c r="E277" s="24">
        <f>IF($A277="","",IFERROR(INDEX('ORDENES'!$D$4:$D$1203,MATCH($A277,'ORDENES'!$AU$4:$AU$1203,0)),"(no encontrada)"))</f>
        <v/>
      </c>
      <c r="F277" s="24">
        <f>IF($A277="","",IF(ISNA(MATCH($A277,'ORDENES'!$AU$4:$AU$1203,0)),"huérfano",IF(COUNTIF($A$4:$A277,$A277)&gt;1,"duplicado (se ignora)","aplicado")))</f>
        <v/>
      </c>
      <c r="G277" s="45">
        <f>IF($F277&lt;&gt;"aplicado","",IF(IFERROR(INDEX('ORDENES'!$K$4:$K$1203,MATCH($A277,'ORDENES'!$AU$4:$AU$1203,0)),"")="","",$B277-IFERROR(INDEX('ORDENES'!$K$4:$K$1203,MATCH($A277,'ORDENES'!$AU$4:$AU$1203,0)),"")))</f>
        <v/>
      </c>
    </row>
    <row r="278">
      <c r="A278" s="4" t="n"/>
      <c r="B278" s="43" t="n"/>
      <c r="C278" s="4" t="n"/>
      <c r="D278" s="44" t="n"/>
      <c r="E278" s="24">
        <f>IF($A278="","",IFERROR(INDEX('ORDENES'!$D$4:$D$1203,MATCH($A278,'ORDENES'!$AU$4:$AU$1203,0)),"(no encontrada)"))</f>
        <v/>
      </c>
      <c r="F278" s="24">
        <f>IF($A278="","",IF(ISNA(MATCH($A278,'ORDENES'!$AU$4:$AU$1203,0)),"huérfano",IF(COUNTIF($A$4:$A278,$A278)&gt;1,"duplicado (se ignora)","aplicado")))</f>
        <v/>
      </c>
      <c r="G278" s="45">
        <f>IF($F278&lt;&gt;"aplicado","",IF(IFERROR(INDEX('ORDENES'!$K$4:$K$1203,MATCH($A278,'ORDENES'!$AU$4:$AU$1203,0)),"")="","",$B278-IFERROR(INDEX('ORDENES'!$K$4:$K$1203,MATCH($A278,'ORDENES'!$AU$4:$AU$1203,0)),"")))</f>
        <v/>
      </c>
    </row>
    <row r="279">
      <c r="A279" s="4" t="n"/>
      <c r="B279" s="43" t="n"/>
      <c r="C279" s="4" t="n"/>
      <c r="D279" s="44" t="n"/>
      <c r="E279" s="24">
        <f>IF($A279="","",IFERROR(INDEX('ORDENES'!$D$4:$D$1203,MATCH($A279,'ORDENES'!$AU$4:$AU$1203,0)),"(no encontrada)"))</f>
        <v/>
      </c>
      <c r="F279" s="24">
        <f>IF($A279="","",IF(ISNA(MATCH($A279,'ORDENES'!$AU$4:$AU$1203,0)),"huérfano",IF(COUNTIF($A$4:$A279,$A279)&gt;1,"duplicado (se ignora)","aplicado")))</f>
        <v/>
      </c>
      <c r="G279" s="45">
        <f>IF($F279&lt;&gt;"aplicado","",IF(IFERROR(INDEX('ORDENES'!$K$4:$K$1203,MATCH($A279,'ORDENES'!$AU$4:$AU$1203,0)),"")="","",$B279-IFERROR(INDEX('ORDENES'!$K$4:$K$1203,MATCH($A279,'ORDENES'!$AU$4:$AU$1203,0)),"")))</f>
        <v/>
      </c>
    </row>
    <row r="280">
      <c r="A280" s="4" t="n"/>
      <c r="B280" s="43" t="n"/>
      <c r="C280" s="4" t="n"/>
      <c r="D280" s="44" t="n"/>
      <c r="E280" s="24">
        <f>IF($A280="","",IFERROR(INDEX('ORDENES'!$D$4:$D$1203,MATCH($A280,'ORDENES'!$AU$4:$AU$1203,0)),"(no encontrada)"))</f>
        <v/>
      </c>
      <c r="F280" s="24">
        <f>IF($A280="","",IF(ISNA(MATCH($A280,'ORDENES'!$AU$4:$AU$1203,0)),"huérfano",IF(COUNTIF($A$4:$A280,$A280)&gt;1,"duplicado (se ignora)","aplicado")))</f>
        <v/>
      </c>
      <c r="G280" s="45">
        <f>IF($F280&lt;&gt;"aplicado","",IF(IFERROR(INDEX('ORDENES'!$K$4:$K$1203,MATCH($A280,'ORDENES'!$AU$4:$AU$1203,0)),"")="","",$B280-IFERROR(INDEX('ORDENES'!$K$4:$K$1203,MATCH($A280,'ORDENES'!$AU$4:$AU$1203,0)),"")))</f>
        <v/>
      </c>
    </row>
    <row r="281">
      <c r="A281" s="4" t="n"/>
      <c r="B281" s="43" t="n"/>
      <c r="C281" s="4" t="n"/>
      <c r="D281" s="44" t="n"/>
      <c r="E281" s="24">
        <f>IF($A281="","",IFERROR(INDEX('ORDENES'!$D$4:$D$1203,MATCH($A281,'ORDENES'!$AU$4:$AU$1203,0)),"(no encontrada)"))</f>
        <v/>
      </c>
      <c r="F281" s="24">
        <f>IF($A281="","",IF(ISNA(MATCH($A281,'ORDENES'!$AU$4:$AU$1203,0)),"huérfano",IF(COUNTIF($A$4:$A281,$A281)&gt;1,"duplicado (se ignora)","aplicado")))</f>
        <v/>
      </c>
      <c r="G281" s="45">
        <f>IF($F281&lt;&gt;"aplicado","",IF(IFERROR(INDEX('ORDENES'!$K$4:$K$1203,MATCH($A281,'ORDENES'!$AU$4:$AU$1203,0)),"")="","",$B281-IFERROR(INDEX('ORDENES'!$K$4:$K$1203,MATCH($A281,'ORDENES'!$AU$4:$AU$1203,0)),"")))</f>
        <v/>
      </c>
    </row>
    <row r="282">
      <c r="A282" s="4" t="n"/>
      <c r="B282" s="43" t="n"/>
      <c r="C282" s="4" t="n"/>
      <c r="D282" s="44" t="n"/>
      <c r="E282" s="24">
        <f>IF($A282="","",IFERROR(INDEX('ORDENES'!$D$4:$D$1203,MATCH($A282,'ORDENES'!$AU$4:$AU$1203,0)),"(no encontrada)"))</f>
        <v/>
      </c>
      <c r="F282" s="24">
        <f>IF($A282="","",IF(ISNA(MATCH($A282,'ORDENES'!$AU$4:$AU$1203,0)),"huérfano",IF(COUNTIF($A$4:$A282,$A282)&gt;1,"duplicado (se ignora)","aplicado")))</f>
        <v/>
      </c>
      <c r="G282" s="45">
        <f>IF($F282&lt;&gt;"aplicado","",IF(IFERROR(INDEX('ORDENES'!$K$4:$K$1203,MATCH($A282,'ORDENES'!$AU$4:$AU$1203,0)),"")="","",$B282-IFERROR(INDEX('ORDENES'!$K$4:$K$1203,MATCH($A282,'ORDENES'!$AU$4:$AU$1203,0)),"")))</f>
        <v/>
      </c>
    </row>
    <row r="283">
      <c r="A283" s="4" t="n"/>
      <c r="B283" s="43" t="n"/>
      <c r="C283" s="4" t="n"/>
      <c r="D283" s="44" t="n"/>
      <c r="E283" s="24">
        <f>IF($A283="","",IFERROR(INDEX('ORDENES'!$D$4:$D$1203,MATCH($A283,'ORDENES'!$AU$4:$AU$1203,0)),"(no encontrada)"))</f>
        <v/>
      </c>
      <c r="F283" s="24">
        <f>IF($A283="","",IF(ISNA(MATCH($A283,'ORDENES'!$AU$4:$AU$1203,0)),"huérfano",IF(COUNTIF($A$4:$A283,$A283)&gt;1,"duplicado (se ignora)","aplicado")))</f>
        <v/>
      </c>
      <c r="G283" s="45">
        <f>IF($F283&lt;&gt;"aplicado","",IF(IFERROR(INDEX('ORDENES'!$K$4:$K$1203,MATCH($A283,'ORDENES'!$AU$4:$AU$1203,0)),"")="","",$B283-IFERROR(INDEX('ORDENES'!$K$4:$K$1203,MATCH($A283,'ORDENES'!$AU$4:$AU$1203,0)),"")))</f>
        <v/>
      </c>
    </row>
    <row r="284">
      <c r="A284" s="4" t="n"/>
      <c r="B284" s="43" t="n"/>
      <c r="C284" s="4" t="n"/>
      <c r="D284" s="44" t="n"/>
      <c r="E284" s="24">
        <f>IF($A284="","",IFERROR(INDEX('ORDENES'!$D$4:$D$1203,MATCH($A284,'ORDENES'!$AU$4:$AU$1203,0)),"(no encontrada)"))</f>
        <v/>
      </c>
      <c r="F284" s="24">
        <f>IF($A284="","",IF(ISNA(MATCH($A284,'ORDENES'!$AU$4:$AU$1203,0)),"huérfano",IF(COUNTIF($A$4:$A284,$A284)&gt;1,"duplicado (se ignora)","aplicado")))</f>
        <v/>
      </c>
      <c r="G284" s="45">
        <f>IF($F284&lt;&gt;"aplicado","",IF(IFERROR(INDEX('ORDENES'!$K$4:$K$1203,MATCH($A284,'ORDENES'!$AU$4:$AU$1203,0)),"")="","",$B284-IFERROR(INDEX('ORDENES'!$K$4:$K$1203,MATCH($A284,'ORDENES'!$AU$4:$AU$1203,0)),"")))</f>
        <v/>
      </c>
    </row>
    <row r="285">
      <c r="A285" s="4" t="n"/>
      <c r="B285" s="43" t="n"/>
      <c r="C285" s="4" t="n"/>
      <c r="D285" s="44" t="n"/>
      <c r="E285" s="24">
        <f>IF($A285="","",IFERROR(INDEX('ORDENES'!$D$4:$D$1203,MATCH($A285,'ORDENES'!$AU$4:$AU$1203,0)),"(no encontrada)"))</f>
        <v/>
      </c>
      <c r="F285" s="24">
        <f>IF($A285="","",IF(ISNA(MATCH($A285,'ORDENES'!$AU$4:$AU$1203,0)),"huérfano",IF(COUNTIF($A$4:$A285,$A285)&gt;1,"duplicado (se ignora)","aplicado")))</f>
        <v/>
      </c>
      <c r="G285" s="45">
        <f>IF($F285&lt;&gt;"aplicado","",IF(IFERROR(INDEX('ORDENES'!$K$4:$K$1203,MATCH($A285,'ORDENES'!$AU$4:$AU$1203,0)),"")="","",$B285-IFERROR(INDEX('ORDENES'!$K$4:$K$1203,MATCH($A285,'ORDENES'!$AU$4:$AU$1203,0)),"")))</f>
        <v/>
      </c>
    </row>
    <row r="286">
      <c r="A286" s="4" t="n"/>
      <c r="B286" s="43" t="n"/>
      <c r="C286" s="4" t="n"/>
      <c r="D286" s="44" t="n"/>
      <c r="E286" s="24">
        <f>IF($A286="","",IFERROR(INDEX('ORDENES'!$D$4:$D$1203,MATCH($A286,'ORDENES'!$AU$4:$AU$1203,0)),"(no encontrada)"))</f>
        <v/>
      </c>
      <c r="F286" s="24">
        <f>IF($A286="","",IF(ISNA(MATCH($A286,'ORDENES'!$AU$4:$AU$1203,0)),"huérfano",IF(COUNTIF($A$4:$A286,$A286)&gt;1,"duplicado (se ignora)","aplicado")))</f>
        <v/>
      </c>
      <c r="G286" s="45">
        <f>IF($F286&lt;&gt;"aplicado","",IF(IFERROR(INDEX('ORDENES'!$K$4:$K$1203,MATCH($A286,'ORDENES'!$AU$4:$AU$1203,0)),"")="","",$B286-IFERROR(INDEX('ORDENES'!$K$4:$K$1203,MATCH($A286,'ORDENES'!$AU$4:$AU$1203,0)),"")))</f>
        <v/>
      </c>
    </row>
    <row r="287">
      <c r="A287" s="4" t="n"/>
      <c r="B287" s="43" t="n"/>
      <c r="C287" s="4" t="n"/>
      <c r="D287" s="44" t="n"/>
      <c r="E287" s="24">
        <f>IF($A287="","",IFERROR(INDEX('ORDENES'!$D$4:$D$1203,MATCH($A287,'ORDENES'!$AU$4:$AU$1203,0)),"(no encontrada)"))</f>
        <v/>
      </c>
      <c r="F287" s="24">
        <f>IF($A287="","",IF(ISNA(MATCH($A287,'ORDENES'!$AU$4:$AU$1203,0)),"huérfano",IF(COUNTIF($A$4:$A287,$A287)&gt;1,"duplicado (se ignora)","aplicado")))</f>
        <v/>
      </c>
      <c r="G287" s="45">
        <f>IF($F287&lt;&gt;"aplicado","",IF(IFERROR(INDEX('ORDENES'!$K$4:$K$1203,MATCH($A287,'ORDENES'!$AU$4:$AU$1203,0)),"")="","",$B287-IFERROR(INDEX('ORDENES'!$K$4:$K$1203,MATCH($A287,'ORDENES'!$AU$4:$AU$1203,0)),"")))</f>
        <v/>
      </c>
    </row>
    <row r="288">
      <c r="A288" s="4" t="n"/>
      <c r="B288" s="43" t="n"/>
      <c r="C288" s="4" t="n"/>
      <c r="D288" s="44" t="n"/>
      <c r="E288" s="24">
        <f>IF($A288="","",IFERROR(INDEX('ORDENES'!$D$4:$D$1203,MATCH($A288,'ORDENES'!$AU$4:$AU$1203,0)),"(no encontrada)"))</f>
        <v/>
      </c>
      <c r="F288" s="24">
        <f>IF($A288="","",IF(ISNA(MATCH($A288,'ORDENES'!$AU$4:$AU$1203,0)),"huérfano",IF(COUNTIF($A$4:$A288,$A288)&gt;1,"duplicado (se ignora)","aplicado")))</f>
        <v/>
      </c>
      <c r="G288" s="45">
        <f>IF($F288&lt;&gt;"aplicado","",IF(IFERROR(INDEX('ORDENES'!$K$4:$K$1203,MATCH($A288,'ORDENES'!$AU$4:$AU$1203,0)),"")="","",$B288-IFERROR(INDEX('ORDENES'!$K$4:$K$1203,MATCH($A288,'ORDENES'!$AU$4:$AU$1203,0)),"")))</f>
        <v/>
      </c>
    </row>
    <row r="289">
      <c r="A289" s="4" t="n"/>
      <c r="B289" s="43" t="n"/>
      <c r="C289" s="4" t="n"/>
      <c r="D289" s="44" t="n"/>
      <c r="E289" s="24">
        <f>IF($A289="","",IFERROR(INDEX('ORDENES'!$D$4:$D$1203,MATCH($A289,'ORDENES'!$AU$4:$AU$1203,0)),"(no encontrada)"))</f>
        <v/>
      </c>
      <c r="F289" s="24">
        <f>IF($A289="","",IF(ISNA(MATCH($A289,'ORDENES'!$AU$4:$AU$1203,0)),"huérfano",IF(COUNTIF($A$4:$A289,$A289)&gt;1,"duplicado (se ignora)","aplicado")))</f>
        <v/>
      </c>
      <c r="G289" s="45">
        <f>IF($F289&lt;&gt;"aplicado","",IF(IFERROR(INDEX('ORDENES'!$K$4:$K$1203,MATCH($A289,'ORDENES'!$AU$4:$AU$1203,0)),"")="","",$B289-IFERROR(INDEX('ORDENES'!$K$4:$K$1203,MATCH($A289,'ORDENES'!$AU$4:$AU$1203,0)),"")))</f>
        <v/>
      </c>
    </row>
    <row r="290">
      <c r="A290" s="4" t="n"/>
      <c r="B290" s="43" t="n"/>
      <c r="C290" s="4" t="n"/>
      <c r="D290" s="44" t="n"/>
      <c r="E290" s="24">
        <f>IF($A290="","",IFERROR(INDEX('ORDENES'!$D$4:$D$1203,MATCH($A290,'ORDENES'!$AU$4:$AU$1203,0)),"(no encontrada)"))</f>
        <v/>
      </c>
      <c r="F290" s="24">
        <f>IF($A290="","",IF(ISNA(MATCH($A290,'ORDENES'!$AU$4:$AU$1203,0)),"huérfano",IF(COUNTIF($A$4:$A290,$A290)&gt;1,"duplicado (se ignora)","aplicado")))</f>
        <v/>
      </c>
      <c r="G290" s="45">
        <f>IF($F290&lt;&gt;"aplicado","",IF(IFERROR(INDEX('ORDENES'!$K$4:$K$1203,MATCH($A290,'ORDENES'!$AU$4:$AU$1203,0)),"")="","",$B290-IFERROR(INDEX('ORDENES'!$K$4:$K$1203,MATCH($A290,'ORDENES'!$AU$4:$AU$1203,0)),"")))</f>
        <v/>
      </c>
    </row>
    <row r="291">
      <c r="A291" s="4" t="n"/>
      <c r="B291" s="43" t="n"/>
      <c r="C291" s="4" t="n"/>
      <c r="D291" s="44" t="n"/>
      <c r="E291" s="24">
        <f>IF($A291="","",IFERROR(INDEX('ORDENES'!$D$4:$D$1203,MATCH($A291,'ORDENES'!$AU$4:$AU$1203,0)),"(no encontrada)"))</f>
        <v/>
      </c>
      <c r="F291" s="24">
        <f>IF($A291="","",IF(ISNA(MATCH($A291,'ORDENES'!$AU$4:$AU$1203,0)),"huérfano",IF(COUNTIF($A$4:$A291,$A291)&gt;1,"duplicado (se ignora)","aplicado")))</f>
        <v/>
      </c>
      <c r="G291" s="45">
        <f>IF($F291&lt;&gt;"aplicado","",IF(IFERROR(INDEX('ORDENES'!$K$4:$K$1203,MATCH($A291,'ORDENES'!$AU$4:$AU$1203,0)),"")="","",$B291-IFERROR(INDEX('ORDENES'!$K$4:$K$1203,MATCH($A291,'ORDENES'!$AU$4:$AU$1203,0)),"")))</f>
        <v/>
      </c>
    </row>
    <row r="292">
      <c r="A292" s="4" t="n"/>
      <c r="B292" s="43" t="n"/>
      <c r="C292" s="4" t="n"/>
      <c r="D292" s="44" t="n"/>
      <c r="E292" s="24">
        <f>IF($A292="","",IFERROR(INDEX('ORDENES'!$D$4:$D$1203,MATCH($A292,'ORDENES'!$AU$4:$AU$1203,0)),"(no encontrada)"))</f>
        <v/>
      </c>
      <c r="F292" s="24">
        <f>IF($A292="","",IF(ISNA(MATCH($A292,'ORDENES'!$AU$4:$AU$1203,0)),"huérfano",IF(COUNTIF($A$4:$A292,$A292)&gt;1,"duplicado (se ignora)","aplicado")))</f>
        <v/>
      </c>
      <c r="G292" s="45">
        <f>IF($F292&lt;&gt;"aplicado","",IF(IFERROR(INDEX('ORDENES'!$K$4:$K$1203,MATCH($A292,'ORDENES'!$AU$4:$AU$1203,0)),"")="","",$B292-IFERROR(INDEX('ORDENES'!$K$4:$K$1203,MATCH($A292,'ORDENES'!$AU$4:$AU$1203,0)),"")))</f>
        <v/>
      </c>
    </row>
    <row r="293">
      <c r="A293" s="4" t="n"/>
      <c r="B293" s="43" t="n"/>
      <c r="C293" s="4" t="n"/>
      <c r="D293" s="44" t="n"/>
      <c r="E293" s="24">
        <f>IF($A293="","",IFERROR(INDEX('ORDENES'!$D$4:$D$1203,MATCH($A293,'ORDENES'!$AU$4:$AU$1203,0)),"(no encontrada)"))</f>
        <v/>
      </c>
      <c r="F293" s="24">
        <f>IF($A293="","",IF(ISNA(MATCH($A293,'ORDENES'!$AU$4:$AU$1203,0)),"huérfano",IF(COUNTIF($A$4:$A293,$A293)&gt;1,"duplicado (se ignora)","aplicado")))</f>
        <v/>
      </c>
      <c r="G293" s="45">
        <f>IF($F293&lt;&gt;"aplicado","",IF(IFERROR(INDEX('ORDENES'!$K$4:$K$1203,MATCH($A293,'ORDENES'!$AU$4:$AU$1203,0)),"")="","",$B293-IFERROR(INDEX('ORDENES'!$K$4:$K$1203,MATCH($A293,'ORDENES'!$AU$4:$AU$1203,0)),"")))</f>
        <v/>
      </c>
    </row>
    <row r="294">
      <c r="A294" s="4" t="n"/>
      <c r="B294" s="43" t="n"/>
      <c r="C294" s="4" t="n"/>
      <c r="D294" s="44" t="n"/>
      <c r="E294" s="24">
        <f>IF($A294="","",IFERROR(INDEX('ORDENES'!$D$4:$D$1203,MATCH($A294,'ORDENES'!$AU$4:$AU$1203,0)),"(no encontrada)"))</f>
        <v/>
      </c>
      <c r="F294" s="24">
        <f>IF($A294="","",IF(ISNA(MATCH($A294,'ORDENES'!$AU$4:$AU$1203,0)),"huérfano",IF(COUNTIF($A$4:$A294,$A294)&gt;1,"duplicado (se ignora)","aplicado")))</f>
        <v/>
      </c>
      <c r="G294" s="45">
        <f>IF($F294&lt;&gt;"aplicado","",IF(IFERROR(INDEX('ORDENES'!$K$4:$K$1203,MATCH($A294,'ORDENES'!$AU$4:$AU$1203,0)),"")="","",$B294-IFERROR(INDEX('ORDENES'!$K$4:$K$1203,MATCH($A294,'ORDENES'!$AU$4:$AU$1203,0)),"")))</f>
        <v/>
      </c>
    </row>
    <row r="295">
      <c r="A295" s="4" t="n"/>
      <c r="B295" s="43" t="n"/>
      <c r="C295" s="4" t="n"/>
      <c r="D295" s="44" t="n"/>
      <c r="E295" s="24">
        <f>IF($A295="","",IFERROR(INDEX('ORDENES'!$D$4:$D$1203,MATCH($A295,'ORDENES'!$AU$4:$AU$1203,0)),"(no encontrada)"))</f>
        <v/>
      </c>
      <c r="F295" s="24">
        <f>IF($A295="","",IF(ISNA(MATCH($A295,'ORDENES'!$AU$4:$AU$1203,0)),"huérfano",IF(COUNTIF($A$4:$A295,$A295)&gt;1,"duplicado (se ignora)","aplicado")))</f>
        <v/>
      </c>
      <c r="G295" s="45">
        <f>IF($F295&lt;&gt;"aplicado","",IF(IFERROR(INDEX('ORDENES'!$K$4:$K$1203,MATCH($A295,'ORDENES'!$AU$4:$AU$1203,0)),"")="","",$B295-IFERROR(INDEX('ORDENES'!$K$4:$K$1203,MATCH($A295,'ORDENES'!$AU$4:$AU$1203,0)),"")))</f>
        <v/>
      </c>
    </row>
    <row r="296">
      <c r="A296" s="4" t="n"/>
      <c r="B296" s="43" t="n"/>
      <c r="C296" s="4" t="n"/>
      <c r="D296" s="44" t="n"/>
      <c r="E296" s="24">
        <f>IF($A296="","",IFERROR(INDEX('ORDENES'!$D$4:$D$1203,MATCH($A296,'ORDENES'!$AU$4:$AU$1203,0)),"(no encontrada)"))</f>
        <v/>
      </c>
      <c r="F296" s="24">
        <f>IF($A296="","",IF(ISNA(MATCH($A296,'ORDENES'!$AU$4:$AU$1203,0)),"huérfano",IF(COUNTIF($A$4:$A296,$A296)&gt;1,"duplicado (se ignora)","aplicado")))</f>
        <v/>
      </c>
      <c r="G296" s="45">
        <f>IF($F296&lt;&gt;"aplicado","",IF(IFERROR(INDEX('ORDENES'!$K$4:$K$1203,MATCH($A296,'ORDENES'!$AU$4:$AU$1203,0)),"")="","",$B296-IFERROR(INDEX('ORDENES'!$K$4:$K$1203,MATCH($A296,'ORDENES'!$AU$4:$AU$1203,0)),"")))</f>
        <v/>
      </c>
    </row>
    <row r="297">
      <c r="A297" s="4" t="n"/>
      <c r="B297" s="43" t="n"/>
      <c r="C297" s="4" t="n"/>
      <c r="D297" s="44" t="n"/>
      <c r="E297" s="24">
        <f>IF($A297="","",IFERROR(INDEX('ORDENES'!$D$4:$D$1203,MATCH($A297,'ORDENES'!$AU$4:$AU$1203,0)),"(no encontrada)"))</f>
        <v/>
      </c>
      <c r="F297" s="24">
        <f>IF($A297="","",IF(ISNA(MATCH($A297,'ORDENES'!$AU$4:$AU$1203,0)),"huérfano",IF(COUNTIF($A$4:$A297,$A297)&gt;1,"duplicado (se ignora)","aplicado")))</f>
        <v/>
      </c>
      <c r="G297" s="45">
        <f>IF($F297&lt;&gt;"aplicado","",IF(IFERROR(INDEX('ORDENES'!$K$4:$K$1203,MATCH($A297,'ORDENES'!$AU$4:$AU$1203,0)),"")="","",$B297-IFERROR(INDEX('ORDENES'!$K$4:$K$1203,MATCH($A297,'ORDENES'!$AU$4:$AU$1203,0)),"")))</f>
        <v/>
      </c>
    </row>
    <row r="298">
      <c r="A298" s="4" t="n"/>
      <c r="B298" s="43" t="n"/>
      <c r="C298" s="4" t="n"/>
      <c r="D298" s="44" t="n"/>
      <c r="E298" s="24">
        <f>IF($A298="","",IFERROR(INDEX('ORDENES'!$D$4:$D$1203,MATCH($A298,'ORDENES'!$AU$4:$AU$1203,0)),"(no encontrada)"))</f>
        <v/>
      </c>
      <c r="F298" s="24">
        <f>IF($A298="","",IF(ISNA(MATCH($A298,'ORDENES'!$AU$4:$AU$1203,0)),"huérfano",IF(COUNTIF($A$4:$A298,$A298)&gt;1,"duplicado (se ignora)","aplicado")))</f>
        <v/>
      </c>
      <c r="G298" s="45">
        <f>IF($F298&lt;&gt;"aplicado","",IF(IFERROR(INDEX('ORDENES'!$K$4:$K$1203,MATCH($A298,'ORDENES'!$AU$4:$AU$1203,0)),"")="","",$B298-IFERROR(INDEX('ORDENES'!$K$4:$K$1203,MATCH($A298,'ORDENES'!$AU$4:$AU$1203,0)),"")))</f>
        <v/>
      </c>
    </row>
    <row r="299">
      <c r="A299" s="4" t="n"/>
      <c r="B299" s="43" t="n"/>
      <c r="C299" s="4" t="n"/>
      <c r="D299" s="44" t="n"/>
      <c r="E299" s="24">
        <f>IF($A299="","",IFERROR(INDEX('ORDENES'!$D$4:$D$1203,MATCH($A299,'ORDENES'!$AU$4:$AU$1203,0)),"(no encontrada)"))</f>
        <v/>
      </c>
      <c r="F299" s="24">
        <f>IF($A299="","",IF(ISNA(MATCH($A299,'ORDENES'!$AU$4:$AU$1203,0)),"huérfano",IF(COUNTIF($A$4:$A299,$A299)&gt;1,"duplicado (se ignora)","aplicado")))</f>
        <v/>
      </c>
      <c r="G299" s="45">
        <f>IF($F299&lt;&gt;"aplicado","",IF(IFERROR(INDEX('ORDENES'!$K$4:$K$1203,MATCH($A299,'ORDENES'!$AU$4:$AU$1203,0)),"")="","",$B299-IFERROR(INDEX('ORDENES'!$K$4:$K$1203,MATCH($A299,'ORDENES'!$AU$4:$AU$1203,0)),"")))</f>
        <v/>
      </c>
    </row>
    <row r="300">
      <c r="A300" s="4" t="n"/>
      <c r="B300" s="43" t="n"/>
      <c r="C300" s="4" t="n"/>
      <c r="D300" s="44" t="n"/>
      <c r="E300" s="24">
        <f>IF($A300="","",IFERROR(INDEX('ORDENES'!$D$4:$D$1203,MATCH($A300,'ORDENES'!$AU$4:$AU$1203,0)),"(no encontrada)"))</f>
        <v/>
      </c>
      <c r="F300" s="24">
        <f>IF($A300="","",IF(ISNA(MATCH($A300,'ORDENES'!$AU$4:$AU$1203,0)),"huérfano",IF(COUNTIF($A$4:$A300,$A300)&gt;1,"duplicado (se ignora)","aplicado")))</f>
        <v/>
      </c>
      <c r="G300" s="45">
        <f>IF($F300&lt;&gt;"aplicado","",IF(IFERROR(INDEX('ORDENES'!$K$4:$K$1203,MATCH($A300,'ORDENES'!$AU$4:$AU$1203,0)),"")="","",$B300-IFERROR(INDEX('ORDENES'!$K$4:$K$1203,MATCH($A300,'ORDENES'!$AU$4:$AU$1203,0)),"")))</f>
        <v/>
      </c>
    </row>
    <row r="301">
      <c r="A301" s="4" t="n"/>
      <c r="B301" s="43" t="n"/>
      <c r="C301" s="4" t="n"/>
      <c r="D301" s="44" t="n"/>
      <c r="E301" s="24">
        <f>IF($A301="","",IFERROR(INDEX('ORDENES'!$D$4:$D$1203,MATCH($A301,'ORDENES'!$AU$4:$AU$1203,0)),"(no encontrada)"))</f>
        <v/>
      </c>
      <c r="F301" s="24">
        <f>IF($A301="","",IF(ISNA(MATCH($A301,'ORDENES'!$AU$4:$AU$1203,0)),"huérfano",IF(COUNTIF($A$4:$A301,$A301)&gt;1,"duplicado (se ignora)","aplicado")))</f>
        <v/>
      </c>
      <c r="G301" s="45">
        <f>IF($F301&lt;&gt;"aplicado","",IF(IFERROR(INDEX('ORDENES'!$K$4:$K$1203,MATCH($A301,'ORDENES'!$AU$4:$AU$1203,0)),"")="","",$B301-IFERROR(INDEX('ORDENES'!$K$4:$K$1203,MATCH($A301,'ORDENES'!$AU$4:$AU$1203,0)),"")))</f>
        <v/>
      </c>
    </row>
    <row r="302">
      <c r="A302" s="4" t="n"/>
      <c r="B302" s="43" t="n"/>
      <c r="C302" s="4" t="n"/>
      <c r="D302" s="44" t="n"/>
      <c r="E302" s="24">
        <f>IF($A302="","",IFERROR(INDEX('ORDENES'!$D$4:$D$1203,MATCH($A302,'ORDENES'!$AU$4:$AU$1203,0)),"(no encontrada)"))</f>
        <v/>
      </c>
      <c r="F302" s="24">
        <f>IF($A302="","",IF(ISNA(MATCH($A302,'ORDENES'!$AU$4:$AU$1203,0)),"huérfano",IF(COUNTIF($A$4:$A302,$A302)&gt;1,"duplicado (se ignora)","aplicado")))</f>
        <v/>
      </c>
      <c r="G302" s="45">
        <f>IF($F302&lt;&gt;"aplicado","",IF(IFERROR(INDEX('ORDENES'!$K$4:$K$1203,MATCH($A302,'ORDENES'!$AU$4:$AU$1203,0)),"")="","",$B302-IFERROR(INDEX('ORDENES'!$K$4:$K$1203,MATCH($A302,'ORDENES'!$AU$4:$AU$1203,0)),"")))</f>
        <v/>
      </c>
    </row>
    <row r="303">
      <c r="A303" s="4" t="n"/>
      <c r="B303" s="43" t="n"/>
      <c r="C303" s="4" t="n"/>
      <c r="D303" s="44" t="n"/>
      <c r="E303" s="24">
        <f>IF($A303="","",IFERROR(INDEX('ORDENES'!$D$4:$D$1203,MATCH($A303,'ORDENES'!$AU$4:$AU$1203,0)),"(no encontrada)"))</f>
        <v/>
      </c>
      <c r="F303" s="24">
        <f>IF($A303="","",IF(ISNA(MATCH($A303,'ORDENES'!$AU$4:$AU$1203,0)),"huérfano",IF(COUNTIF($A$4:$A303,$A303)&gt;1,"duplicado (se ignora)","aplicado")))</f>
        <v/>
      </c>
      <c r="G303" s="45">
        <f>IF($F303&lt;&gt;"aplicado","",IF(IFERROR(INDEX('ORDENES'!$K$4:$K$1203,MATCH($A303,'ORDENES'!$AU$4:$AU$1203,0)),"")="","",$B303-IFERROR(INDEX('ORDENES'!$K$4:$K$1203,MATCH($A303,'ORDENES'!$AU$4:$AU$1203,0)),"")))</f>
        <v/>
      </c>
    </row>
  </sheetData>
  <conditionalFormatting sqref="F4:F303">
    <cfRule type="cellIs" priority="1" operator="equal" dxfId="1">
      <formula>"huérfano"</formula>
    </cfRule>
    <cfRule type="cellIs" priority="2" operator="equal" dxfId="0">
      <formula>"duplicado (se ignora)"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6" customWidth="1" min="4" max="4"/>
  </cols>
  <sheetData>
    <row r="1">
      <c r="A1" s="3" t="inlineStr">
        <is>
          <t>PLAN_VACACIONES (tblVacaciones) — periodos de vacaciones/permiso. Azul = editable. El técnico de VAC sale de la rotación esas semanas (turno "VAC", 0 h) dejando su posición VACÍA; cubrir el hueco es acción manual (turno_manual).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fecha_inicio</t>
        </is>
      </c>
      <c r="C3" s="14" t="inlineStr">
        <is>
          <t>fecha_fin</t>
        </is>
      </c>
      <c r="D3" s="14" t="inlineStr">
        <is>
          <t>motivo</t>
        </is>
      </c>
    </row>
    <row r="4">
      <c r="A4" s="39" t="inlineStr">
        <is>
          <t>Ana Sánchez</t>
        </is>
      </c>
      <c r="B4" s="46" t="n">
        <v>46251</v>
      </c>
      <c r="C4" s="46" t="n">
        <v>46257</v>
      </c>
      <c r="D4" s="39" t="inlineStr">
        <is>
          <t>Vacaciones anuales</t>
        </is>
      </c>
    </row>
    <row r="5">
      <c r="A5" s="4" t="n"/>
      <c r="B5" s="44" t="n"/>
      <c r="C5" s="44" t="n"/>
      <c r="D5" s="4" t="n"/>
    </row>
    <row r="6">
      <c r="A6" s="4" t="n"/>
      <c r="B6" s="44" t="n"/>
      <c r="C6" s="44" t="n"/>
      <c r="D6" s="4" t="n"/>
    </row>
    <row r="7">
      <c r="A7" s="4" t="n"/>
      <c r="B7" s="44" t="n"/>
      <c r="C7" s="44" t="n"/>
      <c r="D7" s="4" t="n"/>
    </row>
    <row r="8">
      <c r="A8" s="4" t="n"/>
      <c r="B8" s="44" t="n"/>
      <c r="C8" s="44" t="n"/>
      <c r="D8" s="4" t="n"/>
    </row>
    <row r="9">
      <c r="A9" s="4" t="n"/>
      <c r="B9" s="44" t="n"/>
      <c r="C9" s="44" t="n"/>
      <c r="D9" s="4" t="n"/>
    </row>
    <row r="10">
      <c r="A10" s="4" t="n"/>
      <c r="B10" s="44" t="n"/>
      <c r="C10" s="44" t="n"/>
      <c r="D10" s="4" t="n"/>
    </row>
    <row r="11">
      <c r="A11" s="4" t="n"/>
      <c r="B11" s="44" t="n"/>
      <c r="C11" s="44" t="n"/>
      <c r="D11" s="4" t="n"/>
    </row>
    <row r="12">
      <c r="A12" s="4" t="n"/>
      <c r="B12" s="44" t="n"/>
      <c r="C12" s="44" t="n"/>
      <c r="D12" s="4" t="n"/>
    </row>
    <row r="13">
      <c r="A13" s="4" t="n"/>
      <c r="B13" s="44" t="n"/>
      <c r="C13" s="44" t="n"/>
      <c r="D13" s="4" t="n"/>
    </row>
    <row r="14">
      <c r="A14" s="4" t="n"/>
      <c r="B14" s="44" t="n"/>
      <c r="C14" s="44" t="n"/>
      <c r="D14" s="4" t="n"/>
    </row>
    <row r="15">
      <c r="A15" s="4" t="n"/>
      <c r="B15" s="44" t="n"/>
      <c r="C15" s="44" t="n"/>
      <c r="D15" s="4" t="n"/>
    </row>
    <row r="16">
      <c r="A16" s="4" t="n"/>
      <c r="B16" s="44" t="n"/>
      <c r="C16" s="44" t="n"/>
      <c r="D16" s="4" t="n"/>
    </row>
    <row r="17">
      <c r="A17" s="4" t="n"/>
      <c r="B17" s="44" t="n"/>
      <c r="C17" s="44" t="n"/>
      <c r="D17" s="4" t="n"/>
    </row>
    <row r="18">
      <c r="A18" s="4" t="n"/>
      <c r="B18" s="44" t="n"/>
      <c r="C18" s="44" t="n"/>
      <c r="D18" s="4" t="n"/>
    </row>
    <row r="19">
      <c r="A19" s="4" t="n"/>
      <c r="B19" s="44" t="n"/>
      <c r="C19" s="44" t="n"/>
      <c r="D19" s="4" t="n"/>
    </row>
    <row r="20">
      <c r="A20" s="4" t="n"/>
      <c r="B20" s="44" t="n"/>
      <c r="C20" s="44" t="n"/>
      <c r="D20" s="4" t="n"/>
    </row>
    <row r="21">
      <c r="A21" s="4" t="n"/>
      <c r="B21" s="44" t="n"/>
      <c r="C21" s="44" t="n"/>
      <c r="D21" s="4" t="n"/>
    </row>
    <row r="22">
      <c r="A22" s="4" t="n"/>
      <c r="B22" s="44" t="n"/>
      <c r="C22" s="44" t="n"/>
      <c r="D22" s="4" t="n"/>
    </row>
    <row r="23">
      <c r="A23" s="4" t="n"/>
      <c r="B23" s="44" t="n"/>
      <c r="C23" s="44" t="n"/>
      <c r="D23" s="4" t="n"/>
    </row>
    <row r="24">
      <c r="A24" s="4" t="n"/>
      <c r="B24" s="44" t="n"/>
      <c r="C24" s="44" t="n"/>
      <c r="D24" s="4" t="n"/>
    </row>
    <row r="25">
      <c r="A25" s="4" t="n"/>
      <c r="B25" s="44" t="n"/>
      <c r="C25" s="44" t="n"/>
      <c r="D25" s="4" t="n"/>
    </row>
    <row r="26">
      <c r="A26" s="4" t="n"/>
      <c r="B26" s="44" t="n"/>
      <c r="C26" s="44" t="n"/>
      <c r="D26" s="4" t="n"/>
    </row>
    <row r="27">
      <c r="A27" s="4" t="n"/>
      <c r="B27" s="44" t="n"/>
      <c r="C27" s="44" t="n"/>
      <c r="D27" s="4" t="n"/>
    </row>
    <row r="28">
      <c r="A28" s="4" t="n"/>
      <c r="B28" s="44" t="n"/>
      <c r="C28" s="44" t="n"/>
      <c r="D28" s="4" t="n"/>
    </row>
    <row r="29">
      <c r="A29" s="4" t="n"/>
      <c r="B29" s="44" t="n"/>
      <c r="C29" s="44" t="n"/>
      <c r="D29" s="4" t="n"/>
    </row>
    <row r="30">
      <c r="A30" s="4" t="n"/>
      <c r="B30" s="44" t="n"/>
      <c r="C30" s="44" t="n"/>
      <c r="D30" s="4" t="n"/>
    </row>
    <row r="31">
      <c r="A31" s="4" t="n"/>
      <c r="B31" s="44" t="n"/>
      <c r="C31" s="44" t="n"/>
      <c r="D31" s="4" t="n"/>
    </row>
    <row r="32">
      <c r="A32" s="4" t="n"/>
      <c r="B32" s="44" t="n"/>
      <c r="C32" s="44" t="n"/>
      <c r="D32" s="4" t="n"/>
    </row>
    <row r="33">
      <c r="A33" s="4" t="n"/>
      <c r="B33" s="44" t="n"/>
      <c r="C33" s="44" t="n"/>
      <c r="D33" s="4" t="n"/>
    </row>
    <row r="34">
      <c r="A34" s="4" t="n"/>
      <c r="B34" s="44" t="n"/>
      <c r="C34" s="44" t="n"/>
      <c r="D34" s="4" t="n"/>
    </row>
    <row r="35">
      <c r="A35" s="4" t="n"/>
      <c r="B35" s="44" t="n"/>
      <c r="C35" s="44" t="n"/>
      <c r="D35" s="4" t="n"/>
    </row>
    <row r="36">
      <c r="A36" s="4" t="n"/>
      <c r="B36" s="44" t="n"/>
      <c r="C36" s="44" t="n"/>
      <c r="D36" s="4" t="n"/>
    </row>
    <row r="37">
      <c r="A37" s="4" t="n"/>
      <c r="B37" s="44" t="n"/>
      <c r="C37" s="44" t="n"/>
      <c r="D37" s="4" t="n"/>
    </row>
    <row r="38">
      <c r="A38" s="4" t="n"/>
      <c r="B38" s="44" t="n"/>
      <c r="C38" s="44" t="n"/>
      <c r="D38" s="4" t="n"/>
    </row>
    <row r="39">
      <c r="A39" s="4" t="n"/>
      <c r="B39" s="44" t="n"/>
      <c r="C39" s="44" t="n"/>
      <c r="D39" s="4" t="n"/>
    </row>
    <row r="40">
      <c r="A40" s="4" t="n"/>
      <c r="B40" s="44" t="n"/>
      <c r="C40" s="44" t="n"/>
      <c r="D40" s="4" t="n"/>
    </row>
    <row r="41">
      <c r="A41" s="4" t="n"/>
      <c r="B41" s="44" t="n"/>
      <c r="C41" s="44" t="n"/>
      <c r="D41" s="4" t="n"/>
    </row>
    <row r="42">
      <c r="A42" s="4" t="n"/>
      <c r="B42" s="44" t="n"/>
      <c r="C42" s="44" t="n"/>
      <c r="D42" s="4" t="n"/>
    </row>
    <row r="43">
      <c r="A43" s="4" t="n"/>
      <c r="B43" s="44" t="n"/>
      <c r="C43" s="44" t="n"/>
      <c r="D43" s="4" t="n"/>
    </row>
    <row r="44">
      <c r="A44" s="4" t="n"/>
      <c r="B44" s="44" t="n"/>
      <c r="C44" s="44" t="n"/>
      <c r="D44" s="4" t="n"/>
    </row>
    <row r="45">
      <c r="A45" s="4" t="n"/>
      <c r="B45" s="44" t="n"/>
      <c r="C45" s="44" t="n"/>
      <c r="D45" s="4" t="n"/>
    </row>
    <row r="46">
      <c r="A46" s="4" t="n"/>
      <c r="B46" s="44" t="n"/>
      <c r="C46" s="44" t="n"/>
      <c r="D46" s="4" t="n"/>
    </row>
    <row r="47">
      <c r="A47" s="4" t="n"/>
      <c r="B47" s="44" t="n"/>
      <c r="C47" s="44" t="n"/>
      <c r="D47" s="4" t="n"/>
    </row>
    <row r="48">
      <c r="A48" s="4" t="n"/>
      <c r="B48" s="44" t="n"/>
      <c r="C48" s="44" t="n"/>
      <c r="D48" s="4" t="n"/>
    </row>
    <row r="49">
      <c r="A49" s="4" t="n"/>
      <c r="B49" s="44" t="n"/>
      <c r="C49" s="44" t="n"/>
      <c r="D49" s="4" t="n"/>
    </row>
    <row r="50">
      <c r="A50" s="4" t="n"/>
      <c r="B50" s="44" t="n"/>
      <c r="C50" s="44" t="n"/>
      <c r="D50" s="4" t="n"/>
    </row>
    <row r="51">
      <c r="A51" s="4" t="n"/>
      <c r="B51" s="44" t="n"/>
      <c r="C51" s="44" t="n"/>
      <c r="D51" s="4" t="n"/>
    </row>
    <row r="52">
      <c r="A52" s="4" t="n"/>
      <c r="B52" s="44" t="n"/>
      <c r="C52" s="44" t="n"/>
      <c r="D52" s="4" t="n"/>
    </row>
    <row r="53">
      <c r="A53" s="4" t="n"/>
      <c r="B53" s="44" t="n"/>
      <c r="C53" s="44" t="n"/>
      <c r="D53" s="4" t="n"/>
    </row>
    <row r="54">
      <c r="A54" s="4" t="n"/>
      <c r="B54" s="44" t="n"/>
      <c r="C54" s="44" t="n"/>
      <c r="D54" s="4" t="n"/>
    </row>
    <row r="55">
      <c r="A55" s="4" t="n"/>
      <c r="B55" s="44" t="n"/>
      <c r="C55" s="44" t="n"/>
      <c r="D55" s="4" t="n"/>
    </row>
    <row r="56">
      <c r="A56" s="4" t="n"/>
      <c r="B56" s="44" t="n"/>
      <c r="C56" s="44" t="n"/>
      <c r="D56" s="4" t="n"/>
    </row>
    <row r="57">
      <c r="A57" s="4" t="n"/>
      <c r="B57" s="44" t="n"/>
      <c r="C57" s="44" t="n"/>
      <c r="D57" s="4" t="n"/>
    </row>
    <row r="58">
      <c r="A58" s="4" t="n"/>
      <c r="B58" s="44" t="n"/>
      <c r="C58" s="44" t="n"/>
      <c r="D58" s="4" t="n"/>
    </row>
    <row r="59">
      <c r="A59" s="4" t="n"/>
      <c r="B59" s="44" t="n"/>
      <c r="C59" s="44" t="n"/>
      <c r="D59" s="4" t="n"/>
    </row>
    <row r="60">
      <c r="A60" s="4" t="n"/>
      <c r="B60" s="44" t="n"/>
      <c r="C60" s="44" t="n"/>
      <c r="D60" s="4" t="n"/>
    </row>
    <row r="61">
      <c r="A61" s="4" t="n"/>
      <c r="B61" s="44" t="n"/>
      <c r="C61" s="44" t="n"/>
      <c r="D61" s="4" t="n"/>
    </row>
    <row r="62">
      <c r="A62" s="4" t="n"/>
      <c r="B62" s="44" t="n"/>
      <c r="C62" s="44" t="n"/>
      <c r="D62" s="4" t="n"/>
    </row>
    <row r="63">
      <c r="A63" s="4" t="n"/>
      <c r="B63" s="44" t="n"/>
      <c r="C63" s="44" t="n"/>
      <c r="D63" s="4" t="n"/>
    </row>
    <row r="64">
      <c r="A64" s="4" t="n"/>
      <c r="B64" s="44" t="n"/>
      <c r="C64" s="44" t="n"/>
      <c r="D64" s="4" t="n"/>
    </row>
    <row r="65">
      <c r="A65" s="4" t="n"/>
      <c r="B65" s="44" t="n"/>
      <c r="C65" s="44" t="n"/>
      <c r="D65" s="4" t="n"/>
    </row>
    <row r="66">
      <c r="A66" s="4" t="n"/>
      <c r="B66" s="44" t="n"/>
      <c r="C66" s="44" t="n"/>
      <c r="D66" s="4" t="n"/>
    </row>
    <row r="67">
      <c r="A67" s="4" t="n"/>
      <c r="B67" s="44" t="n"/>
      <c r="C67" s="44" t="n"/>
      <c r="D67" s="4" t="n"/>
    </row>
    <row r="68">
      <c r="A68" s="4" t="n"/>
      <c r="B68" s="44" t="n"/>
      <c r="C68" s="44" t="n"/>
      <c r="D68" s="4" t="n"/>
    </row>
    <row r="69">
      <c r="A69" s="4" t="n"/>
      <c r="B69" s="44" t="n"/>
      <c r="C69" s="44" t="n"/>
      <c r="D69" s="4" t="n"/>
    </row>
    <row r="70">
      <c r="A70" s="4" t="n"/>
      <c r="B70" s="44" t="n"/>
      <c r="C70" s="44" t="n"/>
      <c r="D70" s="4" t="n"/>
    </row>
    <row r="71">
      <c r="A71" s="4" t="n"/>
      <c r="B71" s="44" t="n"/>
      <c r="C71" s="44" t="n"/>
      <c r="D71" s="4" t="n"/>
    </row>
    <row r="72">
      <c r="A72" s="4" t="n"/>
      <c r="B72" s="44" t="n"/>
      <c r="C72" s="44" t="n"/>
      <c r="D72" s="4" t="n"/>
    </row>
    <row r="73">
      <c r="A73" s="4" t="n"/>
      <c r="B73" s="44" t="n"/>
      <c r="C73" s="44" t="n"/>
      <c r="D73" s="4" t="n"/>
    </row>
    <row r="74">
      <c r="A74" s="4" t="n"/>
      <c r="B74" s="44" t="n"/>
      <c r="C74" s="44" t="n"/>
      <c r="D74" s="4" t="n"/>
    </row>
    <row r="75">
      <c r="A75" s="4" t="n"/>
      <c r="B75" s="44" t="n"/>
      <c r="C75" s="44" t="n"/>
      <c r="D75" s="4" t="n"/>
    </row>
    <row r="76">
      <c r="A76" s="4" t="n"/>
      <c r="B76" s="44" t="n"/>
      <c r="C76" s="44" t="n"/>
      <c r="D76" s="4" t="n"/>
    </row>
    <row r="77">
      <c r="A77" s="4" t="n"/>
      <c r="B77" s="44" t="n"/>
      <c r="C77" s="44" t="n"/>
      <c r="D77" s="4" t="n"/>
    </row>
    <row r="78">
      <c r="A78" s="4" t="n"/>
      <c r="B78" s="44" t="n"/>
      <c r="C78" s="44" t="n"/>
      <c r="D78" s="4" t="n"/>
    </row>
    <row r="79">
      <c r="A79" s="4" t="n"/>
      <c r="B79" s="44" t="n"/>
      <c r="C79" s="44" t="n"/>
      <c r="D79" s="4" t="n"/>
    </row>
    <row r="80">
      <c r="A80" s="4" t="n"/>
      <c r="B80" s="44" t="n"/>
      <c r="C80" s="44" t="n"/>
      <c r="D80" s="4" t="n"/>
    </row>
    <row r="81">
      <c r="A81" s="4" t="n"/>
      <c r="B81" s="44" t="n"/>
      <c r="C81" s="44" t="n"/>
      <c r="D81" s="4" t="n"/>
    </row>
    <row r="82">
      <c r="A82" s="4" t="n"/>
      <c r="B82" s="44" t="n"/>
      <c r="C82" s="44" t="n"/>
      <c r="D82" s="4" t="n"/>
    </row>
    <row r="83">
      <c r="A83" s="4" t="n"/>
      <c r="B83" s="44" t="n"/>
      <c r="C83" s="44" t="n"/>
      <c r="D83" s="4" t="n"/>
    </row>
    <row r="84">
      <c r="A84" s="4" t="n"/>
      <c r="B84" s="44" t="n"/>
      <c r="C84" s="44" t="n"/>
      <c r="D84" s="4" t="n"/>
    </row>
    <row r="85">
      <c r="A85" s="4" t="n"/>
      <c r="B85" s="44" t="n"/>
      <c r="C85" s="44" t="n"/>
      <c r="D85" s="4" t="n"/>
    </row>
    <row r="86">
      <c r="A86" s="4" t="n"/>
      <c r="B86" s="44" t="n"/>
      <c r="C86" s="44" t="n"/>
      <c r="D86" s="4" t="n"/>
    </row>
    <row r="87">
      <c r="A87" s="4" t="n"/>
      <c r="B87" s="44" t="n"/>
      <c r="C87" s="44" t="n"/>
      <c r="D87" s="4" t="n"/>
    </row>
    <row r="88">
      <c r="A88" s="4" t="n"/>
      <c r="B88" s="44" t="n"/>
      <c r="C88" s="44" t="n"/>
      <c r="D88" s="4" t="n"/>
    </row>
    <row r="89">
      <c r="A89" s="4" t="n"/>
      <c r="B89" s="44" t="n"/>
      <c r="C89" s="44" t="n"/>
      <c r="D89" s="4" t="n"/>
    </row>
    <row r="90">
      <c r="A90" s="4" t="n"/>
      <c r="B90" s="44" t="n"/>
      <c r="C90" s="44" t="n"/>
      <c r="D90" s="4" t="n"/>
    </row>
    <row r="91">
      <c r="A91" s="4" t="n"/>
      <c r="B91" s="44" t="n"/>
      <c r="C91" s="44" t="n"/>
      <c r="D91" s="4" t="n"/>
    </row>
    <row r="92">
      <c r="A92" s="4" t="n"/>
      <c r="B92" s="44" t="n"/>
      <c r="C92" s="44" t="n"/>
      <c r="D92" s="4" t="n"/>
    </row>
    <row r="93">
      <c r="A93" s="4" t="n"/>
      <c r="B93" s="44" t="n"/>
      <c r="C93" s="44" t="n"/>
      <c r="D93" s="4" t="n"/>
    </row>
    <row r="94">
      <c r="A94" s="4" t="n"/>
      <c r="B94" s="44" t="n"/>
      <c r="C94" s="44" t="n"/>
      <c r="D94" s="4" t="n"/>
    </row>
    <row r="95">
      <c r="A95" s="4" t="n"/>
      <c r="B95" s="44" t="n"/>
      <c r="C95" s="44" t="n"/>
      <c r="D95" s="4" t="n"/>
    </row>
    <row r="96">
      <c r="A96" s="4" t="n"/>
      <c r="B96" s="44" t="n"/>
      <c r="C96" s="44" t="n"/>
      <c r="D96" s="4" t="n"/>
    </row>
    <row r="97">
      <c r="A97" s="4" t="n"/>
      <c r="B97" s="44" t="n"/>
      <c r="C97" s="44" t="n"/>
      <c r="D97" s="4" t="n"/>
    </row>
    <row r="98">
      <c r="A98" s="4" t="n"/>
      <c r="B98" s="44" t="n"/>
      <c r="C98" s="44" t="n"/>
      <c r="D98" s="4" t="n"/>
    </row>
    <row r="99">
      <c r="A99" s="4" t="n"/>
      <c r="B99" s="44" t="n"/>
      <c r="C99" s="44" t="n"/>
      <c r="D99" s="4" t="n"/>
    </row>
    <row r="100">
      <c r="A100" s="4" t="n"/>
      <c r="B100" s="44" t="n"/>
      <c r="C100" s="44" t="n"/>
      <c r="D100" s="4" t="n"/>
    </row>
    <row r="101">
      <c r="A101" s="4" t="n"/>
      <c r="B101" s="44" t="n"/>
      <c r="C101" s="44" t="n"/>
      <c r="D101" s="4" t="n"/>
    </row>
    <row r="102">
      <c r="A102" s="4" t="n"/>
      <c r="B102" s="44" t="n"/>
      <c r="C102" s="44" t="n"/>
      <c r="D102" s="4" t="n"/>
    </row>
    <row r="103">
      <c r="A103" s="4" t="n"/>
      <c r="B103" s="44" t="n"/>
      <c r="C103" s="44" t="n"/>
      <c r="D103" s="4" t="n"/>
    </row>
  </sheetData>
  <dataValidations count="2">
    <dataValidation sqref="A4:A103" showDropDown="0" showInputMessage="0" showErrorMessage="0" allowBlank="1" type="list">
      <formula1>lista_tecnicos</formula1>
    </dataValidation>
    <dataValidation sqref="D4:D103" showDropDown="0" showInputMessage="0" showErrorMessage="0" allowBlank="1" type="list">
      <formula1>lista_motivos_ausencia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0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✔ ZONA DE PEGADO REAL — aquí SÍ se pegan datos: estados y costos (tblEjecucion)</t>
        </is>
      </c>
    </row>
    <row r="2">
      <c r="A2" s="19">
        <f>HYPERLINK("#DASHBOARD!A1","◂ VOLVER AL TABLERO")</f>
        <v/>
      </c>
    </row>
    <row r="3">
      <c r="A3" s="2" t="inlineStr">
        <is>
          <t>Pegue aquí los estados y costos reales del ERP, con estas cabeceras exactas, desde la primera fila vacía.</t>
        </is>
      </c>
    </row>
    <row r="4">
      <c r="A4" s="2" t="inlineStr">
        <is>
          <t>(Las ÓRDENES no se pegan aquí ni en la hoja de guía: van en ORDENES!A4.)</t>
        </is>
      </c>
    </row>
    <row r="5">
      <c r="A5" s="2" t="inlineStr">
        <is>
          <t>id_operacion se calcula solo. El catálogo CAT_ESTADOS_ERP traduce estado_sistema a Cerrada/Pendiente.</t>
        </is>
      </c>
    </row>
    <row r="6">
      <c r="A6" s="2" t="inlineStr">
        <is>
          <t>Las órdenes sin par en esta tabla quedan como "Pendiente" (REGLA-10).</t>
        </is>
      </c>
    </row>
    <row r="7"/>
    <row r="8">
      <c r="A8" s="14" t="inlineStr">
        <is>
          <t>orden</t>
        </is>
      </c>
      <c r="B8" s="14" t="inlineStr">
        <is>
          <t>operacion</t>
        </is>
      </c>
      <c r="C8" s="14" t="inlineStr">
        <is>
          <t>estado_sistema</t>
        </is>
      </c>
      <c r="D8" s="14" t="inlineStr">
        <is>
          <t>prioridad</t>
        </is>
      </c>
      <c r="E8" s="14" t="inlineStr">
        <is>
          <t>estado_instalacion</t>
        </is>
      </c>
      <c r="F8" s="14" t="inlineStr">
        <is>
          <t>precio</t>
        </is>
      </c>
      <c r="G8" s="14" t="inlineStr">
        <is>
          <t>costo_real</t>
        </is>
      </c>
      <c r="H8" s="14" t="inlineStr">
        <is>
          <t>costo_plan_total</t>
        </is>
      </c>
      <c r="I8" s="14" t="inlineStr">
        <is>
          <t>estado_usuario</t>
        </is>
      </c>
      <c r="J8" s="23" t="inlineStr">
        <is>
          <t>id_operacion</t>
        </is>
      </c>
    </row>
    <row r="9">
      <c r="A9" s="35" t="inlineStr">
        <is>
          <t>OT-EJEMPLO-001</t>
        </is>
      </c>
      <c r="B9" s="35" t="inlineStr">
        <is>
          <t>0010</t>
        </is>
      </c>
      <c r="C9" s="35" t="inlineStr">
        <is>
          <t>CERR</t>
        </is>
      </c>
      <c r="D9" s="35" t="inlineStr">
        <is>
          <t>2-MEDIA</t>
        </is>
      </c>
      <c r="E9" s="35" t="inlineStr"/>
      <c r="F9" s="37" t="n">
        <v>60</v>
      </c>
      <c r="G9" s="37" t="n">
        <v>150</v>
      </c>
      <c r="H9" s="37" t="n">
        <v>150</v>
      </c>
      <c r="I9" s="35" t="inlineStr"/>
      <c r="J9" s="24">
        <f>IF($A9="","",$A9&amp;IF($B9="","0010",$B9))</f>
        <v/>
      </c>
    </row>
    <row r="10">
      <c r="A10" s="35" t="inlineStr">
        <is>
          <t>OT-EJEMPLO-002</t>
        </is>
      </c>
      <c r="B10" s="35" t="inlineStr">
        <is>
          <t>0010</t>
        </is>
      </c>
      <c r="C10" s="35" t="inlineStr">
        <is>
          <t>CERR</t>
        </is>
      </c>
      <c r="D10" s="35" t="inlineStr">
        <is>
          <t>2-MEDIA</t>
        </is>
      </c>
      <c r="E10" s="35" t="inlineStr"/>
      <c r="F10" s="37" t="n">
        <v>40</v>
      </c>
      <c r="G10" s="37" t="n">
        <v>100</v>
      </c>
      <c r="H10" s="37" t="n">
        <v>100</v>
      </c>
      <c r="I10" s="35" t="inlineStr"/>
      <c r="J10" s="24">
        <f>IF($A10="","",$A10&amp;IF($B10="","0010",$B10))</f>
        <v/>
      </c>
    </row>
    <row r="11">
      <c r="A11" s="35" t="inlineStr">
        <is>
          <t>OT-EJEMPLO-003</t>
        </is>
      </c>
      <c r="B11" s="35" t="inlineStr">
        <is>
          <t>0010</t>
        </is>
      </c>
      <c r="C11" s="35" t="inlineStr">
        <is>
          <t>CERR</t>
        </is>
      </c>
      <c r="D11" s="35" t="inlineStr">
        <is>
          <t>2-MEDIA</t>
        </is>
      </c>
      <c r="E11" s="35" t="inlineStr"/>
      <c r="F11" s="37" t="n">
        <v>80</v>
      </c>
      <c r="G11" s="37" t="n">
        <v>200</v>
      </c>
      <c r="H11" s="37" t="n">
        <v>200</v>
      </c>
      <c r="I11" s="35" t="inlineStr"/>
      <c r="J11" s="24">
        <f>IF($A11="","",$A11&amp;IF($B11="","0010",$B11))</f>
        <v/>
      </c>
    </row>
    <row r="12">
      <c r="A12" s="35" t="inlineStr">
        <is>
          <t>OT-EJEMPLO-004</t>
        </is>
      </c>
      <c r="B12" s="35" t="inlineStr">
        <is>
          <t>0010</t>
        </is>
      </c>
      <c r="C12" s="35" t="inlineStr">
        <is>
          <t>CERR</t>
        </is>
      </c>
      <c r="D12" s="35" t="inlineStr">
        <is>
          <t>2-MEDIA</t>
        </is>
      </c>
      <c r="E12" s="35" t="inlineStr"/>
      <c r="F12" s="37" t="n">
        <v>80</v>
      </c>
      <c r="G12" s="37" t="n">
        <v>200</v>
      </c>
      <c r="H12" s="37" t="n">
        <v>200</v>
      </c>
      <c r="I12" s="35" t="inlineStr"/>
      <c r="J12" s="24">
        <f>IF($A12="","",$A12&amp;IF($B12="","0010",$B12))</f>
        <v/>
      </c>
    </row>
    <row r="13">
      <c r="A13" s="35" t="inlineStr">
        <is>
          <t>OT-EJEMPLO-005</t>
        </is>
      </c>
      <c r="B13" s="35" t="inlineStr">
        <is>
          <t>0010</t>
        </is>
      </c>
      <c r="C13" s="35" t="inlineStr">
        <is>
          <t>CERR</t>
        </is>
      </c>
      <c r="D13" s="35" t="inlineStr">
        <is>
          <t>2-MEDIA</t>
        </is>
      </c>
      <c r="E13" s="35" t="inlineStr"/>
      <c r="F13" s="37" t="n">
        <v>60</v>
      </c>
      <c r="G13" s="37" t="n">
        <v>150</v>
      </c>
      <c r="H13" s="37" t="n">
        <v>150</v>
      </c>
      <c r="I13" s="35" t="inlineStr"/>
      <c r="J13" s="24">
        <f>IF($A13="","",$A13&amp;IF($B13="","0010",$B13))</f>
        <v/>
      </c>
    </row>
    <row r="14">
      <c r="A14" s="35" t="inlineStr">
        <is>
          <t>OT-EJEMPLO-006</t>
        </is>
      </c>
      <c r="B14" s="35" t="inlineStr">
        <is>
          <t>0010</t>
        </is>
      </c>
      <c r="C14" s="35" t="inlineStr">
        <is>
          <t>CERR</t>
        </is>
      </c>
      <c r="D14" s="35" t="inlineStr">
        <is>
          <t>2-MEDIA</t>
        </is>
      </c>
      <c r="E14" s="35" t="inlineStr"/>
      <c r="F14" s="37" t="n">
        <v>48</v>
      </c>
      <c r="G14" s="37" t="n">
        <v>120</v>
      </c>
      <c r="H14" s="37" t="n">
        <v>120</v>
      </c>
      <c r="I14" s="35" t="inlineStr"/>
      <c r="J14" s="24">
        <f>IF($A14="","",$A14&amp;IF($B14="","0010",$B14))</f>
        <v/>
      </c>
    </row>
    <row r="15">
      <c r="A15" s="35" t="inlineStr">
        <is>
          <t>OT-EJEMPLO-007</t>
        </is>
      </c>
      <c r="B15" s="35" t="inlineStr">
        <is>
          <t>0010</t>
        </is>
      </c>
      <c r="C15" s="35" t="inlineStr">
        <is>
          <t>LIB</t>
        </is>
      </c>
      <c r="D15" s="35" t="inlineStr">
        <is>
          <t>2-MEDIA</t>
        </is>
      </c>
      <c r="E15" s="35" t="inlineStr"/>
      <c r="F15" s="37" t="n">
        <v>40</v>
      </c>
      <c r="G15" s="37" t="n">
        <v>100</v>
      </c>
      <c r="H15" s="37" t="n">
        <v>100</v>
      </c>
      <c r="I15" s="35" t="inlineStr"/>
      <c r="J15" s="24">
        <f>IF($A15="","",$A15&amp;IF($B15="","0010",$B15))</f>
        <v/>
      </c>
    </row>
    <row r="16">
      <c r="A16" s="35" t="inlineStr">
        <is>
          <t>OT-EJEMPLO-008</t>
        </is>
      </c>
      <c r="B16" s="35" t="inlineStr">
        <is>
          <t>0010</t>
        </is>
      </c>
      <c r="C16" s="35" t="inlineStr">
        <is>
          <t>LIB</t>
        </is>
      </c>
      <c r="D16" s="35" t="inlineStr">
        <is>
          <t>2-MEDIA</t>
        </is>
      </c>
      <c r="E16" s="35" t="inlineStr"/>
      <c r="F16" s="37" t="n">
        <v>80</v>
      </c>
      <c r="G16" s="37" t="n">
        <v>200</v>
      </c>
      <c r="H16" s="37" t="n">
        <v>200</v>
      </c>
      <c r="I16" s="35" t="inlineStr"/>
      <c r="J16" s="24">
        <f>IF($A16="","",$A16&amp;IF($B16="","0010",$B16))</f>
        <v/>
      </c>
    </row>
    <row r="17">
      <c r="A17" s="5" t="n"/>
      <c r="B17" s="5" t="n"/>
      <c r="C17" s="5" t="n"/>
      <c r="D17" s="5" t="n"/>
      <c r="E17" s="5" t="n"/>
      <c r="F17" s="18" t="n"/>
      <c r="G17" s="18" t="n"/>
      <c r="H17" s="18" t="n"/>
      <c r="I17" s="5" t="n"/>
      <c r="J17" s="24">
        <f>IF($A17="","",$A17&amp;IF($B17="","0010",$B17))</f>
        <v/>
      </c>
    </row>
    <row r="18">
      <c r="A18" s="5" t="n"/>
      <c r="B18" s="5" t="n"/>
      <c r="C18" s="5" t="n"/>
      <c r="D18" s="5" t="n"/>
      <c r="E18" s="5" t="n"/>
      <c r="F18" s="18" t="n"/>
      <c r="G18" s="18" t="n"/>
      <c r="H18" s="18" t="n"/>
      <c r="I18" s="5" t="n"/>
      <c r="J18" s="24">
        <f>IF($A18="","",$A18&amp;IF($B18="","0010",$B18))</f>
        <v/>
      </c>
    </row>
    <row r="19">
      <c r="A19" s="5" t="n"/>
      <c r="B19" s="5" t="n"/>
      <c r="C19" s="5" t="n"/>
      <c r="D19" s="5" t="n"/>
      <c r="E19" s="5" t="n"/>
      <c r="F19" s="18" t="n"/>
      <c r="G19" s="18" t="n"/>
      <c r="H19" s="18" t="n"/>
      <c r="I19" s="5" t="n"/>
      <c r="J19" s="24">
        <f>IF($A19="","",$A19&amp;IF($B19="","0010",$B19))</f>
        <v/>
      </c>
    </row>
    <row r="20">
      <c r="A20" s="5" t="n"/>
      <c r="B20" s="5" t="n"/>
      <c r="C20" s="5" t="n"/>
      <c r="D20" s="5" t="n"/>
      <c r="E20" s="5" t="n"/>
      <c r="F20" s="18" t="n"/>
      <c r="G20" s="18" t="n"/>
      <c r="H20" s="18" t="n"/>
      <c r="I20" s="5" t="n"/>
      <c r="J20" s="24">
        <f>IF($A20="","",$A20&amp;IF($B20="","0010",$B20))</f>
        <v/>
      </c>
    </row>
    <row r="21">
      <c r="A21" s="5" t="n"/>
      <c r="B21" s="5" t="n"/>
      <c r="C21" s="5" t="n"/>
      <c r="D21" s="5" t="n"/>
      <c r="E21" s="5" t="n"/>
      <c r="F21" s="18" t="n"/>
      <c r="G21" s="18" t="n"/>
      <c r="H21" s="18" t="n"/>
      <c r="I21" s="5" t="n"/>
      <c r="J21" s="24">
        <f>IF($A21="","",$A21&amp;IF($B21="","0010",$B21))</f>
        <v/>
      </c>
    </row>
    <row r="22">
      <c r="A22" s="5" t="n"/>
      <c r="B22" s="5" t="n"/>
      <c r="C22" s="5" t="n"/>
      <c r="D22" s="5" t="n"/>
      <c r="E22" s="5" t="n"/>
      <c r="F22" s="18" t="n"/>
      <c r="G22" s="18" t="n"/>
      <c r="H22" s="18" t="n"/>
      <c r="I22" s="5" t="n"/>
      <c r="J22" s="24">
        <f>IF($A22="","",$A22&amp;IF($B22="","0010",$B22))</f>
        <v/>
      </c>
    </row>
    <row r="23">
      <c r="A23" s="5" t="n"/>
      <c r="B23" s="5" t="n"/>
      <c r="C23" s="5" t="n"/>
      <c r="D23" s="5" t="n"/>
      <c r="E23" s="5" t="n"/>
      <c r="F23" s="18" t="n"/>
      <c r="G23" s="18" t="n"/>
      <c r="H23" s="18" t="n"/>
      <c r="I23" s="5" t="n"/>
      <c r="J23" s="24">
        <f>IF($A23="","",$A23&amp;IF($B23="","0010",$B23))</f>
        <v/>
      </c>
    </row>
    <row r="24">
      <c r="A24" s="5" t="n"/>
      <c r="B24" s="5" t="n"/>
      <c r="C24" s="5" t="n"/>
      <c r="D24" s="5" t="n"/>
      <c r="E24" s="5" t="n"/>
      <c r="F24" s="18" t="n"/>
      <c r="G24" s="18" t="n"/>
      <c r="H24" s="18" t="n"/>
      <c r="I24" s="5" t="n"/>
      <c r="J24" s="24">
        <f>IF($A24="","",$A24&amp;IF($B24="","0010",$B24))</f>
        <v/>
      </c>
    </row>
    <row r="25">
      <c r="A25" s="5" t="n"/>
      <c r="B25" s="5" t="n"/>
      <c r="C25" s="5" t="n"/>
      <c r="D25" s="5" t="n"/>
      <c r="E25" s="5" t="n"/>
      <c r="F25" s="18" t="n"/>
      <c r="G25" s="18" t="n"/>
      <c r="H25" s="18" t="n"/>
      <c r="I25" s="5" t="n"/>
      <c r="J25" s="24">
        <f>IF($A25="","",$A25&amp;IF($B25="","0010",$B25))</f>
        <v/>
      </c>
    </row>
    <row r="26">
      <c r="A26" s="5" t="n"/>
      <c r="B26" s="5" t="n"/>
      <c r="C26" s="5" t="n"/>
      <c r="D26" s="5" t="n"/>
      <c r="E26" s="5" t="n"/>
      <c r="F26" s="18" t="n"/>
      <c r="G26" s="18" t="n"/>
      <c r="H26" s="18" t="n"/>
      <c r="I26" s="5" t="n"/>
      <c r="J26" s="24">
        <f>IF($A26="","",$A26&amp;IF($B26="","0010",$B26))</f>
        <v/>
      </c>
    </row>
    <row r="27">
      <c r="A27" s="5" t="n"/>
      <c r="B27" s="5" t="n"/>
      <c r="C27" s="5" t="n"/>
      <c r="D27" s="5" t="n"/>
      <c r="E27" s="5" t="n"/>
      <c r="F27" s="18" t="n"/>
      <c r="G27" s="18" t="n"/>
      <c r="H27" s="18" t="n"/>
      <c r="I27" s="5" t="n"/>
      <c r="J27" s="24">
        <f>IF($A27="","",$A27&amp;IF($B27="","0010",$B27))</f>
        <v/>
      </c>
    </row>
    <row r="28">
      <c r="A28" s="5" t="n"/>
      <c r="B28" s="5" t="n"/>
      <c r="C28" s="5" t="n"/>
      <c r="D28" s="5" t="n"/>
      <c r="E28" s="5" t="n"/>
      <c r="F28" s="18" t="n"/>
      <c r="G28" s="18" t="n"/>
      <c r="H28" s="18" t="n"/>
      <c r="I28" s="5" t="n"/>
      <c r="J28" s="24">
        <f>IF($A28="","",$A28&amp;IF($B28="","0010",$B28))</f>
        <v/>
      </c>
    </row>
    <row r="29">
      <c r="A29" s="5" t="n"/>
      <c r="B29" s="5" t="n"/>
      <c r="C29" s="5" t="n"/>
      <c r="D29" s="5" t="n"/>
      <c r="E29" s="5" t="n"/>
      <c r="F29" s="18" t="n"/>
      <c r="G29" s="18" t="n"/>
      <c r="H29" s="18" t="n"/>
      <c r="I29" s="5" t="n"/>
      <c r="J29" s="24">
        <f>IF($A29="","",$A29&amp;IF($B29="","0010",$B29))</f>
        <v/>
      </c>
    </row>
    <row r="30">
      <c r="A30" s="5" t="n"/>
      <c r="B30" s="5" t="n"/>
      <c r="C30" s="5" t="n"/>
      <c r="D30" s="5" t="n"/>
      <c r="E30" s="5" t="n"/>
      <c r="F30" s="18" t="n"/>
      <c r="G30" s="18" t="n"/>
      <c r="H30" s="18" t="n"/>
      <c r="I30" s="5" t="n"/>
      <c r="J30" s="24">
        <f>IF($A30="","",$A30&amp;IF($B30="","0010",$B30))</f>
        <v/>
      </c>
    </row>
    <row r="31">
      <c r="A31" s="5" t="n"/>
      <c r="B31" s="5" t="n"/>
      <c r="C31" s="5" t="n"/>
      <c r="D31" s="5" t="n"/>
      <c r="E31" s="5" t="n"/>
      <c r="F31" s="18" t="n"/>
      <c r="G31" s="18" t="n"/>
      <c r="H31" s="18" t="n"/>
      <c r="I31" s="5" t="n"/>
      <c r="J31" s="24">
        <f>IF($A31="","",$A31&amp;IF($B31="","0010",$B31))</f>
        <v/>
      </c>
    </row>
    <row r="32">
      <c r="A32" s="5" t="n"/>
      <c r="B32" s="5" t="n"/>
      <c r="C32" s="5" t="n"/>
      <c r="D32" s="5" t="n"/>
      <c r="E32" s="5" t="n"/>
      <c r="F32" s="18" t="n"/>
      <c r="G32" s="18" t="n"/>
      <c r="H32" s="18" t="n"/>
      <c r="I32" s="5" t="n"/>
      <c r="J32" s="24">
        <f>IF($A32="","",$A32&amp;IF($B32="","0010",$B32))</f>
        <v/>
      </c>
    </row>
    <row r="33">
      <c r="A33" s="5" t="n"/>
      <c r="B33" s="5" t="n"/>
      <c r="C33" s="5" t="n"/>
      <c r="D33" s="5" t="n"/>
      <c r="E33" s="5" t="n"/>
      <c r="F33" s="18" t="n"/>
      <c r="G33" s="18" t="n"/>
      <c r="H33" s="18" t="n"/>
      <c r="I33" s="5" t="n"/>
      <c r="J33" s="24">
        <f>IF($A33="","",$A33&amp;IF($B33="","0010",$B33))</f>
        <v/>
      </c>
    </row>
    <row r="34">
      <c r="A34" s="5" t="n"/>
      <c r="B34" s="5" t="n"/>
      <c r="C34" s="5" t="n"/>
      <c r="D34" s="5" t="n"/>
      <c r="E34" s="5" t="n"/>
      <c r="F34" s="18" t="n"/>
      <c r="G34" s="18" t="n"/>
      <c r="H34" s="18" t="n"/>
      <c r="I34" s="5" t="n"/>
      <c r="J34" s="24">
        <f>IF($A34="","",$A34&amp;IF($B34="","0010",$B34))</f>
        <v/>
      </c>
    </row>
    <row r="35">
      <c r="A35" s="5" t="n"/>
      <c r="B35" s="5" t="n"/>
      <c r="C35" s="5" t="n"/>
      <c r="D35" s="5" t="n"/>
      <c r="E35" s="5" t="n"/>
      <c r="F35" s="18" t="n"/>
      <c r="G35" s="18" t="n"/>
      <c r="H35" s="18" t="n"/>
      <c r="I35" s="5" t="n"/>
      <c r="J35" s="24">
        <f>IF($A35="","",$A35&amp;IF($B35="","0010",$B35))</f>
        <v/>
      </c>
    </row>
    <row r="36">
      <c r="A36" s="5" t="n"/>
      <c r="B36" s="5" t="n"/>
      <c r="C36" s="5" t="n"/>
      <c r="D36" s="5" t="n"/>
      <c r="E36" s="5" t="n"/>
      <c r="F36" s="18" t="n"/>
      <c r="G36" s="18" t="n"/>
      <c r="H36" s="18" t="n"/>
      <c r="I36" s="5" t="n"/>
      <c r="J36" s="24">
        <f>IF($A36="","",$A36&amp;IF($B36="","0010",$B36))</f>
        <v/>
      </c>
    </row>
    <row r="37">
      <c r="A37" s="5" t="n"/>
      <c r="B37" s="5" t="n"/>
      <c r="C37" s="5" t="n"/>
      <c r="D37" s="5" t="n"/>
      <c r="E37" s="5" t="n"/>
      <c r="F37" s="18" t="n"/>
      <c r="G37" s="18" t="n"/>
      <c r="H37" s="18" t="n"/>
      <c r="I37" s="5" t="n"/>
      <c r="J37" s="24">
        <f>IF($A37="","",$A37&amp;IF($B37="","0010",$B37))</f>
        <v/>
      </c>
    </row>
    <row r="38">
      <c r="A38" s="5" t="n"/>
      <c r="B38" s="5" t="n"/>
      <c r="C38" s="5" t="n"/>
      <c r="D38" s="5" t="n"/>
      <c r="E38" s="5" t="n"/>
      <c r="F38" s="18" t="n"/>
      <c r="G38" s="18" t="n"/>
      <c r="H38" s="18" t="n"/>
      <c r="I38" s="5" t="n"/>
      <c r="J38" s="24">
        <f>IF($A38="","",$A38&amp;IF($B38="","0010",$B38))</f>
        <v/>
      </c>
    </row>
    <row r="39">
      <c r="A39" s="5" t="n"/>
      <c r="B39" s="5" t="n"/>
      <c r="C39" s="5" t="n"/>
      <c r="D39" s="5" t="n"/>
      <c r="E39" s="5" t="n"/>
      <c r="F39" s="18" t="n"/>
      <c r="G39" s="18" t="n"/>
      <c r="H39" s="18" t="n"/>
      <c r="I39" s="5" t="n"/>
      <c r="J39" s="24">
        <f>IF($A39="","",$A39&amp;IF($B39="","0010",$B39))</f>
        <v/>
      </c>
    </row>
    <row r="40">
      <c r="A40" s="5" t="n"/>
      <c r="B40" s="5" t="n"/>
      <c r="C40" s="5" t="n"/>
      <c r="D40" s="5" t="n"/>
      <c r="E40" s="5" t="n"/>
      <c r="F40" s="18" t="n"/>
      <c r="G40" s="18" t="n"/>
      <c r="H40" s="18" t="n"/>
      <c r="I40" s="5" t="n"/>
      <c r="J40" s="24">
        <f>IF($A40="","",$A40&amp;IF($B40="","0010",$B40))</f>
        <v/>
      </c>
    </row>
    <row r="41">
      <c r="A41" s="5" t="n"/>
      <c r="B41" s="5" t="n"/>
      <c r="C41" s="5" t="n"/>
      <c r="D41" s="5" t="n"/>
      <c r="E41" s="5" t="n"/>
      <c r="F41" s="18" t="n"/>
      <c r="G41" s="18" t="n"/>
      <c r="H41" s="18" t="n"/>
      <c r="I41" s="5" t="n"/>
      <c r="J41" s="24">
        <f>IF($A41="","",$A41&amp;IF($B41="","0010",$B41))</f>
        <v/>
      </c>
    </row>
    <row r="42">
      <c r="A42" s="5" t="n"/>
      <c r="B42" s="5" t="n"/>
      <c r="C42" s="5" t="n"/>
      <c r="D42" s="5" t="n"/>
      <c r="E42" s="5" t="n"/>
      <c r="F42" s="18" t="n"/>
      <c r="G42" s="18" t="n"/>
      <c r="H42" s="18" t="n"/>
      <c r="I42" s="5" t="n"/>
      <c r="J42" s="24">
        <f>IF($A42="","",$A42&amp;IF($B42="","0010",$B42))</f>
        <v/>
      </c>
    </row>
    <row r="43">
      <c r="A43" s="5" t="n"/>
      <c r="B43" s="5" t="n"/>
      <c r="C43" s="5" t="n"/>
      <c r="D43" s="5" t="n"/>
      <c r="E43" s="5" t="n"/>
      <c r="F43" s="18" t="n"/>
      <c r="G43" s="18" t="n"/>
      <c r="H43" s="18" t="n"/>
      <c r="I43" s="5" t="n"/>
      <c r="J43" s="24">
        <f>IF($A43="","",$A43&amp;IF($B43="","0010",$B43))</f>
        <v/>
      </c>
    </row>
    <row r="44">
      <c r="A44" s="5" t="n"/>
      <c r="B44" s="5" t="n"/>
      <c r="C44" s="5" t="n"/>
      <c r="D44" s="5" t="n"/>
      <c r="E44" s="5" t="n"/>
      <c r="F44" s="18" t="n"/>
      <c r="G44" s="18" t="n"/>
      <c r="H44" s="18" t="n"/>
      <c r="I44" s="5" t="n"/>
      <c r="J44" s="24">
        <f>IF($A44="","",$A44&amp;IF($B44="","0010",$B44))</f>
        <v/>
      </c>
    </row>
    <row r="45">
      <c r="A45" s="5" t="n"/>
      <c r="B45" s="5" t="n"/>
      <c r="C45" s="5" t="n"/>
      <c r="D45" s="5" t="n"/>
      <c r="E45" s="5" t="n"/>
      <c r="F45" s="18" t="n"/>
      <c r="G45" s="18" t="n"/>
      <c r="H45" s="18" t="n"/>
      <c r="I45" s="5" t="n"/>
      <c r="J45" s="24">
        <f>IF($A45="","",$A45&amp;IF($B45="","0010",$B45))</f>
        <v/>
      </c>
    </row>
    <row r="46">
      <c r="A46" s="5" t="n"/>
      <c r="B46" s="5" t="n"/>
      <c r="C46" s="5" t="n"/>
      <c r="D46" s="5" t="n"/>
      <c r="E46" s="5" t="n"/>
      <c r="F46" s="18" t="n"/>
      <c r="G46" s="18" t="n"/>
      <c r="H46" s="18" t="n"/>
      <c r="I46" s="5" t="n"/>
      <c r="J46" s="24">
        <f>IF($A46="","",$A46&amp;IF($B46="","0010",$B46))</f>
        <v/>
      </c>
    </row>
    <row r="47">
      <c r="A47" s="5" t="n"/>
      <c r="B47" s="5" t="n"/>
      <c r="C47" s="5" t="n"/>
      <c r="D47" s="5" t="n"/>
      <c r="E47" s="5" t="n"/>
      <c r="F47" s="18" t="n"/>
      <c r="G47" s="18" t="n"/>
      <c r="H47" s="18" t="n"/>
      <c r="I47" s="5" t="n"/>
      <c r="J47" s="24">
        <f>IF($A47="","",$A47&amp;IF($B47="","0010",$B47))</f>
        <v/>
      </c>
    </row>
    <row r="48">
      <c r="A48" s="5" t="n"/>
      <c r="B48" s="5" t="n"/>
      <c r="C48" s="5" t="n"/>
      <c r="D48" s="5" t="n"/>
      <c r="E48" s="5" t="n"/>
      <c r="F48" s="18" t="n"/>
      <c r="G48" s="18" t="n"/>
      <c r="H48" s="18" t="n"/>
      <c r="I48" s="5" t="n"/>
      <c r="J48" s="24">
        <f>IF($A48="","",$A48&amp;IF($B48="","0010",$B48))</f>
        <v/>
      </c>
    </row>
    <row r="49">
      <c r="A49" s="5" t="n"/>
      <c r="B49" s="5" t="n"/>
      <c r="C49" s="5" t="n"/>
      <c r="D49" s="5" t="n"/>
      <c r="E49" s="5" t="n"/>
      <c r="F49" s="18" t="n"/>
      <c r="G49" s="18" t="n"/>
      <c r="H49" s="18" t="n"/>
      <c r="I49" s="5" t="n"/>
      <c r="J49" s="24">
        <f>IF($A49="","",$A49&amp;IF($B49="","0010",$B49))</f>
        <v/>
      </c>
    </row>
    <row r="50">
      <c r="A50" s="5" t="n"/>
      <c r="B50" s="5" t="n"/>
      <c r="C50" s="5" t="n"/>
      <c r="D50" s="5" t="n"/>
      <c r="E50" s="5" t="n"/>
      <c r="F50" s="18" t="n"/>
      <c r="G50" s="18" t="n"/>
      <c r="H50" s="18" t="n"/>
      <c r="I50" s="5" t="n"/>
      <c r="J50" s="24">
        <f>IF($A50="","",$A50&amp;IF($B50="","0010",$B50))</f>
        <v/>
      </c>
    </row>
    <row r="51">
      <c r="A51" s="5" t="n"/>
      <c r="B51" s="5" t="n"/>
      <c r="C51" s="5" t="n"/>
      <c r="D51" s="5" t="n"/>
      <c r="E51" s="5" t="n"/>
      <c r="F51" s="18" t="n"/>
      <c r="G51" s="18" t="n"/>
      <c r="H51" s="18" t="n"/>
      <c r="I51" s="5" t="n"/>
      <c r="J51" s="24">
        <f>IF($A51="","",$A51&amp;IF($B51="","0010",$B51))</f>
        <v/>
      </c>
    </row>
    <row r="52">
      <c r="A52" s="5" t="n"/>
      <c r="B52" s="5" t="n"/>
      <c r="C52" s="5" t="n"/>
      <c r="D52" s="5" t="n"/>
      <c r="E52" s="5" t="n"/>
      <c r="F52" s="18" t="n"/>
      <c r="G52" s="18" t="n"/>
      <c r="H52" s="18" t="n"/>
      <c r="I52" s="5" t="n"/>
      <c r="J52" s="24">
        <f>IF($A52="","",$A52&amp;IF($B52="","0010",$B52))</f>
        <v/>
      </c>
    </row>
    <row r="53">
      <c r="A53" s="5" t="n"/>
      <c r="B53" s="5" t="n"/>
      <c r="C53" s="5" t="n"/>
      <c r="D53" s="5" t="n"/>
      <c r="E53" s="5" t="n"/>
      <c r="F53" s="18" t="n"/>
      <c r="G53" s="18" t="n"/>
      <c r="H53" s="18" t="n"/>
      <c r="I53" s="5" t="n"/>
      <c r="J53" s="24">
        <f>IF($A53="","",$A53&amp;IF($B53="","0010",$B53))</f>
        <v/>
      </c>
    </row>
    <row r="54">
      <c r="A54" s="5" t="n"/>
      <c r="B54" s="5" t="n"/>
      <c r="C54" s="5" t="n"/>
      <c r="D54" s="5" t="n"/>
      <c r="E54" s="5" t="n"/>
      <c r="F54" s="18" t="n"/>
      <c r="G54" s="18" t="n"/>
      <c r="H54" s="18" t="n"/>
      <c r="I54" s="5" t="n"/>
      <c r="J54" s="24">
        <f>IF($A54="","",$A54&amp;IF($B54="","0010",$B54))</f>
        <v/>
      </c>
    </row>
    <row r="55">
      <c r="A55" s="5" t="n"/>
      <c r="B55" s="5" t="n"/>
      <c r="C55" s="5" t="n"/>
      <c r="D55" s="5" t="n"/>
      <c r="E55" s="5" t="n"/>
      <c r="F55" s="18" t="n"/>
      <c r="G55" s="18" t="n"/>
      <c r="H55" s="18" t="n"/>
      <c r="I55" s="5" t="n"/>
      <c r="J55" s="24">
        <f>IF($A55="","",$A55&amp;IF($B55="","0010",$B55))</f>
        <v/>
      </c>
    </row>
    <row r="56">
      <c r="A56" s="5" t="n"/>
      <c r="B56" s="5" t="n"/>
      <c r="C56" s="5" t="n"/>
      <c r="D56" s="5" t="n"/>
      <c r="E56" s="5" t="n"/>
      <c r="F56" s="18" t="n"/>
      <c r="G56" s="18" t="n"/>
      <c r="H56" s="18" t="n"/>
      <c r="I56" s="5" t="n"/>
      <c r="J56" s="24">
        <f>IF($A56="","",$A56&amp;IF($B56="","0010",$B56))</f>
        <v/>
      </c>
    </row>
    <row r="57">
      <c r="A57" s="5" t="n"/>
      <c r="B57" s="5" t="n"/>
      <c r="C57" s="5" t="n"/>
      <c r="D57" s="5" t="n"/>
      <c r="E57" s="5" t="n"/>
      <c r="F57" s="18" t="n"/>
      <c r="G57" s="18" t="n"/>
      <c r="H57" s="18" t="n"/>
      <c r="I57" s="5" t="n"/>
      <c r="J57" s="24">
        <f>IF($A57="","",$A57&amp;IF($B57="","0010",$B57))</f>
        <v/>
      </c>
    </row>
    <row r="58">
      <c r="A58" s="5" t="n"/>
      <c r="B58" s="5" t="n"/>
      <c r="C58" s="5" t="n"/>
      <c r="D58" s="5" t="n"/>
      <c r="E58" s="5" t="n"/>
      <c r="F58" s="18" t="n"/>
      <c r="G58" s="18" t="n"/>
      <c r="H58" s="18" t="n"/>
      <c r="I58" s="5" t="n"/>
      <c r="J58" s="24">
        <f>IF($A58="","",$A58&amp;IF($B58="","0010",$B58))</f>
        <v/>
      </c>
    </row>
    <row r="59">
      <c r="A59" s="5" t="n"/>
      <c r="B59" s="5" t="n"/>
      <c r="C59" s="5" t="n"/>
      <c r="D59" s="5" t="n"/>
      <c r="E59" s="5" t="n"/>
      <c r="F59" s="18" t="n"/>
      <c r="G59" s="18" t="n"/>
      <c r="H59" s="18" t="n"/>
      <c r="I59" s="5" t="n"/>
      <c r="J59" s="24">
        <f>IF($A59="","",$A59&amp;IF($B59="","0010",$B59))</f>
        <v/>
      </c>
    </row>
    <row r="60">
      <c r="A60" s="5" t="n"/>
      <c r="B60" s="5" t="n"/>
      <c r="C60" s="5" t="n"/>
      <c r="D60" s="5" t="n"/>
      <c r="E60" s="5" t="n"/>
      <c r="F60" s="18" t="n"/>
      <c r="G60" s="18" t="n"/>
      <c r="H60" s="18" t="n"/>
      <c r="I60" s="5" t="n"/>
      <c r="J60" s="24">
        <f>IF($A60="","",$A60&amp;IF($B60="","0010",$B60))</f>
        <v/>
      </c>
    </row>
    <row r="61">
      <c r="A61" s="5" t="n"/>
      <c r="B61" s="5" t="n"/>
      <c r="C61" s="5" t="n"/>
      <c r="D61" s="5" t="n"/>
      <c r="E61" s="5" t="n"/>
      <c r="F61" s="18" t="n"/>
      <c r="G61" s="18" t="n"/>
      <c r="H61" s="18" t="n"/>
      <c r="I61" s="5" t="n"/>
      <c r="J61" s="24">
        <f>IF($A61="","",$A61&amp;IF($B61="","0010",$B61))</f>
        <v/>
      </c>
    </row>
    <row r="62">
      <c r="A62" s="5" t="n"/>
      <c r="B62" s="5" t="n"/>
      <c r="C62" s="5" t="n"/>
      <c r="D62" s="5" t="n"/>
      <c r="E62" s="5" t="n"/>
      <c r="F62" s="18" t="n"/>
      <c r="G62" s="18" t="n"/>
      <c r="H62" s="18" t="n"/>
      <c r="I62" s="5" t="n"/>
      <c r="J62" s="24">
        <f>IF($A62="","",$A62&amp;IF($B62="","0010",$B62))</f>
        <v/>
      </c>
    </row>
    <row r="63">
      <c r="A63" s="5" t="n"/>
      <c r="B63" s="5" t="n"/>
      <c r="C63" s="5" t="n"/>
      <c r="D63" s="5" t="n"/>
      <c r="E63" s="5" t="n"/>
      <c r="F63" s="18" t="n"/>
      <c r="G63" s="18" t="n"/>
      <c r="H63" s="18" t="n"/>
      <c r="I63" s="5" t="n"/>
      <c r="J63" s="24">
        <f>IF($A63="","",$A63&amp;IF($B63="","0010",$B63))</f>
        <v/>
      </c>
    </row>
    <row r="64">
      <c r="A64" s="5" t="n"/>
      <c r="B64" s="5" t="n"/>
      <c r="C64" s="5" t="n"/>
      <c r="D64" s="5" t="n"/>
      <c r="E64" s="5" t="n"/>
      <c r="F64" s="18" t="n"/>
      <c r="G64" s="18" t="n"/>
      <c r="H64" s="18" t="n"/>
      <c r="I64" s="5" t="n"/>
      <c r="J64" s="24">
        <f>IF($A64="","",$A64&amp;IF($B64="","0010",$B64))</f>
        <v/>
      </c>
    </row>
    <row r="65">
      <c r="A65" s="5" t="n"/>
      <c r="B65" s="5" t="n"/>
      <c r="C65" s="5" t="n"/>
      <c r="D65" s="5" t="n"/>
      <c r="E65" s="5" t="n"/>
      <c r="F65" s="18" t="n"/>
      <c r="G65" s="18" t="n"/>
      <c r="H65" s="18" t="n"/>
      <c r="I65" s="5" t="n"/>
      <c r="J65" s="24">
        <f>IF($A65="","",$A65&amp;IF($B65="","0010",$B65))</f>
        <v/>
      </c>
    </row>
    <row r="66">
      <c r="A66" s="5" t="n"/>
      <c r="B66" s="5" t="n"/>
      <c r="C66" s="5" t="n"/>
      <c r="D66" s="5" t="n"/>
      <c r="E66" s="5" t="n"/>
      <c r="F66" s="18" t="n"/>
      <c r="G66" s="18" t="n"/>
      <c r="H66" s="18" t="n"/>
      <c r="I66" s="5" t="n"/>
      <c r="J66" s="24">
        <f>IF($A66="","",$A66&amp;IF($B66="","0010",$B66))</f>
        <v/>
      </c>
    </row>
    <row r="67">
      <c r="A67" s="5" t="n"/>
      <c r="B67" s="5" t="n"/>
      <c r="C67" s="5" t="n"/>
      <c r="D67" s="5" t="n"/>
      <c r="E67" s="5" t="n"/>
      <c r="F67" s="18" t="n"/>
      <c r="G67" s="18" t="n"/>
      <c r="H67" s="18" t="n"/>
      <c r="I67" s="5" t="n"/>
      <c r="J67" s="24">
        <f>IF($A67="","",$A67&amp;IF($B67="","0010",$B67))</f>
        <v/>
      </c>
    </row>
    <row r="68">
      <c r="A68" s="5" t="n"/>
      <c r="B68" s="5" t="n"/>
      <c r="C68" s="5" t="n"/>
      <c r="D68" s="5" t="n"/>
      <c r="E68" s="5" t="n"/>
      <c r="F68" s="18" t="n"/>
      <c r="G68" s="18" t="n"/>
      <c r="H68" s="18" t="n"/>
      <c r="I68" s="5" t="n"/>
      <c r="J68" s="24">
        <f>IF($A68="","",$A68&amp;IF($B68="","0010",$B68))</f>
        <v/>
      </c>
    </row>
    <row r="69">
      <c r="A69" s="5" t="n"/>
      <c r="B69" s="5" t="n"/>
      <c r="C69" s="5" t="n"/>
      <c r="D69" s="5" t="n"/>
      <c r="E69" s="5" t="n"/>
      <c r="F69" s="18" t="n"/>
      <c r="G69" s="18" t="n"/>
      <c r="H69" s="18" t="n"/>
      <c r="I69" s="5" t="n"/>
      <c r="J69" s="24">
        <f>IF($A69="","",$A69&amp;IF($B69="","0010",$B69))</f>
        <v/>
      </c>
    </row>
    <row r="70">
      <c r="A70" s="5" t="n"/>
      <c r="B70" s="5" t="n"/>
      <c r="C70" s="5" t="n"/>
      <c r="D70" s="5" t="n"/>
      <c r="E70" s="5" t="n"/>
      <c r="F70" s="18" t="n"/>
      <c r="G70" s="18" t="n"/>
      <c r="H70" s="18" t="n"/>
      <c r="I70" s="5" t="n"/>
      <c r="J70" s="24">
        <f>IF($A70="","",$A70&amp;IF($B70="","0010",$B70))</f>
        <v/>
      </c>
    </row>
    <row r="71">
      <c r="A71" s="5" t="n"/>
      <c r="B71" s="5" t="n"/>
      <c r="C71" s="5" t="n"/>
      <c r="D71" s="5" t="n"/>
      <c r="E71" s="5" t="n"/>
      <c r="F71" s="18" t="n"/>
      <c r="G71" s="18" t="n"/>
      <c r="H71" s="18" t="n"/>
      <c r="I71" s="5" t="n"/>
      <c r="J71" s="24">
        <f>IF($A71="","",$A71&amp;IF($B71="","0010",$B71))</f>
        <v/>
      </c>
    </row>
    <row r="72">
      <c r="A72" s="5" t="n"/>
      <c r="B72" s="5" t="n"/>
      <c r="C72" s="5" t="n"/>
      <c r="D72" s="5" t="n"/>
      <c r="E72" s="5" t="n"/>
      <c r="F72" s="18" t="n"/>
      <c r="G72" s="18" t="n"/>
      <c r="H72" s="18" t="n"/>
      <c r="I72" s="5" t="n"/>
      <c r="J72" s="24">
        <f>IF($A72="","",$A72&amp;IF($B72="","0010",$B72))</f>
        <v/>
      </c>
    </row>
    <row r="73">
      <c r="A73" s="5" t="n"/>
      <c r="B73" s="5" t="n"/>
      <c r="C73" s="5" t="n"/>
      <c r="D73" s="5" t="n"/>
      <c r="E73" s="5" t="n"/>
      <c r="F73" s="18" t="n"/>
      <c r="G73" s="18" t="n"/>
      <c r="H73" s="18" t="n"/>
      <c r="I73" s="5" t="n"/>
      <c r="J73" s="24">
        <f>IF($A73="","",$A73&amp;IF($B73="","0010",$B73))</f>
        <v/>
      </c>
    </row>
    <row r="74">
      <c r="A74" s="5" t="n"/>
      <c r="B74" s="5" t="n"/>
      <c r="C74" s="5" t="n"/>
      <c r="D74" s="5" t="n"/>
      <c r="E74" s="5" t="n"/>
      <c r="F74" s="18" t="n"/>
      <c r="G74" s="18" t="n"/>
      <c r="H74" s="18" t="n"/>
      <c r="I74" s="5" t="n"/>
      <c r="J74" s="24">
        <f>IF($A74="","",$A74&amp;IF($B74="","0010",$B74))</f>
        <v/>
      </c>
    </row>
    <row r="75">
      <c r="A75" s="5" t="n"/>
      <c r="B75" s="5" t="n"/>
      <c r="C75" s="5" t="n"/>
      <c r="D75" s="5" t="n"/>
      <c r="E75" s="5" t="n"/>
      <c r="F75" s="18" t="n"/>
      <c r="G75" s="18" t="n"/>
      <c r="H75" s="18" t="n"/>
      <c r="I75" s="5" t="n"/>
      <c r="J75" s="24">
        <f>IF($A75="","",$A75&amp;IF($B75="","0010",$B75))</f>
        <v/>
      </c>
    </row>
    <row r="76">
      <c r="A76" s="5" t="n"/>
      <c r="B76" s="5" t="n"/>
      <c r="C76" s="5" t="n"/>
      <c r="D76" s="5" t="n"/>
      <c r="E76" s="5" t="n"/>
      <c r="F76" s="18" t="n"/>
      <c r="G76" s="18" t="n"/>
      <c r="H76" s="18" t="n"/>
      <c r="I76" s="5" t="n"/>
      <c r="J76" s="24">
        <f>IF($A76="","",$A76&amp;IF($B76="","0010",$B76))</f>
        <v/>
      </c>
    </row>
    <row r="77">
      <c r="A77" s="5" t="n"/>
      <c r="B77" s="5" t="n"/>
      <c r="C77" s="5" t="n"/>
      <c r="D77" s="5" t="n"/>
      <c r="E77" s="5" t="n"/>
      <c r="F77" s="18" t="n"/>
      <c r="G77" s="18" t="n"/>
      <c r="H77" s="18" t="n"/>
      <c r="I77" s="5" t="n"/>
      <c r="J77" s="24">
        <f>IF($A77="","",$A77&amp;IF($B77="","0010",$B77))</f>
        <v/>
      </c>
    </row>
    <row r="78">
      <c r="A78" s="5" t="n"/>
      <c r="B78" s="5" t="n"/>
      <c r="C78" s="5" t="n"/>
      <c r="D78" s="5" t="n"/>
      <c r="E78" s="5" t="n"/>
      <c r="F78" s="18" t="n"/>
      <c r="G78" s="18" t="n"/>
      <c r="H78" s="18" t="n"/>
      <c r="I78" s="5" t="n"/>
      <c r="J78" s="24">
        <f>IF($A78="","",$A78&amp;IF($B78="","0010",$B78))</f>
        <v/>
      </c>
    </row>
    <row r="79">
      <c r="A79" s="5" t="n"/>
      <c r="B79" s="5" t="n"/>
      <c r="C79" s="5" t="n"/>
      <c r="D79" s="5" t="n"/>
      <c r="E79" s="5" t="n"/>
      <c r="F79" s="18" t="n"/>
      <c r="G79" s="18" t="n"/>
      <c r="H79" s="18" t="n"/>
      <c r="I79" s="5" t="n"/>
      <c r="J79" s="24">
        <f>IF($A79="","",$A79&amp;IF($B79="","0010",$B79))</f>
        <v/>
      </c>
    </row>
    <row r="80">
      <c r="A80" s="5" t="n"/>
      <c r="B80" s="5" t="n"/>
      <c r="C80" s="5" t="n"/>
      <c r="D80" s="5" t="n"/>
      <c r="E80" s="5" t="n"/>
      <c r="F80" s="18" t="n"/>
      <c r="G80" s="18" t="n"/>
      <c r="H80" s="18" t="n"/>
      <c r="I80" s="5" t="n"/>
      <c r="J80" s="24">
        <f>IF($A80="","",$A80&amp;IF($B80="","0010",$B80))</f>
        <v/>
      </c>
    </row>
    <row r="81">
      <c r="A81" s="5" t="n"/>
      <c r="B81" s="5" t="n"/>
      <c r="C81" s="5" t="n"/>
      <c r="D81" s="5" t="n"/>
      <c r="E81" s="5" t="n"/>
      <c r="F81" s="18" t="n"/>
      <c r="G81" s="18" t="n"/>
      <c r="H81" s="18" t="n"/>
      <c r="I81" s="5" t="n"/>
      <c r="J81" s="24">
        <f>IF($A81="","",$A81&amp;IF($B81="","0010",$B81))</f>
        <v/>
      </c>
    </row>
    <row r="82">
      <c r="A82" s="5" t="n"/>
      <c r="B82" s="5" t="n"/>
      <c r="C82" s="5" t="n"/>
      <c r="D82" s="5" t="n"/>
      <c r="E82" s="5" t="n"/>
      <c r="F82" s="18" t="n"/>
      <c r="G82" s="18" t="n"/>
      <c r="H82" s="18" t="n"/>
      <c r="I82" s="5" t="n"/>
      <c r="J82" s="24">
        <f>IF($A82="","",$A82&amp;IF($B82="","0010",$B82))</f>
        <v/>
      </c>
    </row>
    <row r="83">
      <c r="A83" s="5" t="n"/>
      <c r="B83" s="5" t="n"/>
      <c r="C83" s="5" t="n"/>
      <c r="D83" s="5" t="n"/>
      <c r="E83" s="5" t="n"/>
      <c r="F83" s="18" t="n"/>
      <c r="G83" s="18" t="n"/>
      <c r="H83" s="18" t="n"/>
      <c r="I83" s="5" t="n"/>
      <c r="J83" s="24">
        <f>IF($A83="","",$A83&amp;IF($B83="","0010",$B83))</f>
        <v/>
      </c>
    </row>
    <row r="84">
      <c r="A84" s="5" t="n"/>
      <c r="B84" s="5" t="n"/>
      <c r="C84" s="5" t="n"/>
      <c r="D84" s="5" t="n"/>
      <c r="E84" s="5" t="n"/>
      <c r="F84" s="18" t="n"/>
      <c r="G84" s="18" t="n"/>
      <c r="H84" s="18" t="n"/>
      <c r="I84" s="5" t="n"/>
      <c r="J84" s="24">
        <f>IF($A84="","",$A84&amp;IF($B84="","0010",$B84))</f>
        <v/>
      </c>
    </row>
    <row r="85">
      <c r="A85" s="5" t="n"/>
      <c r="B85" s="5" t="n"/>
      <c r="C85" s="5" t="n"/>
      <c r="D85" s="5" t="n"/>
      <c r="E85" s="5" t="n"/>
      <c r="F85" s="18" t="n"/>
      <c r="G85" s="18" t="n"/>
      <c r="H85" s="18" t="n"/>
      <c r="I85" s="5" t="n"/>
      <c r="J85" s="24">
        <f>IF($A85="","",$A85&amp;IF($B85="","0010",$B85))</f>
        <v/>
      </c>
    </row>
    <row r="86">
      <c r="A86" s="5" t="n"/>
      <c r="B86" s="5" t="n"/>
      <c r="C86" s="5" t="n"/>
      <c r="D86" s="5" t="n"/>
      <c r="E86" s="5" t="n"/>
      <c r="F86" s="18" t="n"/>
      <c r="G86" s="18" t="n"/>
      <c r="H86" s="18" t="n"/>
      <c r="I86" s="5" t="n"/>
      <c r="J86" s="24">
        <f>IF($A86="","",$A86&amp;IF($B86="","0010",$B86))</f>
        <v/>
      </c>
    </row>
    <row r="87">
      <c r="A87" s="5" t="n"/>
      <c r="B87" s="5" t="n"/>
      <c r="C87" s="5" t="n"/>
      <c r="D87" s="5" t="n"/>
      <c r="E87" s="5" t="n"/>
      <c r="F87" s="18" t="n"/>
      <c r="G87" s="18" t="n"/>
      <c r="H87" s="18" t="n"/>
      <c r="I87" s="5" t="n"/>
      <c r="J87" s="24">
        <f>IF($A87="","",$A87&amp;IF($B87="","0010",$B87))</f>
        <v/>
      </c>
    </row>
    <row r="88">
      <c r="A88" s="5" t="n"/>
      <c r="B88" s="5" t="n"/>
      <c r="C88" s="5" t="n"/>
      <c r="D88" s="5" t="n"/>
      <c r="E88" s="5" t="n"/>
      <c r="F88" s="18" t="n"/>
      <c r="G88" s="18" t="n"/>
      <c r="H88" s="18" t="n"/>
      <c r="I88" s="5" t="n"/>
      <c r="J88" s="24">
        <f>IF($A88="","",$A88&amp;IF($B88="","0010",$B88))</f>
        <v/>
      </c>
    </row>
    <row r="89">
      <c r="A89" s="5" t="n"/>
      <c r="B89" s="5" t="n"/>
      <c r="C89" s="5" t="n"/>
      <c r="D89" s="5" t="n"/>
      <c r="E89" s="5" t="n"/>
      <c r="F89" s="18" t="n"/>
      <c r="G89" s="18" t="n"/>
      <c r="H89" s="18" t="n"/>
      <c r="I89" s="5" t="n"/>
      <c r="J89" s="24">
        <f>IF($A89="","",$A89&amp;IF($B89="","0010",$B89))</f>
        <v/>
      </c>
    </row>
    <row r="90">
      <c r="A90" s="5" t="n"/>
      <c r="B90" s="5" t="n"/>
      <c r="C90" s="5" t="n"/>
      <c r="D90" s="5" t="n"/>
      <c r="E90" s="5" t="n"/>
      <c r="F90" s="18" t="n"/>
      <c r="G90" s="18" t="n"/>
      <c r="H90" s="18" t="n"/>
      <c r="I90" s="5" t="n"/>
      <c r="J90" s="24">
        <f>IF($A90="","",$A90&amp;IF($B90="","0010",$B90))</f>
        <v/>
      </c>
    </row>
    <row r="91">
      <c r="A91" s="5" t="n"/>
      <c r="B91" s="5" t="n"/>
      <c r="C91" s="5" t="n"/>
      <c r="D91" s="5" t="n"/>
      <c r="E91" s="5" t="n"/>
      <c r="F91" s="18" t="n"/>
      <c r="G91" s="18" t="n"/>
      <c r="H91" s="18" t="n"/>
      <c r="I91" s="5" t="n"/>
      <c r="J91" s="24">
        <f>IF($A91="","",$A91&amp;IF($B91="","0010",$B91))</f>
        <v/>
      </c>
    </row>
    <row r="92">
      <c r="A92" s="5" t="n"/>
      <c r="B92" s="5" t="n"/>
      <c r="C92" s="5" t="n"/>
      <c r="D92" s="5" t="n"/>
      <c r="E92" s="5" t="n"/>
      <c r="F92" s="18" t="n"/>
      <c r="G92" s="18" t="n"/>
      <c r="H92" s="18" t="n"/>
      <c r="I92" s="5" t="n"/>
      <c r="J92" s="24">
        <f>IF($A92="","",$A92&amp;IF($B92="","0010",$B92))</f>
        <v/>
      </c>
    </row>
    <row r="93">
      <c r="A93" s="5" t="n"/>
      <c r="B93" s="5" t="n"/>
      <c r="C93" s="5" t="n"/>
      <c r="D93" s="5" t="n"/>
      <c r="E93" s="5" t="n"/>
      <c r="F93" s="18" t="n"/>
      <c r="G93" s="18" t="n"/>
      <c r="H93" s="18" t="n"/>
      <c r="I93" s="5" t="n"/>
      <c r="J93" s="24">
        <f>IF($A93="","",$A93&amp;IF($B93="","0010",$B93))</f>
        <v/>
      </c>
    </row>
    <row r="94">
      <c r="A94" s="5" t="n"/>
      <c r="B94" s="5" t="n"/>
      <c r="C94" s="5" t="n"/>
      <c r="D94" s="5" t="n"/>
      <c r="E94" s="5" t="n"/>
      <c r="F94" s="18" t="n"/>
      <c r="G94" s="18" t="n"/>
      <c r="H94" s="18" t="n"/>
      <c r="I94" s="5" t="n"/>
      <c r="J94" s="24">
        <f>IF($A94="","",$A94&amp;IF($B94="","0010",$B94))</f>
        <v/>
      </c>
    </row>
    <row r="95">
      <c r="A95" s="5" t="n"/>
      <c r="B95" s="5" t="n"/>
      <c r="C95" s="5" t="n"/>
      <c r="D95" s="5" t="n"/>
      <c r="E95" s="5" t="n"/>
      <c r="F95" s="18" t="n"/>
      <c r="G95" s="18" t="n"/>
      <c r="H95" s="18" t="n"/>
      <c r="I95" s="5" t="n"/>
      <c r="J95" s="24">
        <f>IF($A95="","",$A95&amp;IF($B95="","0010",$B95))</f>
        <v/>
      </c>
    </row>
    <row r="96">
      <c r="A96" s="5" t="n"/>
      <c r="B96" s="5" t="n"/>
      <c r="C96" s="5" t="n"/>
      <c r="D96" s="5" t="n"/>
      <c r="E96" s="5" t="n"/>
      <c r="F96" s="18" t="n"/>
      <c r="G96" s="18" t="n"/>
      <c r="H96" s="18" t="n"/>
      <c r="I96" s="5" t="n"/>
      <c r="J96" s="24">
        <f>IF($A96="","",$A96&amp;IF($B96="","0010",$B96))</f>
        <v/>
      </c>
    </row>
    <row r="97">
      <c r="A97" s="5" t="n"/>
      <c r="B97" s="5" t="n"/>
      <c r="C97" s="5" t="n"/>
      <c r="D97" s="5" t="n"/>
      <c r="E97" s="5" t="n"/>
      <c r="F97" s="18" t="n"/>
      <c r="G97" s="18" t="n"/>
      <c r="H97" s="18" t="n"/>
      <c r="I97" s="5" t="n"/>
      <c r="J97" s="24">
        <f>IF($A97="","",$A97&amp;IF($B97="","0010",$B97))</f>
        <v/>
      </c>
    </row>
    <row r="98">
      <c r="A98" s="5" t="n"/>
      <c r="B98" s="5" t="n"/>
      <c r="C98" s="5" t="n"/>
      <c r="D98" s="5" t="n"/>
      <c r="E98" s="5" t="n"/>
      <c r="F98" s="18" t="n"/>
      <c r="G98" s="18" t="n"/>
      <c r="H98" s="18" t="n"/>
      <c r="I98" s="5" t="n"/>
      <c r="J98" s="24">
        <f>IF($A98="","",$A98&amp;IF($B98="","0010",$B98))</f>
        <v/>
      </c>
    </row>
    <row r="99">
      <c r="A99" s="5" t="n"/>
      <c r="B99" s="5" t="n"/>
      <c r="C99" s="5" t="n"/>
      <c r="D99" s="5" t="n"/>
      <c r="E99" s="5" t="n"/>
      <c r="F99" s="18" t="n"/>
      <c r="G99" s="18" t="n"/>
      <c r="H99" s="18" t="n"/>
      <c r="I99" s="5" t="n"/>
      <c r="J99" s="24">
        <f>IF($A99="","",$A99&amp;IF($B99="","0010",$B99))</f>
        <v/>
      </c>
    </row>
    <row r="100">
      <c r="A100" s="5" t="n"/>
      <c r="B100" s="5" t="n"/>
      <c r="C100" s="5" t="n"/>
      <c r="D100" s="5" t="n"/>
      <c r="E100" s="5" t="n"/>
      <c r="F100" s="18" t="n"/>
      <c r="G100" s="18" t="n"/>
      <c r="H100" s="18" t="n"/>
      <c r="I100" s="5" t="n"/>
      <c r="J100" s="24">
        <f>IF($A100="","",$A100&amp;IF($B100="","0010",$B100))</f>
        <v/>
      </c>
    </row>
    <row r="101">
      <c r="A101" s="5" t="n"/>
      <c r="B101" s="5" t="n"/>
      <c r="C101" s="5" t="n"/>
      <c r="D101" s="5" t="n"/>
      <c r="E101" s="5" t="n"/>
      <c r="F101" s="18" t="n"/>
      <c r="G101" s="18" t="n"/>
      <c r="H101" s="18" t="n"/>
      <c r="I101" s="5" t="n"/>
      <c r="J101" s="24">
        <f>IF($A101="","",$A101&amp;IF($B101="","0010",$B101))</f>
        <v/>
      </c>
    </row>
    <row r="102">
      <c r="A102" s="5" t="n"/>
      <c r="B102" s="5" t="n"/>
      <c r="C102" s="5" t="n"/>
      <c r="D102" s="5" t="n"/>
      <c r="E102" s="5" t="n"/>
      <c r="F102" s="18" t="n"/>
      <c r="G102" s="18" t="n"/>
      <c r="H102" s="18" t="n"/>
      <c r="I102" s="5" t="n"/>
      <c r="J102" s="24">
        <f>IF($A102="","",$A102&amp;IF($B102="","0010",$B102))</f>
        <v/>
      </c>
    </row>
    <row r="103">
      <c r="A103" s="5" t="n"/>
      <c r="B103" s="5" t="n"/>
      <c r="C103" s="5" t="n"/>
      <c r="D103" s="5" t="n"/>
      <c r="E103" s="5" t="n"/>
      <c r="F103" s="18" t="n"/>
      <c r="G103" s="18" t="n"/>
      <c r="H103" s="18" t="n"/>
      <c r="I103" s="5" t="n"/>
      <c r="J103" s="24">
        <f>IF($A103="","",$A103&amp;IF($B103="","0010",$B103))</f>
        <v/>
      </c>
    </row>
    <row r="104">
      <c r="A104" s="5" t="n"/>
      <c r="B104" s="5" t="n"/>
      <c r="C104" s="5" t="n"/>
      <c r="D104" s="5" t="n"/>
      <c r="E104" s="5" t="n"/>
      <c r="F104" s="18" t="n"/>
      <c r="G104" s="18" t="n"/>
      <c r="H104" s="18" t="n"/>
      <c r="I104" s="5" t="n"/>
      <c r="J104" s="24">
        <f>IF($A104="","",$A104&amp;IF($B104="","0010",$B104))</f>
        <v/>
      </c>
    </row>
    <row r="105">
      <c r="A105" s="5" t="n"/>
      <c r="B105" s="5" t="n"/>
      <c r="C105" s="5" t="n"/>
      <c r="D105" s="5" t="n"/>
      <c r="E105" s="5" t="n"/>
      <c r="F105" s="18" t="n"/>
      <c r="G105" s="18" t="n"/>
      <c r="H105" s="18" t="n"/>
      <c r="I105" s="5" t="n"/>
      <c r="J105" s="24">
        <f>IF($A105="","",$A105&amp;IF($B105="","0010",$B105))</f>
        <v/>
      </c>
    </row>
    <row r="106">
      <c r="A106" s="5" t="n"/>
      <c r="B106" s="5" t="n"/>
      <c r="C106" s="5" t="n"/>
      <c r="D106" s="5" t="n"/>
      <c r="E106" s="5" t="n"/>
      <c r="F106" s="18" t="n"/>
      <c r="G106" s="18" t="n"/>
      <c r="H106" s="18" t="n"/>
      <c r="I106" s="5" t="n"/>
      <c r="J106" s="24">
        <f>IF($A106="","",$A106&amp;IF($B106="","0010",$B106))</f>
        <v/>
      </c>
    </row>
    <row r="107">
      <c r="A107" s="5" t="n"/>
      <c r="B107" s="5" t="n"/>
      <c r="C107" s="5" t="n"/>
      <c r="D107" s="5" t="n"/>
      <c r="E107" s="5" t="n"/>
      <c r="F107" s="18" t="n"/>
      <c r="G107" s="18" t="n"/>
      <c r="H107" s="18" t="n"/>
      <c r="I107" s="5" t="n"/>
      <c r="J107" s="24">
        <f>IF($A107="","",$A107&amp;IF($B107="","0010",$B107))</f>
        <v/>
      </c>
    </row>
    <row r="108">
      <c r="A108" s="5" t="n"/>
      <c r="B108" s="5" t="n"/>
      <c r="C108" s="5" t="n"/>
      <c r="D108" s="5" t="n"/>
      <c r="E108" s="5" t="n"/>
      <c r="F108" s="18" t="n"/>
      <c r="G108" s="18" t="n"/>
      <c r="H108" s="18" t="n"/>
      <c r="I108" s="5" t="n"/>
      <c r="J108" s="24">
        <f>IF($A108="","",$A108&amp;IF($B108="","0010",$B108))</f>
        <v/>
      </c>
    </row>
    <row r="109">
      <c r="A109" s="5" t="n"/>
      <c r="B109" s="5" t="n"/>
      <c r="C109" s="5" t="n"/>
      <c r="D109" s="5" t="n"/>
      <c r="E109" s="5" t="n"/>
      <c r="F109" s="18" t="n"/>
      <c r="G109" s="18" t="n"/>
      <c r="H109" s="18" t="n"/>
      <c r="I109" s="5" t="n"/>
      <c r="J109" s="24">
        <f>IF($A109="","",$A109&amp;IF($B109="","0010",$B109))</f>
        <v/>
      </c>
    </row>
    <row r="110">
      <c r="A110" s="5" t="n"/>
      <c r="B110" s="5" t="n"/>
      <c r="C110" s="5" t="n"/>
      <c r="D110" s="5" t="n"/>
      <c r="E110" s="5" t="n"/>
      <c r="F110" s="18" t="n"/>
      <c r="G110" s="18" t="n"/>
      <c r="H110" s="18" t="n"/>
      <c r="I110" s="5" t="n"/>
      <c r="J110" s="24">
        <f>IF($A110="","",$A110&amp;IF($B110="","0010",$B110))</f>
        <v/>
      </c>
    </row>
    <row r="111">
      <c r="A111" s="5" t="n"/>
      <c r="B111" s="5" t="n"/>
      <c r="C111" s="5" t="n"/>
      <c r="D111" s="5" t="n"/>
      <c r="E111" s="5" t="n"/>
      <c r="F111" s="18" t="n"/>
      <c r="G111" s="18" t="n"/>
      <c r="H111" s="18" t="n"/>
      <c r="I111" s="5" t="n"/>
      <c r="J111" s="24">
        <f>IF($A111="","",$A111&amp;IF($B111="","0010",$B111))</f>
        <v/>
      </c>
    </row>
    <row r="112">
      <c r="A112" s="5" t="n"/>
      <c r="B112" s="5" t="n"/>
      <c r="C112" s="5" t="n"/>
      <c r="D112" s="5" t="n"/>
      <c r="E112" s="5" t="n"/>
      <c r="F112" s="18" t="n"/>
      <c r="G112" s="18" t="n"/>
      <c r="H112" s="18" t="n"/>
      <c r="I112" s="5" t="n"/>
      <c r="J112" s="24">
        <f>IF($A112="","",$A112&amp;IF($B112="","0010",$B112))</f>
        <v/>
      </c>
    </row>
    <row r="113">
      <c r="A113" s="5" t="n"/>
      <c r="B113" s="5" t="n"/>
      <c r="C113" s="5" t="n"/>
      <c r="D113" s="5" t="n"/>
      <c r="E113" s="5" t="n"/>
      <c r="F113" s="18" t="n"/>
      <c r="G113" s="18" t="n"/>
      <c r="H113" s="18" t="n"/>
      <c r="I113" s="5" t="n"/>
      <c r="J113" s="24">
        <f>IF($A113="","",$A113&amp;IF($B113="","0010",$B113))</f>
        <v/>
      </c>
    </row>
    <row r="114">
      <c r="A114" s="5" t="n"/>
      <c r="B114" s="5" t="n"/>
      <c r="C114" s="5" t="n"/>
      <c r="D114" s="5" t="n"/>
      <c r="E114" s="5" t="n"/>
      <c r="F114" s="18" t="n"/>
      <c r="G114" s="18" t="n"/>
      <c r="H114" s="18" t="n"/>
      <c r="I114" s="5" t="n"/>
      <c r="J114" s="24">
        <f>IF($A114="","",$A114&amp;IF($B114="","0010",$B114))</f>
        <v/>
      </c>
    </row>
    <row r="115">
      <c r="A115" s="5" t="n"/>
      <c r="B115" s="5" t="n"/>
      <c r="C115" s="5" t="n"/>
      <c r="D115" s="5" t="n"/>
      <c r="E115" s="5" t="n"/>
      <c r="F115" s="18" t="n"/>
      <c r="G115" s="18" t="n"/>
      <c r="H115" s="18" t="n"/>
      <c r="I115" s="5" t="n"/>
      <c r="J115" s="24">
        <f>IF($A115="","",$A115&amp;IF($B115="","0010",$B115))</f>
        <v/>
      </c>
    </row>
    <row r="116">
      <c r="A116" s="5" t="n"/>
      <c r="B116" s="5" t="n"/>
      <c r="C116" s="5" t="n"/>
      <c r="D116" s="5" t="n"/>
      <c r="E116" s="5" t="n"/>
      <c r="F116" s="18" t="n"/>
      <c r="G116" s="18" t="n"/>
      <c r="H116" s="18" t="n"/>
      <c r="I116" s="5" t="n"/>
      <c r="J116" s="24">
        <f>IF($A116="","",$A116&amp;IF($B116="","0010",$B116))</f>
        <v/>
      </c>
    </row>
    <row r="117">
      <c r="A117" s="5" t="n"/>
      <c r="B117" s="5" t="n"/>
      <c r="C117" s="5" t="n"/>
      <c r="D117" s="5" t="n"/>
      <c r="E117" s="5" t="n"/>
      <c r="F117" s="18" t="n"/>
      <c r="G117" s="18" t="n"/>
      <c r="H117" s="18" t="n"/>
      <c r="I117" s="5" t="n"/>
      <c r="J117" s="24">
        <f>IF($A117="","",$A117&amp;IF($B117="","0010",$B117))</f>
        <v/>
      </c>
    </row>
    <row r="118">
      <c r="A118" s="5" t="n"/>
      <c r="B118" s="5" t="n"/>
      <c r="C118" s="5" t="n"/>
      <c r="D118" s="5" t="n"/>
      <c r="E118" s="5" t="n"/>
      <c r="F118" s="18" t="n"/>
      <c r="G118" s="18" t="n"/>
      <c r="H118" s="18" t="n"/>
      <c r="I118" s="5" t="n"/>
      <c r="J118" s="24">
        <f>IF($A118="","",$A118&amp;IF($B118="","0010",$B118))</f>
        <v/>
      </c>
    </row>
    <row r="119">
      <c r="A119" s="5" t="n"/>
      <c r="B119" s="5" t="n"/>
      <c r="C119" s="5" t="n"/>
      <c r="D119" s="5" t="n"/>
      <c r="E119" s="5" t="n"/>
      <c r="F119" s="18" t="n"/>
      <c r="G119" s="18" t="n"/>
      <c r="H119" s="18" t="n"/>
      <c r="I119" s="5" t="n"/>
      <c r="J119" s="24">
        <f>IF($A119="","",$A119&amp;IF($B119="","0010",$B119))</f>
        <v/>
      </c>
    </row>
    <row r="120">
      <c r="A120" s="5" t="n"/>
      <c r="B120" s="5" t="n"/>
      <c r="C120" s="5" t="n"/>
      <c r="D120" s="5" t="n"/>
      <c r="E120" s="5" t="n"/>
      <c r="F120" s="18" t="n"/>
      <c r="G120" s="18" t="n"/>
      <c r="H120" s="18" t="n"/>
      <c r="I120" s="5" t="n"/>
      <c r="J120" s="24">
        <f>IF($A120="","",$A120&amp;IF($B120="","0010",$B120))</f>
        <v/>
      </c>
    </row>
    <row r="121">
      <c r="A121" s="5" t="n"/>
      <c r="B121" s="5" t="n"/>
      <c r="C121" s="5" t="n"/>
      <c r="D121" s="5" t="n"/>
      <c r="E121" s="5" t="n"/>
      <c r="F121" s="18" t="n"/>
      <c r="G121" s="18" t="n"/>
      <c r="H121" s="18" t="n"/>
      <c r="I121" s="5" t="n"/>
      <c r="J121" s="24">
        <f>IF($A121="","",$A121&amp;IF($B121="","0010",$B121))</f>
        <v/>
      </c>
    </row>
    <row r="122">
      <c r="A122" s="5" t="n"/>
      <c r="B122" s="5" t="n"/>
      <c r="C122" s="5" t="n"/>
      <c r="D122" s="5" t="n"/>
      <c r="E122" s="5" t="n"/>
      <c r="F122" s="18" t="n"/>
      <c r="G122" s="18" t="n"/>
      <c r="H122" s="18" t="n"/>
      <c r="I122" s="5" t="n"/>
      <c r="J122" s="24">
        <f>IF($A122="","",$A122&amp;IF($B122="","0010",$B122))</f>
        <v/>
      </c>
    </row>
    <row r="123">
      <c r="A123" s="5" t="n"/>
      <c r="B123" s="5" t="n"/>
      <c r="C123" s="5" t="n"/>
      <c r="D123" s="5" t="n"/>
      <c r="E123" s="5" t="n"/>
      <c r="F123" s="18" t="n"/>
      <c r="G123" s="18" t="n"/>
      <c r="H123" s="18" t="n"/>
      <c r="I123" s="5" t="n"/>
      <c r="J123" s="24">
        <f>IF($A123="","",$A123&amp;IF($B123="","0010",$B123))</f>
        <v/>
      </c>
    </row>
    <row r="124">
      <c r="A124" s="5" t="n"/>
      <c r="B124" s="5" t="n"/>
      <c r="C124" s="5" t="n"/>
      <c r="D124" s="5" t="n"/>
      <c r="E124" s="5" t="n"/>
      <c r="F124" s="18" t="n"/>
      <c r="G124" s="18" t="n"/>
      <c r="H124" s="18" t="n"/>
      <c r="I124" s="5" t="n"/>
      <c r="J124" s="24">
        <f>IF($A124="","",$A124&amp;IF($B124="","0010",$B124))</f>
        <v/>
      </c>
    </row>
    <row r="125">
      <c r="A125" s="5" t="n"/>
      <c r="B125" s="5" t="n"/>
      <c r="C125" s="5" t="n"/>
      <c r="D125" s="5" t="n"/>
      <c r="E125" s="5" t="n"/>
      <c r="F125" s="18" t="n"/>
      <c r="G125" s="18" t="n"/>
      <c r="H125" s="18" t="n"/>
      <c r="I125" s="5" t="n"/>
      <c r="J125" s="24">
        <f>IF($A125="","",$A125&amp;IF($B125="","0010",$B125))</f>
        <v/>
      </c>
    </row>
    <row r="126">
      <c r="A126" s="5" t="n"/>
      <c r="B126" s="5" t="n"/>
      <c r="C126" s="5" t="n"/>
      <c r="D126" s="5" t="n"/>
      <c r="E126" s="5" t="n"/>
      <c r="F126" s="18" t="n"/>
      <c r="G126" s="18" t="n"/>
      <c r="H126" s="18" t="n"/>
      <c r="I126" s="5" t="n"/>
      <c r="J126" s="24">
        <f>IF($A126="","",$A126&amp;IF($B126="","0010",$B126))</f>
        <v/>
      </c>
    </row>
    <row r="127">
      <c r="A127" s="5" t="n"/>
      <c r="B127" s="5" t="n"/>
      <c r="C127" s="5" t="n"/>
      <c r="D127" s="5" t="n"/>
      <c r="E127" s="5" t="n"/>
      <c r="F127" s="18" t="n"/>
      <c r="G127" s="18" t="n"/>
      <c r="H127" s="18" t="n"/>
      <c r="I127" s="5" t="n"/>
      <c r="J127" s="24">
        <f>IF($A127="","",$A127&amp;IF($B127="","0010",$B127))</f>
        <v/>
      </c>
    </row>
    <row r="128">
      <c r="A128" s="5" t="n"/>
      <c r="B128" s="5" t="n"/>
      <c r="C128" s="5" t="n"/>
      <c r="D128" s="5" t="n"/>
      <c r="E128" s="5" t="n"/>
      <c r="F128" s="18" t="n"/>
      <c r="G128" s="18" t="n"/>
      <c r="H128" s="18" t="n"/>
      <c r="I128" s="5" t="n"/>
      <c r="J128" s="24">
        <f>IF($A128="","",$A128&amp;IF($B128="","0010",$B128))</f>
        <v/>
      </c>
    </row>
    <row r="129">
      <c r="A129" s="5" t="n"/>
      <c r="B129" s="5" t="n"/>
      <c r="C129" s="5" t="n"/>
      <c r="D129" s="5" t="n"/>
      <c r="E129" s="5" t="n"/>
      <c r="F129" s="18" t="n"/>
      <c r="G129" s="18" t="n"/>
      <c r="H129" s="18" t="n"/>
      <c r="I129" s="5" t="n"/>
      <c r="J129" s="24">
        <f>IF($A129="","",$A129&amp;IF($B129="","0010",$B129))</f>
        <v/>
      </c>
    </row>
    <row r="130">
      <c r="A130" s="5" t="n"/>
      <c r="B130" s="5" t="n"/>
      <c r="C130" s="5" t="n"/>
      <c r="D130" s="5" t="n"/>
      <c r="E130" s="5" t="n"/>
      <c r="F130" s="18" t="n"/>
      <c r="G130" s="18" t="n"/>
      <c r="H130" s="18" t="n"/>
      <c r="I130" s="5" t="n"/>
      <c r="J130" s="24">
        <f>IF($A130="","",$A130&amp;IF($B130="","0010",$B130))</f>
        <v/>
      </c>
    </row>
    <row r="131">
      <c r="A131" s="5" t="n"/>
      <c r="B131" s="5" t="n"/>
      <c r="C131" s="5" t="n"/>
      <c r="D131" s="5" t="n"/>
      <c r="E131" s="5" t="n"/>
      <c r="F131" s="18" t="n"/>
      <c r="G131" s="18" t="n"/>
      <c r="H131" s="18" t="n"/>
      <c r="I131" s="5" t="n"/>
      <c r="J131" s="24">
        <f>IF($A131="","",$A131&amp;IF($B131="","0010",$B131))</f>
        <v/>
      </c>
    </row>
    <row r="132">
      <c r="A132" s="5" t="n"/>
      <c r="B132" s="5" t="n"/>
      <c r="C132" s="5" t="n"/>
      <c r="D132" s="5" t="n"/>
      <c r="E132" s="5" t="n"/>
      <c r="F132" s="18" t="n"/>
      <c r="G132" s="18" t="n"/>
      <c r="H132" s="18" t="n"/>
      <c r="I132" s="5" t="n"/>
      <c r="J132" s="24">
        <f>IF($A132="","",$A132&amp;IF($B132="","0010",$B132))</f>
        <v/>
      </c>
    </row>
    <row r="133">
      <c r="A133" s="5" t="n"/>
      <c r="B133" s="5" t="n"/>
      <c r="C133" s="5" t="n"/>
      <c r="D133" s="5" t="n"/>
      <c r="E133" s="5" t="n"/>
      <c r="F133" s="18" t="n"/>
      <c r="G133" s="18" t="n"/>
      <c r="H133" s="18" t="n"/>
      <c r="I133" s="5" t="n"/>
      <c r="J133" s="24">
        <f>IF($A133="","",$A133&amp;IF($B133="","0010",$B133))</f>
        <v/>
      </c>
    </row>
    <row r="134">
      <c r="A134" s="5" t="n"/>
      <c r="B134" s="5" t="n"/>
      <c r="C134" s="5" t="n"/>
      <c r="D134" s="5" t="n"/>
      <c r="E134" s="5" t="n"/>
      <c r="F134" s="18" t="n"/>
      <c r="G134" s="18" t="n"/>
      <c r="H134" s="18" t="n"/>
      <c r="I134" s="5" t="n"/>
      <c r="J134" s="24">
        <f>IF($A134="","",$A134&amp;IF($B134="","0010",$B134))</f>
        <v/>
      </c>
    </row>
    <row r="135">
      <c r="A135" s="5" t="n"/>
      <c r="B135" s="5" t="n"/>
      <c r="C135" s="5" t="n"/>
      <c r="D135" s="5" t="n"/>
      <c r="E135" s="5" t="n"/>
      <c r="F135" s="18" t="n"/>
      <c r="G135" s="18" t="n"/>
      <c r="H135" s="18" t="n"/>
      <c r="I135" s="5" t="n"/>
      <c r="J135" s="24">
        <f>IF($A135="","",$A135&amp;IF($B135="","0010",$B135))</f>
        <v/>
      </c>
    </row>
    <row r="136">
      <c r="A136" s="5" t="n"/>
      <c r="B136" s="5" t="n"/>
      <c r="C136" s="5" t="n"/>
      <c r="D136" s="5" t="n"/>
      <c r="E136" s="5" t="n"/>
      <c r="F136" s="18" t="n"/>
      <c r="G136" s="18" t="n"/>
      <c r="H136" s="18" t="n"/>
      <c r="I136" s="5" t="n"/>
      <c r="J136" s="24">
        <f>IF($A136="","",$A136&amp;IF($B136="","0010",$B136))</f>
        <v/>
      </c>
    </row>
    <row r="137">
      <c r="A137" s="5" t="n"/>
      <c r="B137" s="5" t="n"/>
      <c r="C137" s="5" t="n"/>
      <c r="D137" s="5" t="n"/>
      <c r="E137" s="5" t="n"/>
      <c r="F137" s="18" t="n"/>
      <c r="G137" s="18" t="n"/>
      <c r="H137" s="18" t="n"/>
      <c r="I137" s="5" t="n"/>
      <c r="J137" s="24">
        <f>IF($A137="","",$A137&amp;IF($B137="","0010",$B137))</f>
        <v/>
      </c>
    </row>
    <row r="138">
      <c r="A138" s="5" t="n"/>
      <c r="B138" s="5" t="n"/>
      <c r="C138" s="5" t="n"/>
      <c r="D138" s="5" t="n"/>
      <c r="E138" s="5" t="n"/>
      <c r="F138" s="18" t="n"/>
      <c r="G138" s="18" t="n"/>
      <c r="H138" s="18" t="n"/>
      <c r="I138" s="5" t="n"/>
      <c r="J138" s="24">
        <f>IF($A138="","",$A138&amp;IF($B138="","0010",$B138))</f>
        <v/>
      </c>
    </row>
    <row r="139">
      <c r="A139" s="5" t="n"/>
      <c r="B139" s="5" t="n"/>
      <c r="C139" s="5" t="n"/>
      <c r="D139" s="5" t="n"/>
      <c r="E139" s="5" t="n"/>
      <c r="F139" s="18" t="n"/>
      <c r="G139" s="18" t="n"/>
      <c r="H139" s="18" t="n"/>
      <c r="I139" s="5" t="n"/>
      <c r="J139" s="24">
        <f>IF($A139="","",$A139&amp;IF($B139="","0010",$B139))</f>
        <v/>
      </c>
    </row>
    <row r="140">
      <c r="A140" s="5" t="n"/>
      <c r="B140" s="5" t="n"/>
      <c r="C140" s="5" t="n"/>
      <c r="D140" s="5" t="n"/>
      <c r="E140" s="5" t="n"/>
      <c r="F140" s="18" t="n"/>
      <c r="G140" s="18" t="n"/>
      <c r="H140" s="18" t="n"/>
      <c r="I140" s="5" t="n"/>
      <c r="J140" s="24">
        <f>IF($A140="","",$A140&amp;IF($B140="","0010",$B140))</f>
        <v/>
      </c>
    </row>
    <row r="141">
      <c r="A141" s="5" t="n"/>
      <c r="B141" s="5" t="n"/>
      <c r="C141" s="5" t="n"/>
      <c r="D141" s="5" t="n"/>
      <c r="E141" s="5" t="n"/>
      <c r="F141" s="18" t="n"/>
      <c r="G141" s="18" t="n"/>
      <c r="H141" s="18" t="n"/>
      <c r="I141" s="5" t="n"/>
      <c r="J141" s="24">
        <f>IF($A141="","",$A141&amp;IF($B141="","0010",$B141))</f>
        <v/>
      </c>
    </row>
    <row r="142">
      <c r="A142" s="5" t="n"/>
      <c r="B142" s="5" t="n"/>
      <c r="C142" s="5" t="n"/>
      <c r="D142" s="5" t="n"/>
      <c r="E142" s="5" t="n"/>
      <c r="F142" s="18" t="n"/>
      <c r="G142" s="18" t="n"/>
      <c r="H142" s="18" t="n"/>
      <c r="I142" s="5" t="n"/>
      <c r="J142" s="24">
        <f>IF($A142="","",$A142&amp;IF($B142="","0010",$B142))</f>
        <v/>
      </c>
    </row>
    <row r="143">
      <c r="A143" s="5" t="n"/>
      <c r="B143" s="5" t="n"/>
      <c r="C143" s="5" t="n"/>
      <c r="D143" s="5" t="n"/>
      <c r="E143" s="5" t="n"/>
      <c r="F143" s="18" t="n"/>
      <c r="G143" s="18" t="n"/>
      <c r="H143" s="18" t="n"/>
      <c r="I143" s="5" t="n"/>
      <c r="J143" s="24">
        <f>IF($A143="","",$A143&amp;IF($B143="","0010",$B143))</f>
        <v/>
      </c>
    </row>
    <row r="144">
      <c r="A144" s="5" t="n"/>
      <c r="B144" s="5" t="n"/>
      <c r="C144" s="5" t="n"/>
      <c r="D144" s="5" t="n"/>
      <c r="E144" s="5" t="n"/>
      <c r="F144" s="18" t="n"/>
      <c r="G144" s="18" t="n"/>
      <c r="H144" s="18" t="n"/>
      <c r="I144" s="5" t="n"/>
      <c r="J144" s="24">
        <f>IF($A144="","",$A144&amp;IF($B144="","0010",$B144))</f>
        <v/>
      </c>
    </row>
    <row r="145">
      <c r="A145" s="5" t="n"/>
      <c r="B145" s="5" t="n"/>
      <c r="C145" s="5" t="n"/>
      <c r="D145" s="5" t="n"/>
      <c r="E145" s="5" t="n"/>
      <c r="F145" s="18" t="n"/>
      <c r="G145" s="18" t="n"/>
      <c r="H145" s="18" t="n"/>
      <c r="I145" s="5" t="n"/>
      <c r="J145" s="24">
        <f>IF($A145="","",$A145&amp;IF($B145="","0010",$B145))</f>
        <v/>
      </c>
    </row>
    <row r="146">
      <c r="A146" s="5" t="n"/>
      <c r="B146" s="5" t="n"/>
      <c r="C146" s="5" t="n"/>
      <c r="D146" s="5" t="n"/>
      <c r="E146" s="5" t="n"/>
      <c r="F146" s="18" t="n"/>
      <c r="G146" s="18" t="n"/>
      <c r="H146" s="18" t="n"/>
      <c r="I146" s="5" t="n"/>
      <c r="J146" s="24">
        <f>IF($A146="","",$A146&amp;IF($B146="","0010",$B146))</f>
        <v/>
      </c>
    </row>
    <row r="147">
      <c r="A147" s="5" t="n"/>
      <c r="B147" s="5" t="n"/>
      <c r="C147" s="5" t="n"/>
      <c r="D147" s="5" t="n"/>
      <c r="E147" s="5" t="n"/>
      <c r="F147" s="18" t="n"/>
      <c r="G147" s="18" t="n"/>
      <c r="H147" s="18" t="n"/>
      <c r="I147" s="5" t="n"/>
      <c r="J147" s="24">
        <f>IF($A147="","",$A147&amp;IF($B147="","0010",$B147))</f>
        <v/>
      </c>
    </row>
    <row r="148">
      <c r="A148" s="5" t="n"/>
      <c r="B148" s="5" t="n"/>
      <c r="C148" s="5" t="n"/>
      <c r="D148" s="5" t="n"/>
      <c r="E148" s="5" t="n"/>
      <c r="F148" s="18" t="n"/>
      <c r="G148" s="18" t="n"/>
      <c r="H148" s="18" t="n"/>
      <c r="I148" s="5" t="n"/>
      <c r="J148" s="24">
        <f>IF($A148="","",$A148&amp;IF($B148="","0010",$B148))</f>
        <v/>
      </c>
    </row>
    <row r="149">
      <c r="A149" s="5" t="n"/>
      <c r="B149" s="5" t="n"/>
      <c r="C149" s="5" t="n"/>
      <c r="D149" s="5" t="n"/>
      <c r="E149" s="5" t="n"/>
      <c r="F149" s="18" t="n"/>
      <c r="G149" s="18" t="n"/>
      <c r="H149" s="18" t="n"/>
      <c r="I149" s="5" t="n"/>
      <c r="J149" s="24">
        <f>IF($A149="","",$A149&amp;IF($B149="","0010",$B149))</f>
        <v/>
      </c>
    </row>
    <row r="150">
      <c r="A150" s="5" t="n"/>
      <c r="B150" s="5" t="n"/>
      <c r="C150" s="5" t="n"/>
      <c r="D150" s="5" t="n"/>
      <c r="E150" s="5" t="n"/>
      <c r="F150" s="18" t="n"/>
      <c r="G150" s="18" t="n"/>
      <c r="H150" s="18" t="n"/>
      <c r="I150" s="5" t="n"/>
      <c r="J150" s="24">
        <f>IF($A150="","",$A150&amp;IF($B150="","0010",$B150))</f>
        <v/>
      </c>
    </row>
    <row r="151">
      <c r="A151" s="5" t="n"/>
      <c r="B151" s="5" t="n"/>
      <c r="C151" s="5" t="n"/>
      <c r="D151" s="5" t="n"/>
      <c r="E151" s="5" t="n"/>
      <c r="F151" s="18" t="n"/>
      <c r="G151" s="18" t="n"/>
      <c r="H151" s="18" t="n"/>
      <c r="I151" s="5" t="n"/>
      <c r="J151" s="24">
        <f>IF($A151="","",$A151&amp;IF($B151="","0010",$B151))</f>
        <v/>
      </c>
    </row>
    <row r="152">
      <c r="A152" s="5" t="n"/>
      <c r="B152" s="5" t="n"/>
      <c r="C152" s="5" t="n"/>
      <c r="D152" s="5" t="n"/>
      <c r="E152" s="5" t="n"/>
      <c r="F152" s="18" t="n"/>
      <c r="G152" s="18" t="n"/>
      <c r="H152" s="18" t="n"/>
      <c r="I152" s="5" t="n"/>
      <c r="J152" s="24">
        <f>IF($A152="","",$A152&amp;IF($B152="","0010",$B152))</f>
        <v/>
      </c>
    </row>
    <row r="153">
      <c r="A153" s="5" t="n"/>
      <c r="B153" s="5" t="n"/>
      <c r="C153" s="5" t="n"/>
      <c r="D153" s="5" t="n"/>
      <c r="E153" s="5" t="n"/>
      <c r="F153" s="18" t="n"/>
      <c r="G153" s="18" t="n"/>
      <c r="H153" s="18" t="n"/>
      <c r="I153" s="5" t="n"/>
      <c r="J153" s="24">
        <f>IF($A153="","",$A153&amp;IF($B153="","0010",$B153))</f>
        <v/>
      </c>
    </row>
    <row r="154">
      <c r="A154" s="5" t="n"/>
      <c r="B154" s="5" t="n"/>
      <c r="C154" s="5" t="n"/>
      <c r="D154" s="5" t="n"/>
      <c r="E154" s="5" t="n"/>
      <c r="F154" s="18" t="n"/>
      <c r="G154" s="18" t="n"/>
      <c r="H154" s="18" t="n"/>
      <c r="I154" s="5" t="n"/>
      <c r="J154" s="24">
        <f>IF($A154="","",$A154&amp;IF($B154="","0010",$B154))</f>
        <v/>
      </c>
    </row>
    <row r="155">
      <c r="A155" s="5" t="n"/>
      <c r="B155" s="5" t="n"/>
      <c r="C155" s="5" t="n"/>
      <c r="D155" s="5" t="n"/>
      <c r="E155" s="5" t="n"/>
      <c r="F155" s="18" t="n"/>
      <c r="G155" s="18" t="n"/>
      <c r="H155" s="18" t="n"/>
      <c r="I155" s="5" t="n"/>
      <c r="J155" s="24">
        <f>IF($A155="","",$A155&amp;IF($B155="","0010",$B155))</f>
        <v/>
      </c>
    </row>
    <row r="156">
      <c r="A156" s="5" t="n"/>
      <c r="B156" s="5" t="n"/>
      <c r="C156" s="5" t="n"/>
      <c r="D156" s="5" t="n"/>
      <c r="E156" s="5" t="n"/>
      <c r="F156" s="18" t="n"/>
      <c r="G156" s="18" t="n"/>
      <c r="H156" s="18" t="n"/>
      <c r="I156" s="5" t="n"/>
      <c r="J156" s="24">
        <f>IF($A156="","",$A156&amp;IF($B156="","0010",$B156))</f>
        <v/>
      </c>
    </row>
    <row r="157">
      <c r="A157" s="5" t="n"/>
      <c r="B157" s="5" t="n"/>
      <c r="C157" s="5" t="n"/>
      <c r="D157" s="5" t="n"/>
      <c r="E157" s="5" t="n"/>
      <c r="F157" s="18" t="n"/>
      <c r="G157" s="18" t="n"/>
      <c r="H157" s="18" t="n"/>
      <c r="I157" s="5" t="n"/>
      <c r="J157" s="24">
        <f>IF($A157="","",$A157&amp;IF($B157="","0010",$B157))</f>
        <v/>
      </c>
    </row>
    <row r="158">
      <c r="A158" s="5" t="n"/>
      <c r="B158" s="5" t="n"/>
      <c r="C158" s="5" t="n"/>
      <c r="D158" s="5" t="n"/>
      <c r="E158" s="5" t="n"/>
      <c r="F158" s="18" t="n"/>
      <c r="G158" s="18" t="n"/>
      <c r="H158" s="18" t="n"/>
      <c r="I158" s="5" t="n"/>
      <c r="J158" s="24">
        <f>IF($A158="","",$A158&amp;IF($B158="","0010",$B158))</f>
        <v/>
      </c>
    </row>
    <row r="159">
      <c r="A159" s="5" t="n"/>
      <c r="B159" s="5" t="n"/>
      <c r="C159" s="5" t="n"/>
      <c r="D159" s="5" t="n"/>
      <c r="E159" s="5" t="n"/>
      <c r="F159" s="18" t="n"/>
      <c r="G159" s="18" t="n"/>
      <c r="H159" s="18" t="n"/>
      <c r="I159" s="5" t="n"/>
      <c r="J159" s="24">
        <f>IF($A159="","",$A159&amp;IF($B159="","0010",$B159))</f>
        <v/>
      </c>
    </row>
    <row r="160">
      <c r="A160" s="5" t="n"/>
      <c r="B160" s="5" t="n"/>
      <c r="C160" s="5" t="n"/>
      <c r="D160" s="5" t="n"/>
      <c r="E160" s="5" t="n"/>
      <c r="F160" s="18" t="n"/>
      <c r="G160" s="18" t="n"/>
      <c r="H160" s="18" t="n"/>
      <c r="I160" s="5" t="n"/>
      <c r="J160" s="24">
        <f>IF($A160="","",$A160&amp;IF($B160="","0010",$B160))</f>
        <v/>
      </c>
    </row>
    <row r="161">
      <c r="A161" s="5" t="n"/>
      <c r="B161" s="5" t="n"/>
      <c r="C161" s="5" t="n"/>
      <c r="D161" s="5" t="n"/>
      <c r="E161" s="5" t="n"/>
      <c r="F161" s="18" t="n"/>
      <c r="G161" s="18" t="n"/>
      <c r="H161" s="18" t="n"/>
      <c r="I161" s="5" t="n"/>
      <c r="J161" s="24">
        <f>IF($A161="","",$A161&amp;IF($B161="","0010",$B161))</f>
        <v/>
      </c>
    </row>
    <row r="162">
      <c r="A162" s="5" t="n"/>
      <c r="B162" s="5" t="n"/>
      <c r="C162" s="5" t="n"/>
      <c r="D162" s="5" t="n"/>
      <c r="E162" s="5" t="n"/>
      <c r="F162" s="18" t="n"/>
      <c r="G162" s="18" t="n"/>
      <c r="H162" s="18" t="n"/>
      <c r="I162" s="5" t="n"/>
      <c r="J162" s="24">
        <f>IF($A162="","",$A162&amp;IF($B162="","0010",$B162))</f>
        <v/>
      </c>
    </row>
    <row r="163">
      <c r="A163" s="5" t="n"/>
      <c r="B163" s="5" t="n"/>
      <c r="C163" s="5" t="n"/>
      <c r="D163" s="5" t="n"/>
      <c r="E163" s="5" t="n"/>
      <c r="F163" s="18" t="n"/>
      <c r="G163" s="18" t="n"/>
      <c r="H163" s="18" t="n"/>
      <c r="I163" s="5" t="n"/>
      <c r="J163" s="24">
        <f>IF($A163="","",$A163&amp;IF($B163="","0010",$B163))</f>
        <v/>
      </c>
    </row>
    <row r="164">
      <c r="A164" s="5" t="n"/>
      <c r="B164" s="5" t="n"/>
      <c r="C164" s="5" t="n"/>
      <c r="D164" s="5" t="n"/>
      <c r="E164" s="5" t="n"/>
      <c r="F164" s="18" t="n"/>
      <c r="G164" s="18" t="n"/>
      <c r="H164" s="18" t="n"/>
      <c r="I164" s="5" t="n"/>
      <c r="J164" s="24">
        <f>IF($A164="","",$A164&amp;IF($B164="","0010",$B164))</f>
        <v/>
      </c>
    </row>
    <row r="165">
      <c r="A165" s="5" t="n"/>
      <c r="B165" s="5" t="n"/>
      <c r="C165" s="5" t="n"/>
      <c r="D165" s="5" t="n"/>
      <c r="E165" s="5" t="n"/>
      <c r="F165" s="18" t="n"/>
      <c r="G165" s="18" t="n"/>
      <c r="H165" s="18" t="n"/>
      <c r="I165" s="5" t="n"/>
      <c r="J165" s="24">
        <f>IF($A165="","",$A165&amp;IF($B165="","0010",$B165))</f>
        <v/>
      </c>
    </row>
    <row r="166">
      <c r="A166" s="5" t="n"/>
      <c r="B166" s="5" t="n"/>
      <c r="C166" s="5" t="n"/>
      <c r="D166" s="5" t="n"/>
      <c r="E166" s="5" t="n"/>
      <c r="F166" s="18" t="n"/>
      <c r="G166" s="18" t="n"/>
      <c r="H166" s="18" t="n"/>
      <c r="I166" s="5" t="n"/>
      <c r="J166" s="24">
        <f>IF($A166="","",$A166&amp;IF($B166="","0010",$B166))</f>
        <v/>
      </c>
    </row>
    <row r="167">
      <c r="A167" s="5" t="n"/>
      <c r="B167" s="5" t="n"/>
      <c r="C167" s="5" t="n"/>
      <c r="D167" s="5" t="n"/>
      <c r="E167" s="5" t="n"/>
      <c r="F167" s="18" t="n"/>
      <c r="G167" s="18" t="n"/>
      <c r="H167" s="18" t="n"/>
      <c r="I167" s="5" t="n"/>
      <c r="J167" s="24">
        <f>IF($A167="","",$A167&amp;IF($B167="","0010",$B167))</f>
        <v/>
      </c>
    </row>
    <row r="168">
      <c r="A168" s="5" t="n"/>
      <c r="B168" s="5" t="n"/>
      <c r="C168" s="5" t="n"/>
      <c r="D168" s="5" t="n"/>
      <c r="E168" s="5" t="n"/>
      <c r="F168" s="18" t="n"/>
      <c r="G168" s="18" t="n"/>
      <c r="H168" s="18" t="n"/>
      <c r="I168" s="5" t="n"/>
      <c r="J168" s="24">
        <f>IF($A168="","",$A168&amp;IF($B168="","0010",$B168))</f>
        <v/>
      </c>
    </row>
    <row r="169">
      <c r="A169" s="5" t="n"/>
      <c r="B169" s="5" t="n"/>
      <c r="C169" s="5" t="n"/>
      <c r="D169" s="5" t="n"/>
      <c r="E169" s="5" t="n"/>
      <c r="F169" s="18" t="n"/>
      <c r="G169" s="18" t="n"/>
      <c r="H169" s="18" t="n"/>
      <c r="I169" s="5" t="n"/>
      <c r="J169" s="24">
        <f>IF($A169="","",$A169&amp;IF($B169="","0010",$B169))</f>
        <v/>
      </c>
    </row>
    <row r="170">
      <c r="A170" s="5" t="n"/>
      <c r="B170" s="5" t="n"/>
      <c r="C170" s="5" t="n"/>
      <c r="D170" s="5" t="n"/>
      <c r="E170" s="5" t="n"/>
      <c r="F170" s="18" t="n"/>
      <c r="G170" s="18" t="n"/>
      <c r="H170" s="18" t="n"/>
      <c r="I170" s="5" t="n"/>
      <c r="J170" s="24">
        <f>IF($A170="","",$A170&amp;IF($B170="","0010",$B170))</f>
        <v/>
      </c>
    </row>
    <row r="171">
      <c r="A171" s="5" t="n"/>
      <c r="B171" s="5" t="n"/>
      <c r="C171" s="5" t="n"/>
      <c r="D171" s="5" t="n"/>
      <c r="E171" s="5" t="n"/>
      <c r="F171" s="18" t="n"/>
      <c r="G171" s="18" t="n"/>
      <c r="H171" s="18" t="n"/>
      <c r="I171" s="5" t="n"/>
      <c r="J171" s="24">
        <f>IF($A171="","",$A171&amp;IF($B171="","0010",$B171))</f>
        <v/>
      </c>
    </row>
    <row r="172">
      <c r="A172" s="5" t="n"/>
      <c r="B172" s="5" t="n"/>
      <c r="C172" s="5" t="n"/>
      <c r="D172" s="5" t="n"/>
      <c r="E172" s="5" t="n"/>
      <c r="F172" s="18" t="n"/>
      <c r="G172" s="18" t="n"/>
      <c r="H172" s="18" t="n"/>
      <c r="I172" s="5" t="n"/>
      <c r="J172" s="24">
        <f>IF($A172="","",$A172&amp;IF($B172="","0010",$B172))</f>
        <v/>
      </c>
    </row>
    <row r="173">
      <c r="A173" s="5" t="n"/>
      <c r="B173" s="5" t="n"/>
      <c r="C173" s="5" t="n"/>
      <c r="D173" s="5" t="n"/>
      <c r="E173" s="5" t="n"/>
      <c r="F173" s="18" t="n"/>
      <c r="G173" s="18" t="n"/>
      <c r="H173" s="18" t="n"/>
      <c r="I173" s="5" t="n"/>
      <c r="J173" s="24">
        <f>IF($A173="","",$A173&amp;IF($B173="","0010",$B173))</f>
        <v/>
      </c>
    </row>
    <row r="174">
      <c r="A174" s="5" t="n"/>
      <c r="B174" s="5" t="n"/>
      <c r="C174" s="5" t="n"/>
      <c r="D174" s="5" t="n"/>
      <c r="E174" s="5" t="n"/>
      <c r="F174" s="18" t="n"/>
      <c r="G174" s="18" t="n"/>
      <c r="H174" s="18" t="n"/>
      <c r="I174" s="5" t="n"/>
      <c r="J174" s="24">
        <f>IF($A174="","",$A174&amp;IF($B174="","0010",$B174))</f>
        <v/>
      </c>
    </row>
    <row r="175">
      <c r="A175" s="5" t="n"/>
      <c r="B175" s="5" t="n"/>
      <c r="C175" s="5" t="n"/>
      <c r="D175" s="5" t="n"/>
      <c r="E175" s="5" t="n"/>
      <c r="F175" s="18" t="n"/>
      <c r="G175" s="18" t="n"/>
      <c r="H175" s="18" t="n"/>
      <c r="I175" s="5" t="n"/>
      <c r="J175" s="24">
        <f>IF($A175="","",$A175&amp;IF($B175="","0010",$B175))</f>
        <v/>
      </c>
    </row>
    <row r="176">
      <c r="A176" s="5" t="n"/>
      <c r="B176" s="5" t="n"/>
      <c r="C176" s="5" t="n"/>
      <c r="D176" s="5" t="n"/>
      <c r="E176" s="5" t="n"/>
      <c r="F176" s="18" t="n"/>
      <c r="G176" s="18" t="n"/>
      <c r="H176" s="18" t="n"/>
      <c r="I176" s="5" t="n"/>
      <c r="J176" s="24">
        <f>IF($A176="","",$A176&amp;IF($B176="","0010",$B176))</f>
        <v/>
      </c>
    </row>
    <row r="177">
      <c r="A177" s="5" t="n"/>
      <c r="B177" s="5" t="n"/>
      <c r="C177" s="5" t="n"/>
      <c r="D177" s="5" t="n"/>
      <c r="E177" s="5" t="n"/>
      <c r="F177" s="18" t="n"/>
      <c r="G177" s="18" t="n"/>
      <c r="H177" s="18" t="n"/>
      <c r="I177" s="5" t="n"/>
      <c r="J177" s="24">
        <f>IF($A177="","",$A177&amp;IF($B177="","0010",$B177))</f>
        <v/>
      </c>
    </row>
    <row r="178">
      <c r="A178" s="5" t="n"/>
      <c r="B178" s="5" t="n"/>
      <c r="C178" s="5" t="n"/>
      <c r="D178" s="5" t="n"/>
      <c r="E178" s="5" t="n"/>
      <c r="F178" s="18" t="n"/>
      <c r="G178" s="18" t="n"/>
      <c r="H178" s="18" t="n"/>
      <c r="I178" s="5" t="n"/>
      <c r="J178" s="24">
        <f>IF($A178="","",$A178&amp;IF($B178="","0010",$B178))</f>
        <v/>
      </c>
    </row>
    <row r="179">
      <c r="A179" s="5" t="n"/>
      <c r="B179" s="5" t="n"/>
      <c r="C179" s="5" t="n"/>
      <c r="D179" s="5" t="n"/>
      <c r="E179" s="5" t="n"/>
      <c r="F179" s="18" t="n"/>
      <c r="G179" s="18" t="n"/>
      <c r="H179" s="18" t="n"/>
      <c r="I179" s="5" t="n"/>
      <c r="J179" s="24">
        <f>IF($A179="","",$A179&amp;IF($B179="","0010",$B179))</f>
        <v/>
      </c>
    </row>
    <row r="180">
      <c r="A180" s="5" t="n"/>
      <c r="B180" s="5" t="n"/>
      <c r="C180" s="5" t="n"/>
      <c r="D180" s="5" t="n"/>
      <c r="E180" s="5" t="n"/>
      <c r="F180" s="18" t="n"/>
      <c r="G180" s="18" t="n"/>
      <c r="H180" s="18" t="n"/>
      <c r="I180" s="5" t="n"/>
      <c r="J180" s="24">
        <f>IF($A180="","",$A180&amp;IF($B180="","0010",$B180))</f>
        <v/>
      </c>
    </row>
    <row r="181">
      <c r="A181" s="5" t="n"/>
      <c r="B181" s="5" t="n"/>
      <c r="C181" s="5" t="n"/>
      <c r="D181" s="5" t="n"/>
      <c r="E181" s="5" t="n"/>
      <c r="F181" s="18" t="n"/>
      <c r="G181" s="18" t="n"/>
      <c r="H181" s="18" t="n"/>
      <c r="I181" s="5" t="n"/>
      <c r="J181" s="24">
        <f>IF($A181="","",$A181&amp;IF($B181="","0010",$B181))</f>
        <v/>
      </c>
    </row>
    <row r="182">
      <c r="A182" s="5" t="n"/>
      <c r="B182" s="5" t="n"/>
      <c r="C182" s="5" t="n"/>
      <c r="D182" s="5" t="n"/>
      <c r="E182" s="5" t="n"/>
      <c r="F182" s="18" t="n"/>
      <c r="G182" s="18" t="n"/>
      <c r="H182" s="18" t="n"/>
      <c r="I182" s="5" t="n"/>
      <c r="J182" s="24">
        <f>IF($A182="","",$A182&amp;IF($B182="","0010",$B182))</f>
        <v/>
      </c>
    </row>
    <row r="183">
      <c r="A183" s="5" t="n"/>
      <c r="B183" s="5" t="n"/>
      <c r="C183" s="5" t="n"/>
      <c r="D183" s="5" t="n"/>
      <c r="E183" s="5" t="n"/>
      <c r="F183" s="18" t="n"/>
      <c r="G183" s="18" t="n"/>
      <c r="H183" s="18" t="n"/>
      <c r="I183" s="5" t="n"/>
      <c r="J183" s="24">
        <f>IF($A183="","",$A183&amp;IF($B183="","0010",$B183))</f>
        <v/>
      </c>
    </row>
    <row r="184">
      <c r="A184" s="5" t="n"/>
      <c r="B184" s="5" t="n"/>
      <c r="C184" s="5" t="n"/>
      <c r="D184" s="5" t="n"/>
      <c r="E184" s="5" t="n"/>
      <c r="F184" s="18" t="n"/>
      <c r="G184" s="18" t="n"/>
      <c r="H184" s="18" t="n"/>
      <c r="I184" s="5" t="n"/>
      <c r="J184" s="24">
        <f>IF($A184="","",$A184&amp;IF($B184="","0010",$B184))</f>
        <v/>
      </c>
    </row>
    <row r="185">
      <c r="A185" s="5" t="n"/>
      <c r="B185" s="5" t="n"/>
      <c r="C185" s="5" t="n"/>
      <c r="D185" s="5" t="n"/>
      <c r="E185" s="5" t="n"/>
      <c r="F185" s="18" t="n"/>
      <c r="G185" s="18" t="n"/>
      <c r="H185" s="18" t="n"/>
      <c r="I185" s="5" t="n"/>
      <c r="J185" s="24">
        <f>IF($A185="","",$A185&amp;IF($B185="","0010",$B185))</f>
        <v/>
      </c>
    </row>
    <row r="186">
      <c r="A186" s="5" t="n"/>
      <c r="B186" s="5" t="n"/>
      <c r="C186" s="5" t="n"/>
      <c r="D186" s="5" t="n"/>
      <c r="E186" s="5" t="n"/>
      <c r="F186" s="18" t="n"/>
      <c r="G186" s="18" t="n"/>
      <c r="H186" s="18" t="n"/>
      <c r="I186" s="5" t="n"/>
      <c r="J186" s="24">
        <f>IF($A186="","",$A186&amp;IF($B186="","0010",$B186))</f>
        <v/>
      </c>
    </row>
    <row r="187">
      <c r="A187" s="5" t="n"/>
      <c r="B187" s="5" t="n"/>
      <c r="C187" s="5" t="n"/>
      <c r="D187" s="5" t="n"/>
      <c r="E187" s="5" t="n"/>
      <c r="F187" s="18" t="n"/>
      <c r="G187" s="18" t="n"/>
      <c r="H187" s="18" t="n"/>
      <c r="I187" s="5" t="n"/>
      <c r="J187" s="24">
        <f>IF($A187="","",$A187&amp;IF($B187="","0010",$B187))</f>
        <v/>
      </c>
    </row>
    <row r="188">
      <c r="A188" s="5" t="n"/>
      <c r="B188" s="5" t="n"/>
      <c r="C188" s="5" t="n"/>
      <c r="D188" s="5" t="n"/>
      <c r="E188" s="5" t="n"/>
      <c r="F188" s="18" t="n"/>
      <c r="G188" s="18" t="n"/>
      <c r="H188" s="18" t="n"/>
      <c r="I188" s="5" t="n"/>
      <c r="J188" s="24">
        <f>IF($A188="","",$A188&amp;IF($B188="","0010",$B188))</f>
        <v/>
      </c>
    </row>
    <row r="189">
      <c r="A189" s="5" t="n"/>
      <c r="B189" s="5" t="n"/>
      <c r="C189" s="5" t="n"/>
      <c r="D189" s="5" t="n"/>
      <c r="E189" s="5" t="n"/>
      <c r="F189" s="18" t="n"/>
      <c r="G189" s="18" t="n"/>
      <c r="H189" s="18" t="n"/>
      <c r="I189" s="5" t="n"/>
      <c r="J189" s="24">
        <f>IF($A189="","",$A189&amp;IF($B189="","0010",$B189))</f>
        <v/>
      </c>
    </row>
    <row r="190">
      <c r="A190" s="5" t="n"/>
      <c r="B190" s="5" t="n"/>
      <c r="C190" s="5" t="n"/>
      <c r="D190" s="5" t="n"/>
      <c r="E190" s="5" t="n"/>
      <c r="F190" s="18" t="n"/>
      <c r="G190" s="18" t="n"/>
      <c r="H190" s="18" t="n"/>
      <c r="I190" s="5" t="n"/>
      <c r="J190" s="24">
        <f>IF($A190="","",$A190&amp;IF($B190="","0010",$B190))</f>
        <v/>
      </c>
    </row>
    <row r="191">
      <c r="A191" s="5" t="n"/>
      <c r="B191" s="5" t="n"/>
      <c r="C191" s="5" t="n"/>
      <c r="D191" s="5" t="n"/>
      <c r="E191" s="5" t="n"/>
      <c r="F191" s="18" t="n"/>
      <c r="G191" s="18" t="n"/>
      <c r="H191" s="18" t="n"/>
      <c r="I191" s="5" t="n"/>
      <c r="J191" s="24">
        <f>IF($A191="","",$A191&amp;IF($B191="","0010",$B191))</f>
        <v/>
      </c>
    </row>
    <row r="192">
      <c r="A192" s="5" t="n"/>
      <c r="B192" s="5" t="n"/>
      <c r="C192" s="5" t="n"/>
      <c r="D192" s="5" t="n"/>
      <c r="E192" s="5" t="n"/>
      <c r="F192" s="18" t="n"/>
      <c r="G192" s="18" t="n"/>
      <c r="H192" s="18" t="n"/>
      <c r="I192" s="5" t="n"/>
      <c r="J192" s="24">
        <f>IF($A192="","",$A192&amp;IF($B192="","0010",$B192))</f>
        <v/>
      </c>
    </row>
    <row r="193">
      <c r="A193" s="5" t="n"/>
      <c r="B193" s="5" t="n"/>
      <c r="C193" s="5" t="n"/>
      <c r="D193" s="5" t="n"/>
      <c r="E193" s="5" t="n"/>
      <c r="F193" s="18" t="n"/>
      <c r="G193" s="18" t="n"/>
      <c r="H193" s="18" t="n"/>
      <c r="I193" s="5" t="n"/>
      <c r="J193" s="24">
        <f>IF($A193="","",$A193&amp;IF($B193="","0010",$B193))</f>
        <v/>
      </c>
    </row>
    <row r="194">
      <c r="A194" s="5" t="n"/>
      <c r="B194" s="5" t="n"/>
      <c r="C194" s="5" t="n"/>
      <c r="D194" s="5" t="n"/>
      <c r="E194" s="5" t="n"/>
      <c r="F194" s="18" t="n"/>
      <c r="G194" s="18" t="n"/>
      <c r="H194" s="18" t="n"/>
      <c r="I194" s="5" t="n"/>
      <c r="J194" s="24">
        <f>IF($A194="","",$A194&amp;IF($B194="","0010",$B194))</f>
        <v/>
      </c>
    </row>
    <row r="195">
      <c r="A195" s="5" t="n"/>
      <c r="B195" s="5" t="n"/>
      <c r="C195" s="5" t="n"/>
      <c r="D195" s="5" t="n"/>
      <c r="E195" s="5" t="n"/>
      <c r="F195" s="18" t="n"/>
      <c r="G195" s="18" t="n"/>
      <c r="H195" s="18" t="n"/>
      <c r="I195" s="5" t="n"/>
      <c r="J195" s="24">
        <f>IF($A195="","",$A195&amp;IF($B195="","0010",$B195))</f>
        <v/>
      </c>
    </row>
    <row r="196">
      <c r="A196" s="5" t="n"/>
      <c r="B196" s="5" t="n"/>
      <c r="C196" s="5" t="n"/>
      <c r="D196" s="5" t="n"/>
      <c r="E196" s="5" t="n"/>
      <c r="F196" s="18" t="n"/>
      <c r="G196" s="18" t="n"/>
      <c r="H196" s="18" t="n"/>
      <c r="I196" s="5" t="n"/>
      <c r="J196" s="24">
        <f>IF($A196="","",$A196&amp;IF($B196="","0010",$B196))</f>
        <v/>
      </c>
    </row>
    <row r="197">
      <c r="A197" s="5" t="n"/>
      <c r="B197" s="5" t="n"/>
      <c r="C197" s="5" t="n"/>
      <c r="D197" s="5" t="n"/>
      <c r="E197" s="5" t="n"/>
      <c r="F197" s="18" t="n"/>
      <c r="G197" s="18" t="n"/>
      <c r="H197" s="18" t="n"/>
      <c r="I197" s="5" t="n"/>
      <c r="J197" s="24">
        <f>IF($A197="","",$A197&amp;IF($B197="","0010",$B197))</f>
        <v/>
      </c>
    </row>
    <row r="198">
      <c r="A198" s="5" t="n"/>
      <c r="B198" s="5" t="n"/>
      <c r="C198" s="5" t="n"/>
      <c r="D198" s="5" t="n"/>
      <c r="E198" s="5" t="n"/>
      <c r="F198" s="18" t="n"/>
      <c r="G198" s="18" t="n"/>
      <c r="H198" s="18" t="n"/>
      <c r="I198" s="5" t="n"/>
      <c r="J198" s="24">
        <f>IF($A198="","",$A198&amp;IF($B198="","0010",$B198))</f>
        <v/>
      </c>
    </row>
    <row r="199">
      <c r="A199" s="5" t="n"/>
      <c r="B199" s="5" t="n"/>
      <c r="C199" s="5" t="n"/>
      <c r="D199" s="5" t="n"/>
      <c r="E199" s="5" t="n"/>
      <c r="F199" s="18" t="n"/>
      <c r="G199" s="18" t="n"/>
      <c r="H199" s="18" t="n"/>
      <c r="I199" s="5" t="n"/>
      <c r="J199" s="24">
        <f>IF($A199="","",$A199&amp;IF($B199="","0010",$B199))</f>
        <v/>
      </c>
    </row>
    <row r="200">
      <c r="A200" s="5" t="n"/>
      <c r="B200" s="5" t="n"/>
      <c r="C200" s="5" t="n"/>
      <c r="D200" s="5" t="n"/>
      <c r="E200" s="5" t="n"/>
      <c r="F200" s="18" t="n"/>
      <c r="G200" s="18" t="n"/>
      <c r="H200" s="18" t="n"/>
      <c r="I200" s="5" t="n"/>
      <c r="J200" s="24">
        <f>IF($A200="","",$A200&amp;IF($B200="","0010",$B200))</f>
        <v/>
      </c>
    </row>
    <row r="201">
      <c r="A201" s="5" t="n"/>
      <c r="B201" s="5" t="n"/>
      <c r="C201" s="5" t="n"/>
      <c r="D201" s="5" t="n"/>
      <c r="E201" s="5" t="n"/>
      <c r="F201" s="18" t="n"/>
      <c r="G201" s="18" t="n"/>
      <c r="H201" s="18" t="n"/>
      <c r="I201" s="5" t="n"/>
      <c r="J201" s="24">
        <f>IF($A201="","",$A201&amp;IF($B201="","0010",$B201))</f>
        <v/>
      </c>
    </row>
    <row r="202">
      <c r="A202" s="5" t="n"/>
      <c r="B202" s="5" t="n"/>
      <c r="C202" s="5" t="n"/>
      <c r="D202" s="5" t="n"/>
      <c r="E202" s="5" t="n"/>
      <c r="F202" s="18" t="n"/>
      <c r="G202" s="18" t="n"/>
      <c r="H202" s="18" t="n"/>
      <c r="I202" s="5" t="n"/>
      <c r="J202" s="24">
        <f>IF($A202="","",$A202&amp;IF($B202="","0010",$B202))</f>
        <v/>
      </c>
    </row>
    <row r="203">
      <c r="A203" s="5" t="n"/>
      <c r="B203" s="5" t="n"/>
      <c r="C203" s="5" t="n"/>
      <c r="D203" s="5" t="n"/>
      <c r="E203" s="5" t="n"/>
      <c r="F203" s="18" t="n"/>
      <c r="G203" s="18" t="n"/>
      <c r="H203" s="18" t="n"/>
      <c r="I203" s="5" t="n"/>
      <c r="J203" s="24">
        <f>IF($A203="","",$A203&amp;IF($B203="","0010",$B203))</f>
        <v/>
      </c>
    </row>
    <row r="204">
      <c r="A204" s="5" t="n"/>
      <c r="B204" s="5" t="n"/>
      <c r="C204" s="5" t="n"/>
      <c r="D204" s="5" t="n"/>
      <c r="E204" s="5" t="n"/>
      <c r="F204" s="18" t="n"/>
      <c r="G204" s="18" t="n"/>
      <c r="H204" s="18" t="n"/>
      <c r="I204" s="5" t="n"/>
      <c r="J204" s="24">
        <f>IF($A204="","",$A204&amp;IF($B204="","0010",$B204))</f>
        <v/>
      </c>
    </row>
    <row r="205">
      <c r="A205" s="5" t="n"/>
      <c r="B205" s="5" t="n"/>
      <c r="C205" s="5" t="n"/>
      <c r="D205" s="5" t="n"/>
      <c r="E205" s="5" t="n"/>
      <c r="F205" s="18" t="n"/>
      <c r="G205" s="18" t="n"/>
      <c r="H205" s="18" t="n"/>
      <c r="I205" s="5" t="n"/>
      <c r="J205" s="24">
        <f>IF($A205="","",$A205&amp;IF($B205="","0010",$B205))</f>
        <v/>
      </c>
    </row>
    <row r="206">
      <c r="A206" s="5" t="n"/>
      <c r="B206" s="5" t="n"/>
      <c r="C206" s="5" t="n"/>
      <c r="D206" s="5" t="n"/>
      <c r="E206" s="5" t="n"/>
      <c r="F206" s="18" t="n"/>
      <c r="G206" s="18" t="n"/>
      <c r="H206" s="18" t="n"/>
      <c r="I206" s="5" t="n"/>
      <c r="J206" s="24">
        <f>IF($A206="","",$A206&amp;IF($B206="","0010",$B206))</f>
        <v/>
      </c>
    </row>
    <row r="207">
      <c r="A207" s="5" t="n"/>
      <c r="B207" s="5" t="n"/>
      <c r="C207" s="5" t="n"/>
      <c r="D207" s="5" t="n"/>
      <c r="E207" s="5" t="n"/>
      <c r="F207" s="18" t="n"/>
      <c r="G207" s="18" t="n"/>
      <c r="H207" s="18" t="n"/>
      <c r="I207" s="5" t="n"/>
      <c r="J207" s="24">
        <f>IF($A207="","",$A207&amp;IF($B207="","0010",$B207))</f>
        <v/>
      </c>
    </row>
    <row r="208">
      <c r="A208" s="5" t="n"/>
      <c r="B208" s="5" t="n"/>
      <c r="C208" s="5" t="n"/>
      <c r="D208" s="5" t="n"/>
      <c r="E208" s="5" t="n"/>
      <c r="F208" s="18" t="n"/>
      <c r="G208" s="18" t="n"/>
      <c r="H208" s="18" t="n"/>
      <c r="I208" s="5" t="n"/>
      <c r="J208" s="24">
        <f>IF($A208="","",$A208&amp;IF($B208="","0010",$B208))</f>
        <v/>
      </c>
    </row>
    <row r="209">
      <c r="A209" s="5" t="n"/>
      <c r="B209" s="5" t="n"/>
      <c r="C209" s="5" t="n"/>
      <c r="D209" s="5" t="n"/>
      <c r="E209" s="5" t="n"/>
      <c r="F209" s="18" t="n"/>
      <c r="G209" s="18" t="n"/>
      <c r="H209" s="18" t="n"/>
      <c r="I209" s="5" t="n"/>
      <c r="J209" s="24">
        <f>IF($A209="","",$A209&amp;IF($B209="","0010",$B209))</f>
        <v/>
      </c>
    </row>
    <row r="210">
      <c r="A210" s="5" t="n"/>
      <c r="B210" s="5" t="n"/>
      <c r="C210" s="5" t="n"/>
      <c r="D210" s="5" t="n"/>
      <c r="E210" s="5" t="n"/>
      <c r="F210" s="18" t="n"/>
      <c r="G210" s="18" t="n"/>
      <c r="H210" s="18" t="n"/>
      <c r="I210" s="5" t="n"/>
      <c r="J210" s="24">
        <f>IF($A210="","",$A210&amp;IF($B210="","0010",$B210))</f>
        <v/>
      </c>
    </row>
    <row r="211">
      <c r="A211" s="5" t="n"/>
      <c r="B211" s="5" t="n"/>
      <c r="C211" s="5" t="n"/>
      <c r="D211" s="5" t="n"/>
      <c r="E211" s="5" t="n"/>
      <c r="F211" s="18" t="n"/>
      <c r="G211" s="18" t="n"/>
      <c r="H211" s="18" t="n"/>
      <c r="I211" s="5" t="n"/>
      <c r="J211" s="24">
        <f>IF($A211="","",$A211&amp;IF($B211="","0010",$B211))</f>
        <v/>
      </c>
    </row>
    <row r="212">
      <c r="A212" s="5" t="n"/>
      <c r="B212" s="5" t="n"/>
      <c r="C212" s="5" t="n"/>
      <c r="D212" s="5" t="n"/>
      <c r="E212" s="5" t="n"/>
      <c r="F212" s="18" t="n"/>
      <c r="G212" s="18" t="n"/>
      <c r="H212" s="18" t="n"/>
      <c r="I212" s="5" t="n"/>
      <c r="J212" s="24">
        <f>IF($A212="","",$A212&amp;IF($B212="","0010",$B212))</f>
        <v/>
      </c>
    </row>
    <row r="213">
      <c r="A213" s="5" t="n"/>
      <c r="B213" s="5" t="n"/>
      <c r="C213" s="5" t="n"/>
      <c r="D213" s="5" t="n"/>
      <c r="E213" s="5" t="n"/>
      <c r="F213" s="18" t="n"/>
      <c r="G213" s="18" t="n"/>
      <c r="H213" s="18" t="n"/>
      <c r="I213" s="5" t="n"/>
      <c r="J213" s="24">
        <f>IF($A213="","",$A213&amp;IF($B213="","0010",$B213))</f>
        <v/>
      </c>
    </row>
    <row r="214">
      <c r="A214" s="5" t="n"/>
      <c r="B214" s="5" t="n"/>
      <c r="C214" s="5" t="n"/>
      <c r="D214" s="5" t="n"/>
      <c r="E214" s="5" t="n"/>
      <c r="F214" s="18" t="n"/>
      <c r="G214" s="18" t="n"/>
      <c r="H214" s="18" t="n"/>
      <c r="I214" s="5" t="n"/>
      <c r="J214" s="24">
        <f>IF($A214="","",$A214&amp;IF($B214="","0010",$B214))</f>
        <v/>
      </c>
    </row>
    <row r="215">
      <c r="A215" s="5" t="n"/>
      <c r="B215" s="5" t="n"/>
      <c r="C215" s="5" t="n"/>
      <c r="D215" s="5" t="n"/>
      <c r="E215" s="5" t="n"/>
      <c r="F215" s="18" t="n"/>
      <c r="G215" s="18" t="n"/>
      <c r="H215" s="18" t="n"/>
      <c r="I215" s="5" t="n"/>
      <c r="J215" s="24">
        <f>IF($A215="","",$A215&amp;IF($B215="","0010",$B215))</f>
        <v/>
      </c>
    </row>
    <row r="216">
      <c r="A216" s="5" t="n"/>
      <c r="B216" s="5" t="n"/>
      <c r="C216" s="5" t="n"/>
      <c r="D216" s="5" t="n"/>
      <c r="E216" s="5" t="n"/>
      <c r="F216" s="18" t="n"/>
      <c r="G216" s="18" t="n"/>
      <c r="H216" s="18" t="n"/>
      <c r="I216" s="5" t="n"/>
      <c r="J216" s="24">
        <f>IF($A216="","",$A216&amp;IF($B216="","0010",$B216))</f>
        <v/>
      </c>
    </row>
    <row r="217">
      <c r="A217" s="5" t="n"/>
      <c r="B217" s="5" t="n"/>
      <c r="C217" s="5" t="n"/>
      <c r="D217" s="5" t="n"/>
      <c r="E217" s="5" t="n"/>
      <c r="F217" s="18" t="n"/>
      <c r="G217" s="18" t="n"/>
      <c r="H217" s="18" t="n"/>
      <c r="I217" s="5" t="n"/>
      <c r="J217" s="24">
        <f>IF($A217="","",$A217&amp;IF($B217="","0010",$B217))</f>
        <v/>
      </c>
    </row>
    <row r="218">
      <c r="A218" s="5" t="n"/>
      <c r="B218" s="5" t="n"/>
      <c r="C218" s="5" t="n"/>
      <c r="D218" s="5" t="n"/>
      <c r="E218" s="5" t="n"/>
      <c r="F218" s="18" t="n"/>
      <c r="G218" s="18" t="n"/>
      <c r="H218" s="18" t="n"/>
      <c r="I218" s="5" t="n"/>
      <c r="J218" s="24">
        <f>IF($A218="","",$A218&amp;IF($B218="","0010",$B218))</f>
        <v/>
      </c>
    </row>
    <row r="219">
      <c r="A219" s="5" t="n"/>
      <c r="B219" s="5" t="n"/>
      <c r="C219" s="5" t="n"/>
      <c r="D219" s="5" t="n"/>
      <c r="E219" s="5" t="n"/>
      <c r="F219" s="18" t="n"/>
      <c r="G219" s="18" t="n"/>
      <c r="H219" s="18" t="n"/>
      <c r="I219" s="5" t="n"/>
      <c r="J219" s="24">
        <f>IF($A219="","",$A219&amp;IF($B219="","0010",$B219))</f>
        <v/>
      </c>
    </row>
    <row r="220">
      <c r="A220" s="5" t="n"/>
      <c r="B220" s="5" t="n"/>
      <c r="C220" s="5" t="n"/>
      <c r="D220" s="5" t="n"/>
      <c r="E220" s="5" t="n"/>
      <c r="F220" s="18" t="n"/>
      <c r="G220" s="18" t="n"/>
      <c r="H220" s="18" t="n"/>
      <c r="I220" s="5" t="n"/>
      <c r="J220" s="24">
        <f>IF($A220="","",$A220&amp;IF($B220="","0010",$B220))</f>
        <v/>
      </c>
    </row>
    <row r="221">
      <c r="A221" s="5" t="n"/>
      <c r="B221" s="5" t="n"/>
      <c r="C221" s="5" t="n"/>
      <c r="D221" s="5" t="n"/>
      <c r="E221" s="5" t="n"/>
      <c r="F221" s="18" t="n"/>
      <c r="G221" s="18" t="n"/>
      <c r="H221" s="18" t="n"/>
      <c r="I221" s="5" t="n"/>
      <c r="J221" s="24">
        <f>IF($A221="","",$A221&amp;IF($B221="","0010",$B221))</f>
        <v/>
      </c>
    </row>
    <row r="222">
      <c r="A222" s="5" t="n"/>
      <c r="B222" s="5" t="n"/>
      <c r="C222" s="5" t="n"/>
      <c r="D222" s="5" t="n"/>
      <c r="E222" s="5" t="n"/>
      <c r="F222" s="18" t="n"/>
      <c r="G222" s="18" t="n"/>
      <c r="H222" s="18" t="n"/>
      <c r="I222" s="5" t="n"/>
      <c r="J222" s="24">
        <f>IF($A222="","",$A222&amp;IF($B222="","0010",$B222))</f>
        <v/>
      </c>
    </row>
    <row r="223">
      <c r="A223" s="5" t="n"/>
      <c r="B223" s="5" t="n"/>
      <c r="C223" s="5" t="n"/>
      <c r="D223" s="5" t="n"/>
      <c r="E223" s="5" t="n"/>
      <c r="F223" s="18" t="n"/>
      <c r="G223" s="18" t="n"/>
      <c r="H223" s="18" t="n"/>
      <c r="I223" s="5" t="n"/>
      <c r="J223" s="24">
        <f>IF($A223="","",$A223&amp;IF($B223="","0010",$B223))</f>
        <v/>
      </c>
    </row>
    <row r="224">
      <c r="A224" s="5" t="n"/>
      <c r="B224" s="5" t="n"/>
      <c r="C224" s="5" t="n"/>
      <c r="D224" s="5" t="n"/>
      <c r="E224" s="5" t="n"/>
      <c r="F224" s="18" t="n"/>
      <c r="G224" s="18" t="n"/>
      <c r="H224" s="18" t="n"/>
      <c r="I224" s="5" t="n"/>
      <c r="J224" s="24">
        <f>IF($A224="","",$A224&amp;IF($B224="","0010",$B224))</f>
        <v/>
      </c>
    </row>
    <row r="225">
      <c r="A225" s="5" t="n"/>
      <c r="B225" s="5" t="n"/>
      <c r="C225" s="5" t="n"/>
      <c r="D225" s="5" t="n"/>
      <c r="E225" s="5" t="n"/>
      <c r="F225" s="18" t="n"/>
      <c r="G225" s="18" t="n"/>
      <c r="H225" s="18" t="n"/>
      <c r="I225" s="5" t="n"/>
      <c r="J225" s="24">
        <f>IF($A225="","",$A225&amp;IF($B225="","0010",$B225))</f>
        <v/>
      </c>
    </row>
    <row r="226">
      <c r="A226" s="5" t="n"/>
      <c r="B226" s="5" t="n"/>
      <c r="C226" s="5" t="n"/>
      <c r="D226" s="5" t="n"/>
      <c r="E226" s="5" t="n"/>
      <c r="F226" s="18" t="n"/>
      <c r="G226" s="18" t="n"/>
      <c r="H226" s="18" t="n"/>
      <c r="I226" s="5" t="n"/>
      <c r="J226" s="24">
        <f>IF($A226="","",$A226&amp;IF($B226="","0010",$B226))</f>
        <v/>
      </c>
    </row>
    <row r="227">
      <c r="A227" s="5" t="n"/>
      <c r="B227" s="5" t="n"/>
      <c r="C227" s="5" t="n"/>
      <c r="D227" s="5" t="n"/>
      <c r="E227" s="5" t="n"/>
      <c r="F227" s="18" t="n"/>
      <c r="G227" s="18" t="n"/>
      <c r="H227" s="18" t="n"/>
      <c r="I227" s="5" t="n"/>
      <c r="J227" s="24">
        <f>IF($A227="","",$A227&amp;IF($B227="","0010",$B227))</f>
        <v/>
      </c>
    </row>
    <row r="228">
      <c r="A228" s="5" t="n"/>
      <c r="B228" s="5" t="n"/>
      <c r="C228" s="5" t="n"/>
      <c r="D228" s="5" t="n"/>
      <c r="E228" s="5" t="n"/>
      <c r="F228" s="18" t="n"/>
      <c r="G228" s="18" t="n"/>
      <c r="H228" s="18" t="n"/>
      <c r="I228" s="5" t="n"/>
      <c r="J228" s="24">
        <f>IF($A228="","",$A228&amp;IF($B228="","0010",$B228))</f>
        <v/>
      </c>
    </row>
    <row r="229">
      <c r="A229" s="5" t="n"/>
      <c r="B229" s="5" t="n"/>
      <c r="C229" s="5" t="n"/>
      <c r="D229" s="5" t="n"/>
      <c r="E229" s="5" t="n"/>
      <c r="F229" s="18" t="n"/>
      <c r="G229" s="18" t="n"/>
      <c r="H229" s="18" t="n"/>
      <c r="I229" s="5" t="n"/>
      <c r="J229" s="24">
        <f>IF($A229="","",$A229&amp;IF($B229="","0010",$B229))</f>
        <v/>
      </c>
    </row>
    <row r="230">
      <c r="A230" s="5" t="n"/>
      <c r="B230" s="5" t="n"/>
      <c r="C230" s="5" t="n"/>
      <c r="D230" s="5" t="n"/>
      <c r="E230" s="5" t="n"/>
      <c r="F230" s="18" t="n"/>
      <c r="G230" s="18" t="n"/>
      <c r="H230" s="18" t="n"/>
      <c r="I230" s="5" t="n"/>
      <c r="J230" s="24">
        <f>IF($A230="","",$A230&amp;IF($B230="","0010",$B230))</f>
        <v/>
      </c>
    </row>
    <row r="231">
      <c r="A231" s="5" t="n"/>
      <c r="B231" s="5" t="n"/>
      <c r="C231" s="5" t="n"/>
      <c r="D231" s="5" t="n"/>
      <c r="E231" s="5" t="n"/>
      <c r="F231" s="18" t="n"/>
      <c r="G231" s="18" t="n"/>
      <c r="H231" s="18" t="n"/>
      <c r="I231" s="5" t="n"/>
      <c r="J231" s="24">
        <f>IF($A231="","",$A231&amp;IF($B231="","0010",$B231))</f>
        <v/>
      </c>
    </row>
    <row r="232">
      <c r="A232" s="5" t="n"/>
      <c r="B232" s="5" t="n"/>
      <c r="C232" s="5" t="n"/>
      <c r="D232" s="5" t="n"/>
      <c r="E232" s="5" t="n"/>
      <c r="F232" s="18" t="n"/>
      <c r="G232" s="18" t="n"/>
      <c r="H232" s="18" t="n"/>
      <c r="I232" s="5" t="n"/>
      <c r="J232" s="24">
        <f>IF($A232="","",$A232&amp;IF($B232="","0010",$B232))</f>
        <v/>
      </c>
    </row>
    <row r="233">
      <c r="A233" s="5" t="n"/>
      <c r="B233" s="5" t="n"/>
      <c r="C233" s="5" t="n"/>
      <c r="D233" s="5" t="n"/>
      <c r="E233" s="5" t="n"/>
      <c r="F233" s="18" t="n"/>
      <c r="G233" s="18" t="n"/>
      <c r="H233" s="18" t="n"/>
      <c r="I233" s="5" t="n"/>
      <c r="J233" s="24">
        <f>IF($A233="","",$A233&amp;IF($B233="","0010",$B233))</f>
        <v/>
      </c>
    </row>
    <row r="234">
      <c r="A234" s="5" t="n"/>
      <c r="B234" s="5" t="n"/>
      <c r="C234" s="5" t="n"/>
      <c r="D234" s="5" t="n"/>
      <c r="E234" s="5" t="n"/>
      <c r="F234" s="18" t="n"/>
      <c r="G234" s="18" t="n"/>
      <c r="H234" s="18" t="n"/>
      <c r="I234" s="5" t="n"/>
      <c r="J234" s="24">
        <f>IF($A234="","",$A234&amp;IF($B234="","0010",$B234))</f>
        <v/>
      </c>
    </row>
    <row r="235">
      <c r="A235" s="5" t="n"/>
      <c r="B235" s="5" t="n"/>
      <c r="C235" s="5" t="n"/>
      <c r="D235" s="5" t="n"/>
      <c r="E235" s="5" t="n"/>
      <c r="F235" s="18" t="n"/>
      <c r="G235" s="18" t="n"/>
      <c r="H235" s="18" t="n"/>
      <c r="I235" s="5" t="n"/>
      <c r="J235" s="24">
        <f>IF($A235="","",$A235&amp;IF($B235="","0010",$B235))</f>
        <v/>
      </c>
    </row>
    <row r="236">
      <c r="A236" s="5" t="n"/>
      <c r="B236" s="5" t="n"/>
      <c r="C236" s="5" t="n"/>
      <c r="D236" s="5" t="n"/>
      <c r="E236" s="5" t="n"/>
      <c r="F236" s="18" t="n"/>
      <c r="G236" s="18" t="n"/>
      <c r="H236" s="18" t="n"/>
      <c r="I236" s="5" t="n"/>
      <c r="J236" s="24">
        <f>IF($A236="","",$A236&amp;IF($B236="","0010",$B236))</f>
        <v/>
      </c>
    </row>
    <row r="237">
      <c r="A237" s="5" t="n"/>
      <c r="B237" s="5" t="n"/>
      <c r="C237" s="5" t="n"/>
      <c r="D237" s="5" t="n"/>
      <c r="E237" s="5" t="n"/>
      <c r="F237" s="18" t="n"/>
      <c r="G237" s="18" t="n"/>
      <c r="H237" s="18" t="n"/>
      <c r="I237" s="5" t="n"/>
      <c r="J237" s="24">
        <f>IF($A237="","",$A237&amp;IF($B237="","0010",$B237))</f>
        <v/>
      </c>
    </row>
    <row r="238">
      <c r="A238" s="5" t="n"/>
      <c r="B238" s="5" t="n"/>
      <c r="C238" s="5" t="n"/>
      <c r="D238" s="5" t="n"/>
      <c r="E238" s="5" t="n"/>
      <c r="F238" s="18" t="n"/>
      <c r="G238" s="18" t="n"/>
      <c r="H238" s="18" t="n"/>
      <c r="I238" s="5" t="n"/>
      <c r="J238" s="24">
        <f>IF($A238="","",$A238&amp;IF($B238="","0010",$B238))</f>
        <v/>
      </c>
    </row>
    <row r="239">
      <c r="A239" s="5" t="n"/>
      <c r="B239" s="5" t="n"/>
      <c r="C239" s="5" t="n"/>
      <c r="D239" s="5" t="n"/>
      <c r="E239" s="5" t="n"/>
      <c r="F239" s="18" t="n"/>
      <c r="G239" s="18" t="n"/>
      <c r="H239" s="18" t="n"/>
      <c r="I239" s="5" t="n"/>
      <c r="J239" s="24">
        <f>IF($A239="","",$A239&amp;IF($B239="","0010",$B239))</f>
        <v/>
      </c>
    </row>
    <row r="240">
      <c r="A240" s="5" t="n"/>
      <c r="B240" s="5" t="n"/>
      <c r="C240" s="5" t="n"/>
      <c r="D240" s="5" t="n"/>
      <c r="E240" s="5" t="n"/>
      <c r="F240" s="18" t="n"/>
      <c r="G240" s="18" t="n"/>
      <c r="H240" s="18" t="n"/>
      <c r="I240" s="5" t="n"/>
      <c r="J240" s="24">
        <f>IF($A240="","",$A240&amp;IF($B240="","0010",$B240))</f>
        <v/>
      </c>
    </row>
    <row r="241">
      <c r="A241" s="5" t="n"/>
      <c r="B241" s="5" t="n"/>
      <c r="C241" s="5" t="n"/>
      <c r="D241" s="5" t="n"/>
      <c r="E241" s="5" t="n"/>
      <c r="F241" s="18" t="n"/>
      <c r="G241" s="18" t="n"/>
      <c r="H241" s="18" t="n"/>
      <c r="I241" s="5" t="n"/>
      <c r="J241" s="24">
        <f>IF($A241="","",$A241&amp;IF($B241="","0010",$B241))</f>
        <v/>
      </c>
    </row>
    <row r="242">
      <c r="A242" s="5" t="n"/>
      <c r="B242" s="5" t="n"/>
      <c r="C242" s="5" t="n"/>
      <c r="D242" s="5" t="n"/>
      <c r="E242" s="5" t="n"/>
      <c r="F242" s="18" t="n"/>
      <c r="G242" s="18" t="n"/>
      <c r="H242" s="18" t="n"/>
      <c r="I242" s="5" t="n"/>
      <c r="J242" s="24">
        <f>IF($A242="","",$A242&amp;IF($B242="","0010",$B242))</f>
        <v/>
      </c>
    </row>
    <row r="243">
      <c r="A243" s="5" t="n"/>
      <c r="B243" s="5" t="n"/>
      <c r="C243" s="5" t="n"/>
      <c r="D243" s="5" t="n"/>
      <c r="E243" s="5" t="n"/>
      <c r="F243" s="18" t="n"/>
      <c r="G243" s="18" t="n"/>
      <c r="H243" s="18" t="n"/>
      <c r="I243" s="5" t="n"/>
      <c r="J243" s="24">
        <f>IF($A243="","",$A243&amp;IF($B243="","0010",$B243))</f>
        <v/>
      </c>
    </row>
    <row r="244">
      <c r="A244" s="5" t="n"/>
      <c r="B244" s="5" t="n"/>
      <c r="C244" s="5" t="n"/>
      <c r="D244" s="5" t="n"/>
      <c r="E244" s="5" t="n"/>
      <c r="F244" s="18" t="n"/>
      <c r="G244" s="18" t="n"/>
      <c r="H244" s="18" t="n"/>
      <c r="I244" s="5" t="n"/>
      <c r="J244" s="24">
        <f>IF($A244="","",$A244&amp;IF($B244="","0010",$B244))</f>
        <v/>
      </c>
    </row>
    <row r="245">
      <c r="A245" s="5" t="n"/>
      <c r="B245" s="5" t="n"/>
      <c r="C245" s="5" t="n"/>
      <c r="D245" s="5" t="n"/>
      <c r="E245" s="5" t="n"/>
      <c r="F245" s="18" t="n"/>
      <c r="G245" s="18" t="n"/>
      <c r="H245" s="18" t="n"/>
      <c r="I245" s="5" t="n"/>
      <c r="J245" s="24">
        <f>IF($A245="","",$A245&amp;IF($B245="","0010",$B245))</f>
        <v/>
      </c>
    </row>
    <row r="246">
      <c r="A246" s="5" t="n"/>
      <c r="B246" s="5" t="n"/>
      <c r="C246" s="5" t="n"/>
      <c r="D246" s="5" t="n"/>
      <c r="E246" s="5" t="n"/>
      <c r="F246" s="18" t="n"/>
      <c r="G246" s="18" t="n"/>
      <c r="H246" s="18" t="n"/>
      <c r="I246" s="5" t="n"/>
      <c r="J246" s="24">
        <f>IF($A246="","",$A246&amp;IF($B246="","0010",$B246))</f>
        <v/>
      </c>
    </row>
    <row r="247">
      <c r="A247" s="5" t="n"/>
      <c r="B247" s="5" t="n"/>
      <c r="C247" s="5" t="n"/>
      <c r="D247" s="5" t="n"/>
      <c r="E247" s="5" t="n"/>
      <c r="F247" s="18" t="n"/>
      <c r="G247" s="18" t="n"/>
      <c r="H247" s="18" t="n"/>
      <c r="I247" s="5" t="n"/>
      <c r="J247" s="24">
        <f>IF($A247="","",$A247&amp;IF($B247="","0010",$B247))</f>
        <v/>
      </c>
    </row>
    <row r="248">
      <c r="A248" s="5" t="n"/>
      <c r="B248" s="5" t="n"/>
      <c r="C248" s="5" t="n"/>
      <c r="D248" s="5" t="n"/>
      <c r="E248" s="5" t="n"/>
      <c r="F248" s="18" t="n"/>
      <c r="G248" s="18" t="n"/>
      <c r="H248" s="18" t="n"/>
      <c r="I248" s="5" t="n"/>
      <c r="J248" s="24">
        <f>IF($A248="","",$A248&amp;IF($B248="","0010",$B248))</f>
        <v/>
      </c>
    </row>
    <row r="249">
      <c r="A249" s="5" t="n"/>
      <c r="B249" s="5" t="n"/>
      <c r="C249" s="5" t="n"/>
      <c r="D249" s="5" t="n"/>
      <c r="E249" s="5" t="n"/>
      <c r="F249" s="18" t="n"/>
      <c r="G249" s="18" t="n"/>
      <c r="H249" s="18" t="n"/>
      <c r="I249" s="5" t="n"/>
      <c r="J249" s="24">
        <f>IF($A249="","",$A249&amp;IF($B249="","0010",$B249))</f>
        <v/>
      </c>
    </row>
    <row r="250">
      <c r="A250" s="5" t="n"/>
      <c r="B250" s="5" t="n"/>
      <c r="C250" s="5" t="n"/>
      <c r="D250" s="5" t="n"/>
      <c r="E250" s="5" t="n"/>
      <c r="F250" s="18" t="n"/>
      <c r="G250" s="18" t="n"/>
      <c r="H250" s="18" t="n"/>
      <c r="I250" s="5" t="n"/>
      <c r="J250" s="24">
        <f>IF($A250="","",$A250&amp;IF($B250="","0010",$B250))</f>
        <v/>
      </c>
    </row>
    <row r="251">
      <c r="A251" s="5" t="n"/>
      <c r="B251" s="5" t="n"/>
      <c r="C251" s="5" t="n"/>
      <c r="D251" s="5" t="n"/>
      <c r="E251" s="5" t="n"/>
      <c r="F251" s="18" t="n"/>
      <c r="G251" s="18" t="n"/>
      <c r="H251" s="18" t="n"/>
      <c r="I251" s="5" t="n"/>
      <c r="J251" s="24">
        <f>IF($A251="","",$A251&amp;IF($B251="","0010",$B251))</f>
        <v/>
      </c>
    </row>
    <row r="252">
      <c r="A252" s="5" t="n"/>
      <c r="B252" s="5" t="n"/>
      <c r="C252" s="5" t="n"/>
      <c r="D252" s="5" t="n"/>
      <c r="E252" s="5" t="n"/>
      <c r="F252" s="18" t="n"/>
      <c r="G252" s="18" t="n"/>
      <c r="H252" s="18" t="n"/>
      <c r="I252" s="5" t="n"/>
      <c r="J252" s="24">
        <f>IF($A252="","",$A252&amp;IF($B252="","0010",$B252))</f>
        <v/>
      </c>
    </row>
    <row r="253">
      <c r="A253" s="5" t="n"/>
      <c r="B253" s="5" t="n"/>
      <c r="C253" s="5" t="n"/>
      <c r="D253" s="5" t="n"/>
      <c r="E253" s="5" t="n"/>
      <c r="F253" s="18" t="n"/>
      <c r="G253" s="18" t="n"/>
      <c r="H253" s="18" t="n"/>
      <c r="I253" s="5" t="n"/>
      <c r="J253" s="24">
        <f>IF($A253="","",$A253&amp;IF($B253="","0010",$B253))</f>
        <v/>
      </c>
    </row>
    <row r="254">
      <c r="A254" s="5" t="n"/>
      <c r="B254" s="5" t="n"/>
      <c r="C254" s="5" t="n"/>
      <c r="D254" s="5" t="n"/>
      <c r="E254" s="5" t="n"/>
      <c r="F254" s="18" t="n"/>
      <c r="G254" s="18" t="n"/>
      <c r="H254" s="18" t="n"/>
      <c r="I254" s="5" t="n"/>
      <c r="J254" s="24">
        <f>IF($A254="","",$A254&amp;IF($B254="","0010",$B254))</f>
        <v/>
      </c>
    </row>
    <row r="255">
      <c r="A255" s="5" t="n"/>
      <c r="B255" s="5" t="n"/>
      <c r="C255" s="5" t="n"/>
      <c r="D255" s="5" t="n"/>
      <c r="E255" s="5" t="n"/>
      <c r="F255" s="18" t="n"/>
      <c r="G255" s="18" t="n"/>
      <c r="H255" s="18" t="n"/>
      <c r="I255" s="5" t="n"/>
      <c r="J255" s="24">
        <f>IF($A255="","",$A255&amp;IF($B255="","0010",$B255))</f>
        <v/>
      </c>
    </row>
    <row r="256">
      <c r="A256" s="5" t="n"/>
      <c r="B256" s="5" t="n"/>
      <c r="C256" s="5" t="n"/>
      <c r="D256" s="5" t="n"/>
      <c r="E256" s="5" t="n"/>
      <c r="F256" s="18" t="n"/>
      <c r="G256" s="18" t="n"/>
      <c r="H256" s="18" t="n"/>
      <c r="I256" s="5" t="n"/>
      <c r="J256" s="24">
        <f>IF($A256="","",$A256&amp;IF($B256="","0010",$B256))</f>
        <v/>
      </c>
    </row>
    <row r="257">
      <c r="A257" s="5" t="n"/>
      <c r="B257" s="5" t="n"/>
      <c r="C257" s="5" t="n"/>
      <c r="D257" s="5" t="n"/>
      <c r="E257" s="5" t="n"/>
      <c r="F257" s="18" t="n"/>
      <c r="G257" s="18" t="n"/>
      <c r="H257" s="18" t="n"/>
      <c r="I257" s="5" t="n"/>
      <c r="J257" s="24">
        <f>IF($A257="","",$A257&amp;IF($B257="","0010",$B257))</f>
        <v/>
      </c>
    </row>
    <row r="258">
      <c r="A258" s="5" t="n"/>
      <c r="B258" s="5" t="n"/>
      <c r="C258" s="5" t="n"/>
      <c r="D258" s="5" t="n"/>
      <c r="E258" s="5" t="n"/>
      <c r="F258" s="18" t="n"/>
      <c r="G258" s="18" t="n"/>
      <c r="H258" s="18" t="n"/>
      <c r="I258" s="5" t="n"/>
      <c r="J258" s="24">
        <f>IF($A258="","",$A258&amp;IF($B258="","0010",$B258))</f>
        <v/>
      </c>
    </row>
    <row r="259">
      <c r="A259" s="5" t="n"/>
      <c r="B259" s="5" t="n"/>
      <c r="C259" s="5" t="n"/>
      <c r="D259" s="5" t="n"/>
      <c r="E259" s="5" t="n"/>
      <c r="F259" s="18" t="n"/>
      <c r="G259" s="18" t="n"/>
      <c r="H259" s="18" t="n"/>
      <c r="I259" s="5" t="n"/>
      <c r="J259" s="24">
        <f>IF($A259="","",$A259&amp;IF($B259="","0010",$B259))</f>
        <v/>
      </c>
    </row>
    <row r="260">
      <c r="A260" s="5" t="n"/>
      <c r="B260" s="5" t="n"/>
      <c r="C260" s="5" t="n"/>
      <c r="D260" s="5" t="n"/>
      <c r="E260" s="5" t="n"/>
      <c r="F260" s="18" t="n"/>
      <c r="G260" s="18" t="n"/>
      <c r="H260" s="18" t="n"/>
      <c r="I260" s="5" t="n"/>
      <c r="J260" s="24">
        <f>IF($A260="","",$A260&amp;IF($B260="","0010",$B260))</f>
        <v/>
      </c>
    </row>
    <row r="261">
      <c r="A261" s="5" t="n"/>
      <c r="B261" s="5" t="n"/>
      <c r="C261" s="5" t="n"/>
      <c r="D261" s="5" t="n"/>
      <c r="E261" s="5" t="n"/>
      <c r="F261" s="18" t="n"/>
      <c r="G261" s="18" t="n"/>
      <c r="H261" s="18" t="n"/>
      <c r="I261" s="5" t="n"/>
      <c r="J261" s="24">
        <f>IF($A261="","",$A261&amp;IF($B261="","0010",$B261))</f>
        <v/>
      </c>
    </row>
    <row r="262">
      <c r="A262" s="5" t="n"/>
      <c r="B262" s="5" t="n"/>
      <c r="C262" s="5" t="n"/>
      <c r="D262" s="5" t="n"/>
      <c r="E262" s="5" t="n"/>
      <c r="F262" s="18" t="n"/>
      <c r="G262" s="18" t="n"/>
      <c r="H262" s="18" t="n"/>
      <c r="I262" s="5" t="n"/>
      <c r="J262" s="24">
        <f>IF($A262="","",$A262&amp;IF($B262="","0010",$B262))</f>
        <v/>
      </c>
    </row>
    <row r="263">
      <c r="A263" s="5" t="n"/>
      <c r="B263" s="5" t="n"/>
      <c r="C263" s="5" t="n"/>
      <c r="D263" s="5" t="n"/>
      <c r="E263" s="5" t="n"/>
      <c r="F263" s="18" t="n"/>
      <c r="G263" s="18" t="n"/>
      <c r="H263" s="18" t="n"/>
      <c r="I263" s="5" t="n"/>
      <c r="J263" s="24">
        <f>IF($A263="","",$A263&amp;IF($B263="","0010",$B263))</f>
        <v/>
      </c>
    </row>
    <row r="264">
      <c r="A264" s="5" t="n"/>
      <c r="B264" s="5" t="n"/>
      <c r="C264" s="5" t="n"/>
      <c r="D264" s="5" t="n"/>
      <c r="E264" s="5" t="n"/>
      <c r="F264" s="18" t="n"/>
      <c r="G264" s="18" t="n"/>
      <c r="H264" s="18" t="n"/>
      <c r="I264" s="5" t="n"/>
      <c r="J264" s="24">
        <f>IF($A264="","",$A264&amp;IF($B264="","0010",$B264))</f>
        <v/>
      </c>
    </row>
    <row r="265">
      <c r="A265" s="5" t="n"/>
      <c r="B265" s="5" t="n"/>
      <c r="C265" s="5" t="n"/>
      <c r="D265" s="5" t="n"/>
      <c r="E265" s="5" t="n"/>
      <c r="F265" s="18" t="n"/>
      <c r="G265" s="18" t="n"/>
      <c r="H265" s="18" t="n"/>
      <c r="I265" s="5" t="n"/>
      <c r="J265" s="24">
        <f>IF($A265="","",$A265&amp;IF($B265="","0010",$B265))</f>
        <v/>
      </c>
    </row>
    <row r="266">
      <c r="A266" s="5" t="n"/>
      <c r="B266" s="5" t="n"/>
      <c r="C266" s="5" t="n"/>
      <c r="D266" s="5" t="n"/>
      <c r="E266" s="5" t="n"/>
      <c r="F266" s="18" t="n"/>
      <c r="G266" s="18" t="n"/>
      <c r="H266" s="18" t="n"/>
      <c r="I266" s="5" t="n"/>
      <c r="J266" s="24">
        <f>IF($A266="","",$A266&amp;IF($B266="","0010",$B266))</f>
        <v/>
      </c>
    </row>
    <row r="267">
      <c r="A267" s="5" t="n"/>
      <c r="B267" s="5" t="n"/>
      <c r="C267" s="5" t="n"/>
      <c r="D267" s="5" t="n"/>
      <c r="E267" s="5" t="n"/>
      <c r="F267" s="18" t="n"/>
      <c r="G267" s="18" t="n"/>
      <c r="H267" s="18" t="n"/>
      <c r="I267" s="5" t="n"/>
      <c r="J267" s="24">
        <f>IF($A267="","",$A267&amp;IF($B267="","0010",$B267))</f>
        <v/>
      </c>
    </row>
    <row r="268">
      <c r="A268" s="5" t="n"/>
      <c r="B268" s="5" t="n"/>
      <c r="C268" s="5" t="n"/>
      <c r="D268" s="5" t="n"/>
      <c r="E268" s="5" t="n"/>
      <c r="F268" s="18" t="n"/>
      <c r="G268" s="18" t="n"/>
      <c r="H268" s="18" t="n"/>
      <c r="I268" s="5" t="n"/>
      <c r="J268" s="24">
        <f>IF($A268="","",$A268&amp;IF($B268="","0010",$B268))</f>
        <v/>
      </c>
    </row>
    <row r="269">
      <c r="A269" s="5" t="n"/>
      <c r="B269" s="5" t="n"/>
      <c r="C269" s="5" t="n"/>
      <c r="D269" s="5" t="n"/>
      <c r="E269" s="5" t="n"/>
      <c r="F269" s="18" t="n"/>
      <c r="G269" s="18" t="n"/>
      <c r="H269" s="18" t="n"/>
      <c r="I269" s="5" t="n"/>
      <c r="J269" s="24">
        <f>IF($A269="","",$A269&amp;IF($B269="","0010",$B269))</f>
        <v/>
      </c>
    </row>
    <row r="270">
      <c r="A270" s="5" t="n"/>
      <c r="B270" s="5" t="n"/>
      <c r="C270" s="5" t="n"/>
      <c r="D270" s="5" t="n"/>
      <c r="E270" s="5" t="n"/>
      <c r="F270" s="18" t="n"/>
      <c r="G270" s="18" t="n"/>
      <c r="H270" s="18" t="n"/>
      <c r="I270" s="5" t="n"/>
      <c r="J270" s="24">
        <f>IF($A270="","",$A270&amp;IF($B270="","0010",$B270))</f>
        <v/>
      </c>
    </row>
    <row r="271">
      <c r="A271" s="5" t="n"/>
      <c r="B271" s="5" t="n"/>
      <c r="C271" s="5" t="n"/>
      <c r="D271" s="5" t="n"/>
      <c r="E271" s="5" t="n"/>
      <c r="F271" s="18" t="n"/>
      <c r="G271" s="18" t="n"/>
      <c r="H271" s="18" t="n"/>
      <c r="I271" s="5" t="n"/>
      <c r="J271" s="24">
        <f>IF($A271="","",$A271&amp;IF($B271="","0010",$B271))</f>
        <v/>
      </c>
    </row>
    <row r="272">
      <c r="A272" s="5" t="n"/>
      <c r="B272" s="5" t="n"/>
      <c r="C272" s="5" t="n"/>
      <c r="D272" s="5" t="n"/>
      <c r="E272" s="5" t="n"/>
      <c r="F272" s="18" t="n"/>
      <c r="G272" s="18" t="n"/>
      <c r="H272" s="18" t="n"/>
      <c r="I272" s="5" t="n"/>
      <c r="J272" s="24">
        <f>IF($A272="","",$A272&amp;IF($B272="","0010",$B272))</f>
        <v/>
      </c>
    </row>
    <row r="273">
      <c r="A273" s="5" t="n"/>
      <c r="B273" s="5" t="n"/>
      <c r="C273" s="5" t="n"/>
      <c r="D273" s="5" t="n"/>
      <c r="E273" s="5" t="n"/>
      <c r="F273" s="18" t="n"/>
      <c r="G273" s="18" t="n"/>
      <c r="H273" s="18" t="n"/>
      <c r="I273" s="5" t="n"/>
      <c r="J273" s="24">
        <f>IF($A273="","",$A273&amp;IF($B273="","0010",$B273))</f>
        <v/>
      </c>
    </row>
    <row r="274">
      <c r="A274" s="5" t="n"/>
      <c r="B274" s="5" t="n"/>
      <c r="C274" s="5" t="n"/>
      <c r="D274" s="5" t="n"/>
      <c r="E274" s="5" t="n"/>
      <c r="F274" s="18" t="n"/>
      <c r="G274" s="18" t="n"/>
      <c r="H274" s="18" t="n"/>
      <c r="I274" s="5" t="n"/>
      <c r="J274" s="24">
        <f>IF($A274="","",$A274&amp;IF($B274="","0010",$B274))</f>
        <v/>
      </c>
    </row>
    <row r="275">
      <c r="A275" s="5" t="n"/>
      <c r="B275" s="5" t="n"/>
      <c r="C275" s="5" t="n"/>
      <c r="D275" s="5" t="n"/>
      <c r="E275" s="5" t="n"/>
      <c r="F275" s="18" t="n"/>
      <c r="G275" s="18" t="n"/>
      <c r="H275" s="18" t="n"/>
      <c r="I275" s="5" t="n"/>
      <c r="J275" s="24">
        <f>IF($A275="","",$A275&amp;IF($B275="","0010",$B275))</f>
        <v/>
      </c>
    </row>
    <row r="276">
      <c r="A276" s="5" t="n"/>
      <c r="B276" s="5" t="n"/>
      <c r="C276" s="5" t="n"/>
      <c r="D276" s="5" t="n"/>
      <c r="E276" s="5" t="n"/>
      <c r="F276" s="18" t="n"/>
      <c r="G276" s="18" t="n"/>
      <c r="H276" s="18" t="n"/>
      <c r="I276" s="5" t="n"/>
      <c r="J276" s="24">
        <f>IF($A276="","",$A276&amp;IF($B276="","0010",$B276))</f>
        <v/>
      </c>
    </row>
    <row r="277">
      <c r="A277" s="5" t="n"/>
      <c r="B277" s="5" t="n"/>
      <c r="C277" s="5" t="n"/>
      <c r="D277" s="5" t="n"/>
      <c r="E277" s="5" t="n"/>
      <c r="F277" s="18" t="n"/>
      <c r="G277" s="18" t="n"/>
      <c r="H277" s="18" t="n"/>
      <c r="I277" s="5" t="n"/>
      <c r="J277" s="24">
        <f>IF($A277="","",$A277&amp;IF($B277="","0010",$B277))</f>
        <v/>
      </c>
    </row>
    <row r="278">
      <c r="A278" s="5" t="n"/>
      <c r="B278" s="5" t="n"/>
      <c r="C278" s="5" t="n"/>
      <c r="D278" s="5" t="n"/>
      <c r="E278" s="5" t="n"/>
      <c r="F278" s="18" t="n"/>
      <c r="G278" s="18" t="n"/>
      <c r="H278" s="18" t="n"/>
      <c r="I278" s="5" t="n"/>
      <c r="J278" s="24">
        <f>IF($A278="","",$A278&amp;IF($B278="","0010",$B278))</f>
        <v/>
      </c>
    </row>
    <row r="279">
      <c r="A279" s="5" t="n"/>
      <c r="B279" s="5" t="n"/>
      <c r="C279" s="5" t="n"/>
      <c r="D279" s="5" t="n"/>
      <c r="E279" s="5" t="n"/>
      <c r="F279" s="18" t="n"/>
      <c r="G279" s="18" t="n"/>
      <c r="H279" s="18" t="n"/>
      <c r="I279" s="5" t="n"/>
      <c r="J279" s="24">
        <f>IF($A279="","",$A279&amp;IF($B279="","0010",$B279))</f>
        <v/>
      </c>
    </row>
    <row r="280">
      <c r="A280" s="5" t="n"/>
      <c r="B280" s="5" t="n"/>
      <c r="C280" s="5" t="n"/>
      <c r="D280" s="5" t="n"/>
      <c r="E280" s="5" t="n"/>
      <c r="F280" s="18" t="n"/>
      <c r="G280" s="18" t="n"/>
      <c r="H280" s="18" t="n"/>
      <c r="I280" s="5" t="n"/>
      <c r="J280" s="24">
        <f>IF($A280="","",$A280&amp;IF($B280="","0010",$B280))</f>
        <v/>
      </c>
    </row>
    <row r="281">
      <c r="A281" s="5" t="n"/>
      <c r="B281" s="5" t="n"/>
      <c r="C281" s="5" t="n"/>
      <c r="D281" s="5" t="n"/>
      <c r="E281" s="5" t="n"/>
      <c r="F281" s="18" t="n"/>
      <c r="G281" s="18" t="n"/>
      <c r="H281" s="18" t="n"/>
      <c r="I281" s="5" t="n"/>
      <c r="J281" s="24">
        <f>IF($A281="","",$A281&amp;IF($B281="","0010",$B281))</f>
        <v/>
      </c>
    </row>
    <row r="282">
      <c r="A282" s="5" t="n"/>
      <c r="B282" s="5" t="n"/>
      <c r="C282" s="5" t="n"/>
      <c r="D282" s="5" t="n"/>
      <c r="E282" s="5" t="n"/>
      <c r="F282" s="18" t="n"/>
      <c r="G282" s="18" t="n"/>
      <c r="H282" s="18" t="n"/>
      <c r="I282" s="5" t="n"/>
      <c r="J282" s="24">
        <f>IF($A282="","",$A282&amp;IF($B282="","0010",$B282))</f>
        <v/>
      </c>
    </row>
    <row r="283">
      <c r="A283" s="5" t="n"/>
      <c r="B283" s="5" t="n"/>
      <c r="C283" s="5" t="n"/>
      <c r="D283" s="5" t="n"/>
      <c r="E283" s="5" t="n"/>
      <c r="F283" s="18" t="n"/>
      <c r="G283" s="18" t="n"/>
      <c r="H283" s="18" t="n"/>
      <c r="I283" s="5" t="n"/>
      <c r="J283" s="24">
        <f>IF($A283="","",$A283&amp;IF($B283="","0010",$B283))</f>
        <v/>
      </c>
    </row>
    <row r="284">
      <c r="A284" s="5" t="n"/>
      <c r="B284" s="5" t="n"/>
      <c r="C284" s="5" t="n"/>
      <c r="D284" s="5" t="n"/>
      <c r="E284" s="5" t="n"/>
      <c r="F284" s="18" t="n"/>
      <c r="G284" s="18" t="n"/>
      <c r="H284" s="18" t="n"/>
      <c r="I284" s="5" t="n"/>
      <c r="J284" s="24">
        <f>IF($A284="","",$A284&amp;IF($B284="","0010",$B284))</f>
        <v/>
      </c>
    </row>
    <row r="285">
      <c r="A285" s="5" t="n"/>
      <c r="B285" s="5" t="n"/>
      <c r="C285" s="5" t="n"/>
      <c r="D285" s="5" t="n"/>
      <c r="E285" s="5" t="n"/>
      <c r="F285" s="18" t="n"/>
      <c r="G285" s="18" t="n"/>
      <c r="H285" s="18" t="n"/>
      <c r="I285" s="5" t="n"/>
      <c r="J285" s="24">
        <f>IF($A285="","",$A285&amp;IF($B285="","0010",$B285))</f>
        <v/>
      </c>
    </row>
    <row r="286">
      <c r="A286" s="5" t="n"/>
      <c r="B286" s="5" t="n"/>
      <c r="C286" s="5" t="n"/>
      <c r="D286" s="5" t="n"/>
      <c r="E286" s="5" t="n"/>
      <c r="F286" s="18" t="n"/>
      <c r="G286" s="18" t="n"/>
      <c r="H286" s="18" t="n"/>
      <c r="I286" s="5" t="n"/>
      <c r="J286" s="24">
        <f>IF($A286="","",$A286&amp;IF($B286="","0010",$B286))</f>
        <v/>
      </c>
    </row>
    <row r="287">
      <c r="A287" s="5" t="n"/>
      <c r="B287" s="5" t="n"/>
      <c r="C287" s="5" t="n"/>
      <c r="D287" s="5" t="n"/>
      <c r="E287" s="5" t="n"/>
      <c r="F287" s="18" t="n"/>
      <c r="G287" s="18" t="n"/>
      <c r="H287" s="18" t="n"/>
      <c r="I287" s="5" t="n"/>
      <c r="J287" s="24">
        <f>IF($A287="","",$A287&amp;IF($B287="","0010",$B287))</f>
        <v/>
      </c>
    </row>
    <row r="288">
      <c r="A288" s="5" t="n"/>
      <c r="B288" s="5" t="n"/>
      <c r="C288" s="5" t="n"/>
      <c r="D288" s="5" t="n"/>
      <c r="E288" s="5" t="n"/>
      <c r="F288" s="18" t="n"/>
      <c r="G288" s="18" t="n"/>
      <c r="H288" s="18" t="n"/>
      <c r="I288" s="5" t="n"/>
      <c r="J288" s="24">
        <f>IF($A288="","",$A288&amp;IF($B288="","0010",$B288))</f>
        <v/>
      </c>
    </row>
    <row r="289">
      <c r="A289" s="5" t="n"/>
      <c r="B289" s="5" t="n"/>
      <c r="C289" s="5" t="n"/>
      <c r="D289" s="5" t="n"/>
      <c r="E289" s="5" t="n"/>
      <c r="F289" s="18" t="n"/>
      <c r="G289" s="18" t="n"/>
      <c r="H289" s="18" t="n"/>
      <c r="I289" s="5" t="n"/>
      <c r="J289" s="24">
        <f>IF($A289="","",$A289&amp;IF($B289="","0010",$B289))</f>
        <v/>
      </c>
    </row>
    <row r="290">
      <c r="A290" s="5" t="n"/>
      <c r="B290" s="5" t="n"/>
      <c r="C290" s="5" t="n"/>
      <c r="D290" s="5" t="n"/>
      <c r="E290" s="5" t="n"/>
      <c r="F290" s="18" t="n"/>
      <c r="G290" s="18" t="n"/>
      <c r="H290" s="18" t="n"/>
      <c r="I290" s="5" t="n"/>
      <c r="J290" s="24">
        <f>IF($A290="","",$A290&amp;IF($B290="","0010",$B290))</f>
        <v/>
      </c>
    </row>
    <row r="291">
      <c r="A291" s="5" t="n"/>
      <c r="B291" s="5" t="n"/>
      <c r="C291" s="5" t="n"/>
      <c r="D291" s="5" t="n"/>
      <c r="E291" s="5" t="n"/>
      <c r="F291" s="18" t="n"/>
      <c r="G291" s="18" t="n"/>
      <c r="H291" s="18" t="n"/>
      <c r="I291" s="5" t="n"/>
      <c r="J291" s="24">
        <f>IF($A291="","",$A291&amp;IF($B291="","0010",$B291))</f>
        <v/>
      </c>
    </row>
    <row r="292">
      <c r="A292" s="5" t="n"/>
      <c r="B292" s="5" t="n"/>
      <c r="C292" s="5" t="n"/>
      <c r="D292" s="5" t="n"/>
      <c r="E292" s="5" t="n"/>
      <c r="F292" s="18" t="n"/>
      <c r="G292" s="18" t="n"/>
      <c r="H292" s="18" t="n"/>
      <c r="I292" s="5" t="n"/>
      <c r="J292" s="24">
        <f>IF($A292="","",$A292&amp;IF($B292="","0010",$B292))</f>
        <v/>
      </c>
    </row>
    <row r="293">
      <c r="A293" s="5" t="n"/>
      <c r="B293" s="5" t="n"/>
      <c r="C293" s="5" t="n"/>
      <c r="D293" s="5" t="n"/>
      <c r="E293" s="5" t="n"/>
      <c r="F293" s="18" t="n"/>
      <c r="G293" s="18" t="n"/>
      <c r="H293" s="18" t="n"/>
      <c r="I293" s="5" t="n"/>
      <c r="J293" s="24">
        <f>IF($A293="","",$A293&amp;IF($B293="","0010",$B293))</f>
        <v/>
      </c>
    </row>
    <row r="294">
      <c r="A294" s="5" t="n"/>
      <c r="B294" s="5" t="n"/>
      <c r="C294" s="5" t="n"/>
      <c r="D294" s="5" t="n"/>
      <c r="E294" s="5" t="n"/>
      <c r="F294" s="18" t="n"/>
      <c r="G294" s="18" t="n"/>
      <c r="H294" s="18" t="n"/>
      <c r="I294" s="5" t="n"/>
      <c r="J294" s="24">
        <f>IF($A294="","",$A294&amp;IF($B294="","0010",$B294))</f>
        <v/>
      </c>
    </row>
    <row r="295">
      <c r="A295" s="5" t="n"/>
      <c r="B295" s="5" t="n"/>
      <c r="C295" s="5" t="n"/>
      <c r="D295" s="5" t="n"/>
      <c r="E295" s="5" t="n"/>
      <c r="F295" s="18" t="n"/>
      <c r="G295" s="18" t="n"/>
      <c r="H295" s="18" t="n"/>
      <c r="I295" s="5" t="n"/>
      <c r="J295" s="24">
        <f>IF($A295="","",$A295&amp;IF($B295="","0010",$B295))</f>
        <v/>
      </c>
    </row>
    <row r="296">
      <c r="A296" s="5" t="n"/>
      <c r="B296" s="5" t="n"/>
      <c r="C296" s="5" t="n"/>
      <c r="D296" s="5" t="n"/>
      <c r="E296" s="5" t="n"/>
      <c r="F296" s="18" t="n"/>
      <c r="G296" s="18" t="n"/>
      <c r="H296" s="18" t="n"/>
      <c r="I296" s="5" t="n"/>
      <c r="J296" s="24">
        <f>IF($A296="","",$A296&amp;IF($B296="","0010",$B296))</f>
        <v/>
      </c>
    </row>
    <row r="297">
      <c r="A297" s="5" t="n"/>
      <c r="B297" s="5" t="n"/>
      <c r="C297" s="5" t="n"/>
      <c r="D297" s="5" t="n"/>
      <c r="E297" s="5" t="n"/>
      <c r="F297" s="18" t="n"/>
      <c r="G297" s="18" t="n"/>
      <c r="H297" s="18" t="n"/>
      <c r="I297" s="5" t="n"/>
      <c r="J297" s="24">
        <f>IF($A297="","",$A297&amp;IF($B297="","0010",$B297))</f>
        <v/>
      </c>
    </row>
    <row r="298">
      <c r="A298" s="5" t="n"/>
      <c r="B298" s="5" t="n"/>
      <c r="C298" s="5" t="n"/>
      <c r="D298" s="5" t="n"/>
      <c r="E298" s="5" t="n"/>
      <c r="F298" s="18" t="n"/>
      <c r="G298" s="18" t="n"/>
      <c r="H298" s="18" t="n"/>
      <c r="I298" s="5" t="n"/>
      <c r="J298" s="24">
        <f>IF($A298="","",$A298&amp;IF($B298="","0010",$B298))</f>
        <v/>
      </c>
    </row>
    <row r="299">
      <c r="A299" s="5" t="n"/>
      <c r="B299" s="5" t="n"/>
      <c r="C299" s="5" t="n"/>
      <c r="D299" s="5" t="n"/>
      <c r="E299" s="5" t="n"/>
      <c r="F299" s="18" t="n"/>
      <c r="G299" s="18" t="n"/>
      <c r="H299" s="18" t="n"/>
      <c r="I299" s="5" t="n"/>
      <c r="J299" s="24">
        <f>IF($A299="","",$A299&amp;IF($B299="","0010",$B299))</f>
        <v/>
      </c>
    </row>
    <row r="300">
      <c r="A300" s="5" t="n"/>
      <c r="B300" s="5" t="n"/>
      <c r="C300" s="5" t="n"/>
      <c r="D300" s="5" t="n"/>
      <c r="E300" s="5" t="n"/>
      <c r="F300" s="18" t="n"/>
      <c r="G300" s="18" t="n"/>
      <c r="H300" s="18" t="n"/>
      <c r="I300" s="5" t="n"/>
      <c r="J300" s="24">
        <f>IF($A300="","",$A300&amp;IF($B300="","0010",$B300))</f>
        <v/>
      </c>
    </row>
    <row r="301">
      <c r="A301" s="5" t="n"/>
      <c r="B301" s="5" t="n"/>
      <c r="C301" s="5" t="n"/>
      <c r="D301" s="5" t="n"/>
      <c r="E301" s="5" t="n"/>
      <c r="F301" s="18" t="n"/>
      <c r="G301" s="18" t="n"/>
      <c r="H301" s="18" t="n"/>
      <c r="I301" s="5" t="n"/>
      <c r="J301" s="24">
        <f>IF($A301="","",$A301&amp;IF($B301="","0010",$B301))</f>
        <v/>
      </c>
    </row>
    <row r="302">
      <c r="A302" s="5" t="n"/>
      <c r="B302" s="5" t="n"/>
      <c r="C302" s="5" t="n"/>
      <c r="D302" s="5" t="n"/>
      <c r="E302" s="5" t="n"/>
      <c r="F302" s="18" t="n"/>
      <c r="G302" s="18" t="n"/>
      <c r="H302" s="18" t="n"/>
      <c r="I302" s="5" t="n"/>
      <c r="J302" s="24">
        <f>IF($A302="","",$A302&amp;IF($B302="","0010",$B302))</f>
        <v/>
      </c>
    </row>
    <row r="303">
      <c r="A303" s="5" t="n"/>
      <c r="B303" s="5" t="n"/>
      <c r="C303" s="5" t="n"/>
      <c r="D303" s="5" t="n"/>
      <c r="E303" s="5" t="n"/>
      <c r="F303" s="18" t="n"/>
      <c r="G303" s="18" t="n"/>
      <c r="H303" s="18" t="n"/>
      <c r="I303" s="5" t="n"/>
      <c r="J303" s="24">
        <f>IF($A303="","",$A303&amp;IF($B303="","0010",$B303))</f>
        <v/>
      </c>
    </row>
    <row r="304">
      <c r="A304" s="5" t="n"/>
      <c r="B304" s="5" t="n"/>
      <c r="C304" s="5" t="n"/>
      <c r="D304" s="5" t="n"/>
      <c r="E304" s="5" t="n"/>
      <c r="F304" s="18" t="n"/>
      <c r="G304" s="18" t="n"/>
      <c r="H304" s="18" t="n"/>
      <c r="I304" s="5" t="n"/>
      <c r="J304" s="24">
        <f>IF($A304="","",$A304&amp;IF($B304="","0010",$B304))</f>
        <v/>
      </c>
    </row>
    <row r="305">
      <c r="A305" s="5" t="n"/>
      <c r="B305" s="5" t="n"/>
      <c r="C305" s="5" t="n"/>
      <c r="D305" s="5" t="n"/>
      <c r="E305" s="5" t="n"/>
      <c r="F305" s="18" t="n"/>
      <c r="G305" s="18" t="n"/>
      <c r="H305" s="18" t="n"/>
      <c r="I305" s="5" t="n"/>
      <c r="J305" s="24">
        <f>IF($A305="","",$A305&amp;IF($B305="","0010",$B305))</f>
        <v/>
      </c>
    </row>
    <row r="306">
      <c r="A306" s="5" t="n"/>
      <c r="B306" s="5" t="n"/>
      <c r="C306" s="5" t="n"/>
      <c r="D306" s="5" t="n"/>
      <c r="E306" s="5" t="n"/>
      <c r="F306" s="18" t="n"/>
      <c r="G306" s="18" t="n"/>
      <c r="H306" s="18" t="n"/>
      <c r="I306" s="5" t="n"/>
      <c r="J306" s="24">
        <f>IF($A306="","",$A306&amp;IF($B306="","0010",$B306))</f>
        <v/>
      </c>
    </row>
    <row r="307">
      <c r="A307" s="5" t="n"/>
      <c r="B307" s="5" t="n"/>
      <c r="C307" s="5" t="n"/>
      <c r="D307" s="5" t="n"/>
      <c r="E307" s="5" t="n"/>
      <c r="F307" s="18" t="n"/>
      <c r="G307" s="18" t="n"/>
      <c r="H307" s="18" t="n"/>
      <c r="I307" s="5" t="n"/>
      <c r="J307" s="24">
        <f>IF($A307="","",$A307&amp;IF($B307="","0010",$B307))</f>
        <v/>
      </c>
    </row>
    <row r="308">
      <c r="A308" s="5" t="n"/>
      <c r="B308" s="5" t="n"/>
      <c r="C308" s="5" t="n"/>
      <c r="D308" s="5" t="n"/>
      <c r="E308" s="5" t="n"/>
      <c r="F308" s="18" t="n"/>
      <c r="G308" s="18" t="n"/>
      <c r="H308" s="18" t="n"/>
      <c r="I308" s="5" t="n"/>
      <c r="J308" s="24">
        <f>IF($A308="","",$A308&amp;IF($B308="","0010",$B308))</f>
        <v/>
      </c>
    </row>
    <row r="309">
      <c r="A309" s="5" t="n"/>
      <c r="B309" s="5" t="n"/>
      <c r="C309" s="5" t="n"/>
      <c r="D309" s="5" t="n"/>
      <c r="E309" s="5" t="n"/>
      <c r="F309" s="18" t="n"/>
      <c r="G309" s="18" t="n"/>
      <c r="H309" s="18" t="n"/>
      <c r="I309" s="5" t="n"/>
      <c r="J309" s="24">
        <f>IF($A309="","",$A309&amp;IF($B309="","0010",$B309))</f>
        <v/>
      </c>
    </row>
    <row r="310">
      <c r="A310" s="5" t="n"/>
      <c r="B310" s="5" t="n"/>
      <c r="C310" s="5" t="n"/>
      <c r="D310" s="5" t="n"/>
      <c r="E310" s="5" t="n"/>
      <c r="F310" s="18" t="n"/>
      <c r="G310" s="18" t="n"/>
      <c r="H310" s="18" t="n"/>
      <c r="I310" s="5" t="n"/>
      <c r="J310" s="24">
        <f>IF($A310="","",$A310&amp;IF($B310="","0010",$B310))</f>
        <v/>
      </c>
    </row>
    <row r="311">
      <c r="A311" s="5" t="n"/>
      <c r="B311" s="5" t="n"/>
      <c r="C311" s="5" t="n"/>
      <c r="D311" s="5" t="n"/>
      <c r="E311" s="5" t="n"/>
      <c r="F311" s="18" t="n"/>
      <c r="G311" s="18" t="n"/>
      <c r="H311" s="18" t="n"/>
      <c r="I311" s="5" t="n"/>
      <c r="J311" s="24">
        <f>IF($A311="","",$A311&amp;IF($B311="","0010",$B311))</f>
        <v/>
      </c>
    </row>
    <row r="312">
      <c r="A312" s="5" t="n"/>
      <c r="B312" s="5" t="n"/>
      <c r="C312" s="5" t="n"/>
      <c r="D312" s="5" t="n"/>
      <c r="E312" s="5" t="n"/>
      <c r="F312" s="18" t="n"/>
      <c r="G312" s="18" t="n"/>
      <c r="H312" s="18" t="n"/>
      <c r="I312" s="5" t="n"/>
      <c r="J312" s="24">
        <f>IF($A312="","",$A312&amp;IF($B312="","0010",$B312))</f>
        <v/>
      </c>
    </row>
    <row r="313">
      <c r="A313" s="5" t="n"/>
      <c r="B313" s="5" t="n"/>
      <c r="C313" s="5" t="n"/>
      <c r="D313" s="5" t="n"/>
      <c r="E313" s="5" t="n"/>
      <c r="F313" s="18" t="n"/>
      <c r="G313" s="18" t="n"/>
      <c r="H313" s="18" t="n"/>
      <c r="I313" s="5" t="n"/>
      <c r="J313" s="24">
        <f>IF($A313="","",$A313&amp;IF($B313="","0010",$B313))</f>
        <v/>
      </c>
    </row>
    <row r="314">
      <c r="A314" s="5" t="n"/>
      <c r="B314" s="5" t="n"/>
      <c r="C314" s="5" t="n"/>
      <c r="D314" s="5" t="n"/>
      <c r="E314" s="5" t="n"/>
      <c r="F314" s="18" t="n"/>
      <c r="G314" s="18" t="n"/>
      <c r="H314" s="18" t="n"/>
      <c r="I314" s="5" t="n"/>
      <c r="J314" s="24">
        <f>IF($A314="","",$A314&amp;IF($B314="","0010",$B314))</f>
        <v/>
      </c>
    </row>
    <row r="315">
      <c r="A315" s="5" t="n"/>
      <c r="B315" s="5" t="n"/>
      <c r="C315" s="5" t="n"/>
      <c r="D315" s="5" t="n"/>
      <c r="E315" s="5" t="n"/>
      <c r="F315" s="18" t="n"/>
      <c r="G315" s="18" t="n"/>
      <c r="H315" s="18" t="n"/>
      <c r="I315" s="5" t="n"/>
      <c r="J315" s="24">
        <f>IF($A315="","",$A315&amp;IF($B315="","0010",$B315))</f>
        <v/>
      </c>
    </row>
    <row r="316">
      <c r="A316" s="5" t="n"/>
      <c r="B316" s="5" t="n"/>
      <c r="C316" s="5" t="n"/>
      <c r="D316" s="5" t="n"/>
      <c r="E316" s="5" t="n"/>
      <c r="F316" s="18" t="n"/>
      <c r="G316" s="18" t="n"/>
      <c r="H316" s="18" t="n"/>
      <c r="I316" s="5" t="n"/>
      <c r="J316" s="24">
        <f>IF($A316="","",$A316&amp;IF($B316="","0010",$B316))</f>
        <v/>
      </c>
    </row>
    <row r="317">
      <c r="A317" s="5" t="n"/>
      <c r="B317" s="5" t="n"/>
      <c r="C317" s="5" t="n"/>
      <c r="D317" s="5" t="n"/>
      <c r="E317" s="5" t="n"/>
      <c r="F317" s="18" t="n"/>
      <c r="G317" s="18" t="n"/>
      <c r="H317" s="18" t="n"/>
      <c r="I317" s="5" t="n"/>
      <c r="J317" s="24">
        <f>IF($A317="","",$A317&amp;IF($B317="","0010",$B317))</f>
        <v/>
      </c>
    </row>
    <row r="318">
      <c r="A318" s="5" t="n"/>
      <c r="B318" s="5" t="n"/>
      <c r="C318" s="5" t="n"/>
      <c r="D318" s="5" t="n"/>
      <c r="E318" s="5" t="n"/>
      <c r="F318" s="18" t="n"/>
      <c r="G318" s="18" t="n"/>
      <c r="H318" s="18" t="n"/>
      <c r="I318" s="5" t="n"/>
      <c r="J318" s="24">
        <f>IF($A318="","",$A318&amp;IF($B318="","0010",$B318))</f>
        <v/>
      </c>
    </row>
    <row r="319">
      <c r="A319" s="5" t="n"/>
      <c r="B319" s="5" t="n"/>
      <c r="C319" s="5" t="n"/>
      <c r="D319" s="5" t="n"/>
      <c r="E319" s="5" t="n"/>
      <c r="F319" s="18" t="n"/>
      <c r="G319" s="18" t="n"/>
      <c r="H319" s="18" t="n"/>
      <c r="I319" s="5" t="n"/>
      <c r="J319" s="24">
        <f>IF($A319="","",$A319&amp;IF($B319="","0010",$B319))</f>
        <v/>
      </c>
    </row>
    <row r="320">
      <c r="A320" s="5" t="n"/>
      <c r="B320" s="5" t="n"/>
      <c r="C320" s="5" t="n"/>
      <c r="D320" s="5" t="n"/>
      <c r="E320" s="5" t="n"/>
      <c r="F320" s="18" t="n"/>
      <c r="G320" s="18" t="n"/>
      <c r="H320" s="18" t="n"/>
      <c r="I320" s="5" t="n"/>
      <c r="J320" s="24">
        <f>IF($A320="","",$A320&amp;IF($B320="","0010",$B320))</f>
        <v/>
      </c>
    </row>
    <row r="321">
      <c r="A321" s="5" t="n"/>
      <c r="B321" s="5" t="n"/>
      <c r="C321" s="5" t="n"/>
      <c r="D321" s="5" t="n"/>
      <c r="E321" s="5" t="n"/>
      <c r="F321" s="18" t="n"/>
      <c r="G321" s="18" t="n"/>
      <c r="H321" s="18" t="n"/>
      <c r="I321" s="5" t="n"/>
      <c r="J321" s="24">
        <f>IF($A321="","",$A321&amp;IF($B321="","0010",$B321))</f>
        <v/>
      </c>
    </row>
    <row r="322">
      <c r="A322" s="5" t="n"/>
      <c r="B322" s="5" t="n"/>
      <c r="C322" s="5" t="n"/>
      <c r="D322" s="5" t="n"/>
      <c r="E322" s="5" t="n"/>
      <c r="F322" s="18" t="n"/>
      <c r="G322" s="18" t="n"/>
      <c r="H322" s="18" t="n"/>
      <c r="I322" s="5" t="n"/>
      <c r="J322" s="24">
        <f>IF($A322="","",$A322&amp;IF($B322="","0010",$B322))</f>
        <v/>
      </c>
    </row>
    <row r="323">
      <c r="A323" s="5" t="n"/>
      <c r="B323" s="5" t="n"/>
      <c r="C323" s="5" t="n"/>
      <c r="D323" s="5" t="n"/>
      <c r="E323" s="5" t="n"/>
      <c r="F323" s="18" t="n"/>
      <c r="G323" s="18" t="n"/>
      <c r="H323" s="18" t="n"/>
      <c r="I323" s="5" t="n"/>
      <c r="J323" s="24">
        <f>IF($A323="","",$A323&amp;IF($B323="","0010",$B323))</f>
        <v/>
      </c>
    </row>
    <row r="324">
      <c r="A324" s="5" t="n"/>
      <c r="B324" s="5" t="n"/>
      <c r="C324" s="5" t="n"/>
      <c r="D324" s="5" t="n"/>
      <c r="E324" s="5" t="n"/>
      <c r="F324" s="18" t="n"/>
      <c r="G324" s="18" t="n"/>
      <c r="H324" s="18" t="n"/>
      <c r="I324" s="5" t="n"/>
      <c r="J324" s="24">
        <f>IF($A324="","",$A324&amp;IF($B324="","0010",$B324))</f>
        <v/>
      </c>
    </row>
    <row r="325">
      <c r="A325" s="5" t="n"/>
      <c r="B325" s="5" t="n"/>
      <c r="C325" s="5" t="n"/>
      <c r="D325" s="5" t="n"/>
      <c r="E325" s="5" t="n"/>
      <c r="F325" s="18" t="n"/>
      <c r="G325" s="18" t="n"/>
      <c r="H325" s="18" t="n"/>
      <c r="I325" s="5" t="n"/>
      <c r="J325" s="24">
        <f>IF($A325="","",$A325&amp;IF($B325="","0010",$B325))</f>
        <v/>
      </c>
    </row>
    <row r="326">
      <c r="A326" s="5" t="n"/>
      <c r="B326" s="5" t="n"/>
      <c r="C326" s="5" t="n"/>
      <c r="D326" s="5" t="n"/>
      <c r="E326" s="5" t="n"/>
      <c r="F326" s="18" t="n"/>
      <c r="G326" s="18" t="n"/>
      <c r="H326" s="18" t="n"/>
      <c r="I326" s="5" t="n"/>
      <c r="J326" s="24">
        <f>IF($A326="","",$A326&amp;IF($B326="","0010",$B326))</f>
        <v/>
      </c>
    </row>
    <row r="327">
      <c r="A327" s="5" t="n"/>
      <c r="B327" s="5" t="n"/>
      <c r="C327" s="5" t="n"/>
      <c r="D327" s="5" t="n"/>
      <c r="E327" s="5" t="n"/>
      <c r="F327" s="18" t="n"/>
      <c r="G327" s="18" t="n"/>
      <c r="H327" s="18" t="n"/>
      <c r="I327" s="5" t="n"/>
      <c r="J327" s="24">
        <f>IF($A327="","",$A327&amp;IF($B327="","0010",$B327))</f>
        <v/>
      </c>
    </row>
    <row r="328">
      <c r="A328" s="5" t="n"/>
      <c r="B328" s="5" t="n"/>
      <c r="C328" s="5" t="n"/>
      <c r="D328" s="5" t="n"/>
      <c r="E328" s="5" t="n"/>
      <c r="F328" s="18" t="n"/>
      <c r="G328" s="18" t="n"/>
      <c r="H328" s="18" t="n"/>
      <c r="I328" s="5" t="n"/>
      <c r="J328" s="24">
        <f>IF($A328="","",$A328&amp;IF($B328="","0010",$B328))</f>
        <v/>
      </c>
    </row>
    <row r="329">
      <c r="A329" s="5" t="n"/>
      <c r="B329" s="5" t="n"/>
      <c r="C329" s="5" t="n"/>
      <c r="D329" s="5" t="n"/>
      <c r="E329" s="5" t="n"/>
      <c r="F329" s="18" t="n"/>
      <c r="G329" s="18" t="n"/>
      <c r="H329" s="18" t="n"/>
      <c r="I329" s="5" t="n"/>
      <c r="J329" s="24">
        <f>IF($A329="","",$A329&amp;IF($B329="","0010",$B329))</f>
        <v/>
      </c>
    </row>
    <row r="330">
      <c r="A330" s="5" t="n"/>
      <c r="B330" s="5" t="n"/>
      <c r="C330" s="5" t="n"/>
      <c r="D330" s="5" t="n"/>
      <c r="E330" s="5" t="n"/>
      <c r="F330" s="18" t="n"/>
      <c r="G330" s="18" t="n"/>
      <c r="H330" s="18" t="n"/>
      <c r="I330" s="5" t="n"/>
      <c r="J330" s="24">
        <f>IF($A330="","",$A330&amp;IF($B330="","0010",$B330))</f>
        <v/>
      </c>
    </row>
    <row r="331">
      <c r="A331" s="5" t="n"/>
      <c r="B331" s="5" t="n"/>
      <c r="C331" s="5" t="n"/>
      <c r="D331" s="5" t="n"/>
      <c r="E331" s="5" t="n"/>
      <c r="F331" s="18" t="n"/>
      <c r="G331" s="18" t="n"/>
      <c r="H331" s="18" t="n"/>
      <c r="I331" s="5" t="n"/>
      <c r="J331" s="24">
        <f>IF($A331="","",$A331&amp;IF($B331="","0010",$B331))</f>
        <v/>
      </c>
    </row>
    <row r="332">
      <c r="A332" s="5" t="n"/>
      <c r="B332" s="5" t="n"/>
      <c r="C332" s="5" t="n"/>
      <c r="D332" s="5" t="n"/>
      <c r="E332" s="5" t="n"/>
      <c r="F332" s="18" t="n"/>
      <c r="G332" s="18" t="n"/>
      <c r="H332" s="18" t="n"/>
      <c r="I332" s="5" t="n"/>
      <c r="J332" s="24">
        <f>IF($A332="","",$A332&amp;IF($B332="","0010",$B332))</f>
        <v/>
      </c>
    </row>
    <row r="333">
      <c r="A333" s="5" t="n"/>
      <c r="B333" s="5" t="n"/>
      <c r="C333" s="5" t="n"/>
      <c r="D333" s="5" t="n"/>
      <c r="E333" s="5" t="n"/>
      <c r="F333" s="18" t="n"/>
      <c r="G333" s="18" t="n"/>
      <c r="H333" s="18" t="n"/>
      <c r="I333" s="5" t="n"/>
      <c r="J333" s="24">
        <f>IF($A333="","",$A333&amp;IF($B333="","0010",$B333))</f>
        <v/>
      </c>
    </row>
    <row r="334">
      <c r="A334" s="5" t="n"/>
      <c r="B334" s="5" t="n"/>
      <c r="C334" s="5" t="n"/>
      <c r="D334" s="5" t="n"/>
      <c r="E334" s="5" t="n"/>
      <c r="F334" s="18" t="n"/>
      <c r="G334" s="18" t="n"/>
      <c r="H334" s="18" t="n"/>
      <c r="I334" s="5" t="n"/>
      <c r="J334" s="24">
        <f>IF($A334="","",$A334&amp;IF($B334="","0010",$B334))</f>
        <v/>
      </c>
    </row>
    <row r="335">
      <c r="A335" s="5" t="n"/>
      <c r="B335" s="5" t="n"/>
      <c r="C335" s="5" t="n"/>
      <c r="D335" s="5" t="n"/>
      <c r="E335" s="5" t="n"/>
      <c r="F335" s="18" t="n"/>
      <c r="G335" s="18" t="n"/>
      <c r="H335" s="18" t="n"/>
      <c r="I335" s="5" t="n"/>
      <c r="J335" s="24">
        <f>IF($A335="","",$A335&amp;IF($B335="","0010",$B335))</f>
        <v/>
      </c>
    </row>
    <row r="336">
      <c r="A336" s="5" t="n"/>
      <c r="B336" s="5" t="n"/>
      <c r="C336" s="5" t="n"/>
      <c r="D336" s="5" t="n"/>
      <c r="E336" s="5" t="n"/>
      <c r="F336" s="18" t="n"/>
      <c r="G336" s="18" t="n"/>
      <c r="H336" s="18" t="n"/>
      <c r="I336" s="5" t="n"/>
      <c r="J336" s="24">
        <f>IF($A336="","",$A336&amp;IF($B336="","0010",$B336))</f>
        <v/>
      </c>
    </row>
    <row r="337">
      <c r="A337" s="5" t="n"/>
      <c r="B337" s="5" t="n"/>
      <c r="C337" s="5" t="n"/>
      <c r="D337" s="5" t="n"/>
      <c r="E337" s="5" t="n"/>
      <c r="F337" s="18" t="n"/>
      <c r="G337" s="18" t="n"/>
      <c r="H337" s="18" t="n"/>
      <c r="I337" s="5" t="n"/>
      <c r="J337" s="24">
        <f>IF($A337="","",$A337&amp;IF($B337="","0010",$B337))</f>
        <v/>
      </c>
    </row>
    <row r="338">
      <c r="A338" s="5" t="n"/>
      <c r="B338" s="5" t="n"/>
      <c r="C338" s="5" t="n"/>
      <c r="D338" s="5" t="n"/>
      <c r="E338" s="5" t="n"/>
      <c r="F338" s="18" t="n"/>
      <c r="G338" s="18" t="n"/>
      <c r="H338" s="18" t="n"/>
      <c r="I338" s="5" t="n"/>
      <c r="J338" s="24">
        <f>IF($A338="","",$A338&amp;IF($B338="","0010",$B338))</f>
        <v/>
      </c>
    </row>
    <row r="339">
      <c r="A339" s="5" t="n"/>
      <c r="B339" s="5" t="n"/>
      <c r="C339" s="5" t="n"/>
      <c r="D339" s="5" t="n"/>
      <c r="E339" s="5" t="n"/>
      <c r="F339" s="18" t="n"/>
      <c r="G339" s="18" t="n"/>
      <c r="H339" s="18" t="n"/>
      <c r="I339" s="5" t="n"/>
      <c r="J339" s="24">
        <f>IF($A339="","",$A339&amp;IF($B339="","0010",$B339))</f>
        <v/>
      </c>
    </row>
    <row r="340">
      <c r="A340" s="5" t="n"/>
      <c r="B340" s="5" t="n"/>
      <c r="C340" s="5" t="n"/>
      <c r="D340" s="5" t="n"/>
      <c r="E340" s="5" t="n"/>
      <c r="F340" s="18" t="n"/>
      <c r="G340" s="18" t="n"/>
      <c r="H340" s="18" t="n"/>
      <c r="I340" s="5" t="n"/>
      <c r="J340" s="24">
        <f>IF($A340="","",$A340&amp;IF($B340="","0010",$B340))</f>
        <v/>
      </c>
    </row>
    <row r="341">
      <c r="A341" s="5" t="n"/>
      <c r="B341" s="5" t="n"/>
      <c r="C341" s="5" t="n"/>
      <c r="D341" s="5" t="n"/>
      <c r="E341" s="5" t="n"/>
      <c r="F341" s="18" t="n"/>
      <c r="G341" s="18" t="n"/>
      <c r="H341" s="18" t="n"/>
      <c r="I341" s="5" t="n"/>
      <c r="J341" s="24">
        <f>IF($A341="","",$A341&amp;IF($B341="","0010",$B341))</f>
        <v/>
      </c>
    </row>
    <row r="342">
      <c r="A342" s="5" t="n"/>
      <c r="B342" s="5" t="n"/>
      <c r="C342" s="5" t="n"/>
      <c r="D342" s="5" t="n"/>
      <c r="E342" s="5" t="n"/>
      <c r="F342" s="18" t="n"/>
      <c r="G342" s="18" t="n"/>
      <c r="H342" s="18" t="n"/>
      <c r="I342" s="5" t="n"/>
      <c r="J342" s="24">
        <f>IF($A342="","",$A342&amp;IF($B342="","0010",$B342))</f>
        <v/>
      </c>
    </row>
    <row r="343">
      <c r="A343" s="5" t="n"/>
      <c r="B343" s="5" t="n"/>
      <c r="C343" s="5" t="n"/>
      <c r="D343" s="5" t="n"/>
      <c r="E343" s="5" t="n"/>
      <c r="F343" s="18" t="n"/>
      <c r="G343" s="18" t="n"/>
      <c r="H343" s="18" t="n"/>
      <c r="I343" s="5" t="n"/>
      <c r="J343" s="24">
        <f>IF($A343="","",$A343&amp;IF($B343="","0010",$B343))</f>
        <v/>
      </c>
    </row>
    <row r="344">
      <c r="A344" s="5" t="n"/>
      <c r="B344" s="5" t="n"/>
      <c r="C344" s="5" t="n"/>
      <c r="D344" s="5" t="n"/>
      <c r="E344" s="5" t="n"/>
      <c r="F344" s="18" t="n"/>
      <c r="G344" s="18" t="n"/>
      <c r="H344" s="18" t="n"/>
      <c r="I344" s="5" t="n"/>
      <c r="J344" s="24">
        <f>IF($A344="","",$A344&amp;IF($B344="","0010",$B344))</f>
        <v/>
      </c>
    </row>
    <row r="345">
      <c r="A345" s="5" t="n"/>
      <c r="B345" s="5" t="n"/>
      <c r="C345" s="5" t="n"/>
      <c r="D345" s="5" t="n"/>
      <c r="E345" s="5" t="n"/>
      <c r="F345" s="18" t="n"/>
      <c r="G345" s="18" t="n"/>
      <c r="H345" s="18" t="n"/>
      <c r="I345" s="5" t="n"/>
      <c r="J345" s="24">
        <f>IF($A345="","",$A345&amp;IF($B345="","0010",$B345))</f>
        <v/>
      </c>
    </row>
    <row r="346">
      <c r="A346" s="5" t="n"/>
      <c r="B346" s="5" t="n"/>
      <c r="C346" s="5" t="n"/>
      <c r="D346" s="5" t="n"/>
      <c r="E346" s="5" t="n"/>
      <c r="F346" s="18" t="n"/>
      <c r="G346" s="18" t="n"/>
      <c r="H346" s="18" t="n"/>
      <c r="I346" s="5" t="n"/>
      <c r="J346" s="24">
        <f>IF($A346="","",$A346&amp;IF($B346="","0010",$B346))</f>
        <v/>
      </c>
    </row>
    <row r="347">
      <c r="A347" s="5" t="n"/>
      <c r="B347" s="5" t="n"/>
      <c r="C347" s="5" t="n"/>
      <c r="D347" s="5" t="n"/>
      <c r="E347" s="5" t="n"/>
      <c r="F347" s="18" t="n"/>
      <c r="G347" s="18" t="n"/>
      <c r="H347" s="18" t="n"/>
      <c r="I347" s="5" t="n"/>
      <c r="J347" s="24">
        <f>IF($A347="","",$A347&amp;IF($B347="","0010",$B347))</f>
        <v/>
      </c>
    </row>
    <row r="348">
      <c r="A348" s="5" t="n"/>
      <c r="B348" s="5" t="n"/>
      <c r="C348" s="5" t="n"/>
      <c r="D348" s="5" t="n"/>
      <c r="E348" s="5" t="n"/>
      <c r="F348" s="18" t="n"/>
      <c r="G348" s="18" t="n"/>
      <c r="H348" s="18" t="n"/>
      <c r="I348" s="5" t="n"/>
      <c r="J348" s="24">
        <f>IF($A348="","",$A348&amp;IF($B348="","0010",$B348))</f>
        <v/>
      </c>
    </row>
    <row r="349">
      <c r="A349" s="5" t="n"/>
      <c r="B349" s="5" t="n"/>
      <c r="C349" s="5" t="n"/>
      <c r="D349" s="5" t="n"/>
      <c r="E349" s="5" t="n"/>
      <c r="F349" s="18" t="n"/>
      <c r="G349" s="18" t="n"/>
      <c r="H349" s="18" t="n"/>
      <c r="I349" s="5" t="n"/>
      <c r="J349" s="24">
        <f>IF($A349="","",$A349&amp;IF($B349="","0010",$B349))</f>
        <v/>
      </c>
    </row>
    <row r="350">
      <c r="A350" s="5" t="n"/>
      <c r="B350" s="5" t="n"/>
      <c r="C350" s="5" t="n"/>
      <c r="D350" s="5" t="n"/>
      <c r="E350" s="5" t="n"/>
      <c r="F350" s="18" t="n"/>
      <c r="G350" s="18" t="n"/>
      <c r="H350" s="18" t="n"/>
      <c r="I350" s="5" t="n"/>
      <c r="J350" s="24">
        <f>IF($A350="","",$A350&amp;IF($B350="","0010",$B350))</f>
        <v/>
      </c>
    </row>
    <row r="351">
      <c r="A351" s="5" t="n"/>
      <c r="B351" s="5" t="n"/>
      <c r="C351" s="5" t="n"/>
      <c r="D351" s="5" t="n"/>
      <c r="E351" s="5" t="n"/>
      <c r="F351" s="18" t="n"/>
      <c r="G351" s="18" t="n"/>
      <c r="H351" s="18" t="n"/>
      <c r="I351" s="5" t="n"/>
      <c r="J351" s="24">
        <f>IF($A351="","",$A351&amp;IF($B351="","0010",$B351))</f>
        <v/>
      </c>
    </row>
    <row r="352">
      <c r="A352" s="5" t="n"/>
      <c r="B352" s="5" t="n"/>
      <c r="C352" s="5" t="n"/>
      <c r="D352" s="5" t="n"/>
      <c r="E352" s="5" t="n"/>
      <c r="F352" s="18" t="n"/>
      <c r="G352" s="18" t="n"/>
      <c r="H352" s="18" t="n"/>
      <c r="I352" s="5" t="n"/>
      <c r="J352" s="24">
        <f>IF($A352="","",$A352&amp;IF($B352="","0010",$B352))</f>
        <v/>
      </c>
    </row>
    <row r="353">
      <c r="A353" s="5" t="n"/>
      <c r="B353" s="5" t="n"/>
      <c r="C353" s="5" t="n"/>
      <c r="D353" s="5" t="n"/>
      <c r="E353" s="5" t="n"/>
      <c r="F353" s="18" t="n"/>
      <c r="G353" s="18" t="n"/>
      <c r="H353" s="18" t="n"/>
      <c r="I353" s="5" t="n"/>
      <c r="J353" s="24">
        <f>IF($A353="","",$A353&amp;IF($B353="","0010",$B353))</f>
        <v/>
      </c>
    </row>
    <row r="354">
      <c r="A354" s="5" t="n"/>
      <c r="B354" s="5" t="n"/>
      <c r="C354" s="5" t="n"/>
      <c r="D354" s="5" t="n"/>
      <c r="E354" s="5" t="n"/>
      <c r="F354" s="18" t="n"/>
      <c r="G354" s="18" t="n"/>
      <c r="H354" s="18" t="n"/>
      <c r="I354" s="5" t="n"/>
      <c r="J354" s="24">
        <f>IF($A354="","",$A354&amp;IF($B354="","0010",$B354))</f>
        <v/>
      </c>
    </row>
    <row r="355">
      <c r="A355" s="5" t="n"/>
      <c r="B355" s="5" t="n"/>
      <c r="C355" s="5" t="n"/>
      <c r="D355" s="5" t="n"/>
      <c r="E355" s="5" t="n"/>
      <c r="F355" s="18" t="n"/>
      <c r="G355" s="18" t="n"/>
      <c r="H355" s="18" t="n"/>
      <c r="I355" s="5" t="n"/>
      <c r="J355" s="24">
        <f>IF($A355="","",$A355&amp;IF($B355="","0010",$B355))</f>
        <v/>
      </c>
    </row>
    <row r="356">
      <c r="A356" s="5" t="n"/>
      <c r="B356" s="5" t="n"/>
      <c r="C356" s="5" t="n"/>
      <c r="D356" s="5" t="n"/>
      <c r="E356" s="5" t="n"/>
      <c r="F356" s="18" t="n"/>
      <c r="G356" s="18" t="n"/>
      <c r="H356" s="18" t="n"/>
      <c r="I356" s="5" t="n"/>
      <c r="J356" s="24">
        <f>IF($A356="","",$A356&amp;IF($B356="","0010",$B356))</f>
        <v/>
      </c>
    </row>
    <row r="357">
      <c r="A357" s="5" t="n"/>
      <c r="B357" s="5" t="n"/>
      <c r="C357" s="5" t="n"/>
      <c r="D357" s="5" t="n"/>
      <c r="E357" s="5" t="n"/>
      <c r="F357" s="18" t="n"/>
      <c r="G357" s="18" t="n"/>
      <c r="H357" s="18" t="n"/>
      <c r="I357" s="5" t="n"/>
      <c r="J357" s="24">
        <f>IF($A357="","",$A357&amp;IF($B357="","0010",$B357))</f>
        <v/>
      </c>
    </row>
    <row r="358">
      <c r="A358" s="5" t="n"/>
      <c r="B358" s="5" t="n"/>
      <c r="C358" s="5" t="n"/>
      <c r="D358" s="5" t="n"/>
      <c r="E358" s="5" t="n"/>
      <c r="F358" s="18" t="n"/>
      <c r="G358" s="18" t="n"/>
      <c r="H358" s="18" t="n"/>
      <c r="I358" s="5" t="n"/>
      <c r="J358" s="24">
        <f>IF($A358="","",$A358&amp;IF($B358="","0010",$B358))</f>
        <v/>
      </c>
    </row>
    <row r="359">
      <c r="A359" s="5" t="n"/>
      <c r="B359" s="5" t="n"/>
      <c r="C359" s="5" t="n"/>
      <c r="D359" s="5" t="n"/>
      <c r="E359" s="5" t="n"/>
      <c r="F359" s="18" t="n"/>
      <c r="G359" s="18" t="n"/>
      <c r="H359" s="18" t="n"/>
      <c r="I359" s="5" t="n"/>
      <c r="J359" s="24">
        <f>IF($A359="","",$A359&amp;IF($B359="","0010",$B359))</f>
        <v/>
      </c>
    </row>
    <row r="360">
      <c r="A360" s="5" t="n"/>
      <c r="B360" s="5" t="n"/>
      <c r="C360" s="5" t="n"/>
      <c r="D360" s="5" t="n"/>
      <c r="E360" s="5" t="n"/>
      <c r="F360" s="18" t="n"/>
      <c r="G360" s="18" t="n"/>
      <c r="H360" s="18" t="n"/>
      <c r="I360" s="5" t="n"/>
      <c r="J360" s="24">
        <f>IF($A360="","",$A360&amp;IF($B360="","0010",$B360))</f>
        <v/>
      </c>
    </row>
    <row r="361">
      <c r="A361" s="5" t="n"/>
      <c r="B361" s="5" t="n"/>
      <c r="C361" s="5" t="n"/>
      <c r="D361" s="5" t="n"/>
      <c r="E361" s="5" t="n"/>
      <c r="F361" s="18" t="n"/>
      <c r="G361" s="18" t="n"/>
      <c r="H361" s="18" t="n"/>
      <c r="I361" s="5" t="n"/>
      <c r="J361" s="24">
        <f>IF($A361="","",$A361&amp;IF($B361="","0010",$B361))</f>
        <v/>
      </c>
    </row>
    <row r="362">
      <c r="A362" s="5" t="n"/>
      <c r="B362" s="5" t="n"/>
      <c r="C362" s="5" t="n"/>
      <c r="D362" s="5" t="n"/>
      <c r="E362" s="5" t="n"/>
      <c r="F362" s="18" t="n"/>
      <c r="G362" s="18" t="n"/>
      <c r="H362" s="18" t="n"/>
      <c r="I362" s="5" t="n"/>
      <c r="J362" s="24">
        <f>IF($A362="","",$A362&amp;IF($B362="","0010",$B362))</f>
        <v/>
      </c>
    </row>
    <row r="363">
      <c r="A363" s="5" t="n"/>
      <c r="B363" s="5" t="n"/>
      <c r="C363" s="5" t="n"/>
      <c r="D363" s="5" t="n"/>
      <c r="E363" s="5" t="n"/>
      <c r="F363" s="18" t="n"/>
      <c r="G363" s="18" t="n"/>
      <c r="H363" s="18" t="n"/>
      <c r="I363" s="5" t="n"/>
      <c r="J363" s="24">
        <f>IF($A363="","",$A363&amp;IF($B363="","0010",$B363))</f>
        <v/>
      </c>
    </row>
    <row r="364">
      <c r="A364" s="5" t="n"/>
      <c r="B364" s="5" t="n"/>
      <c r="C364" s="5" t="n"/>
      <c r="D364" s="5" t="n"/>
      <c r="E364" s="5" t="n"/>
      <c r="F364" s="18" t="n"/>
      <c r="G364" s="18" t="n"/>
      <c r="H364" s="18" t="n"/>
      <c r="I364" s="5" t="n"/>
      <c r="J364" s="24">
        <f>IF($A364="","",$A364&amp;IF($B364="","0010",$B364))</f>
        <v/>
      </c>
    </row>
    <row r="365">
      <c r="A365" s="5" t="n"/>
      <c r="B365" s="5" t="n"/>
      <c r="C365" s="5" t="n"/>
      <c r="D365" s="5" t="n"/>
      <c r="E365" s="5" t="n"/>
      <c r="F365" s="18" t="n"/>
      <c r="G365" s="18" t="n"/>
      <c r="H365" s="18" t="n"/>
      <c r="I365" s="5" t="n"/>
      <c r="J365" s="24">
        <f>IF($A365="","",$A365&amp;IF($B365="","0010",$B365))</f>
        <v/>
      </c>
    </row>
    <row r="366">
      <c r="A366" s="5" t="n"/>
      <c r="B366" s="5" t="n"/>
      <c r="C366" s="5" t="n"/>
      <c r="D366" s="5" t="n"/>
      <c r="E366" s="5" t="n"/>
      <c r="F366" s="18" t="n"/>
      <c r="G366" s="18" t="n"/>
      <c r="H366" s="18" t="n"/>
      <c r="I366" s="5" t="n"/>
      <c r="J366" s="24">
        <f>IF($A366="","",$A366&amp;IF($B366="","0010",$B366))</f>
        <v/>
      </c>
    </row>
    <row r="367">
      <c r="A367" s="5" t="n"/>
      <c r="B367" s="5" t="n"/>
      <c r="C367" s="5" t="n"/>
      <c r="D367" s="5" t="n"/>
      <c r="E367" s="5" t="n"/>
      <c r="F367" s="18" t="n"/>
      <c r="G367" s="18" t="n"/>
      <c r="H367" s="18" t="n"/>
      <c r="I367" s="5" t="n"/>
      <c r="J367" s="24">
        <f>IF($A367="","",$A367&amp;IF($B367="","0010",$B367))</f>
        <v/>
      </c>
    </row>
    <row r="368">
      <c r="A368" s="5" t="n"/>
      <c r="B368" s="5" t="n"/>
      <c r="C368" s="5" t="n"/>
      <c r="D368" s="5" t="n"/>
      <c r="E368" s="5" t="n"/>
      <c r="F368" s="18" t="n"/>
      <c r="G368" s="18" t="n"/>
      <c r="H368" s="18" t="n"/>
      <c r="I368" s="5" t="n"/>
      <c r="J368" s="24">
        <f>IF($A368="","",$A368&amp;IF($B368="","0010",$B368))</f>
        <v/>
      </c>
    </row>
    <row r="369">
      <c r="A369" s="5" t="n"/>
      <c r="B369" s="5" t="n"/>
      <c r="C369" s="5" t="n"/>
      <c r="D369" s="5" t="n"/>
      <c r="E369" s="5" t="n"/>
      <c r="F369" s="18" t="n"/>
      <c r="G369" s="18" t="n"/>
      <c r="H369" s="18" t="n"/>
      <c r="I369" s="5" t="n"/>
      <c r="J369" s="24">
        <f>IF($A369="","",$A369&amp;IF($B369="","0010",$B369))</f>
        <v/>
      </c>
    </row>
    <row r="370">
      <c r="A370" s="5" t="n"/>
      <c r="B370" s="5" t="n"/>
      <c r="C370" s="5" t="n"/>
      <c r="D370" s="5" t="n"/>
      <c r="E370" s="5" t="n"/>
      <c r="F370" s="18" t="n"/>
      <c r="G370" s="18" t="n"/>
      <c r="H370" s="18" t="n"/>
      <c r="I370" s="5" t="n"/>
      <c r="J370" s="24">
        <f>IF($A370="","",$A370&amp;IF($B370="","0010",$B370))</f>
        <v/>
      </c>
    </row>
    <row r="371">
      <c r="A371" s="5" t="n"/>
      <c r="B371" s="5" t="n"/>
      <c r="C371" s="5" t="n"/>
      <c r="D371" s="5" t="n"/>
      <c r="E371" s="5" t="n"/>
      <c r="F371" s="18" t="n"/>
      <c r="G371" s="18" t="n"/>
      <c r="H371" s="18" t="n"/>
      <c r="I371" s="5" t="n"/>
      <c r="J371" s="24">
        <f>IF($A371="","",$A371&amp;IF($B371="","0010",$B371))</f>
        <v/>
      </c>
    </row>
    <row r="372">
      <c r="A372" s="5" t="n"/>
      <c r="B372" s="5" t="n"/>
      <c r="C372" s="5" t="n"/>
      <c r="D372" s="5" t="n"/>
      <c r="E372" s="5" t="n"/>
      <c r="F372" s="18" t="n"/>
      <c r="G372" s="18" t="n"/>
      <c r="H372" s="18" t="n"/>
      <c r="I372" s="5" t="n"/>
      <c r="J372" s="24">
        <f>IF($A372="","",$A372&amp;IF($B372="","0010",$B372))</f>
        <v/>
      </c>
    </row>
    <row r="373">
      <c r="A373" s="5" t="n"/>
      <c r="B373" s="5" t="n"/>
      <c r="C373" s="5" t="n"/>
      <c r="D373" s="5" t="n"/>
      <c r="E373" s="5" t="n"/>
      <c r="F373" s="18" t="n"/>
      <c r="G373" s="18" t="n"/>
      <c r="H373" s="18" t="n"/>
      <c r="I373" s="5" t="n"/>
      <c r="J373" s="24">
        <f>IF($A373="","",$A373&amp;IF($B373="","0010",$B373))</f>
        <v/>
      </c>
    </row>
    <row r="374">
      <c r="A374" s="5" t="n"/>
      <c r="B374" s="5" t="n"/>
      <c r="C374" s="5" t="n"/>
      <c r="D374" s="5" t="n"/>
      <c r="E374" s="5" t="n"/>
      <c r="F374" s="18" t="n"/>
      <c r="G374" s="18" t="n"/>
      <c r="H374" s="18" t="n"/>
      <c r="I374" s="5" t="n"/>
      <c r="J374" s="24">
        <f>IF($A374="","",$A374&amp;IF($B374="","0010",$B374))</f>
        <v/>
      </c>
    </row>
    <row r="375">
      <c r="A375" s="5" t="n"/>
      <c r="B375" s="5" t="n"/>
      <c r="C375" s="5" t="n"/>
      <c r="D375" s="5" t="n"/>
      <c r="E375" s="5" t="n"/>
      <c r="F375" s="18" t="n"/>
      <c r="G375" s="18" t="n"/>
      <c r="H375" s="18" t="n"/>
      <c r="I375" s="5" t="n"/>
      <c r="J375" s="24">
        <f>IF($A375="","",$A375&amp;IF($B375="","0010",$B375))</f>
        <v/>
      </c>
    </row>
    <row r="376">
      <c r="A376" s="5" t="n"/>
      <c r="B376" s="5" t="n"/>
      <c r="C376" s="5" t="n"/>
      <c r="D376" s="5" t="n"/>
      <c r="E376" s="5" t="n"/>
      <c r="F376" s="18" t="n"/>
      <c r="G376" s="18" t="n"/>
      <c r="H376" s="18" t="n"/>
      <c r="I376" s="5" t="n"/>
      <c r="J376" s="24">
        <f>IF($A376="","",$A376&amp;IF($B376="","0010",$B376))</f>
        <v/>
      </c>
    </row>
    <row r="377">
      <c r="A377" s="5" t="n"/>
      <c r="B377" s="5" t="n"/>
      <c r="C377" s="5" t="n"/>
      <c r="D377" s="5" t="n"/>
      <c r="E377" s="5" t="n"/>
      <c r="F377" s="18" t="n"/>
      <c r="G377" s="18" t="n"/>
      <c r="H377" s="18" t="n"/>
      <c r="I377" s="5" t="n"/>
      <c r="J377" s="24">
        <f>IF($A377="","",$A377&amp;IF($B377="","0010",$B377))</f>
        <v/>
      </c>
    </row>
    <row r="378">
      <c r="A378" s="5" t="n"/>
      <c r="B378" s="5" t="n"/>
      <c r="C378" s="5" t="n"/>
      <c r="D378" s="5" t="n"/>
      <c r="E378" s="5" t="n"/>
      <c r="F378" s="18" t="n"/>
      <c r="G378" s="18" t="n"/>
      <c r="H378" s="18" t="n"/>
      <c r="I378" s="5" t="n"/>
      <c r="J378" s="24">
        <f>IF($A378="","",$A378&amp;IF($B378="","0010",$B378))</f>
        <v/>
      </c>
    </row>
    <row r="379">
      <c r="A379" s="5" t="n"/>
      <c r="B379" s="5" t="n"/>
      <c r="C379" s="5" t="n"/>
      <c r="D379" s="5" t="n"/>
      <c r="E379" s="5" t="n"/>
      <c r="F379" s="18" t="n"/>
      <c r="G379" s="18" t="n"/>
      <c r="H379" s="18" t="n"/>
      <c r="I379" s="5" t="n"/>
      <c r="J379" s="24">
        <f>IF($A379="","",$A379&amp;IF($B379="","0010",$B379))</f>
        <v/>
      </c>
    </row>
    <row r="380">
      <c r="A380" s="5" t="n"/>
      <c r="B380" s="5" t="n"/>
      <c r="C380" s="5" t="n"/>
      <c r="D380" s="5" t="n"/>
      <c r="E380" s="5" t="n"/>
      <c r="F380" s="18" t="n"/>
      <c r="G380" s="18" t="n"/>
      <c r="H380" s="18" t="n"/>
      <c r="I380" s="5" t="n"/>
      <c r="J380" s="24">
        <f>IF($A380="","",$A380&amp;IF($B380="","0010",$B380))</f>
        <v/>
      </c>
    </row>
    <row r="381">
      <c r="A381" s="5" t="n"/>
      <c r="B381" s="5" t="n"/>
      <c r="C381" s="5" t="n"/>
      <c r="D381" s="5" t="n"/>
      <c r="E381" s="5" t="n"/>
      <c r="F381" s="18" t="n"/>
      <c r="G381" s="18" t="n"/>
      <c r="H381" s="18" t="n"/>
      <c r="I381" s="5" t="n"/>
      <c r="J381" s="24">
        <f>IF($A381="","",$A381&amp;IF($B381="","0010",$B381))</f>
        <v/>
      </c>
    </row>
    <row r="382">
      <c r="A382" s="5" t="n"/>
      <c r="B382" s="5" t="n"/>
      <c r="C382" s="5" t="n"/>
      <c r="D382" s="5" t="n"/>
      <c r="E382" s="5" t="n"/>
      <c r="F382" s="18" t="n"/>
      <c r="G382" s="18" t="n"/>
      <c r="H382" s="18" t="n"/>
      <c r="I382" s="5" t="n"/>
      <c r="J382" s="24">
        <f>IF($A382="","",$A382&amp;IF($B382="","0010",$B382))</f>
        <v/>
      </c>
    </row>
    <row r="383">
      <c r="A383" s="5" t="n"/>
      <c r="B383" s="5" t="n"/>
      <c r="C383" s="5" t="n"/>
      <c r="D383" s="5" t="n"/>
      <c r="E383" s="5" t="n"/>
      <c r="F383" s="18" t="n"/>
      <c r="G383" s="18" t="n"/>
      <c r="H383" s="18" t="n"/>
      <c r="I383" s="5" t="n"/>
      <c r="J383" s="24">
        <f>IF($A383="","",$A383&amp;IF($B383="","0010",$B383))</f>
        <v/>
      </c>
    </row>
    <row r="384">
      <c r="A384" s="5" t="n"/>
      <c r="B384" s="5" t="n"/>
      <c r="C384" s="5" t="n"/>
      <c r="D384" s="5" t="n"/>
      <c r="E384" s="5" t="n"/>
      <c r="F384" s="18" t="n"/>
      <c r="G384" s="18" t="n"/>
      <c r="H384" s="18" t="n"/>
      <c r="I384" s="5" t="n"/>
      <c r="J384" s="24">
        <f>IF($A384="","",$A384&amp;IF($B384="","0010",$B384))</f>
        <v/>
      </c>
    </row>
    <row r="385">
      <c r="A385" s="5" t="n"/>
      <c r="B385" s="5" t="n"/>
      <c r="C385" s="5" t="n"/>
      <c r="D385" s="5" t="n"/>
      <c r="E385" s="5" t="n"/>
      <c r="F385" s="18" t="n"/>
      <c r="G385" s="18" t="n"/>
      <c r="H385" s="18" t="n"/>
      <c r="I385" s="5" t="n"/>
      <c r="J385" s="24">
        <f>IF($A385="","",$A385&amp;IF($B385="","0010",$B385))</f>
        <v/>
      </c>
    </row>
    <row r="386">
      <c r="A386" s="5" t="n"/>
      <c r="B386" s="5" t="n"/>
      <c r="C386" s="5" t="n"/>
      <c r="D386" s="5" t="n"/>
      <c r="E386" s="5" t="n"/>
      <c r="F386" s="18" t="n"/>
      <c r="G386" s="18" t="n"/>
      <c r="H386" s="18" t="n"/>
      <c r="I386" s="5" t="n"/>
      <c r="J386" s="24">
        <f>IF($A386="","",$A386&amp;IF($B386="","0010",$B386))</f>
        <v/>
      </c>
    </row>
    <row r="387">
      <c r="A387" s="5" t="n"/>
      <c r="B387" s="5" t="n"/>
      <c r="C387" s="5" t="n"/>
      <c r="D387" s="5" t="n"/>
      <c r="E387" s="5" t="n"/>
      <c r="F387" s="18" t="n"/>
      <c r="G387" s="18" t="n"/>
      <c r="H387" s="18" t="n"/>
      <c r="I387" s="5" t="n"/>
      <c r="J387" s="24">
        <f>IF($A387="","",$A387&amp;IF($B387="","0010",$B387))</f>
        <v/>
      </c>
    </row>
    <row r="388">
      <c r="A388" s="5" t="n"/>
      <c r="B388" s="5" t="n"/>
      <c r="C388" s="5" t="n"/>
      <c r="D388" s="5" t="n"/>
      <c r="E388" s="5" t="n"/>
      <c r="F388" s="18" t="n"/>
      <c r="G388" s="18" t="n"/>
      <c r="H388" s="18" t="n"/>
      <c r="I388" s="5" t="n"/>
      <c r="J388" s="24">
        <f>IF($A388="","",$A388&amp;IF($B388="","0010",$B388))</f>
        <v/>
      </c>
    </row>
    <row r="389">
      <c r="A389" s="5" t="n"/>
      <c r="B389" s="5" t="n"/>
      <c r="C389" s="5" t="n"/>
      <c r="D389" s="5" t="n"/>
      <c r="E389" s="5" t="n"/>
      <c r="F389" s="18" t="n"/>
      <c r="G389" s="18" t="n"/>
      <c r="H389" s="18" t="n"/>
      <c r="I389" s="5" t="n"/>
      <c r="J389" s="24">
        <f>IF($A389="","",$A389&amp;IF($B389="","0010",$B389))</f>
        <v/>
      </c>
    </row>
    <row r="390">
      <c r="A390" s="5" t="n"/>
      <c r="B390" s="5" t="n"/>
      <c r="C390" s="5" t="n"/>
      <c r="D390" s="5" t="n"/>
      <c r="E390" s="5" t="n"/>
      <c r="F390" s="18" t="n"/>
      <c r="G390" s="18" t="n"/>
      <c r="H390" s="18" t="n"/>
      <c r="I390" s="5" t="n"/>
      <c r="J390" s="24">
        <f>IF($A390="","",$A390&amp;IF($B390="","0010",$B390))</f>
        <v/>
      </c>
    </row>
    <row r="391">
      <c r="A391" s="5" t="n"/>
      <c r="B391" s="5" t="n"/>
      <c r="C391" s="5" t="n"/>
      <c r="D391" s="5" t="n"/>
      <c r="E391" s="5" t="n"/>
      <c r="F391" s="18" t="n"/>
      <c r="G391" s="18" t="n"/>
      <c r="H391" s="18" t="n"/>
      <c r="I391" s="5" t="n"/>
      <c r="J391" s="24">
        <f>IF($A391="","",$A391&amp;IF($B391="","0010",$B391))</f>
        <v/>
      </c>
    </row>
    <row r="392">
      <c r="A392" s="5" t="n"/>
      <c r="B392" s="5" t="n"/>
      <c r="C392" s="5" t="n"/>
      <c r="D392" s="5" t="n"/>
      <c r="E392" s="5" t="n"/>
      <c r="F392" s="18" t="n"/>
      <c r="G392" s="18" t="n"/>
      <c r="H392" s="18" t="n"/>
      <c r="I392" s="5" t="n"/>
      <c r="J392" s="24">
        <f>IF($A392="","",$A392&amp;IF($B392="","0010",$B392))</f>
        <v/>
      </c>
    </row>
    <row r="393">
      <c r="A393" s="5" t="n"/>
      <c r="B393" s="5" t="n"/>
      <c r="C393" s="5" t="n"/>
      <c r="D393" s="5" t="n"/>
      <c r="E393" s="5" t="n"/>
      <c r="F393" s="18" t="n"/>
      <c r="G393" s="18" t="n"/>
      <c r="H393" s="18" t="n"/>
      <c r="I393" s="5" t="n"/>
      <c r="J393" s="24">
        <f>IF($A393="","",$A393&amp;IF($B393="","0010",$B393))</f>
        <v/>
      </c>
    </row>
    <row r="394">
      <c r="A394" s="5" t="n"/>
      <c r="B394" s="5" t="n"/>
      <c r="C394" s="5" t="n"/>
      <c r="D394" s="5" t="n"/>
      <c r="E394" s="5" t="n"/>
      <c r="F394" s="18" t="n"/>
      <c r="G394" s="18" t="n"/>
      <c r="H394" s="18" t="n"/>
      <c r="I394" s="5" t="n"/>
      <c r="J394" s="24">
        <f>IF($A394="","",$A394&amp;IF($B394="","0010",$B394))</f>
        <v/>
      </c>
    </row>
    <row r="395">
      <c r="A395" s="5" t="n"/>
      <c r="B395" s="5" t="n"/>
      <c r="C395" s="5" t="n"/>
      <c r="D395" s="5" t="n"/>
      <c r="E395" s="5" t="n"/>
      <c r="F395" s="18" t="n"/>
      <c r="G395" s="18" t="n"/>
      <c r="H395" s="18" t="n"/>
      <c r="I395" s="5" t="n"/>
      <c r="J395" s="24">
        <f>IF($A395="","",$A395&amp;IF($B395="","0010",$B395))</f>
        <v/>
      </c>
    </row>
    <row r="396">
      <c r="A396" s="5" t="n"/>
      <c r="B396" s="5" t="n"/>
      <c r="C396" s="5" t="n"/>
      <c r="D396" s="5" t="n"/>
      <c r="E396" s="5" t="n"/>
      <c r="F396" s="18" t="n"/>
      <c r="G396" s="18" t="n"/>
      <c r="H396" s="18" t="n"/>
      <c r="I396" s="5" t="n"/>
      <c r="J396" s="24">
        <f>IF($A396="","",$A396&amp;IF($B396="","0010",$B396))</f>
        <v/>
      </c>
    </row>
    <row r="397">
      <c r="A397" s="5" t="n"/>
      <c r="B397" s="5" t="n"/>
      <c r="C397" s="5" t="n"/>
      <c r="D397" s="5" t="n"/>
      <c r="E397" s="5" t="n"/>
      <c r="F397" s="18" t="n"/>
      <c r="G397" s="18" t="n"/>
      <c r="H397" s="18" t="n"/>
      <c r="I397" s="5" t="n"/>
      <c r="J397" s="24">
        <f>IF($A397="","",$A397&amp;IF($B397="","0010",$B397))</f>
        <v/>
      </c>
    </row>
    <row r="398">
      <c r="A398" s="5" t="n"/>
      <c r="B398" s="5" t="n"/>
      <c r="C398" s="5" t="n"/>
      <c r="D398" s="5" t="n"/>
      <c r="E398" s="5" t="n"/>
      <c r="F398" s="18" t="n"/>
      <c r="G398" s="18" t="n"/>
      <c r="H398" s="18" t="n"/>
      <c r="I398" s="5" t="n"/>
      <c r="J398" s="24">
        <f>IF($A398="","",$A398&amp;IF($B398="","0010",$B398))</f>
        <v/>
      </c>
    </row>
    <row r="399">
      <c r="A399" s="5" t="n"/>
      <c r="B399" s="5" t="n"/>
      <c r="C399" s="5" t="n"/>
      <c r="D399" s="5" t="n"/>
      <c r="E399" s="5" t="n"/>
      <c r="F399" s="18" t="n"/>
      <c r="G399" s="18" t="n"/>
      <c r="H399" s="18" t="n"/>
      <c r="I399" s="5" t="n"/>
      <c r="J399" s="24">
        <f>IF($A399="","",$A399&amp;IF($B399="","0010",$B399))</f>
        <v/>
      </c>
    </row>
    <row r="400">
      <c r="A400" s="5" t="n"/>
      <c r="B400" s="5" t="n"/>
      <c r="C400" s="5" t="n"/>
      <c r="D400" s="5" t="n"/>
      <c r="E400" s="5" t="n"/>
      <c r="F400" s="18" t="n"/>
      <c r="G400" s="18" t="n"/>
      <c r="H400" s="18" t="n"/>
      <c r="I400" s="5" t="n"/>
      <c r="J400" s="24">
        <f>IF($A400="","",$A400&amp;IF($B400="","0010",$B400))</f>
        <v/>
      </c>
    </row>
    <row r="401">
      <c r="A401" s="5" t="n"/>
      <c r="B401" s="5" t="n"/>
      <c r="C401" s="5" t="n"/>
      <c r="D401" s="5" t="n"/>
      <c r="E401" s="5" t="n"/>
      <c r="F401" s="18" t="n"/>
      <c r="G401" s="18" t="n"/>
      <c r="H401" s="18" t="n"/>
      <c r="I401" s="5" t="n"/>
      <c r="J401" s="24">
        <f>IF($A401="","",$A401&amp;IF($B401="","0010",$B401))</f>
        <v/>
      </c>
    </row>
    <row r="402">
      <c r="A402" s="5" t="n"/>
      <c r="B402" s="5" t="n"/>
      <c r="C402" s="5" t="n"/>
      <c r="D402" s="5" t="n"/>
      <c r="E402" s="5" t="n"/>
      <c r="F402" s="18" t="n"/>
      <c r="G402" s="18" t="n"/>
      <c r="H402" s="18" t="n"/>
      <c r="I402" s="5" t="n"/>
      <c r="J402" s="24">
        <f>IF($A402="","",$A402&amp;IF($B402="","0010",$B402))</f>
        <v/>
      </c>
    </row>
    <row r="403">
      <c r="A403" s="5" t="n"/>
      <c r="B403" s="5" t="n"/>
      <c r="C403" s="5" t="n"/>
      <c r="D403" s="5" t="n"/>
      <c r="E403" s="5" t="n"/>
      <c r="F403" s="18" t="n"/>
      <c r="G403" s="18" t="n"/>
      <c r="H403" s="18" t="n"/>
      <c r="I403" s="5" t="n"/>
      <c r="J403" s="24">
        <f>IF($A403="","",$A403&amp;IF($B403="","0010",$B403))</f>
        <v/>
      </c>
    </row>
    <row r="404">
      <c r="A404" s="5" t="n"/>
      <c r="B404" s="5" t="n"/>
      <c r="C404" s="5" t="n"/>
      <c r="D404" s="5" t="n"/>
      <c r="E404" s="5" t="n"/>
      <c r="F404" s="18" t="n"/>
      <c r="G404" s="18" t="n"/>
      <c r="H404" s="18" t="n"/>
      <c r="I404" s="5" t="n"/>
      <c r="J404" s="24">
        <f>IF($A404="","",$A404&amp;IF($B404="","0010",$B404))</f>
        <v/>
      </c>
    </row>
    <row r="405">
      <c r="A405" s="5" t="n"/>
      <c r="B405" s="5" t="n"/>
      <c r="C405" s="5" t="n"/>
      <c r="D405" s="5" t="n"/>
      <c r="E405" s="5" t="n"/>
      <c r="F405" s="18" t="n"/>
      <c r="G405" s="18" t="n"/>
      <c r="H405" s="18" t="n"/>
      <c r="I405" s="5" t="n"/>
      <c r="J405" s="24">
        <f>IF($A405="","",$A405&amp;IF($B405="","0010",$B405))</f>
        <v/>
      </c>
    </row>
    <row r="406">
      <c r="A406" s="5" t="n"/>
      <c r="B406" s="5" t="n"/>
      <c r="C406" s="5" t="n"/>
      <c r="D406" s="5" t="n"/>
      <c r="E406" s="5" t="n"/>
      <c r="F406" s="18" t="n"/>
      <c r="G406" s="18" t="n"/>
      <c r="H406" s="18" t="n"/>
      <c r="I406" s="5" t="n"/>
      <c r="J406" s="24">
        <f>IF($A406="","",$A406&amp;IF($B406="","0010",$B406))</f>
        <v/>
      </c>
    </row>
    <row r="407">
      <c r="A407" s="5" t="n"/>
      <c r="B407" s="5" t="n"/>
      <c r="C407" s="5" t="n"/>
      <c r="D407" s="5" t="n"/>
      <c r="E407" s="5" t="n"/>
      <c r="F407" s="18" t="n"/>
      <c r="G407" s="18" t="n"/>
      <c r="H407" s="18" t="n"/>
      <c r="I407" s="5" t="n"/>
      <c r="J407" s="24">
        <f>IF($A407="","",$A407&amp;IF($B407="","0010",$B407))</f>
        <v/>
      </c>
    </row>
    <row r="408">
      <c r="A408" s="5" t="n"/>
      <c r="B408" s="5" t="n"/>
      <c r="C408" s="5" t="n"/>
      <c r="D408" s="5" t="n"/>
      <c r="E408" s="5" t="n"/>
      <c r="F408" s="18" t="n"/>
      <c r="G408" s="18" t="n"/>
      <c r="H408" s="18" t="n"/>
      <c r="I408" s="5" t="n"/>
      <c r="J408" s="24">
        <f>IF($A408="","",$A408&amp;IF($B408="","0010",$B408))</f>
        <v/>
      </c>
    </row>
    <row r="409">
      <c r="A409" s="5" t="n"/>
      <c r="B409" s="5" t="n"/>
      <c r="C409" s="5" t="n"/>
      <c r="D409" s="5" t="n"/>
      <c r="E409" s="5" t="n"/>
      <c r="F409" s="18" t="n"/>
      <c r="G409" s="18" t="n"/>
      <c r="H409" s="18" t="n"/>
      <c r="I409" s="5" t="n"/>
      <c r="J409" s="24">
        <f>IF($A409="","",$A409&amp;IF($B409="","0010",$B409))</f>
        <v/>
      </c>
    </row>
    <row r="410">
      <c r="A410" s="5" t="n"/>
      <c r="B410" s="5" t="n"/>
      <c r="C410" s="5" t="n"/>
      <c r="D410" s="5" t="n"/>
      <c r="E410" s="5" t="n"/>
      <c r="F410" s="18" t="n"/>
      <c r="G410" s="18" t="n"/>
      <c r="H410" s="18" t="n"/>
      <c r="I410" s="5" t="n"/>
      <c r="J410" s="24">
        <f>IF($A410="","",$A410&amp;IF($B410="","0010",$B410))</f>
        <v/>
      </c>
    </row>
    <row r="411">
      <c r="A411" s="5" t="n"/>
      <c r="B411" s="5" t="n"/>
      <c r="C411" s="5" t="n"/>
      <c r="D411" s="5" t="n"/>
      <c r="E411" s="5" t="n"/>
      <c r="F411" s="18" t="n"/>
      <c r="G411" s="18" t="n"/>
      <c r="H411" s="18" t="n"/>
      <c r="I411" s="5" t="n"/>
      <c r="J411" s="24">
        <f>IF($A411="","",$A411&amp;IF($B411="","0010",$B411))</f>
        <v/>
      </c>
    </row>
    <row r="412">
      <c r="A412" s="5" t="n"/>
      <c r="B412" s="5" t="n"/>
      <c r="C412" s="5" t="n"/>
      <c r="D412" s="5" t="n"/>
      <c r="E412" s="5" t="n"/>
      <c r="F412" s="18" t="n"/>
      <c r="G412" s="18" t="n"/>
      <c r="H412" s="18" t="n"/>
      <c r="I412" s="5" t="n"/>
      <c r="J412" s="24">
        <f>IF($A412="","",$A412&amp;IF($B412="","0010",$B412))</f>
        <v/>
      </c>
    </row>
    <row r="413">
      <c r="A413" s="5" t="n"/>
      <c r="B413" s="5" t="n"/>
      <c r="C413" s="5" t="n"/>
      <c r="D413" s="5" t="n"/>
      <c r="E413" s="5" t="n"/>
      <c r="F413" s="18" t="n"/>
      <c r="G413" s="18" t="n"/>
      <c r="H413" s="18" t="n"/>
      <c r="I413" s="5" t="n"/>
      <c r="J413" s="24">
        <f>IF($A413="","",$A413&amp;IF($B413="","0010",$B413))</f>
        <v/>
      </c>
    </row>
    <row r="414">
      <c r="A414" s="5" t="n"/>
      <c r="B414" s="5" t="n"/>
      <c r="C414" s="5" t="n"/>
      <c r="D414" s="5" t="n"/>
      <c r="E414" s="5" t="n"/>
      <c r="F414" s="18" t="n"/>
      <c r="G414" s="18" t="n"/>
      <c r="H414" s="18" t="n"/>
      <c r="I414" s="5" t="n"/>
      <c r="J414" s="24">
        <f>IF($A414="","",$A414&amp;IF($B414="","0010",$B414))</f>
        <v/>
      </c>
    </row>
    <row r="415">
      <c r="A415" s="5" t="n"/>
      <c r="B415" s="5" t="n"/>
      <c r="C415" s="5" t="n"/>
      <c r="D415" s="5" t="n"/>
      <c r="E415" s="5" t="n"/>
      <c r="F415" s="18" t="n"/>
      <c r="G415" s="18" t="n"/>
      <c r="H415" s="18" t="n"/>
      <c r="I415" s="5" t="n"/>
      <c r="J415" s="24">
        <f>IF($A415="","",$A415&amp;IF($B415="","0010",$B415))</f>
        <v/>
      </c>
    </row>
    <row r="416">
      <c r="A416" s="5" t="n"/>
      <c r="B416" s="5" t="n"/>
      <c r="C416" s="5" t="n"/>
      <c r="D416" s="5" t="n"/>
      <c r="E416" s="5" t="n"/>
      <c r="F416" s="18" t="n"/>
      <c r="G416" s="18" t="n"/>
      <c r="H416" s="18" t="n"/>
      <c r="I416" s="5" t="n"/>
      <c r="J416" s="24">
        <f>IF($A416="","",$A416&amp;IF($B416="","0010",$B416))</f>
        <v/>
      </c>
    </row>
    <row r="417">
      <c r="A417" s="5" t="n"/>
      <c r="B417" s="5" t="n"/>
      <c r="C417" s="5" t="n"/>
      <c r="D417" s="5" t="n"/>
      <c r="E417" s="5" t="n"/>
      <c r="F417" s="18" t="n"/>
      <c r="G417" s="18" t="n"/>
      <c r="H417" s="18" t="n"/>
      <c r="I417" s="5" t="n"/>
      <c r="J417" s="24">
        <f>IF($A417="","",$A417&amp;IF($B417="","0010",$B417))</f>
        <v/>
      </c>
    </row>
    <row r="418">
      <c r="A418" s="5" t="n"/>
      <c r="B418" s="5" t="n"/>
      <c r="C418" s="5" t="n"/>
      <c r="D418" s="5" t="n"/>
      <c r="E418" s="5" t="n"/>
      <c r="F418" s="18" t="n"/>
      <c r="G418" s="18" t="n"/>
      <c r="H418" s="18" t="n"/>
      <c r="I418" s="5" t="n"/>
      <c r="J418" s="24">
        <f>IF($A418="","",$A418&amp;IF($B418="","0010",$B418))</f>
        <v/>
      </c>
    </row>
    <row r="419">
      <c r="A419" s="5" t="n"/>
      <c r="B419" s="5" t="n"/>
      <c r="C419" s="5" t="n"/>
      <c r="D419" s="5" t="n"/>
      <c r="E419" s="5" t="n"/>
      <c r="F419" s="18" t="n"/>
      <c r="G419" s="18" t="n"/>
      <c r="H419" s="18" t="n"/>
      <c r="I419" s="5" t="n"/>
      <c r="J419" s="24">
        <f>IF($A419="","",$A419&amp;IF($B419="","0010",$B419))</f>
        <v/>
      </c>
    </row>
    <row r="420">
      <c r="A420" s="5" t="n"/>
      <c r="B420" s="5" t="n"/>
      <c r="C420" s="5" t="n"/>
      <c r="D420" s="5" t="n"/>
      <c r="E420" s="5" t="n"/>
      <c r="F420" s="18" t="n"/>
      <c r="G420" s="18" t="n"/>
      <c r="H420" s="18" t="n"/>
      <c r="I420" s="5" t="n"/>
      <c r="J420" s="24">
        <f>IF($A420="","",$A420&amp;IF($B420="","0010",$B420))</f>
        <v/>
      </c>
    </row>
    <row r="421">
      <c r="A421" s="5" t="n"/>
      <c r="B421" s="5" t="n"/>
      <c r="C421" s="5" t="n"/>
      <c r="D421" s="5" t="n"/>
      <c r="E421" s="5" t="n"/>
      <c r="F421" s="18" t="n"/>
      <c r="G421" s="18" t="n"/>
      <c r="H421" s="18" t="n"/>
      <c r="I421" s="5" t="n"/>
      <c r="J421" s="24">
        <f>IF($A421="","",$A421&amp;IF($B421="","0010",$B421))</f>
        <v/>
      </c>
    </row>
    <row r="422">
      <c r="A422" s="5" t="n"/>
      <c r="B422" s="5" t="n"/>
      <c r="C422" s="5" t="n"/>
      <c r="D422" s="5" t="n"/>
      <c r="E422" s="5" t="n"/>
      <c r="F422" s="18" t="n"/>
      <c r="G422" s="18" t="n"/>
      <c r="H422" s="18" t="n"/>
      <c r="I422" s="5" t="n"/>
      <c r="J422" s="24">
        <f>IF($A422="","",$A422&amp;IF($B422="","0010",$B422))</f>
        <v/>
      </c>
    </row>
    <row r="423">
      <c r="A423" s="5" t="n"/>
      <c r="B423" s="5" t="n"/>
      <c r="C423" s="5" t="n"/>
      <c r="D423" s="5" t="n"/>
      <c r="E423" s="5" t="n"/>
      <c r="F423" s="18" t="n"/>
      <c r="G423" s="18" t="n"/>
      <c r="H423" s="18" t="n"/>
      <c r="I423" s="5" t="n"/>
      <c r="J423" s="24">
        <f>IF($A423="","",$A423&amp;IF($B423="","0010",$B423))</f>
        <v/>
      </c>
    </row>
    <row r="424">
      <c r="A424" s="5" t="n"/>
      <c r="B424" s="5" t="n"/>
      <c r="C424" s="5" t="n"/>
      <c r="D424" s="5" t="n"/>
      <c r="E424" s="5" t="n"/>
      <c r="F424" s="18" t="n"/>
      <c r="G424" s="18" t="n"/>
      <c r="H424" s="18" t="n"/>
      <c r="I424" s="5" t="n"/>
      <c r="J424" s="24">
        <f>IF($A424="","",$A424&amp;IF($B424="","0010",$B424))</f>
        <v/>
      </c>
    </row>
    <row r="425">
      <c r="A425" s="5" t="n"/>
      <c r="B425" s="5" t="n"/>
      <c r="C425" s="5" t="n"/>
      <c r="D425" s="5" t="n"/>
      <c r="E425" s="5" t="n"/>
      <c r="F425" s="18" t="n"/>
      <c r="G425" s="18" t="n"/>
      <c r="H425" s="18" t="n"/>
      <c r="I425" s="5" t="n"/>
      <c r="J425" s="24">
        <f>IF($A425="","",$A425&amp;IF($B425="","0010",$B425))</f>
        <v/>
      </c>
    </row>
    <row r="426">
      <c r="A426" s="5" t="n"/>
      <c r="B426" s="5" t="n"/>
      <c r="C426" s="5" t="n"/>
      <c r="D426" s="5" t="n"/>
      <c r="E426" s="5" t="n"/>
      <c r="F426" s="18" t="n"/>
      <c r="G426" s="18" t="n"/>
      <c r="H426" s="18" t="n"/>
      <c r="I426" s="5" t="n"/>
      <c r="J426" s="24">
        <f>IF($A426="","",$A426&amp;IF($B426="","0010",$B426))</f>
        <v/>
      </c>
    </row>
    <row r="427">
      <c r="A427" s="5" t="n"/>
      <c r="B427" s="5" t="n"/>
      <c r="C427" s="5" t="n"/>
      <c r="D427" s="5" t="n"/>
      <c r="E427" s="5" t="n"/>
      <c r="F427" s="18" t="n"/>
      <c r="G427" s="18" t="n"/>
      <c r="H427" s="18" t="n"/>
      <c r="I427" s="5" t="n"/>
      <c r="J427" s="24">
        <f>IF($A427="","",$A427&amp;IF($B427="","0010",$B427))</f>
        <v/>
      </c>
    </row>
    <row r="428">
      <c r="A428" s="5" t="n"/>
      <c r="B428" s="5" t="n"/>
      <c r="C428" s="5" t="n"/>
      <c r="D428" s="5" t="n"/>
      <c r="E428" s="5" t="n"/>
      <c r="F428" s="18" t="n"/>
      <c r="G428" s="18" t="n"/>
      <c r="H428" s="18" t="n"/>
      <c r="I428" s="5" t="n"/>
      <c r="J428" s="24">
        <f>IF($A428="","",$A428&amp;IF($B428="","0010",$B428))</f>
        <v/>
      </c>
    </row>
    <row r="429">
      <c r="A429" s="5" t="n"/>
      <c r="B429" s="5" t="n"/>
      <c r="C429" s="5" t="n"/>
      <c r="D429" s="5" t="n"/>
      <c r="E429" s="5" t="n"/>
      <c r="F429" s="18" t="n"/>
      <c r="G429" s="18" t="n"/>
      <c r="H429" s="18" t="n"/>
      <c r="I429" s="5" t="n"/>
      <c r="J429" s="24">
        <f>IF($A429="","",$A429&amp;IF($B429="","0010",$B429))</f>
        <v/>
      </c>
    </row>
    <row r="430">
      <c r="A430" s="5" t="n"/>
      <c r="B430" s="5" t="n"/>
      <c r="C430" s="5" t="n"/>
      <c r="D430" s="5" t="n"/>
      <c r="E430" s="5" t="n"/>
      <c r="F430" s="18" t="n"/>
      <c r="G430" s="18" t="n"/>
      <c r="H430" s="18" t="n"/>
      <c r="I430" s="5" t="n"/>
      <c r="J430" s="24">
        <f>IF($A430="","",$A430&amp;IF($B430="","0010",$B430))</f>
        <v/>
      </c>
    </row>
    <row r="431">
      <c r="A431" s="5" t="n"/>
      <c r="B431" s="5" t="n"/>
      <c r="C431" s="5" t="n"/>
      <c r="D431" s="5" t="n"/>
      <c r="E431" s="5" t="n"/>
      <c r="F431" s="18" t="n"/>
      <c r="G431" s="18" t="n"/>
      <c r="H431" s="18" t="n"/>
      <c r="I431" s="5" t="n"/>
      <c r="J431" s="24">
        <f>IF($A431="","",$A431&amp;IF($B431="","0010",$B431))</f>
        <v/>
      </c>
    </row>
    <row r="432">
      <c r="A432" s="5" t="n"/>
      <c r="B432" s="5" t="n"/>
      <c r="C432" s="5" t="n"/>
      <c r="D432" s="5" t="n"/>
      <c r="E432" s="5" t="n"/>
      <c r="F432" s="18" t="n"/>
      <c r="G432" s="18" t="n"/>
      <c r="H432" s="18" t="n"/>
      <c r="I432" s="5" t="n"/>
      <c r="J432" s="24">
        <f>IF($A432="","",$A432&amp;IF($B432="","0010",$B432))</f>
        <v/>
      </c>
    </row>
    <row r="433">
      <c r="A433" s="5" t="n"/>
      <c r="B433" s="5" t="n"/>
      <c r="C433" s="5" t="n"/>
      <c r="D433" s="5" t="n"/>
      <c r="E433" s="5" t="n"/>
      <c r="F433" s="18" t="n"/>
      <c r="G433" s="18" t="n"/>
      <c r="H433" s="18" t="n"/>
      <c r="I433" s="5" t="n"/>
      <c r="J433" s="24">
        <f>IF($A433="","",$A433&amp;IF($B433="","0010",$B433))</f>
        <v/>
      </c>
    </row>
    <row r="434">
      <c r="A434" s="5" t="n"/>
      <c r="B434" s="5" t="n"/>
      <c r="C434" s="5" t="n"/>
      <c r="D434" s="5" t="n"/>
      <c r="E434" s="5" t="n"/>
      <c r="F434" s="18" t="n"/>
      <c r="G434" s="18" t="n"/>
      <c r="H434" s="18" t="n"/>
      <c r="I434" s="5" t="n"/>
      <c r="J434" s="24">
        <f>IF($A434="","",$A434&amp;IF($B434="","0010",$B434))</f>
        <v/>
      </c>
    </row>
    <row r="435">
      <c r="A435" s="5" t="n"/>
      <c r="B435" s="5" t="n"/>
      <c r="C435" s="5" t="n"/>
      <c r="D435" s="5" t="n"/>
      <c r="E435" s="5" t="n"/>
      <c r="F435" s="18" t="n"/>
      <c r="G435" s="18" t="n"/>
      <c r="H435" s="18" t="n"/>
      <c r="I435" s="5" t="n"/>
      <c r="J435" s="24">
        <f>IF($A435="","",$A435&amp;IF($B435="","0010",$B435))</f>
        <v/>
      </c>
    </row>
    <row r="436">
      <c r="A436" s="5" t="n"/>
      <c r="B436" s="5" t="n"/>
      <c r="C436" s="5" t="n"/>
      <c r="D436" s="5" t="n"/>
      <c r="E436" s="5" t="n"/>
      <c r="F436" s="18" t="n"/>
      <c r="G436" s="18" t="n"/>
      <c r="H436" s="18" t="n"/>
      <c r="I436" s="5" t="n"/>
      <c r="J436" s="24">
        <f>IF($A436="","",$A436&amp;IF($B436="","0010",$B436))</f>
        <v/>
      </c>
    </row>
    <row r="437">
      <c r="A437" s="5" t="n"/>
      <c r="B437" s="5" t="n"/>
      <c r="C437" s="5" t="n"/>
      <c r="D437" s="5" t="n"/>
      <c r="E437" s="5" t="n"/>
      <c r="F437" s="18" t="n"/>
      <c r="G437" s="18" t="n"/>
      <c r="H437" s="18" t="n"/>
      <c r="I437" s="5" t="n"/>
      <c r="J437" s="24">
        <f>IF($A437="","",$A437&amp;IF($B437="","0010",$B437))</f>
        <v/>
      </c>
    </row>
    <row r="438">
      <c r="A438" s="5" t="n"/>
      <c r="B438" s="5" t="n"/>
      <c r="C438" s="5" t="n"/>
      <c r="D438" s="5" t="n"/>
      <c r="E438" s="5" t="n"/>
      <c r="F438" s="18" t="n"/>
      <c r="G438" s="18" t="n"/>
      <c r="H438" s="18" t="n"/>
      <c r="I438" s="5" t="n"/>
      <c r="J438" s="24">
        <f>IF($A438="","",$A438&amp;IF($B438="","0010",$B438))</f>
        <v/>
      </c>
    </row>
    <row r="439">
      <c r="A439" s="5" t="n"/>
      <c r="B439" s="5" t="n"/>
      <c r="C439" s="5" t="n"/>
      <c r="D439" s="5" t="n"/>
      <c r="E439" s="5" t="n"/>
      <c r="F439" s="18" t="n"/>
      <c r="G439" s="18" t="n"/>
      <c r="H439" s="18" t="n"/>
      <c r="I439" s="5" t="n"/>
      <c r="J439" s="24">
        <f>IF($A439="","",$A439&amp;IF($B439="","0010",$B439))</f>
        <v/>
      </c>
    </row>
    <row r="440">
      <c r="A440" s="5" t="n"/>
      <c r="B440" s="5" t="n"/>
      <c r="C440" s="5" t="n"/>
      <c r="D440" s="5" t="n"/>
      <c r="E440" s="5" t="n"/>
      <c r="F440" s="18" t="n"/>
      <c r="G440" s="18" t="n"/>
      <c r="H440" s="18" t="n"/>
      <c r="I440" s="5" t="n"/>
      <c r="J440" s="24">
        <f>IF($A440="","",$A440&amp;IF($B440="","0010",$B440))</f>
        <v/>
      </c>
    </row>
    <row r="441">
      <c r="A441" s="5" t="n"/>
      <c r="B441" s="5" t="n"/>
      <c r="C441" s="5" t="n"/>
      <c r="D441" s="5" t="n"/>
      <c r="E441" s="5" t="n"/>
      <c r="F441" s="18" t="n"/>
      <c r="G441" s="18" t="n"/>
      <c r="H441" s="18" t="n"/>
      <c r="I441" s="5" t="n"/>
      <c r="J441" s="24">
        <f>IF($A441="","",$A441&amp;IF($B441="","0010",$B441))</f>
        <v/>
      </c>
    </row>
    <row r="442">
      <c r="A442" s="5" t="n"/>
      <c r="B442" s="5" t="n"/>
      <c r="C442" s="5" t="n"/>
      <c r="D442" s="5" t="n"/>
      <c r="E442" s="5" t="n"/>
      <c r="F442" s="18" t="n"/>
      <c r="G442" s="18" t="n"/>
      <c r="H442" s="18" t="n"/>
      <c r="I442" s="5" t="n"/>
      <c r="J442" s="24">
        <f>IF($A442="","",$A442&amp;IF($B442="","0010",$B442))</f>
        <v/>
      </c>
    </row>
    <row r="443">
      <c r="A443" s="5" t="n"/>
      <c r="B443" s="5" t="n"/>
      <c r="C443" s="5" t="n"/>
      <c r="D443" s="5" t="n"/>
      <c r="E443" s="5" t="n"/>
      <c r="F443" s="18" t="n"/>
      <c r="G443" s="18" t="n"/>
      <c r="H443" s="18" t="n"/>
      <c r="I443" s="5" t="n"/>
      <c r="J443" s="24">
        <f>IF($A443="","",$A443&amp;IF($B443="","0010",$B443))</f>
        <v/>
      </c>
    </row>
    <row r="444">
      <c r="A444" s="5" t="n"/>
      <c r="B444" s="5" t="n"/>
      <c r="C444" s="5" t="n"/>
      <c r="D444" s="5" t="n"/>
      <c r="E444" s="5" t="n"/>
      <c r="F444" s="18" t="n"/>
      <c r="G444" s="18" t="n"/>
      <c r="H444" s="18" t="n"/>
      <c r="I444" s="5" t="n"/>
      <c r="J444" s="24">
        <f>IF($A444="","",$A444&amp;IF($B444="","0010",$B444))</f>
        <v/>
      </c>
    </row>
    <row r="445">
      <c r="A445" s="5" t="n"/>
      <c r="B445" s="5" t="n"/>
      <c r="C445" s="5" t="n"/>
      <c r="D445" s="5" t="n"/>
      <c r="E445" s="5" t="n"/>
      <c r="F445" s="18" t="n"/>
      <c r="G445" s="18" t="n"/>
      <c r="H445" s="18" t="n"/>
      <c r="I445" s="5" t="n"/>
      <c r="J445" s="24">
        <f>IF($A445="","",$A445&amp;IF($B445="","0010",$B445))</f>
        <v/>
      </c>
    </row>
    <row r="446">
      <c r="A446" s="5" t="n"/>
      <c r="B446" s="5" t="n"/>
      <c r="C446" s="5" t="n"/>
      <c r="D446" s="5" t="n"/>
      <c r="E446" s="5" t="n"/>
      <c r="F446" s="18" t="n"/>
      <c r="G446" s="18" t="n"/>
      <c r="H446" s="18" t="n"/>
      <c r="I446" s="5" t="n"/>
      <c r="J446" s="24">
        <f>IF($A446="","",$A446&amp;IF($B446="","0010",$B446))</f>
        <v/>
      </c>
    </row>
    <row r="447">
      <c r="A447" s="5" t="n"/>
      <c r="B447" s="5" t="n"/>
      <c r="C447" s="5" t="n"/>
      <c r="D447" s="5" t="n"/>
      <c r="E447" s="5" t="n"/>
      <c r="F447" s="18" t="n"/>
      <c r="G447" s="18" t="n"/>
      <c r="H447" s="18" t="n"/>
      <c r="I447" s="5" t="n"/>
      <c r="J447" s="24">
        <f>IF($A447="","",$A447&amp;IF($B447="","0010",$B447))</f>
        <v/>
      </c>
    </row>
    <row r="448">
      <c r="A448" s="5" t="n"/>
      <c r="B448" s="5" t="n"/>
      <c r="C448" s="5" t="n"/>
      <c r="D448" s="5" t="n"/>
      <c r="E448" s="5" t="n"/>
      <c r="F448" s="18" t="n"/>
      <c r="G448" s="18" t="n"/>
      <c r="H448" s="18" t="n"/>
      <c r="I448" s="5" t="n"/>
      <c r="J448" s="24">
        <f>IF($A448="","",$A448&amp;IF($B448="","0010",$B448))</f>
        <v/>
      </c>
    </row>
    <row r="449">
      <c r="A449" s="5" t="n"/>
      <c r="B449" s="5" t="n"/>
      <c r="C449" s="5" t="n"/>
      <c r="D449" s="5" t="n"/>
      <c r="E449" s="5" t="n"/>
      <c r="F449" s="18" t="n"/>
      <c r="G449" s="18" t="n"/>
      <c r="H449" s="18" t="n"/>
      <c r="I449" s="5" t="n"/>
      <c r="J449" s="24">
        <f>IF($A449="","",$A449&amp;IF($B449="","0010",$B449))</f>
        <v/>
      </c>
    </row>
    <row r="450">
      <c r="A450" s="5" t="n"/>
      <c r="B450" s="5" t="n"/>
      <c r="C450" s="5" t="n"/>
      <c r="D450" s="5" t="n"/>
      <c r="E450" s="5" t="n"/>
      <c r="F450" s="18" t="n"/>
      <c r="G450" s="18" t="n"/>
      <c r="H450" s="18" t="n"/>
      <c r="I450" s="5" t="n"/>
      <c r="J450" s="24">
        <f>IF($A450="","",$A450&amp;IF($B450="","0010",$B450))</f>
        <v/>
      </c>
    </row>
    <row r="451">
      <c r="A451" s="5" t="n"/>
      <c r="B451" s="5" t="n"/>
      <c r="C451" s="5" t="n"/>
      <c r="D451" s="5" t="n"/>
      <c r="E451" s="5" t="n"/>
      <c r="F451" s="18" t="n"/>
      <c r="G451" s="18" t="n"/>
      <c r="H451" s="18" t="n"/>
      <c r="I451" s="5" t="n"/>
      <c r="J451" s="24">
        <f>IF($A451="","",$A451&amp;IF($B451="","0010",$B451))</f>
        <v/>
      </c>
    </row>
    <row r="452">
      <c r="A452" s="5" t="n"/>
      <c r="B452" s="5" t="n"/>
      <c r="C452" s="5" t="n"/>
      <c r="D452" s="5" t="n"/>
      <c r="E452" s="5" t="n"/>
      <c r="F452" s="18" t="n"/>
      <c r="G452" s="18" t="n"/>
      <c r="H452" s="18" t="n"/>
      <c r="I452" s="5" t="n"/>
      <c r="J452" s="24">
        <f>IF($A452="","",$A452&amp;IF($B452="","0010",$B452))</f>
        <v/>
      </c>
    </row>
    <row r="453">
      <c r="A453" s="5" t="n"/>
      <c r="B453" s="5" t="n"/>
      <c r="C453" s="5" t="n"/>
      <c r="D453" s="5" t="n"/>
      <c r="E453" s="5" t="n"/>
      <c r="F453" s="18" t="n"/>
      <c r="G453" s="18" t="n"/>
      <c r="H453" s="18" t="n"/>
      <c r="I453" s="5" t="n"/>
      <c r="J453" s="24">
        <f>IF($A453="","",$A453&amp;IF($B453="","0010",$B453))</f>
        <v/>
      </c>
    </row>
    <row r="454">
      <c r="A454" s="5" t="n"/>
      <c r="B454" s="5" t="n"/>
      <c r="C454" s="5" t="n"/>
      <c r="D454" s="5" t="n"/>
      <c r="E454" s="5" t="n"/>
      <c r="F454" s="18" t="n"/>
      <c r="G454" s="18" t="n"/>
      <c r="H454" s="18" t="n"/>
      <c r="I454" s="5" t="n"/>
      <c r="J454" s="24">
        <f>IF($A454="","",$A454&amp;IF($B454="","0010",$B454))</f>
        <v/>
      </c>
    </row>
    <row r="455">
      <c r="A455" s="5" t="n"/>
      <c r="B455" s="5" t="n"/>
      <c r="C455" s="5" t="n"/>
      <c r="D455" s="5" t="n"/>
      <c r="E455" s="5" t="n"/>
      <c r="F455" s="18" t="n"/>
      <c r="G455" s="18" t="n"/>
      <c r="H455" s="18" t="n"/>
      <c r="I455" s="5" t="n"/>
      <c r="J455" s="24">
        <f>IF($A455="","",$A455&amp;IF($B455="","0010",$B455))</f>
        <v/>
      </c>
    </row>
    <row r="456">
      <c r="A456" s="5" t="n"/>
      <c r="B456" s="5" t="n"/>
      <c r="C456" s="5" t="n"/>
      <c r="D456" s="5" t="n"/>
      <c r="E456" s="5" t="n"/>
      <c r="F456" s="18" t="n"/>
      <c r="G456" s="18" t="n"/>
      <c r="H456" s="18" t="n"/>
      <c r="I456" s="5" t="n"/>
      <c r="J456" s="24">
        <f>IF($A456="","",$A456&amp;IF($B456="","0010",$B456))</f>
        <v/>
      </c>
    </row>
    <row r="457">
      <c r="A457" s="5" t="n"/>
      <c r="B457" s="5" t="n"/>
      <c r="C457" s="5" t="n"/>
      <c r="D457" s="5" t="n"/>
      <c r="E457" s="5" t="n"/>
      <c r="F457" s="18" t="n"/>
      <c r="G457" s="18" t="n"/>
      <c r="H457" s="18" t="n"/>
      <c r="I457" s="5" t="n"/>
      <c r="J457" s="24">
        <f>IF($A457="","",$A457&amp;IF($B457="","0010",$B457))</f>
        <v/>
      </c>
    </row>
    <row r="458">
      <c r="A458" s="5" t="n"/>
      <c r="B458" s="5" t="n"/>
      <c r="C458" s="5" t="n"/>
      <c r="D458" s="5" t="n"/>
      <c r="E458" s="5" t="n"/>
      <c r="F458" s="18" t="n"/>
      <c r="G458" s="18" t="n"/>
      <c r="H458" s="18" t="n"/>
      <c r="I458" s="5" t="n"/>
      <c r="J458" s="24">
        <f>IF($A458="","",$A458&amp;IF($B458="","0010",$B458))</f>
        <v/>
      </c>
    </row>
    <row r="459">
      <c r="A459" s="5" t="n"/>
      <c r="B459" s="5" t="n"/>
      <c r="C459" s="5" t="n"/>
      <c r="D459" s="5" t="n"/>
      <c r="E459" s="5" t="n"/>
      <c r="F459" s="18" t="n"/>
      <c r="G459" s="18" t="n"/>
      <c r="H459" s="18" t="n"/>
      <c r="I459" s="5" t="n"/>
      <c r="J459" s="24">
        <f>IF($A459="","",$A459&amp;IF($B459="","0010",$B459))</f>
        <v/>
      </c>
    </row>
    <row r="460">
      <c r="A460" s="5" t="n"/>
      <c r="B460" s="5" t="n"/>
      <c r="C460" s="5" t="n"/>
      <c r="D460" s="5" t="n"/>
      <c r="E460" s="5" t="n"/>
      <c r="F460" s="18" t="n"/>
      <c r="G460" s="18" t="n"/>
      <c r="H460" s="18" t="n"/>
      <c r="I460" s="5" t="n"/>
      <c r="J460" s="24">
        <f>IF($A460="","",$A460&amp;IF($B460="","0010",$B460))</f>
        <v/>
      </c>
    </row>
    <row r="461">
      <c r="A461" s="5" t="n"/>
      <c r="B461" s="5" t="n"/>
      <c r="C461" s="5" t="n"/>
      <c r="D461" s="5" t="n"/>
      <c r="E461" s="5" t="n"/>
      <c r="F461" s="18" t="n"/>
      <c r="G461" s="18" t="n"/>
      <c r="H461" s="18" t="n"/>
      <c r="I461" s="5" t="n"/>
      <c r="J461" s="24">
        <f>IF($A461="","",$A461&amp;IF($B461="","0010",$B461))</f>
        <v/>
      </c>
    </row>
    <row r="462">
      <c r="A462" s="5" t="n"/>
      <c r="B462" s="5" t="n"/>
      <c r="C462" s="5" t="n"/>
      <c r="D462" s="5" t="n"/>
      <c r="E462" s="5" t="n"/>
      <c r="F462" s="18" t="n"/>
      <c r="G462" s="18" t="n"/>
      <c r="H462" s="18" t="n"/>
      <c r="I462" s="5" t="n"/>
      <c r="J462" s="24">
        <f>IF($A462="","",$A462&amp;IF($B462="","0010",$B462))</f>
        <v/>
      </c>
    </row>
    <row r="463">
      <c r="A463" s="5" t="n"/>
      <c r="B463" s="5" t="n"/>
      <c r="C463" s="5" t="n"/>
      <c r="D463" s="5" t="n"/>
      <c r="E463" s="5" t="n"/>
      <c r="F463" s="18" t="n"/>
      <c r="G463" s="18" t="n"/>
      <c r="H463" s="18" t="n"/>
      <c r="I463" s="5" t="n"/>
      <c r="J463" s="24">
        <f>IF($A463="","",$A463&amp;IF($B463="","0010",$B463))</f>
        <v/>
      </c>
    </row>
    <row r="464">
      <c r="A464" s="5" t="n"/>
      <c r="B464" s="5" t="n"/>
      <c r="C464" s="5" t="n"/>
      <c r="D464" s="5" t="n"/>
      <c r="E464" s="5" t="n"/>
      <c r="F464" s="18" t="n"/>
      <c r="G464" s="18" t="n"/>
      <c r="H464" s="18" t="n"/>
      <c r="I464" s="5" t="n"/>
      <c r="J464" s="24">
        <f>IF($A464="","",$A464&amp;IF($B464="","0010",$B464))</f>
        <v/>
      </c>
    </row>
    <row r="465">
      <c r="A465" s="5" t="n"/>
      <c r="B465" s="5" t="n"/>
      <c r="C465" s="5" t="n"/>
      <c r="D465" s="5" t="n"/>
      <c r="E465" s="5" t="n"/>
      <c r="F465" s="18" t="n"/>
      <c r="G465" s="18" t="n"/>
      <c r="H465" s="18" t="n"/>
      <c r="I465" s="5" t="n"/>
      <c r="J465" s="24">
        <f>IF($A465="","",$A465&amp;IF($B465="","0010",$B465))</f>
        <v/>
      </c>
    </row>
    <row r="466">
      <c r="A466" s="5" t="n"/>
      <c r="B466" s="5" t="n"/>
      <c r="C466" s="5" t="n"/>
      <c r="D466" s="5" t="n"/>
      <c r="E466" s="5" t="n"/>
      <c r="F466" s="18" t="n"/>
      <c r="G466" s="18" t="n"/>
      <c r="H466" s="18" t="n"/>
      <c r="I466" s="5" t="n"/>
      <c r="J466" s="24">
        <f>IF($A466="","",$A466&amp;IF($B466="","0010",$B466))</f>
        <v/>
      </c>
    </row>
    <row r="467">
      <c r="A467" s="5" t="n"/>
      <c r="B467" s="5" t="n"/>
      <c r="C467" s="5" t="n"/>
      <c r="D467" s="5" t="n"/>
      <c r="E467" s="5" t="n"/>
      <c r="F467" s="18" t="n"/>
      <c r="G467" s="18" t="n"/>
      <c r="H467" s="18" t="n"/>
      <c r="I467" s="5" t="n"/>
      <c r="J467" s="24">
        <f>IF($A467="","",$A467&amp;IF($B467="","0010",$B467))</f>
        <v/>
      </c>
    </row>
    <row r="468">
      <c r="A468" s="5" t="n"/>
      <c r="B468" s="5" t="n"/>
      <c r="C468" s="5" t="n"/>
      <c r="D468" s="5" t="n"/>
      <c r="E468" s="5" t="n"/>
      <c r="F468" s="18" t="n"/>
      <c r="G468" s="18" t="n"/>
      <c r="H468" s="18" t="n"/>
      <c r="I468" s="5" t="n"/>
      <c r="J468" s="24">
        <f>IF($A468="","",$A468&amp;IF($B468="","0010",$B468))</f>
        <v/>
      </c>
    </row>
    <row r="469">
      <c r="A469" s="5" t="n"/>
      <c r="B469" s="5" t="n"/>
      <c r="C469" s="5" t="n"/>
      <c r="D469" s="5" t="n"/>
      <c r="E469" s="5" t="n"/>
      <c r="F469" s="18" t="n"/>
      <c r="G469" s="18" t="n"/>
      <c r="H469" s="18" t="n"/>
      <c r="I469" s="5" t="n"/>
      <c r="J469" s="24">
        <f>IF($A469="","",$A469&amp;IF($B469="","0010",$B469))</f>
        <v/>
      </c>
    </row>
    <row r="470">
      <c r="A470" s="5" t="n"/>
      <c r="B470" s="5" t="n"/>
      <c r="C470" s="5" t="n"/>
      <c r="D470" s="5" t="n"/>
      <c r="E470" s="5" t="n"/>
      <c r="F470" s="18" t="n"/>
      <c r="G470" s="18" t="n"/>
      <c r="H470" s="18" t="n"/>
      <c r="I470" s="5" t="n"/>
      <c r="J470" s="24">
        <f>IF($A470="","",$A470&amp;IF($B470="","0010",$B470))</f>
        <v/>
      </c>
    </row>
    <row r="471">
      <c r="A471" s="5" t="n"/>
      <c r="B471" s="5" t="n"/>
      <c r="C471" s="5" t="n"/>
      <c r="D471" s="5" t="n"/>
      <c r="E471" s="5" t="n"/>
      <c r="F471" s="18" t="n"/>
      <c r="G471" s="18" t="n"/>
      <c r="H471" s="18" t="n"/>
      <c r="I471" s="5" t="n"/>
      <c r="J471" s="24">
        <f>IF($A471="","",$A471&amp;IF($B471="","0010",$B471))</f>
        <v/>
      </c>
    </row>
    <row r="472">
      <c r="A472" s="5" t="n"/>
      <c r="B472" s="5" t="n"/>
      <c r="C472" s="5" t="n"/>
      <c r="D472" s="5" t="n"/>
      <c r="E472" s="5" t="n"/>
      <c r="F472" s="18" t="n"/>
      <c r="G472" s="18" t="n"/>
      <c r="H472" s="18" t="n"/>
      <c r="I472" s="5" t="n"/>
      <c r="J472" s="24">
        <f>IF($A472="","",$A472&amp;IF($B472="","0010",$B472))</f>
        <v/>
      </c>
    </row>
    <row r="473">
      <c r="A473" s="5" t="n"/>
      <c r="B473" s="5" t="n"/>
      <c r="C473" s="5" t="n"/>
      <c r="D473" s="5" t="n"/>
      <c r="E473" s="5" t="n"/>
      <c r="F473" s="18" t="n"/>
      <c r="G473" s="18" t="n"/>
      <c r="H473" s="18" t="n"/>
      <c r="I473" s="5" t="n"/>
      <c r="J473" s="24">
        <f>IF($A473="","",$A473&amp;IF($B473="","0010",$B473))</f>
        <v/>
      </c>
    </row>
    <row r="474">
      <c r="A474" s="5" t="n"/>
      <c r="B474" s="5" t="n"/>
      <c r="C474" s="5" t="n"/>
      <c r="D474" s="5" t="n"/>
      <c r="E474" s="5" t="n"/>
      <c r="F474" s="18" t="n"/>
      <c r="G474" s="18" t="n"/>
      <c r="H474" s="18" t="n"/>
      <c r="I474" s="5" t="n"/>
      <c r="J474" s="24">
        <f>IF($A474="","",$A474&amp;IF($B474="","0010",$B474))</f>
        <v/>
      </c>
    </row>
    <row r="475">
      <c r="A475" s="5" t="n"/>
      <c r="B475" s="5" t="n"/>
      <c r="C475" s="5" t="n"/>
      <c r="D475" s="5" t="n"/>
      <c r="E475" s="5" t="n"/>
      <c r="F475" s="18" t="n"/>
      <c r="G475" s="18" t="n"/>
      <c r="H475" s="18" t="n"/>
      <c r="I475" s="5" t="n"/>
      <c r="J475" s="24">
        <f>IF($A475="","",$A475&amp;IF($B475="","0010",$B475))</f>
        <v/>
      </c>
    </row>
    <row r="476">
      <c r="A476" s="5" t="n"/>
      <c r="B476" s="5" t="n"/>
      <c r="C476" s="5" t="n"/>
      <c r="D476" s="5" t="n"/>
      <c r="E476" s="5" t="n"/>
      <c r="F476" s="18" t="n"/>
      <c r="G476" s="18" t="n"/>
      <c r="H476" s="18" t="n"/>
      <c r="I476" s="5" t="n"/>
      <c r="J476" s="24">
        <f>IF($A476="","",$A476&amp;IF($B476="","0010",$B476))</f>
        <v/>
      </c>
    </row>
    <row r="477">
      <c r="A477" s="5" t="n"/>
      <c r="B477" s="5" t="n"/>
      <c r="C477" s="5" t="n"/>
      <c r="D477" s="5" t="n"/>
      <c r="E477" s="5" t="n"/>
      <c r="F477" s="18" t="n"/>
      <c r="G477" s="18" t="n"/>
      <c r="H477" s="18" t="n"/>
      <c r="I477" s="5" t="n"/>
      <c r="J477" s="24">
        <f>IF($A477="","",$A477&amp;IF($B477="","0010",$B477))</f>
        <v/>
      </c>
    </row>
    <row r="478">
      <c r="A478" s="5" t="n"/>
      <c r="B478" s="5" t="n"/>
      <c r="C478" s="5" t="n"/>
      <c r="D478" s="5" t="n"/>
      <c r="E478" s="5" t="n"/>
      <c r="F478" s="18" t="n"/>
      <c r="G478" s="18" t="n"/>
      <c r="H478" s="18" t="n"/>
      <c r="I478" s="5" t="n"/>
      <c r="J478" s="24">
        <f>IF($A478="","",$A478&amp;IF($B478="","0010",$B478))</f>
        <v/>
      </c>
    </row>
    <row r="479">
      <c r="A479" s="5" t="n"/>
      <c r="B479" s="5" t="n"/>
      <c r="C479" s="5" t="n"/>
      <c r="D479" s="5" t="n"/>
      <c r="E479" s="5" t="n"/>
      <c r="F479" s="18" t="n"/>
      <c r="G479" s="18" t="n"/>
      <c r="H479" s="18" t="n"/>
      <c r="I479" s="5" t="n"/>
      <c r="J479" s="24">
        <f>IF($A479="","",$A479&amp;IF($B479="","0010",$B479))</f>
        <v/>
      </c>
    </row>
    <row r="480">
      <c r="A480" s="5" t="n"/>
      <c r="B480" s="5" t="n"/>
      <c r="C480" s="5" t="n"/>
      <c r="D480" s="5" t="n"/>
      <c r="E480" s="5" t="n"/>
      <c r="F480" s="18" t="n"/>
      <c r="G480" s="18" t="n"/>
      <c r="H480" s="18" t="n"/>
      <c r="I480" s="5" t="n"/>
      <c r="J480" s="24">
        <f>IF($A480="","",$A480&amp;IF($B480="","0010",$B480))</f>
        <v/>
      </c>
    </row>
    <row r="481">
      <c r="A481" s="5" t="n"/>
      <c r="B481" s="5" t="n"/>
      <c r="C481" s="5" t="n"/>
      <c r="D481" s="5" t="n"/>
      <c r="E481" s="5" t="n"/>
      <c r="F481" s="18" t="n"/>
      <c r="G481" s="18" t="n"/>
      <c r="H481" s="18" t="n"/>
      <c r="I481" s="5" t="n"/>
      <c r="J481" s="24">
        <f>IF($A481="","",$A481&amp;IF($B481="","0010",$B481))</f>
        <v/>
      </c>
    </row>
    <row r="482">
      <c r="A482" s="5" t="n"/>
      <c r="B482" s="5" t="n"/>
      <c r="C482" s="5" t="n"/>
      <c r="D482" s="5" t="n"/>
      <c r="E482" s="5" t="n"/>
      <c r="F482" s="18" t="n"/>
      <c r="G482" s="18" t="n"/>
      <c r="H482" s="18" t="n"/>
      <c r="I482" s="5" t="n"/>
      <c r="J482" s="24">
        <f>IF($A482="","",$A482&amp;IF($B482="","0010",$B482))</f>
        <v/>
      </c>
    </row>
    <row r="483">
      <c r="A483" s="5" t="n"/>
      <c r="B483" s="5" t="n"/>
      <c r="C483" s="5" t="n"/>
      <c r="D483" s="5" t="n"/>
      <c r="E483" s="5" t="n"/>
      <c r="F483" s="18" t="n"/>
      <c r="G483" s="18" t="n"/>
      <c r="H483" s="18" t="n"/>
      <c r="I483" s="5" t="n"/>
      <c r="J483" s="24">
        <f>IF($A483="","",$A483&amp;IF($B483="","0010",$B483))</f>
        <v/>
      </c>
    </row>
    <row r="484">
      <c r="A484" s="5" t="n"/>
      <c r="B484" s="5" t="n"/>
      <c r="C484" s="5" t="n"/>
      <c r="D484" s="5" t="n"/>
      <c r="E484" s="5" t="n"/>
      <c r="F484" s="18" t="n"/>
      <c r="G484" s="18" t="n"/>
      <c r="H484" s="18" t="n"/>
      <c r="I484" s="5" t="n"/>
      <c r="J484" s="24">
        <f>IF($A484="","",$A484&amp;IF($B484="","0010",$B484))</f>
        <v/>
      </c>
    </row>
    <row r="485">
      <c r="A485" s="5" t="n"/>
      <c r="B485" s="5" t="n"/>
      <c r="C485" s="5" t="n"/>
      <c r="D485" s="5" t="n"/>
      <c r="E485" s="5" t="n"/>
      <c r="F485" s="18" t="n"/>
      <c r="G485" s="18" t="n"/>
      <c r="H485" s="18" t="n"/>
      <c r="I485" s="5" t="n"/>
      <c r="J485" s="24">
        <f>IF($A485="","",$A485&amp;IF($B485="","0010",$B485))</f>
        <v/>
      </c>
    </row>
    <row r="486">
      <c r="A486" s="5" t="n"/>
      <c r="B486" s="5" t="n"/>
      <c r="C486" s="5" t="n"/>
      <c r="D486" s="5" t="n"/>
      <c r="E486" s="5" t="n"/>
      <c r="F486" s="18" t="n"/>
      <c r="G486" s="18" t="n"/>
      <c r="H486" s="18" t="n"/>
      <c r="I486" s="5" t="n"/>
      <c r="J486" s="24">
        <f>IF($A486="","",$A486&amp;IF($B486="","0010",$B486))</f>
        <v/>
      </c>
    </row>
    <row r="487">
      <c r="A487" s="5" t="n"/>
      <c r="B487" s="5" t="n"/>
      <c r="C487" s="5" t="n"/>
      <c r="D487" s="5" t="n"/>
      <c r="E487" s="5" t="n"/>
      <c r="F487" s="18" t="n"/>
      <c r="G487" s="18" t="n"/>
      <c r="H487" s="18" t="n"/>
      <c r="I487" s="5" t="n"/>
      <c r="J487" s="24">
        <f>IF($A487="","",$A487&amp;IF($B487="","0010",$B487))</f>
        <v/>
      </c>
    </row>
    <row r="488">
      <c r="A488" s="5" t="n"/>
      <c r="B488" s="5" t="n"/>
      <c r="C488" s="5" t="n"/>
      <c r="D488" s="5" t="n"/>
      <c r="E488" s="5" t="n"/>
      <c r="F488" s="18" t="n"/>
      <c r="G488" s="18" t="n"/>
      <c r="H488" s="18" t="n"/>
      <c r="I488" s="5" t="n"/>
      <c r="J488" s="24">
        <f>IF($A488="","",$A488&amp;IF($B488="","0010",$B488))</f>
        <v/>
      </c>
    </row>
    <row r="489">
      <c r="A489" s="5" t="n"/>
      <c r="B489" s="5" t="n"/>
      <c r="C489" s="5" t="n"/>
      <c r="D489" s="5" t="n"/>
      <c r="E489" s="5" t="n"/>
      <c r="F489" s="18" t="n"/>
      <c r="G489" s="18" t="n"/>
      <c r="H489" s="18" t="n"/>
      <c r="I489" s="5" t="n"/>
      <c r="J489" s="24">
        <f>IF($A489="","",$A489&amp;IF($B489="","0010",$B489))</f>
        <v/>
      </c>
    </row>
    <row r="490">
      <c r="A490" s="5" t="n"/>
      <c r="B490" s="5" t="n"/>
      <c r="C490" s="5" t="n"/>
      <c r="D490" s="5" t="n"/>
      <c r="E490" s="5" t="n"/>
      <c r="F490" s="18" t="n"/>
      <c r="G490" s="18" t="n"/>
      <c r="H490" s="18" t="n"/>
      <c r="I490" s="5" t="n"/>
      <c r="J490" s="24">
        <f>IF($A490="","",$A490&amp;IF($B490="","0010",$B490))</f>
        <v/>
      </c>
    </row>
    <row r="491">
      <c r="A491" s="5" t="n"/>
      <c r="B491" s="5" t="n"/>
      <c r="C491" s="5" t="n"/>
      <c r="D491" s="5" t="n"/>
      <c r="E491" s="5" t="n"/>
      <c r="F491" s="18" t="n"/>
      <c r="G491" s="18" t="n"/>
      <c r="H491" s="18" t="n"/>
      <c r="I491" s="5" t="n"/>
      <c r="J491" s="24">
        <f>IF($A491="","",$A491&amp;IF($B491="","0010",$B491))</f>
        <v/>
      </c>
    </row>
    <row r="492">
      <c r="A492" s="5" t="n"/>
      <c r="B492" s="5" t="n"/>
      <c r="C492" s="5" t="n"/>
      <c r="D492" s="5" t="n"/>
      <c r="E492" s="5" t="n"/>
      <c r="F492" s="18" t="n"/>
      <c r="G492" s="18" t="n"/>
      <c r="H492" s="18" t="n"/>
      <c r="I492" s="5" t="n"/>
      <c r="J492" s="24">
        <f>IF($A492="","",$A492&amp;IF($B492="","0010",$B492))</f>
        <v/>
      </c>
    </row>
    <row r="493">
      <c r="A493" s="5" t="n"/>
      <c r="B493" s="5" t="n"/>
      <c r="C493" s="5" t="n"/>
      <c r="D493" s="5" t="n"/>
      <c r="E493" s="5" t="n"/>
      <c r="F493" s="18" t="n"/>
      <c r="G493" s="18" t="n"/>
      <c r="H493" s="18" t="n"/>
      <c r="I493" s="5" t="n"/>
      <c r="J493" s="24">
        <f>IF($A493="","",$A493&amp;IF($B493="","0010",$B493))</f>
        <v/>
      </c>
    </row>
    <row r="494">
      <c r="A494" s="5" t="n"/>
      <c r="B494" s="5" t="n"/>
      <c r="C494" s="5" t="n"/>
      <c r="D494" s="5" t="n"/>
      <c r="E494" s="5" t="n"/>
      <c r="F494" s="18" t="n"/>
      <c r="G494" s="18" t="n"/>
      <c r="H494" s="18" t="n"/>
      <c r="I494" s="5" t="n"/>
      <c r="J494" s="24">
        <f>IF($A494="","",$A494&amp;IF($B494="","0010",$B494))</f>
        <v/>
      </c>
    </row>
    <row r="495">
      <c r="A495" s="5" t="n"/>
      <c r="B495" s="5" t="n"/>
      <c r="C495" s="5" t="n"/>
      <c r="D495" s="5" t="n"/>
      <c r="E495" s="5" t="n"/>
      <c r="F495" s="18" t="n"/>
      <c r="G495" s="18" t="n"/>
      <c r="H495" s="18" t="n"/>
      <c r="I495" s="5" t="n"/>
      <c r="J495" s="24">
        <f>IF($A495="","",$A495&amp;IF($B495="","0010",$B495))</f>
        <v/>
      </c>
    </row>
    <row r="496">
      <c r="A496" s="5" t="n"/>
      <c r="B496" s="5" t="n"/>
      <c r="C496" s="5" t="n"/>
      <c r="D496" s="5" t="n"/>
      <c r="E496" s="5" t="n"/>
      <c r="F496" s="18" t="n"/>
      <c r="G496" s="18" t="n"/>
      <c r="H496" s="18" t="n"/>
      <c r="I496" s="5" t="n"/>
      <c r="J496" s="24">
        <f>IF($A496="","",$A496&amp;IF($B496="","0010",$B496))</f>
        <v/>
      </c>
    </row>
    <row r="497">
      <c r="A497" s="5" t="n"/>
      <c r="B497" s="5" t="n"/>
      <c r="C497" s="5" t="n"/>
      <c r="D497" s="5" t="n"/>
      <c r="E497" s="5" t="n"/>
      <c r="F497" s="18" t="n"/>
      <c r="G497" s="18" t="n"/>
      <c r="H497" s="18" t="n"/>
      <c r="I497" s="5" t="n"/>
      <c r="J497" s="24">
        <f>IF($A497="","",$A497&amp;IF($B497="","0010",$B497))</f>
        <v/>
      </c>
    </row>
    <row r="498">
      <c r="A498" s="5" t="n"/>
      <c r="B498" s="5" t="n"/>
      <c r="C498" s="5" t="n"/>
      <c r="D498" s="5" t="n"/>
      <c r="E498" s="5" t="n"/>
      <c r="F498" s="18" t="n"/>
      <c r="G498" s="18" t="n"/>
      <c r="H498" s="18" t="n"/>
      <c r="I498" s="5" t="n"/>
      <c r="J498" s="24">
        <f>IF($A498="","",$A498&amp;IF($B498="","0010",$B498))</f>
        <v/>
      </c>
    </row>
    <row r="499">
      <c r="A499" s="5" t="n"/>
      <c r="B499" s="5" t="n"/>
      <c r="C499" s="5" t="n"/>
      <c r="D499" s="5" t="n"/>
      <c r="E499" s="5" t="n"/>
      <c r="F499" s="18" t="n"/>
      <c r="G499" s="18" t="n"/>
      <c r="H499" s="18" t="n"/>
      <c r="I499" s="5" t="n"/>
      <c r="J499" s="24">
        <f>IF($A499="","",$A499&amp;IF($B499="","0010",$B499))</f>
        <v/>
      </c>
    </row>
    <row r="500">
      <c r="A500" s="5" t="n"/>
      <c r="B500" s="5" t="n"/>
      <c r="C500" s="5" t="n"/>
      <c r="D500" s="5" t="n"/>
      <c r="E500" s="5" t="n"/>
      <c r="F500" s="18" t="n"/>
      <c r="G500" s="18" t="n"/>
      <c r="H500" s="18" t="n"/>
      <c r="I500" s="5" t="n"/>
      <c r="J500" s="24">
        <f>IF($A500="","",$A500&amp;IF($B500="","0010",$B500))</f>
        <v/>
      </c>
    </row>
    <row r="501">
      <c r="A501" s="5" t="n"/>
      <c r="B501" s="5" t="n"/>
      <c r="C501" s="5" t="n"/>
      <c r="D501" s="5" t="n"/>
      <c r="E501" s="5" t="n"/>
      <c r="F501" s="18" t="n"/>
      <c r="G501" s="18" t="n"/>
      <c r="H501" s="18" t="n"/>
      <c r="I501" s="5" t="n"/>
      <c r="J501" s="24">
        <f>IF($A501="","",$A501&amp;IF($B501="","0010",$B501))</f>
        <v/>
      </c>
    </row>
    <row r="502">
      <c r="A502" s="5" t="n"/>
      <c r="B502" s="5" t="n"/>
      <c r="C502" s="5" t="n"/>
      <c r="D502" s="5" t="n"/>
      <c r="E502" s="5" t="n"/>
      <c r="F502" s="18" t="n"/>
      <c r="G502" s="18" t="n"/>
      <c r="H502" s="18" t="n"/>
      <c r="I502" s="5" t="n"/>
      <c r="J502" s="24">
        <f>IF($A502="","",$A502&amp;IF($B502="","0010",$B502))</f>
        <v/>
      </c>
    </row>
    <row r="503">
      <c r="A503" s="5" t="n"/>
      <c r="B503" s="5" t="n"/>
      <c r="C503" s="5" t="n"/>
      <c r="D503" s="5" t="n"/>
      <c r="E503" s="5" t="n"/>
      <c r="F503" s="18" t="n"/>
      <c r="G503" s="18" t="n"/>
      <c r="H503" s="18" t="n"/>
      <c r="I503" s="5" t="n"/>
      <c r="J503" s="24">
        <f>IF($A503="","",$A503&amp;IF($B503="","0010",$B503))</f>
        <v/>
      </c>
    </row>
    <row r="504">
      <c r="A504" s="5" t="n"/>
      <c r="B504" s="5" t="n"/>
      <c r="C504" s="5" t="n"/>
      <c r="D504" s="5" t="n"/>
      <c r="E504" s="5" t="n"/>
      <c r="F504" s="18" t="n"/>
      <c r="G504" s="18" t="n"/>
      <c r="H504" s="18" t="n"/>
      <c r="I504" s="5" t="n"/>
      <c r="J504" s="24">
        <f>IF($A504="","",$A504&amp;IF($B504="","0010",$B504))</f>
        <v/>
      </c>
    </row>
    <row r="505">
      <c r="A505" s="5" t="n"/>
      <c r="B505" s="5" t="n"/>
      <c r="C505" s="5" t="n"/>
      <c r="D505" s="5" t="n"/>
      <c r="E505" s="5" t="n"/>
      <c r="F505" s="18" t="n"/>
      <c r="G505" s="18" t="n"/>
      <c r="H505" s="18" t="n"/>
      <c r="I505" s="5" t="n"/>
      <c r="J505" s="24">
        <f>IF($A505="","",$A505&amp;IF($B505="","0010",$B505))</f>
        <v/>
      </c>
    </row>
    <row r="506">
      <c r="A506" s="5" t="n"/>
      <c r="B506" s="5" t="n"/>
      <c r="C506" s="5" t="n"/>
      <c r="D506" s="5" t="n"/>
      <c r="E506" s="5" t="n"/>
      <c r="F506" s="18" t="n"/>
      <c r="G506" s="18" t="n"/>
      <c r="H506" s="18" t="n"/>
      <c r="I506" s="5" t="n"/>
      <c r="J506" s="24">
        <f>IF($A506="","",$A506&amp;IF($B506="","0010",$B506))</f>
        <v/>
      </c>
    </row>
    <row r="507">
      <c r="A507" s="5" t="n"/>
      <c r="B507" s="5" t="n"/>
      <c r="C507" s="5" t="n"/>
      <c r="D507" s="5" t="n"/>
      <c r="E507" s="5" t="n"/>
      <c r="F507" s="18" t="n"/>
      <c r="G507" s="18" t="n"/>
      <c r="H507" s="18" t="n"/>
      <c r="I507" s="5" t="n"/>
      <c r="J507" s="24">
        <f>IF($A507="","",$A507&amp;IF($B507="","0010",$B507))</f>
        <v/>
      </c>
    </row>
    <row r="508">
      <c r="A508" s="5" t="n"/>
      <c r="B508" s="5" t="n"/>
      <c r="C508" s="5" t="n"/>
      <c r="D508" s="5" t="n"/>
      <c r="E508" s="5" t="n"/>
      <c r="F508" s="18" t="n"/>
      <c r="G508" s="18" t="n"/>
      <c r="H508" s="18" t="n"/>
      <c r="I508" s="5" t="n"/>
      <c r="J508" s="24">
        <f>IF($A508="","",$A508&amp;IF($B508="","0010",$B508))</f>
        <v/>
      </c>
    </row>
    <row r="509">
      <c r="A509" s="5" t="n"/>
      <c r="B509" s="5" t="n"/>
      <c r="C509" s="5" t="n"/>
      <c r="D509" s="5" t="n"/>
      <c r="E509" s="5" t="n"/>
      <c r="F509" s="18" t="n"/>
      <c r="G509" s="18" t="n"/>
      <c r="H509" s="18" t="n"/>
      <c r="I509" s="5" t="n"/>
      <c r="J509" s="24">
        <f>IF($A509="","",$A509&amp;IF($B509="","0010",$B509))</f>
        <v/>
      </c>
    </row>
    <row r="510">
      <c r="A510" s="5" t="n"/>
      <c r="B510" s="5" t="n"/>
      <c r="C510" s="5" t="n"/>
      <c r="D510" s="5" t="n"/>
      <c r="E510" s="5" t="n"/>
      <c r="F510" s="18" t="n"/>
      <c r="G510" s="18" t="n"/>
      <c r="H510" s="18" t="n"/>
      <c r="I510" s="5" t="n"/>
      <c r="J510" s="24">
        <f>IF($A510="","",$A510&amp;IF($B510="","0010",$B510))</f>
        <v/>
      </c>
    </row>
    <row r="511">
      <c r="A511" s="5" t="n"/>
      <c r="B511" s="5" t="n"/>
      <c r="C511" s="5" t="n"/>
      <c r="D511" s="5" t="n"/>
      <c r="E511" s="5" t="n"/>
      <c r="F511" s="18" t="n"/>
      <c r="G511" s="18" t="n"/>
      <c r="H511" s="18" t="n"/>
      <c r="I511" s="5" t="n"/>
      <c r="J511" s="24">
        <f>IF($A511="","",$A511&amp;IF($B511="","0010",$B511))</f>
        <v/>
      </c>
    </row>
    <row r="512">
      <c r="A512" s="5" t="n"/>
      <c r="B512" s="5" t="n"/>
      <c r="C512" s="5" t="n"/>
      <c r="D512" s="5" t="n"/>
      <c r="E512" s="5" t="n"/>
      <c r="F512" s="18" t="n"/>
      <c r="G512" s="18" t="n"/>
      <c r="H512" s="18" t="n"/>
      <c r="I512" s="5" t="n"/>
      <c r="J512" s="24">
        <f>IF($A512="","",$A512&amp;IF($B512="","0010",$B512))</f>
        <v/>
      </c>
    </row>
    <row r="513">
      <c r="A513" s="5" t="n"/>
      <c r="B513" s="5" t="n"/>
      <c r="C513" s="5" t="n"/>
      <c r="D513" s="5" t="n"/>
      <c r="E513" s="5" t="n"/>
      <c r="F513" s="18" t="n"/>
      <c r="G513" s="18" t="n"/>
      <c r="H513" s="18" t="n"/>
      <c r="I513" s="5" t="n"/>
      <c r="J513" s="24">
        <f>IF($A513="","",$A513&amp;IF($B513="","0010",$B513))</f>
        <v/>
      </c>
    </row>
    <row r="514">
      <c r="A514" s="5" t="n"/>
      <c r="B514" s="5" t="n"/>
      <c r="C514" s="5" t="n"/>
      <c r="D514" s="5" t="n"/>
      <c r="E514" s="5" t="n"/>
      <c r="F514" s="18" t="n"/>
      <c r="G514" s="18" t="n"/>
      <c r="H514" s="18" t="n"/>
      <c r="I514" s="5" t="n"/>
      <c r="J514" s="24">
        <f>IF($A514="","",$A514&amp;IF($B514="","0010",$B514))</f>
        <v/>
      </c>
    </row>
    <row r="515">
      <c r="A515" s="5" t="n"/>
      <c r="B515" s="5" t="n"/>
      <c r="C515" s="5" t="n"/>
      <c r="D515" s="5" t="n"/>
      <c r="E515" s="5" t="n"/>
      <c r="F515" s="18" t="n"/>
      <c r="G515" s="18" t="n"/>
      <c r="H515" s="18" t="n"/>
      <c r="I515" s="5" t="n"/>
      <c r="J515" s="24">
        <f>IF($A515="","",$A515&amp;IF($B515="","0010",$B515))</f>
        <v/>
      </c>
    </row>
    <row r="516">
      <c r="A516" s="5" t="n"/>
      <c r="B516" s="5" t="n"/>
      <c r="C516" s="5" t="n"/>
      <c r="D516" s="5" t="n"/>
      <c r="E516" s="5" t="n"/>
      <c r="F516" s="18" t="n"/>
      <c r="G516" s="18" t="n"/>
      <c r="H516" s="18" t="n"/>
      <c r="I516" s="5" t="n"/>
      <c r="J516" s="24">
        <f>IF($A516="","",$A516&amp;IF($B516="","0010",$B516))</f>
        <v/>
      </c>
    </row>
    <row r="517">
      <c r="A517" s="5" t="n"/>
      <c r="B517" s="5" t="n"/>
      <c r="C517" s="5" t="n"/>
      <c r="D517" s="5" t="n"/>
      <c r="E517" s="5" t="n"/>
      <c r="F517" s="18" t="n"/>
      <c r="G517" s="18" t="n"/>
      <c r="H517" s="18" t="n"/>
      <c r="I517" s="5" t="n"/>
      <c r="J517" s="24">
        <f>IF($A517="","",$A517&amp;IF($B517="","0010",$B517))</f>
        <v/>
      </c>
    </row>
    <row r="518">
      <c r="A518" s="5" t="n"/>
      <c r="B518" s="5" t="n"/>
      <c r="C518" s="5" t="n"/>
      <c r="D518" s="5" t="n"/>
      <c r="E518" s="5" t="n"/>
      <c r="F518" s="18" t="n"/>
      <c r="G518" s="18" t="n"/>
      <c r="H518" s="18" t="n"/>
      <c r="I518" s="5" t="n"/>
      <c r="J518" s="24">
        <f>IF($A518="","",$A518&amp;IF($B518="","0010",$B518))</f>
        <v/>
      </c>
    </row>
    <row r="519">
      <c r="A519" s="5" t="n"/>
      <c r="B519" s="5" t="n"/>
      <c r="C519" s="5" t="n"/>
      <c r="D519" s="5" t="n"/>
      <c r="E519" s="5" t="n"/>
      <c r="F519" s="18" t="n"/>
      <c r="G519" s="18" t="n"/>
      <c r="H519" s="18" t="n"/>
      <c r="I519" s="5" t="n"/>
      <c r="J519" s="24">
        <f>IF($A519="","",$A519&amp;IF($B519="","0010",$B519))</f>
        <v/>
      </c>
    </row>
    <row r="520">
      <c r="A520" s="5" t="n"/>
      <c r="B520" s="5" t="n"/>
      <c r="C520" s="5" t="n"/>
      <c r="D520" s="5" t="n"/>
      <c r="E520" s="5" t="n"/>
      <c r="F520" s="18" t="n"/>
      <c r="G520" s="18" t="n"/>
      <c r="H520" s="18" t="n"/>
      <c r="I520" s="5" t="n"/>
      <c r="J520" s="24">
        <f>IF($A520="","",$A520&amp;IF($B520="","0010",$B520))</f>
        <v/>
      </c>
    </row>
    <row r="521">
      <c r="A521" s="5" t="n"/>
      <c r="B521" s="5" t="n"/>
      <c r="C521" s="5" t="n"/>
      <c r="D521" s="5" t="n"/>
      <c r="E521" s="5" t="n"/>
      <c r="F521" s="18" t="n"/>
      <c r="G521" s="18" t="n"/>
      <c r="H521" s="18" t="n"/>
      <c r="I521" s="5" t="n"/>
      <c r="J521" s="24">
        <f>IF($A521="","",$A521&amp;IF($B521="","0010",$B521))</f>
        <v/>
      </c>
    </row>
    <row r="522">
      <c r="A522" s="5" t="n"/>
      <c r="B522" s="5" t="n"/>
      <c r="C522" s="5" t="n"/>
      <c r="D522" s="5" t="n"/>
      <c r="E522" s="5" t="n"/>
      <c r="F522" s="18" t="n"/>
      <c r="G522" s="18" t="n"/>
      <c r="H522" s="18" t="n"/>
      <c r="I522" s="5" t="n"/>
      <c r="J522" s="24">
        <f>IF($A522="","",$A522&amp;IF($B522="","0010",$B522))</f>
        <v/>
      </c>
    </row>
    <row r="523">
      <c r="A523" s="5" t="n"/>
      <c r="B523" s="5" t="n"/>
      <c r="C523" s="5" t="n"/>
      <c r="D523" s="5" t="n"/>
      <c r="E523" s="5" t="n"/>
      <c r="F523" s="18" t="n"/>
      <c r="G523" s="18" t="n"/>
      <c r="H523" s="18" t="n"/>
      <c r="I523" s="5" t="n"/>
      <c r="J523" s="24">
        <f>IF($A523="","",$A523&amp;IF($B523="","0010",$B523))</f>
        <v/>
      </c>
    </row>
    <row r="524">
      <c r="A524" s="5" t="n"/>
      <c r="B524" s="5" t="n"/>
      <c r="C524" s="5" t="n"/>
      <c r="D524" s="5" t="n"/>
      <c r="E524" s="5" t="n"/>
      <c r="F524" s="18" t="n"/>
      <c r="G524" s="18" t="n"/>
      <c r="H524" s="18" t="n"/>
      <c r="I524" s="5" t="n"/>
      <c r="J524" s="24">
        <f>IF($A524="","",$A524&amp;IF($B524="","0010",$B524))</f>
        <v/>
      </c>
    </row>
    <row r="525">
      <c r="A525" s="5" t="n"/>
      <c r="B525" s="5" t="n"/>
      <c r="C525" s="5" t="n"/>
      <c r="D525" s="5" t="n"/>
      <c r="E525" s="5" t="n"/>
      <c r="F525" s="18" t="n"/>
      <c r="G525" s="18" t="n"/>
      <c r="H525" s="18" t="n"/>
      <c r="I525" s="5" t="n"/>
      <c r="J525" s="24">
        <f>IF($A525="","",$A525&amp;IF($B525="","0010",$B525))</f>
        <v/>
      </c>
    </row>
    <row r="526">
      <c r="A526" s="5" t="n"/>
      <c r="B526" s="5" t="n"/>
      <c r="C526" s="5" t="n"/>
      <c r="D526" s="5" t="n"/>
      <c r="E526" s="5" t="n"/>
      <c r="F526" s="18" t="n"/>
      <c r="G526" s="18" t="n"/>
      <c r="H526" s="18" t="n"/>
      <c r="I526" s="5" t="n"/>
      <c r="J526" s="24">
        <f>IF($A526="","",$A526&amp;IF($B526="","0010",$B526))</f>
        <v/>
      </c>
    </row>
    <row r="527">
      <c r="A527" s="5" t="n"/>
      <c r="B527" s="5" t="n"/>
      <c r="C527" s="5" t="n"/>
      <c r="D527" s="5" t="n"/>
      <c r="E527" s="5" t="n"/>
      <c r="F527" s="18" t="n"/>
      <c r="G527" s="18" t="n"/>
      <c r="H527" s="18" t="n"/>
      <c r="I527" s="5" t="n"/>
      <c r="J527" s="24">
        <f>IF($A527="","",$A527&amp;IF($B527="","0010",$B527))</f>
        <v/>
      </c>
    </row>
    <row r="528">
      <c r="A528" s="5" t="n"/>
      <c r="B528" s="5" t="n"/>
      <c r="C528" s="5" t="n"/>
      <c r="D528" s="5" t="n"/>
      <c r="E528" s="5" t="n"/>
      <c r="F528" s="18" t="n"/>
      <c r="G528" s="18" t="n"/>
      <c r="H528" s="18" t="n"/>
      <c r="I528" s="5" t="n"/>
      <c r="J528" s="24">
        <f>IF($A528="","",$A528&amp;IF($B528="","0010",$B528))</f>
        <v/>
      </c>
    </row>
    <row r="529">
      <c r="A529" s="5" t="n"/>
      <c r="B529" s="5" t="n"/>
      <c r="C529" s="5" t="n"/>
      <c r="D529" s="5" t="n"/>
      <c r="E529" s="5" t="n"/>
      <c r="F529" s="18" t="n"/>
      <c r="G529" s="18" t="n"/>
      <c r="H529" s="18" t="n"/>
      <c r="I529" s="5" t="n"/>
      <c r="J529" s="24">
        <f>IF($A529="","",$A529&amp;IF($B529="","0010",$B529))</f>
        <v/>
      </c>
    </row>
    <row r="530">
      <c r="A530" s="5" t="n"/>
      <c r="B530" s="5" t="n"/>
      <c r="C530" s="5" t="n"/>
      <c r="D530" s="5" t="n"/>
      <c r="E530" s="5" t="n"/>
      <c r="F530" s="18" t="n"/>
      <c r="G530" s="18" t="n"/>
      <c r="H530" s="18" t="n"/>
      <c r="I530" s="5" t="n"/>
      <c r="J530" s="24">
        <f>IF($A530="","",$A530&amp;IF($B530="","0010",$B530))</f>
        <v/>
      </c>
    </row>
    <row r="531">
      <c r="A531" s="5" t="n"/>
      <c r="B531" s="5" t="n"/>
      <c r="C531" s="5" t="n"/>
      <c r="D531" s="5" t="n"/>
      <c r="E531" s="5" t="n"/>
      <c r="F531" s="18" t="n"/>
      <c r="G531" s="18" t="n"/>
      <c r="H531" s="18" t="n"/>
      <c r="I531" s="5" t="n"/>
      <c r="J531" s="24">
        <f>IF($A531="","",$A531&amp;IF($B531="","0010",$B531))</f>
        <v/>
      </c>
    </row>
    <row r="532">
      <c r="A532" s="5" t="n"/>
      <c r="B532" s="5" t="n"/>
      <c r="C532" s="5" t="n"/>
      <c r="D532" s="5" t="n"/>
      <c r="E532" s="5" t="n"/>
      <c r="F532" s="18" t="n"/>
      <c r="G532" s="18" t="n"/>
      <c r="H532" s="18" t="n"/>
      <c r="I532" s="5" t="n"/>
      <c r="J532" s="24">
        <f>IF($A532="","",$A532&amp;IF($B532="","0010",$B532))</f>
        <v/>
      </c>
    </row>
    <row r="533">
      <c r="A533" s="5" t="n"/>
      <c r="B533" s="5" t="n"/>
      <c r="C533" s="5" t="n"/>
      <c r="D533" s="5" t="n"/>
      <c r="E533" s="5" t="n"/>
      <c r="F533" s="18" t="n"/>
      <c r="G533" s="18" t="n"/>
      <c r="H533" s="18" t="n"/>
      <c r="I533" s="5" t="n"/>
      <c r="J533" s="24">
        <f>IF($A533="","",$A533&amp;IF($B533="","0010",$B533))</f>
        <v/>
      </c>
    </row>
    <row r="534">
      <c r="A534" s="5" t="n"/>
      <c r="B534" s="5" t="n"/>
      <c r="C534" s="5" t="n"/>
      <c r="D534" s="5" t="n"/>
      <c r="E534" s="5" t="n"/>
      <c r="F534" s="18" t="n"/>
      <c r="G534" s="18" t="n"/>
      <c r="H534" s="18" t="n"/>
      <c r="I534" s="5" t="n"/>
      <c r="J534" s="24">
        <f>IF($A534="","",$A534&amp;IF($B534="","0010",$B534))</f>
        <v/>
      </c>
    </row>
    <row r="535">
      <c r="A535" s="5" t="n"/>
      <c r="B535" s="5" t="n"/>
      <c r="C535" s="5" t="n"/>
      <c r="D535" s="5" t="n"/>
      <c r="E535" s="5" t="n"/>
      <c r="F535" s="18" t="n"/>
      <c r="G535" s="18" t="n"/>
      <c r="H535" s="18" t="n"/>
      <c r="I535" s="5" t="n"/>
      <c r="J535" s="24">
        <f>IF($A535="","",$A535&amp;IF($B535="","0010",$B535))</f>
        <v/>
      </c>
    </row>
    <row r="536">
      <c r="A536" s="5" t="n"/>
      <c r="B536" s="5" t="n"/>
      <c r="C536" s="5" t="n"/>
      <c r="D536" s="5" t="n"/>
      <c r="E536" s="5" t="n"/>
      <c r="F536" s="18" t="n"/>
      <c r="G536" s="18" t="n"/>
      <c r="H536" s="18" t="n"/>
      <c r="I536" s="5" t="n"/>
      <c r="J536" s="24">
        <f>IF($A536="","",$A536&amp;IF($B536="","0010",$B536))</f>
        <v/>
      </c>
    </row>
    <row r="537">
      <c r="A537" s="5" t="n"/>
      <c r="B537" s="5" t="n"/>
      <c r="C537" s="5" t="n"/>
      <c r="D537" s="5" t="n"/>
      <c r="E537" s="5" t="n"/>
      <c r="F537" s="18" t="n"/>
      <c r="G537" s="18" t="n"/>
      <c r="H537" s="18" t="n"/>
      <c r="I537" s="5" t="n"/>
      <c r="J537" s="24">
        <f>IF($A537="","",$A537&amp;IF($B537="","0010",$B537))</f>
        <v/>
      </c>
    </row>
    <row r="538">
      <c r="A538" s="5" t="n"/>
      <c r="B538" s="5" t="n"/>
      <c r="C538" s="5" t="n"/>
      <c r="D538" s="5" t="n"/>
      <c r="E538" s="5" t="n"/>
      <c r="F538" s="18" t="n"/>
      <c r="G538" s="18" t="n"/>
      <c r="H538" s="18" t="n"/>
      <c r="I538" s="5" t="n"/>
      <c r="J538" s="24">
        <f>IF($A538="","",$A538&amp;IF($B538="","0010",$B538))</f>
        <v/>
      </c>
    </row>
    <row r="539">
      <c r="A539" s="5" t="n"/>
      <c r="B539" s="5" t="n"/>
      <c r="C539" s="5" t="n"/>
      <c r="D539" s="5" t="n"/>
      <c r="E539" s="5" t="n"/>
      <c r="F539" s="18" t="n"/>
      <c r="G539" s="18" t="n"/>
      <c r="H539" s="18" t="n"/>
      <c r="I539" s="5" t="n"/>
      <c r="J539" s="24">
        <f>IF($A539="","",$A539&amp;IF($B539="","0010",$B539))</f>
        <v/>
      </c>
    </row>
    <row r="540">
      <c r="A540" s="5" t="n"/>
      <c r="B540" s="5" t="n"/>
      <c r="C540" s="5" t="n"/>
      <c r="D540" s="5" t="n"/>
      <c r="E540" s="5" t="n"/>
      <c r="F540" s="18" t="n"/>
      <c r="G540" s="18" t="n"/>
      <c r="H540" s="18" t="n"/>
      <c r="I540" s="5" t="n"/>
      <c r="J540" s="24">
        <f>IF($A540="","",$A540&amp;IF($B540="","0010",$B540))</f>
        <v/>
      </c>
    </row>
    <row r="541">
      <c r="A541" s="5" t="n"/>
      <c r="B541" s="5" t="n"/>
      <c r="C541" s="5" t="n"/>
      <c r="D541" s="5" t="n"/>
      <c r="E541" s="5" t="n"/>
      <c r="F541" s="18" t="n"/>
      <c r="G541" s="18" t="n"/>
      <c r="H541" s="18" t="n"/>
      <c r="I541" s="5" t="n"/>
      <c r="J541" s="24">
        <f>IF($A541="","",$A541&amp;IF($B541="","0010",$B541))</f>
        <v/>
      </c>
    </row>
    <row r="542">
      <c r="A542" s="5" t="n"/>
      <c r="B542" s="5" t="n"/>
      <c r="C542" s="5" t="n"/>
      <c r="D542" s="5" t="n"/>
      <c r="E542" s="5" t="n"/>
      <c r="F542" s="18" t="n"/>
      <c r="G542" s="18" t="n"/>
      <c r="H542" s="18" t="n"/>
      <c r="I542" s="5" t="n"/>
      <c r="J542" s="24">
        <f>IF($A542="","",$A542&amp;IF($B542="","0010",$B542))</f>
        <v/>
      </c>
    </row>
    <row r="543">
      <c r="A543" s="5" t="n"/>
      <c r="B543" s="5" t="n"/>
      <c r="C543" s="5" t="n"/>
      <c r="D543" s="5" t="n"/>
      <c r="E543" s="5" t="n"/>
      <c r="F543" s="18" t="n"/>
      <c r="G543" s="18" t="n"/>
      <c r="H543" s="18" t="n"/>
      <c r="I543" s="5" t="n"/>
      <c r="J543" s="24">
        <f>IF($A543="","",$A543&amp;IF($B543="","0010",$B543))</f>
        <v/>
      </c>
    </row>
    <row r="544">
      <c r="A544" s="5" t="n"/>
      <c r="B544" s="5" t="n"/>
      <c r="C544" s="5" t="n"/>
      <c r="D544" s="5" t="n"/>
      <c r="E544" s="5" t="n"/>
      <c r="F544" s="18" t="n"/>
      <c r="G544" s="18" t="n"/>
      <c r="H544" s="18" t="n"/>
      <c r="I544" s="5" t="n"/>
      <c r="J544" s="24">
        <f>IF($A544="","",$A544&amp;IF($B544="","0010",$B544))</f>
        <v/>
      </c>
    </row>
    <row r="545">
      <c r="A545" s="5" t="n"/>
      <c r="B545" s="5" t="n"/>
      <c r="C545" s="5" t="n"/>
      <c r="D545" s="5" t="n"/>
      <c r="E545" s="5" t="n"/>
      <c r="F545" s="18" t="n"/>
      <c r="G545" s="18" t="n"/>
      <c r="H545" s="18" t="n"/>
      <c r="I545" s="5" t="n"/>
      <c r="J545" s="24">
        <f>IF($A545="","",$A545&amp;IF($B545="","0010",$B545))</f>
        <v/>
      </c>
    </row>
    <row r="546">
      <c r="A546" s="5" t="n"/>
      <c r="B546" s="5" t="n"/>
      <c r="C546" s="5" t="n"/>
      <c r="D546" s="5" t="n"/>
      <c r="E546" s="5" t="n"/>
      <c r="F546" s="18" t="n"/>
      <c r="G546" s="18" t="n"/>
      <c r="H546" s="18" t="n"/>
      <c r="I546" s="5" t="n"/>
      <c r="J546" s="24">
        <f>IF($A546="","",$A546&amp;IF($B546="","0010",$B546))</f>
        <v/>
      </c>
    </row>
    <row r="547">
      <c r="A547" s="5" t="n"/>
      <c r="B547" s="5" t="n"/>
      <c r="C547" s="5" t="n"/>
      <c r="D547" s="5" t="n"/>
      <c r="E547" s="5" t="n"/>
      <c r="F547" s="18" t="n"/>
      <c r="G547" s="18" t="n"/>
      <c r="H547" s="18" t="n"/>
      <c r="I547" s="5" t="n"/>
      <c r="J547" s="24">
        <f>IF($A547="","",$A547&amp;IF($B547="","0010",$B547))</f>
        <v/>
      </c>
    </row>
    <row r="548">
      <c r="A548" s="5" t="n"/>
      <c r="B548" s="5" t="n"/>
      <c r="C548" s="5" t="n"/>
      <c r="D548" s="5" t="n"/>
      <c r="E548" s="5" t="n"/>
      <c r="F548" s="18" t="n"/>
      <c r="G548" s="18" t="n"/>
      <c r="H548" s="18" t="n"/>
      <c r="I548" s="5" t="n"/>
      <c r="J548" s="24">
        <f>IF($A548="","",$A548&amp;IF($B548="","0010",$B548))</f>
        <v/>
      </c>
    </row>
    <row r="549">
      <c r="A549" s="5" t="n"/>
      <c r="B549" s="5" t="n"/>
      <c r="C549" s="5" t="n"/>
      <c r="D549" s="5" t="n"/>
      <c r="E549" s="5" t="n"/>
      <c r="F549" s="18" t="n"/>
      <c r="G549" s="18" t="n"/>
      <c r="H549" s="18" t="n"/>
      <c r="I549" s="5" t="n"/>
      <c r="J549" s="24">
        <f>IF($A549="","",$A549&amp;IF($B549="","0010",$B549))</f>
        <v/>
      </c>
    </row>
    <row r="550">
      <c r="A550" s="5" t="n"/>
      <c r="B550" s="5" t="n"/>
      <c r="C550" s="5" t="n"/>
      <c r="D550" s="5" t="n"/>
      <c r="E550" s="5" t="n"/>
      <c r="F550" s="18" t="n"/>
      <c r="G550" s="18" t="n"/>
      <c r="H550" s="18" t="n"/>
      <c r="I550" s="5" t="n"/>
      <c r="J550" s="24">
        <f>IF($A550="","",$A550&amp;IF($B550="","0010",$B550))</f>
        <v/>
      </c>
    </row>
    <row r="551">
      <c r="A551" s="5" t="n"/>
      <c r="B551" s="5" t="n"/>
      <c r="C551" s="5" t="n"/>
      <c r="D551" s="5" t="n"/>
      <c r="E551" s="5" t="n"/>
      <c r="F551" s="18" t="n"/>
      <c r="G551" s="18" t="n"/>
      <c r="H551" s="18" t="n"/>
      <c r="I551" s="5" t="n"/>
      <c r="J551" s="24">
        <f>IF($A551="","",$A551&amp;IF($B551="","0010",$B551))</f>
        <v/>
      </c>
    </row>
    <row r="552">
      <c r="A552" s="5" t="n"/>
      <c r="B552" s="5" t="n"/>
      <c r="C552" s="5" t="n"/>
      <c r="D552" s="5" t="n"/>
      <c r="E552" s="5" t="n"/>
      <c r="F552" s="18" t="n"/>
      <c r="G552" s="18" t="n"/>
      <c r="H552" s="18" t="n"/>
      <c r="I552" s="5" t="n"/>
      <c r="J552" s="24">
        <f>IF($A552="","",$A552&amp;IF($B552="","0010",$B552))</f>
        <v/>
      </c>
    </row>
    <row r="553">
      <c r="A553" s="5" t="n"/>
      <c r="B553" s="5" t="n"/>
      <c r="C553" s="5" t="n"/>
      <c r="D553" s="5" t="n"/>
      <c r="E553" s="5" t="n"/>
      <c r="F553" s="18" t="n"/>
      <c r="G553" s="18" t="n"/>
      <c r="H553" s="18" t="n"/>
      <c r="I553" s="5" t="n"/>
      <c r="J553" s="24">
        <f>IF($A553="","",$A553&amp;IF($B553="","0010",$B553))</f>
        <v/>
      </c>
    </row>
    <row r="554">
      <c r="A554" s="5" t="n"/>
      <c r="B554" s="5" t="n"/>
      <c r="C554" s="5" t="n"/>
      <c r="D554" s="5" t="n"/>
      <c r="E554" s="5" t="n"/>
      <c r="F554" s="18" t="n"/>
      <c r="G554" s="18" t="n"/>
      <c r="H554" s="18" t="n"/>
      <c r="I554" s="5" t="n"/>
      <c r="J554" s="24">
        <f>IF($A554="","",$A554&amp;IF($B554="","0010",$B554))</f>
        <v/>
      </c>
    </row>
    <row r="555">
      <c r="A555" s="5" t="n"/>
      <c r="B555" s="5" t="n"/>
      <c r="C555" s="5" t="n"/>
      <c r="D555" s="5" t="n"/>
      <c r="E555" s="5" t="n"/>
      <c r="F555" s="18" t="n"/>
      <c r="G555" s="18" t="n"/>
      <c r="H555" s="18" t="n"/>
      <c r="I555" s="5" t="n"/>
      <c r="J555" s="24">
        <f>IF($A555="","",$A555&amp;IF($B555="","0010",$B555))</f>
        <v/>
      </c>
    </row>
    <row r="556">
      <c r="A556" s="5" t="n"/>
      <c r="B556" s="5" t="n"/>
      <c r="C556" s="5" t="n"/>
      <c r="D556" s="5" t="n"/>
      <c r="E556" s="5" t="n"/>
      <c r="F556" s="18" t="n"/>
      <c r="G556" s="18" t="n"/>
      <c r="H556" s="18" t="n"/>
      <c r="I556" s="5" t="n"/>
      <c r="J556" s="24">
        <f>IF($A556="","",$A556&amp;IF($B556="","0010",$B556))</f>
        <v/>
      </c>
    </row>
    <row r="557">
      <c r="A557" s="5" t="n"/>
      <c r="B557" s="5" t="n"/>
      <c r="C557" s="5" t="n"/>
      <c r="D557" s="5" t="n"/>
      <c r="E557" s="5" t="n"/>
      <c r="F557" s="18" t="n"/>
      <c r="G557" s="18" t="n"/>
      <c r="H557" s="18" t="n"/>
      <c r="I557" s="5" t="n"/>
      <c r="J557" s="24">
        <f>IF($A557="","",$A557&amp;IF($B557="","0010",$B557))</f>
        <v/>
      </c>
    </row>
    <row r="558">
      <c r="A558" s="5" t="n"/>
      <c r="B558" s="5" t="n"/>
      <c r="C558" s="5" t="n"/>
      <c r="D558" s="5" t="n"/>
      <c r="E558" s="5" t="n"/>
      <c r="F558" s="18" t="n"/>
      <c r="G558" s="18" t="n"/>
      <c r="H558" s="18" t="n"/>
      <c r="I558" s="5" t="n"/>
      <c r="J558" s="24">
        <f>IF($A558="","",$A558&amp;IF($B558="","0010",$B558))</f>
        <v/>
      </c>
    </row>
    <row r="559">
      <c r="A559" s="5" t="n"/>
      <c r="B559" s="5" t="n"/>
      <c r="C559" s="5" t="n"/>
      <c r="D559" s="5" t="n"/>
      <c r="E559" s="5" t="n"/>
      <c r="F559" s="18" t="n"/>
      <c r="G559" s="18" t="n"/>
      <c r="H559" s="18" t="n"/>
      <c r="I559" s="5" t="n"/>
      <c r="J559" s="24">
        <f>IF($A559="","",$A559&amp;IF($B559="","0010",$B559))</f>
        <v/>
      </c>
    </row>
    <row r="560">
      <c r="A560" s="5" t="n"/>
      <c r="B560" s="5" t="n"/>
      <c r="C560" s="5" t="n"/>
      <c r="D560" s="5" t="n"/>
      <c r="E560" s="5" t="n"/>
      <c r="F560" s="18" t="n"/>
      <c r="G560" s="18" t="n"/>
      <c r="H560" s="18" t="n"/>
      <c r="I560" s="5" t="n"/>
      <c r="J560" s="24">
        <f>IF($A560="","",$A560&amp;IF($B560="","0010",$B560))</f>
        <v/>
      </c>
    </row>
    <row r="561">
      <c r="A561" s="5" t="n"/>
      <c r="B561" s="5" t="n"/>
      <c r="C561" s="5" t="n"/>
      <c r="D561" s="5" t="n"/>
      <c r="E561" s="5" t="n"/>
      <c r="F561" s="18" t="n"/>
      <c r="G561" s="18" t="n"/>
      <c r="H561" s="18" t="n"/>
      <c r="I561" s="5" t="n"/>
      <c r="J561" s="24">
        <f>IF($A561="","",$A561&amp;IF($B561="","0010",$B561))</f>
        <v/>
      </c>
    </row>
    <row r="562">
      <c r="A562" s="5" t="n"/>
      <c r="B562" s="5" t="n"/>
      <c r="C562" s="5" t="n"/>
      <c r="D562" s="5" t="n"/>
      <c r="E562" s="5" t="n"/>
      <c r="F562" s="18" t="n"/>
      <c r="G562" s="18" t="n"/>
      <c r="H562" s="18" t="n"/>
      <c r="I562" s="5" t="n"/>
      <c r="J562" s="24">
        <f>IF($A562="","",$A562&amp;IF($B562="","0010",$B562))</f>
        <v/>
      </c>
    </row>
    <row r="563">
      <c r="A563" s="5" t="n"/>
      <c r="B563" s="5" t="n"/>
      <c r="C563" s="5" t="n"/>
      <c r="D563" s="5" t="n"/>
      <c r="E563" s="5" t="n"/>
      <c r="F563" s="18" t="n"/>
      <c r="G563" s="18" t="n"/>
      <c r="H563" s="18" t="n"/>
      <c r="I563" s="5" t="n"/>
      <c r="J563" s="24">
        <f>IF($A563="","",$A563&amp;IF($B563="","0010",$B563))</f>
        <v/>
      </c>
    </row>
    <row r="564">
      <c r="A564" s="5" t="n"/>
      <c r="B564" s="5" t="n"/>
      <c r="C564" s="5" t="n"/>
      <c r="D564" s="5" t="n"/>
      <c r="E564" s="5" t="n"/>
      <c r="F564" s="18" t="n"/>
      <c r="G564" s="18" t="n"/>
      <c r="H564" s="18" t="n"/>
      <c r="I564" s="5" t="n"/>
      <c r="J564" s="24">
        <f>IF($A564="","",$A564&amp;IF($B564="","0010",$B564))</f>
        <v/>
      </c>
    </row>
    <row r="565">
      <c r="A565" s="5" t="n"/>
      <c r="B565" s="5" t="n"/>
      <c r="C565" s="5" t="n"/>
      <c r="D565" s="5" t="n"/>
      <c r="E565" s="5" t="n"/>
      <c r="F565" s="18" t="n"/>
      <c r="G565" s="18" t="n"/>
      <c r="H565" s="18" t="n"/>
      <c r="I565" s="5" t="n"/>
      <c r="J565" s="24">
        <f>IF($A565="","",$A565&amp;IF($B565="","0010",$B565))</f>
        <v/>
      </c>
    </row>
    <row r="566">
      <c r="A566" s="5" t="n"/>
      <c r="B566" s="5" t="n"/>
      <c r="C566" s="5" t="n"/>
      <c r="D566" s="5" t="n"/>
      <c r="E566" s="5" t="n"/>
      <c r="F566" s="18" t="n"/>
      <c r="G566" s="18" t="n"/>
      <c r="H566" s="18" t="n"/>
      <c r="I566" s="5" t="n"/>
      <c r="J566" s="24">
        <f>IF($A566="","",$A566&amp;IF($B566="","0010",$B566))</f>
        <v/>
      </c>
    </row>
    <row r="567">
      <c r="A567" s="5" t="n"/>
      <c r="B567" s="5" t="n"/>
      <c r="C567" s="5" t="n"/>
      <c r="D567" s="5" t="n"/>
      <c r="E567" s="5" t="n"/>
      <c r="F567" s="18" t="n"/>
      <c r="G567" s="18" t="n"/>
      <c r="H567" s="18" t="n"/>
      <c r="I567" s="5" t="n"/>
      <c r="J567" s="24">
        <f>IF($A567="","",$A567&amp;IF($B567="","0010",$B567))</f>
        <v/>
      </c>
    </row>
    <row r="568">
      <c r="A568" s="5" t="n"/>
      <c r="B568" s="5" t="n"/>
      <c r="C568" s="5" t="n"/>
      <c r="D568" s="5" t="n"/>
      <c r="E568" s="5" t="n"/>
      <c r="F568" s="18" t="n"/>
      <c r="G568" s="18" t="n"/>
      <c r="H568" s="18" t="n"/>
      <c r="I568" s="5" t="n"/>
      <c r="J568" s="24">
        <f>IF($A568="","",$A568&amp;IF($B568="","0010",$B568))</f>
        <v/>
      </c>
    </row>
    <row r="569">
      <c r="A569" s="5" t="n"/>
      <c r="B569" s="5" t="n"/>
      <c r="C569" s="5" t="n"/>
      <c r="D569" s="5" t="n"/>
      <c r="E569" s="5" t="n"/>
      <c r="F569" s="18" t="n"/>
      <c r="G569" s="18" t="n"/>
      <c r="H569" s="18" t="n"/>
      <c r="I569" s="5" t="n"/>
      <c r="J569" s="24">
        <f>IF($A569="","",$A569&amp;IF($B569="","0010",$B569))</f>
        <v/>
      </c>
    </row>
    <row r="570">
      <c r="A570" s="5" t="n"/>
      <c r="B570" s="5" t="n"/>
      <c r="C570" s="5" t="n"/>
      <c r="D570" s="5" t="n"/>
      <c r="E570" s="5" t="n"/>
      <c r="F570" s="18" t="n"/>
      <c r="G570" s="18" t="n"/>
      <c r="H570" s="18" t="n"/>
      <c r="I570" s="5" t="n"/>
      <c r="J570" s="24">
        <f>IF($A570="","",$A570&amp;IF($B570="","0010",$B570))</f>
        <v/>
      </c>
    </row>
    <row r="571">
      <c r="A571" s="5" t="n"/>
      <c r="B571" s="5" t="n"/>
      <c r="C571" s="5" t="n"/>
      <c r="D571" s="5" t="n"/>
      <c r="E571" s="5" t="n"/>
      <c r="F571" s="18" t="n"/>
      <c r="G571" s="18" t="n"/>
      <c r="H571" s="18" t="n"/>
      <c r="I571" s="5" t="n"/>
      <c r="J571" s="24">
        <f>IF($A571="","",$A571&amp;IF($B571="","0010",$B571))</f>
        <v/>
      </c>
    </row>
    <row r="572">
      <c r="A572" s="5" t="n"/>
      <c r="B572" s="5" t="n"/>
      <c r="C572" s="5" t="n"/>
      <c r="D572" s="5" t="n"/>
      <c r="E572" s="5" t="n"/>
      <c r="F572" s="18" t="n"/>
      <c r="G572" s="18" t="n"/>
      <c r="H572" s="18" t="n"/>
      <c r="I572" s="5" t="n"/>
      <c r="J572" s="24">
        <f>IF($A572="","",$A572&amp;IF($B572="","0010",$B572))</f>
        <v/>
      </c>
    </row>
    <row r="573">
      <c r="A573" s="5" t="n"/>
      <c r="B573" s="5" t="n"/>
      <c r="C573" s="5" t="n"/>
      <c r="D573" s="5" t="n"/>
      <c r="E573" s="5" t="n"/>
      <c r="F573" s="18" t="n"/>
      <c r="G573" s="18" t="n"/>
      <c r="H573" s="18" t="n"/>
      <c r="I573" s="5" t="n"/>
      <c r="J573" s="24">
        <f>IF($A573="","",$A573&amp;IF($B573="","0010",$B573))</f>
        <v/>
      </c>
    </row>
    <row r="574">
      <c r="A574" s="5" t="n"/>
      <c r="B574" s="5" t="n"/>
      <c r="C574" s="5" t="n"/>
      <c r="D574" s="5" t="n"/>
      <c r="E574" s="5" t="n"/>
      <c r="F574" s="18" t="n"/>
      <c r="G574" s="18" t="n"/>
      <c r="H574" s="18" t="n"/>
      <c r="I574" s="5" t="n"/>
      <c r="J574" s="24">
        <f>IF($A574="","",$A574&amp;IF($B574="","0010",$B574))</f>
        <v/>
      </c>
    </row>
    <row r="575">
      <c r="A575" s="5" t="n"/>
      <c r="B575" s="5" t="n"/>
      <c r="C575" s="5" t="n"/>
      <c r="D575" s="5" t="n"/>
      <c r="E575" s="5" t="n"/>
      <c r="F575" s="18" t="n"/>
      <c r="G575" s="18" t="n"/>
      <c r="H575" s="18" t="n"/>
      <c r="I575" s="5" t="n"/>
      <c r="J575" s="24">
        <f>IF($A575="","",$A575&amp;IF($B575="","0010",$B575))</f>
        <v/>
      </c>
    </row>
    <row r="576">
      <c r="A576" s="5" t="n"/>
      <c r="B576" s="5" t="n"/>
      <c r="C576" s="5" t="n"/>
      <c r="D576" s="5" t="n"/>
      <c r="E576" s="5" t="n"/>
      <c r="F576" s="18" t="n"/>
      <c r="G576" s="18" t="n"/>
      <c r="H576" s="18" t="n"/>
      <c r="I576" s="5" t="n"/>
      <c r="J576" s="24">
        <f>IF($A576="","",$A576&amp;IF($B576="","0010",$B576))</f>
        <v/>
      </c>
    </row>
    <row r="577">
      <c r="A577" s="5" t="n"/>
      <c r="B577" s="5" t="n"/>
      <c r="C577" s="5" t="n"/>
      <c r="D577" s="5" t="n"/>
      <c r="E577" s="5" t="n"/>
      <c r="F577" s="18" t="n"/>
      <c r="G577" s="18" t="n"/>
      <c r="H577" s="18" t="n"/>
      <c r="I577" s="5" t="n"/>
      <c r="J577" s="24">
        <f>IF($A577="","",$A577&amp;IF($B577="","0010",$B577))</f>
        <v/>
      </c>
    </row>
    <row r="578">
      <c r="A578" s="5" t="n"/>
      <c r="B578" s="5" t="n"/>
      <c r="C578" s="5" t="n"/>
      <c r="D578" s="5" t="n"/>
      <c r="E578" s="5" t="n"/>
      <c r="F578" s="18" t="n"/>
      <c r="G578" s="18" t="n"/>
      <c r="H578" s="18" t="n"/>
      <c r="I578" s="5" t="n"/>
      <c r="J578" s="24">
        <f>IF($A578="","",$A578&amp;IF($B578="","0010",$B578))</f>
        <v/>
      </c>
    </row>
    <row r="579">
      <c r="A579" s="5" t="n"/>
      <c r="B579" s="5" t="n"/>
      <c r="C579" s="5" t="n"/>
      <c r="D579" s="5" t="n"/>
      <c r="E579" s="5" t="n"/>
      <c r="F579" s="18" t="n"/>
      <c r="G579" s="18" t="n"/>
      <c r="H579" s="18" t="n"/>
      <c r="I579" s="5" t="n"/>
      <c r="J579" s="24">
        <f>IF($A579="","",$A579&amp;IF($B579="","0010",$B579))</f>
        <v/>
      </c>
    </row>
    <row r="580">
      <c r="A580" s="5" t="n"/>
      <c r="B580" s="5" t="n"/>
      <c r="C580" s="5" t="n"/>
      <c r="D580" s="5" t="n"/>
      <c r="E580" s="5" t="n"/>
      <c r="F580" s="18" t="n"/>
      <c r="G580" s="18" t="n"/>
      <c r="H580" s="18" t="n"/>
      <c r="I580" s="5" t="n"/>
      <c r="J580" s="24">
        <f>IF($A580="","",$A580&amp;IF($B580="","0010",$B580))</f>
        <v/>
      </c>
    </row>
    <row r="581">
      <c r="A581" s="5" t="n"/>
      <c r="B581" s="5" t="n"/>
      <c r="C581" s="5" t="n"/>
      <c r="D581" s="5" t="n"/>
      <c r="E581" s="5" t="n"/>
      <c r="F581" s="18" t="n"/>
      <c r="G581" s="18" t="n"/>
      <c r="H581" s="18" t="n"/>
      <c r="I581" s="5" t="n"/>
      <c r="J581" s="24">
        <f>IF($A581="","",$A581&amp;IF($B581="","0010",$B581))</f>
        <v/>
      </c>
    </row>
    <row r="582">
      <c r="A582" s="5" t="n"/>
      <c r="B582" s="5" t="n"/>
      <c r="C582" s="5" t="n"/>
      <c r="D582" s="5" t="n"/>
      <c r="E582" s="5" t="n"/>
      <c r="F582" s="18" t="n"/>
      <c r="G582" s="18" t="n"/>
      <c r="H582" s="18" t="n"/>
      <c r="I582" s="5" t="n"/>
      <c r="J582" s="24">
        <f>IF($A582="","",$A582&amp;IF($B582="","0010",$B582))</f>
        <v/>
      </c>
    </row>
    <row r="583">
      <c r="A583" s="5" t="n"/>
      <c r="B583" s="5" t="n"/>
      <c r="C583" s="5" t="n"/>
      <c r="D583" s="5" t="n"/>
      <c r="E583" s="5" t="n"/>
      <c r="F583" s="18" t="n"/>
      <c r="G583" s="18" t="n"/>
      <c r="H583" s="18" t="n"/>
      <c r="I583" s="5" t="n"/>
      <c r="J583" s="24">
        <f>IF($A583="","",$A583&amp;IF($B583="","0010",$B583))</f>
        <v/>
      </c>
    </row>
    <row r="584">
      <c r="A584" s="5" t="n"/>
      <c r="B584" s="5" t="n"/>
      <c r="C584" s="5" t="n"/>
      <c r="D584" s="5" t="n"/>
      <c r="E584" s="5" t="n"/>
      <c r="F584" s="18" t="n"/>
      <c r="G584" s="18" t="n"/>
      <c r="H584" s="18" t="n"/>
      <c r="I584" s="5" t="n"/>
      <c r="J584" s="24">
        <f>IF($A584="","",$A584&amp;IF($B584="","0010",$B584))</f>
        <v/>
      </c>
    </row>
    <row r="585">
      <c r="A585" s="5" t="n"/>
      <c r="B585" s="5" t="n"/>
      <c r="C585" s="5" t="n"/>
      <c r="D585" s="5" t="n"/>
      <c r="E585" s="5" t="n"/>
      <c r="F585" s="18" t="n"/>
      <c r="G585" s="18" t="n"/>
      <c r="H585" s="18" t="n"/>
      <c r="I585" s="5" t="n"/>
      <c r="J585" s="24">
        <f>IF($A585="","",$A585&amp;IF($B585="","0010",$B585))</f>
        <v/>
      </c>
    </row>
    <row r="586">
      <c r="A586" s="5" t="n"/>
      <c r="B586" s="5" t="n"/>
      <c r="C586" s="5" t="n"/>
      <c r="D586" s="5" t="n"/>
      <c r="E586" s="5" t="n"/>
      <c r="F586" s="18" t="n"/>
      <c r="G586" s="18" t="n"/>
      <c r="H586" s="18" t="n"/>
      <c r="I586" s="5" t="n"/>
      <c r="J586" s="24">
        <f>IF($A586="","",$A586&amp;IF($B586="","0010",$B586))</f>
        <v/>
      </c>
    </row>
    <row r="587">
      <c r="A587" s="5" t="n"/>
      <c r="B587" s="5" t="n"/>
      <c r="C587" s="5" t="n"/>
      <c r="D587" s="5" t="n"/>
      <c r="E587" s="5" t="n"/>
      <c r="F587" s="18" t="n"/>
      <c r="G587" s="18" t="n"/>
      <c r="H587" s="18" t="n"/>
      <c r="I587" s="5" t="n"/>
      <c r="J587" s="24">
        <f>IF($A587="","",$A587&amp;IF($B587="","0010",$B587))</f>
        <v/>
      </c>
    </row>
    <row r="588">
      <c r="A588" s="5" t="n"/>
      <c r="B588" s="5" t="n"/>
      <c r="C588" s="5" t="n"/>
      <c r="D588" s="5" t="n"/>
      <c r="E588" s="5" t="n"/>
      <c r="F588" s="18" t="n"/>
      <c r="G588" s="18" t="n"/>
      <c r="H588" s="18" t="n"/>
      <c r="I588" s="5" t="n"/>
      <c r="J588" s="24">
        <f>IF($A588="","",$A588&amp;IF($B588="","0010",$B588))</f>
        <v/>
      </c>
    </row>
    <row r="589">
      <c r="A589" s="5" t="n"/>
      <c r="B589" s="5" t="n"/>
      <c r="C589" s="5" t="n"/>
      <c r="D589" s="5" t="n"/>
      <c r="E589" s="5" t="n"/>
      <c r="F589" s="18" t="n"/>
      <c r="G589" s="18" t="n"/>
      <c r="H589" s="18" t="n"/>
      <c r="I589" s="5" t="n"/>
      <c r="J589" s="24">
        <f>IF($A589="","",$A589&amp;IF($B589="","0010",$B589))</f>
        <v/>
      </c>
    </row>
    <row r="590">
      <c r="A590" s="5" t="n"/>
      <c r="B590" s="5" t="n"/>
      <c r="C590" s="5" t="n"/>
      <c r="D590" s="5" t="n"/>
      <c r="E590" s="5" t="n"/>
      <c r="F590" s="18" t="n"/>
      <c r="G590" s="18" t="n"/>
      <c r="H590" s="18" t="n"/>
      <c r="I590" s="5" t="n"/>
      <c r="J590" s="24">
        <f>IF($A590="","",$A590&amp;IF($B590="","0010",$B590))</f>
        <v/>
      </c>
    </row>
    <row r="591">
      <c r="A591" s="5" t="n"/>
      <c r="B591" s="5" t="n"/>
      <c r="C591" s="5" t="n"/>
      <c r="D591" s="5" t="n"/>
      <c r="E591" s="5" t="n"/>
      <c r="F591" s="18" t="n"/>
      <c r="G591" s="18" t="n"/>
      <c r="H591" s="18" t="n"/>
      <c r="I591" s="5" t="n"/>
      <c r="J591" s="24">
        <f>IF($A591="","",$A591&amp;IF($B591="","0010",$B591))</f>
        <v/>
      </c>
    </row>
    <row r="592">
      <c r="A592" s="5" t="n"/>
      <c r="B592" s="5" t="n"/>
      <c r="C592" s="5" t="n"/>
      <c r="D592" s="5" t="n"/>
      <c r="E592" s="5" t="n"/>
      <c r="F592" s="18" t="n"/>
      <c r="G592" s="18" t="n"/>
      <c r="H592" s="18" t="n"/>
      <c r="I592" s="5" t="n"/>
      <c r="J592" s="24">
        <f>IF($A592="","",$A592&amp;IF($B592="","0010",$B592))</f>
        <v/>
      </c>
    </row>
    <row r="593">
      <c r="A593" s="5" t="n"/>
      <c r="B593" s="5" t="n"/>
      <c r="C593" s="5" t="n"/>
      <c r="D593" s="5" t="n"/>
      <c r="E593" s="5" t="n"/>
      <c r="F593" s="18" t="n"/>
      <c r="G593" s="18" t="n"/>
      <c r="H593" s="18" t="n"/>
      <c r="I593" s="5" t="n"/>
      <c r="J593" s="24">
        <f>IF($A593="","",$A593&amp;IF($B593="","0010",$B593))</f>
        <v/>
      </c>
    </row>
    <row r="594">
      <c r="A594" s="5" t="n"/>
      <c r="B594" s="5" t="n"/>
      <c r="C594" s="5" t="n"/>
      <c r="D594" s="5" t="n"/>
      <c r="E594" s="5" t="n"/>
      <c r="F594" s="18" t="n"/>
      <c r="G594" s="18" t="n"/>
      <c r="H594" s="18" t="n"/>
      <c r="I594" s="5" t="n"/>
      <c r="J594" s="24">
        <f>IF($A594="","",$A594&amp;IF($B594="","0010",$B594))</f>
        <v/>
      </c>
    </row>
    <row r="595">
      <c r="A595" s="5" t="n"/>
      <c r="B595" s="5" t="n"/>
      <c r="C595" s="5" t="n"/>
      <c r="D595" s="5" t="n"/>
      <c r="E595" s="5" t="n"/>
      <c r="F595" s="18" t="n"/>
      <c r="G595" s="18" t="n"/>
      <c r="H595" s="18" t="n"/>
      <c r="I595" s="5" t="n"/>
      <c r="J595" s="24">
        <f>IF($A595="","",$A595&amp;IF($B595="","0010",$B595))</f>
        <v/>
      </c>
    </row>
    <row r="596">
      <c r="A596" s="5" t="n"/>
      <c r="B596" s="5" t="n"/>
      <c r="C596" s="5" t="n"/>
      <c r="D596" s="5" t="n"/>
      <c r="E596" s="5" t="n"/>
      <c r="F596" s="18" t="n"/>
      <c r="G596" s="18" t="n"/>
      <c r="H596" s="18" t="n"/>
      <c r="I596" s="5" t="n"/>
      <c r="J596" s="24">
        <f>IF($A596="","",$A596&amp;IF($B596="","0010",$B596))</f>
        <v/>
      </c>
    </row>
    <row r="597">
      <c r="A597" s="5" t="n"/>
      <c r="B597" s="5" t="n"/>
      <c r="C597" s="5" t="n"/>
      <c r="D597" s="5" t="n"/>
      <c r="E597" s="5" t="n"/>
      <c r="F597" s="18" t="n"/>
      <c r="G597" s="18" t="n"/>
      <c r="H597" s="18" t="n"/>
      <c r="I597" s="5" t="n"/>
      <c r="J597" s="24">
        <f>IF($A597="","",$A597&amp;IF($B597="","0010",$B597))</f>
        <v/>
      </c>
    </row>
    <row r="598">
      <c r="A598" s="5" t="n"/>
      <c r="B598" s="5" t="n"/>
      <c r="C598" s="5" t="n"/>
      <c r="D598" s="5" t="n"/>
      <c r="E598" s="5" t="n"/>
      <c r="F598" s="18" t="n"/>
      <c r="G598" s="18" t="n"/>
      <c r="H598" s="18" t="n"/>
      <c r="I598" s="5" t="n"/>
      <c r="J598" s="24">
        <f>IF($A598="","",$A598&amp;IF($B598="","0010",$B598))</f>
        <v/>
      </c>
    </row>
    <row r="599">
      <c r="A599" s="5" t="n"/>
      <c r="B599" s="5" t="n"/>
      <c r="C599" s="5" t="n"/>
      <c r="D599" s="5" t="n"/>
      <c r="E599" s="5" t="n"/>
      <c r="F599" s="18" t="n"/>
      <c r="G599" s="18" t="n"/>
      <c r="H599" s="18" t="n"/>
      <c r="I599" s="5" t="n"/>
      <c r="J599" s="24">
        <f>IF($A599="","",$A599&amp;IF($B599="","0010",$B599))</f>
        <v/>
      </c>
    </row>
    <row r="600">
      <c r="A600" s="5" t="n"/>
      <c r="B600" s="5" t="n"/>
      <c r="C600" s="5" t="n"/>
      <c r="D600" s="5" t="n"/>
      <c r="E600" s="5" t="n"/>
      <c r="F600" s="18" t="n"/>
      <c r="G600" s="18" t="n"/>
      <c r="H600" s="18" t="n"/>
      <c r="I600" s="5" t="n"/>
      <c r="J600" s="24">
        <f>IF($A600="","",$A600&amp;IF($B600="","0010",$B600))</f>
        <v/>
      </c>
    </row>
    <row r="601">
      <c r="A601" s="5" t="n"/>
      <c r="B601" s="5" t="n"/>
      <c r="C601" s="5" t="n"/>
      <c r="D601" s="5" t="n"/>
      <c r="E601" s="5" t="n"/>
      <c r="F601" s="18" t="n"/>
      <c r="G601" s="18" t="n"/>
      <c r="H601" s="18" t="n"/>
      <c r="I601" s="5" t="n"/>
      <c r="J601" s="24">
        <f>IF($A601="","",$A601&amp;IF($B601="","0010",$B601))</f>
        <v/>
      </c>
    </row>
    <row r="602">
      <c r="A602" s="5" t="n"/>
      <c r="B602" s="5" t="n"/>
      <c r="C602" s="5" t="n"/>
      <c r="D602" s="5" t="n"/>
      <c r="E602" s="5" t="n"/>
      <c r="F602" s="18" t="n"/>
      <c r="G602" s="18" t="n"/>
      <c r="H602" s="18" t="n"/>
      <c r="I602" s="5" t="n"/>
      <c r="J602" s="24">
        <f>IF($A602="","",$A602&amp;IF($B602="","0010",$B602))</f>
        <v/>
      </c>
    </row>
    <row r="603">
      <c r="A603" s="5" t="n"/>
      <c r="B603" s="5" t="n"/>
      <c r="C603" s="5" t="n"/>
      <c r="D603" s="5" t="n"/>
      <c r="E603" s="5" t="n"/>
      <c r="F603" s="18" t="n"/>
      <c r="G603" s="18" t="n"/>
      <c r="H603" s="18" t="n"/>
      <c r="I603" s="5" t="n"/>
      <c r="J603" s="24">
        <f>IF($A603="","",$A603&amp;IF($B603="","0010",$B603))</f>
        <v/>
      </c>
    </row>
    <row r="604">
      <c r="A604" s="5" t="n"/>
      <c r="B604" s="5" t="n"/>
      <c r="C604" s="5" t="n"/>
      <c r="D604" s="5" t="n"/>
      <c r="E604" s="5" t="n"/>
      <c r="F604" s="18" t="n"/>
      <c r="G604" s="18" t="n"/>
      <c r="H604" s="18" t="n"/>
      <c r="I604" s="5" t="n"/>
      <c r="J604" s="24">
        <f>IF($A604="","",$A604&amp;IF($B604="","0010",$B604))</f>
        <v/>
      </c>
    </row>
    <row r="605">
      <c r="A605" s="5" t="n"/>
      <c r="B605" s="5" t="n"/>
      <c r="C605" s="5" t="n"/>
      <c r="D605" s="5" t="n"/>
      <c r="E605" s="5" t="n"/>
      <c r="F605" s="18" t="n"/>
      <c r="G605" s="18" t="n"/>
      <c r="H605" s="18" t="n"/>
      <c r="I605" s="5" t="n"/>
      <c r="J605" s="24">
        <f>IF($A605="","",$A605&amp;IF($B605="","0010",$B605))</f>
        <v/>
      </c>
    </row>
    <row r="606">
      <c r="A606" s="5" t="n"/>
      <c r="B606" s="5" t="n"/>
      <c r="C606" s="5" t="n"/>
      <c r="D606" s="5" t="n"/>
      <c r="E606" s="5" t="n"/>
      <c r="F606" s="18" t="n"/>
      <c r="G606" s="18" t="n"/>
      <c r="H606" s="18" t="n"/>
      <c r="I606" s="5" t="n"/>
      <c r="J606" s="24">
        <f>IF($A606="","",$A606&amp;IF($B606="","0010",$B606))</f>
        <v/>
      </c>
    </row>
    <row r="607">
      <c r="A607" s="5" t="n"/>
      <c r="B607" s="5" t="n"/>
      <c r="C607" s="5" t="n"/>
      <c r="D607" s="5" t="n"/>
      <c r="E607" s="5" t="n"/>
      <c r="F607" s="18" t="n"/>
      <c r="G607" s="18" t="n"/>
      <c r="H607" s="18" t="n"/>
      <c r="I607" s="5" t="n"/>
      <c r="J607" s="24">
        <f>IF($A607="","",$A607&amp;IF($B607="","0010",$B607))</f>
        <v/>
      </c>
    </row>
    <row r="608">
      <c r="A608" s="5" t="n"/>
      <c r="B608" s="5" t="n"/>
      <c r="C608" s="5" t="n"/>
      <c r="D608" s="5" t="n"/>
      <c r="E608" s="5" t="n"/>
      <c r="F608" s="18" t="n"/>
      <c r="G608" s="18" t="n"/>
      <c r="H608" s="18" t="n"/>
      <c r="I608" s="5" t="n"/>
      <c r="J608" s="24">
        <f>IF($A608="","",$A608&amp;IF($B608="","0010",$B608))</f>
        <v/>
      </c>
    </row>
    <row r="609">
      <c r="A609" s="5" t="n"/>
      <c r="B609" s="5" t="n"/>
      <c r="C609" s="5" t="n"/>
      <c r="D609" s="5" t="n"/>
      <c r="E609" s="5" t="n"/>
      <c r="F609" s="18" t="n"/>
      <c r="G609" s="18" t="n"/>
      <c r="H609" s="18" t="n"/>
      <c r="I609" s="5" t="n"/>
      <c r="J609" s="24">
        <f>IF($A609="","",$A609&amp;IF($B609="","0010",$B609))</f>
        <v/>
      </c>
    </row>
    <row r="610">
      <c r="A610" s="5" t="n"/>
      <c r="B610" s="5" t="n"/>
      <c r="C610" s="5" t="n"/>
      <c r="D610" s="5" t="n"/>
      <c r="E610" s="5" t="n"/>
      <c r="F610" s="18" t="n"/>
      <c r="G610" s="18" t="n"/>
      <c r="H610" s="18" t="n"/>
      <c r="I610" s="5" t="n"/>
      <c r="J610" s="24">
        <f>IF($A610="","",$A610&amp;IF($B610="","0010",$B610))</f>
        <v/>
      </c>
    </row>
    <row r="611">
      <c r="A611" s="5" t="n"/>
      <c r="B611" s="5" t="n"/>
      <c r="C611" s="5" t="n"/>
      <c r="D611" s="5" t="n"/>
      <c r="E611" s="5" t="n"/>
      <c r="F611" s="18" t="n"/>
      <c r="G611" s="18" t="n"/>
      <c r="H611" s="18" t="n"/>
      <c r="I611" s="5" t="n"/>
      <c r="J611" s="24">
        <f>IF($A611="","",$A611&amp;IF($B611="","0010",$B611))</f>
        <v/>
      </c>
    </row>
    <row r="612">
      <c r="A612" s="5" t="n"/>
      <c r="B612" s="5" t="n"/>
      <c r="C612" s="5" t="n"/>
      <c r="D612" s="5" t="n"/>
      <c r="E612" s="5" t="n"/>
      <c r="F612" s="18" t="n"/>
      <c r="G612" s="18" t="n"/>
      <c r="H612" s="18" t="n"/>
      <c r="I612" s="5" t="n"/>
      <c r="J612" s="24">
        <f>IF($A612="","",$A612&amp;IF($B612="","0010",$B612))</f>
        <v/>
      </c>
    </row>
    <row r="613">
      <c r="A613" s="5" t="n"/>
      <c r="B613" s="5" t="n"/>
      <c r="C613" s="5" t="n"/>
      <c r="D613" s="5" t="n"/>
      <c r="E613" s="5" t="n"/>
      <c r="F613" s="18" t="n"/>
      <c r="G613" s="18" t="n"/>
      <c r="H613" s="18" t="n"/>
      <c r="I613" s="5" t="n"/>
      <c r="J613" s="24">
        <f>IF($A613="","",$A613&amp;IF($B613="","0010",$B613))</f>
        <v/>
      </c>
    </row>
    <row r="614">
      <c r="A614" s="5" t="n"/>
      <c r="B614" s="5" t="n"/>
      <c r="C614" s="5" t="n"/>
      <c r="D614" s="5" t="n"/>
      <c r="E614" s="5" t="n"/>
      <c r="F614" s="18" t="n"/>
      <c r="G614" s="18" t="n"/>
      <c r="H614" s="18" t="n"/>
      <c r="I614" s="5" t="n"/>
      <c r="J614" s="24">
        <f>IF($A614="","",$A614&amp;IF($B614="","0010",$B614))</f>
        <v/>
      </c>
    </row>
    <row r="615">
      <c r="A615" s="5" t="n"/>
      <c r="B615" s="5" t="n"/>
      <c r="C615" s="5" t="n"/>
      <c r="D615" s="5" t="n"/>
      <c r="E615" s="5" t="n"/>
      <c r="F615" s="18" t="n"/>
      <c r="G615" s="18" t="n"/>
      <c r="H615" s="18" t="n"/>
      <c r="I615" s="5" t="n"/>
      <c r="J615" s="24">
        <f>IF($A615="","",$A615&amp;IF($B615="","0010",$B615))</f>
        <v/>
      </c>
    </row>
    <row r="616">
      <c r="A616" s="5" t="n"/>
      <c r="B616" s="5" t="n"/>
      <c r="C616" s="5" t="n"/>
      <c r="D616" s="5" t="n"/>
      <c r="E616" s="5" t="n"/>
      <c r="F616" s="18" t="n"/>
      <c r="G616" s="18" t="n"/>
      <c r="H616" s="18" t="n"/>
      <c r="I616" s="5" t="n"/>
      <c r="J616" s="24">
        <f>IF($A616="","",$A616&amp;IF($B616="","0010",$B616))</f>
        <v/>
      </c>
    </row>
    <row r="617">
      <c r="A617" s="5" t="n"/>
      <c r="B617" s="5" t="n"/>
      <c r="C617" s="5" t="n"/>
      <c r="D617" s="5" t="n"/>
      <c r="E617" s="5" t="n"/>
      <c r="F617" s="18" t="n"/>
      <c r="G617" s="18" t="n"/>
      <c r="H617" s="18" t="n"/>
      <c r="I617" s="5" t="n"/>
      <c r="J617" s="24">
        <f>IF($A617="","",$A617&amp;IF($B617="","0010",$B617))</f>
        <v/>
      </c>
    </row>
    <row r="618">
      <c r="A618" s="5" t="n"/>
      <c r="B618" s="5" t="n"/>
      <c r="C618" s="5" t="n"/>
      <c r="D618" s="5" t="n"/>
      <c r="E618" s="5" t="n"/>
      <c r="F618" s="18" t="n"/>
      <c r="G618" s="18" t="n"/>
      <c r="H618" s="18" t="n"/>
      <c r="I618" s="5" t="n"/>
      <c r="J618" s="24">
        <f>IF($A618="","",$A618&amp;IF($B618="","0010",$B618))</f>
        <v/>
      </c>
    </row>
    <row r="619">
      <c r="A619" s="5" t="n"/>
      <c r="B619" s="5" t="n"/>
      <c r="C619" s="5" t="n"/>
      <c r="D619" s="5" t="n"/>
      <c r="E619" s="5" t="n"/>
      <c r="F619" s="18" t="n"/>
      <c r="G619" s="18" t="n"/>
      <c r="H619" s="18" t="n"/>
      <c r="I619" s="5" t="n"/>
      <c r="J619" s="24">
        <f>IF($A619="","",$A619&amp;IF($B619="","0010",$B619))</f>
        <v/>
      </c>
    </row>
    <row r="620">
      <c r="A620" s="5" t="n"/>
      <c r="B620" s="5" t="n"/>
      <c r="C620" s="5" t="n"/>
      <c r="D620" s="5" t="n"/>
      <c r="E620" s="5" t="n"/>
      <c r="F620" s="18" t="n"/>
      <c r="G620" s="18" t="n"/>
      <c r="H620" s="18" t="n"/>
      <c r="I620" s="5" t="n"/>
      <c r="J620" s="24">
        <f>IF($A620="","",$A620&amp;IF($B620="","0010",$B620))</f>
        <v/>
      </c>
    </row>
    <row r="621">
      <c r="A621" s="5" t="n"/>
      <c r="B621" s="5" t="n"/>
      <c r="C621" s="5" t="n"/>
      <c r="D621" s="5" t="n"/>
      <c r="E621" s="5" t="n"/>
      <c r="F621" s="18" t="n"/>
      <c r="G621" s="18" t="n"/>
      <c r="H621" s="18" t="n"/>
      <c r="I621" s="5" t="n"/>
      <c r="J621" s="24">
        <f>IF($A621="","",$A621&amp;IF($B621="","0010",$B621))</f>
        <v/>
      </c>
    </row>
    <row r="622">
      <c r="A622" s="5" t="n"/>
      <c r="B622" s="5" t="n"/>
      <c r="C622" s="5" t="n"/>
      <c r="D622" s="5" t="n"/>
      <c r="E622" s="5" t="n"/>
      <c r="F622" s="18" t="n"/>
      <c r="G622" s="18" t="n"/>
      <c r="H622" s="18" t="n"/>
      <c r="I622" s="5" t="n"/>
      <c r="J622" s="24">
        <f>IF($A622="","",$A622&amp;IF($B622="","0010",$B622))</f>
        <v/>
      </c>
    </row>
    <row r="623">
      <c r="A623" s="5" t="n"/>
      <c r="B623" s="5" t="n"/>
      <c r="C623" s="5" t="n"/>
      <c r="D623" s="5" t="n"/>
      <c r="E623" s="5" t="n"/>
      <c r="F623" s="18" t="n"/>
      <c r="G623" s="18" t="n"/>
      <c r="H623" s="18" t="n"/>
      <c r="I623" s="5" t="n"/>
      <c r="J623" s="24">
        <f>IF($A623="","",$A623&amp;IF($B623="","0010",$B623))</f>
        <v/>
      </c>
    </row>
    <row r="624">
      <c r="A624" s="5" t="n"/>
      <c r="B624" s="5" t="n"/>
      <c r="C624" s="5" t="n"/>
      <c r="D624" s="5" t="n"/>
      <c r="E624" s="5" t="n"/>
      <c r="F624" s="18" t="n"/>
      <c r="G624" s="18" t="n"/>
      <c r="H624" s="18" t="n"/>
      <c r="I624" s="5" t="n"/>
      <c r="J624" s="24">
        <f>IF($A624="","",$A624&amp;IF($B624="","0010",$B624))</f>
        <v/>
      </c>
    </row>
    <row r="625">
      <c r="A625" s="5" t="n"/>
      <c r="B625" s="5" t="n"/>
      <c r="C625" s="5" t="n"/>
      <c r="D625" s="5" t="n"/>
      <c r="E625" s="5" t="n"/>
      <c r="F625" s="18" t="n"/>
      <c r="G625" s="18" t="n"/>
      <c r="H625" s="18" t="n"/>
      <c r="I625" s="5" t="n"/>
      <c r="J625" s="24">
        <f>IF($A625="","",$A625&amp;IF($B625="","0010",$B625))</f>
        <v/>
      </c>
    </row>
    <row r="626">
      <c r="A626" s="5" t="n"/>
      <c r="B626" s="5" t="n"/>
      <c r="C626" s="5" t="n"/>
      <c r="D626" s="5" t="n"/>
      <c r="E626" s="5" t="n"/>
      <c r="F626" s="18" t="n"/>
      <c r="G626" s="18" t="n"/>
      <c r="H626" s="18" t="n"/>
      <c r="I626" s="5" t="n"/>
      <c r="J626" s="24">
        <f>IF($A626="","",$A626&amp;IF($B626="","0010",$B626))</f>
        <v/>
      </c>
    </row>
    <row r="627">
      <c r="A627" s="5" t="n"/>
      <c r="B627" s="5" t="n"/>
      <c r="C627" s="5" t="n"/>
      <c r="D627" s="5" t="n"/>
      <c r="E627" s="5" t="n"/>
      <c r="F627" s="18" t="n"/>
      <c r="G627" s="18" t="n"/>
      <c r="H627" s="18" t="n"/>
      <c r="I627" s="5" t="n"/>
      <c r="J627" s="24">
        <f>IF($A627="","",$A627&amp;IF($B627="","0010",$B627))</f>
        <v/>
      </c>
    </row>
    <row r="628">
      <c r="A628" s="5" t="n"/>
      <c r="B628" s="5" t="n"/>
      <c r="C628" s="5" t="n"/>
      <c r="D628" s="5" t="n"/>
      <c r="E628" s="5" t="n"/>
      <c r="F628" s="18" t="n"/>
      <c r="G628" s="18" t="n"/>
      <c r="H628" s="18" t="n"/>
      <c r="I628" s="5" t="n"/>
      <c r="J628" s="24">
        <f>IF($A628="","",$A628&amp;IF($B628="","0010",$B628))</f>
        <v/>
      </c>
    </row>
    <row r="629">
      <c r="A629" s="5" t="n"/>
      <c r="B629" s="5" t="n"/>
      <c r="C629" s="5" t="n"/>
      <c r="D629" s="5" t="n"/>
      <c r="E629" s="5" t="n"/>
      <c r="F629" s="18" t="n"/>
      <c r="G629" s="18" t="n"/>
      <c r="H629" s="18" t="n"/>
      <c r="I629" s="5" t="n"/>
      <c r="J629" s="24">
        <f>IF($A629="","",$A629&amp;IF($B629="","0010",$B629))</f>
        <v/>
      </c>
    </row>
    <row r="630">
      <c r="A630" s="5" t="n"/>
      <c r="B630" s="5" t="n"/>
      <c r="C630" s="5" t="n"/>
      <c r="D630" s="5" t="n"/>
      <c r="E630" s="5" t="n"/>
      <c r="F630" s="18" t="n"/>
      <c r="G630" s="18" t="n"/>
      <c r="H630" s="18" t="n"/>
      <c r="I630" s="5" t="n"/>
      <c r="J630" s="24">
        <f>IF($A630="","",$A630&amp;IF($B630="","0010",$B630))</f>
        <v/>
      </c>
    </row>
    <row r="631">
      <c r="A631" s="5" t="n"/>
      <c r="B631" s="5" t="n"/>
      <c r="C631" s="5" t="n"/>
      <c r="D631" s="5" t="n"/>
      <c r="E631" s="5" t="n"/>
      <c r="F631" s="18" t="n"/>
      <c r="G631" s="18" t="n"/>
      <c r="H631" s="18" t="n"/>
      <c r="I631" s="5" t="n"/>
      <c r="J631" s="24">
        <f>IF($A631="","",$A631&amp;IF($B631="","0010",$B631))</f>
        <v/>
      </c>
    </row>
    <row r="632">
      <c r="A632" s="5" t="n"/>
      <c r="B632" s="5" t="n"/>
      <c r="C632" s="5" t="n"/>
      <c r="D632" s="5" t="n"/>
      <c r="E632" s="5" t="n"/>
      <c r="F632" s="18" t="n"/>
      <c r="G632" s="18" t="n"/>
      <c r="H632" s="18" t="n"/>
      <c r="I632" s="5" t="n"/>
      <c r="J632" s="24">
        <f>IF($A632="","",$A632&amp;IF($B632="","0010",$B632))</f>
        <v/>
      </c>
    </row>
    <row r="633">
      <c r="A633" s="5" t="n"/>
      <c r="B633" s="5" t="n"/>
      <c r="C633" s="5" t="n"/>
      <c r="D633" s="5" t="n"/>
      <c r="E633" s="5" t="n"/>
      <c r="F633" s="18" t="n"/>
      <c r="G633" s="18" t="n"/>
      <c r="H633" s="18" t="n"/>
      <c r="I633" s="5" t="n"/>
      <c r="J633" s="24">
        <f>IF($A633="","",$A633&amp;IF($B633="","0010",$B633))</f>
        <v/>
      </c>
    </row>
    <row r="634">
      <c r="A634" s="5" t="n"/>
      <c r="B634" s="5" t="n"/>
      <c r="C634" s="5" t="n"/>
      <c r="D634" s="5" t="n"/>
      <c r="E634" s="5" t="n"/>
      <c r="F634" s="18" t="n"/>
      <c r="G634" s="18" t="n"/>
      <c r="H634" s="18" t="n"/>
      <c r="I634" s="5" t="n"/>
      <c r="J634" s="24">
        <f>IF($A634="","",$A634&amp;IF($B634="","0010",$B634))</f>
        <v/>
      </c>
    </row>
    <row r="635">
      <c r="A635" s="5" t="n"/>
      <c r="B635" s="5" t="n"/>
      <c r="C635" s="5" t="n"/>
      <c r="D635" s="5" t="n"/>
      <c r="E635" s="5" t="n"/>
      <c r="F635" s="18" t="n"/>
      <c r="G635" s="18" t="n"/>
      <c r="H635" s="18" t="n"/>
      <c r="I635" s="5" t="n"/>
      <c r="J635" s="24">
        <f>IF($A635="","",$A635&amp;IF($B635="","0010",$B635))</f>
        <v/>
      </c>
    </row>
    <row r="636">
      <c r="A636" s="5" t="n"/>
      <c r="B636" s="5" t="n"/>
      <c r="C636" s="5" t="n"/>
      <c r="D636" s="5" t="n"/>
      <c r="E636" s="5" t="n"/>
      <c r="F636" s="18" t="n"/>
      <c r="G636" s="18" t="n"/>
      <c r="H636" s="18" t="n"/>
      <c r="I636" s="5" t="n"/>
      <c r="J636" s="24">
        <f>IF($A636="","",$A636&amp;IF($B636="","0010",$B636))</f>
        <v/>
      </c>
    </row>
    <row r="637">
      <c r="A637" s="5" t="n"/>
      <c r="B637" s="5" t="n"/>
      <c r="C637" s="5" t="n"/>
      <c r="D637" s="5" t="n"/>
      <c r="E637" s="5" t="n"/>
      <c r="F637" s="18" t="n"/>
      <c r="G637" s="18" t="n"/>
      <c r="H637" s="18" t="n"/>
      <c r="I637" s="5" t="n"/>
      <c r="J637" s="24">
        <f>IF($A637="","",$A637&amp;IF($B637="","0010",$B637))</f>
        <v/>
      </c>
    </row>
    <row r="638">
      <c r="A638" s="5" t="n"/>
      <c r="B638" s="5" t="n"/>
      <c r="C638" s="5" t="n"/>
      <c r="D638" s="5" t="n"/>
      <c r="E638" s="5" t="n"/>
      <c r="F638" s="18" t="n"/>
      <c r="G638" s="18" t="n"/>
      <c r="H638" s="18" t="n"/>
      <c r="I638" s="5" t="n"/>
      <c r="J638" s="24">
        <f>IF($A638="","",$A638&amp;IF($B638="","0010",$B638))</f>
        <v/>
      </c>
    </row>
    <row r="639">
      <c r="A639" s="5" t="n"/>
      <c r="B639" s="5" t="n"/>
      <c r="C639" s="5" t="n"/>
      <c r="D639" s="5" t="n"/>
      <c r="E639" s="5" t="n"/>
      <c r="F639" s="18" t="n"/>
      <c r="G639" s="18" t="n"/>
      <c r="H639" s="18" t="n"/>
      <c r="I639" s="5" t="n"/>
      <c r="J639" s="24">
        <f>IF($A639="","",$A639&amp;IF($B639="","0010",$B639))</f>
        <v/>
      </c>
    </row>
    <row r="640">
      <c r="A640" s="5" t="n"/>
      <c r="B640" s="5" t="n"/>
      <c r="C640" s="5" t="n"/>
      <c r="D640" s="5" t="n"/>
      <c r="E640" s="5" t="n"/>
      <c r="F640" s="18" t="n"/>
      <c r="G640" s="18" t="n"/>
      <c r="H640" s="18" t="n"/>
      <c r="I640" s="5" t="n"/>
      <c r="J640" s="24">
        <f>IF($A640="","",$A640&amp;IF($B640="","0010",$B640))</f>
        <v/>
      </c>
    </row>
    <row r="641">
      <c r="A641" s="5" t="n"/>
      <c r="B641" s="5" t="n"/>
      <c r="C641" s="5" t="n"/>
      <c r="D641" s="5" t="n"/>
      <c r="E641" s="5" t="n"/>
      <c r="F641" s="18" t="n"/>
      <c r="G641" s="18" t="n"/>
      <c r="H641" s="18" t="n"/>
      <c r="I641" s="5" t="n"/>
      <c r="J641" s="24">
        <f>IF($A641="","",$A641&amp;IF($B641="","0010",$B641))</f>
        <v/>
      </c>
    </row>
    <row r="642">
      <c r="A642" s="5" t="n"/>
      <c r="B642" s="5" t="n"/>
      <c r="C642" s="5" t="n"/>
      <c r="D642" s="5" t="n"/>
      <c r="E642" s="5" t="n"/>
      <c r="F642" s="18" t="n"/>
      <c r="G642" s="18" t="n"/>
      <c r="H642" s="18" t="n"/>
      <c r="I642" s="5" t="n"/>
      <c r="J642" s="24">
        <f>IF($A642="","",$A642&amp;IF($B642="","0010",$B642))</f>
        <v/>
      </c>
    </row>
    <row r="643">
      <c r="A643" s="5" t="n"/>
      <c r="B643" s="5" t="n"/>
      <c r="C643" s="5" t="n"/>
      <c r="D643" s="5" t="n"/>
      <c r="E643" s="5" t="n"/>
      <c r="F643" s="18" t="n"/>
      <c r="G643" s="18" t="n"/>
      <c r="H643" s="18" t="n"/>
      <c r="I643" s="5" t="n"/>
      <c r="J643" s="24">
        <f>IF($A643="","",$A643&amp;IF($B643="","0010",$B643))</f>
        <v/>
      </c>
    </row>
    <row r="644">
      <c r="A644" s="5" t="n"/>
      <c r="B644" s="5" t="n"/>
      <c r="C644" s="5" t="n"/>
      <c r="D644" s="5" t="n"/>
      <c r="E644" s="5" t="n"/>
      <c r="F644" s="18" t="n"/>
      <c r="G644" s="18" t="n"/>
      <c r="H644" s="18" t="n"/>
      <c r="I644" s="5" t="n"/>
      <c r="J644" s="24">
        <f>IF($A644="","",$A644&amp;IF($B644="","0010",$B644))</f>
        <v/>
      </c>
    </row>
    <row r="645">
      <c r="A645" s="5" t="n"/>
      <c r="B645" s="5" t="n"/>
      <c r="C645" s="5" t="n"/>
      <c r="D645" s="5" t="n"/>
      <c r="E645" s="5" t="n"/>
      <c r="F645" s="18" t="n"/>
      <c r="G645" s="18" t="n"/>
      <c r="H645" s="18" t="n"/>
      <c r="I645" s="5" t="n"/>
      <c r="J645" s="24">
        <f>IF($A645="","",$A645&amp;IF($B645="","0010",$B645))</f>
        <v/>
      </c>
    </row>
    <row r="646">
      <c r="A646" s="5" t="n"/>
      <c r="B646" s="5" t="n"/>
      <c r="C646" s="5" t="n"/>
      <c r="D646" s="5" t="n"/>
      <c r="E646" s="5" t="n"/>
      <c r="F646" s="18" t="n"/>
      <c r="G646" s="18" t="n"/>
      <c r="H646" s="18" t="n"/>
      <c r="I646" s="5" t="n"/>
      <c r="J646" s="24">
        <f>IF($A646="","",$A646&amp;IF($B646="","0010",$B646))</f>
        <v/>
      </c>
    </row>
    <row r="647">
      <c r="A647" s="5" t="n"/>
      <c r="B647" s="5" t="n"/>
      <c r="C647" s="5" t="n"/>
      <c r="D647" s="5" t="n"/>
      <c r="E647" s="5" t="n"/>
      <c r="F647" s="18" t="n"/>
      <c r="G647" s="18" t="n"/>
      <c r="H647" s="18" t="n"/>
      <c r="I647" s="5" t="n"/>
      <c r="J647" s="24">
        <f>IF($A647="","",$A647&amp;IF($B647="","0010",$B647))</f>
        <v/>
      </c>
    </row>
    <row r="648">
      <c r="A648" s="5" t="n"/>
      <c r="B648" s="5" t="n"/>
      <c r="C648" s="5" t="n"/>
      <c r="D648" s="5" t="n"/>
      <c r="E648" s="5" t="n"/>
      <c r="F648" s="18" t="n"/>
      <c r="G648" s="18" t="n"/>
      <c r="H648" s="18" t="n"/>
      <c r="I648" s="5" t="n"/>
      <c r="J648" s="24">
        <f>IF($A648="","",$A648&amp;IF($B648="","0010",$B648))</f>
        <v/>
      </c>
    </row>
    <row r="649">
      <c r="A649" s="5" t="n"/>
      <c r="B649" s="5" t="n"/>
      <c r="C649" s="5" t="n"/>
      <c r="D649" s="5" t="n"/>
      <c r="E649" s="5" t="n"/>
      <c r="F649" s="18" t="n"/>
      <c r="G649" s="18" t="n"/>
      <c r="H649" s="18" t="n"/>
      <c r="I649" s="5" t="n"/>
      <c r="J649" s="24">
        <f>IF($A649="","",$A649&amp;IF($B649="","0010",$B649))</f>
        <v/>
      </c>
    </row>
    <row r="650">
      <c r="A650" s="5" t="n"/>
      <c r="B650" s="5" t="n"/>
      <c r="C650" s="5" t="n"/>
      <c r="D650" s="5" t="n"/>
      <c r="E650" s="5" t="n"/>
      <c r="F650" s="18" t="n"/>
      <c r="G650" s="18" t="n"/>
      <c r="H650" s="18" t="n"/>
      <c r="I650" s="5" t="n"/>
      <c r="J650" s="24">
        <f>IF($A650="","",$A650&amp;IF($B650="","0010",$B650))</f>
        <v/>
      </c>
    </row>
    <row r="651">
      <c r="A651" s="5" t="n"/>
      <c r="B651" s="5" t="n"/>
      <c r="C651" s="5" t="n"/>
      <c r="D651" s="5" t="n"/>
      <c r="E651" s="5" t="n"/>
      <c r="F651" s="18" t="n"/>
      <c r="G651" s="18" t="n"/>
      <c r="H651" s="18" t="n"/>
      <c r="I651" s="5" t="n"/>
      <c r="J651" s="24">
        <f>IF($A651="","",$A651&amp;IF($B651="","0010",$B651))</f>
        <v/>
      </c>
    </row>
    <row r="652">
      <c r="A652" s="5" t="n"/>
      <c r="B652" s="5" t="n"/>
      <c r="C652" s="5" t="n"/>
      <c r="D652" s="5" t="n"/>
      <c r="E652" s="5" t="n"/>
      <c r="F652" s="18" t="n"/>
      <c r="G652" s="18" t="n"/>
      <c r="H652" s="18" t="n"/>
      <c r="I652" s="5" t="n"/>
      <c r="J652" s="24">
        <f>IF($A652="","",$A652&amp;IF($B652="","0010",$B652))</f>
        <v/>
      </c>
    </row>
    <row r="653">
      <c r="A653" s="5" t="n"/>
      <c r="B653" s="5" t="n"/>
      <c r="C653" s="5" t="n"/>
      <c r="D653" s="5" t="n"/>
      <c r="E653" s="5" t="n"/>
      <c r="F653" s="18" t="n"/>
      <c r="G653" s="18" t="n"/>
      <c r="H653" s="18" t="n"/>
      <c r="I653" s="5" t="n"/>
      <c r="J653" s="24">
        <f>IF($A653="","",$A653&amp;IF($B653="","0010",$B653))</f>
        <v/>
      </c>
    </row>
    <row r="654">
      <c r="A654" s="5" t="n"/>
      <c r="B654" s="5" t="n"/>
      <c r="C654" s="5" t="n"/>
      <c r="D654" s="5" t="n"/>
      <c r="E654" s="5" t="n"/>
      <c r="F654" s="18" t="n"/>
      <c r="G654" s="18" t="n"/>
      <c r="H654" s="18" t="n"/>
      <c r="I654" s="5" t="n"/>
      <c r="J654" s="24">
        <f>IF($A654="","",$A654&amp;IF($B654="","0010",$B654))</f>
        <v/>
      </c>
    </row>
    <row r="655">
      <c r="A655" s="5" t="n"/>
      <c r="B655" s="5" t="n"/>
      <c r="C655" s="5" t="n"/>
      <c r="D655" s="5" t="n"/>
      <c r="E655" s="5" t="n"/>
      <c r="F655" s="18" t="n"/>
      <c r="G655" s="18" t="n"/>
      <c r="H655" s="18" t="n"/>
      <c r="I655" s="5" t="n"/>
      <c r="J655" s="24">
        <f>IF($A655="","",$A655&amp;IF($B655="","0010",$B655))</f>
        <v/>
      </c>
    </row>
    <row r="656">
      <c r="A656" s="5" t="n"/>
      <c r="B656" s="5" t="n"/>
      <c r="C656" s="5" t="n"/>
      <c r="D656" s="5" t="n"/>
      <c r="E656" s="5" t="n"/>
      <c r="F656" s="18" t="n"/>
      <c r="G656" s="18" t="n"/>
      <c r="H656" s="18" t="n"/>
      <c r="I656" s="5" t="n"/>
      <c r="J656" s="24">
        <f>IF($A656="","",$A656&amp;IF($B656="","0010",$B656))</f>
        <v/>
      </c>
    </row>
    <row r="657">
      <c r="A657" s="5" t="n"/>
      <c r="B657" s="5" t="n"/>
      <c r="C657" s="5" t="n"/>
      <c r="D657" s="5" t="n"/>
      <c r="E657" s="5" t="n"/>
      <c r="F657" s="18" t="n"/>
      <c r="G657" s="18" t="n"/>
      <c r="H657" s="18" t="n"/>
      <c r="I657" s="5" t="n"/>
      <c r="J657" s="24">
        <f>IF($A657="","",$A657&amp;IF($B657="","0010",$B657))</f>
        <v/>
      </c>
    </row>
    <row r="658">
      <c r="A658" s="5" t="n"/>
      <c r="B658" s="5" t="n"/>
      <c r="C658" s="5" t="n"/>
      <c r="D658" s="5" t="n"/>
      <c r="E658" s="5" t="n"/>
      <c r="F658" s="18" t="n"/>
      <c r="G658" s="18" t="n"/>
      <c r="H658" s="18" t="n"/>
      <c r="I658" s="5" t="n"/>
      <c r="J658" s="24">
        <f>IF($A658="","",$A658&amp;IF($B658="","0010",$B658))</f>
        <v/>
      </c>
    </row>
    <row r="659">
      <c r="A659" s="5" t="n"/>
      <c r="B659" s="5" t="n"/>
      <c r="C659" s="5" t="n"/>
      <c r="D659" s="5" t="n"/>
      <c r="E659" s="5" t="n"/>
      <c r="F659" s="18" t="n"/>
      <c r="G659" s="18" t="n"/>
      <c r="H659" s="18" t="n"/>
      <c r="I659" s="5" t="n"/>
      <c r="J659" s="24">
        <f>IF($A659="","",$A659&amp;IF($B659="","0010",$B659))</f>
        <v/>
      </c>
    </row>
    <row r="660">
      <c r="A660" s="5" t="n"/>
      <c r="B660" s="5" t="n"/>
      <c r="C660" s="5" t="n"/>
      <c r="D660" s="5" t="n"/>
      <c r="E660" s="5" t="n"/>
      <c r="F660" s="18" t="n"/>
      <c r="G660" s="18" t="n"/>
      <c r="H660" s="18" t="n"/>
      <c r="I660" s="5" t="n"/>
      <c r="J660" s="24">
        <f>IF($A660="","",$A660&amp;IF($B660="","0010",$B660))</f>
        <v/>
      </c>
    </row>
    <row r="661">
      <c r="A661" s="5" t="n"/>
      <c r="B661" s="5" t="n"/>
      <c r="C661" s="5" t="n"/>
      <c r="D661" s="5" t="n"/>
      <c r="E661" s="5" t="n"/>
      <c r="F661" s="18" t="n"/>
      <c r="G661" s="18" t="n"/>
      <c r="H661" s="18" t="n"/>
      <c r="I661" s="5" t="n"/>
      <c r="J661" s="24">
        <f>IF($A661="","",$A661&amp;IF($B661="","0010",$B661))</f>
        <v/>
      </c>
    </row>
    <row r="662">
      <c r="A662" s="5" t="n"/>
      <c r="B662" s="5" t="n"/>
      <c r="C662" s="5" t="n"/>
      <c r="D662" s="5" t="n"/>
      <c r="E662" s="5" t="n"/>
      <c r="F662" s="18" t="n"/>
      <c r="G662" s="18" t="n"/>
      <c r="H662" s="18" t="n"/>
      <c r="I662" s="5" t="n"/>
      <c r="J662" s="24">
        <f>IF($A662="","",$A662&amp;IF($B662="","0010",$B662))</f>
        <v/>
      </c>
    </row>
    <row r="663">
      <c r="A663" s="5" t="n"/>
      <c r="B663" s="5" t="n"/>
      <c r="C663" s="5" t="n"/>
      <c r="D663" s="5" t="n"/>
      <c r="E663" s="5" t="n"/>
      <c r="F663" s="18" t="n"/>
      <c r="G663" s="18" t="n"/>
      <c r="H663" s="18" t="n"/>
      <c r="I663" s="5" t="n"/>
      <c r="J663" s="24">
        <f>IF($A663="","",$A663&amp;IF($B663="","0010",$B663))</f>
        <v/>
      </c>
    </row>
    <row r="664">
      <c r="A664" s="5" t="n"/>
      <c r="B664" s="5" t="n"/>
      <c r="C664" s="5" t="n"/>
      <c r="D664" s="5" t="n"/>
      <c r="E664" s="5" t="n"/>
      <c r="F664" s="18" t="n"/>
      <c r="G664" s="18" t="n"/>
      <c r="H664" s="18" t="n"/>
      <c r="I664" s="5" t="n"/>
      <c r="J664" s="24">
        <f>IF($A664="","",$A664&amp;IF($B664="","0010",$B664))</f>
        <v/>
      </c>
    </row>
    <row r="665">
      <c r="A665" s="5" t="n"/>
      <c r="B665" s="5" t="n"/>
      <c r="C665" s="5" t="n"/>
      <c r="D665" s="5" t="n"/>
      <c r="E665" s="5" t="n"/>
      <c r="F665" s="18" t="n"/>
      <c r="G665" s="18" t="n"/>
      <c r="H665" s="18" t="n"/>
      <c r="I665" s="5" t="n"/>
      <c r="J665" s="24">
        <f>IF($A665="","",$A665&amp;IF($B665="","0010",$B665))</f>
        <v/>
      </c>
    </row>
    <row r="666">
      <c r="A666" s="5" t="n"/>
      <c r="B666" s="5" t="n"/>
      <c r="C666" s="5" t="n"/>
      <c r="D666" s="5" t="n"/>
      <c r="E666" s="5" t="n"/>
      <c r="F666" s="18" t="n"/>
      <c r="G666" s="18" t="n"/>
      <c r="H666" s="18" t="n"/>
      <c r="I666" s="5" t="n"/>
      <c r="J666" s="24">
        <f>IF($A666="","",$A666&amp;IF($B666="","0010",$B666))</f>
        <v/>
      </c>
    </row>
    <row r="667">
      <c r="A667" s="5" t="n"/>
      <c r="B667" s="5" t="n"/>
      <c r="C667" s="5" t="n"/>
      <c r="D667" s="5" t="n"/>
      <c r="E667" s="5" t="n"/>
      <c r="F667" s="18" t="n"/>
      <c r="G667" s="18" t="n"/>
      <c r="H667" s="18" t="n"/>
      <c r="I667" s="5" t="n"/>
      <c r="J667" s="24">
        <f>IF($A667="","",$A667&amp;IF($B667="","0010",$B667))</f>
        <v/>
      </c>
    </row>
    <row r="668">
      <c r="A668" s="5" t="n"/>
      <c r="B668" s="5" t="n"/>
      <c r="C668" s="5" t="n"/>
      <c r="D668" s="5" t="n"/>
      <c r="E668" s="5" t="n"/>
      <c r="F668" s="18" t="n"/>
      <c r="G668" s="18" t="n"/>
      <c r="H668" s="18" t="n"/>
      <c r="I668" s="5" t="n"/>
      <c r="J668" s="24">
        <f>IF($A668="","",$A668&amp;IF($B668="","0010",$B668))</f>
        <v/>
      </c>
    </row>
    <row r="669">
      <c r="A669" s="5" t="n"/>
      <c r="B669" s="5" t="n"/>
      <c r="C669" s="5" t="n"/>
      <c r="D669" s="5" t="n"/>
      <c r="E669" s="5" t="n"/>
      <c r="F669" s="18" t="n"/>
      <c r="G669" s="18" t="n"/>
      <c r="H669" s="18" t="n"/>
      <c r="I669" s="5" t="n"/>
      <c r="J669" s="24">
        <f>IF($A669="","",$A669&amp;IF($B669="","0010",$B669))</f>
        <v/>
      </c>
    </row>
    <row r="670">
      <c r="A670" s="5" t="n"/>
      <c r="B670" s="5" t="n"/>
      <c r="C670" s="5" t="n"/>
      <c r="D670" s="5" t="n"/>
      <c r="E670" s="5" t="n"/>
      <c r="F670" s="18" t="n"/>
      <c r="G670" s="18" t="n"/>
      <c r="H670" s="18" t="n"/>
      <c r="I670" s="5" t="n"/>
      <c r="J670" s="24">
        <f>IF($A670="","",$A670&amp;IF($B670="","0010",$B670))</f>
        <v/>
      </c>
    </row>
    <row r="671">
      <c r="A671" s="5" t="n"/>
      <c r="B671" s="5" t="n"/>
      <c r="C671" s="5" t="n"/>
      <c r="D671" s="5" t="n"/>
      <c r="E671" s="5" t="n"/>
      <c r="F671" s="18" t="n"/>
      <c r="G671" s="18" t="n"/>
      <c r="H671" s="18" t="n"/>
      <c r="I671" s="5" t="n"/>
      <c r="J671" s="24">
        <f>IF($A671="","",$A671&amp;IF($B671="","0010",$B671))</f>
        <v/>
      </c>
    </row>
    <row r="672">
      <c r="A672" s="5" t="n"/>
      <c r="B672" s="5" t="n"/>
      <c r="C672" s="5" t="n"/>
      <c r="D672" s="5" t="n"/>
      <c r="E672" s="5" t="n"/>
      <c r="F672" s="18" t="n"/>
      <c r="G672" s="18" t="n"/>
      <c r="H672" s="18" t="n"/>
      <c r="I672" s="5" t="n"/>
      <c r="J672" s="24">
        <f>IF($A672="","",$A672&amp;IF($B672="","0010",$B672))</f>
        <v/>
      </c>
    </row>
    <row r="673">
      <c r="A673" s="5" t="n"/>
      <c r="B673" s="5" t="n"/>
      <c r="C673" s="5" t="n"/>
      <c r="D673" s="5" t="n"/>
      <c r="E673" s="5" t="n"/>
      <c r="F673" s="18" t="n"/>
      <c r="G673" s="18" t="n"/>
      <c r="H673" s="18" t="n"/>
      <c r="I673" s="5" t="n"/>
      <c r="J673" s="24">
        <f>IF($A673="","",$A673&amp;IF($B673="","0010",$B673))</f>
        <v/>
      </c>
    </row>
    <row r="674">
      <c r="A674" s="5" t="n"/>
      <c r="B674" s="5" t="n"/>
      <c r="C674" s="5" t="n"/>
      <c r="D674" s="5" t="n"/>
      <c r="E674" s="5" t="n"/>
      <c r="F674" s="18" t="n"/>
      <c r="G674" s="18" t="n"/>
      <c r="H674" s="18" t="n"/>
      <c r="I674" s="5" t="n"/>
      <c r="J674" s="24">
        <f>IF($A674="","",$A674&amp;IF($B674="","0010",$B674))</f>
        <v/>
      </c>
    </row>
    <row r="675">
      <c r="A675" s="5" t="n"/>
      <c r="B675" s="5" t="n"/>
      <c r="C675" s="5" t="n"/>
      <c r="D675" s="5" t="n"/>
      <c r="E675" s="5" t="n"/>
      <c r="F675" s="18" t="n"/>
      <c r="G675" s="18" t="n"/>
      <c r="H675" s="18" t="n"/>
      <c r="I675" s="5" t="n"/>
      <c r="J675" s="24">
        <f>IF($A675="","",$A675&amp;IF($B675="","0010",$B675))</f>
        <v/>
      </c>
    </row>
    <row r="676">
      <c r="A676" s="5" t="n"/>
      <c r="B676" s="5" t="n"/>
      <c r="C676" s="5" t="n"/>
      <c r="D676" s="5" t="n"/>
      <c r="E676" s="5" t="n"/>
      <c r="F676" s="18" t="n"/>
      <c r="G676" s="18" t="n"/>
      <c r="H676" s="18" t="n"/>
      <c r="I676" s="5" t="n"/>
      <c r="J676" s="24">
        <f>IF($A676="","",$A676&amp;IF($B676="","0010",$B676))</f>
        <v/>
      </c>
    </row>
    <row r="677">
      <c r="A677" s="5" t="n"/>
      <c r="B677" s="5" t="n"/>
      <c r="C677" s="5" t="n"/>
      <c r="D677" s="5" t="n"/>
      <c r="E677" s="5" t="n"/>
      <c r="F677" s="18" t="n"/>
      <c r="G677" s="18" t="n"/>
      <c r="H677" s="18" t="n"/>
      <c r="I677" s="5" t="n"/>
      <c r="J677" s="24">
        <f>IF($A677="","",$A677&amp;IF($B677="","0010",$B677))</f>
        <v/>
      </c>
    </row>
    <row r="678">
      <c r="A678" s="5" t="n"/>
      <c r="B678" s="5" t="n"/>
      <c r="C678" s="5" t="n"/>
      <c r="D678" s="5" t="n"/>
      <c r="E678" s="5" t="n"/>
      <c r="F678" s="18" t="n"/>
      <c r="G678" s="18" t="n"/>
      <c r="H678" s="18" t="n"/>
      <c r="I678" s="5" t="n"/>
      <c r="J678" s="24">
        <f>IF($A678="","",$A678&amp;IF($B678="","0010",$B678))</f>
        <v/>
      </c>
    </row>
    <row r="679">
      <c r="A679" s="5" t="n"/>
      <c r="B679" s="5" t="n"/>
      <c r="C679" s="5" t="n"/>
      <c r="D679" s="5" t="n"/>
      <c r="E679" s="5" t="n"/>
      <c r="F679" s="18" t="n"/>
      <c r="G679" s="18" t="n"/>
      <c r="H679" s="18" t="n"/>
      <c r="I679" s="5" t="n"/>
      <c r="J679" s="24">
        <f>IF($A679="","",$A679&amp;IF($B679="","0010",$B679))</f>
        <v/>
      </c>
    </row>
    <row r="680">
      <c r="A680" s="5" t="n"/>
      <c r="B680" s="5" t="n"/>
      <c r="C680" s="5" t="n"/>
      <c r="D680" s="5" t="n"/>
      <c r="E680" s="5" t="n"/>
      <c r="F680" s="18" t="n"/>
      <c r="G680" s="18" t="n"/>
      <c r="H680" s="18" t="n"/>
      <c r="I680" s="5" t="n"/>
      <c r="J680" s="24">
        <f>IF($A680="","",$A680&amp;IF($B680="","0010",$B680))</f>
        <v/>
      </c>
    </row>
    <row r="681">
      <c r="A681" s="5" t="n"/>
      <c r="B681" s="5" t="n"/>
      <c r="C681" s="5" t="n"/>
      <c r="D681" s="5" t="n"/>
      <c r="E681" s="5" t="n"/>
      <c r="F681" s="18" t="n"/>
      <c r="G681" s="18" t="n"/>
      <c r="H681" s="18" t="n"/>
      <c r="I681" s="5" t="n"/>
      <c r="J681" s="24">
        <f>IF($A681="","",$A681&amp;IF($B681="","0010",$B681))</f>
        <v/>
      </c>
    </row>
    <row r="682">
      <c r="A682" s="5" t="n"/>
      <c r="B682" s="5" t="n"/>
      <c r="C682" s="5" t="n"/>
      <c r="D682" s="5" t="n"/>
      <c r="E682" s="5" t="n"/>
      <c r="F682" s="18" t="n"/>
      <c r="G682" s="18" t="n"/>
      <c r="H682" s="18" t="n"/>
      <c r="I682" s="5" t="n"/>
      <c r="J682" s="24">
        <f>IF($A682="","",$A682&amp;IF($B682="","0010",$B682))</f>
        <v/>
      </c>
    </row>
    <row r="683">
      <c r="A683" s="5" t="n"/>
      <c r="B683" s="5" t="n"/>
      <c r="C683" s="5" t="n"/>
      <c r="D683" s="5" t="n"/>
      <c r="E683" s="5" t="n"/>
      <c r="F683" s="18" t="n"/>
      <c r="G683" s="18" t="n"/>
      <c r="H683" s="18" t="n"/>
      <c r="I683" s="5" t="n"/>
      <c r="J683" s="24">
        <f>IF($A683="","",$A683&amp;IF($B683="","0010",$B683))</f>
        <v/>
      </c>
    </row>
    <row r="684">
      <c r="A684" s="5" t="n"/>
      <c r="B684" s="5" t="n"/>
      <c r="C684" s="5" t="n"/>
      <c r="D684" s="5" t="n"/>
      <c r="E684" s="5" t="n"/>
      <c r="F684" s="18" t="n"/>
      <c r="G684" s="18" t="n"/>
      <c r="H684" s="18" t="n"/>
      <c r="I684" s="5" t="n"/>
      <c r="J684" s="24">
        <f>IF($A684="","",$A684&amp;IF($B684="","0010",$B684))</f>
        <v/>
      </c>
    </row>
    <row r="685">
      <c r="A685" s="5" t="n"/>
      <c r="B685" s="5" t="n"/>
      <c r="C685" s="5" t="n"/>
      <c r="D685" s="5" t="n"/>
      <c r="E685" s="5" t="n"/>
      <c r="F685" s="18" t="n"/>
      <c r="G685" s="18" t="n"/>
      <c r="H685" s="18" t="n"/>
      <c r="I685" s="5" t="n"/>
      <c r="J685" s="24">
        <f>IF($A685="","",$A685&amp;IF($B685="","0010",$B685))</f>
        <v/>
      </c>
    </row>
    <row r="686">
      <c r="A686" s="5" t="n"/>
      <c r="B686" s="5" t="n"/>
      <c r="C686" s="5" t="n"/>
      <c r="D686" s="5" t="n"/>
      <c r="E686" s="5" t="n"/>
      <c r="F686" s="18" t="n"/>
      <c r="G686" s="18" t="n"/>
      <c r="H686" s="18" t="n"/>
      <c r="I686" s="5" t="n"/>
      <c r="J686" s="24">
        <f>IF($A686="","",$A686&amp;IF($B686="","0010",$B686))</f>
        <v/>
      </c>
    </row>
    <row r="687">
      <c r="A687" s="5" t="n"/>
      <c r="B687" s="5" t="n"/>
      <c r="C687" s="5" t="n"/>
      <c r="D687" s="5" t="n"/>
      <c r="E687" s="5" t="n"/>
      <c r="F687" s="18" t="n"/>
      <c r="G687" s="18" t="n"/>
      <c r="H687" s="18" t="n"/>
      <c r="I687" s="5" t="n"/>
      <c r="J687" s="24">
        <f>IF($A687="","",$A687&amp;IF($B687="","0010",$B687))</f>
        <v/>
      </c>
    </row>
    <row r="688">
      <c r="A688" s="5" t="n"/>
      <c r="B688" s="5" t="n"/>
      <c r="C688" s="5" t="n"/>
      <c r="D688" s="5" t="n"/>
      <c r="E688" s="5" t="n"/>
      <c r="F688" s="18" t="n"/>
      <c r="G688" s="18" t="n"/>
      <c r="H688" s="18" t="n"/>
      <c r="I688" s="5" t="n"/>
      <c r="J688" s="24">
        <f>IF($A688="","",$A688&amp;IF($B688="","0010",$B688))</f>
        <v/>
      </c>
    </row>
    <row r="689">
      <c r="A689" s="5" t="n"/>
      <c r="B689" s="5" t="n"/>
      <c r="C689" s="5" t="n"/>
      <c r="D689" s="5" t="n"/>
      <c r="E689" s="5" t="n"/>
      <c r="F689" s="18" t="n"/>
      <c r="G689" s="18" t="n"/>
      <c r="H689" s="18" t="n"/>
      <c r="I689" s="5" t="n"/>
      <c r="J689" s="24">
        <f>IF($A689="","",$A689&amp;IF($B689="","0010",$B689))</f>
        <v/>
      </c>
    </row>
    <row r="690">
      <c r="A690" s="5" t="n"/>
      <c r="B690" s="5" t="n"/>
      <c r="C690" s="5" t="n"/>
      <c r="D690" s="5" t="n"/>
      <c r="E690" s="5" t="n"/>
      <c r="F690" s="18" t="n"/>
      <c r="G690" s="18" t="n"/>
      <c r="H690" s="18" t="n"/>
      <c r="I690" s="5" t="n"/>
      <c r="J690" s="24">
        <f>IF($A690="","",$A690&amp;IF($B690="","0010",$B690))</f>
        <v/>
      </c>
    </row>
    <row r="691">
      <c r="A691" s="5" t="n"/>
      <c r="B691" s="5" t="n"/>
      <c r="C691" s="5" t="n"/>
      <c r="D691" s="5" t="n"/>
      <c r="E691" s="5" t="n"/>
      <c r="F691" s="18" t="n"/>
      <c r="G691" s="18" t="n"/>
      <c r="H691" s="18" t="n"/>
      <c r="I691" s="5" t="n"/>
      <c r="J691" s="24">
        <f>IF($A691="","",$A691&amp;IF($B691="","0010",$B691))</f>
        <v/>
      </c>
    </row>
    <row r="692">
      <c r="A692" s="5" t="n"/>
      <c r="B692" s="5" t="n"/>
      <c r="C692" s="5" t="n"/>
      <c r="D692" s="5" t="n"/>
      <c r="E692" s="5" t="n"/>
      <c r="F692" s="18" t="n"/>
      <c r="G692" s="18" t="n"/>
      <c r="H692" s="18" t="n"/>
      <c r="I692" s="5" t="n"/>
      <c r="J692" s="24">
        <f>IF($A692="","",$A692&amp;IF($B692="","0010",$B692))</f>
        <v/>
      </c>
    </row>
    <row r="693">
      <c r="A693" s="5" t="n"/>
      <c r="B693" s="5" t="n"/>
      <c r="C693" s="5" t="n"/>
      <c r="D693" s="5" t="n"/>
      <c r="E693" s="5" t="n"/>
      <c r="F693" s="18" t="n"/>
      <c r="G693" s="18" t="n"/>
      <c r="H693" s="18" t="n"/>
      <c r="I693" s="5" t="n"/>
      <c r="J693" s="24">
        <f>IF($A693="","",$A693&amp;IF($B693="","0010",$B693))</f>
        <v/>
      </c>
    </row>
    <row r="694">
      <c r="A694" s="5" t="n"/>
      <c r="B694" s="5" t="n"/>
      <c r="C694" s="5" t="n"/>
      <c r="D694" s="5" t="n"/>
      <c r="E694" s="5" t="n"/>
      <c r="F694" s="18" t="n"/>
      <c r="G694" s="18" t="n"/>
      <c r="H694" s="18" t="n"/>
      <c r="I694" s="5" t="n"/>
      <c r="J694" s="24">
        <f>IF($A694="","",$A694&amp;IF($B694="","0010",$B694))</f>
        <v/>
      </c>
    </row>
    <row r="695">
      <c r="A695" s="5" t="n"/>
      <c r="B695" s="5" t="n"/>
      <c r="C695" s="5" t="n"/>
      <c r="D695" s="5" t="n"/>
      <c r="E695" s="5" t="n"/>
      <c r="F695" s="18" t="n"/>
      <c r="G695" s="18" t="n"/>
      <c r="H695" s="18" t="n"/>
      <c r="I695" s="5" t="n"/>
      <c r="J695" s="24">
        <f>IF($A695="","",$A695&amp;IF($B695="","0010",$B695))</f>
        <v/>
      </c>
    </row>
    <row r="696">
      <c r="A696" s="5" t="n"/>
      <c r="B696" s="5" t="n"/>
      <c r="C696" s="5" t="n"/>
      <c r="D696" s="5" t="n"/>
      <c r="E696" s="5" t="n"/>
      <c r="F696" s="18" t="n"/>
      <c r="G696" s="18" t="n"/>
      <c r="H696" s="18" t="n"/>
      <c r="I696" s="5" t="n"/>
      <c r="J696" s="24">
        <f>IF($A696="","",$A696&amp;IF($B696="","0010",$B696))</f>
        <v/>
      </c>
    </row>
    <row r="697">
      <c r="A697" s="5" t="n"/>
      <c r="B697" s="5" t="n"/>
      <c r="C697" s="5" t="n"/>
      <c r="D697" s="5" t="n"/>
      <c r="E697" s="5" t="n"/>
      <c r="F697" s="18" t="n"/>
      <c r="G697" s="18" t="n"/>
      <c r="H697" s="18" t="n"/>
      <c r="I697" s="5" t="n"/>
      <c r="J697" s="24">
        <f>IF($A697="","",$A697&amp;IF($B697="","0010",$B697))</f>
        <v/>
      </c>
    </row>
    <row r="698">
      <c r="A698" s="5" t="n"/>
      <c r="B698" s="5" t="n"/>
      <c r="C698" s="5" t="n"/>
      <c r="D698" s="5" t="n"/>
      <c r="E698" s="5" t="n"/>
      <c r="F698" s="18" t="n"/>
      <c r="G698" s="18" t="n"/>
      <c r="H698" s="18" t="n"/>
      <c r="I698" s="5" t="n"/>
      <c r="J698" s="24">
        <f>IF($A698="","",$A698&amp;IF($B698="","0010",$B698))</f>
        <v/>
      </c>
    </row>
    <row r="699">
      <c r="A699" s="5" t="n"/>
      <c r="B699" s="5" t="n"/>
      <c r="C699" s="5" t="n"/>
      <c r="D699" s="5" t="n"/>
      <c r="E699" s="5" t="n"/>
      <c r="F699" s="18" t="n"/>
      <c r="G699" s="18" t="n"/>
      <c r="H699" s="18" t="n"/>
      <c r="I699" s="5" t="n"/>
      <c r="J699" s="24">
        <f>IF($A699="","",$A699&amp;IF($B699="","0010",$B699))</f>
        <v/>
      </c>
    </row>
    <row r="700">
      <c r="A700" s="5" t="n"/>
      <c r="B700" s="5" t="n"/>
      <c r="C700" s="5" t="n"/>
      <c r="D700" s="5" t="n"/>
      <c r="E700" s="5" t="n"/>
      <c r="F700" s="18" t="n"/>
      <c r="G700" s="18" t="n"/>
      <c r="H700" s="18" t="n"/>
      <c r="I700" s="5" t="n"/>
      <c r="J700" s="24">
        <f>IF($A700="","",$A700&amp;IF($B700="","0010",$B700))</f>
        <v/>
      </c>
    </row>
    <row r="701">
      <c r="A701" s="5" t="n"/>
      <c r="B701" s="5" t="n"/>
      <c r="C701" s="5" t="n"/>
      <c r="D701" s="5" t="n"/>
      <c r="E701" s="5" t="n"/>
      <c r="F701" s="18" t="n"/>
      <c r="G701" s="18" t="n"/>
      <c r="H701" s="18" t="n"/>
      <c r="I701" s="5" t="n"/>
      <c r="J701" s="24">
        <f>IF($A701="","",$A701&amp;IF($B701="","0010",$B701))</f>
        <v/>
      </c>
    </row>
    <row r="702">
      <c r="A702" s="5" t="n"/>
      <c r="B702" s="5" t="n"/>
      <c r="C702" s="5" t="n"/>
      <c r="D702" s="5" t="n"/>
      <c r="E702" s="5" t="n"/>
      <c r="F702" s="18" t="n"/>
      <c r="G702" s="18" t="n"/>
      <c r="H702" s="18" t="n"/>
      <c r="I702" s="5" t="n"/>
      <c r="J702" s="24">
        <f>IF($A702="","",$A702&amp;IF($B702="","0010",$B702))</f>
        <v/>
      </c>
    </row>
    <row r="703">
      <c r="A703" s="5" t="n"/>
      <c r="B703" s="5" t="n"/>
      <c r="C703" s="5" t="n"/>
      <c r="D703" s="5" t="n"/>
      <c r="E703" s="5" t="n"/>
      <c r="F703" s="18" t="n"/>
      <c r="G703" s="18" t="n"/>
      <c r="H703" s="18" t="n"/>
      <c r="I703" s="5" t="n"/>
      <c r="J703" s="24">
        <f>IF($A703="","",$A703&amp;IF($B703="","0010",$B703))</f>
        <v/>
      </c>
    </row>
    <row r="704">
      <c r="A704" s="5" t="n"/>
      <c r="B704" s="5" t="n"/>
      <c r="C704" s="5" t="n"/>
      <c r="D704" s="5" t="n"/>
      <c r="E704" s="5" t="n"/>
      <c r="F704" s="18" t="n"/>
      <c r="G704" s="18" t="n"/>
      <c r="H704" s="18" t="n"/>
      <c r="I704" s="5" t="n"/>
      <c r="J704" s="24">
        <f>IF($A704="","",$A704&amp;IF($B704="","0010",$B704))</f>
        <v/>
      </c>
    </row>
    <row r="705">
      <c r="A705" s="5" t="n"/>
      <c r="B705" s="5" t="n"/>
      <c r="C705" s="5" t="n"/>
      <c r="D705" s="5" t="n"/>
      <c r="E705" s="5" t="n"/>
      <c r="F705" s="18" t="n"/>
      <c r="G705" s="18" t="n"/>
      <c r="H705" s="18" t="n"/>
      <c r="I705" s="5" t="n"/>
      <c r="J705" s="24">
        <f>IF($A705="","",$A705&amp;IF($B705="","0010",$B705))</f>
        <v/>
      </c>
    </row>
    <row r="706">
      <c r="A706" s="5" t="n"/>
      <c r="B706" s="5" t="n"/>
      <c r="C706" s="5" t="n"/>
      <c r="D706" s="5" t="n"/>
      <c r="E706" s="5" t="n"/>
      <c r="F706" s="18" t="n"/>
      <c r="G706" s="18" t="n"/>
      <c r="H706" s="18" t="n"/>
      <c r="I706" s="5" t="n"/>
      <c r="J706" s="24">
        <f>IF($A706="","",$A706&amp;IF($B706="","0010",$B706))</f>
        <v/>
      </c>
    </row>
    <row r="707">
      <c r="A707" s="5" t="n"/>
      <c r="B707" s="5" t="n"/>
      <c r="C707" s="5" t="n"/>
      <c r="D707" s="5" t="n"/>
      <c r="E707" s="5" t="n"/>
      <c r="F707" s="18" t="n"/>
      <c r="G707" s="18" t="n"/>
      <c r="H707" s="18" t="n"/>
      <c r="I707" s="5" t="n"/>
      <c r="J707" s="24">
        <f>IF($A707="","",$A707&amp;IF($B707="","0010",$B707))</f>
        <v/>
      </c>
    </row>
    <row r="708">
      <c r="A708" s="5" t="n"/>
      <c r="B708" s="5" t="n"/>
      <c r="C708" s="5" t="n"/>
      <c r="D708" s="5" t="n"/>
      <c r="E708" s="5" t="n"/>
      <c r="F708" s="18" t="n"/>
      <c r="G708" s="18" t="n"/>
      <c r="H708" s="18" t="n"/>
      <c r="I708" s="5" t="n"/>
      <c r="J708" s="24">
        <f>IF($A708="","",$A708&amp;IF($B708="","0010",$B708))</f>
        <v/>
      </c>
    </row>
    <row r="709">
      <c r="A709" s="5" t="n"/>
      <c r="B709" s="5" t="n"/>
      <c r="C709" s="5" t="n"/>
      <c r="D709" s="5" t="n"/>
      <c r="E709" s="5" t="n"/>
      <c r="F709" s="18" t="n"/>
      <c r="G709" s="18" t="n"/>
      <c r="H709" s="18" t="n"/>
      <c r="I709" s="5" t="n"/>
      <c r="J709" s="24">
        <f>IF($A709="","",$A709&amp;IF($B709="","0010",$B709))</f>
        <v/>
      </c>
    </row>
    <row r="710">
      <c r="A710" s="5" t="n"/>
      <c r="B710" s="5" t="n"/>
      <c r="C710" s="5" t="n"/>
      <c r="D710" s="5" t="n"/>
      <c r="E710" s="5" t="n"/>
      <c r="F710" s="18" t="n"/>
      <c r="G710" s="18" t="n"/>
      <c r="H710" s="18" t="n"/>
      <c r="I710" s="5" t="n"/>
      <c r="J710" s="24">
        <f>IF($A710="","",$A710&amp;IF($B710="","0010",$B710))</f>
        <v/>
      </c>
    </row>
    <row r="711">
      <c r="A711" s="5" t="n"/>
      <c r="B711" s="5" t="n"/>
      <c r="C711" s="5" t="n"/>
      <c r="D711" s="5" t="n"/>
      <c r="E711" s="5" t="n"/>
      <c r="F711" s="18" t="n"/>
      <c r="G711" s="18" t="n"/>
      <c r="H711" s="18" t="n"/>
      <c r="I711" s="5" t="n"/>
      <c r="J711" s="24">
        <f>IF($A711="","",$A711&amp;IF($B711="","0010",$B711))</f>
        <v/>
      </c>
    </row>
    <row r="712">
      <c r="A712" s="5" t="n"/>
      <c r="B712" s="5" t="n"/>
      <c r="C712" s="5" t="n"/>
      <c r="D712" s="5" t="n"/>
      <c r="E712" s="5" t="n"/>
      <c r="F712" s="18" t="n"/>
      <c r="G712" s="18" t="n"/>
      <c r="H712" s="18" t="n"/>
      <c r="I712" s="5" t="n"/>
      <c r="J712" s="24">
        <f>IF($A712="","",$A712&amp;IF($B712="","0010",$B712))</f>
        <v/>
      </c>
    </row>
    <row r="713">
      <c r="A713" s="5" t="n"/>
      <c r="B713" s="5" t="n"/>
      <c r="C713" s="5" t="n"/>
      <c r="D713" s="5" t="n"/>
      <c r="E713" s="5" t="n"/>
      <c r="F713" s="18" t="n"/>
      <c r="G713" s="18" t="n"/>
      <c r="H713" s="18" t="n"/>
      <c r="I713" s="5" t="n"/>
      <c r="J713" s="24">
        <f>IF($A713="","",$A713&amp;IF($B713="","0010",$B713))</f>
        <v/>
      </c>
    </row>
    <row r="714">
      <c r="A714" s="5" t="n"/>
      <c r="B714" s="5" t="n"/>
      <c r="C714" s="5" t="n"/>
      <c r="D714" s="5" t="n"/>
      <c r="E714" s="5" t="n"/>
      <c r="F714" s="18" t="n"/>
      <c r="G714" s="18" t="n"/>
      <c r="H714" s="18" t="n"/>
      <c r="I714" s="5" t="n"/>
      <c r="J714" s="24">
        <f>IF($A714="","",$A714&amp;IF($B714="","0010",$B714))</f>
        <v/>
      </c>
    </row>
    <row r="715">
      <c r="A715" s="5" t="n"/>
      <c r="B715" s="5" t="n"/>
      <c r="C715" s="5" t="n"/>
      <c r="D715" s="5" t="n"/>
      <c r="E715" s="5" t="n"/>
      <c r="F715" s="18" t="n"/>
      <c r="G715" s="18" t="n"/>
      <c r="H715" s="18" t="n"/>
      <c r="I715" s="5" t="n"/>
      <c r="J715" s="24">
        <f>IF($A715="","",$A715&amp;IF($B715="","0010",$B715))</f>
        <v/>
      </c>
    </row>
    <row r="716">
      <c r="A716" s="5" t="n"/>
      <c r="B716" s="5" t="n"/>
      <c r="C716" s="5" t="n"/>
      <c r="D716" s="5" t="n"/>
      <c r="E716" s="5" t="n"/>
      <c r="F716" s="18" t="n"/>
      <c r="G716" s="18" t="n"/>
      <c r="H716" s="18" t="n"/>
      <c r="I716" s="5" t="n"/>
      <c r="J716" s="24">
        <f>IF($A716="","",$A716&amp;IF($B716="","0010",$B716))</f>
        <v/>
      </c>
    </row>
    <row r="717">
      <c r="A717" s="5" t="n"/>
      <c r="B717" s="5" t="n"/>
      <c r="C717" s="5" t="n"/>
      <c r="D717" s="5" t="n"/>
      <c r="E717" s="5" t="n"/>
      <c r="F717" s="18" t="n"/>
      <c r="G717" s="18" t="n"/>
      <c r="H717" s="18" t="n"/>
      <c r="I717" s="5" t="n"/>
      <c r="J717" s="24">
        <f>IF($A717="","",$A717&amp;IF($B717="","0010",$B717))</f>
        <v/>
      </c>
    </row>
    <row r="718">
      <c r="A718" s="5" t="n"/>
      <c r="B718" s="5" t="n"/>
      <c r="C718" s="5" t="n"/>
      <c r="D718" s="5" t="n"/>
      <c r="E718" s="5" t="n"/>
      <c r="F718" s="18" t="n"/>
      <c r="G718" s="18" t="n"/>
      <c r="H718" s="18" t="n"/>
      <c r="I718" s="5" t="n"/>
      <c r="J718" s="24">
        <f>IF($A718="","",$A718&amp;IF($B718="","0010",$B718))</f>
        <v/>
      </c>
    </row>
    <row r="719">
      <c r="A719" s="5" t="n"/>
      <c r="B719" s="5" t="n"/>
      <c r="C719" s="5" t="n"/>
      <c r="D719" s="5" t="n"/>
      <c r="E719" s="5" t="n"/>
      <c r="F719" s="18" t="n"/>
      <c r="G719" s="18" t="n"/>
      <c r="H719" s="18" t="n"/>
      <c r="I719" s="5" t="n"/>
      <c r="J719" s="24">
        <f>IF($A719="","",$A719&amp;IF($B719="","0010",$B719))</f>
        <v/>
      </c>
    </row>
    <row r="720">
      <c r="A720" s="5" t="n"/>
      <c r="B720" s="5" t="n"/>
      <c r="C720" s="5" t="n"/>
      <c r="D720" s="5" t="n"/>
      <c r="E720" s="5" t="n"/>
      <c r="F720" s="18" t="n"/>
      <c r="G720" s="18" t="n"/>
      <c r="H720" s="18" t="n"/>
      <c r="I720" s="5" t="n"/>
      <c r="J720" s="24">
        <f>IF($A720="","",$A720&amp;IF($B720="","0010",$B720))</f>
        <v/>
      </c>
    </row>
    <row r="721">
      <c r="A721" s="5" t="n"/>
      <c r="B721" s="5" t="n"/>
      <c r="C721" s="5" t="n"/>
      <c r="D721" s="5" t="n"/>
      <c r="E721" s="5" t="n"/>
      <c r="F721" s="18" t="n"/>
      <c r="G721" s="18" t="n"/>
      <c r="H721" s="18" t="n"/>
      <c r="I721" s="5" t="n"/>
      <c r="J721" s="24">
        <f>IF($A721="","",$A721&amp;IF($B721="","0010",$B721))</f>
        <v/>
      </c>
    </row>
    <row r="722">
      <c r="A722" s="5" t="n"/>
      <c r="B722" s="5" t="n"/>
      <c r="C722" s="5" t="n"/>
      <c r="D722" s="5" t="n"/>
      <c r="E722" s="5" t="n"/>
      <c r="F722" s="18" t="n"/>
      <c r="G722" s="18" t="n"/>
      <c r="H722" s="18" t="n"/>
      <c r="I722" s="5" t="n"/>
      <c r="J722" s="24">
        <f>IF($A722="","",$A722&amp;IF($B722="","0010",$B722))</f>
        <v/>
      </c>
    </row>
    <row r="723">
      <c r="A723" s="5" t="n"/>
      <c r="B723" s="5" t="n"/>
      <c r="C723" s="5" t="n"/>
      <c r="D723" s="5" t="n"/>
      <c r="E723" s="5" t="n"/>
      <c r="F723" s="18" t="n"/>
      <c r="G723" s="18" t="n"/>
      <c r="H723" s="18" t="n"/>
      <c r="I723" s="5" t="n"/>
      <c r="J723" s="24">
        <f>IF($A723="","",$A723&amp;IF($B723="","0010",$B723))</f>
        <v/>
      </c>
    </row>
    <row r="724">
      <c r="A724" s="5" t="n"/>
      <c r="B724" s="5" t="n"/>
      <c r="C724" s="5" t="n"/>
      <c r="D724" s="5" t="n"/>
      <c r="E724" s="5" t="n"/>
      <c r="F724" s="18" t="n"/>
      <c r="G724" s="18" t="n"/>
      <c r="H724" s="18" t="n"/>
      <c r="I724" s="5" t="n"/>
      <c r="J724" s="24">
        <f>IF($A724="","",$A724&amp;IF($B724="","0010",$B724))</f>
        <v/>
      </c>
    </row>
    <row r="725">
      <c r="A725" s="5" t="n"/>
      <c r="B725" s="5" t="n"/>
      <c r="C725" s="5" t="n"/>
      <c r="D725" s="5" t="n"/>
      <c r="E725" s="5" t="n"/>
      <c r="F725" s="18" t="n"/>
      <c r="G725" s="18" t="n"/>
      <c r="H725" s="18" t="n"/>
      <c r="I725" s="5" t="n"/>
      <c r="J725" s="24">
        <f>IF($A725="","",$A725&amp;IF($B725="","0010",$B725))</f>
        <v/>
      </c>
    </row>
    <row r="726">
      <c r="A726" s="5" t="n"/>
      <c r="B726" s="5" t="n"/>
      <c r="C726" s="5" t="n"/>
      <c r="D726" s="5" t="n"/>
      <c r="E726" s="5" t="n"/>
      <c r="F726" s="18" t="n"/>
      <c r="G726" s="18" t="n"/>
      <c r="H726" s="18" t="n"/>
      <c r="I726" s="5" t="n"/>
      <c r="J726" s="24">
        <f>IF($A726="","",$A726&amp;IF($B726="","0010",$B726))</f>
        <v/>
      </c>
    </row>
    <row r="727">
      <c r="A727" s="5" t="n"/>
      <c r="B727" s="5" t="n"/>
      <c r="C727" s="5" t="n"/>
      <c r="D727" s="5" t="n"/>
      <c r="E727" s="5" t="n"/>
      <c r="F727" s="18" t="n"/>
      <c r="G727" s="18" t="n"/>
      <c r="H727" s="18" t="n"/>
      <c r="I727" s="5" t="n"/>
      <c r="J727" s="24">
        <f>IF($A727="","",$A727&amp;IF($B727="","0010",$B727))</f>
        <v/>
      </c>
    </row>
    <row r="728">
      <c r="A728" s="5" t="n"/>
      <c r="B728" s="5" t="n"/>
      <c r="C728" s="5" t="n"/>
      <c r="D728" s="5" t="n"/>
      <c r="E728" s="5" t="n"/>
      <c r="F728" s="18" t="n"/>
      <c r="G728" s="18" t="n"/>
      <c r="H728" s="18" t="n"/>
      <c r="I728" s="5" t="n"/>
      <c r="J728" s="24">
        <f>IF($A728="","",$A728&amp;IF($B728="","0010",$B728))</f>
        <v/>
      </c>
    </row>
    <row r="729">
      <c r="A729" s="5" t="n"/>
      <c r="B729" s="5" t="n"/>
      <c r="C729" s="5" t="n"/>
      <c r="D729" s="5" t="n"/>
      <c r="E729" s="5" t="n"/>
      <c r="F729" s="18" t="n"/>
      <c r="G729" s="18" t="n"/>
      <c r="H729" s="18" t="n"/>
      <c r="I729" s="5" t="n"/>
      <c r="J729" s="24">
        <f>IF($A729="","",$A729&amp;IF($B729="","0010",$B729))</f>
        <v/>
      </c>
    </row>
    <row r="730">
      <c r="A730" s="5" t="n"/>
      <c r="B730" s="5" t="n"/>
      <c r="C730" s="5" t="n"/>
      <c r="D730" s="5" t="n"/>
      <c r="E730" s="5" t="n"/>
      <c r="F730" s="18" t="n"/>
      <c r="G730" s="18" t="n"/>
      <c r="H730" s="18" t="n"/>
      <c r="I730" s="5" t="n"/>
      <c r="J730" s="24">
        <f>IF($A730="","",$A730&amp;IF($B730="","0010",$B730))</f>
        <v/>
      </c>
    </row>
    <row r="731">
      <c r="A731" s="5" t="n"/>
      <c r="B731" s="5" t="n"/>
      <c r="C731" s="5" t="n"/>
      <c r="D731" s="5" t="n"/>
      <c r="E731" s="5" t="n"/>
      <c r="F731" s="18" t="n"/>
      <c r="G731" s="18" t="n"/>
      <c r="H731" s="18" t="n"/>
      <c r="I731" s="5" t="n"/>
      <c r="J731" s="24">
        <f>IF($A731="","",$A731&amp;IF($B731="","0010",$B731))</f>
        <v/>
      </c>
    </row>
    <row r="732">
      <c r="A732" s="5" t="n"/>
      <c r="B732" s="5" t="n"/>
      <c r="C732" s="5" t="n"/>
      <c r="D732" s="5" t="n"/>
      <c r="E732" s="5" t="n"/>
      <c r="F732" s="18" t="n"/>
      <c r="G732" s="18" t="n"/>
      <c r="H732" s="18" t="n"/>
      <c r="I732" s="5" t="n"/>
      <c r="J732" s="24">
        <f>IF($A732="","",$A732&amp;IF($B732="","0010",$B732))</f>
        <v/>
      </c>
    </row>
    <row r="733">
      <c r="A733" s="5" t="n"/>
      <c r="B733" s="5" t="n"/>
      <c r="C733" s="5" t="n"/>
      <c r="D733" s="5" t="n"/>
      <c r="E733" s="5" t="n"/>
      <c r="F733" s="18" t="n"/>
      <c r="G733" s="18" t="n"/>
      <c r="H733" s="18" t="n"/>
      <c r="I733" s="5" t="n"/>
      <c r="J733" s="24">
        <f>IF($A733="","",$A733&amp;IF($B733="","0010",$B733))</f>
        <v/>
      </c>
    </row>
    <row r="734">
      <c r="A734" s="5" t="n"/>
      <c r="B734" s="5" t="n"/>
      <c r="C734" s="5" t="n"/>
      <c r="D734" s="5" t="n"/>
      <c r="E734" s="5" t="n"/>
      <c r="F734" s="18" t="n"/>
      <c r="G734" s="18" t="n"/>
      <c r="H734" s="18" t="n"/>
      <c r="I734" s="5" t="n"/>
      <c r="J734" s="24">
        <f>IF($A734="","",$A734&amp;IF($B734="","0010",$B734))</f>
        <v/>
      </c>
    </row>
    <row r="735">
      <c r="A735" s="5" t="n"/>
      <c r="B735" s="5" t="n"/>
      <c r="C735" s="5" t="n"/>
      <c r="D735" s="5" t="n"/>
      <c r="E735" s="5" t="n"/>
      <c r="F735" s="18" t="n"/>
      <c r="G735" s="18" t="n"/>
      <c r="H735" s="18" t="n"/>
      <c r="I735" s="5" t="n"/>
      <c r="J735" s="24">
        <f>IF($A735="","",$A735&amp;IF($B735="","0010",$B735))</f>
        <v/>
      </c>
    </row>
    <row r="736">
      <c r="A736" s="5" t="n"/>
      <c r="B736" s="5" t="n"/>
      <c r="C736" s="5" t="n"/>
      <c r="D736" s="5" t="n"/>
      <c r="E736" s="5" t="n"/>
      <c r="F736" s="18" t="n"/>
      <c r="G736" s="18" t="n"/>
      <c r="H736" s="18" t="n"/>
      <c r="I736" s="5" t="n"/>
      <c r="J736" s="24">
        <f>IF($A736="","",$A736&amp;IF($B736="","0010",$B736))</f>
        <v/>
      </c>
    </row>
    <row r="737">
      <c r="A737" s="5" t="n"/>
      <c r="B737" s="5" t="n"/>
      <c r="C737" s="5" t="n"/>
      <c r="D737" s="5" t="n"/>
      <c r="E737" s="5" t="n"/>
      <c r="F737" s="18" t="n"/>
      <c r="G737" s="18" t="n"/>
      <c r="H737" s="18" t="n"/>
      <c r="I737" s="5" t="n"/>
      <c r="J737" s="24">
        <f>IF($A737="","",$A737&amp;IF($B737="","0010",$B737))</f>
        <v/>
      </c>
    </row>
    <row r="738">
      <c r="A738" s="5" t="n"/>
      <c r="B738" s="5" t="n"/>
      <c r="C738" s="5" t="n"/>
      <c r="D738" s="5" t="n"/>
      <c r="E738" s="5" t="n"/>
      <c r="F738" s="18" t="n"/>
      <c r="G738" s="18" t="n"/>
      <c r="H738" s="18" t="n"/>
      <c r="I738" s="5" t="n"/>
      <c r="J738" s="24">
        <f>IF($A738="","",$A738&amp;IF($B738="","0010",$B738))</f>
        <v/>
      </c>
    </row>
    <row r="739">
      <c r="A739" s="5" t="n"/>
      <c r="B739" s="5" t="n"/>
      <c r="C739" s="5" t="n"/>
      <c r="D739" s="5" t="n"/>
      <c r="E739" s="5" t="n"/>
      <c r="F739" s="18" t="n"/>
      <c r="G739" s="18" t="n"/>
      <c r="H739" s="18" t="n"/>
      <c r="I739" s="5" t="n"/>
      <c r="J739" s="24">
        <f>IF($A739="","",$A739&amp;IF($B739="","0010",$B739))</f>
        <v/>
      </c>
    </row>
    <row r="740">
      <c r="A740" s="5" t="n"/>
      <c r="B740" s="5" t="n"/>
      <c r="C740" s="5" t="n"/>
      <c r="D740" s="5" t="n"/>
      <c r="E740" s="5" t="n"/>
      <c r="F740" s="18" t="n"/>
      <c r="G740" s="18" t="n"/>
      <c r="H740" s="18" t="n"/>
      <c r="I740" s="5" t="n"/>
      <c r="J740" s="24">
        <f>IF($A740="","",$A740&amp;IF($B740="","0010",$B740))</f>
        <v/>
      </c>
    </row>
    <row r="741">
      <c r="A741" s="5" t="n"/>
      <c r="B741" s="5" t="n"/>
      <c r="C741" s="5" t="n"/>
      <c r="D741" s="5" t="n"/>
      <c r="E741" s="5" t="n"/>
      <c r="F741" s="18" t="n"/>
      <c r="G741" s="18" t="n"/>
      <c r="H741" s="18" t="n"/>
      <c r="I741" s="5" t="n"/>
      <c r="J741" s="24">
        <f>IF($A741="","",$A741&amp;IF($B741="","0010",$B741))</f>
        <v/>
      </c>
    </row>
    <row r="742">
      <c r="A742" s="5" t="n"/>
      <c r="B742" s="5" t="n"/>
      <c r="C742" s="5" t="n"/>
      <c r="D742" s="5" t="n"/>
      <c r="E742" s="5" t="n"/>
      <c r="F742" s="18" t="n"/>
      <c r="G742" s="18" t="n"/>
      <c r="H742" s="18" t="n"/>
      <c r="I742" s="5" t="n"/>
      <c r="J742" s="24">
        <f>IF($A742="","",$A742&amp;IF($B742="","0010",$B742))</f>
        <v/>
      </c>
    </row>
    <row r="743">
      <c r="A743" s="5" t="n"/>
      <c r="B743" s="5" t="n"/>
      <c r="C743" s="5" t="n"/>
      <c r="D743" s="5" t="n"/>
      <c r="E743" s="5" t="n"/>
      <c r="F743" s="18" t="n"/>
      <c r="G743" s="18" t="n"/>
      <c r="H743" s="18" t="n"/>
      <c r="I743" s="5" t="n"/>
      <c r="J743" s="24">
        <f>IF($A743="","",$A743&amp;IF($B743="","0010",$B743))</f>
        <v/>
      </c>
    </row>
    <row r="744">
      <c r="A744" s="5" t="n"/>
      <c r="B744" s="5" t="n"/>
      <c r="C744" s="5" t="n"/>
      <c r="D744" s="5" t="n"/>
      <c r="E744" s="5" t="n"/>
      <c r="F744" s="18" t="n"/>
      <c r="G744" s="18" t="n"/>
      <c r="H744" s="18" t="n"/>
      <c r="I744" s="5" t="n"/>
      <c r="J744" s="24">
        <f>IF($A744="","",$A744&amp;IF($B744="","0010",$B744))</f>
        <v/>
      </c>
    </row>
    <row r="745">
      <c r="A745" s="5" t="n"/>
      <c r="B745" s="5" t="n"/>
      <c r="C745" s="5" t="n"/>
      <c r="D745" s="5" t="n"/>
      <c r="E745" s="5" t="n"/>
      <c r="F745" s="18" t="n"/>
      <c r="G745" s="18" t="n"/>
      <c r="H745" s="18" t="n"/>
      <c r="I745" s="5" t="n"/>
      <c r="J745" s="24">
        <f>IF($A745="","",$A745&amp;IF($B745="","0010",$B745))</f>
        <v/>
      </c>
    </row>
    <row r="746">
      <c r="A746" s="5" t="n"/>
      <c r="B746" s="5" t="n"/>
      <c r="C746" s="5" t="n"/>
      <c r="D746" s="5" t="n"/>
      <c r="E746" s="5" t="n"/>
      <c r="F746" s="18" t="n"/>
      <c r="G746" s="18" t="n"/>
      <c r="H746" s="18" t="n"/>
      <c r="I746" s="5" t="n"/>
      <c r="J746" s="24">
        <f>IF($A746="","",$A746&amp;IF($B746="","0010",$B746))</f>
        <v/>
      </c>
    </row>
    <row r="747">
      <c r="A747" s="5" t="n"/>
      <c r="B747" s="5" t="n"/>
      <c r="C747" s="5" t="n"/>
      <c r="D747" s="5" t="n"/>
      <c r="E747" s="5" t="n"/>
      <c r="F747" s="18" t="n"/>
      <c r="G747" s="18" t="n"/>
      <c r="H747" s="18" t="n"/>
      <c r="I747" s="5" t="n"/>
      <c r="J747" s="24">
        <f>IF($A747="","",$A747&amp;IF($B747="","0010",$B747))</f>
        <v/>
      </c>
    </row>
    <row r="748">
      <c r="A748" s="5" t="n"/>
      <c r="B748" s="5" t="n"/>
      <c r="C748" s="5" t="n"/>
      <c r="D748" s="5" t="n"/>
      <c r="E748" s="5" t="n"/>
      <c r="F748" s="18" t="n"/>
      <c r="G748" s="18" t="n"/>
      <c r="H748" s="18" t="n"/>
      <c r="I748" s="5" t="n"/>
      <c r="J748" s="24">
        <f>IF($A748="","",$A748&amp;IF($B748="","0010",$B748))</f>
        <v/>
      </c>
    </row>
    <row r="749">
      <c r="A749" s="5" t="n"/>
      <c r="B749" s="5" t="n"/>
      <c r="C749" s="5" t="n"/>
      <c r="D749" s="5" t="n"/>
      <c r="E749" s="5" t="n"/>
      <c r="F749" s="18" t="n"/>
      <c r="G749" s="18" t="n"/>
      <c r="H749" s="18" t="n"/>
      <c r="I749" s="5" t="n"/>
      <c r="J749" s="24">
        <f>IF($A749="","",$A749&amp;IF($B749="","0010",$B749))</f>
        <v/>
      </c>
    </row>
    <row r="750">
      <c r="A750" s="5" t="n"/>
      <c r="B750" s="5" t="n"/>
      <c r="C750" s="5" t="n"/>
      <c r="D750" s="5" t="n"/>
      <c r="E750" s="5" t="n"/>
      <c r="F750" s="18" t="n"/>
      <c r="G750" s="18" t="n"/>
      <c r="H750" s="18" t="n"/>
      <c r="I750" s="5" t="n"/>
      <c r="J750" s="24">
        <f>IF($A750="","",$A750&amp;IF($B750="","0010",$B750))</f>
        <v/>
      </c>
    </row>
    <row r="751">
      <c r="A751" s="5" t="n"/>
      <c r="B751" s="5" t="n"/>
      <c r="C751" s="5" t="n"/>
      <c r="D751" s="5" t="n"/>
      <c r="E751" s="5" t="n"/>
      <c r="F751" s="18" t="n"/>
      <c r="G751" s="18" t="n"/>
      <c r="H751" s="18" t="n"/>
      <c r="I751" s="5" t="n"/>
      <c r="J751" s="24">
        <f>IF($A751="","",$A751&amp;IF($B751="","0010",$B751))</f>
        <v/>
      </c>
    </row>
    <row r="752">
      <c r="A752" s="5" t="n"/>
      <c r="B752" s="5" t="n"/>
      <c r="C752" s="5" t="n"/>
      <c r="D752" s="5" t="n"/>
      <c r="E752" s="5" t="n"/>
      <c r="F752" s="18" t="n"/>
      <c r="G752" s="18" t="n"/>
      <c r="H752" s="18" t="n"/>
      <c r="I752" s="5" t="n"/>
      <c r="J752" s="24">
        <f>IF($A752="","",$A752&amp;IF($B752="","0010",$B752))</f>
        <v/>
      </c>
    </row>
    <row r="753">
      <c r="A753" s="5" t="n"/>
      <c r="B753" s="5" t="n"/>
      <c r="C753" s="5" t="n"/>
      <c r="D753" s="5" t="n"/>
      <c r="E753" s="5" t="n"/>
      <c r="F753" s="18" t="n"/>
      <c r="G753" s="18" t="n"/>
      <c r="H753" s="18" t="n"/>
      <c r="I753" s="5" t="n"/>
      <c r="J753" s="24">
        <f>IF($A753="","",$A753&amp;IF($B753="","0010",$B753))</f>
        <v/>
      </c>
    </row>
    <row r="754">
      <c r="A754" s="5" t="n"/>
      <c r="B754" s="5" t="n"/>
      <c r="C754" s="5" t="n"/>
      <c r="D754" s="5" t="n"/>
      <c r="E754" s="5" t="n"/>
      <c r="F754" s="18" t="n"/>
      <c r="G754" s="18" t="n"/>
      <c r="H754" s="18" t="n"/>
      <c r="I754" s="5" t="n"/>
      <c r="J754" s="24">
        <f>IF($A754="","",$A754&amp;IF($B754="","0010",$B754))</f>
        <v/>
      </c>
    </row>
    <row r="755">
      <c r="A755" s="5" t="n"/>
      <c r="B755" s="5" t="n"/>
      <c r="C755" s="5" t="n"/>
      <c r="D755" s="5" t="n"/>
      <c r="E755" s="5" t="n"/>
      <c r="F755" s="18" t="n"/>
      <c r="G755" s="18" t="n"/>
      <c r="H755" s="18" t="n"/>
      <c r="I755" s="5" t="n"/>
      <c r="J755" s="24">
        <f>IF($A755="","",$A755&amp;IF($B755="","0010",$B755))</f>
        <v/>
      </c>
    </row>
    <row r="756">
      <c r="A756" s="5" t="n"/>
      <c r="B756" s="5" t="n"/>
      <c r="C756" s="5" t="n"/>
      <c r="D756" s="5" t="n"/>
      <c r="E756" s="5" t="n"/>
      <c r="F756" s="18" t="n"/>
      <c r="G756" s="18" t="n"/>
      <c r="H756" s="18" t="n"/>
      <c r="I756" s="5" t="n"/>
      <c r="J756" s="24">
        <f>IF($A756="","",$A756&amp;IF($B756="","0010",$B756))</f>
        <v/>
      </c>
    </row>
    <row r="757">
      <c r="A757" s="5" t="n"/>
      <c r="B757" s="5" t="n"/>
      <c r="C757" s="5" t="n"/>
      <c r="D757" s="5" t="n"/>
      <c r="E757" s="5" t="n"/>
      <c r="F757" s="18" t="n"/>
      <c r="G757" s="18" t="n"/>
      <c r="H757" s="18" t="n"/>
      <c r="I757" s="5" t="n"/>
      <c r="J757" s="24">
        <f>IF($A757="","",$A757&amp;IF($B757="","0010",$B757))</f>
        <v/>
      </c>
    </row>
    <row r="758">
      <c r="A758" s="5" t="n"/>
      <c r="B758" s="5" t="n"/>
      <c r="C758" s="5" t="n"/>
      <c r="D758" s="5" t="n"/>
      <c r="E758" s="5" t="n"/>
      <c r="F758" s="18" t="n"/>
      <c r="G758" s="18" t="n"/>
      <c r="H758" s="18" t="n"/>
      <c r="I758" s="5" t="n"/>
      <c r="J758" s="24">
        <f>IF($A758="","",$A758&amp;IF($B758="","0010",$B758))</f>
        <v/>
      </c>
    </row>
    <row r="759">
      <c r="A759" s="5" t="n"/>
      <c r="B759" s="5" t="n"/>
      <c r="C759" s="5" t="n"/>
      <c r="D759" s="5" t="n"/>
      <c r="E759" s="5" t="n"/>
      <c r="F759" s="18" t="n"/>
      <c r="G759" s="18" t="n"/>
      <c r="H759" s="18" t="n"/>
      <c r="I759" s="5" t="n"/>
      <c r="J759" s="24">
        <f>IF($A759="","",$A759&amp;IF($B759="","0010",$B759))</f>
        <v/>
      </c>
    </row>
    <row r="760">
      <c r="A760" s="5" t="n"/>
      <c r="B760" s="5" t="n"/>
      <c r="C760" s="5" t="n"/>
      <c r="D760" s="5" t="n"/>
      <c r="E760" s="5" t="n"/>
      <c r="F760" s="18" t="n"/>
      <c r="G760" s="18" t="n"/>
      <c r="H760" s="18" t="n"/>
      <c r="I760" s="5" t="n"/>
      <c r="J760" s="24">
        <f>IF($A760="","",$A760&amp;IF($B760="","0010",$B760))</f>
        <v/>
      </c>
    </row>
    <row r="761">
      <c r="A761" s="5" t="n"/>
      <c r="B761" s="5" t="n"/>
      <c r="C761" s="5" t="n"/>
      <c r="D761" s="5" t="n"/>
      <c r="E761" s="5" t="n"/>
      <c r="F761" s="18" t="n"/>
      <c r="G761" s="18" t="n"/>
      <c r="H761" s="18" t="n"/>
      <c r="I761" s="5" t="n"/>
      <c r="J761" s="24">
        <f>IF($A761="","",$A761&amp;IF($B761="","0010",$B761))</f>
        <v/>
      </c>
    </row>
    <row r="762">
      <c r="A762" s="5" t="n"/>
      <c r="B762" s="5" t="n"/>
      <c r="C762" s="5" t="n"/>
      <c r="D762" s="5" t="n"/>
      <c r="E762" s="5" t="n"/>
      <c r="F762" s="18" t="n"/>
      <c r="G762" s="18" t="n"/>
      <c r="H762" s="18" t="n"/>
      <c r="I762" s="5" t="n"/>
      <c r="J762" s="24">
        <f>IF($A762="","",$A762&amp;IF($B762="","0010",$B762))</f>
        <v/>
      </c>
    </row>
    <row r="763">
      <c r="A763" s="5" t="n"/>
      <c r="B763" s="5" t="n"/>
      <c r="C763" s="5" t="n"/>
      <c r="D763" s="5" t="n"/>
      <c r="E763" s="5" t="n"/>
      <c r="F763" s="18" t="n"/>
      <c r="G763" s="18" t="n"/>
      <c r="H763" s="18" t="n"/>
      <c r="I763" s="5" t="n"/>
      <c r="J763" s="24">
        <f>IF($A763="","",$A763&amp;IF($B763="","0010",$B763))</f>
        <v/>
      </c>
    </row>
    <row r="764">
      <c r="A764" s="5" t="n"/>
      <c r="B764" s="5" t="n"/>
      <c r="C764" s="5" t="n"/>
      <c r="D764" s="5" t="n"/>
      <c r="E764" s="5" t="n"/>
      <c r="F764" s="18" t="n"/>
      <c r="G764" s="18" t="n"/>
      <c r="H764" s="18" t="n"/>
      <c r="I764" s="5" t="n"/>
      <c r="J764" s="24">
        <f>IF($A764="","",$A764&amp;IF($B764="","0010",$B764))</f>
        <v/>
      </c>
    </row>
    <row r="765">
      <c r="A765" s="5" t="n"/>
      <c r="B765" s="5" t="n"/>
      <c r="C765" s="5" t="n"/>
      <c r="D765" s="5" t="n"/>
      <c r="E765" s="5" t="n"/>
      <c r="F765" s="18" t="n"/>
      <c r="G765" s="18" t="n"/>
      <c r="H765" s="18" t="n"/>
      <c r="I765" s="5" t="n"/>
      <c r="J765" s="24">
        <f>IF($A765="","",$A765&amp;IF($B765="","0010",$B765))</f>
        <v/>
      </c>
    </row>
    <row r="766">
      <c r="A766" s="5" t="n"/>
      <c r="B766" s="5" t="n"/>
      <c r="C766" s="5" t="n"/>
      <c r="D766" s="5" t="n"/>
      <c r="E766" s="5" t="n"/>
      <c r="F766" s="18" t="n"/>
      <c r="G766" s="18" t="n"/>
      <c r="H766" s="18" t="n"/>
      <c r="I766" s="5" t="n"/>
      <c r="J766" s="24">
        <f>IF($A766="","",$A766&amp;IF($B766="","0010",$B766))</f>
        <v/>
      </c>
    </row>
    <row r="767">
      <c r="A767" s="5" t="n"/>
      <c r="B767" s="5" t="n"/>
      <c r="C767" s="5" t="n"/>
      <c r="D767" s="5" t="n"/>
      <c r="E767" s="5" t="n"/>
      <c r="F767" s="18" t="n"/>
      <c r="G767" s="18" t="n"/>
      <c r="H767" s="18" t="n"/>
      <c r="I767" s="5" t="n"/>
      <c r="J767" s="24">
        <f>IF($A767="","",$A767&amp;IF($B767="","0010",$B767))</f>
        <v/>
      </c>
    </row>
    <row r="768">
      <c r="A768" s="5" t="n"/>
      <c r="B768" s="5" t="n"/>
      <c r="C768" s="5" t="n"/>
      <c r="D768" s="5" t="n"/>
      <c r="E768" s="5" t="n"/>
      <c r="F768" s="18" t="n"/>
      <c r="G768" s="18" t="n"/>
      <c r="H768" s="18" t="n"/>
      <c r="I768" s="5" t="n"/>
      <c r="J768" s="24">
        <f>IF($A768="","",$A768&amp;IF($B768="","0010",$B768))</f>
        <v/>
      </c>
    </row>
    <row r="769">
      <c r="A769" s="5" t="n"/>
      <c r="B769" s="5" t="n"/>
      <c r="C769" s="5" t="n"/>
      <c r="D769" s="5" t="n"/>
      <c r="E769" s="5" t="n"/>
      <c r="F769" s="18" t="n"/>
      <c r="G769" s="18" t="n"/>
      <c r="H769" s="18" t="n"/>
      <c r="I769" s="5" t="n"/>
      <c r="J769" s="24">
        <f>IF($A769="","",$A769&amp;IF($B769="","0010",$B769))</f>
        <v/>
      </c>
    </row>
    <row r="770">
      <c r="A770" s="5" t="n"/>
      <c r="B770" s="5" t="n"/>
      <c r="C770" s="5" t="n"/>
      <c r="D770" s="5" t="n"/>
      <c r="E770" s="5" t="n"/>
      <c r="F770" s="18" t="n"/>
      <c r="G770" s="18" t="n"/>
      <c r="H770" s="18" t="n"/>
      <c r="I770" s="5" t="n"/>
      <c r="J770" s="24">
        <f>IF($A770="","",$A770&amp;IF($B770="","0010",$B770))</f>
        <v/>
      </c>
    </row>
    <row r="771">
      <c r="A771" s="5" t="n"/>
      <c r="B771" s="5" t="n"/>
      <c r="C771" s="5" t="n"/>
      <c r="D771" s="5" t="n"/>
      <c r="E771" s="5" t="n"/>
      <c r="F771" s="18" t="n"/>
      <c r="G771" s="18" t="n"/>
      <c r="H771" s="18" t="n"/>
      <c r="I771" s="5" t="n"/>
      <c r="J771" s="24">
        <f>IF($A771="","",$A771&amp;IF($B771="","0010",$B771))</f>
        <v/>
      </c>
    </row>
    <row r="772">
      <c r="A772" s="5" t="n"/>
      <c r="B772" s="5" t="n"/>
      <c r="C772" s="5" t="n"/>
      <c r="D772" s="5" t="n"/>
      <c r="E772" s="5" t="n"/>
      <c r="F772" s="18" t="n"/>
      <c r="G772" s="18" t="n"/>
      <c r="H772" s="18" t="n"/>
      <c r="I772" s="5" t="n"/>
      <c r="J772" s="24">
        <f>IF($A772="","",$A772&amp;IF($B772="","0010",$B772))</f>
        <v/>
      </c>
    </row>
    <row r="773">
      <c r="A773" s="5" t="n"/>
      <c r="B773" s="5" t="n"/>
      <c r="C773" s="5" t="n"/>
      <c r="D773" s="5" t="n"/>
      <c r="E773" s="5" t="n"/>
      <c r="F773" s="18" t="n"/>
      <c r="G773" s="18" t="n"/>
      <c r="H773" s="18" t="n"/>
      <c r="I773" s="5" t="n"/>
      <c r="J773" s="24">
        <f>IF($A773="","",$A773&amp;IF($B773="","0010",$B773))</f>
        <v/>
      </c>
    </row>
    <row r="774">
      <c r="A774" s="5" t="n"/>
      <c r="B774" s="5" t="n"/>
      <c r="C774" s="5" t="n"/>
      <c r="D774" s="5" t="n"/>
      <c r="E774" s="5" t="n"/>
      <c r="F774" s="18" t="n"/>
      <c r="G774" s="18" t="n"/>
      <c r="H774" s="18" t="n"/>
      <c r="I774" s="5" t="n"/>
      <c r="J774" s="24">
        <f>IF($A774="","",$A774&amp;IF($B774="","0010",$B774))</f>
        <v/>
      </c>
    </row>
    <row r="775">
      <c r="A775" s="5" t="n"/>
      <c r="B775" s="5" t="n"/>
      <c r="C775" s="5" t="n"/>
      <c r="D775" s="5" t="n"/>
      <c r="E775" s="5" t="n"/>
      <c r="F775" s="18" t="n"/>
      <c r="G775" s="18" t="n"/>
      <c r="H775" s="18" t="n"/>
      <c r="I775" s="5" t="n"/>
      <c r="J775" s="24">
        <f>IF($A775="","",$A775&amp;IF($B775="","0010",$B775))</f>
        <v/>
      </c>
    </row>
    <row r="776">
      <c r="A776" s="5" t="n"/>
      <c r="B776" s="5" t="n"/>
      <c r="C776" s="5" t="n"/>
      <c r="D776" s="5" t="n"/>
      <c r="E776" s="5" t="n"/>
      <c r="F776" s="18" t="n"/>
      <c r="G776" s="18" t="n"/>
      <c r="H776" s="18" t="n"/>
      <c r="I776" s="5" t="n"/>
      <c r="J776" s="24">
        <f>IF($A776="","",$A776&amp;IF($B776="","0010",$B776))</f>
        <v/>
      </c>
    </row>
    <row r="777">
      <c r="A777" s="5" t="n"/>
      <c r="B777" s="5" t="n"/>
      <c r="C777" s="5" t="n"/>
      <c r="D777" s="5" t="n"/>
      <c r="E777" s="5" t="n"/>
      <c r="F777" s="18" t="n"/>
      <c r="G777" s="18" t="n"/>
      <c r="H777" s="18" t="n"/>
      <c r="I777" s="5" t="n"/>
      <c r="J777" s="24">
        <f>IF($A777="","",$A777&amp;IF($B777="","0010",$B777))</f>
        <v/>
      </c>
    </row>
    <row r="778">
      <c r="A778" s="5" t="n"/>
      <c r="B778" s="5" t="n"/>
      <c r="C778" s="5" t="n"/>
      <c r="D778" s="5" t="n"/>
      <c r="E778" s="5" t="n"/>
      <c r="F778" s="18" t="n"/>
      <c r="G778" s="18" t="n"/>
      <c r="H778" s="18" t="n"/>
      <c r="I778" s="5" t="n"/>
      <c r="J778" s="24">
        <f>IF($A778="","",$A778&amp;IF($B778="","0010",$B778))</f>
        <v/>
      </c>
    </row>
    <row r="779">
      <c r="A779" s="5" t="n"/>
      <c r="B779" s="5" t="n"/>
      <c r="C779" s="5" t="n"/>
      <c r="D779" s="5" t="n"/>
      <c r="E779" s="5" t="n"/>
      <c r="F779" s="18" t="n"/>
      <c r="G779" s="18" t="n"/>
      <c r="H779" s="18" t="n"/>
      <c r="I779" s="5" t="n"/>
      <c r="J779" s="24">
        <f>IF($A779="","",$A779&amp;IF($B779="","0010",$B779))</f>
        <v/>
      </c>
    </row>
    <row r="780">
      <c r="A780" s="5" t="n"/>
      <c r="B780" s="5" t="n"/>
      <c r="C780" s="5" t="n"/>
      <c r="D780" s="5" t="n"/>
      <c r="E780" s="5" t="n"/>
      <c r="F780" s="18" t="n"/>
      <c r="G780" s="18" t="n"/>
      <c r="H780" s="18" t="n"/>
      <c r="I780" s="5" t="n"/>
      <c r="J780" s="24">
        <f>IF($A780="","",$A780&amp;IF($B780="","0010",$B780))</f>
        <v/>
      </c>
    </row>
    <row r="781">
      <c r="A781" s="5" t="n"/>
      <c r="B781" s="5" t="n"/>
      <c r="C781" s="5" t="n"/>
      <c r="D781" s="5" t="n"/>
      <c r="E781" s="5" t="n"/>
      <c r="F781" s="18" t="n"/>
      <c r="G781" s="18" t="n"/>
      <c r="H781" s="18" t="n"/>
      <c r="I781" s="5" t="n"/>
      <c r="J781" s="24">
        <f>IF($A781="","",$A781&amp;IF($B781="","0010",$B781))</f>
        <v/>
      </c>
    </row>
    <row r="782">
      <c r="A782" s="5" t="n"/>
      <c r="B782" s="5" t="n"/>
      <c r="C782" s="5" t="n"/>
      <c r="D782" s="5" t="n"/>
      <c r="E782" s="5" t="n"/>
      <c r="F782" s="18" t="n"/>
      <c r="G782" s="18" t="n"/>
      <c r="H782" s="18" t="n"/>
      <c r="I782" s="5" t="n"/>
      <c r="J782" s="24">
        <f>IF($A782="","",$A782&amp;IF($B782="","0010",$B782))</f>
        <v/>
      </c>
    </row>
    <row r="783">
      <c r="A783" s="5" t="n"/>
      <c r="B783" s="5" t="n"/>
      <c r="C783" s="5" t="n"/>
      <c r="D783" s="5" t="n"/>
      <c r="E783" s="5" t="n"/>
      <c r="F783" s="18" t="n"/>
      <c r="G783" s="18" t="n"/>
      <c r="H783" s="18" t="n"/>
      <c r="I783" s="5" t="n"/>
      <c r="J783" s="24">
        <f>IF($A783="","",$A783&amp;IF($B783="","0010",$B783))</f>
        <v/>
      </c>
    </row>
    <row r="784">
      <c r="A784" s="5" t="n"/>
      <c r="B784" s="5" t="n"/>
      <c r="C784" s="5" t="n"/>
      <c r="D784" s="5" t="n"/>
      <c r="E784" s="5" t="n"/>
      <c r="F784" s="18" t="n"/>
      <c r="G784" s="18" t="n"/>
      <c r="H784" s="18" t="n"/>
      <c r="I784" s="5" t="n"/>
      <c r="J784" s="24">
        <f>IF($A784="","",$A784&amp;IF($B784="","0010",$B784))</f>
        <v/>
      </c>
    </row>
    <row r="785">
      <c r="A785" s="5" t="n"/>
      <c r="B785" s="5" t="n"/>
      <c r="C785" s="5" t="n"/>
      <c r="D785" s="5" t="n"/>
      <c r="E785" s="5" t="n"/>
      <c r="F785" s="18" t="n"/>
      <c r="G785" s="18" t="n"/>
      <c r="H785" s="18" t="n"/>
      <c r="I785" s="5" t="n"/>
      <c r="J785" s="24">
        <f>IF($A785="","",$A785&amp;IF($B785="","0010",$B785))</f>
        <v/>
      </c>
    </row>
    <row r="786">
      <c r="A786" s="5" t="n"/>
      <c r="B786" s="5" t="n"/>
      <c r="C786" s="5" t="n"/>
      <c r="D786" s="5" t="n"/>
      <c r="E786" s="5" t="n"/>
      <c r="F786" s="18" t="n"/>
      <c r="G786" s="18" t="n"/>
      <c r="H786" s="18" t="n"/>
      <c r="I786" s="5" t="n"/>
      <c r="J786" s="24">
        <f>IF($A786="","",$A786&amp;IF($B786="","0010",$B786))</f>
        <v/>
      </c>
    </row>
    <row r="787">
      <c r="A787" s="5" t="n"/>
      <c r="B787" s="5" t="n"/>
      <c r="C787" s="5" t="n"/>
      <c r="D787" s="5" t="n"/>
      <c r="E787" s="5" t="n"/>
      <c r="F787" s="18" t="n"/>
      <c r="G787" s="18" t="n"/>
      <c r="H787" s="18" t="n"/>
      <c r="I787" s="5" t="n"/>
      <c r="J787" s="24">
        <f>IF($A787="","",$A787&amp;IF($B787="","0010",$B787))</f>
        <v/>
      </c>
    </row>
    <row r="788">
      <c r="A788" s="5" t="n"/>
      <c r="B788" s="5" t="n"/>
      <c r="C788" s="5" t="n"/>
      <c r="D788" s="5" t="n"/>
      <c r="E788" s="5" t="n"/>
      <c r="F788" s="18" t="n"/>
      <c r="G788" s="18" t="n"/>
      <c r="H788" s="18" t="n"/>
      <c r="I788" s="5" t="n"/>
      <c r="J788" s="24">
        <f>IF($A788="","",$A788&amp;IF($B788="","0010",$B788))</f>
        <v/>
      </c>
    </row>
    <row r="789">
      <c r="A789" s="5" t="n"/>
      <c r="B789" s="5" t="n"/>
      <c r="C789" s="5" t="n"/>
      <c r="D789" s="5" t="n"/>
      <c r="E789" s="5" t="n"/>
      <c r="F789" s="18" t="n"/>
      <c r="G789" s="18" t="n"/>
      <c r="H789" s="18" t="n"/>
      <c r="I789" s="5" t="n"/>
      <c r="J789" s="24">
        <f>IF($A789="","",$A789&amp;IF($B789="","0010",$B789))</f>
        <v/>
      </c>
    </row>
    <row r="790">
      <c r="A790" s="5" t="n"/>
      <c r="B790" s="5" t="n"/>
      <c r="C790" s="5" t="n"/>
      <c r="D790" s="5" t="n"/>
      <c r="E790" s="5" t="n"/>
      <c r="F790" s="18" t="n"/>
      <c r="G790" s="18" t="n"/>
      <c r="H790" s="18" t="n"/>
      <c r="I790" s="5" t="n"/>
      <c r="J790" s="24">
        <f>IF($A790="","",$A790&amp;IF($B790="","0010",$B790))</f>
        <v/>
      </c>
    </row>
    <row r="791">
      <c r="A791" s="5" t="n"/>
      <c r="B791" s="5" t="n"/>
      <c r="C791" s="5" t="n"/>
      <c r="D791" s="5" t="n"/>
      <c r="E791" s="5" t="n"/>
      <c r="F791" s="18" t="n"/>
      <c r="G791" s="18" t="n"/>
      <c r="H791" s="18" t="n"/>
      <c r="I791" s="5" t="n"/>
      <c r="J791" s="24">
        <f>IF($A791="","",$A791&amp;IF($B791="","0010",$B791))</f>
        <v/>
      </c>
    </row>
    <row r="792">
      <c r="A792" s="5" t="n"/>
      <c r="B792" s="5" t="n"/>
      <c r="C792" s="5" t="n"/>
      <c r="D792" s="5" t="n"/>
      <c r="E792" s="5" t="n"/>
      <c r="F792" s="18" t="n"/>
      <c r="G792" s="18" t="n"/>
      <c r="H792" s="18" t="n"/>
      <c r="I792" s="5" t="n"/>
      <c r="J792" s="24">
        <f>IF($A792="","",$A792&amp;IF($B792="","0010",$B792))</f>
        <v/>
      </c>
    </row>
    <row r="793">
      <c r="A793" s="5" t="n"/>
      <c r="B793" s="5" t="n"/>
      <c r="C793" s="5" t="n"/>
      <c r="D793" s="5" t="n"/>
      <c r="E793" s="5" t="n"/>
      <c r="F793" s="18" t="n"/>
      <c r="G793" s="18" t="n"/>
      <c r="H793" s="18" t="n"/>
      <c r="I793" s="5" t="n"/>
      <c r="J793" s="24">
        <f>IF($A793="","",$A793&amp;IF($B793="","0010",$B793))</f>
        <v/>
      </c>
    </row>
    <row r="794">
      <c r="A794" s="5" t="n"/>
      <c r="B794" s="5" t="n"/>
      <c r="C794" s="5" t="n"/>
      <c r="D794" s="5" t="n"/>
      <c r="E794" s="5" t="n"/>
      <c r="F794" s="18" t="n"/>
      <c r="G794" s="18" t="n"/>
      <c r="H794" s="18" t="n"/>
      <c r="I794" s="5" t="n"/>
      <c r="J794" s="24">
        <f>IF($A794="","",$A794&amp;IF($B794="","0010",$B794))</f>
        <v/>
      </c>
    </row>
    <row r="795">
      <c r="A795" s="5" t="n"/>
      <c r="B795" s="5" t="n"/>
      <c r="C795" s="5" t="n"/>
      <c r="D795" s="5" t="n"/>
      <c r="E795" s="5" t="n"/>
      <c r="F795" s="18" t="n"/>
      <c r="G795" s="18" t="n"/>
      <c r="H795" s="18" t="n"/>
      <c r="I795" s="5" t="n"/>
      <c r="J795" s="24">
        <f>IF($A795="","",$A795&amp;IF($B795="","0010",$B795))</f>
        <v/>
      </c>
    </row>
    <row r="796">
      <c r="A796" s="5" t="n"/>
      <c r="B796" s="5" t="n"/>
      <c r="C796" s="5" t="n"/>
      <c r="D796" s="5" t="n"/>
      <c r="E796" s="5" t="n"/>
      <c r="F796" s="18" t="n"/>
      <c r="G796" s="18" t="n"/>
      <c r="H796" s="18" t="n"/>
      <c r="I796" s="5" t="n"/>
      <c r="J796" s="24">
        <f>IF($A796="","",$A796&amp;IF($B796="","0010",$B796))</f>
        <v/>
      </c>
    </row>
    <row r="797">
      <c r="A797" s="5" t="n"/>
      <c r="B797" s="5" t="n"/>
      <c r="C797" s="5" t="n"/>
      <c r="D797" s="5" t="n"/>
      <c r="E797" s="5" t="n"/>
      <c r="F797" s="18" t="n"/>
      <c r="G797" s="18" t="n"/>
      <c r="H797" s="18" t="n"/>
      <c r="I797" s="5" t="n"/>
      <c r="J797" s="24">
        <f>IF($A797="","",$A797&amp;IF($B797="","0010",$B797))</f>
        <v/>
      </c>
    </row>
    <row r="798">
      <c r="A798" s="5" t="n"/>
      <c r="B798" s="5" t="n"/>
      <c r="C798" s="5" t="n"/>
      <c r="D798" s="5" t="n"/>
      <c r="E798" s="5" t="n"/>
      <c r="F798" s="18" t="n"/>
      <c r="G798" s="18" t="n"/>
      <c r="H798" s="18" t="n"/>
      <c r="I798" s="5" t="n"/>
      <c r="J798" s="24">
        <f>IF($A798="","",$A798&amp;IF($B798="","0010",$B798))</f>
        <v/>
      </c>
    </row>
    <row r="799">
      <c r="A799" s="5" t="n"/>
      <c r="B799" s="5" t="n"/>
      <c r="C799" s="5" t="n"/>
      <c r="D799" s="5" t="n"/>
      <c r="E799" s="5" t="n"/>
      <c r="F799" s="18" t="n"/>
      <c r="G799" s="18" t="n"/>
      <c r="H799" s="18" t="n"/>
      <c r="I799" s="5" t="n"/>
      <c r="J799" s="24">
        <f>IF($A799="","",$A799&amp;IF($B799="","0010",$B799))</f>
        <v/>
      </c>
    </row>
    <row r="800">
      <c r="A800" s="5" t="n"/>
      <c r="B800" s="5" t="n"/>
      <c r="C800" s="5" t="n"/>
      <c r="D800" s="5" t="n"/>
      <c r="E800" s="5" t="n"/>
      <c r="F800" s="18" t="n"/>
      <c r="G800" s="18" t="n"/>
      <c r="H800" s="18" t="n"/>
      <c r="I800" s="5" t="n"/>
      <c r="J800" s="24">
        <f>IF($A800="","",$A800&amp;IF($B800="","0010",$B800))</f>
        <v/>
      </c>
    </row>
    <row r="801">
      <c r="A801" s="5" t="n"/>
      <c r="B801" s="5" t="n"/>
      <c r="C801" s="5" t="n"/>
      <c r="D801" s="5" t="n"/>
      <c r="E801" s="5" t="n"/>
      <c r="F801" s="18" t="n"/>
      <c r="G801" s="18" t="n"/>
      <c r="H801" s="18" t="n"/>
      <c r="I801" s="5" t="n"/>
      <c r="J801" s="24">
        <f>IF($A801="","",$A801&amp;IF($B801="","0010",$B801))</f>
        <v/>
      </c>
    </row>
    <row r="802">
      <c r="A802" s="5" t="n"/>
      <c r="B802" s="5" t="n"/>
      <c r="C802" s="5" t="n"/>
      <c r="D802" s="5" t="n"/>
      <c r="E802" s="5" t="n"/>
      <c r="F802" s="18" t="n"/>
      <c r="G802" s="18" t="n"/>
      <c r="H802" s="18" t="n"/>
      <c r="I802" s="5" t="n"/>
      <c r="J802" s="24">
        <f>IF($A802="","",$A802&amp;IF($B802="","0010",$B802))</f>
        <v/>
      </c>
    </row>
    <row r="803">
      <c r="A803" s="5" t="n"/>
      <c r="B803" s="5" t="n"/>
      <c r="C803" s="5" t="n"/>
      <c r="D803" s="5" t="n"/>
      <c r="E803" s="5" t="n"/>
      <c r="F803" s="18" t="n"/>
      <c r="G803" s="18" t="n"/>
      <c r="H803" s="18" t="n"/>
      <c r="I803" s="5" t="n"/>
      <c r="J803" s="24">
        <f>IF($A803="","",$A803&amp;IF($B803="","0010",$B803))</f>
        <v/>
      </c>
    </row>
    <row r="804">
      <c r="A804" s="5" t="n"/>
      <c r="B804" s="5" t="n"/>
      <c r="C804" s="5" t="n"/>
      <c r="D804" s="5" t="n"/>
      <c r="E804" s="5" t="n"/>
      <c r="F804" s="18" t="n"/>
      <c r="G804" s="18" t="n"/>
      <c r="H804" s="18" t="n"/>
      <c r="I804" s="5" t="n"/>
      <c r="J804" s="24">
        <f>IF($A804="","",$A804&amp;IF($B804="","0010",$B804))</f>
        <v/>
      </c>
    </row>
    <row r="805">
      <c r="A805" s="5" t="n"/>
      <c r="B805" s="5" t="n"/>
      <c r="C805" s="5" t="n"/>
      <c r="D805" s="5" t="n"/>
      <c r="E805" s="5" t="n"/>
      <c r="F805" s="18" t="n"/>
      <c r="G805" s="18" t="n"/>
      <c r="H805" s="18" t="n"/>
      <c r="I805" s="5" t="n"/>
      <c r="J805" s="24">
        <f>IF($A805="","",$A805&amp;IF($B805="","0010",$B805))</f>
        <v/>
      </c>
    </row>
    <row r="806">
      <c r="A806" s="5" t="n"/>
      <c r="B806" s="5" t="n"/>
      <c r="C806" s="5" t="n"/>
      <c r="D806" s="5" t="n"/>
      <c r="E806" s="5" t="n"/>
      <c r="F806" s="18" t="n"/>
      <c r="G806" s="18" t="n"/>
      <c r="H806" s="18" t="n"/>
      <c r="I806" s="5" t="n"/>
      <c r="J806" s="24">
        <f>IF($A806="","",$A806&amp;IF($B806="","0010",$B806))</f>
        <v/>
      </c>
    </row>
    <row r="807">
      <c r="A807" s="5" t="n"/>
      <c r="B807" s="5" t="n"/>
      <c r="C807" s="5" t="n"/>
      <c r="D807" s="5" t="n"/>
      <c r="E807" s="5" t="n"/>
      <c r="F807" s="18" t="n"/>
      <c r="G807" s="18" t="n"/>
      <c r="H807" s="18" t="n"/>
      <c r="I807" s="5" t="n"/>
      <c r="J807" s="24">
        <f>IF($A807="","",$A807&amp;IF($B807="","0010",$B807))</f>
        <v/>
      </c>
    </row>
    <row r="808">
      <c r="A808" s="5" t="n"/>
      <c r="B808" s="5" t="n"/>
      <c r="C808" s="5" t="n"/>
      <c r="D808" s="5" t="n"/>
      <c r="E808" s="5" t="n"/>
      <c r="F808" s="18" t="n"/>
      <c r="G808" s="18" t="n"/>
      <c r="H808" s="18" t="n"/>
      <c r="I808" s="5" t="n"/>
      <c r="J808" s="24">
        <f>IF($A808="","",$A808&amp;IF($B808="","0010",$B808))</f>
        <v/>
      </c>
    </row>
    <row r="809">
      <c r="A809" s="5" t="n"/>
      <c r="B809" s="5" t="n"/>
      <c r="C809" s="5" t="n"/>
      <c r="D809" s="5" t="n"/>
      <c r="E809" s="5" t="n"/>
      <c r="F809" s="18" t="n"/>
      <c r="G809" s="18" t="n"/>
      <c r="H809" s="18" t="n"/>
      <c r="I809" s="5" t="n"/>
      <c r="J809" s="24">
        <f>IF($A809="","",$A809&amp;IF($B809="","0010",$B809))</f>
        <v/>
      </c>
    </row>
    <row r="810">
      <c r="A810" s="5" t="n"/>
      <c r="B810" s="5" t="n"/>
      <c r="C810" s="5" t="n"/>
      <c r="D810" s="5" t="n"/>
      <c r="E810" s="5" t="n"/>
      <c r="F810" s="18" t="n"/>
      <c r="G810" s="18" t="n"/>
      <c r="H810" s="18" t="n"/>
      <c r="I810" s="5" t="n"/>
      <c r="J810" s="24">
        <f>IF($A810="","",$A810&amp;IF($B810="","0010",$B810))</f>
        <v/>
      </c>
    </row>
    <row r="811">
      <c r="A811" s="5" t="n"/>
      <c r="B811" s="5" t="n"/>
      <c r="C811" s="5" t="n"/>
      <c r="D811" s="5" t="n"/>
      <c r="E811" s="5" t="n"/>
      <c r="F811" s="18" t="n"/>
      <c r="G811" s="18" t="n"/>
      <c r="H811" s="18" t="n"/>
      <c r="I811" s="5" t="n"/>
      <c r="J811" s="24">
        <f>IF($A811="","",$A811&amp;IF($B811="","0010",$B811))</f>
        <v/>
      </c>
    </row>
    <row r="812">
      <c r="A812" s="5" t="n"/>
      <c r="B812" s="5" t="n"/>
      <c r="C812" s="5" t="n"/>
      <c r="D812" s="5" t="n"/>
      <c r="E812" s="5" t="n"/>
      <c r="F812" s="18" t="n"/>
      <c r="G812" s="18" t="n"/>
      <c r="H812" s="18" t="n"/>
      <c r="I812" s="5" t="n"/>
      <c r="J812" s="24">
        <f>IF($A812="","",$A812&amp;IF($B812="","0010",$B812))</f>
        <v/>
      </c>
    </row>
    <row r="813">
      <c r="A813" s="5" t="n"/>
      <c r="B813" s="5" t="n"/>
      <c r="C813" s="5" t="n"/>
      <c r="D813" s="5" t="n"/>
      <c r="E813" s="5" t="n"/>
      <c r="F813" s="18" t="n"/>
      <c r="G813" s="18" t="n"/>
      <c r="H813" s="18" t="n"/>
      <c r="I813" s="5" t="n"/>
      <c r="J813" s="24">
        <f>IF($A813="","",$A813&amp;IF($B813="","0010",$B813))</f>
        <v/>
      </c>
    </row>
    <row r="814">
      <c r="A814" s="5" t="n"/>
      <c r="B814" s="5" t="n"/>
      <c r="C814" s="5" t="n"/>
      <c r="D814" s="5" t="n"/>
      <c r="E814" s="5" t="n"/>
      <c r="F814" s="18" t="n"/>
      <c r="G814" s="18" t="n"/>
      <c r="H814" s="18" t="n"/>
      <c r="I814" s="5" t="n"/>
      <c r="J814" s="24">
        <f>IF($A814="","",$A814&amp;IF($B814="","0010",$B814))</f>
        <v/>
      </c>
    </row>
    <row r="815">
      <c r="A815" s="5" t="n"/>
      <c r="B815" s="5" t="n"/>
      <c r="C815" s="5" t="n"/>
      <c r="D815" s="5" t="n"/>
      <c r="E815" s="5" t="n"/>
      <c r="F815" s="18" t="n"/>
      <c r="G815" s="18" t="n"/>
      <c r="H815" s="18" t="n"/>
      <c r="I815" s="5" t="n"/>
      <c r="J815" s="24">
        <f>IF($A815="","",$A815&amp;IF($B815="","0010",$B815))</f>
        <v/>
      </c>
    </row>
    <row r="816">
      <c r="A816" s="5" t="n"/>
      <c r="B816" s="5" t="n"/>
      <c r="C816" s="5" t="n"/>
      <c r="D816" s="5" t="n"/>
      <c r="E816" s="5" t="n"/>
      <c r="F816" s="18" t="n"/>
      <c r="G816" s="18" t="n"/>
      <c r="H816" s="18" t="n"/>
      <c r="I816" s="5" t="n"/>
      <c r="J816" s="24">
        <f>IF($A816="","",$A816&amp;IF($B816="","0010",$B816))</f>
        <v/>
      </c>
    </row>
    <row r="817">
      <c r="A817" s="5" t="n"/>
      <c r="B817" s="5" t="n"/>
      <c r="C817" s="5" t="n"/>
      <c r="D817" s="5" t="n"/>
      <c r="E817" s="5" t="n"/>
      <c r="F817" s="18" t="n"/>
      <c r="G817" s="18" t="n"/>
      <c r="H817" s="18" t="n"/>
      <c r="I817" s="5" t="n"/>
      <c r="J817" s="24">
        <f>IF($A817="","",$A817&amp;IF($B817="","0010",$B817))</f>
        <v/>
      </c>
    </row>
    <row r="818">
      <c r="A818" s="5" t="n"/>
      <c r="B818" s="5" t="n"/>
      <c r="C818" s="5" t="n"/>
      <c r="D818" s="5" t="n"/>
      <c r="E818" s="5" t="n"/>
      <c r="F818" s="18" t="n"/>
      <c r="G818" s="18" t="n"/>
      <c r="H818" s="18" t="n"/>
      <c r="I818" s="5" t="n"/>
      <c r="J818" s="24">
        <f>IF($A818="","",$A818&amp;IF($B818="","0010",$B818))</f>
        <v/>
      </c>
    </row>
    <row r="819">
      <c r="A819" s="5" t="n"/>
      <c r="B819" s="5" t="n"/>
      <c r="C819" s="5" t="n"/>
      <c r="D819" s="5" t="n"/>
      <c r="E819" s="5" t="n"/>
      <c r="F819" s="18" t="n"/>
      <c r="G819" s="18" t="n"/>
      <c r="H819" s="18" t="n"/>
      <c r="I819" s="5" t="n"/>
      <c r="J819" s="24">
        <f>IF($A819="","",$A819&amp;IF($B819="","0010",$B819))</f>
        <v/>
      </c>
    </row>
    <row r="820">
      <c r="A820" s="5" t="n"/>
      <c r="B820" s="5" t="n"/>
      <c r="C820" s="5" t="n"/>
      <c r="D820" s="5" t="n"/>
      <c r="E820" s="5" t="n"/>
      <c r="F820" s="18" t="n"/>
      <c r="G820" s="18" t="n"/>
      <c r="H820" s="18" t="n"/>
      <c r="I820" s="5" t="n"/>
      <c r="J820" s="24">
        <f>IF($A820="","",$A820&amp;IF($B820="","0010",$B820))</f>
        <v/>
      </c>
    </row>
    <row r="821">
      <c r="A821" s="5" t="n"/>
      <c r="B821" s="5" t="n"/>
      <c r="C821" s="5" t="n"/>
      <c r="D821" s="5" t="n"/>
      <c r="E821" s="5" t="n"/>
      <c r="F821" s="18" t="n"/>
      <c r="G821" s="18" t="n"/>
      <c r="H821" s="18" t="n"/>
      <c r="I821" s="5" t="n"/>
      <c r="J821" s="24">
        <f>IF($A821="","",$A821&amp;IF($B821="","0010",$B821))</f>
        <v/>
      </c>
    </row>
    <row r="822">
      <c r="A822" s="5" t="n"/>
      <c r="B822" s="5" t="n"/>
      <c r="C822" s="5" t="n"/>
      <c r="D822" s="5" t="n"/>
      <c r="E822" s="5" t="n"/>
      <c r="F822" s="18" t="n"/>
      <c r="G822" s="18" t="n"/>
      <c r="H822" s="18" t="n"/>
      <c r="I822" s="5" t="n"/>
      <c r="J822" s="24">
        <f>IF($A822="","",$A822&amp;IF($B822="","0010",$B822))</f>
        <v/>
      </c>
    </row>
    <row r="823">
      <c r="A823" s="5" t="n"/>
      <c r="B823" s="5" t="n"/>
      <c r="C823" s="5" t="n"/>
      <c r="D823" s="5" t="n"/>
      <c r="E823" s="5" t="n"/>
      <c r="F823" s="18" t="n"/>
      <c r="G823" s="18" t="n"/>
      <c r="H823" s="18" t="n"/>
      <c r="I823" s="5" t="n"/>
      <c r="J823" s="24">
        <f>IF($A823="","",$A823&amp;IF($B823="","0010",$B823))</f>
        <v/>
      </c>
    </row>
    <row r="824">
      <c r="A824" s="5" t="n"/>
      <c r="B824" s="5" t="n"/>
      <c r="C824" s="5" t="n"/>
      <c r="D824" s="5" t="n"/>
      <c r="E824" s="5" t="n"/>
      <c r="F824" s="18" t="n"/>
      <c r="G824" s="18" t="n"/>
      <c r="H824" s="18" t="n"/>
      <c r="I824" s="5" t="n"/>
      <c r="J824" s="24">
        <f>IF($A824="","",$A824&amp;IF($B824="","0010",$B824))</f>
        <v/>
      </c>
    </row>
    <row r="825">
      <c r="A825" s="5" t="n"/>
      <c r="B825" s="5" t="n"/>
      <c r="C825" s="5" t="n"/>
      <c r="D825" s="5" t="n"/>
      <c r="E825" s="5" t="n"/>
      <c r="F825" s="18" t="n"/>
      <c r="G825" s="18" t="n"/>
      <c r="H825" s="18" t="n"/>
      <c r="I825" s="5" t="n"/>
      <c r="J825" s="24">
        <f>IF($A825="","",$A825&amp;IF($B825="","0010",$B825))</f>
        <v/>
      </c>
    </row>
    <row r="826">
      <c r="A826" s="5" t="n"/>
      <c r="B826" s="5" t="n"/>
      <c r="C826" s="5" t="n"/>
      <c r="D826" s="5" t="n"/>
      <c r="E826" s="5" t="n"/>
      <c r="F826" s="18" t="n"/>
      <c r="G826" s="18" t="n"/>
      <c r="H826" s="18" t="n"/>
      <c r="I826" s="5" t="n"/>
      <c r="J826" s="24">
        <f>IF($A826="","",$A826&amp;IF($B826="","0010",$B826))</f>
        <v/>
      </c>
    </row>
    <row r="827">
      <c r="A827" s="5" t="n"/>
      <c r="B827" s="5" t="n"/>
      <c r="C827" s="5" t="n"/>
      <c r="D827" s="5" t="n"/>
      <c r="E827" s="5" t="n"/>
      <c r="F827" s="18" t="n"/>
      <c r="G827" s="18" t="n"/>
      <c r="H827" s="18" t="n"/>
      <c r="I827" s="5" t="n"/>
      <c r="J827" s="24">
        <f>IF($A827="","",$A827&amp;IF($B827="","0010",$B827))</f>
        <v/>
      </c>
    </row>
    <row r="828">
      <c r="A828" s="5" t="n"/>
      <c r="B828" s="5" t="n"/>
      <c r="C828" s="5" t="n"/>
      <c r="D828" s="5" t="n"/>
      <c r="E828" s="5" t="n"/>
      <c r="F828" s="18" t="n"/>
      <c r="G828" s="18" t="n"/>
      <c r="H828" s="18" t="n"/>
      <c r="I828" s="5" t="n"/>
      <c r="J828" s="24">
        <f>IF($A828="","",$A828&amp;IF($B828="","0010",$B828))</f>
        <v/>
      </c>
    </row>
    <row r="829">
      <c r="A829" s="5" t="n"/>
      <c r="B829" s="5" t="n"/>
      <c r="C829" s="5" t="n"/>
      <c r="D829" s="5" t="n"/>
      <c r="E829" s="5" t="n"/>
      <c r="F829" s="18" t="n"/>
      <c r="G829" s="18" t="n"/>
      <c r="H829" s="18" t="n"/>
      <c r="I829" s="5" t="n"/>
      <c r="J829" s="24">
        <f>IF($A829="","",$A829&amp;IF($B829="","0010",$B829))</f>
        <v/>
      </c>
    </row>
    <row r="830">
      <c r="A830" s="5" t="n"/>
      <c r="B830" s="5" t="n"/>
      <c r="C830" s="5" t="n"/>
      <c r="D830" s="5" t="n"/>
      <c r="E830" s="5" t="n"/>
      <c r="F830" s="18" t="n"/>
      <c r="G830" s="18" t="n"/>
      <c r="H830" s="18" t="n"/>
      <c r="I830" s="5" t="n"/>
      <c r="J830" s="24">
        <f>IF($A830="","",$A830&amp;IF($B830="","0010",$B830))</f>
        <v/>
      </c>
    </row>
    <row r="831">
      <c r="A831" s="5" t="n"/>
      <c r="B831" s="5" t="n"/>
      <c r="C831" s="5" t="n"/>
      <c r="D831" s="5" t="n"/>
      <c r="E831" s="5" t="n"/>
      <c r="F831" s="18" t="n"/>
      <c r="G831" s="18" t="n"/>
      <c r="H831" s="18" t="n"/>
      <c r="I831" s="5" t="n"/>
      <c r="J831" s="24">
        <f>IF($A831="","",$A831&amp;IF($B831="","0010",$B831))</f>
        <v/>
      </c>
    </row>
    <row r="832">
      <c r="A832" s="5" t="n"/>
      <c r="B832" s="5" t="n"/>
      <c r="C832" s="5" t="n"/>
      <c r="D832" s="5" t="n"/>
      <c r="E832" s="5" t="n"/>
      <c r="F832" s="18" t="n"/>
      <c r="G832" s="18" t="n"/>
      <c r="H832" s="18" t="n"/>
      <c r="I832" s="5" t="n"/>
      <c r="J832" s="24">
        <f>IF($A832="","",$A832&amp;IF($B832="","0010",$B832))</f>
        <v/>
      </c>
    </row>
    <row r="833">
      <c r="A833" s="5" t="n"/>
      <c r="B833" s="5" t="n"/>
      <c r="C833" s="5" t="n"/>
      <c r="D833" s="5" t="n"/>
      <c r="E833" s="5" t="n"/>
      <c r="F833" s="18" t="n"/>
      <c r="G833" s="18" t="n"/>
      <c r="H833" s="18" t="n"/>
      <c r="I833" s="5" t="n"/>
      <c r="J833" s="24">
        <f>IF($A833="","",$A833&amp;IF($B833="","0010",$B833))</f>
        <v/>
      </c>
    </row>
    <row r="834">
      <c r="A834" s="5" t="n"/>
      <c r="B834" s="5" t="n"/>
      <c r="C834" s="5" t="n"/>
      <c r="D834" s="5" t="n"/>
      <c r="E834" s="5" t="n"/>
      <c r="F834" s="18" t="n"/>
      <c r="G834" s="18" t="n"/>
      <c r="H834" s="18" t="n"/>
      <c r="I834" s="5" t="n"/>
      <c r="J834" s="24">
        <f>IF($A834="","",$A834&amp;IF($B834="","0010",$B834))</f>
        <v/>
      </c>
    </row>
    <row r="835">
      <c r="A835" s="5" t="n"/>
      <c r="B835" s="5" t="n"/>
      <c r="C835" s="5" t="n"/>
      <c r="D835" s="5" t="n"/>
      <c r="E835" s="5" t="n"/>
      <c r="F835" s="18" t="n"/>
      <c r="G835" s="18" t="n"/>
      <c r="H835" s="18" t="n"/>
      <c r="I835" s="5" t="n"/>
      <c r="J835" s="24">
        <f>IF($A835="","",$A835&amp;IF($B835="","0010",$B835))</f>
        <v/>
      </c>
    </row>
    <row r="836">
      <c r="A836" s="5" t="n"/>
      <c r="B836" s="5" t="n"/>
      <c r="C836" s="5" t="n"/>
      <c r="D836" s="5" t="n"/>
      <c r="E836" s="5" t="n"/>
      <c r="F836" s="18" t="n"/>
      <c r="G836" s="18" t="n"/>
      <c r="H836" s="18" t="n"/>
      <c r="I836" s="5" t="n"/>
      <c r="J836" s="24">
        <f>IF($A836="","",$A836&amp;IF($B836="","0010",$B836))</f>
        <v/>
      </c>
    </row>
    <row r="837">
      <c r="A837" s="5" t="n"/>
      <c r="B837" s="5" t="n"/>
      <c r="C837" s="5" t="n"/>
      <c r="D837" s="5" t="n"/>
      <c r="E837" s="5" t="n"/>
      <c r="F837" s="18" t="n"/>
      <c r="G837" s="18" t="n"/>
      <c r="H837" s="18" t="n"/>
      <c r="I837" s="5" t="n"/>
      <c r="J837" s="24">
        <f>IF($A837="","",$A837&amp;IF($B837="","0010",$B837))</f>
        <v/>
      </c>
    </row>
    <row r="838">
      <c r="A838" s="5" t="n"/>
      <c r="B838" s="5" t="n"/>
      <c r="C838" s="5" t="n"/>
      <c r="D838" s="5" t="n"/>
      <c r="E838" s="5" t="n"/>
      <c r="F838" s="18" t="n"/>
      <c r="G838" s="18" t="n"/>
      <c r="H838" s="18" t="n"/>
      <c r="I838" s="5" t="n"/>
      <c r="J838" s="24">
        <f>IF($A838="","",$A838&amp;IF($B838="","0010",$B838))</f>
        <v/>
      </c>
    </row>
    <row r="839">
      <c r="A839" s="5" t="n"/>
      <c r="B839" s="5" t="n"/>
      <c r="C839" s="5" t="n"/>
      <c r="D839" s="5" t="n"/>
      <c r="E839" s="5" t="n"/>
      <c r="F839" s="18" t="n"/>
      <c r="G839" s="18" t="n"/>
      <c r="H839" s="18" t="n"/>
      <c r="I839" s="5" t="n"/>
      <c r="J839" s="24">
        <f>IF($A839="","",$A839&amp;IF($B839="","0010",$B839))</f>
        <v/>
      </c>
    </row>
    <row r="840">
      <c r="A840" s="5" t="n"/>
      <c r="B840" s="5" t="n"/>
      <c r="C840" s="5" t="n"/>
      <c r="D840" s="5" t="n"/>
      <c r="E840" s="5" t="n"/>
      <c r="F840" s="18" t="n"/>
      <c r="G840" s="18" t="n"/>
      <c r="H840" s="18" t="n"/>
      <c r="I840" s="5" t="n"/>
      <c r="J840" s="24">
        <f>IF($A840="","",$A840&amp;IF($B840="","0010",$B840))</f>
        <v/>
      </c>
    </row>
    <row r="841">
      <c r="A841" s="5" t="n"/>
      <c r="B841" s="5" t="n"/>
      <c r="C841" s="5" t="n"/>
      <c r="D841" s="5" t="n"/>
      <c r="E841" s="5" t="n"/>
      <c r="F841" s="18" t="n"/>
      <c r="G841" s="18" t="n"/>
      <c r="H841" s="18" t="n"/>
      <c r="I841" s="5" t="n"/>
      <c r="J841" s="24">
        <f>IF($A841="","",$A841&amp;IF($B841="","0010",$B841))</f>
        <v/>
      </c>
    </row>
    <row r="842">
      <c r="A842" s="5" t="n"/>
      <c r="B842" s="5" t="n"/>
      <c r="C842" s="5" t="n"/>
      <c r="D842" s="5" t="n"/>
      <c r="E842" s="5" t="n"/>
      <c r="F842" s="18" t="n"/>
      <c r="G842" s="18" t="n"/>
      <c r="H842" s="18" t="n"/>
      <c r="I842" s="5" t="n"/>
      <c r="J842" s="24">
        <f>IF($A842="","",$A842&amp;IF($B842="","0010",$B842))</f>
        <v/>
      </c>
    </row>
    <row r="843">
      <c r="A843" s="5" t="n"/>
      <c r="B843" s="5" t="n"/>
      <c r="C843" s="5" t="n"/>
      <c r="D843" s="5" t="n"/>
      <c r="E843" s="5" t="n"/>
      <c r="F843" s="18" t="n"/>
      <c r="G843" s="18" t="n"/>
      <c r="H843" s="18" t="n"/>
      <c r="I843" s="5" t="n"/>
      <c r="J843" s="24">
        <f>IF($A843="","",$A843&amp;IF($B843="","0010",$B843))</f>
        <v/>
      </c>
    </row>
    <row r="844">
      <c r="A844" s="5" t="n"/>
      <c r="B844" s="5" t="n"/>
      <c r="C844" s="5" t="n"/>
      <c r="D844" s="5" t="n"/>
      <c r="E844" s="5" t="n"/>
      <c r="F844" s="18" t="n"/>
      <c r="G844" s="18" t="n"/>
      <c r="H844" s="18" t="n"/>
      <c r="I844" s="5" t="n"/>
      <c r="J844" s="24">
        <f>IF($A844="","",$A844&amp;IF($B844="","0010",$B844))</f>
        <v/>
      </c>
    </row>
    <row r="845">
      <c r="A845" s="5" t="n"/>
      <c r="B845" s="5" t="n"/>
      <c r="C845" s="5" t="n"/>
      <c r="D845" s="5" t="n"/>
      <c r="E845" s="5" t="n"/>
      <c r="F845" s="18" t="n"/>
      <c r="G845" s="18" t="n"/>
      <c r="H845" s="18" t="n"/>
      <c r="I845" s="5" t="n"/>
      <c r="J845" s="24">
        <f>IF($A845="","",$A845&amp;IF($B845="","0010",$B845))</f>
        <v/>
      </c>
    </row>
    <row r="846">
      <c r="A846" s="5" t="n"/>
      <c r="B846" s="5" t="n"/>
      <c r="C846" s="5" t="n"/>
      <c r="D846" s="5" t="n"/>
      <c r="E846" s="5" t="n"/>
      <c r="F846" s="18" t="n"/>
      <c r="G846" s="18" t="n"/>
      <c r="H846" s="18" t="n"/>
      <c r="I846" s="5" t="n"/>
      <c r="J846" s="24">
        <f>IF($A846="","",$A846&amp;IF($B846="","0010",$B846))</f>
        <v/>
      </c>
    </row>
    <row r="847">
      <c r="A847" s="5" t="n"/>
      <c r="B847" s="5" t="n"/>
      <c r="C847" s="5" t="n"/>
      <c r="D847" s="5" t="n"/>
      <c r="E847" s="5" t="n"/>
      <c r="F847" s="18" t="n"/>
      <c r="G847" s="18" t="n"/>
      <c r="H847" s="18" t="n"/>
      <c r="I847" s="5" t="n"/>
      <c r="J847" s="24">
        <f>IF($A847="","",$A847&amp;IF($B847="","0010",$B847))</f>
        <v/>
      </c>
    </row>
    <row r="848">
      <c r="A848" s="5" t="n"/>
      <c r="B848" s="5" t="n"/>
      <c r="C848" s="5" t="n"/>
      <c r="D848" s="5" t="n"/>
      <c r="E848" s="5" t="n"/>
      <c r="F848" s="18" t="n"/>
      <c r="G848" s="18" t="n"/>
      <c r="H848" s="18" t="n"/>
      <c r="I848" s="5" t="n"/>
      <c r="J848" s="24">
        <f>IF($A848="","",$A848&amp;IF($B848="","0010",$B848))</f>
        <v/>
      </c>
    </row>
    <row r="849">
      <c r="A849" s="5" t="n"/>
      <c r="B849" s="5" t="n"/>
      <c r="C849" s="5" t="n"/>
      <c r="D849" s="5" t="n"/>
      <c r="E849" s="5" t="n"/>
      <c r="F849" s="18" t="n"/>
      <c r="G849" s="18" t="n"/>
      <c r="H849" s="18" t="n"/>
      <c r="I849" s="5" t="n"/>
      <c r="J849" s="24">
        <f>IF($A849="","",$A849&amp;IF($B849="","0010",$B849))</f>
        <v/>
      </c>
    </row>
    <row r="850">
      <c r="A850" s="5" t="n"/>
      <c r="B850" s="5" t="n"/>
      <c r="C850" s="5" t="n"/>
      <c r="D850" s="5" t="n"/>
      <c r="E850" s="5" t="n"/>
      <c r="F850" s="18" t="n"/>
      <c r="G850" s="18" t="n"/>
      <c r="H850" s="18" t="n"/>
      <c r="I850" s="5" t="n"/>
      <c r="J850" s="24">
        <f>IF($A850="","",$A850&amp;IF($B850="","0010",$B850))</f>
        <v/>
      </c>
    </row>
    <row r="851">
      <c r="A851" s="5" t="n"/>
      <c r="B851" s="5" t="n"/>
      <c r="C851" s="5" t="n"/>
      <c r="D851" s="5" t="n"/>
      <c r="E851" s="5" t="n"/>
      <c r="F851" s="18" t="n"/>
      <c r="G851" s="18" t="n"/>
      <c r="H851" s="18" t="n"/>
      <c r="I851" s="5" t="n"/>
      <c r="J851" s="24">
        <f>IF($A851="","",$A851&amp;IF($B851="","0010",$B851))</f>
        <v/>
      </c>
    </row>
    <row r="852">
      <c r="A852" s="5" t="n"/>
      <c r="B852" s="5" t="n"/>
      <c r="C852" s="5" t="n"/>
      <c r="D852" s="5" t="n"/>
      <c r="E852" s="5" t="n"/>
      <c r="F852" s="18" t="n"/>
      <c r="G852" s="18" t="n"/>
      <c r="H852" s="18" t="n"/>
      <c r="I852" s="5" t="n"/>
      <c r="J852" s="24">
        <f>IF($A852="","",$A852&amp;IF($B852="","0010",$B852))</f>
        <v/>
      </c>
    </row>
    <row r="853">
      <c r="A853" s="5" t="n"/>
      <c r="B853" s="5" t="n"/>
      <c r="C853" s="5" t="n"/>
      <c r="D853" s="5" t="n"/>
      <c r="E853" s="5" t="n"/>
      <c r="F853" s="18" t="n"/>
      <c r="G853" s="18" t="n"/>
      <c r="H853" s="18" t="n"/>
      <c r="I853" s="5" t="n"/>
      <c r="J853" s="24">
        <f>IF($A853="","",$A853&amp;IF($B853="","0010",$B853))</f>
        <v/>
      </c>
    </row>
    <row r="854">
      <c r="A854" s="5" t="n"/>
      <c r="B854" s="5" t="n"/>
      <c r="C854" s="5" t="n"/>
      <c r="D854" s="5" t="n"/>
      <c r="E854" s="5" t="n"/>
      <c r="F854" s="18" t="n"/>
      <c r="G854" s="18" t="n"/>
      <c r="H854" s="18" t="n"/>
      <c r="I854" s="5" t="n"/>
      <c r="J854" s="24">
        <f>IF($A854="","",$A854&amp;IF($B854="","0010",$B854))</f>
        <v/>
      </c>
    </row>
    <row r="855">
      <c r="A855" s="5" t="n"/>
      <c r="B855" s="5" t="n"/>
      <c r="C855" s="5" t="n"/>
      <c r="D855" s="5" t="n"/>
      <c r="E855" s="5" t="n"/>
      <c r="F855" s="18" t="n"/>
      <c r="G855" s="18" t="n"/>
      <c r="H855" s="18" t="n"/>
      <c r="I855" s="5" t="n"/>
      <c r="J855" s="24">
        <f>IF($A855="","",$A855&amp;IF($B855="","0010",$B855))</f>
        <v/>
      </c>
    </row>
    <row r="856">
      <c r="A856" s="5" t="n"/>
      <c r="B856" s="5" t="n"/>
      <c r="C856" s="5" t="n"/>
      <c r="D856" s="5" t="n"/>
      <c r="E856" s="5" t="n"/>
      <c r="F856" s="18" t="n"/>
      <c r="G856" s="18" t="n"/>
      <c r="H856" s="18" t="n"/>
      <c r="I856" s="5" t="n"/>
      <c r="J856" s="24">
        <f>IF($A856="","",$A856&amp;IF($B856="","0010",$B856))</f>
        <v/>
      </c>
    </row>
    <row r="857">
      <c r="A857" s="5" t="n"/>
      <c r="B857" s="5" t="n"/>
      <c r="C857" s="5" t="n"/>
      <c r="D857" s="5" t="n"/>
      <c r="E857" s="5" t="n"/>
      <c r="F857" s="18" t="n"/>
      <c r="G857" s="18" t="n"/>
      <c r="H857" s="18" t="n"/>
      <c r="I857" s="5" t="n"/>
      <c r="J857" s="24">
        <f>IF($A857="","",$A857&amp;IF($B857="","0010",$B857))</f>
        <v/>
      </c>
    </row>
    <row r="858">
      <c r="A858" s="5" t="n"/>
      <c r="B858" s="5" t="n"/>
      <c r="C858" s="5" t="n"/>
      <c r="D858" s="5" t="n"/>
      <c r="E858" s="5" t="n"/>
      <c r="F858" s="18" t="n"/>
      <c r="G858" s="18" t="n"/>
      <c r="H858" s="18" t="n"/>
      <c r="I858" s="5" t="n"/>
      <c r="J858" s="24">
        <f>IF($A858="","",$A858&amp;IF($B858="","0010",$B858))</f>
        <v/>
      </c>
    </row>
    <row r="859">
      <c r="A859" s="5" t="n"/>
      <c r="B859" s="5" t="n"/>
      <c r="C859" s="5" t="n"/>
      <c r="D859" s="5" t="n"/>
      <c r="E859" s="5" t="n"/>
      <c r="F859" s="18" t="n"/>
      <c r="G859" s="18" t="n"/>
      <c r="H859" s="18" t="n"/>
      <c r="I859" s="5" t="n"/>
      <c r="J859" s="24">
        <f>IF($A859="","",$A859&amp;IF($B859="","0010",$B859))</f>
        <v/>
      </c>
    </row>
    <row r="860">
      <c r="A860" s="5" t="n"/>
      <c r="B860" s="5" t="n"/>
      <c r="C860" s="5" t="n"/>
      <c r="D860" s="5" t="n"/>
      <c r="E860" s="5" t="n"/>
      <c r="F860" s="18" t="n"/>
      <c r="G860" s="18" t="n"/>
      <c r="H860" s="18" t="n"/>
      <c r="I860" s="5" t="n"/>
      <c r="J860" s="24">
        <f>IF($A860="","",$A860&amp;IF($B860="","0010",$B860))</f>
        <v/>
      </c>
    </row>
    <row r="861">
      <c r="A861" s="5" t="n"/>
      <c r="B861" s="5" t="n"/>
      <c r="C861" s="5" t="n"/>
      <c r="D861" s="5" t="n"/>
      <c r="E861" s="5" t="n"/>
      <c r="F861" s="18" t="n"/>
      <c r="G861" s="18" t="n"/>
      <c r="H861" s="18" t="n"/>
      <c r="I861" s="5" t="n"/>
      <c r="J861" s="24">
        <f>IF($A861="","",$A861&amp;IF($B861="","0010",$B861))</f>
        <v/>
      </c>
    </row>
    <row r="862">
      <c r="A862" s="5" t="n"/>
      <c r="B862" s="5" t="n"/>
      <c r="C862" s="5" t="n"/>
      <c r="D862" s="5" t="n"/>
      <c r="E862" s="5" t="n"/>
      <c r="F862" s="18" t="n"/>
      <c r="G862" s="18" t="n"/>
      <c r="H862" s="18" t="n"/>
      <c r="I862" s="5" t="n"/>
      <c r="J862" s="24">
        <f>IF($A862="","",$A862&amp;IF($B862="","0010",$B862))</f>
        <v/>
      </c>
    </row>
    <row r="863">
      <c r="A863" s="5" t="n"/>
      <c r="B863" s="5" t="n"/>
      <c r="C863" s="5" t="n"/>
      <c r="D863" s="5" t="n"/>
      <c r="E863" s="5" t="n"/>
      <c r="F863" s="18" t="n"/>
      <c r="G863" s="18" t="n"/>
      <c r="H863" s="18" t="n"/>
      <c r="I863" s="5" t="n"/>
      <c r="J863" s="24">
        <f>IF($A863="","",$A863&amp;IF($B863="","0010",$B863))</f>
        <v/>
      </c>
    </row>
    <row r="864">
      <c r="A864" s="5" t="n"/>
      <c r="B864" s="5" t="n"/>
      <c r="C864" s="5" t="n"/>
      <c r="D864" s="5" t="n"/>
      <c r="E864" s="5" t="n"/>
      <c r="F864" s="18" t="n"/>
      <c r="G864" s="18" t="n"/>
      <c r="H864" s="18" t="n"/>
      <c r="I864" s="5" t="n"/>
      <c r="J864" s="24">
        <f>IF($A864="","",$A864&amp;IF($B864="","0010",$B864))</f>
        <v/>
      </c>
    </row>
    <row r="865">
      <c r="A865" s="5" t="n"/>
      <c r="B865" s="5" t="n"/>
      <c r="C865" s="5" t="n"/>
      <c r="D865" s="5" t="n"/>
      <c r="E865" s="5" t="n"/>
      <c r="F865" s="18" t="n"/>
      <c r="G865" s="18" t="n"/>
      <c r="H865" s="18" t="n"/>
      <c r="I865" s="5" t="n"/>
      <c r="J865" s="24">
        <f>IF($A865="","",$A865&amp;IF($B865="","0010",$B865))</f>
        <v/>
      </c>
    </row>
    <row r="866">
      <c r="A866" s="5" t="n"/>
      <c r="B866" s="5" t="n"/>
      <c r="C866" s="5" t="n"/>
      <c r="D866" s="5" t="n"/>
      <c r="E866" s="5" t="n"/>
      <c r="F866" s="18" t="n"/>
      <c r="G866" s="18" t="n"/>
      <c r="H866" s="18" t="n"/>
      <c r="I866" s="5" t="n"/>
      <c r="J866" s="24">
        <f>IF($A866="","",$A866&amp;IF($B866="","0010",$B866))</f>
        <v/>
      </c>
    </row>
    <row r="867">
      <c r="A867" s="5" t="n"/>
      <c r="B867" s="5" t="n"/>
      <c r="C867" s="5" t="n"/>
      <c r="D867" s="5" t="n"/>
      <c r="E867" s="5" t="n"/>
      <c r="F867" s="18" t="n"/>
      <c r="G867" s="18" t="n"/>
      <c r="H867" s="18" t="n"/>
      <c r="I867" s="5" t="n"/>
      <c r="J867" s="24">
        <f>IF($A867="","",$A867&amp;IF($B867="","0010",$B867))</f>
        <v/>
      </c>
    </row>
    <row r="868">
      <c r="A868" s="5" t="n"/>
      <c r="B868" s="5" t="n"/>
      <c r="C868" s="5" t="n"/>
      <c r="D868" s="5" t="n"/>
      <c r="E868" s="5" t="n"/>
      <c r="F868" s="18" t="n"/>
      <c r="G868" s="18" t="n"/>
      <c r="H868" s="18" t="n"/>
      <c r="I868" s="5" t="n"/>
      <c r="J868" s="24">
        <f>IF($A868="","",$A868&amp;IF($B868="","0010",$B868))</f>
        <v/>
      </c>
    </row>
    <row r="869">
      <c r="A869" s="5" t="n"/>
      <c r="B869" s="5" t="n"/>
      <c r="C869" s="5" t="n"/>
      <c r="D869" s="5" t="n"/>
      <c r="E869" s="5" t="n"/>
      <c r="F869" s="18" t="n"/>
      <c r="G869" s="18" t="n"/>
      <c r="H869" s="18" t="n"/>
      <c r="I869" s="5" t="n"/>
      <c r="J869" s="24">
        <f>IF($A869="","",$A869&amp;IF($B869="","0010",$B869))</f>
        <v/>
      </c>
    </row>
    <row r="870">
      <c r="A870" s="5" t="n"/>
      <c r="B870" s="5" t="n"/>
      <c r="C870" s="5" t="n"/>
      <c r="D870" s="5" t="n"/>
      <c r="E870" s="5" t="n"/>
      <c r="F870" s="18" t="n"/>
      <c r="G870" s="18" t="n"/>
      <c r="H870" s="18" t="n"/>
      <c r="I870" s="5" t="n"/>
      <c r="J870" s="24">
        <f>IF($A870="","",$A870&amp;IF($B870="","0010",$B870))</f>
        <v/>
      </c>
    </row>
    <row r="871">
      <c r="A871" s="5" t="n"/>
      <c r="B871" s="5" t="n"/>
      <c r="C871" s="5" t="n"/>
      <c r="D871" s="5" t="n"/>
      <c r="E871" s="5" t="n"/>
      <c r="F871" s="18" t="n"/>
      <c r="G871" s="18" t="n"/>
      <c r="H871" s="18" t="n"/>
      <c r="I871" s="5" t="n"/>
      <c r="J871" s="24">
        <f>IF($A871="","",$A871&amp;IF($B871="","0010",$B871))</f>
        <v/>
      </c>
    </row>
    <row r="872">
      <c r="A872" s="5" t="n"/>
      <c r="B872" s="5" t="n"/>
      <c r="C872" s="5" t="n"/>
      <c r="D872" s="5" t="n"/>
      <c r="E872" s="5" t="n"/>
      <c r="F872" s="18" t="n"/>
      <c r="G872" s="18" t="n"/>
      <c r="H872" s="18" t="n"/>
      <c r="I872" s="5" t="n"/>
      <c r="J872" s="24">
        <f>IF($A872="","",$A872&amp;IF($B872="","0010",$B872))</f>
        <v/>
      </c>
    </row>
    <row r="873">
      <c r="A873" s="5" t="n"/>
      <c r="B873" s="5" t="n"/>
      <c r="C873" s="5" t="n"/>
      <c r="D873" s="5" t="n"/>
      <c r="E873" s="5" t="n"/>
      <c r="F873" s="18" t="n"/>
      <c r="G873" s="18" t="n"/>
      <c r="H873" s="18" t="n"/>
      <c r="I873" s="5" t="n"/>
      <c r="J873" s="24">
        <f>IF($A873="","",$A873&amp;IF($B873="","0010",$B873))</f>
        <v/>
      </c>
    </row>
    <row r="874">
      <c r="A874" s="5" t="n"/>
      <c r="B874" s="5" t="n"/>
      <c r="C874" s="5" t="n"/>
      <c r="D874" s="5" t="n"/>
      <c r="E874" s="5" t="n"/>
      <c r="F874" s="18" t="n"/>
      <c r="G874" s="18" t="n"/>
      <c r="H874" s="18" t="n"/>
      <c r="I874" s="5" t="n"/>
      <c r="J874" s="24">
        <f>IF($A874="","",$A874&amp;IF($B874="","0010",$B874))</f>
        <v/>
      </c>
    </row>
    <row r="875">
      <c r="A875" s="5" t="n"/>
      <c r="B875" s="5" t="n"/>
      <c r="C875" s="5" t="n"/>
      <c r="D875" s="5" t="n"/>
      <c r="E875" s="5" t="n"/>
      <c r="F875" s="18" t="n"/>
      <c r="G875" s="18" t="n"/>
      <c r="H875" s="18" t="n"/>
      <c r="I875" s="5" t="n"/>
      <c r="J875" s="24">
        <f>IF($A875="","",$A875&amp;IF($B875="","0010",$B875))</f>
        <v/>
      </c>
    </row>
    <row r="876">
      <c r="A876" s="5" t="n"/>
      <c r="B876" s="5" t="n"/>
      <c r="C876" s="5" t="n"/>
      <c r="D876" s="5" t="n"/>
      <c r="E876" s="5" t="n"/>
      <c r="F876" s="18" t="n"/>
      <c r="G876" s="18" t="n"/>
      <c r="H876" s="18" t="n"/>
      <c r="I876" s="5" t="n"/>
      <c r="J876" s="24">
        <f>IF($A876="","",$A876&amp;IF($B876="","0010",$B876))</f>
        <v/>
      </c>
    </row>
    <row r="877">
      <c r="A877" s="5" t="n"/>
      <c r="B877" s="5" t="n"/>
      <c r="C877" s="5" t="n"/>
      <c r="D877" s="5" t="n"/>
      <c r="E877" s="5" t="n"/>
      <c r="F877" s="18" t="n"/>
      <c r="G877" s="18" t="n"/>
      <c r="H877" s="18" t="n"/>
      <c r="I877" s="5" t="n"/>
      <c r="J877" s="24">
        <f>IF($A877="","",$A877&amp;IF($B877="","0010",$B877))</f>
        <v/>
      </c>
    </row>
    <row r="878">
      <c r="A878" s="5" t="n"/>
      <c r="B878" s="5" t="n"/>
      <c r="C878" s="5" t="n"/>
      <c r="D878" s="5" t="n"/>
      <c r="E878" s="5" t="n"/>
      <c r="F878" s="18" t="n"/>
      <c r="G878" s="18" t="n"/>
      <c r="H878" s="18" t="n"/>
      <c r="I878" s="5" t="n"/>
      <c r="J878" s="24">
        <f>IF($A878="","",$A878&amp;IF($B878="","0010",$B878))</f>
        <v/>
      </c>
    </row>
    <row r="879">
      <c r="A879" s="5" t="n"/>
      <c r="B879" s="5" t="n"/>
      <c r="C879" s="5" t="n"/>
      <c r="D879" s="5" t="n"/>
      <c r="E879" s="5" t="n"/>
      <c r="F879" s="18" t="n"/>
      <c r="G879" s="18" t="n"/>
      <c r="H879" s="18" t="n"/>
      <c r="I879" s="5" t="n"/>
      <c r="J879" s="24">
        <f>IF($A879="","",$A879&amp;IF($B879="","0010",$B879))</f>
        <v/>
      </c>
    </row>
    <row r="880">
      <c r="A880" s="5" t="n"/>
      <c r="B880" s="5" t="n"/>
      <c r="C880" s="5" t="n"/>
      <c r="D880" s="5" t="n"/>
      <c r="E880" s="5" t="n"/>
      <c r="F880" s="18" t="n"/>
      <c r="G880" s="18" t="n"/>
      <c r="H880" s="18" t="n"/>
      <c r="I880" s="5" t="n"/>
      <c r="J880" s="24">
        <f>IF($A880="","",$A880&amp;IF($B880="","0010",$B880))</f>
        <v/>
      </c>
    </row>
    <row r="881">
      <c r="A881" s="5" t="n"/>
      <c r="B881" s="5" t="n"/>
      <c r="C881" s="5" t="n"/>
      <c r="D881" s="5" t="n"/>
      <c r="E881" s="5" t="n"/>
      <c r="F881" s="18" t="n"/>
      <c r="G881" s="18" t="n"/>
      <c r="H881" s="18" t="n"/>
      <c r="I881" s="5" t="n"/>
      <c r="J881" s="24">
        <f>IF($A881="","",$A881&amp;IF($B881="","0010",$B881))</f>
        <v/>
      </c>
    </row>
    <row r="882">
      <c r="A882" s="5" t="n"/>
      <c r="B882" s="5" t="n"/>
      <c r="C882" s="5" t="n"/>
      <c r="D882" s="5" t="n"/>
      <c r="E882" s="5" t="n"/>
      <c r="F882" s="18" t="n"/>
      <c r="G882" s="18" t="n"/>
      <c r="H882" s="18" t="n"/>
      <c r="I882" s="5" t="n"/>
      <c r="J882" s="24">
        <f>IF($A882="","",$A882&amp;IF($B882="","0010",$B882))</f>
        <v/>
      </c>
    </row>
    <row r="883">
      <c r="A883" s="5" t="n"/>
      <c r="B883" s="5" t="n"/>
      <c r="C883" s="5" t="n"/>
      <c r="D883" s="5" t="n"/>
      <c r="E883" s="5" t="n"/>
      <c r="F883" s="18" t="n"/>
      <c r="G883" s="18" t="n"/>
      <c r="H883" s="18" t="n"/>
      <c r="I883" s="5" t="n"/>
      <c r="J883" s="24">
        <f>IF($A883="","",$A883&amp;IF($B883="","0010",$B883))</f>
        <v/>
      </c>
    </row>
    <row r="884">
      <c r="A884" s="5" t="n"/>
      <c r="B884" s="5" t="n"/>
      <c r="C884" s="5" t="n"/>
      <c r="D884" s="5" t="n"/>
      <c r="E884" s="5" t="n"/>
      <c r="F884" s="18" t="n"/>
      <c r="G884" s="18" t="n"/>
      <c r="H884" s="18" t="n"/>
      <c r="I884" s="5" t="n"/>
      <c r="J884" s="24">
        <f>IF($A884="","",$A884&amp;IF($B884="","0010",$B884))</f>
        <v/>
      </c>
    </row>
    <row r="885">
      <c r="A885" s="5" t="n"/>
      <c r="B885" s="5" t="n"/>
      <c r="C885" s="5" t="n"/>
      <c r="D885" s="5" t="n"/>
      <c r="E885" s="5" t="n"/>
      <c r="F885" s="18" t="n"/>
      <c r="G885" s="18" t="n"/>
      <c r="H885" s="18" t="n"/>
      <c r="I885" s="5" t="n"/>
      <c r="J885" s="24">
        <f>IF($A885="","",$A885&amp;IF($B885="","0010",$B885))</f>
        <v/>
      </c>
    </row>
    <row r="886">
      <c r="A886" s="5" t="n"/>
      <c r="B886" s="5" t="n"/>
      <c r="C886" s="5" t="n"/>
      <c r="D886" s="5" t="n"/>
      <c r="E886" s="5" t="n"/>
      <c r="F886" s="18" t="n"/>
      <c r="G886" s="18" t="n"/>
      <c r="H886" s="18" t="n"/>
      <c r="I886" s="5" t="n"/>
      <c r="J886" s="24">
        <f>IF($A886="","",$A886&amp;IF($B886="","0010",$B886))</f>
        <v/>
      </c>
    </row>
    <row r="887">
      <c r="A887" s="5" t="n"/>
      <c r="B887" s="5" t="n"/>
      <c r="C887" s="5" t="n"/>
      <c r="D887" s="5" t="n"/>
      <c r="E887" s="5" t="n"/>
      <c r="F887" s="18" t="n"/>
      <c r="G887" s="18" t="n"/>
      <c r="H887" s="18" t="n"/>
      <c r="I887" s="5" t="n"/>
      <c r="J887" s="24">
        <f>IF($A887="","",$A887&amp;IF($B887="","0010",$B887))</f>
        <v/>
      </c>
    </row>
    <row r="888">
      <c r="A888" s="5" t="n"/>
      <c r="B888" s="5" t="n"/>
      <c r="C888" s="5" t="n"/>
      <c r="D888" s="5" t="n"/>
      <c r="E888" s="5" t="n"/>
      <c r="F888" s="18" t="n"/>
      <c r="G888" s="18" t="n"/>
      <c r="H888" s="18" t="n"/>
      <c r="I888" s="5" t="n"/>
      <c r="J888" s="24">
        <f>IF($A888="","",$A888&amp;IF($B888="","0010",$B888))</f>
        <v/>
      </c>
    </row>
    <row r="889">
      <c r="A889" s="5" t="n"/>
      <c r="B889" s="5" t="n"/>
      <c r="C889" s="5" t="n"/>
      <c r="D889" s="5" t="n"/>
      <c r="E889" s="5" t="n"/>
      <c r="F889" s="18" t="n"/>
      <c r="G889" s="18" t="n"/>
      <c r="H889" s="18" t="n"/>
      <c r="I889" s="5" t="n"/>
      <c r="J889" s="24">
        <f>IF($A889="","",$A889&amp;IF($B889="","0010",$B889))</f>
        <v/>
      </c>
    </row>
    <row r="890">
      <c r="A890" s="5" t="n"/>
      <c r="B890" s="5" t="n"/>
      <c r="C890" s="5" t="n"/>
      <c r="D890" s="5" t="n"/>
      <c r="E890" s="5" t="n"/>
      <c r="F890" s="18" t="n"/>
      <c r="G890" s="18" t="n"/>
      <c r="H890" s="18" t="n"/>
      <c r="I890" s="5" t="n"/>
      <c r="J890" s="24">
        <f>IF($A890="","",$A890&amp;IF($B890="","0010",$B890))</f>
        <v/>
      </c>
    </row>
    <row r="891">
      <c r="A891" s="5" t="n"/>
      <c r="B891" s="5" t="n"/>
      <c r="C891" s="5" t="n"/>
      <c r="D891" s="5" t="n"/>
      <c r="E891" s="5" t="n"/>
      <c r="F891" s="18" t="n"/>
      <c r="G891" s="18" t="n"/>
      <c r="H891" s="18" t="n"/>
      <c r="I891" s="5" t="n"/>
      <c r="J891" s="24">
        <f>IF($A891="","",$A891&amp;IF($B891="","0010",$B891))</f>
        <v/>
      </c>
    </row>
    <row r="892">
      <c r="A892" s="5" t="n"/>
      <c r="B892" s="5" t="n"/>
      <c r="C892" s="5" t="n"/>
      <c r="D892" s="5" t="n"/>
      <c r="E892" s="5" t="n"/>
      <c r="F892" s="18" t="n"/>
      <c r="G892" s="18" t="n"/>
      <c r="H892" s="18" t="n"/>
      <c r="I892" s="5" t="n"/>
      <c r="J892" s="24">
        <f>IF($A892="","",$A892&amp;IF($B892="","0010",$B892))</f>
        <v/>
      </c>
    </row>
    <row r="893">
      <c r="A893" s="5" t="n"/>
      <c r="B893" s="5" t="n"/>
      <c r="C893" s="5" t="n"/>
      <c r="D893" s="5" t="n"/>
      <c r="E893" s="5" t="n"/>
      <c r="F893" s="18" t="n"/>
      <c r="G893" s="18" t="n"/>
      <c r="H893" s="18" t="n"/>
      <c r="I893" s="5" t="n"/>
      <c r="J893" s="24">
        <f>IF($A893="","",$A893&amp;IF($B893="","0010",$B893))</f>
        <v/>
      </c>
    </row>
    <row r="894">
      <c r="A894" s="5" t="n"/>
      <c r="B894" s="5" t="n"/>
      <c r="C894" s="5" t="n"/>
      <c r="D894" s="5" t="n"/>
      <c r="E894" s="5" t="n"/>
      <c r="F894" s="18" t="n"/>
      <c r="G894" s="18" t="n"/>
      <c r="H894" s="18" t="n"/>
      <c r="I894" s="5" t="n"/>
      <c r="J894" s="24">
        <f>IF($A894="","",$A894&amp;IF($B894="","0010",$B894))</f>
        <v/>
      </c>
    </row>
    <row r="895">
      <c r="A895" s="5" t="n"/>
      <c r="B895" s="5" t="n"/>
      <c r="C895" s="5" t="n"/>
      <c r="D895" s="5" t="n"/>
      <c r="E895" s="5" t="n"/>
      <c r="F895" s="18" t="n"/>
      <c r="G895" s="18" t="n"/>
      <c r="H895" s="18" t="n"/>
      <c r="I895" s="5" t="n"/>
      <c r="J895" s="24">
        <f>IF($A895="","",$A895&amp;IF($B895="","0010",$B895))</f>
        <v/>
      </c>
    </row>
    <row r="896">
      <c r="A896" s="5" t="n"/>
      <c r="B896" s="5" t="n"/>
      <c r="C896" s="5" t="n"/>
      <c r="D896" s="5" t="n"/>
      <c r="E896" s="5" t="n"/>
      <c r="F896" s="18" t="n"/>
      <c r="G896" s="18" t="n"/>
      <c r="H896" s="18" t="n"/>
      <c r="I896" s="5" t="n"/>
      <c r="J896" s="24">
        <f>IF($A896="","",$A896&amp;IF($B896="","0010",$B896))</f>
        <v/>
      </c>
    </row>
    <row r="897">
      <c r="A897" s="5" t="n"/>
      <c r="B897" s="5" t="n"/>
      <c r="C897" s="5" t="n"/>
      <c r="D897" s="5" t="n"/>
      <c r="E897" s="5" t="n"/>
      <c r="F897" s="18" t="n"/>
      <c r="G897" s="18" t="n"/>
      <c r="H897" s="18" t="n"/>
      <c r="I897" s="5" t="n"/>
      <c r="J897" s="24">
        <f>IF($A897="","",$A897&amp;IF($B897="","0010",$B897))</f>
        <v/>
      </c>
    </row>
    <row r="898">
      <c r="A898" s="5" t="n"/>
      <c r="B898" s="5" t="n"/>
      <c r="C898" s="5" t="n"/>
      <c r="D898" s="5" t="n"/>
      <c r="E898" s="5" t="n"/>
      <c r="F898" s="18" t="n"/>
      <c r="G898" s="18" t="n"/>
      <c r="H898" s="18" t="n"/>
      <c r="I898" s="5" t="n"/>
      <c r="J898" s="24">
        <f>IF($A898="","",$A898&amp;IF($B898="","0010",$B898))</f>
        <v/>
      </c>
    </row>
    <row r="899">
      <c r="A899" s="5" t="n"/>
      <c r="B899" s="5" t="n"/>
      <c r="C899" s="5" t="n"/>
      <c r="D899" s="5" t="n"/>
      <c r="E899" s="5" t="n"/>
      <c r="F899" s="18" t="n"/>
      <c r="G899" s="18" t="n"/>
      <c r="H899" s="18" t="n"/>
      <c r="I899" s="5" t="n"/>
      <c r="J899" s="24">
        <f>IF($A899="","",$A899&amp;IF($B899="","0010",$B899))</f>
        <v/>
      </c>
    </row>
    <row r="900">
      <c r="A900" s="5" t="n"/>
      <c r="B900" s="5" t="n"/>
      <c r="C900" s="5" t="n"/>
      <c r="D900" s="5" t="n"/>
      <c r="E900" s="5" t="n"/>
      <c r="F900" s="18" t="n"/>
      <c r="G900" s="18" t="n"/>
      <c r="H900" s="18" t="n"/>
      <c r="I900" s="5" t="n"/>
      <c r="J900" s="24">
        <f>IF($A900="","",$A900&amp;IF($B900="","0010",$B900))</f>
        <v/>
      </c>
    </row>
    <row r="901">
      <c r="A901" s="5" t="n"/>
      <c r="B901" s="5" t="n"/>
      <c r="C901" s="5" t="n"/>
      <c r="D901" s="5" t="n"/>
      <c r="E901" s="5" t="n"/>
      <c r="F901" s="18" t="n"/>
      <c r="G901" s="18" t="n"/>
      <c r="H901" s="18" t="n"/>
      <c r="I901" s="5" t="n"/>
      <c r="J901" s="24">
        <f>IF($A901="","",$A901&amp;IF($B901="","0010",$B901))</f>
        <v/>
      </c>
    </row>
    <row r="902">
      <c r="A902" s="5" t="n"/>
      <c r="B902" s="5" t="n"/>
      <c r="C902" s="5" t="n"/>
      <c r="D902" s="5" t="n"/>
      <c r="E902" s="5" t="n"/>
      <c r="F902" s="18" t="n"/>
      <c r="G902" s="18" t="n"/>
      <c r="H902" s="18" t="n"/>
      <c r="I902" s="5" t="n"/>
      <c r="J902" s="24">
        <f>IF($A902="","",$A902&amp;IF($B902="","0010",$B902))</f>
        <v/>
      </c>
    </row>
    <row r="903">
      <c r="A903" s="5" t="n"/>
      <c r="B903" s="5" t="n"/>
      <c r="C903" s="5" t="n"/>
      <c r="D903" s="5" t="n"/>
      <c r="E903" s="5" t="n"/>
      <c r="F903" s="18" t="n"/>
      <c r="G903" s="18" t="n"/>
      <c r="H903" s="18" t="n"/>
      <c r="I903" s="5" t="n"/>
      <c r="J903" s="24">
        <f>IF($A903="","",$A903&amp;IF($B903="","0010",$B903))</f>
        <v/>
      </c>
    </row>
    <row r="904">
      <c r="A904" s="5" t="n"/>
      <c r="B904" s="5" t="n"/>
      <c r="C904" s="5" t="n"/>
      <c r="D904" s="5" t="n"/>
      <c r="E904" s="5" t="n"/>
      <c r="F904" s="18" t="n"/>
      <c r="G904" s="18" t="n"/>
      <c r="H904" s="18" t="n"/>
      <c r="I904" s="5" t="n"/>
      <c r="J904" s="24">
        <f>IF($A904="","",$A904&amp;IF($B904="","0010",$B904))</f>
        <v/>
      </c>
    </row>
    <row r="905">
      <c r="A905" s="5" t="n"/>
      <c r="B905" s="5" t="n"/>
      <c r="C905" s="5" t="n"/>
      <c r="D905" s="5" t="n"/>
      <c r="E905" s="5" t="n"/>
      <c r="F905" s="18" t="n"/>
      <c r="G905" s="18" t="n"/>
      <c r="H905" s="18" t="n"/>
      <c r="I905" s="5" t="n"/>
      <c r="J905" s="24">
        <f>IF($A905="","",$A905&amp;IF($B905="","0010",$B905))</f>
        <v/>
      </c>
    </row>
    <row r="906">
      <c r="A906" s="5" t="n"/>
      <c r="B906" s="5" t="n"/>
      <c r="C906" s="5" t="n"/>
      <c r="D906" s="5" t="n"/>
      <c r="E906" s="5" t="n"/>
      <c r="F906" s="18" t="n"/>
      <c r="G906" s="18" t="n"/>
      <c r="H906" s="18" t="n"/>
      <c r="I906" s="5" t="n"/>
      <c r="J906" s="24">
        <f>IF($A906="","",$A906&amp;IF($B906="","0010",$B906))</f>
        <v/>
      </c>
    </row>
    <row r="907">
      <c r="A907" s="5" t="n"/>
      <c r="B907" s="5" t="n"/>
      <c r="C907" s="5" t="n"/>
      <c r="D907" s="5" t="n"/>
      <c r="E907" s="5" t="n"/>
      <c r="F907" s="18" t="n"/>
      <c r="G907" s="18" t="n"/>
      <c r="H907" s="18" t="n"/>
      <c r="I907" s="5" t="n"/>
      <c r="J907" s="24">
        <f>IF($A907="","",$A907&amp;IF($B907="","0010",$B907))</f>
        <v/>
      </c>
    </row>
    <row r="908">
      <c r="A908" s="5" t="n"/>
      <c r="B908" s="5" t="n"/>
      <c r="C908" s="5" t="n"/>
      <c r="D908" s="5" t="n"/>
      <c r="E908" s="5" t="n"/>
      <c r="F908" s="18" t="n"/>
      <c r="G908" s="18" t="n"/>
      <c r="H908" s="18" t="n"/>
      <c r="I908" s="5" t="n"/>
      <c r="J908" s="24">
        <f>IF($A908="","",$A908&amp;IF($B908="","0010",$B908))</f>
        <v/>
      </c>
    </row>
    <row r="909">
      <c r="A909" s="5" t="n"/>
      <c r="B909" s="5" t="n"/>
      <c r="C909" s="5" t="n"/>
      <c r="D909" s="5" t="n"/>
      <c r="E909" s="5" t="n"/>
      <c r="F909" s="18" t="n"/>
      <c r="G909" s="18" t="n"/>
      <c r="H909" s="18" t="n"/>
      <c r="I909" s="5" t="n"/>
      <c r="J909" s="24">
        <f>IF($A909="","",$A909&amp;IF($B909="","0010",$B909))</f>
        <v/>
      </c>
    </row>
    <row r="910">
      <c r="A910" s="5" t="n"/>
      <c r="B910" s="5" t="n"/>
      <c r="C910" s="5" t="n"/>
      <c r="D910" s="5" t="n"/>
      <c r="E910" s="5" t="n"/>
      <c r="F910" s="18" t="n"/>
      <c r="G910" s="18" t="n"/>
      <c r="H910" s="18" t="n"/>
      <c r="I910" s="5" t="n"/>
      <c r="J910" s="24">
        <f>IF($A910="","",$A910&amp;IF($B910="","0010",$B910))</f>
        <v/>
      </c>
    </row>
    <row r="911">
      <c r="A911" s="5" t="n"/>
      <c r="B911" s="5" t="n"/>
      <c r="C911" s="5" t="n"/>
      <c r="D911" s="5" t="n"/>
      <c r="E911" s="5" t="n"/>
      <c r="F911" s="18" t="n"/>
      <c r="G911" s="18" t="n"/>
      <c r="H911" s="18" t="n"/>
      <c r="I911" s="5" t="n"/>
      <c r="J911" s="24">
        <f>IF($A911="","",$A911&amp;IF($B911="","0010",$B911))</f>
        <v/>
      </c>
    </row>
    <row r="912">
      <c r="A912" s="5" t="n"/>
      <c r="B912" s="5" t="n"/>
      <c r="C912" s="5" t="n"/>
      <c r="D912" s="5" t="n"/>
      <c r="E912" s="5" t="n"/>
      <c r="F912" s="18" t="n"/>
      <c r="G912" s="18" t="n"/>
      <c r="H912" s="18" t="n"/>
      <c r="I912" s="5" t="n"/>
      <c r="J912" s="24">
        <f>IF($A912="","",$A912&amp;IF($B912="","0010",$B912))</f>
        <v/>
      </c>
    </row>
    <row r="913">
      <c r="A913" s="5" t="n"/>
      <c r="B913" s="5" t="n"/>
      <c r="C913" s="5" t="n"/>
      <c r="D913" s="5" t="n"/>
      <c r="E913" s="5" t="n"/>
      <c r="F913" s="18" t="n"/>
      <c r="G913" s="18" t="n"/>
      <c r="H913" s="18" t="n"/>
      <c r="I913" s="5" t="n"/>
      <c r="J913" s="24">
        <f>IF($A913="","",$A913&amp;IF($B913="","0010",$B913))</f>
        <v/>
      </c>
    </row>
    <row r="914">
      <c r="A914" s="5" t="n"/>
      <c r="B914" s="5" t="n"/>
      <c r="C914" s="5" t="n"/>
      <c r="D914" s="5" t="n"/>
      <c r="E914" s="5" t="n"/>
      <c r="F914" s="18" t="n"/>
      <c r="G914" s="18" t="n"/>
      <c r="H914" s="18" t="n"/>
      <c r="I914" s="5" t="n"/>
      <c r="J914" s="24">
        <f>IF($A914="","",$A914&amp;IF($B914="","0010",$B914))</f>
        <v/>
      </c>
    </row>
    <row r="915">
      <c r="A915" s="5" t="n"/>
      <c r="B915" s="5" t="n"/>
      <c r="C915" s="5" t="n"/>
      <c r="D915" s="5" t="n"/>
      <c r="E915" s="5" t="n"/>
      <c r="F915" s="18" t="n"/>
      <c r="G915" s="18" t="n"/>
      <c r="H915" s="18" t="n"/>
      <c r="I915" s="5" t="n"/>
      <c r="J915" s="24">
        <f>IF($A915="","",$A915&amp;IF($B915="","0010",$B915))</f>
        <v/>
      </c>
    </row>
    <row r="916">
      <c r="A916" s="5" t="n"/>
      <c r="B916" s="5" t="n"/>
      <c r="C916" s="5" t="n"/>
      <c r="D916" s="5" t="n"/>
      <c r="E916" s="5" t="n"/>
      <c r="F916" s="18" t="n"/>
      <c r="G916" s="18" t="n"/>
      <c r="H916" s="18" t="n"/>
      <c r="I916" s="5" t="n"/>
      <c r="J916" s="24">
        <f>IF($A916="","",$A916&amp;IF($B916="","0010",$B916))</f>
        <v/>
      </c>
    </row>
    <row r="917">
      <c r="A917" s="5" t="n"/>
      <c r="B917" s="5" t="n"/>
      <c r="C917" s="5" t="n"/>
      <c r="D917" s="5" t="n"/>
      <c r="E917" s="5" t="n"/>
      <c r="F917" s="18" t="n"/>
      <c r="G917" s="18" t="n"/>
      <c r="H917" s="18" t="n"/>
      <c r="I917" s="5" t="n"/>
      <c r="J917" s="24">
        <f>IF($A917="","",$A917&amp;IF($B917="","0010",$B917))</f>
        <v/>
      </c>
    </row>
    <row r="918">
      <c r="A918" s="5" t="n"/>
      <c r="B918" s="5" t="n"/>
      <c r="C918" s="5" t="n"/>
      <c r="D918" s="5" t="n"/>
      <c r="E918" s="5" t="n"/>
      <c r="F918" s="18" t="n"/>
      <c r="G918" s="18" t="n"/>
      <c r="H918" s="18" t="n"/>
      <c r="I918" s="5" t="n"/>
      <c r="J918" s="24">
        <f>IF($A918="","",$A918&amp;IF($B918="","0010",$B918))</f>
        <v/>
      </c>
    </row>
    <row r="919">
      <c r="A919" s="5" t="n"/>
      <c r="B919" s="5" t="n"/>
      <c r="C919" s="5" t="n"/>
      <c r="D919" s="5" t="n"/>
      <c r="E919" s="5" t="n"/>
      <c r="F919" s="18" t="n"/>
      <c r="G919" s="18" t="n"/>
      <c r="H919" s="18" t="n"/>
      <c r="I919" s="5" t="n"/>
      <c r="J919" s="24">
        <f>IF($A919="","",$A919&amp;IF($B919="","0010",$B919))</f>
        <v/>
      </c>
    </row>
    <row r="920">
      <c r="A920" s="5" t="n"/>
      <c r="B920" s="5" t="n"/>
      <c r="C920" s="5" t="n"/>
      <c r="D920" s="5" t="n"/>
      <c r="E920" s="5" t="n"/>
      <c r="F920" s="18" t="n"/>
      <c r="G920" s="18" t="n"/>
      <c r="H920" s="18" t="n"/>
      <c r="I920" s="5" t="n"/>
      <c r="J920" s="24">
        <f>IF($A920="","",$A920&amp;IF($B920="","0010",$B920))</f>
        <v/>
      </c>
    </row>
    <row r="921">
      <c r="A921" s="5" t="n"/>
      <c r="B921" s="5" t="n"/>
      <c r="C921" s="5" t="n"/>
      <c r="D921" s="5" t="n"/>
      <c r="E921" s="5" t="n"/>
      <c r="F921" s="18" t="n"/>
      <c r="G921" s="18" t="n"/>
      <c r="H921" s="18" t="n"/>
      <c r="I921" s="5" t="n"/>
      <c r="J921" s="24">
        <f>IF($A921="","",$A921&amp;IF($B921="","0010",$B921))</f>
        <v/>
      </c>
    </row>
    <row r="922">
      <c r="A922" s="5" t="n"/>
      <c r="B922" s="5" t="n"/>
      <c r="C922" s="5" t="n"/>
      <c r="D922" s="5" t="n"/>
      <c r="E922" s="5" t="n"/>
      <c r="F922" s="18" t="n"/>
      <c r="G922" s="18" t="n"/>
      <c r="H922" s="18" t="n"/>
      <c r="I922" s="5" t="n"/>
      <c r="J922" s="24">
        <f>IF($A922="","",$A922&amp;IF($B922="","0010",$B922))</f>
        <v/>
      </c>
    </row>
    <row r="923">
      <c r="A923" s="5" t="n"/>
      <c r="B923" s="5" t="n"/>
      <c r="C923" s="5" t="n"/>
      <c r="D923" s="5" t="n"/>
      <c r="E923" s="5" t="n"/>
      <c r="F923" s="18" t="n"/>
      <c r="G923" s="18" t="n"/>
      <c r="H923" s="18" t="n"/>
      <c r="I923" s="5" t="n"/>
      <c r="J923" s="24">
        <f>IF($A923="","",$A923&amp;IF($B923="","0010",$B923))</f>
        <v/>
      </c>
    </row>
    <row r="924">
      <c r="A924" s="5" t="n"/>
      <c r="B924" s="5" t="n"/>
      <c r="C924" s="5" t="n"/>
      <c r="D924" s="5" t="n"/>
      <c r="E924" s="5" t="n"/>
      <c r="F924" s="18" t="n"/>
      <c r="G924" s="18" t="n"/>
      <c r="H924" s="18" t="n"/>
      <c r="I924" s="5" t="n"/>
      <c r="J924" s="24">
        <f>IF($A924="","",$A924&amp;IF($B924="","0010",$B924))</f>
        <v/>
      </c>
    </row>
    <row r="925">
      <c r="A925" s="5" t="n"/>
      <c r="B925" s="5" t="n"/>
      <c r="C925" s="5" t="n"/>
      <c r="D925" s="5" t="n"/>
      <c r="E925" s="5" t="n"/>
      <c r="F925" s="18" t="n"/>
      <c r="G925" s="18" t="n"/>
      <c r="H925" s="18" t="n"/>
      <c r="I925" s="5" t="n"/>
      <c r="J925" s="24">
        <f>IF($A925="","",$A925&amp;IF($B925="","0010",$B925))</f>
        <v/>
      </c>
    </row>
    <row r="926">
      <c r="A926" s="5" t="n"/>
      <c r="B926" s="5" t="n"/>
      <c r="C926" s="5" t="n"/>
      <c r="D926" s="5" t="n"/>
      <c r="E926" s="5" t="n"/>
      <c r="F926" s="18" t="n"/>
      <c r="G926" s="18" t="n"/>
      <c r="H926" s="18" t="n"/>
      <c r="I926" s="5" t="n"/>
      <c r="J926" s="24">
        <f>IF($A926="","",$A926&amp;IF($B926="","0010",$B926))</f>
        <v/>
      </c>
    </row>
    <row r="927">
      <c r="A927" s="5" t="n"/>
      <c r="B927" s="5" t="n"/>
      <c r="C927" s="5" t="n"/>
      <c r="D927" s="5" t="n"/>
      <c r="E927" s="5" t="n"/>
      <c r="F927" s="18" t="n"/>
      <c r="G927" s="18" t="n"/>
      <c r="H927" s="18" t="n"/>
      <c r="I927" s="5" t="n"/>
      <c r="J927" s="24">
        <f>IF($A927="","",$A927&amp;IF($B927="","0010",$B927))</f>
        <v/>
      </c>
    </row>
    <row r="928">
      <c r="A928" s="5" t="n"/>
      <c r="B928" s="5" t="n"/>
      <c r="C928" s="5" t="n"/>
      <c r="D928" s="5" t="n"/>
      <c r="E928" s="5" t="n"/>
      <c r="F928" s="18" t="n"/>
      <c r="G928" s="18" t="n"/>
      <c r="H928" s="18" t="n"/>
      <c r="I928" s="5" t="n"/>
      <c r="J928" s="24">
        <f>IF($A928="","",$A928&amp;IF($B928="","0010",$B928))</f>
        <v/>
      </c>
    </row>
    <row r="929">
      <c r="A929" s="5" t="n"/>
      <c r="B929" s="5" t="n"/>
      <c r="C929" s="5" t="n"/>
      <c r="D929" s="5" t="n"/>
      <c r="E929" s="5" t="n"/>
      <c r="F929" s="18" t="n"/>
      <c r="G929" s="18" t="n"/>
      <c r="H929" s="18" t="n"/>
      <c r="I929" s="5" t="n"/>
      <c r="J929" s="24">
        <f>IF($A929="","",$A929&amp;IF($B929="","0010",$B929))</f>
        <v/>
      </c>
    </row>
    <row r="930">
      <c r="A930" s="5" t="n"/>
      <c r="B930" s="5" t="n"/>
      <c r="C930" s="5" t="n"/>
      <c r="D930" s="5" t="n"/>
      <c r="E930" s="5" t="n"/>
      <c r="F930" s="18" t="n"/>
      <c r="G930" s="18" t="n"/>
      <c r="H930" s="18" t="n"/>
      <c r="I930" s="5" t="n"/>
      <c r="J930" s="24">
        <f>IF($A930="","",$A930&amp;IF($B930="","0010",$B930))</f>
        <v/>
      </c>
    </row>
    <row r="931">
      <c r="A931" s="5" t="n"/>
      <c r="B931" s="5" t="n"/>
      <c r="C931" s="5" t="n"/>
      <c r="D931" s="5" t="n"/>
      <c r="E931" s="5" t="n"/>
      <c r="F931" s="18" t="n"/>
      <c r="G931" s="18" t="n"/>
      <c r="H931" s="18" t="n"/>
      <c r="I931" s="5" t="n"/>
      <c r="J931" s="24">
        <f>IF($A931="","",$A931&amp;IF($B931="","0010",$B931))</f>
        <v/>
      </c>
    </row>
    <row r="932">
      <c r="A932" s="5" t="n"/>
      <c r="B932" s="5" t="n"/>
      <c r="C932" s="5" t="n"/>
      <c r="D932" s="5" t="n"/>
      <c r="E932" s="5" t="n"/>
      <c r="F932" s="18" t="n"/>
      <c r="G932" s="18" t="n"/>
      <c r="H932" s="18" t="n"/>
      <c r="I932" s="5" t="n"/>
      <c r="J932" s="24">
        <f>IF($A932="","",$A932&amp;IF($B932="","0010",$B932))</f>
        <v/>
      </c>
    </row>
    <row r="933">
      <c r="A933" s="5" t="n"/>
      <c r="B933" s="5" t="n"/>
      <c r="C933" s="5" t="n"/>
      <c r="D933" s="5" t="n"/>
      <c r="E933" s="5" t="n"/>
      <c r="F933" s="18" t="n"/>
      <c r="G933" s="18" t="n"/>
      <c r="H933" s="18" t="n"/>
      <c r="I933" s="5" t="n"/>
      <c r="J933" s="24">
        <f>IF($A933="","",$A933&amp;IF($B933="","0010",$B933))</f>
        <v/>
      </c>
    </row>
    <row r="934">
      <c r="A934" s="5" t="n"/>
      <c r="B934" s="5" t="n"/>
      <c r="C934" s="5" t="n"/>
      <c r="D934" s="5" t="n"/>
      <c r="E934" s="5" t="n"/>
      <c r="F934" s="18" t="n"/>
      <c r="G934" s="18" t="n"/>
      <c r="H934" s="18" t="n"/>
      <c r="I934" s="5" t="n"/>
      <c r="J934" s="24">
        <f>IF($A934="","",$A934&amp;IF($B934="","0010",$B934))</f>
        <v/>
      </c>
    </row>
    <row r="935">
      <c r="A935" s="5" t="n"/>
      <c r="B935" s="5" t="n"/>
      <c r="C935" s="5" t="n"/>
      <c r="D935" s="5" t="n"/>
      <c r="E935" s="5" t="n"/>
      <c r="F935" s="18" t="n"/>
      <c r="G935" s="18" t="n"/>
      <c r="H935" s="18" t="n"/>
      <c r="I935" s="5" t="n"/>
      <c r="J935" s="24">
        <f>IF($A935="","",$A935&amp;IF($B935="","0010",$B935))</f>
        <v/>
      </c>
    </row>
    <row r="936">
      <c r="A936" s="5" t="n"/>
      <c r="B936" s="5" t="n"/>
      <c r="C936" s="5" t="n"/>
      <c r="D936" s="5" t="n"/>
      <c r="E936" s="5" t="n"/>
      <c r="F936" s="18" t="n"/>
      <c r="G936" s="18" t="n"/>
      <c r="H936" s="18" t="n"/>
      <c r="I936" s="5" t="n"/>
      <c r="J936" s="24">
        <f>IF($A936="","",$A936&amp;IF($B936="","0010",$B936))</f>
        <v/>
      </c>
    </row>
    <row r="937">
      <c r="A937" s="5" t="n"/>
      <c r="B937" s="5" t="n"/>
      <c r="C937" s="5" t="n"/>
      <c r="D937" s="5" t="n"/>
      <c r="E937" s="5" t="n"/>
      <c r="F937" s="18" t="n"/>
      <c r="G937" s="18" t="n"/>
      <c r="H937" s="18" t="n"/>
      <c r="I937" s="5" t="n"/>
      <c r="J937" s="24">
        <f>IF($A937="","",$A937&amp;IF($B937="","0010",$B937))</f>
        <v/>
      </c>
    </row>
    <row r="938">
      <c r="A938" s="5" t="n"/>
      <c r="B938" s="5" t="n"/>
      <c r="C938" s="5" t="n"/>
      <c r="D938" s="5" t="n"/>
      <c r="E938" s="5" t="n"/>
      <c r="F938" s="18" t="n"/>
      <c r="G938" s="18" t="n"/>
      <c r="H938" s="18" t="n"/>
      <c r="I938" s="5" t="n"/>
      <c r="J938" s="24">
        <f>IF($A938="","",$A938&amp;IF($B938="","0010",$B938))</f>
        <v/>
      </c>
    </row>
    <row r="939">
      <c r="A939" s="5" t="n"/>
      <c r="B939" s="5" t="n"/>
      <c r="C939" s="5" t="n"/>
      <c r="D939" s="5" t="n"/>
      <c r="E939" s="5" t="n"/>
      <c r="F939" s="18" t="n"/>
      <c r="G939" s="18" t="n"/>
      <c r="H939" s="18" t="n"/>
      <c r="I939" s="5" t="n"/>
      <c r="J939" s="24">
        <f>IF($A939="","",$A939&amp;IF($B939="","0010",$B939))</f>
        <v/>
      </c>
    </row>
    <row r="940">
      <c r="A940" s="5" t="n"/>
      <c r="B940" s="5" t="n"/>
      <c r="C940" s="5" t="n"/>
      <c r="D940" s="5" t="n"/>
      <c r="E940" s="5" t="n"/>
      <c r="F940" s="18" t="n"/>
      <c r="G940" s="18" t="n"/>
      <c r="H940" s="18" t="n"/>
      <c r="I940" s="5" t="n"/>
      <c r="J940" s="24">
        <f>IF($A940="","",$A940&amp;IF($B940="","0010",$B940))</f>
        <v/>
      </c>
    </row>
    <row r="941">
      <c r="A941" s="5" t="n"/>
      <c r="B941" s="5" t="n"/>
      <c r="C941" s="5" t="n"/>
      <c r="D941" s="5" t="n"/>
      <c r="E941" s="5" t="n"/>
      <c r="F941" s="18" t="n"/>
      <c r="G941" s="18" t="n"/>
      <c r="H941" s="18" t="n"/>
      <c r="I941" s="5" t="n"/>
      <c r="J941" s="24">
        <f>IF($A941="","",$A941&amp;IF($B941="","0010",$B941))</f>
        <v/>
      </c>
    </row>
    <row r="942">
      <c r="A942" s="5" t="n"/>
      <c r="B942" s="5" t="n"/>
      <c r="C942" s="5" t="n"/>
      <c r="D942" s="5" t="n"/>
      <c r="E942" s="5" t="n"/>
      <c r="F942" s="18" t="n"/>
      <c r="G942" s="18" t="n"/>
      <c r="H942" s="18" t="n"/>
      <c r="I942" s="5" t="n"/>
      <c r="J942" s="24">
        <f>IF($A942="","",$A942&amp;IF($B942="","0010",$B942))</f>
        <v/>
      </c>
    </row>
    <row r="943">
      <c r="A943" s="5" t="n"/>
      <c r="B943" s="5" t="n"/>
      <c r="C943" s="5" t="n"/>
      <c r="D943" s="5" t="n"/>
      <c r="E943" s="5" t="n"/>
      <c r="F943" s="18" t="n"/>
      <c r="G943" s="18" t="n"/>
      <c r="H943" s="18" t="n"/>
      <c r="I943" s="5" t="n"/>
      <c r="J943" s="24">
        <f>IF($A943="","",$A943&amp;IF($B943="","0010",$B943))</f>
        <v/>
      </c>
    </row>
    <row r="944">
      <c r="A944" s="5" t="n"/>
      <c r="B944" s="5" t="n"/>
      <c r="C944" s="5" t="n"/>
      <c r="D944" s="5" t="n"/>
      <c r="E944" s="5" t="n"/>
      <c r="F944" s="18" t="n"/>
      <c r="G944" s="18" t="n"/>
      <c r="H944" s="18" t="n"/>
      <c r="I944" s="5" t="n"/>
      <c r="J944" s="24">
        <f>IF($A944="","",$A944&amp;IF($B944="","0010",$B944))</f>
        <v/>
      </c>
    </row>
    <row r="945">
      <c r="A945" s="5" t="n"/>
      <c r="B945" s="5" t="n"/>
      <c r="C945" s="5" t="n"/>
      <c r="D945" s="5" t="n"/>
      <c r="E945" s="5" t="n"/>
      <c r="F945" s="18" t="n"/>
      <c r="G945" s="18" t="n"/>
      <c r="H945" s="18" t="n"/>
      <c r="I945" s="5" t="n"/>
      <c r="J945" s="24">
        <f>IF($A945="","",$A945&amp;IF($B945="","0010",$B945))</f>
        <v/>
      </c>
    </row>
    <row r="946">
      <c r="A946" s="5" t="n"/>
      <c r="B946" s="5" t="n"/>
      <c r="C946" s="5" t="n"/>
      <c r="D946" s="5" t="n"/>
      <c r="E946" s="5" t="n"/>
      <c r="F946" s="18" t="n"/>
      <c r="G946" s="18" t="n"/>
      <c r="H946" s="18" t="n"/>
      <c r="I946" s="5" t="n"/>
      <c r="J946" s="24">
        <f>IF($A946="","",$A946&amp;IF($B946="","0010",$B946))</f>
        <v/>
      </c>
    </row>
    <row r="947">
      <c r="A947" s="5" t="n"/>
      <c r="B947" s="5" t="n"/>
      <c r="C947" s="5" t="n"/>
      <c r="D947" s="5" t="n"/>
      <c r="E947" s="5" t="n"/>
      <c r="F947" s="18" t="n"/>
      <c r="G947" s="18" t="n"/>
      <c r="H947" s="18" t="n"/>
      <c r="I947" s="5" t="n"/>
      <c r="J947" s="24">
        <f>IF($A947="","",$A947&amp;IF($B947="","0010",$B947))</f>
        <v/>
      </c>
    </row>
    <row r="948">
      <c r="A948" s="5" t="n"/>
      <c r="B948" s="5" t="n"/>
      <c r="C948" s="5" t="n"/>
      <c r="D948" s="5" t="n"/>
      <c r="E948" s="5" t="n"/>
      <c r="F948" s="18" t="n"/>
      <c r="G948" s="18" t="n"/>
      <c r="H948" s="18" t="n"/>
      <c r="I948" s="5" t="n"/>
      <c r="J948" s="24">
        <f>IF($A948="","",$A948&amp;IF($B948="","0010",$B948))</f>
        <v/>
      </c>
    </row>
    <row r="949">
      <c r="A949" s="5" t="n"/>
      <c r="B949" s="5" t="n"/>
      <c r="C949" s="5" t="n"/>
      <c r="D949" s="5" t="n"/>
      <c r="E949" s="5" t="n"/>
      <c r="F949" s="18" t="n"/>
      <c r="G949" s="18" t="n"/>
      <c r="H949" s="18" t="n"/>
      <c r="I949" s="5" t="n"/>
      <c r="J949" s="24">
        <f>IF($A949="","",$A949&amp;IF($B949="","0010",$B949))</f>
        <v/>
      </c>
    </row>
    <row r="950">
      <c r="A950" s="5" t="n"/>
      <c r="B950" s="5" t="n"/>
      <c r="C950" s="5" t="n"/>
      <c r="D950" s="5" t="n"/>
      <c r="E950" s="5" t="n"/>
      <c r="F950" s="18" t="n"/>
      <c r="G950" s="18" t="n"/>
      <c r="H950" s="18" t="n"/>
      <c r="I950" s="5" t="n"/>
      <c r="J950" s="24">
        <f>IF($A950="","",$A950&amp;IF($B950="","0010",$B950))</f>
        <v/>
      </c>
    </row>
    <row r="951">
      <c r="A951" s="5" t="n"/>
      <c r="B951" s="5" t="n"/>
      <c r="C951" s="5" t="n"/>
      <c r="D951" s="5" t="n"/>
      <c r="E951" s="5" t="n"/>
      <c r="F951" s="18" t="n"/>
      <c r="G951" s="18" t="n"/>
      <c r="H951" s="18" t="n"/>
      <c r="I951" s="5" t="n"/>
      <c r="J951" s="24">
        <f>IF($A951="","",$A951&amp;IF($B951="","0010",$B951))</f>
        <v/>
      </c>
    </row>
    <row r="952">
      <c r="A952" s="5" t="n"/>
      <c r="B952" s="5" t="n"/>
      <c r="C952" s="5" t="n"/>
      <c r="D952" s="5" t="n"/>
      <c r="E952" s="5" t="n"/>
      <c r="F952" s="18" t="n"/>
      <c r="G952" s="18" t="n"/>
      <c r="H952" s="18" t="n"/>
      <c r="I952" s="5" t="n"/>
      <c r="J952" s="24">
        <f>IF($A952="","",$A952&amp;IF($B952="","0010",$B952))</f>
        <v/>
      </c>
    </row>
    <row r="953">
      <c r="A953" s="5" t="n"/>
      <c r="B953" s="5" t="n"/>
      <c r="C953" s="5" t="n"/>
      <c r="D953" s="5" t="n"/>
      <c r="E953" s="5" t="n"/>
      <c r="F953" s="18" t="n"/>
      <c r="G953" s="18" t="n"/>
      <c r="H953" s="18" t="n"/>
      <c r="I953" s="5" t="n"/>
      <c r="J953" s="24">
        <f>IF($A953="","",$A953&amp;IF($B953="","0010",$B953))</f>
        <v/>
      </c>
    </row>
    <row r="954">
      <c r="A954" s="5" t="n"/>
      <c r="B954" s="5" t="n"/>
      <c r="C954" s="5" t="n"/>
      <c r="D954" s="5" t="n"/>
      <c r="E954" s="5" t="n"/>
      <c r="F954" s="18" t="n"/>
      <c r="G954" s="18" t="n"/>
      <c r="H954" s="18" t="n"/>
      <c r="I954" s="5" t="n"/>
      <c r="J954" s="24">
        <f>IF($A954="","",$A954&amp;IF($B954="","0010",$B954))</f>
        <v/>
      </c>
    </row>
    <row r="955">
      <c r="A955" s="5" t="n"/>
      <c r="B955" s="5" t="n"/>
      <c r="C955" s="5" t="n"/>
      <c r="D955" s="5" t="n"/>
      <c r="E955" s="5" t="n"/>
      <c r="F955" s="18" t="n"/>
      <c r="G955" s="18" t="n"/>
      <c r="H955" s="18" t="n"/>
      <c r="I955" s="5" t="n"/>
      <c r="J955" s="24">
        <f>IF($A955="","",$A955&amp;IF($B955="","0010",$B955))</f>
        <v/>
      </c>
    </row>
    <row r="956">
      <c r="A956" s="5" t="n"/>
      <c r="B956" s="5" t="n"/>
      <c r="C956" s="5" t="n"/>
      <c r="D956" s="5" t="n"/>
      <c r="E956" s="5" t="n"/>
      <c r="F956" s="18" t="n"/>
      <c r="G956" s="18" t="n"/>
      <c r="H956" s="18" t="n"/>
      <c r="I956" s="5" t="n"/>
      <c r="J956" s="24">
        <f>IF($A956="","",$A956&amp;IF($B956="","0010",$B956))</f>
        <v/>
      </c>
    </row>
    <row r="957">
      <c r="A957" s="5" t="n"/>
      <c r="B957" s="5" t="n"/>
      <c r="C957" s="5" t="n"/>
      <c r="D957" s="5" t="n"/>
      <c r="E957" s="5" t="n"/>
      <c r="F957" s="18" t="n"/>
      <c r="G957" s="18" t="n"/>
      <c r="H957" s="18" t="n"/>
      <c r="I957" s="5" t="n"/>
      <c r="J957" s="24">
        <f>IF($A957="","",$A957&amp;IF($B957="","0010",$B957))</f>
        <v/>
      </c>
    </row>
    <row r="958">
      <c r="A958" s="5" t="n"/>
      <c r="B958" s="5" t="n"/>
      <c r="C958" s="5" t="n"/>
      <c r="D958" s="5" t="n"/>
      <c r="E958" s="5" t="n"/>
      <c r="F958" s="18" t="n"/>
      <c r="G958" s="18" t="n"/>
      <c r="H958" s="18" t="n"/>
      <c r="I958" s="5" t="n"/>
      <c r="J958" s="24">
        <f>IF($A958="","",$A958&amp;IF($B958="","0010",$B958))</f>
        <v/>
      </c>
    </row>
    <row r="959">
      <c r="A959" s="5" t="n"/>
      <c r="B959" s="5" t="n"/>
      <c r="C959" s="5" t="n"/>
      <c r="D959" s="5" t="n"/>
      <c r="E959" s="5" t="n"/>
      <c r="F959" s="18" t="n"/>
      <c r="G959" s="18" t="n"/>
      <c r="H959" s="18" t="n"/>
      <c r="I959" s="5" t="n"/>
      <c r="J959" s="24">
        <f>IF($A959="","",$A959&amp;IF($B959="","0010",$B959))</f>
        <v/>
      </c>
    </row>
    <row r="960">
      <c r="A960" s="5" t="n"/>
      <c r="B960" s="5" t="n"/>
      <c r="C960" s="5" t="n"/>
      <c r="D960" s="5" t="n"/>
      <c r="E960" s="5" t="n"/>
      <c r="F960" s="18" t="n"/>
      <c r="G960" s="18" t="n"/>
      <c r="H960" s="18" t="n"/>
      <c r="I960" s="5" t="n"/>
      <c r="J960" s="24">
        <f>IF($A960="","",$A960&amp;IF($B960="","0010",$B960))</f>
        <v/>
      </c>
    </row>
    <row r="961">
      <c r="A961" s="5" t="n"/>
      <c r="B961" s="5" t="n"/>
      <c r="C961" s="5" t="n"/>
      <c r="D961" s="5" t="n"/>
      <c r="E961" s="5" t="n"/>
      <c r="F961" s="18" t="n"/>
      <c r="G961" s="18" t="n"/>
      <c r="H961" s="18" t="n"/>
      <c r="I961" s="5" t="n"/>
      <c r="J961" s="24">
        <f>IF($A961="","",$A961&amp;IF($B961="","0010",$B961))</f>
        <v/>
      </c>
    </row>
    <row r="962">
      <c r="A962" s="5" t="n"/>
      <c r="B962" s="5" t="n"/>
      <c r="C962" s="5" t="n"/>
      <c r="D962" s="5" t="n"/>
      <c r="E962" s="5" t="n"/>
      <c r="F962" s="18" t="n"/>
      <c r="G962" s="18" t="n"/>
      <c r="H962" s="18" t="n"/>
      <c r="I962" s="5" t="n"/>
      <c r="J962" s="24">
        <f>IF($A962="","",$A962&amp;IF($B962="","0010",$B962))</f>
        <v/>
      </c>
    </row>
    <row r="963">
      <c r="A963" s="5" t="n"/>
      <c r="B963" s="5" t="n"/>
      <c r="C963" s="5" t="n"/>
      <c r="D963" s="5" t="n"/>
      <c r="E963" s="5" t="n"/>
      <c r="F963" s="18" t="n"/>
      <c r="G963" s="18" t="n"/>
      <c r="H963" s="18" t="n"/>
      <c r="I963" s="5" t="n"/>
      <c r="J963" s="24">
        <f>IF($A963="","",$A963&amp;IF($B963="","0010",$B963))</f>
        <v/>
      </c>
    </row>
    <row r="964">
      <c r="A964" s="5" t="n"/>
      <c r="B964" s="5" t="n"/>
      <c r="C964" s="5" t="n"/>
      <c r="D964" s="5" t="n"/>
      <c r="E964" s="5" t="n"/>
      <c r="F964" s="18" t="n"/>
      <c r="G964" s="18" t="n"/>
      <c r="H964" s="18" t="n"/>
      <c r="I964" s="5" t="n"/>
      <c r="J964" s="24">
        <f>IF($A964="","",$A964&amp;IF($B964="","0010",$B964))</f>
        <v/>
      </c>
    </row>
    <row r="965">
      <c r="A965" s="5" t="n"/>
      <c r="B965" s="5" t="n"/>
      <c r="C965" s="5" t="n"/>
      <c r="D965" s="5" t="n"/>
      <c r="E965" s="5" t="n"/>
      <c r="F965" s="18" t="n"/>
      <c r="G965" s="18" t="n"/>
      <c r="H965" s="18" t="n"/>
      <c r="I965" s="5" t="n"/>
      <c r="J965" s="24">
        <f>IF($A965="","",$A965&amp;IF($B965="","0010",$B965))</f>
        <v/>
      </c>
    </row>
    <row r="966">
      <c r="A966" s="5" t="n"/>
      <c r="B966" s="5" t="n"/>
      <c r="C966" s="5" t="n"/>
      <c r="D966" s="5" t="n"/>
      <c r="E966" s="5" t="n"/>
      <c r="F966" s="18" t="n"/>
      <c r="G966" s="18" t="n"/>
      <c r="H966" s="18" t="n"/>
      <c r="I966" s="5" t="n"/>
      <c r="J966" s="24">
        <f>IF($A966="","",$A966&amp;IF($B966="","0010",$B966))</f>
        <v/>
      </c>
    </row>
    <row r="967">
      <c r="A967" s="5" t="n"/>
      <c r="B967" s="5" t="n"/>
      <c r="C967" s="5" t="n"/>
      <c r="D967" s="5" t="n"/>
      <c r="E967" s="5" t="n"/>
      <c r="F967" s="18" t="n"/>
      <c r="G967" s="18" t="n"/>
      <c r="H967" s="18" t="n"/>
      <c r="I967" s="5" t="n"/>
      <c r="J967" s="24">
        <f>IF($A967="","",$A967&amp;IF($B967="","0010",$B967))</f>
        <v/>
      </c>
    </row>
    <row r="968">
      <c r="A968" s="5" t="n"/>
      <c r="B968" s="5" t="n"/>
      <c r="C968" s="5" t="n"/>
      <c r="D968" s="5" t="n"/>
      <c r="E968" s="5" t="n"/>
      <c r="F968" s="18" t="n"/>
      <c r="G968" s="18" t="n"/>
      <c r="H968" s="18" t="n"/>
      <c r="I968" s="5" t="n"/>
      <c r="J968" s="24">
        <f>IF($A968="","",$A968&amp;IF($B968="","0010",$B968))</f>
        <v/>
      </c>
    </row>
    <row r="969">
      <c r="A969" s="5" t="n"/>
      <c r="B969" s="5" t="n"/>
      <c r="C969" s="5" t="n"/>
      <c r="D969" s="5" t="n"/>
      <c r="E969" s="5" t="n"/>
      <c r="F969" s="18" t="n"/>
      <c r="G969" s="18" t="n"/>
      <c r="H969" s="18" t="n"/>
      <c r="I969" s="5" t="n"/>
      <c r="J969" s="24">
        <f>IF($A969="","",$A969&amp;IF($B969="","0010",$B969))</f>
        <v/>
      </c>
    </row>
    <row r="970">
      <c r="A970" s="5" t="n"/>
      <c r="B970" s="5" t="n"/>
      <c r="C970" s="5" t="n"/>
      <c r="D970" s="5" t="n"/>
      <c r="E970" s="5" t="n"/>
      <c r="F970" s="18" t="n"/>
      <c r="G970" s="18" t="n"/>
      <c r="H970" s="18" t="n"/>
      <c r="I970" s="5" t="n"/>
      <c r="J970" s="24">
        <f>IF($A970="","",$A970&amp;IF($B970="","0010",$B970))</f>
        <v/>
      </c>
    </row>
    <row r="971">
      <c r="A971" s="5" t="n"/>
      <c r="B971" s="5" t="n"/>
      <c r="C971" s="5" t="n"/>
      <c r="D971" s="5" t="n"/>
      <c r="E971" s="5" t="n"/>
      <c r="F971" s="18" t="n"/>
      <c r="G971" s="18" t="n"/>
      <c r="H971" s="18" t="n"/>
      <c r="I971" s="5" t="n"/>
      <c r="J971" s="24">
        <f>IF($A971="","",$A971&amp;IF($B971="","0010",$B971))</f>
        <v/>
      </c>
    </row>
    <row r="972">
      <c r="A972" s="5" t="n"/>
      <c r="B972" s="5" t="n"/>
      <c r="C972" s="5" t="n"/>
      <c r="D972" s="5" t="n"/>
      <c r="E972" s="5" t="n"/>
      <c r="F972" s="18" t="n"/>
      <c r="G972" s="18" t="n"/>
      <c r="H972" s="18" t="n"/>
      <c r="I972" s="5" t="n"/>
      <c r="J972" s="24">
        <f>IF($A972="","",$A972&amp;IF($B972="","0010",$B972))</f>
        <v/>
      </c>
    </row>
    <row r="973">
      <c r="A973" s="5" t="n"/>
      <c r="B973" s="5" t="n"/>
      <c r="C973" s="5" t="n"/>
      <c r="D973" s="5" t="n"/>
      <c r="E973" s="5" t="n"/>
      <c r="F973" s="18" t="n"/>
      <c r="G973" s="18" t="n"/>
      <c r="H973" s="18" t="n"/>
      <c r="I973" s="5" t="n"/>
      <c r="J973" s="24">
        <f>IF($A973="","",$A973&amp;IF($B973="","0010",$B973))</f>
        <v/>
      </c>
    </row>
    <row r="974">
      <c r="A974" s="5" t="n"/>
      <c r="B974" s="5" t="n"/>
      <c r="C974" s="5" t="n"/>
      <c r="D974" s="5" t="n"/>
      <c r="E974" s="5" t="n"/>
      <c r="F974" s="18" t="n"/>
      <c r="G974" s="18" t="n"/>
      <c r="H974" s="18" t="n"/>
      <c r="I974" s="5" t="n"/>
      <c r="J974" s="24">
        <f>IF($A974="","",$A974&amp;IF($B974="","0010",$B974))</f>
        <v/>
      </c>
    </row>
    <row r="975">
      <c r="A975" s="5" t="n"/>
      <c r="B975" s="5" t="n"/>
      <c r="C975" s="5" t="n"/>
      <c r="D975" s="5" t="n"/>
      <c r="E975" s="5" t="n"/>
      <c r="F975" s="18" t="n"/>
      <c r="G975" s="18" t="n"/>
      <c r="H975" s="18" t="n"/>
      <c r="I975" s="5" t="n"/>
      <c r="J975" s="24">
        <f>IF($A975="","",$A975&amp;IF($B975="","0010",$B975))</f>
        <v/>
      </c>
    </row>
    <row r="976">
      <c r="A976" s="5" t="n"/>
      <c r="B976" s="5" t="n"/>
      <c r="C976" s="5" t="n"/>
      <c r="D976" s="5" t="n"/>
      <c r="E976" s="5" t="n"/>
      <c r="F976" s="18" t="n"/>
      <c r="G976" s="18" t="n"/>
      <c r="H976" s="18" t="n"/>
      <c r="I976" s="5" t="n"/>
      <c r="J976" s="24">
        <f>IF($A976="","",$A976&amp;IF($B976="","0010",$B976))</f>
        <v/>
      </c>
    </row>
    <row r="977">
      <c r="A977" s="5" t="n"/>
      <c r="B977" s="5" t="n"/>
      <c r="C977" s="5" t="n"/>
      <c r="D977" s="5" t="n"/>
      <c r="E977" s="5" t="n"/>
      <c r="F977" s="18" t="n"/>
      <c r="G977" s="18" t="n"/>
      <c r="H977" s="18" t="n"/>
      <c r="I977" s="5" t="n"/>
      <c r="J977" s="24">
        <f>IF($A977="","",$A977&amp;IF($B977="","0010",$B977))</f>
        <v/>
      </c>
    </row>
    <row r="978">
      <c r="A978" s="5" t="n"/>
      <c r="B978" s="5" t="n"/>
      <c r="C978" s="5" t="n"/>
      <c r="D978" s="5" t="n"/>
      <c r="E978" s="5" t="n"/>
      <c r="F978" s="18" t="n"/>
      <c r="G978" s="18" t="n"/>
      <c r="H978" s="18" t="n"/>
      <c r="I978" s="5" t="n"/>
      <c r="J978" s="24">
        <f>IF($A978="","",$A978&amp;IF($B978="","0010",$B978))</f>
        <v/>
      </c>
    </row>
    <row r="979">
      <c r="A979" s="5" t="n"/>
      <c r="B979" s="5" t="n"/>
      <c r="C979" s="5" t="n"/>
      <c r="D979" s="5" t="n"/>
      <c r="E979" s="5" t="n"/>
      <c r="F979" s="18" t="n"/>
      <c r="G979" s="18" t="n"/>
      <c r="H979" s="18" t="n"/>
      <c r="I979" s="5" t="n"/>
      <c r="J979" s="24">
        <f>IF($A979="","",$A979&amp;IF($B979="","0010",$B979))</f>
        <v/>
      </c>
    </row>
    <row r="980">
      <c r="A980" s="5" t="n"/>
      <c r="B980" s="5" t="n"/>
      <c r="C980" s="5" t="n"/>
      <c r="D980" s="5" t="n"/>
      <c r="E980" s="5" t="n"/>
      <c r="F980" s="18" t="n"/>
      <c r="G980" s="18" t="n"/>
      <c r="H980" s="18" t="n"/>
      <c r="I980" s="5" t="n"/>
      <c r="J980" s="24">
        <f>IF($A980="","",$A980&amp;IF($B980="","0010",$B980))</f>
        <v/>
      </c>
    </row>
    <row r="981">
      <c r="A981" s="5" t="n"/>
      <c r="B981" s="5" t="n"/>
      <c r="C981" s="5" t="n"/>
      <c r="D981" s="5" t="n"/>
      <c r="E981" s="5" t="n"/>
      <c r="F981" s="18" t="n"/>
      <c r="G981" s="18" t="n"/>
      <c r="H981" s="18" t="n"/>
      <c r="I981" s="5" t="n"/>
      <c r="J981" s="24">
        <f>IF($A981="","",$A981&amp;IF($B981="","0010",$B981))</f>
        <v/>
      </c>
    </row>
    <row r="982">
      <c r="A982" s="5" t="n"/>
      <c r="B982" s="5" t="n"/>
      <c r="C982" s="5" t="n"/>
      <c r="D982" s="5" t="n"/>
      <c r="E982" s="5" t="n"/>
      <c r="F982" s="18" t="n"/>
      <c r="G982" s="18" t="n"/>
      <c r="H982" s="18" t="n"/>
      <c r="I982" s="5" t="n"/>
      <c r="J982" s="24">
        <f>IF($A982="","",$A982&amp;IF($B982="","0010",$B982))</f>
        <v/>
      </c>
    </row>
    <row r="983">
      <c r="A983" s="5" t="n"/>
      <c r="B983" s="5" t="n"/>
      <c r="C983" s="5" t="n"/>
      <c r="D983" s="5" t="n"/>
      <c r="E983" s="5" t="n"/>
      <c r="F983" s="18" t="n"/>
      <c r="G983" s="18" t="n"/>
      <c r="H983" s="18" t="n"/>
      <c r="I983" s="5" t="n"/>
      <c r="J983" s="24">
        <f>IF($A983="","",$A983&amp;IF($B983="","0010",$B983))</f>
        <v/>
      </c>
    </row>
    <row r="984">
      <c r="A984" s="5" t="n"/>
      <c r="B984" s="5" t="n"/>
      <c r="C984" s="5" t="n"/>
      <c r="D984" s="5" t="n"/>
      <c r="E984" s="5" t="n"/>
      <c r="F984" s="18" t="n"/>
      <c r="G984" s="18" t="n"/>
      <c r="H984" s="18" t="n"/>
      <c r="I984" s="5" t="n"/>
      <c r="J984" s="24">
        <f>IF($A984="","",$A984&amp;IF($B984="","0010",$B984))</f>
        <v/>
      </c>
    </row>
    <row r="985">
      <c r="A985" s="5" t="n"/>
      <c r="B985" s="5" t="n"/>
      <c r="C985" s="5" t="n"/>
      <c r="D985" s="5" t="n"/>
      <c r="E985" s="5" t="n"/>
      <c r="F985" s="18" t="n"/>
      <c r="G985" s="18" t="n"/>
      <c r="H985" s="18" t="n"/>
      <c r="I985" s="5" t="n"/>
      <c r="J985" s="24">
        <f>IF($A985="","",$A985&amp;IF($B985="","0010",$B985))</f>
        <v/>
      </c>
    </row>
    <row r="986">
      <c r="A986" s="5" t="n"/>
      <c r="B986" s="5" t="n"/>
      <c r="C986" s="5" t="n"/>
      <c r="D986" s="5" t="n"/>
      <c r="E986" s="5" t="n"/>
      <c r="F986" s="18" t="n"/>
      <c r="G986" s="18" t="n"/>
      <c r="H986" s="18" t="n"/>
      <c r="I986" s="5" t="n"/>
      <c r="J986" s="24">
        <f>IF($A986="","",$A986&amp;IF($B986="","0010",$B986))</f>
        <v/>
      </c>
    </row>
    <row r="987">
      <c r="A987" s="5" t="n"/>
      <c r="B987" s="5" t="n"/>
      <c r="C987" s="5" t="n"/>
      <c r="D987" s="5" t="n"/>
      <c r="E987" s="5" t="n"/>
      <c r="F987" s="18" t="n"/>
      <c r="G987" s="18" t="n"/>
      <c r="H987" s="18" t="n"/>
      <c r="I987" s="5" t="n"/>
      <c r="J987" s="24">
        <f>IF($A987="","",$A987&amp;IF($B987="","0010",$B987))</f>
        <v/>
      </c>
    </row>
    <row r="988">
      <c r="A988" s="5" t="n"/>
      <c r="B988" s="5" t="n"/>
      <c r="C988" s="5" t="n"/>
      <c r="D988" s="5" t="n"/>
      <c r="E988" s="5" t="n"/>
      <c r="F988" s="18" t="n"/>
      <c r="G988" s="18" t="n"/>
      <c r="H988" s="18" t="n"/>
      <c r="I988" s="5" t="n"/>
      <c r="J988" s="24">
        <f>IF($A988="","",$A988&amp;IF($B988="","0010",$B988))</f>
        <v/>
      </c>
    </row>
    <row r="989">
      <c r="A989" s="5" t="n"/>
      <c r="B989" s="5" t="n"/>
      <c r="C989" s="5" t="n"/>
      <c r="D989" s="5" t="n"/>
      <c r="E989" s="5" t="n"/>
      <c r="F989" s="18" t="n"/>
      <c r="G989" s="18" t="n"/>
      <c r="H989" s="18" t="n"/>
      <c r="I989" s="5" t="n"/>
      <c r="J989" s="24">
        <f>IF($A989="","",$A989&amp;IF($B989="","0010",$B989))</f>
        <v/>
      </c>
    </row>
    <row r="990">
      <c r="A990" s="5" t="n"/>
      <c r="B990" s="5" t="n"/>
      <c r="C990" s="5" t="n"/>
      <c r="D990" s="5" t="n"/>
      <c r="E990" s="5" t="n"/>
      <c r="F990" s="18" t="n"/>
      <c r="G990" s="18" t="n"/>
      <c r="H990" s="18" t="n"/>
      <c r="I990" s="5" t="n"/>
      <c r="J990" s="24">
        <f>IF($A990="","",$A990&amp;IF($B990="","0010",$B990))</f>
        <v/>
      </c>
    </row>
    <row r="991">
      <c r="A991" s="5" t="n"/>
      <c r="B991" s="5" t="n"/>
      <c r="C991" s="5" t="n"/>
      <c r="D991" s="5" t="n"/>
      <c r="E991" s="5" t="n"/>
      <c r="F991" s="18" t="n"/>
      <c r="G991" s="18" t="n"/>
      <c r="H991" s="18" t="n"/>
      <c r="I991" s="5" t="n"/>
      <c r="J991" s="24">
        <f>IF($A991="","",$A991&amp;IF($B991="","0010",$B991))</f>
        <v/>
      </c>
    </row>
    <row r="992">
      <c r="A992" s="5" t="n"/>
      <c r="B992" s="5" t="n"/>
      <c r="C992" s="5" t="n"/>
      <c r="D992" s="5" t="n"/>
      <c r="E992" s="5" t="n"/>
      <c r="F992" s="18" t="n"/>
      <c r="G992" s="18" t="n"/>
      <c r="H992" s="18" t="n"/>
      <c r="I992" s="5" t="n"/>
      <c r="J992" s="24">
        <f>IF($A992="","",$A992&amp;IF($B992="","0010",$B992))</f>
        <v/>
      </c>
    </row>
    <row r="993">
      <c r="A993" s="5" t="n"/>
      <c r="B993" s="5" t="n"/>
      <c r="C993" s="5" t="n"/>
      <c r="D993" s="5" t="n"/>
      <c r="E993" s="5" t="n"/>
      <c r="F993" s="18" t="n"/>
      <c r="G993" s="18" t="n"/>
      <c r="H993" s="18" t="n"/>
      <c r="I993" s="5" t="n"/>
      <c r="J993" s="24">
        <f>IF($A993="","",$A993&amp;IF($B993="","0010",$B993))</f>
        <v/>
      </c>
    </row>
    <row r="994">
      <c r="A994" s="5" t="n"/>
      <c r="B994" s="5" t="n"/>
      <c r="C994" s="5" t="n"/>
      <c r="D994" s="5" t="n"/>
      <c r="E994" s="5" t="n"/>
      <c r="F994" s="18" t="n"/>
      <c r="G994" s="18" t="n"/>
      <c r="H994" s="18" t="n"/>
      <c r="I994" s="5" t="n"/>
      <c r="J994" s="24">
        <f>IF($A994="","",$A994&amp;IF($B994="","0010",$B994))</f>
        <v/>
      </c>
    </row>
    <row r="995">
      <c r="A995" s="5" t="n"/>
      <c r="B995" s="5" t="n"/>
      <c r="C995" s="5" t="n"/>
      <c r="D995" s="5" t="n"/>
      <c r="E995" s="5" t="n"/>
      <c r="F995" s="18" t="n"/>
      <c r="G995" s="18" t="n"/>
      <c r="H995" s="18" t="n"/>
      <c r="I995" s="5" t="n"/>
      <c r="J995" s="24">
        <f>IF($A995="","",$A995&amp;IF($B995="","0010",$B995))</f>
        <v/>
      </c>
    </row>
    <row r="996">
      <c r="A996" s="5" t="n"/>
      <c r="B996" s="5" t="n"/>
      <c r="C996" s="5" t="n"/>
      <c r="D996" s="5" t="n"/>
      <c r="E996" s="5" t="n"/>
      <c r="F996" s="18" t="n"/>
      <c r="G996" s="18" t="n"/>
      <c r="H996" s="18" t="n"/>
      <c r="I996" s="5" t="n"/>
      <c r="J996" s="24">
        <f>IF($A996="","",$A996&amp;IF($B996="","0010",$B996))</f>
        <v/>
      </c>
    </row>
    <row r="997">
      <c r="A997" s="5" t="n"/>
      <c r="B997" s="5" t="n"/>
      <c r="C997" s="5" t="n"/>
      <c r="D997" s="5" t="n"/>
      <c r="E997" s="5" t="n"/>
      <c r="F997" s="18" t="n"/>
      <c r="G997" s="18" t="n"/>
      <c r="H997" s="18" t="n"/>
      <c r="I997" s="5" t="n"/>
      <c r="J997" s="24">
        <f>IF($A997="","",$A997&amp;IF($B997="","0010",$B997))</f>
        <v/>
      </c>
    </row>
    <row r="998">
      <c r="A998" s="5" t="n"/>
      <c r="B998" s="5" t="n"/>
      <c r="C998" s="5" t="n"/>
      <c r="D998" s="5" t="n"/>
      <c r="E998" s="5" t="n"/>
      <c r="F998" s="18" t="n"/>
      <c r="G998" s="18" t="n"/>
      <c r="H998" s="18" t="n"/>
      <c r="I998" s="5" t="n"/>
      <c r="J998" s="24">
        <f>IF($A998="","",$A998&amp;IF($B998="","0010",$B998))</f>
        <v/>
      </c>
    </row>
    <row r="999">
      <c r="A999" s="5" t="n"/>
      <c r="B999" s="5" t="n"/>
      <c r="C999" s="5" t="n"/>
      <c r="D999" s="5" t="n"/>
      <c r="E999" s="5" t="n"/>
      <c r="F999" s="18" t="n"/>
      <c r="G999" s="18" t="n"/>
      <c r="H999" s="18" t="n"/>
      <c r="I999" s="5" t="n"/>
      <c r="J999" s="24">
        <f>IF($A999="","",$A999&amp;IF($B999="","0010",$B999))</f>
        <v/>
      </c>
    </row>
    <row r="1000">
      <c r="A1000" s="5" t="n"/>
      <c r="B1000" s="5" t="n"/>
      <c r="C1000" s="5" t="n"/>
      <c r="D1000" s="5" t="n"/>
      <c r="E1000" s="5" t="n"/>
      <c r="F1000" s="18" t="n"/>
      <c r="G1000" s="18" t="n"/>
      <c r="H1000" s="18" t="n"/>
      <c r="I1000" s="5" t="n"/>
      <c r="J1000" s="24">
        <f>IF($A1000="","",$A1000&amp;IF($B1000="","0010",$B1000))</f>
        <v/>
      </c>
    </row>
    <row r="1001">
      <c r="A1001" s="5" t="n"/>
      <c r="B1001" s="5" t="n"/>
      <c r="C1001" s="5" t="n"/>
      <c r="D1001" s="5" t="n"/>
      <c r="E1001" s="5" t="n"/>
      <c r="F1001" s="18" t="n"/>
      <c r="G1001" s="18" t="n"/>
      <c r="H1001" s="18" t="n"/>
      <c r="I1001" s="5" t="n"/>
      <c r="J1001" s="24">
        <f>IF($A1001="","",$A1001&amp;IF($B1001="","0010",$B1001))</f>
        <v/>
      </c>
    </row>
    <row r="1002">
      <c r="A1002" s="5" t="n"/>
      <c r="B1002" s="5" t="n"/>
      <c r="C1002" s="5" t="n"/>
      <c r="D1002" s="5" t="n"/>
      <c r="E1002" s="5" t="n"/>
      <c r="F1002" s="18" t="n"/>
      <c r="G1002" s="18" t="n"/>
      <c r="H1002" s="18" t="n"/>
      <c r="I1002" s="5" t="n"/>
      <c r="J1002" s="24">
        <f>IF($A1002="","",$A1002&amp;IF($B1002="","0010",$B1002))</f>
        <v/>
      </c>
    </row>
    <row r="1003">
      <c r="A1003" s="5" t="n"/>
      <c r="B1003" s="5" t="n"/>
      <c r="C1003" s="5" t="n"/>
      <c r="D1003" s="5" t="n"/>
      <c r="E1003" s="5" t="n"/>
      <c r="F1003" s="18" t="n"/>
      <c r="G1003" s="18" t="n"/>
      <c r="H1003" s="18" t="n"/>
      <c r="I1003" s="5" t="n"/>
      <c r="J1003" s="24">
        <f>IF($A1003="","",$A1003&amp;IF($B1003="","0010",$B1003))</f>
        <v/>
      </c>
    </row>
    <row r="1004">
      <c r="A1004" s="5" t="n"/>
      <c r="B1004" s="5" t="n"/>
      <c r="C1004" s="5" t="n"/>
      <c r="D1004" s="5" t="n"/>
      <c r="E1004" s="5" t="n"/>
      <c r="F1004" s="18" t="n"/>
      <c r="G1004" s="18" t="n"/>
      <c r="H1004" s="18" t="n"/>
      <c r="I1004" s="5" t="n"/>
      <c r="J1004" s="24">
        <f>IF($A1004="","",$A1004&amp;IF($B1004="","0010",$B1004))</f>
        <v/>
      </c>
    </row>
    <row r="1005">
      <c r="A1005" s="5" t="n"/>
      <c r="B1005" s="5" t="n"/>
      <c r="C1005" s="5" t="n"/>
      <c r="D1005" s="5" t="n"/>
      <c r="E1005" s="5" t="n"/>
      <c r="F1005" s="18" t="n"/>
      <c r="G1005" s="18" t="n"/>
      <c r="H1005" s="18" t="n"/>
      <c r="I1005" s="5" t="n"/>
      <c r="J1005" s="24">
        <f>IF($A1005="","",$A1005&amp;IF($B1005="","0010",$B1005))</f>
        <v/>
      </c>
    </row>
    <row r="1006">
      <c r="A1006" s="5" t="n"/>
      <c r="B1006" s="5" t="n"/>
      <c r="C1006" s="5" t="n"/>
      <c r="D1006" s="5" t="n"/>
      <c r="E1006" s="5" t="n"/>
      <c r="F1006" s="18" t="n"/>
      <c r="G1006" s="18" t="n"/>
      <c r="H1006" s="18" t="n"/>
      <c r="I1006" s="5" t="n"/>
      <c r="J1006" s="24">
        <f>IF($A1006="","",$A1006&amp;IF($B1006="","0010",$B1006))</f>
        <v/>
      </c>
    </row>
    <row r="1007">
      <c r="A1007" s="5" t="n"/>
      <c r="B1007" s="5" t="n"/>
      <c r="C1007" s="5" t="n"/>
      <c r="D1007" s="5" t="n"/>
      <c r="E1007" s="5" t="n"/>
      <c r="F1007" s="18" t="n"/>
      <c r="G1007" s="18" t="n"/>
      <c r="H1007" s="18" t="n"/>
      <c r="I1007" s="5" t="n"/>
      <c r="J1007" s="24">
        <f>IF($A1007="","",$A1007&amp;IF($B1007="","0010",$B1007))</f>
        <v/>
      </c>
    </row>
    <row r="1008">
      <c r="A1008" s="5" t="n"/>
      <c r="B1008" s="5" t="n"/>
      <c r="C1008" s="5" t="n"/>
      <c r="D1008" s="5" t="n"/>
      <c r="E1008" s="5" t="n"/>
      <c r="F1008" s="18" t="n"/>
      <c r="G1008" s="18" t="n"/>
      <c r="H1008" s="18" t="n"/>
      <c r="I1008" s="5" t="n"/>
      <c r="J1008" s="24">
        <f>IF($A1008="","",$A1008&amp;IF($B1008="","0010",$B1008))</f>
        <v/>
      </c>
    </row>
    <row r="1009">
      <c r="A1009" s="5" t="n"/>
      <c r="B1009" s="5" t="n"/>
      <c r="C1009" s="5" t="n"/>
      <c r="D1009" s="5" t="n"/>
      <c r="E1009" s="5" t="n"/>
      <c r="F1009" s="18" t="n"/>
      <c r="G1009" s="18" t="n"/>
      <c r="H1009" s="18" t="n"/>
      <c r="I1009" s="5" t="n"/>
      <c r="J1009" s="24">
        <f>IF($A1009="","",$A1009&amp;IF($B1009="","0010",$B1009))</f>
        <v/>
      </c>
    </row>
    <row r="1010">
      <c r="A1010" s="5" t="n"/>
      <c r="B1010" s="5" t="n"/>
      <c r="C1010" s="5" t="n"/>
      <c r="D1010" s="5" t="n"/>
      <c r="E1010" s="5" t="n"/>
      <c r="F1010" s="18" t="n"/>
      <c r="G1010" s="18" t="n"/>
      <c r="H1010" s="18" t="n"/>
      <c r="I1010" s="5" t="n"/>
      <c r="J1010" s="24">
        <f>IF($A1010="","",$A1010&amp;IF($B1010="","0010",$B1010))</f>
        <v/>
      </c>
    </row>
    <row r="1011">
      <c r="A1011" s="5" t="n"/>
      <c r="B1011" s="5" t="n"/>
      <c r="C1011" s="5" t="n"/>
      <c r="D1011" s="5" t="n"/>
      <c r="E1011" s="5" t="n"/>
      <c r="F1011" s="18" t="n"/>
      <c r="G1011" s="18" t="n"/>
      <c r="H1011" s="18" t="n"/>
      <c r="I1011" s="5" t="n"/>
      <c r="J1011" s="24">
        <f>IF($A1011="","",$A1011&amp;IF($B1011="","0010",$B1011))</f>
        <v/>
      </c>
    </row>
    <row r="1012">
      <c r="A1012" s="5" t="n"/>
      <c r="B1012" s="5" t="n"/>
      <c r="C1012" s="5" t="n"/>
      <c r="D1012" s="5" t="n"/>
      <c r="E1012" s="5" t="n"/>
      <c r="F1012" s="18" t="n"/>
      <c r="G1012" s="18" t="n"/>
      <c r="H1012" s="18" t="n"/>
      <c r="I1012" s="5" t="n"/>
      <c r="J1012" s="24">
        <f>IF($A1012="","",$A1012&amp;IF($B1012="","0010",$B1012))</f>
        <v/>
      </c>
    </row>
    <row r="1013">
      <c r="A1013" s="5" t="n"/>
      <c r="B1013" s="5" t="n"/>
      <c r="C1013" s="5" t="n"/>
      <c r="D1013" s="5" t="n"/>
      <c r="E1013" s="5" t="n"/>
      <c r="F1013" s="18" t="n"/>
      <c r="G1013" s="18" t="n"/>
      <c r="H1013" s="18" t="n"/>
      <c r="I1013" s="5" t="n"/>
      <c r="J1013" s="24">
        <f>IF($A1013="","",$A1013&amp;IF($B1013="","0010",$B1013))</f>
        <v/>
      </c>
    </row>
    <row r="1014">
      <c r="A1014" s="5" t="n"/>
      <c r="B1014" s="5" t="n"/>
      <c r="C1014" s="5" t="n"/>
      <c r="D1014" s="5" t="n"/>
      <c r="E1014" s="5" t="n"/>
      <c r="F1014" s="18" t="n"/>
      <c r="G1014" s="18" t="n"/>
      <c r="H1014" s="18" t="n"/>
      <c r="I1014" s="5" t="n"/>
      <c r="J1014" s="24">
        <f>IF($A1014="","",$A1014&amp;IF($B1014="","0010",$B1014))</f>
        <v/>
      </c>
    </row>
    <row r="1015">
      <c r="A1015" s="5" t="n"/>
      <c r="B1015" s="5" t="n"/>
      <c r="C1015" s="5" t="n"/>
      <c r="D1015" s="5" t="n"/>
      <c r="E1015" s="5" t="n"/>
      <c r="F1015" s="18" t="n"/>
      <c r="G1015" s="18" t="n"/>
      <c r="H1015" s="18" t="n"/>
      <c r="I1015" s="5" t="n"/>
      <c r="J1015" s="24">
        <f>IF($A1015="","",$A1015&amp;IF($B1015="","0010",$B1015))</f>
        <v/>
      </c>
    </row>
    <row r="1016">
      <c r="A1016" s="5" t="n"/>
      <c r="B1016" s="5" t="n"/>
      <c r="C1016" s="5" t="n"/>
      <c r="D1016" s="5" t="n"/>
      <c r="E1016" s="5" t="n"/>
      <c r="F1016" s="18" t="n"/>
      <c r="G1016" s="18" t="n"/>
      <c r="H1016" s="18" t="n"/>
      <c r="I1016" s="5" t="n"/>
      <c r="J1016" s="24">
        <f>IF($A1016="","",$A1016&amp;IF($B1016="","0010",$B1016))</f>
        <v/>
      </c>
    </row>
    <row r="1017">
      <c r="A1017" s="5" t="n"/>
      <c r="B1017" s="5" t="n"/>
      <c r="C1017" s="5" t="n"/>
      <c r="D1017" s="5" t="n"/>
      <c r="E1017" s="5" t="n"/>
      <c r="F1017" s="18" t="n"/>
      <c r="G1017" s="18" t="n"/>
      <c r="H1017" s="18" t="n"/>
      <c r="I1017" s="5" t="n"/>
      <c r="J1017" s="24">
        <f>IF($A1017="","",$A1017&amp;IF($B1017="","0010",$B1017))</f>
        <v/>
      </c>
    </row>
    <row r="1018">
      <c r="A1018" s="5" t="n"/>
      <c r="B1018" s="5" t="n"/>
      <c r="C1018" s="5" t="n"/>
      <c r="D1018" s="5" t="n"/>
      <c r="E1018" s="5" t="n"/>
      <c r="F1018" s="18" t="n"/>
      <c r="G1018" s="18" t="n"/>
      <c r="H1018" s="18" t="n"/>
      <c r="I1018" s="5" t="n"/>
      <c r="J1018" s="24">
        <f>IF($A1018="","",$A1018&amp;IF($B1018="","0010",$B1018))</f>
        <v/>
      </c>
    </row>
    <row r="1019">
      <c r="A1019" s="5" t="n"/>
      <c r="B1019" s="5" t="n"/>
      <c r="C1019" s="5" t="n"/>
      <c r="D1019" s="5" t="n"/>
      <c r="E1019" s="5" t="n"/>
      <c r="F1019" s="18" t="n"/>
      <c r="G1019" s="18" t="n"/>
      <c r="H1019" s="18" t="n"/>
      <c r="I1019" s="5" t="n"/>
      <c r="J1019" s="24">
        <f>IF($A1019="","",$A1019&amp;IF($B1019="","0010",$B1019))</f>
        <v/>
      </c>
    </row>
    <row r="1020">
      <c r="A1020" s="5" t="n"/>
      <c r="B1020" s="5" t="n"/>
      <c r="C1020" s="5" t="n"/>
      <c r="D1020" s="5" t="n"/>
      <c r="E1020" s="5" t="n"/>
      <c r="F1020" s="18" t="n"/>
      <c r="G1020" s="18" t="n"/>
      <c r="H1020" s="18" t="n"/>
      <c r="I1020" s="5" t="n"/>
      <c r="J1020" s="24">
        <f>IF($A1020="","",$A1020&amp;IF($B1020="","0010",$B1020))</f>
        <v/>
      </c>
    </row>
    <row r="1021">
      <c r="A1021" s="5" t="n"/>
      <c r="B1021" s="5" t="n"/>
      <c r="C1021" s="5" t="n"/>
      <c r="D1021" s="5" t="n"/>
      <c r="E1021" s="5" t="n"/>
      <c r="F1021" s="18" t="n"/>
      <c r="G1021" s="18" t="n"/>
      <c r="H1021" s="18" t="n"/>
      <c r="I1021" s="5" t="n"/>
      <c r="J1021" s="24">
        <f>IF($A1021="","",$A1021&amp;IF($B1021="","0010",$B1021))</f>
        <v/>
      </c>
    </row>
    <row r="1022">
      <c r="A1022" s="5" t="n"/>
      <c r="B1022" s="5" t="n"/>
      <c r="C1022" s="5" t="n"/>
      <c r="D1022" s="5" t="n"/>
      <c r="E1022" s="5" t="n"/>
      <c r="F1022" s="18" t="n"/>
      <c r="G1022" s="18" t="n"/>
      <c r="H1022" s="18" t="n"/>
      <c r="I1022" s="5" t="n"/>
      <c r="J1022" s="24">
        <f>IF($A1022="","",$A1022&amp;IF($B1022="","0010",$B1022))</f>
        <v/>
      </c>
    </row>
    <row r="1023">
      <c r="A1023" s="5" t="n"/>
      <c r="B1023" s="5" t="n"/>
      <c r="C1023" s="5" t="n"/>
      <c r="D1023" s="5" t="n"/>
      <c r="E1023" s="5" t="n"/>
      <c r="F1023" s="18" t="n"/>
      <c r="G1023" s="18" t="n"/>
      <c r="H1023" s="18" t="n"/>
      <c r="I1023" s="5" t="n"/>
      <c r="J1023" s="24">
        <f>IF($A1023="","",$A1023&amp;IF($B1023="","0010",$B1023))</f>
        <v/>
      </c>
    </row>
    <row r="1024">
      <c r="A1024" s="5" t="n"/>
      <c r="B1024" s="5" t="n"/>
      <c r="C1024" s="5" t="n"/>
      <c r="D1024" s="5" t="n"/>
      <c r="E1024" s="5" t="n"/>
      <c r="F1024" s="18" t="n"/>
      <c r="G1024" s="18" t="n"/>
      <c r="H1024" s="18" t="n"/>
      <c r="I1024" s="5" t="n"/>
      <c r="J1024" s="24">
        <f>IF($A1024="","",$A1024&amp;IF($B1024="","0010",$B1024))</f>
        <v/>
      </c>
    </row>
    <row r="1025">
      <c r="A1025" s="5" t="n"/>
      <c r="B1025" s="5" t="n"/>
      <c r="C1025" s="5" t="n"/>
      <c r="D1025" s="5" t="n"/>
      <c r="E1025" s="5" t="n"/>
      <c r="F1025" s="18" t="n"/>
      <c r="G1025" s="18" t="n"/>
      <c r="H1025" s="18" t="n"/>
      <c r="I1025" s="5" t="n"/>
      <c r="J1025" s="24">
        <f>IF($A1025="","",$A1025&amp;IF($B1025="","0010",$B1025))</f>
        <v/>
      </c>
    </row>
    <row r="1026">
      <c r="A1026" s="5" t="n"/>
      <c r="B1026" s="5" t="n"/>
      <c r="C1026" s="5" t="n"/>
      <c r="D1026" s="5" t="n"/>
      <c r="E1026" s="5" t="n"/>
      <c r="F1026" s="18" t="n"/>
      <c r="G1026" s="18" t="n"/>
      <c r="H1026" s="18" t="n"/>
      <c r="I1026" s="5" t="n"/>
      <c r="J1026" s="24">
        <f>IF($A1026="","",$A1026&amp;IF($B1026="","0010",$B1026))</f>
        <v/>
      </c>
    </row>
    <row r="1027">
      <c r="A1027" s="5" t="n"/>
      <c r="B1027" s="5" t="n"/>
      <c r="C1027" s="5" t="n"/>
      <c r="D1027" s="5" t="n"/>
      <c r="E1027" s="5" t="n"/>
      <c r="F1027" s="18" t="n"/>
      <c r="G1027" s="18" t="n"/>
      <c r="H1027" s="18" t="n"/>
      <c r="I1027" s="5" t="n"/>
      <c r="J1027" s="24">
        <f>IF($A1027="","",$A1027&amp;IF($B1027="","0010",$B1027))</f>
        <v/>
      </c>
    </row>
    <row r="1028">
      <c r="A1028" s="5" t="n"/>
      <c r="B1028" s="5" t="n"/>
      <c r="C1028" s="5" t="n"/>
      <c r="D1028" s="5" t="n"/>
      <c r="E1028" s="5" t="n"/>
      <c r="F1028" s="18" t="n"/>
      <c r="G1028" s="18" t="n"/>
      <c r="H1028" s="18" t="n"/>
      <c r="I1028" s="5" t="n"/>
      <c r="J1028" s="24">
        <f>IF($A1028="","",$A1028&amp;IF($B1028="","0010",$B1028))</f>
        <v/>
      </c>
    </row>
    <row r="1029">
      <c r="A1029" s="5" t="n"/>
      <c r="B1029" s="5" t="n"/>
      <c r="C1029" s="5" t="n"/>
      <c r="D1029" s="5" t="n"/>
      <c r="E1029" s="5" t="n"/>
      <c r="F1029" s="18" t="n"/>
      <c r="G1029" s="18" t="n"/>
      <c r="H1029" s="18" t="n"/>
      <c r="I1029" s="5" t="n"/>
      <c r="J1029" s="24">
        <f>IF($A1029="","",$A1029&amp;IF($B1029="","0010",$B1029))</f>
        <v/>
      </c>
    </row>
    <row r="1030">
      <c r="A1030" s="5" t="n"/>
      <c r="B1030" s="5" t="n"/>
      <c r="C1030" s="5" t="n"/>
      <c r="D1030" s="5" t="n"/>
      <c r="E1030" s="5" t="n"/>
      <c r="F1030" s="18" t="n"/>
      <c r="G1030" s="18" t="n"/>
      <c r="H1030" s="18" t="n"/>
      <c r="I1030" s="5" t="n"/>
      <c r="J1030" s="24">
        <f>IF($A1030="","",$A1030&amp;IF($B1030="","0010",$B1030))</f>
        <v/>
      </c>
    </row>
    <row r="1031">
      <c r="A1031" s="5" t="n"/>
      <c r="B1031" s="5" t="n"/>
      <c r="C1031" s="5" t="n"/>
      <c r="D1031" s="5" t="n"/>
      <c r="E1031" s="5" t="n"/>
      <c r="F1031" s="18" t="n"/>
      <c r="G1031" s="18" t="n"/>
      <c r="H1031" s="18" t="n"/>
      <c r="I1031" s="5" t="n"/>
      <c r="J1031" s="24">
        <f>IF($A1031="","",$A1031&amp;IF($B1031="","0010",$B1031))</f>
        <v/>
      </c>
    </row>
    <row r="1032">
      <c r="A1032" s="5" t="n"/>
      <c r="B1032" s="5" t="n"/>
      <c r="C1032" s="5" t="n"/>
      <c r="D1032" s="5" t="n"/>
      <c r="E1032" s="5" t="n"/>
      <c r="F1032" s="18" t="n"/>
      <c r="G1032" s="18" t="n"/>
      <c r="H1032" s="18" t="n"/>
      <c r="I1032" s="5" t="n"/>
      <c r="J1032" s="24">
        <f>IF($A1032="","",$A1032&amp;IF($B1032="","0010",$B1032))</f>
        <v/>
      </c>
    </row>
    <row r="1033">
      <c r="A1033" s="5" t="n"/>
      <c r="B1033" s="5" t="n"/>
      <c r="C1033" s="5" t="n"/>
      <c r="D1033" s="5" t="n"/>
      <c r="E1033" s="5" t="n"/>
      <c r="F1033" s="18" t="n"/>
      <c r="G1033" s="18" t="n"/>
      <c r="H1033" s="18" t="n"/>
      <c r="I1033" s="5" t="n"/>
      <c r="J1033" s="24">
        <f>IF($A1033="","",$A1033&amp;IF($B1033="","0010",$B1033))</f>
        <v/>
      </c>
    </row>
    <row r="1034">
      <c r="A1034" s="5" t="n"/>
      <c r="B1034" s="5" t="n"/>
      <c r="C1034" s="5" t="n"/>
      <c r="D1034" s="5" t="n"/>
      <c r="E1034" s="5" t="n"/>
      <c r="F1034" s="18" t="n"/>
      <c r="G1034" s="18" t="n"/>
      <c r="H1034" s="18" t="n"/>
      <c r="I1034" s="5" t="n"/>
      <c r="J1034" s="24">
        <f>IF($A1034="","",$A1034&amp;IF($B1034="","0010",$B1034))</f>
        <v/>
      </c>
    </row>
    <row r="1035">
      <c r="A1035" s="5" t="n"/>
      <c r="B1035" s="5" t="n"/>
      <c r="C1035" s="5" t="n"/>
      <c r="D1035" s="5" t="n"/>
      <c r="E1035" s="5" t="n"/>
      <c r="F1035" s="18" t="n"/>
      <c r="G1035" s="18" t="n"/>
      <c r="H1035" s="18" t="n"/>
      <c r="I1035" s="5" t="n"/>
      <c r="J1035" s="24">
        <f>IF($A1035="","",$A1035&amp;IF($B1035="","0010",$B1035))</f>
        <v/>
      </c>
    </row>
    <row r="1036">
      <c r="A1036" s="5" t="n"/>
      <c r="B1036" s="5" t="n"/>
      <c r="C1036" s="5" t="n"/>
      <c r="D1036" s="5" t="n"/>
      <c r="E1036" s="5" t="n"/>
      <c r="F1036" s="18" t="n"/>
      <c r="G1036" s="18" t="n"/>
      <c r="H1036" s="18" t="n"/>
      <c r="I1036" s="5" t="n"/>
      <c r="J1036" s="24">
        <f>IF($A1036="","",$A1036&amp;IF($B1036="","0010",$B1036))</f>
        <v/>
      </c>
    </row>
    <row r="1037">
      <c r="A1037" s="5" t="n"/>
      <c r="B1037" s="5" t="n"/>
      <c r="C1037" s="5" t="n"/>
      <c r="D1037" s="5" t="n"/>
      <c r="E1037" s="5" t="n"/>
      <c r="F1037" s="18" t="n"/>
      <c r="G1037" s="18" t="n"/>
      <c r="H1037" s="18" t="n"/>
      <c r="I1037" s="5" t="n"/>
      <c r="J1037" s="24">
        <f>IF($A1037="","",$A1037&amp;IF($B1037="","0010",$B1037))</f>
        <v/>
      </c>
    </row>
    <row r="1038">
      <c r="A1038" s="5" t="n"/>
      <c r="B1038" s="5" t="n"/>
      <c r="C1038" s="5" t="n"/>
      <c r="D1038" s="5" t="n"/>
      <c r="E1038" s="5" t="n"/>
      <c r="F1038" s="18" t="n"/>
      <c r="G1038" s="18" t="n"/>
      <c r="H1038" s="18" t="n"/>
      <c r="I1038" s="5" t="n"/>
      <c r="J1038" s="24">
        <f>IF($A1038="","",$A1038&amp;IF($B1038="","0010",$B1038))</f>
        <v/>
      </c>
    </row>
    <row r="1039">
      <c r="A1039" s="5" t="n"/>
      <c r="B1039" s="5" t="n"/>
      <c r="C1039" s="5" t="n"/>
      <c r="D1039" s="5" t="n"/>
      <c r="E1039" s="5" t="n"/>
      <c r="F1039" s="18" t="n"/>
      <c r="G1039" s="18" t="n"/>
      <c r="H1039" s="18" t="n"/>
      <c r="I1039" s="5" t="n"/>
      <c r="J1039" s="24">
        <f>IF($A1039="","",$A1039&amp;IF($B1039="","0010",$B1039))</f>
        <v/>
      </c>
    </row>
    <row r="1040">
      <c r="A1040" s="5" t="n"/>
      <c r="B1040" s="5" t="n"/>
      <c r="C1040" s="5" t="n"/>
      <c r="D1040" s="5" t="n"/>
      <c r="E1040" s="5" t="n"/>
      <c r="F1040" s="18" t="n"/>
      <c r="G1040" s="18" t="n"/>
      <c r="H1040" s="18" t="n"/>
      <c r="I1040" s="5" t="n"/>
      <c r="J1040" s="24">
        <f>IF($A1040="","",$A1040&amp;IF($B1040="","0010",$B1040))</f>
        <v/>
      </c>
    </row>
    <row r="1041">
      <c r="A1041" s="5" t="n"/>
      <c r="B1041" s="5" t="n"/>
      <c r="C1041" s="5" t="n"/>
      <c r="D1041" s="5" t="n"/>
      <c r="E1041" s="5" t="n"/>
      <c r="F1041" s="18" t="n"/>
      <c r="G1041" s="18" t="n"/>
      <c r="H1041" s="18" t="n"/>
      <c r="I1041" s="5" t="n"/>
      <c r="J1041" s="24">
        <f>IF($A1041="","",$A1041&amp;IF($B1041="","0010",$B1041))</f>
        <v/>
      </c>
    </row>
    <row r="1042">
      <c r="A1042" s="5" t="n"/>
      <c r="B1042" s="5" t="n"/>
      <c r="C1042" s="5" t="n"/>
      <c r="D1042" s="5" t="n"/>
      <c r="E1042" s="5" t="n"/>
      <c r="F1042" s="18" t="n"/>
      <c r="G1042" s="18" t="n"/>
      <c r="H1042" s="18" t="n"/>
      <c r="I1042" s="5" t="n"/>
      <c r="J1042" s="24">
        <f>IF($A1042="","",$A1042&amp;IF($B1042="","0010",$B1042))</f>
        <v/>
      </c>
    </row>
    <row r="1043">
      <c r="A1043" s="5" t="n"/>
      <c r="B1043" s="5" t="n"/>
      <c r="C1043" s="5" t="n"/>
      <c r="D1043" s="5" t="n"/>
      <c r="E1043" s="5" t="n"/>
      <c r="F1043" s="18" t="n"/>
      <c r="G1043" s="18" t="n"/>
      <c r="H1043" s="18" t="n"/>
      <c r="I1043" s="5" t="n"/>
      <c r="J1043" s="24">
        <f>IF($A1043="","",$A1043&amp;IF($B1043="","0010",$B1043))</f>
        <v/>
      </c>
    </row>
    <row r="1044">
      <c r="A1044" s="5" t="n"/>
      <c r="B1044" s="5" t="n"/>
      <c r="C1044" s="5" t="n"/>
      <c r="D1044" s="5" t="n"/>
      <c r="E1044" s="5" t="n"/>
      <c r="F1044" s="18" t="n"/>
      <c r="G1044" s="18" t="n"/>
      <c r="H1044" s="18" t="n"/>
      <c r="I1044" s="5" t="n"/>
      <c r="J1044" s="24">
        <f>IF($A1044="","",$A1044&amp;IF($B1044="","0010",$B1044))</f>
        <v/>
      </c>
    </row>
    <row r="1045">
      <c r="A1045" s="5" t="n"/>
      <c r="B1045" s="5" t="n"/>
      <c r="C1045" s="5" t="n"/>
      <c r="D1045" s="5" t="n"/>
      <c r="E1045" s="5" t="n"/>
      <c r="F1045" s="18" t="n"/>
      <c r="G1045" s="18" t="n"/>
      <c r="H1045" s="18" t="n"/>
      <c r="I1045" s="5" t="n"/>
      <c r="J1045" s="24">
        <f>IF($A1045="","",$A1045&amp;IF($B1045="","0010",$B1045))</f>
        <v/>
      </c>
    </row>
    <row r="1046">
      <c r="A1046" s="5" t="n"/>
      <c r="B1046" s="5" t="n"/>
      <c r="C1046" s="5" t="n"/>
      <c r="D1046" s="5" t="n"/>
      <c r="E1046" s="5" t="n"/>
      <c r="F1046" s="18" t="n"/>
      <c r="G1046" s="18" t="n"/>
      <c r="H1046" s="18" t="n"/>
      <c r="I1046" s="5" t="n"/>
      <c r="J1046" s="24">
        <f>IF($A1046="","",$A1046&amp;IF($B1046="","0010",$B1046))</f>
        <v/>
      </c>
    </row>
    <row r="1047">
      <c r="A1047" s="5" t="n"/>
      <c r="B1047" s="5" t="n"/>
      <c r="C1047" s="5" t="n"/>
      <c r="D1047" s="5" t="n"/>
      <c r="E1047" s="5" t="n"/>
      <c r="F1047" s="18" t="n"/>
      <c r="G1047" s="18" t="n"/>
      <c r="H1047" s="18" t="n"/>
      <c r="I1047" s="5" t="n"/>
      <c r="J1047" s="24">
        <f>IF($A1047="","",$A1047&amp;IF($B1047="","0010",$B1047))</f>
        <v/>
      </c>
    </row>
    <row r="1048">
      <c r="A1048" s="5" t="n"/>
      <c r="B1048" s="5" t="n"/>
      <c r="C1048" s="5" t="n"/>
      <c r="D1048" s="5" t="n"/>
      <c r="E1048" s="5" t="n"/>
      <c r="F1048" s="18" t="n"/>
      <c r="G1048" s="18" t="n"/>
      <c r="H1048" s="18" t="n"/>
      <c r="I1048" s="5" t="n"/>
      <c r="J1048" s="24">
        <f>IF($A1048="","",$A1048&amp;IF($B1048="","0010",$B1048))</f>
        <v/>
      </c>
    </row>
    <row r="1049">
      <c r="A1049" s="5" t="n"/>
      <c r="B1049" s="5" t="n"/>
      <c r="C1049" s="5" t="n"/>
      <c r="D1049" s="5" t="n"/>
      <c r="E1049" s="5" t="n"/>
      <c r="F1049" s="18" t="n"/>
      <c r="G1049" s="18" t="n"/>
      <c r="H1049" s="18" t="n"/>
      <c r="I1049" s="5" t="n"/>
      <c r="J1049" s="24">
        <f>IF($A1049="","",$A1049&amp;IF($B1049="","0010",$B1049))</f>
        <v/>
      </c>
    </row>
    <row r="1050">
      <c r="A1050" s="5" t="n"/>
      <c r="B1050" s="5" t="n"/>
      <c r="C1050" s="5" t="n"/>
      <c r="D1050" s="5" t="n"/>
      <c r="E1050" s="5" t="n"/>
      <c r="F1050" s="18" t="n"/>
      <c r="G1050" s="18" t="n"/>
      <c r="H1050" s="18" t="n"/>
      <c r="I1050" s="5" t="n"/>
      <c r="J1050" s="24">
        <f>IF($A1050="","",$A1050&amp;IF($B1050="","0010",$B1050))</f>
        <v/>
      </c>
    </row>
    <row r="1051">
      <c r="A1051" s="5" t="n"/>
      <c r="B1051" s="5" t="n"/>
      <c r="C1051" s="5" t="n"/>
      <c r="D1051" s="5" t="n"/>
      <c r="E1051" s="5" t="n"/>
      <c r="F1051" s="18" t="n"/>
      <c r="G1051" s="18" t="n"/>
      <c r="H1051" s="18" t="n"/>
      <c r="I1051" s="5" t="n"/>
      <c r="J1051" s="24">
        <f>IF($A1051="","",$A1051&amp;IF($B1051="","0010",$B1051))</f>
        <v/>
      </c>
    </row>
    <row r="1052">
      <c r="A1052" s="5" t="n"/>
      <c r="B1052" s="5" t="n"/>
      <c r="C1052" s="5" t="n"/>
      <c r="D1052" s="5" t="n"/>
      <c r="E1052" s="5" t="n"/>
      <c r="F1052" s="18" t="n"/>
      <c r="G1052" s="18" t="n"/>
      <c r="H1052" s="18" t="n"/>
      <c r="I1052" s="5" t="n"/>
      <c r="J1052" s="24">
        <f>IF($A1052="","",$A1052&amp;IF($B1052="","0010",$B1052))</f>
        <v/>
      </c>
    </row>
    <row r="1053">
      <c r="A1053" s="5" t="n"/>
      <c r="B1053" s="5" t="n"/>
      <c r="C1053" s="5" t="n"/>
      <c r="D1053" s="5" t="n"/>
      <c r="E1053" s="5" t="n"/>
      <c r="F1053" s="18" t="n"/>
      <c r="G1053" s="18" t="n"/>
      <c r="H1053" s="18" t="n"/>
      <c r="I1053" s="5" t="n"/>
      <c r="J1053" s="24">
        <f>IF($A1053="","",$A1053&amp;IF($B1053="","0010",$B1053))</f>
        <v/>
      </c>
    </row>
    <row r="1054">
      <c r="A1054" s="5" t="n"/>
      <c r="B1054" s="5" t="n"/>
      <c r="C1054" s="5" t="n"/>
      <c r="D1054" s="5" t="n"/>
      <c r="E1054" s="5" t="n"/>
      <c r="F1054" s="18" t="n"/>
      <c r="G1054" s="18" t="n"/>
      <c r="H1054" s="18" t="n"/>
      <c r="I1054" s="5" t="n"/>
      <c r="J1054" s="24">
        <f>IF($A1054="","",$A1054&amp;IF($B1054="","0010",$B1054))</f>
        <v/>
      </c>
    </row>
    <row r="1055">
      <c r="A1055" s="5" t="n"/>
      <c r="B1055" s="5" t="n"/>
      <c r="C1055" s="5" t="n"/>
      <c r="D1055" s="5" t="n"/>
      <c r="E1055" s="5" t="n"/>
      <c r="F1055" s="18" t="n"/>
      <c r="G1055" s="18" t="n"/>
      <c r="H1055" s="18" t="n"/>
      <c r="I1055" s="5" t="n"/>
      <c r="J1055" s="24">
        <f>IF($A1055="","",$A1055&amp;IF($B1055="","0010",$B1055))</f>
        <v/>
      </c>
    </row>
    <row r="1056">
      <c r="A1056" s="5" t="n"/>
      <c r="B1056" s="5" t="n"/>
      <c r="C1056" s="5" t="n"/>
      <c r="D1056" s="5" t="n"/>
      <c r="E1056" s="5" t="n"/>
      <c r="F1056" s="18" t="n"/>
      <c r="G1056" s="18" t="n"/>
      <c r="H1056" s="18" t="n"/>
      <c r="I1056" s="5" t="n"/>
      <c r="J1056" s="24">
        <f>IF($A1056="","",$A1056&amp;IF($B1056="","0010",$B1056))</f>
        <v/>
      </c>
    </row>
    <row r="1057">
      <c r="A1057" s="5" t="n"/>
      <c r="B1057" s="5" t="n"/>
      <c r="C1057" s="5" t="n"/>
      <c r="D1057" s="5" t="n"/>
      <c r="E1057" s="5" t="n"/>
      <c r="F1057" s="18" t="n"/>
      <c r="G1057" s="18" t="n"/>
      <c r="H1057" s="18" t="n"/>
      <c r="I1057" s="5" t="n"/>
      <c r="J1057" s="24">
        <f>IF($A1057="","",$A1057&amp;IF($B1057="","0010",$B1057))</f>
        <v/>
      </c>
    </row>
    <row r="1058">
      <c r="A1058" s="5" t="n"/>
      <c r="B1058" s="5" t="n"/>
      <c r="C1058" s="5" t="n"/>
      <c r="D1058" s="5" t="n"/>
      <c r="E1058" s="5" t="n"/>
      <c r="F1058" s="18" t="n"/>
      <c r="G1058" s="18" t="n"/>
      <c r="H1058" s="18" t="n"/>
      <c r="I1058" s="5" t="n"/>
      <c r="J1058" s="24">
        <f>IF($A1058="","",$A1058&amp;IF($B1058="","0010",$B1058))</f>
        <v/>
      </c>
    </row>
    <row r="1059">
      <c r="A1059" s="5" t="n"/>
      <c r="B1059" s="5" t="n"/>
      <c r="C1059" s="5" t="n"/>
      <c r="D1059" s="5" t="n"/>
      <c r="E1059" s="5" t="n"/>
      <c r="F1059" s="18" t="n"/>
      <c r="G1059" s="18" t="n"/>
      <c r="H1059" s="18" t="n"/>
      <c r="I1059" s="5" t="n"/>
      <c r="J1059" s="24">
        <f>IF($A1059="","",$A1059&amp;IF($B1059="","0010",$B1059))</f>
        <v/>
      </c>
    </row>
    <row r="1060">
      <c r="A1060" s="5" t="n"/>
      <c r="B1060" s="5" t="n"/>
      <c r="C1060" s="5" t="n"/>
      <c r="D1060" s="5" t="n"/>
      <c r="E1060" s="5" t="n"/>
      <c r="F1060" s="18" t="n"/>
      <c r="G1060" s="18" t="n"/>
      <c r="H1060" s="18" t="n"/>
      <c r="I1060" s="5" t="n"/>
      <c r="J1060" s="24">
        <f>IF($A1060="","",$A1060&amp;IF($B1060="","0010",$B1060))</f>
        <v/>
      </c>
    </row>
    <row r="1061">
      <c r="A1061" s="5" t="n"/>
      <c r="B1061" s="5" t="n"/>
      <c r="C1061" s="5" t="n"/>
      <c r="D1061" s="5" t="n"/>
      <c r="E1061" s="5" t="n"/>
      <c r="F1061" s="18" t="n"/>
      <c r="G1061" s="18" t="n"/>
      <c r="H1061" s="18" t="n"/>
      <c r="I1061" s="5" t="n"/>
      <c r="J1061" s="24">
        <f>IF($A1061="","",$A1061&amp;IF($B1061="","0010",$B1061))</f>
        <v/>
      </c>
    </row>
    <row r="1062">
      <c r="A1062" s="5" t="n"/>
      <c r="B1062" s="5" t="n"/>
      <c r="C1062" s="5" t="n"/>
      <c r="D1062" s="5" t="n"/>
      <c r="E1062" s="5" t="n"/>
      <c r="F1062" s="18" t="n"/>
      <c r="G1062" s="18" t="n"/>
      <c r="H1062" s="18" t="n"/>
      <c r="I1062" s="5" t="n"/>
      <c r="J1062" s="24">
        <f>IF($A1062="","",$A1062&amp;IF($B1062="","0010",$B1062))</f>
        <v/>
      </c>
    </row>
    <row r="1063">
      <c r="A1063" s="5" t="n"/>
      <c r="B1063" s="5" t="n"/>
      <c r="C1063" s="5" t="n"/>
      <c r="D1063" s="5" t="n"/>
      <c r="E1063" s="5" t="n"/>
      <c r="F1063" s="18" t="n"/>
      <c r="G1063" s="18" t="n"/>
      <c r="H1063" s="18" t="n"/>
      <c r="I1063" s="5" t="n"/>
      <c r="J1063" s="24">
        <f>IF($A1063="","",$A1063&amp;IF($B1063="","0010",$B1063))</f>
        <v/>
      </c>
    </row>
    <row r="1064">
      <c r="A1064" s="5" t="n"/>
      <c r="B1064" s="5" t="n"/>
      <c r="C1064" s="5" t="n"/>
      <c r="D1064" s="5" t="n"/>
      <c r="E1064" s="5" t="n"/>
      <c r="F1064" s="18" t="n"/>
      <c r="G1064" s="18" t="n"/>
      <c r="H1064" s="18" t="n"/>
      <c r="I1064" s="5" t="n"/>
      <c r="J1064" s="24">
        <f>IF($A1064="","",$A1064&amp;IF($B1064="","0010",$B1064))</f>
        <v/>
      </c>
    </row>
    <row r="1065">
      <c r="A1065" s="5" t="n"/>
      <c r="B1065" s="5" t="n"/>
      <c r="C1065" s="5" t="n"/>
      <c r="D1065" s="5" t="n"/>
      <c r="E1065" s="5" t="n"/>
      <c r="F1065" s="18" t="n"/>
      <c r="G1065" s="18" t="n"/>
      <c r="H1065" s="18" t="n"/>
      <c r="I1065" s="5" t="n"/>
      <c r="J1065" s="24">
        <f>IF($A1065="","",$A1065&amp;IF($B1065="","0010",$B1065))</f>
        <v/>
      </c>
    </row>
    <row r="1066">
      <c r="A1066" s="5" t="n"/>
      <c r="B1066" s="5" t="n"/>
      <c r="C1066" s="5" t="n"/>
      <c r="D1066" s="5" t="n"/>
      <c r="E1066" s="5" t="n"/>
      <c r="F1066" s="18" t="n"/>
      <c r="G1066" s="18" t="n"/>
      <c r="H1066" s="18" t="n"/>
      <c r="I1066" s="5" t="n"/>
      <c r="J1066" s="24">
        <f>IF($A1066="","",$A1066&amp;IF($B1066="","0010",$B1066))</f>
        <v/>
      </c>
    </row>
    <row r="1067">
      <c r="A1067" s="5" t="n"/>
      <c r="B1067" s="5" t="n"/>
      <c r="C1067" s="5" t="n"/>
      <c r="D1067" s="5" t="n"/>
      <c r="E1067" s="5" t="n"/>
      <c r="F1067" s="18" t="n"/>
      <c r="G1067" s="18" t="n"/>
      <c r="H1067" s="18" t="n"/>
      <c r="I1067" s="5" t="n"/>
      <c r="J1067" s="24">
        <f>IF($A1067="","",$A1067&amp;IF($B1067="","0010",$B1067))</f>
        <v/>
      </c>
    </row>
    <row r="1068">
      <c r="A1068" s="5" t="n"/>
      <c r="B1068" s="5" t="n"/>
      <c r="C1068" s="5" t="n"/>
      <c r="D1068" s="5" t="n"/>
      <c r="E1068" s="5" t="n"/>
      <c r="F1068" s="18" t="n"/>
      <c r="G1068" s="18" t="n"/>
      <c r="H1068" s="18" t="n"/>
      <c r="I1068" s="5" t="n"/>
      <c r="J1068" s="24">
        <f>IF($A1068="","",$A1068&amp;IF($B1068="","0010",$B1068))</f>
        <v/>
      </c>
    </row>
    <row r="1069">
      <c r="A1069" s="5" t="n"/>
      <c r="B1069" s="5" t="n"/>
      <c r="C1069" s="5" t="n"/>
      <c r="D1069" s="5" t="n"/>
      <c r="E1069" s="5" t="n"/>
      <c r="F1069" s="18" t="n"/>
      <c r="G1069" s="18" t="n"/>
      <c r="H1069" s="18" t="n"/>
      <c r="I1069" s="5" t="n"/>
      <c r="J1069" s="24">
        <f>IF($A1069="","",$A1069&amp;IF($B1069="","0010",$B1069))</f>
        <v/>
      </c>
    </row>
    <row r="1070">
      <c r="A1070" s="5" t="n"/>
      <c r="B1070" s="5" t="n"/>
      <c r="C1070" s="5" t="n"/>
      <c r="D1070" s="5" t="n"/>
      <c r="E1070" s="5" t="n"/>
      <c r="F1070" s="18" t="n"/>
      <c r="G1070" s="18" t="n"/>
      <c r="H1070" s="18" t="n"/>
      <c r="I1070" s="5" t="n"/>
      <c r="J1070" s="24">
        <f>IF($A1070="","",$A1070&amp;IF($B1070="","0010",$B1070))</f>
        <v/>
      </c>
    </row>
    <row r="1071">
      <c r="A1071" s="5" t="n"/>
      <c r="B1071" s="5" t="n"/>
      <c r="C1071" s="5" t="n"/>
      <c r="D1071" s="5" t="n"/>
      <c r="E1071" s="5" t="n"/>
      <c r="F1071" s="18" t="n"/>
      <c r="G1071" s="18" t="n"/>
      <c r="H1071" s="18" t="n"/>
      <c r="I1071" s="5" t="n"/>
      <c r="J1071" s="24">
        <f>IF($A1071="","",$A1071&amp;IF($B1071="","0010",$B1071))</f>
        <v/>
      </c>
    </row>
    <row r="1072">
      <c r="A1072" s="5" t="n"/>
      <c r="B1072" s="5" t="n"/>
      <c r="C1072" s="5" t="n"/>
      <c r="D1072" s="5" t="n"/>
      <c r="E1072" s="5" t="n"/>
      <c r="F1072" s="18" t="n"/>
      <c r="G1072" s="18" t="n"/>
      <c r="H1072" s="18" t="n"/>
      <c r="I1072" s="5" t="n"/>
      <c r="J1072" s="24">
        <f>IF($A1072="","",$A1072&amp;IF($B1072="","0010",$B1072))</f>
        <v/>
      </c>
    </row>
    <row r="1073">
      <c r="A1073" s="5" t="n"/>
      <c r="B1073" s="5" t="n"/>
      <c r="C1073" s="5" t="n"/>
      <c r="D1073" s="5" t="n"/>
      <c r="E1073" s="5" t="n"/>
      <c r="F1073" s="18" t="n"/>
      <c r="G1073" s="18" t="n"/>
      <c r="H1073" s="18" t="n"/>
      <c r="I1073" s="5" t="n"/>
      <c r="J1073" s="24">
        <f>IF($A1073="","",$A1073&amp;IF($B1073="","0010",$B1073))</f>
        <v/>
      </c>
    </row>
    <row r="1074">
      <c r="A1074" s="5" t="n"/>
      <c r="B1074" s="5" t="n"/>
      <c r="C1074" s="5" t="n"/>
      <c r="D1074" s="5" t="n"/>
      <c r="E1074" s="5" t="n"/>
      <c r="F1074" s="18" t="n"/>
      <c r="G1074" s="18" t="n"/>
      <c r="H1074" s="18" t="n"/>
      <c r="I1074" s="5" t="n"/>
      <c r="J1074" s="24">
        <f>IF($A1074="","",$A1074&amp;IF($B1074="","0010",$B1074))</f>
        <v/>
      </c>
    </row>
    <row r="1075">
      <c r="A1075" s="5" t="n"/>
      <c r="B1075" s="5" t="n"/>
      <c r="C1075" s="5" t="n"/>
      <c r="D1075" s="5" t="n"/>
      <c r="E1075" s="5" t="n"/>
      <c r="F1075" s="18" t="n"/>
      <c r="G1075" s="18" t="n"/>
      <c r="H1075" s="18" t="n"/>
      <c r="I1075" s="5" t="n"/>
      <c r="J1075" s="24">
        <f>IF($A1075="","",$A1075&amp;IF($B1075="","0010",$B1075))</f>
        <v/>
      </c>
    </row>
    <row r="1076">
      <c r="A1076" s="5" t="n"/>
      <c r="B1076" s="5" t="n"/>
      <c r="C1076" s="5" t="n"/>
      <c r="D1076" s="5" t="n"/>
      <c r="E1076" s="5" t="n"/>
      <c r="F1076" s="18" t="n"/>
      <c r="G1076" s="18" t="n"/>
      <c r="H1076" s="18" t="n"/>
      <c r="I1076" s="5" t="n"/>
      <c r="J1076" s="24">
        <f>IF($A1076="","",$A1076&amp;IF($B1076="","0010",$B1076))</f>
        <v/>
      </c>
    </row>
    <row r="1077">
      <c r="A1077" s="5" t="n"/>
      <c r="B1077" s="5" t="n"/>
      <c r="C1077" s="5" t="n"/>
      <c r="D1077" s="5" t="n"/>
      <c r="E1077" s="5" t="n"/>
      <c r="F1077" s="18" t="n"/>
      <c r="G1077" s="18" t="n"/>
      <c r="H1077" s="18" t="n"/>
      <c r="I1077" s="5" t="n"/>
      <c r="J1077" s="24">
        <f>IF($A1077="","",$A1077&amp;IF($B1077="","0010",$B1077))</f>
        <v/>
      </c>
    </row>
    <row r="1078">
      <c r="A1078" s="5" t="n"/>
      <c r="B1078" s="5" t="n"/>
      <c r="C1078" s="5" t="n"/>
      <c r="D1078" s="5" t="n"/>
      <c r="E1078" s="5" t="n"/>
      <c r="F1078" s="18" t="n"/>
      <c r="G1078" s="18" t="n"/>
      <c r="H1078" s="18" t="n"/>
      <c r="I1078" s="5" t="n"/>
      <c r="J1078" s="24">
        <f>IF($A1078="","",$A1078&amp;IF($B1078="","0010",$B1078))</f>
        <v/>
      </c>
    </row>
    <row r="1079">
      <c r="A1079" s="5" t="n"/>
      <c r="B1079" s="5" t="n"/>
      <c r="C1079" s="5" t="n"/>
      <c r="D1079" s="5" t="n"/>
      <c r="E1079" s="5" t="n"/>
      <c r="F1079" s="18" t="n"/>
      <c r="G1079" s="18" t="n"/>
      <c r="H1079" s="18" t="n"/>
      <c r="I1079" s="5" t="n"/>
      <c r="J1079" s="24">
        <f>IF($A1079="","",$A1079&amp;IF($B1079="","0010",$B1079))</f>
        <v/>
      </c>
    </row>
    <row r="1080">
      <c r="A1080" s="5" t="n"/>
      <c r="B1080" s="5" t="n"/>
      <c r="C1080" s="5" t="n"/>
      <c r="D1080" s="5" t="n"/>
      <c r="E1080" s="5" t="n"/>
      <c r="F1080" s="18" t="n"/>
      <c r="G1080" s="18" t="n"/>
      <c r="H1080" s="18" t="n"/>
      <c r="I1080" s="5" t="n"/>
      <c r="J1080" s="24">
        <f>IF($A1080="","",$A1080&amp;IF($B1080="","0010",$B1080))</f>
        <v/>
      </c>
    </row>
    <row r="1081">
      <c r="A1081" s="5" t="n"/>
      <c r="B1081" s="5" t="n"/>
      <c r="C1081" s="5" t="n"/>
      <c r="D1081" s="5" t="n"/>
      <c r="E1081" s="5" t="n"/>
      <c r="F1081" s="18" t="n"/>
      <c r="G1081" s="18" t="n"/>
      <c r="H1081" s="18" t="n"/>
      <c r="I1081" s="5" t="n"/>
      <c r="J1081" s="24">
        <f>IF($A1081="","",$A1081&amp;IF($B1081="","0010",$B1081))</f>
        <v/>
      </c>
    </row>
    <row r="1082">
      <c r="A1082" s="5" t="n"/>
      <c r="B1082" s="5" t="n"/>
      <c r="C1082" s="5" t="n"/>
      <c r="D1082" s="5" t="n"/>
      <c r="E1082" s="5" t="n"/>
      <c r="F1082" s="18" t="n"/>
      <c r="G1082" s="18" t="n"/>
      <c r="H1082" s="18" t="n"/>
      <c r="I1082" s="5" t="n"/>
      <c r="J1082" s="24">
        <f>IF($A1082="","",$A1082&amp;IF($B1082="","0010",$B1082))</f>
        <v/>
      </c>
    </row>
    <row r="1083">
      <c r="A1083" s="5" t="n"/>
      <c r="B1083" s="5" t="n"/>
      <c r="C1083" s="5" t="n"/>
      <c r="D1083" s="5" t="n"/>
      <c r="E1083" s="5" t="n"/>
      <c r="F1083" s="18" t="n"/>
      <c r="G1083" s="18" t="n"/>
      <c r="H1083" s="18" t="n"/>
      <c r="I1083" s="5" t="n"/>
      <c r="J1083" s="24">
        <f>IF($A1083="","",$A1083&amp;IF($B1083="","0010",$B1083))</f>
        <v/>
      </c>
    </row>
    <row r="1084">
      <c r="A1084" s="5" t="n"/>
      <c r="B1084" s="5" t="n"/>
      <c r="C1084" s="5" t="n"/>
      <c r="D1084" s="5" t="n"/>
      <c r="E1084" s="5" t="n"/>
      <c r="F1084" s="18" t="n"/>
      <c r="G1084" s="18" t="n"/>
      <c r="H1084" s="18" t="n"/>
      <c r="I1084" s="5" t="n"/>
      <c r="J1084" s="24">
        <f>IF($A1084="","",$A1084&amp;IF($B1084="","0010",$B1084))</f>
        <v/>
      </c>
    </row>
    <row r="1085">
      <c r="A1085" s="5" t="n"/>
      <c r="B1085" s="5" t="n"/>
      <c r="C1085" s="5" t="n"/>
      <c r="D1085" s="5" t="n"/>
      <c r="E1085" s="5" t="n"/>
      <c r="F1085" s="18" t="n"/>
      <c r="G1085" s="18" t="n"/>
      <c r="H1085" s="18" t="n"/>
      <c r="I1085" s="5" t="n"/>
      <c r="J1085" s="24">
        <f>IF($A1085="","",$A1085&amp;IF($B1085="","0010",$B1085))</f>
        <v/>
      </c>
    </row>
    <row r="1086">
      <c r="A1086" s="5" t="n"/>
      <c r="B1086" s="5" t="n"/>
      <c r="C1086" s="5" t="n"/>
      <c r="D1086" s="5" t="n"/>
      <c r="E1086" s="5" t="n"/>
      <c r="F1086" s="18" t="n"/>
      <c r="G1086" s="18" t="n"/>
      <c r="H1086" s="18" t="n"/>
      <c r="I1086" s="5" t="n"/>
      <c r="J1086" s="24">
        <f>IF($A1086="","",$A1086&amp;IF($B1086="","0010",$B1086))</f>
        <v/>
      </c>
    </row>
    <row r="1087">
      <c r="A1087" s="5" t="n"/>
      <c r="B1087" s="5" t="n"/>
      <c r="C1087" s="5" t="n"/>
      <c r="D1087" s="5" t="n"/>
      <c r="E1087" s="5" t="n"/>
      <c r="F1087" s="18" t="n"/>
      <c r="G1087" s="18" t="n"/>
      <c r="H1087" s="18" t="n"/>
      <c r="I1087" s="5" t="n"/>
      <c r="J1087" s="24">
        <f>IF($A1087="","",$A1087&amp;IF($B1087="","0010",$B1087))</f>
        <v/>
      </c>
    </row>
    <row r="1088">
      <c r="A1088" s="5" t="n"/>
      <c r="B1088" s="5" t="n"/>
      <c r="C1088" s="5" t="n"/>
      <c r="D1088" s="5" t="n"/>
      <c r="E1088" s="5" t="n"/>
      <c r="F1088" s="18" t="n"/>
      <c r="G1088" s="18" t="n"/>
      <c r="H1088" s="18" t="n"/>
      <c r="I1088" s="5" t="n"/>
      <c r="J1088" s="24">
        <f>IF($A1088="","",$A1088&amp;IF($B1088="","0010",$B1088))</f>
        <v/>
      </c>
    </row>
    <row r="1089">
      <c r="A1089" s="5" t="n"/>
      <c r="B1089" s="5" t="n"/>
      <c r="C1089" s="5" t="n"/>
      <c r="D1089" s="5" t="n"/>
      <c r="E1089" s="5" t="n"/>
      <c r="F1089" s="18" t="n"/>
      <c r="G1089" s="18" t="n"/>
      <c r="H1089" s="18" t="n"/>
      <c r="I1089" s="5" t="n"/>
      <c r="J1089" s="24">
        <f>IF($A1089="","",$A1089&amp;IF($B1089="","0010",$B1089))</f>
        <v/>
      </c>
    </row>
    <row r="1090">
      <c r="A1090" s="5" t="n"/>
      <c r="B1090" s="5" t="n"/>
      <c r="C1090" s="5" t="n"/>
      <c r="D1090" s="5" t="n"/>
      <c r="E1090" s="5" t="n"/>
      <c r="F1090" s="18" t="n"/>
      <c r="G1090" s="18" t="n"/>
      <c r="H1090" s="18" t="n"/>
      <c r="I1090" s="5" t="n"/>
      <c r="J1090" s="24">
        <f>IF($A1090="","",$A1090&amp;IF($B1090="","0010",$B1090))</f>
        <v/>
      </c>
    </row>
    <row r="1091">
      <c r="A1091" s="5" t="n"/>
      <c r="B1091" s="5" t="n"/>
      <c r="C1091" s="5" t="n"/>
      <c r="D1091" s="5" t="n"/>
      <c r="E1091" s="5" t="n"/>
      <c r="F1091" s="18" t="n"/>
      <c r="G1091" s="18" t="n"/>
      <c r="H1091" s="18" t="n"/>
      <c r="I1091" s="5" t="n"/>
      <c r="J1091" s="24">
        <f>IF($A1091="","",$A1091&amp;IF($B1091="","0010",$B1091))</f>
        <v/>
      </c>
    </row>
    <row r="1092">
      <c r="A1092" s="5" t="n"/>
      <c r="B1092" s="5" t="n"/>
      <c r="C1092" s="5" t="n"/>
      <c r="D1092" s="5" t="n"/>
      <c r="E1092" s="5" t="n"/>
      <c r="F1092" s="18" t="n"/>
      <c r="G1092" s="18" t="n"/>
      <c r="H1092" s="18" t="n"/>
      <c r="I1092" s="5" t="n"/>
      <c r="J1092" s="24">
        <f>IF($A1092="","",$A1092&amp;IF($B1092="","0010",$B1092))</f>
        <v/>
      </c>
    </row>
    <row r="1093">
      <c r="A1093" s="5" t="n"/>
      <c r="B1093" s="5" t="n"/>
      <c r="C1093" s="5" t="n"/>
      <c r="D1093" s="5" t="n"/>
      <c r="E1093" s="5" t="n"/>
      <c r="F1093" s="18" t="n"/>
      <c r="G1093" s="18" t="n"/>
      <c r="H1093" s="18" t="n"/>
      <c r="I1093" s="5" t="n"/>
      <c r="J1093" s="24">
        <f>IF($A1093="","",$A1093&amp;IF($B1093="","0010",$B1093))</f>
        <v/>
      </c>
    </row>
    <row r="1094">
      <c r="A1094" s="5" t="n"/>
      <c r="B1094" s="5" t="n"/>
      <c r="C1094" s="5" t="n"/>
      <c r="D1094" s="5" t="n"/>
      <c r="E1094" s="5" t="n"/>
      <c r="F1094" s="18" t="n"/>
      <c r="G1094" s="18" t="n"/>
      <c r="H1094" s="18" t="n"/>
      <c r="I1094" s="5" t="n"/>
      <c r="J1094" s="24">
        <f>IF($A1094="","",$A1094&amp;IF($B1094="","0010",$B1094))</f>
        <v/>
      </c>
    </row>
    <row r="1095">
      <c r="A1095" s="5" t="n"/>
      <c r="B1095" s="5" t="n"/>
      <c r="C1095" s="5" t="n"/>
      <c r="D1095" s="5" t="n"/>
      <c r="E1095" s="5" t="n"/>
      <c r="F1095" s="18" t="n"/>
      <c r="G1095" s="18" t="n"/>
      <c r="H1095" s="18" t="n"/>
      <c r="I1095" s="5" t="n"/>
      <c r="J1095" s="24">
        <f>IF($A1095="","",$A1095&amp;IF($B1095="","0010",$B1095))</f>
        <v/>
      </c>
    </row>
    <row r="1096">
      <c r="A1096" s="5" t="n"/>
      <c r="B1096" s="5" t="n"/>
      <c r="C1096" s="5" t="n"/>
      <c r="D1096" s="5" t="n"/>
      <c r="E1096" s="5" t="n"/>
      <c r="F1096" s="18" t="n"/>
      <c r="G1096" s="18" t="n"/>
      <c r="H1096" s="18" t="n"/>
      <c r="I1096" s="5" t="n"/>
      <c r="J1096" s="24">
        <f>IF($A1096="","",$A1096&amp;IF($B1096="","0010",$B1096))</f>
        <v/>
      </c>
    </row>
    <row r="1097">
      <c r="A1097" s="5" t="n"/>
      <c r="B1097" s="5" t="n"/>
      <c r="C1097" s="5" t="n"/>
      <c r="D1097" s="5" t="n"/>
      <c r="E1097" s="5" t="n"/>
      <c r="F1097" s="18" t="n"/>
      <c r="G1097" s="18" t="n"/>
      <c r="H1097" s="18" t="n"/>
      <c r="I1097" s="5" t="n"/>
      <c r="J1097" s="24">
        <f>IF($A1097="","",$A1097&amp;IF($B1097="","0010",$B1097))</f>
        <v/>
      </c>
    </row>
    <row r="1098">
      <c r="A1098" s="5" t="n"/>
      <c r="B1098" s="5" t="n"/>
      <c r="C1098" s="5" t="n"/>
      <c r="D1098" s="5" t="n"/>
      <c r="E1098" s="5" t="n"/>
      <c r="F1098" s="18" t="n"/>
      <c r="G1098" s="18" t="n"/>
      <c r="H1098" s="18" t="n"/>
      <c r="I1098" s="5" t="n"/>
      <c r="J1098" s="24">
        <f>IF($A1098="","",$A1098&amp;IF($B1098="","0010",$B1098))</f>
        <v/>
      </c>
    </row>
    <row r="1099">
      <c r="A1099" s="5" t="n"/>
      <c r="B1099" s="5" t="n"/>
      <c r="C1099" s="5" t="n"/>
      <c r="D1099" s="5" t="n"/>
      <c r="E1099" s="5" t="n"/>
      <c r="F1099" s="18" t="n"/>
      <c r="G1099" s="18" t="n"/>
      <c r="H1099" s="18" t="n"/>
      <c r="I1099" s="5" t="n"/>
      <c r="J1099" s="24">
        <f>IF($A1099="","",$A1099&amp;IF($B1099="","0010",$B1099))</f>
        <v/>
      </c>
    </row>
    <row r="1100">
      <c r="A1100" s="5" t="n"/>
      <c r="B1100" s="5" t="n"/>
      <c r="C1100" s="5" t="n"/>
      <c r="D1100" s="5" t="n"/>
      <c r="E1100" s="5" t="n"/>
      <c r="F1100" s="18" t="n"/>
      <c r="G1100" s="18" t="n"/>
      <c r="H1100" s="18" t="n"/>
      <c r="I1100" s="5" t="n"/>
      <c r="J1100" s="24">
        <f>IF($A1100="","",$A1100&amp;IF($B1100="","0010",$B1100))</f>
        <v/>
      </c>
    </row>
    <row r="1101">
      <c r="A1101" s="5" t="n"/>
      <c r="B1101" s="5" t="n"/>
      <c r="C1101" s="5" t="n"/>
      <c r="D1101" s="5" t="n"/>
      <c r="E1101" s="5" t="n"/>
      <c r="F1101" s="18" t="n"/>
      <c r="G1101" s="18" t="n"/>
      <c r="H1101" s="18" t="n"/>
      <c r="I1101" s="5" t="n"/>
      <c r="J1101" s="24">
        <f>IF($A1101="","",$A1101&amp;IF($B1101="","0010",$B1101))</f>
        <v/>
      </c>
    </row>
    <row r="1102">
      <c r="A1102" s="5" t="n"/>
      <c r="B1102" s="5" t="n"/>
      <c r="C1102" s="5" t="n"/>
      <c r="D1102" s="5" t="n"/>
      <c r="E1102" s="5" t="n"/>
      <c r="F1102" s="18" t="n"/>
      <c r="G1102" s="18" t="n"/>
      <c r="H1102" s="18" t="n"/>
      <c r="I1102" s="5" t="n"/>
      <c r="J1102" s="24">
        <f>IF($A1102="","",$A1102&amp;IF($B1102="","0010",$B1102))</f>
        <v/>
      </c>
    </row>
    <row r="1103">
      <c r="A1103" s="5" t="n"/>
      <c r="B1103" s="5" t="n"/>
      <c r="C1103" s="5" t="n"/>
      <c r="D1103" s="5" t="n"/>
      <c r="E1103" s="5" t="n"/>
      <c r="F1103" s="18" t="n"/>
      <c r="G1103" s="18" t="n"/>
      <c r="H1103" s="18" t="n"/>
      <c r="I1103" s="5" t="n"/>
      <c r="J1103" s="24">
        <f>IF($A1103="","",$A1103&amp;IF($B1103="","0010",$B1103))</f>
        <v/>
      </c>
    </row>
    <row r="1104">
      <c r="A1104" s="5" t="n"/>
      <c r="B1104" s="5" t="n"/>
      <c r="C1104" s="5" t="n"/>
      <c r="D1104" s="5" t="n"/>
      <c r="E1104" s="5" t="n"/>
      <c r="F1104" s="18" t="n"/>
      <c r="G1104" s="18" t="n"/>
      <c r="H1104" s="18" t="n"/>
      <c r="I1104" s="5" t="n"/>
      <c r="J1104" s="24">
        <f>IF($A1104="","",$A1104&amp;IF($B1104="","0010",$B1104))</f>
        <v/>
      </c>
    </row>
    <row r="1105">
      <c r="A1105" s="5" t="n"/>
      <c r="B1105" s="5" t="n"/>
      <c r="C1105" s="5" t="n"/>
      <c r="D1105" s="5" t="n"/>
      <c r="E1105" s="5" t="n"/>
      <c r="F1105" s="18" t="n"/>
      <c r="G1105" s="18" t="n"/>
      <c r="H1105" s="18" t="n"/>
      <c r="I1105" s="5" t="n"/>
      <c r="J1105" s="24">
        <f>IF($A1105="","",$A1105&amp;IF($B1105="","0010",$B1105))</f>
        <v/>
      </c>
    </row>
    <row r="1106">
      <c r="A1106" s="5" t="n"/>
      <c r="B1106" s="5" t="n"/>
      <c r="C1106" s="5" t="n"/>
      <c r="D1106" s="5" t="n"/>
      <c r="E1106" s="5" t="n"/>
      <c r="F1106" s="18" t="n"/>
      <c r="G1106" s="18" t="n"/>
      <c r="H1106" s="18" t="n"/>
      <c r="I1106" s="5" t="n"/>
      <c r="J1106" s="24">
        <f>IF($A1106="","",$A1106&amp;IF($B1106="","0010",$B1106))</f>
        <v/>
      </c>
    </row>
    <row r="1107">
      <c r="A1107" s="5" t="n"/>
      <c r="B1107" s="5" t="n"/>
      <c r="C1107" s="5" t="n"/>
      <c r="D1107" s="5" t="n"/>
      <c r="E1107" s="5" t="n"/>
      <c r="F1107" s="18" t="n"/>
      <c r="G1107" s="18" t="n"/>
      <c r="H1107" s="18" t="n"/>
      <c r="I1107" s="5" t="n"/>
      <c r="J1107" s="24">
        <f>IF($A1107="","",$A1107&amp;IF($B1107="","0010",$B1107))</f>
        <v/>
      </c>
    </row>
    <row r="1108">
      <c r="A1108" s="5" t="n"/>
      <c r="B1108" s="5" t="n"/>
      <c r="C1108" s="5" t="n"/>
      <c r="D1108" s="5" t="n"/>
      <c r="E1108" s="5" t="n"/>
      <c r="F1108" s="18" t="n"/>
      <c r="G1108" s="18" t="n"/>
      <c r="H1108" s="18" t="n"/>
      <c r="I1108" s="5" t="n"/>
      <c r="J1108" s="24">
        <f>IF($A1108="","",$A1108&amp;IF($B1108="","0010",$B1108))</f>
        <v/>
      </c>
    </row>
    <row r="1109">
      <c r="A1109" s="5" t="n"/>
      <c r="B1109" s="5" t="n"/>
      <c r="C1109" s="5" t="n"/>
      <c r="D1109" s="5" t="n"/>
      <c r="E1109" s="5" t="n"/>
      <c r="F1109" s="18" t="n"/>
      <c r="G1109" s="18" t="n"/>
      <c r="H1109" s="18" t="n"/>
      <c r="I1109" s="5" t="n"/>
      <c r="J1109" s="24">
        <f>IF($A1109="","",$A1109&amp;IF($B1109="","0010",$B1109))</f>
        <v/>
      </c>
    </row>
    <row r="1110">
      <c r="A1110" s="5" t="n"/>
      <c r="B1110" s="5" t="n"/>
      <c r="C1110" s="5" t="n"/>
      <c r="D1110" s="5" t="n"/>
      <c r="E1110" s="5" t="n"/>
      <c r="F1110" s="18" t="n"/>
      <c r="G1110" s="18" t="n"/>
      <c r="H1110" s="18" t="n"/>
      <c r="I1110" s="5" t="n"/>
      <c r="J1110" s="24">
        <f>IF($A1110="","",$A1110&amp;IF($B1110="","0010",$B1110))</f>
        <v/>
      </c>
    </row>
    <row r="1111">
      <c r="A1111" s="5" t="n"/>
      <c r="B1111" s="5" t="n"/>
      <c r="C1111" s="5" t="n"/>
      <c r="D1111" s="5" t="n"/>
      <c r="E1111" s="5" t="n"/>
      <c r="F1111" s="18" t="n"/>
      <c r="G1111" s="18" t="n"/>
      <c r="H1111" s="18" t="n"/>
      <c r="I1111" s="5" t="n"/>
      <c r="J1111" s="24">
        <f>IF($A1111="","",$A1111&amp;IF($B1111="","0010",$B1111))</f>
        <v/>
      </c>
    </row>
    <row r="1112">
      <c r="A1112" s="5" t="n"/>
      <c r="B1112" s="5" t="n"/>
      <c r="C1112" s="5" t="n"/>
      <c r="D1112" s="5" t="n"/>
      <c r="E1112" s="5" t="n"/>
      <c r="F1112" s="18" t="n"/>
      <c r="G1112" s="18" t="n"/>
      <c r="H1112" s="18" t="n"/>
      <c r="I1112" s="5" t="n"/>
      <c r="J1112" s="24">
        <f>IF($A1112="","",$A1112&amp;IF($B1112="","0010",$B1112))</f>
        <v/>
      </c>
    </row>
    <row r="1113">
      <c r="A1113" s="5" t="n"/>
      <c r="B1113" s="5" t="n"/>
      <c r="C1113" s="5" t="n"/>
      <c r="D1113" s="5" t="n"/>
      <c r="E1113" s="5" t="n"/>
      <c r="F1113" s="18" t="n"/>
      <c r="G1113" s="18" t="n"/>
      <c r="H1113" s="18" t="n"/>
      <c r="I1113" s="5" t="n"/>
      <c r="J1113" s="24">
        <f>IF($A1113="","",$A1113&amp;IF($B1113="","0010",$B1113))</f>
        <v/>
      </c>
    </row>
    <row r="1114">
      <c r="A1114" s="5" t="n"/>
      <c r="B1114" s="5" t="n"/>
      <c r="C1114" s="5" t="n"/>
      <c r="D1114" s="5" t="n"/>
      <c r="E1114" s="5" t="n"/>
      <c r="F1114" s="18" t="n"/>
      <c r="G1114" s="18" t="n"/>
      <c r="H1114" s="18" t="n"/>
      <c r="I1114" s="5" t="n"/>
      <c r="J1114" s="24">
        <f>IF($A1114="","",$A1114&amp;IF($B1114="","0010",$B1114))</f>
        <v/>
      </c>
    </row>
    <row r="1115">
      <c r="A1115" s="5" t="n"/>
      <c r="B1115" s="5" t="n"/>
      <c r="C1115" s="5" t="n"/>
      <c r="D1115" s="5" t="n"/>
      <c r="E1115" s="5" t="n"/>
      <c r="F1115" s="18" t="n"/>
      <c r="G1115" s="18" t="n"/>
      <c r="H1115" s="18" t="n"/>
      <c r="I1115" s="5" t="n"/>
      <c r="J1115" s="24">
        <f>IF($A1115="","",$A1115&amp;IF($B1115="","0010",$B1115))</f>
        <v/>
      </c>
    </row>
    <row r="1116">
      <c r="A1116" s="5" t="n"/>
      <c r="B1116" s="5" t="n"/>
      <c r="C1116" s="5" t="n"/>
      <c r="D1116" s="5" t="n"/>
      <c r="E1116" s="5" t="n"/>
      <c r="F1116" s="18" t="n"/>
      <c r="G1116" s="18" t="n"/>
      <c r="H1116" s="18" t="n"/>
      <c r="I1116" s="5" t="n"/>
      <c r="J1116" s="24">
        <f>IF($A1116="","",$A1116&amp;IF($B1116="","0010",$B1116))</f>
        <v/>
      </c>
    </row>
    <row r="1117">
      <c r="A1117" s="5" t="n"/>
      <c r="B1117" s="5" t="n"/>
      <c r="C1117" s="5" t="n"/>
      <c r="D1117" s="5" t="n"/>
      <c r="E1117" s="5" t="n"/>
      <c r="F1117" s="18" t="n"/>
      <c r="G1117" s="18" t="n"/>
      <c r="H1117" s="18" t="n"/>
      <c r="I1117" s="5" t="n"/>
      <c r="J1117" s="24">
        <f>IF($A1117="","",$A1117&amp;IF($B1117="","0010",$B1117))</f>
        <v/>
      </c>
    </row>
    <row r="1118">
      <c r="A1118" s="5" t="n"/>
      <c r="B1118" s="5" t="n"/>
      <c r="C1118" s="5" t="n"/>
      <c r="D1118" s="5" t="n"/>
      <c r="E1118" s="5" t="n"/>
      <c r="F1118" s="18" t="n"/>
      <c r="G1118" s="18" t="n"/>
      <c r="H1118" s="18" t="n"/>
      <c r="I1118" s="5" t="n"/>
      <c r="J1118" s="24">
        <f>IF($A1118="","",$A1118&amp;IF($B1118="","0010",$B1118))</f>
        <v/>
      </c>
    </row>
    <row r="1119">
      <c r="A1119" s="5" t="n"/>
      <c r="B1119" s="5" t="n"/>
      <c r="C1119" s="5" t="n"/>
      <c r="D1119" s="5" t="n"/>
      <c r="E1119" s="5" t="n"/>
      <c r="F1119" s="18" t="n"/>
      <c r="G1119" s="18" t="n"/>
      <c r="H1119" s="18" t="n"/>
      <c r="I1119" s="5" t="n"/>
      <c r="J1119" s="24">
        <f>IF($A1119="","",$A1119&amp;IF($B1119="","0010",$B1119))</f>
        <v/>
      </c>
    </row>
    <row r="1120">
      <c r="A1120" s="5" t="n"/>
      <c r="B1120" s="5" t="n"/>
      <c r="C1120" s="5" t="n"/>
      <c r="D1120" s="5" t="n"/>
      <c r="E1120" s="5" t="n"/>
      <c r="F1120" s="18" t="n"/>
      <c r="G1120" s="18" t="n"/>
      <c r="H1120" s="18" t="n"/>
      <c r="I1120" s="5" t="n"/>
      <c r="J1120" s="24">
        <f>IF($A1120="","",$A1120&amp;IF($B1120="","0010",$B1120))</f>
        <v/>
      </c>
    </row>
    <row r="1121">
      <c r="A1121" s="5" t="n"/>
      <c r="B1121" s="5" t="n"/>
      <c r="C1121" s="5" t="n"/>
      <c r="D1121" s="5" t="n"/>
      <c r="E1121" s="5" t="n"/>
      <c r="F1121" s="18" t="n"/>
      <c r="G1121" s="18" t="n"/>
      <c r="H1121" s="18" t="n"/>
      <c r="I1121" s="5" t="n"/>
      <c r="J1121" s="24">
        <f>IF($A1121="","",$A1121&amp;IF($B1121="","0010",$B1121))</f>
        <v/>
      </c>
    </row>
    <row r="1122">
      <c r="A1122" s="5" t="n"/>
      <c r="B1122" s="5" t="n"/>
      <c r="C1122" s="5" t="n"/>
      <c r="D1122" s="5" t="n"/>
      <c r="E1122" s="5" t="n"/>
      <c r="F1122" s="18" t="n"/>
      <c r="G1122" s="18" t="n"/>
      <c r="H1122" s="18" t="n"/>
      <c r="I1122" s="5" t="n"/>
      <c r="J1122" s="24">
        <f>IF($A1122="","",$A1122&amp;IF($B1122="","0010",$B1122))</f>
        <v/>
      </c>
    </row>
    <row r="1123">
      <c r="A1123" s="5" t="n"/>
      <c r="B1123" s="5" t="n"/>
      <c r="C1123" s="5" t="n"/>
      <c r="D1123" s="5" t="n"/>
      <c r="E1123" s="5" t="n"/>
      <c r="F1123" s="18" t="n"/>
      <c r="G1123" s="18" t="n"/>
      <c r="H1123" s="18" t="n"/>
      <c r="I1123" s="5" t="n"/>
      <c r="J1123" s="24">
        <f>IF($A1123="","",$A1123&amp;IF($B1123="","0010",$B1123))</f>
        <v/>
      </c>
    </row>
    <row r="1124">
      <c r="A1124" s="5" t="n"/>
      <c r="B1124" s="5" t="n"/>
      <c r="C1124" s="5" t="n"/>
      <c r="D1124" s="5" t="n"/>
      <c r="E1124" s="5" t="n"/>
      <c r="F1124" s="18" t="n"/>
      <c r="G1124" s="18" t="n"/>
      <c r="H1124" s="18" t="n"/>
      <c r="I1124" s="5" t="n"/>
      <c r="J1124" s="24">
        <f>IF($A1124="","",$A1124&amp;IF($B1124="","0010",$B1124))</f>
        <v/>
      </c>
    </row>
    <row r="1125">
      <c r="A1125" s="5" t="n"/>
      <c r="B1125" s="5" t="n"/>
      <c r="C1125" s="5" t="n"/>
      <c r="D1125" s="5" t="n"/>
      <c r="E1125" s="5" t="n"/>
      <c r="F1125" s="18" t="n"/>
      <c r="G1125" s="18" t="n"/>
      <c r="H1125" s="18" t="n"/>
      <c r="I1125" s="5" t="n"/>
      <c r="J1125" s="24">
        <f>IF($A1125="","",$A1125&amp;IF($B1125="","0010",$B1125))</f>
        <v/>
      </c>
    </row>
    <row r="1126">
      <c r="A1126" s="5" t="n"/>
      <c r="B1126" s="5" t="n"/>
      <c r="C1126" s="5" t="n"/>
      <c r="D1126" s="5" t="n"/>
      <c r="E1126" s="5" t="n"/>
      <c r="F1126" s="18" t="n"/>
      <c r="G1126" s="18" t="n"/>
      <c r="H1126" s="18" t="n"/>
      <c r="I1126" s="5" t="n"/>
      <c r="J1126" s="24">
        <f>IF($A1126="","",$A1126&amp;IF($B1126="","0010",$B1126))</f>
        <v/>
      </c>
    </row>
    <row r="1127">
      <c r="A1127" s="5" t="n"/>
      <c r="B1127" s="5" t="n"/>
      <c r="C1127" s="5" t="n"/>
      <c r="D1127" s="5" t="n"/>
      <c r="E1127" s="5" t="n"/>
      <c r="F1127" s="18" t="n"/>
      <c r="G1127" s="18" t="n"/>
      <c r="H1127" s="18" t="n"/>
      <c r="I1127" s="5" t="n"/>
      <c r="J1127" s="24">
        <f>IF($A1127="","",$A1127&amp;IF($B1127="","0010",$B1127))</f>
        <v/>
      </c>
    </row>
    <row r="1128">
      <c r="A1128" s="5" t="n"/>
      <c r="B1128" s="5" t="n"/>
      <c r="C1128" s="5" t="n"/>
      <c r="D1128" s="5" t="n"/>
      <c r="E1128" s="5" t="n"/>
      <c r="F1128" s="18" t="n"/>
      <c r="G1128" s="18" t="n"/>
      <c r="H1128" s="18" t="n"/>
      <c r="I1128" s="5" t="n"/>
      <c r="J1128" s="24">
        <f>IF($A1128="","",$A1128&amp;IF($B1128="","0010",$B1128))</f>
        <v/>
      </c>
    </row>
    <row r="1129">
      <c r="A1129" s="5" t="n"/>
      <c r="B1129" s="5" t="n"/>
      <c r="C1129" s="5" t="n"/>
      <c r="D1129" s="5" t="n"/>
      <c r="E1129" s="5" t="n"/>
      <c r="F1129" s="18" t="n"/>
      <c r="G1129" s="18" t="n"/>
      <c r="H1129" s="18" t="n"/>
      <c r="I1129" s="5" t="n"/>
      <c r="J1129" s="24">
        <f>IF($A1129="","",$A1129&amp;IF($B1129="","0010",$B1129))</f>
        <v/>
      </c>
    </row>
    <row r="1130">
      <c r="A1130" s="5" t="n"/>
      <c r="B1130" s="5" t="n"/>
      <c r="C1130" s="5" t="n"/>
      <c r="D1130" s="5" t="n"/>
      <c r="E1130" s="5" t="n"/>
      <c r="F1130" s="18" t="n"/>
      <c r="G1130" s="18" t="n"/>
      <c r="H1130" s="18" t="n"/>
      <c r="I1130" s="5" t="n"/>
      <c r="J1130" s="24">
        <f>IF($A1130="","",$A1130&amp;IF($B1130="","0010",$B1130))</f>
        <v/>
      </c>
    </row>
    <row r="1131">
      <c r="A1131" s="5" t="n"/>
      <c r="B1131" s="5" t="n"/>
      <c r="C1131" s="5" t="n"/>
      <c r="D1131" s="5" t="n"/>
      <c r="E1131" s="5" t="n"/>
      <c r="F1131" s="18" t="n"/>
      <c r="G1131" s="18" t="n"/>
      <c r="H1131" s="18" t="n"/>
      <c r="I1131" s="5" t="n"/>
      <c r="J1131" s="24">
        <f>IF($A1131="","",$A1131&amp;IF($B1131="","0010",$B1131))</f>
        <v/>
      </c>
    </row>
    <row r="1132">
      <c r="A1132" s="5" t="n"/>
      <c r="B1132" s="5" t="n"/>
      <c r="C1132" s="5" t="n"/>
      <c r="D1132" s="5" t="n"/>
      <c r="E1132" s="5" t="n"/>
      <c r="F1132" s="18" t="n"/>
      <c r="G1132" s="18" t="n"/>
      <c r="H1132" s="18" t="n"/>
      <c r="I1132" s="5" t="n"/>
      <c r="J1132" s="24">
        <f>IF($A1132="","",$A1132&amp;IF($B1132="","0010",$B1132))</f>
        <v/>
      </c>
    </row>
    <row r="1133">
      <c r="A1133" s="5" t="n"/>
      <c r="B1133" s="5" t="n"/>
      <c r="C1133" s="5" t="n"/>
      <c r="D1133" s="5" t="n"/>
      <c r="E1133" s="5" t="n"/>
      <c r="F1133" s="18" t="n"/>
      <c r="G1133" s="18" t="n"/>
      <c r="H1133" s="18" t="n"/>
      <c r="I1133" s="5" t="n"/>
      <c r="J1133" s="24">
        <f>IF($A1133="","",$A1133&amp;IF($B1133="","0010",$B1133))</f>
        <v/>
      </c>
    </row>
    <row r="1134">
      <c r="A1134" s="5" t="n"/>
      <c r="B1134" s="5" t="n"/>
      <c r="C1134" s="5" t="n"/>
      <c r="D1134" s="5" t="n"/>
      <c r="E1134" s="5" t="n"/>
      <c r="F1134" s="18" t="n"/>
      <c r="G1134" s="18" t="n"/>
      <c r="H1134" s="18" t="n"/>
      <c r="I1134" s="5" t="n"/>
      <c r="J1134" s="24">
        <f>IF($A1134="","",$A1134&amp;IF($B1134="","0010",$B1134))</f>
        <v/>
      </c>
    </row>
    <row r="1135">
      <c r="A1135" s="5" t="n"/>
      <c r="B1135" s="5" t="n"/>
      <c r="C1135" s="5" t="n"/>
      <c r="D1135" s="5" t="n"/>
      <c r="E1135" s="5" t="n"/>
      <c r="F1135" s="18" t="n"/>
      <c r="G1135" s="18" t="n"/>
      <c r="H1135" s="18" t="n"/>
      <c r="I1135" s="5" t="n"/>
      <c r="J1135" s="24">
        <f>IF($A1135="","",$A1135&amp;IF($B1135="","0010",$B1135))</f>
        <v/>
      </c>
    </row>
    <row r="1136">
      <c r="A1136" s="5" t="n"/>
      <c r="B1136" s="5" t="n"/>
      <c r="C1136" s="5" t="n"/>
      <c r="D1136" s="5" t="n"/>
      <c r="E1136" s="5" t="n"/>
      <c r="F1136" s="18" t="n"/>
      <c r="G1136" s="18" t="n"/>
      <c r="H1136" s="18" t="n"/>
      <c r="I1136" s="5" t="n"/>
      <c r="J1136" s="24">
        <f>IF($A1136="","",$A1136&amp;IF($B1136="","0010",$B1136))</f>
        <v/>
      </c>
    </row>
    <row r="1137">
      <c r="A1137" s="5" t="n"/>
      <c r="B1137" s="5" t="n"/>
      <c r="C1137" s="5" t="n"/>
      <c r="D1137" s="5" t="n"/>
      <c r="E1137" s="5" t="n"/>
      <c r="F1137" s="18" t="n"/>
      <c r="G1137" s="18" t="n"/>
      <c r="H1137" s="18" t="n"/>
      <c r="I1137" s="5" t="n"/>
      <c r="J1137" s="24">
        <f>IF($A1137="","",$A1137&amp;IF($B1137="","0010",$B1137))</f>
        <v/>
      </c>
    </row>
    <row r="1138">
      <c r="A1138" s="5" t="n"/>
      <c r="B1138" s="5" t="n"/>
      <c r="C1138" s="5" t="n"/>
      <c r="D1138" s="5" t="n"/>
      <c r="E1138" s="5" t="n"/>
      <c r="F1138" s="18" t="n"/>
      <c r="G1138" s="18" t="n"/>
      <c r="H1138" s="18" t="n"/>
      <c r="I1138" s="5" t="n"/>
      <c r="J1138" s="24">
        <f>IF($A1138="","",$A1138&amp;IF($B1138="","0010",$B1138))</f>
        <v/>
      </c>
    </row>
    <row r="1139">
      <c r="A1139" s="5" t="n"/>
      <c r="B1139" s="5" t="n"/>
      <c r="C1139" s="5" t="n"/>
      <c r="D1139" s="5" t="n"/>
      <c r="E1139" s="5" t="n"/>
      <c r="F1139" s="18" t="n"/>
      <c r="G1139" s="18" t="n"/>
      <c r="H1139" s="18" t="n"/>
      <c r="I1139" s="5" t="n"/>
      <c r="J1139" s="24">
        <f>IF($A1139="","",$A1139&amp;IF($B1139="","0010",$B1139))</f>
        <v/>
      </c>
    </row>
    <row r="1140">
      <c r="A1140" s="5" t="n"/>
      <c r="B1140" s="5" t="n"/>
      <c r="C1140" s="5" t="n"/>
      <c r="D1140" s="5" t="n"/>
      <c r="E1140" s="5" t="n"/>
      <c r="F1140" s="18" t="n"/>
      <c r="G1140" s="18" t="n"/>
      <c r="H1140" s="18" t="n"/>
      <c r="I1140" s="5" t="n"/>
      <c r="J1140" s="24">
        <f>IF($A1140="","",$A1140&amp;IF($B1140="","0010",$B1140))</f>
        <v/>
      </c>
    </row>
    <row r="1141">
      <c r="A1141" s="5" t="n"/>
      <c r="B1141" s="5" t="n"/>
      <c r="C1141" s="5" t="n"/>
      <c r="D1141" s="5" t="n"/>
      <c r="E1141" s="5" t="n"/>
      <c r="F1141" s="18" t="n"/>
      <c r="G1141" s="18" t="n"/>
      <c r="H1141" s="18" t="n"/>
      <c r="I1141" s="5" t="n"/>
      <c r="J1141" s="24">
        <f>IF($A1141="","",$A1141&amp;IF($B1141="","0010",$B1141))</f>
        <v/>
      </c>
    </row>
    <row r="1142">
      <c r="A1142" s="5" t="n"/>
      <c r="B1142" s="5" t="n"/>
      <c r="C1142" s="5" t="n"/>
      <c r="D1142" s="5" t="n"/>
      <c r="E1142" s="5" t="n"/>
      <c r="F1142" s="18" t="n"/>
      <c r="G1142" s="18" t="n"/>
      <c r="H1142" s="18" t="n"/>
      <c r="I1142" s="5" t="n"/>
      <c r="J1142" s="24">
        <f>IF($A1142="","",$A1142&amp;IF($B1142="","0010",$B1142))</f>
        <v/>
      </c>
    </row>
    <row r="1143">
      <c r="A1143" s="5" t="n"/>
      <c r="B1143" s="5" t="n"/>
      <c r="C1143" s="5" t="n"/>
      <c r="D1143" s="5" t="n"/>
      <c r="E1143" s="5" t="n"/>
      <c r="F1143" s="18" t="n"/>
      <c r="G1143" s="18" t="n"/>
      <c r="H1143" s="18" t="n"/>
      <c r="I1143" s="5" t="n"/>
      <c r="J1143" s="24">
        <f>IF($A1143="","",$A1143&amp;IF($B1143="","0010",$B1143))</f>
        <v/>
      </c>
    </row>
    <row r="1144">
      <c r="A1144" s="5" t="n"/>
      <c r="B1144" s="5" t="n"/>
      <c r="C1144" s="5" t="n"/>
      <c r="D1144" s="5" t="n"/>
      <c r="E1144" s="5" t="n"/>
      <c r="F1144" s="18" t="n"/>
      <c r="G1144" s="18" t="n"/>
      <c r="H1144" s="18" t="n"/>
      <c r="I1144" s="5" t="n"/>
      <c r="J1144" s="24">
        <f>IF($A1144="","",$A1144&amp;IF($B1144="","0010",$B1144))</f>
        <v/>
      </c>
    </row>
    <row r="1145">
      <c r="A1145" s="5" t="n"/>
      <c r="B1145" s="5" t="n"/>
      <c r="C1145" s="5" t="n"/>
      <c r="D1145" s="5" t="n"/>
      <c r="E1145" s="5" t="n"/>
      <c r="F1145" s="18" t="n"/>
      <c r="G1145" s="18" t="n"/>
      <c r="H1145" s="18" t="n"/>
      <c r="I1145" s="5" t="n"/>
      <c r="J1145" s="24">
        <f>IF($A1145="","",$A1145&amp;IF($B1145="","0010",$B1145))</f>
        <v/>
      </c>
    </row>
    <row r="1146">
      <c r="A1146" s="5" t="n"/>
      <c r="B1146" s="5" t="n"/>
      <c r="C1146" s="5" t="n"/>
      <c r="D1146" s="5" t="n"/>
      <c r="E1146" s="5" t="n"/>
      <c r="F1146" s="18" t="n"/>
      <c r="G1146" s="18" t="n"/>
      <c r="H1146" s="18" t="n"/>
      <c r="I1146" s="5" t="n"/>
      <c r="J1146" s="24">
        <f>IF($A1146="","",$A1146&amp;IF($B1146="","0010",$B1146))</f>
        <v/>
      </c>
    </row>
    <row r="1147">
      <c r="A1147" s="5" t="n"/>
      <c r="B1147" s="5" t="n"/>
      <c r="C1147" s="5" t="n"/>
      <c r="D1147" s="5" t="n"/>
      <c r="E1147" s="5" t="n"/>
      <c r="F1147" s="18" t="n"/>
      <c r="G1147" s="18" t="n"/>
      <c r="H1147" s="18" t="n"/>
      <c r="I1147" s="5" t="n"/>
      <c r="J1147" s="24">
        <f>IF($A1147="","",$A1147&amp;IF($B1147="","0010",$B1147))</f>
        <v/>
      </c>
    </row>
    <row r="1148">
      <c r="A1148" s="5" t="n"/>
      <c r="B1148" s="5" t="n"/>
      <c r="C1148" s="5" t="n"/>
      <c r="D1148" s="5" t="n"/>
      <c r="E1148" s="5" t="n"/>
      <c r="F1148" s="18" t="n"/>
      <c r="G1148" s="18" t="n"/>
      <c r="H1148" s="18" t="n"/>
      <c r="I1148" s="5" t="n"/>
      <c r="J1148" s="24">
        <f>IF($A1148="","",$A1148&amp;IF($B1148="","0010",$B1148))</f>
        <v/>
      </c>
    </row>
    <row r="1149">
      <c r="A1149" s="5" t="n"/>
      <c r="B1149" s="5" t="n"/>
      <c r="C1149" s="5" t="n"/>
      <c r="D1149" s="5" t="n"/>
      <c r="E1149" s="5" t="n"/>
      <c r="F1149" s="18" t="n"/>
      <c r="G1149" s="18" t="n"/>
      <c r="H1149" s="18" t="n"/>
      <c r="I1149" s="5" t="n"/>
      <c r="J1149" s="24">
        <f>IF($A1149="","",$A1149&amp;IF($B1149="","0010",$B1149))</f>
        <v/>
      </c>
    </row>
    <row r="1150">
      <c r="A1150" s="5" t="n"/>
      <c r="B1150" s="5" t="n"/>
      <c r="C1150" s="5" t="n"/>
      <c r="D1150" s="5" t="n"/>
      <c r="E1150" s="5" t="n"/>
      <c r="F1150" s="18" t="n"/>
      <c r="G1150" s="18" t="n"/>
      <c r="H1150" s="18" t="n"/>
      <c r="I1150" s="5" t="n"/>
      <c r="J1150" s="24">
        <f>IF($A1150="","",$A1150&amp;IF($B1150="","0010",$B1150))</f>
        <v/>
      </c>
    </row>
    <row r="1151">
      <c r="A1151" s="5" t="n"/>
      <c r="B1151" s="5" t="n"/>
      <c r="C1151" s="5" t="n"/>
      <c r="D1151" s="5" t="n"/>
      <c r="E1151" s="5" t="n"/>
      <c r="F1151" s="18" t="n"/>
      <c r="G1151" s="18" t="n"/>
      <c r="H1151" s="18" t="n"/>
      <c r="I1151" s="5" t="n"/>
      <c r="J1151" s="24">
        <f>IF($A1151="","",$A1151&amp;IF($B1151="","0010",$B1151))</f>
        <v/>
      </c>
    </row>
    <row r="1152">
      <c r="A1152" s="5" t="n"/>
      <c r="B1152" s="5" t="n"/>
      <c r="C1152" s="5" t="n"/>
      <c r="D1152" s="5" t="n"/>
      <c r="E1152" s="5" t="n"/>
      <c r="F1152" s="18" t="n"/>
      <c r="G1152" s="18" t="n"/>
      <c r="H1152" s="18" t="n"/>
      <c r="I1152" s="5" t="n"/>
      <c r="J1152" s="24">
        <f>IF($A1152="","",$A1152&amp;IF($B1152="","0010",$B1152))</f>
        <v/>
      </c>
    </row>
    <row r="1153">
      <c r="A1153" s="5" t="n"/>
      <c r="B1153" s="5" t="n"/>
      <c r="C1153" s="5" t="n"/>
      <c r="D1153" s="5" t="n"/>
      <c r="E1153" s="5" t="n"/>
      <c r="F1153" s="18" t="n"/>
      <c r="G1153" s="18" t="n"/>
      <c r="H1153" s="18" t="n"/>
      <c r="I1153" s="5" t="n"/>
      <c r="J1153" s="24">
        <f>IF($A1153="","",$A1153&amp;IF($B1153="","0010",$B1153))</f>
        <v/>
      </c>
    </row>
    <row r="1154">
      <c r="A1154" s="5" t="n"/>
      <c r="B1154" s="5" t="n"/>
      <c r="C1154" s="5" t="n"/>
      <c r="D1154" s="5" t="n"/>
      <c r="E1154" s="5" t="n"/>
      <c r="F1154" s="18" t="n"/>
      <c r="G1154" s="18" t="n"/>
      <c r="H1154" s="18" t="n"/>
      <c r="I1154" s="5" t="n"/>
      <c r="J1154" s="24">
        <f>IF($A1154="","",$A1154&amp;IF($B1154="","0010",$B1154))</f>
        <v/>
      </c>
    </row>
    <row r="1155">
      <c r="A1155" s="5" t="n"/>
      <c r="B1155" s="5" t="n"/>
      <c r="C1155" s="5" t="n"/>
      <c r="D1155" s="5" t="n"/>
      <c r="E1155" s="5" t="n"/>
      <c r="F1155" s="18" t="n"/>
      <c r="G1155" s="18" t="n"/>
      <c r="H1155" s="18" t="n"/>
      <c r="I1155" s="5" t="n"/>
      <c r="J1155" s="24">
        <f>IF($A1155="","",$A1155&amp;IF($B1155="","0010",$B1155))</f>
        <v/>
      </c>
    </row>
    <row r="1156">
      <c r="A1156" s="5" t="n"/>
      <c r="B1156" s="5" t="n"/>
      <c r="C1156" s="5" t="n"/>
      <c r="D1156" s="5" t="n"/>
      <c r="E1156" s="5" t="n"/>
      <c r="F1156" s="18" t="n"/>
      <c r="G1156" s="18" t="n"/>
      <c r="H1156" s="18" t="n"/>
      <c r="I1156" s="5" t="n"/>
      <c r="J1156" s="24">
        <f>IF($A1156="","",$A1156&amp;IF($B1156="","0010",$B1156))</f>
        <v/>
      </c>
    </row>
    <row r="1157">
      <c r="A1157" s="5" t="n"/>
      <c r="B1157" s="5" t="n"/>
      <c r="C1157" s="5" t="n"/>
      <c r="D1157" s="5" t="n"/>
      <c r="E1157" s="5" t="n"/>
      <c r="F1157" s="18" t="n"/>
      <c r="G1157" s="18" t="n"/>
      <c r="H1157" s="18" t="n"/>
      <c r="I1157" s="5" t="n"/>
      <c r="J1157" s="24">
        <f>IF($A1157="","",$A1157&amp;IF($B1157="","0010",$B1157))</f>
        <v/>
      </c>
    </row>
    <row r="1158">
      <c r="A1158" s="5" t="n"/>
      <c r="B1158" s="5" t="n"/>
      <c r="C1158" s="5" t="n"/>
      <c r="D1158" s="5" t="n"/>
      <c r="E1158" s="5" t="n"/>
      <c r="F1158" s="18" t="n"/>
      <c r="G1158" s="18" t="n"/>
      <c r="H1158" s="18" t="n"/>
      <c r="I1158" s="5" t="n"/>
      <c r="J1158" s="24">
        <f>IF($A1158="","",$A1158&amp;IF($B1158="","0010",$B1158))</f>
        <v/>
      </c>
    </row>
    <row r="1159">
      <c r="A1159" s="5" t="n"/>
      <c r="B1159" s="5" t="n"/>
      <c r="C1159" s="5" t="n"/>
      <c r="D1159" s="5" t="n"/>
      <c r="E1159" s="5" t="n"/>
      <c r="F1159" s="18" t="n"/>
      <c r="G1159" s="18" t="n"/>
      <c r="H1159" s="18" t="n"/>
      <c r="I1159" s="5" t="n"/>
      <c r="J1159" s="24">
        <f>IF($A1159="","",$A1159&amp;IF($B1159="","0010",$B1159))</f>
        <v/>
      </c>
    </row>
    <row r="1160">
      <c r="A1160" s="5" t="n"/>
      <c r="B1160" s="5" t="n"/>
      <c r="C1160" s="5" t="n"/>
      <c r="D1160" s="5" t="n"/>
      <c r="E1160" s="5" t="n"/>
      <c r="F1160" s="18" t="n"/>
      <c r="G1160" s="18" t="n"/>
      <c r="H1160" s="18" t="n"/>
      <c r="I1160" s="5" t="n"/>
      <c r="J1160" s="24">
        <f>IF($A1160="","",$A1160&amp;IF($B1160="","0010",$B1160))</f>
        <v/>
      </c>
    </row>
    <row r="1161">
      <c r="A1161" s="5" t="n"/>
      <c r="B1161" s="5" t="n"/>
      <c r="C1161" s="5" t="n"/>
      <c r="D1161" s="5" t="n"/>
      <c r="E1161" s="5" t="n"/>
      <c r="F1161" s="18" t="n"/>
      <c r="G1161" s="18" t="n"/>
      <c r="H1161" s="18" t="n"/>
      <c r="I1161" s="5" t="n"/>
      <c r="J1161" s="24">
        <f>IF($A1161="","",$A1161&amp;IF($B1161="","0010",$B1161))</f>
        <v/>
      </c>
    </row>
    <row r="1162">
      <c r="A1162" s="5" t="n"/>
      <c r="B1162" s="5" t="n"/>
      <c r="C1162" s="5" t="n"/>
      <c r="D1162" s="5" t="n"/>
      <c r="E1162" s="5" t="n"/>
      <c r="F1162" s="18" t="n"/>
      <c r="G1162" s="18" t="n"/>
      <c r="H1162" s="18" t="n"/>
      <c r="I1162" s="5" t="n"/>
      <c r="J1162" s="24">
        <f>IF($A1162="","",$A1162&amp;IF($B1162="","0010",$B1162))</f>
        <v/>
      </c>
    </row>
    <row r="1163">
      <c r="A1163" s="5" t="n"/>
      <c r="B1163" s="5" t="n"/>
      <c r="C1163" s="5" t="n"/>
      <c r="D1163" s="5" t="n"/>
      <c r="E1163" s="5" t="n"/>
      <c r="F1163" s="18" t="n"/>
      <c r="G1163" s="18" t="n"/>
      <c r="H1163" s="18" t="n"/>
      <c r="I1163" s="5" t="n"/>
      <c r="J1163" s="24">
        <f>IF($A1163="","",$A1163&amp;IF($B1163="","0010",$B1163))</f>
        <v/>
      </c>
    </row>
    <row r="1164">
      <c r="A1164" s="5" t="n"/>
      <c r="B1164" s="5" t="n"/>
      <c r="C1164" s="5" t="n"/>
      <c r="D1164" s="5" t="n"/>
      <c r="E1164" s="5" t="n"/>
      <c r="F1164" s="18" t="n"/>
      <c r="G1164" s="18" t="n"/>
      <c r="H1164" s="18" t="n"/>
      <c r="I1164" s="5" t="n"/>
      <c r="J1164" s="24">
        <f>IF($A1164="","",$A1164&amp;IF($B1164="","0010",$B1164))</f>
        <v/>
      </c>
    </row>
    <row r="1165">
      <c r="A1165" s="5" t="n"/>
      <c r="B1165" s="5" t="n"/>
      <c r="C1165" s="5" t="n"/>
      <c r="D1165" s="5" t="n"/>
      <c r="E1165" s="5" t="n"/>
      <c r="F1165" s="18" t="n"/>
      <c r="G1165" s="18" t="n"/>
      <c r="H1165" s="18" t="n"/>
      <c r="I1165" s="5" t="n"/>
      <c r="J1165" s="24">
        <f>IF($A1165="","",$A1165&amp;IF($B1165="","0010",$B1165))</f>
        <v/>
      </c>
    </row>
    <row r="1166">
      <c r="A1166" s="5" t="n"/>
      <c r="B1166" s="5" t="n"/>
      <c r="C1166" s="5" t="n"/>
      <c r="D1166" s="5" t="n"/>
      <c r="E1166" s="5" t="n"/>
      <c r="F1166" s="18" t="n"/>
      <c r="G1166" s="18" t="n"/>
      <c r="H1166" s="18" t="n"/>
      <c r="I1166" s="5" t="n"/>
      <c r="J1166" s="24">
        <f>IF($A1166="","",$A1166&amp;IF($B1166="","0010",$B1166))</f>
        <v/>
      </c>
    </row>
    <row r="1167">
      <c r="A1167" s="5" t="n"/>
      <c r="B1167" s="5" t="n"/>
      <c r="C1167" s="5" t="n"/>
      <c r="D1167" s="5" t="n"/>
      <c r="E1167" s="5" t="n"/>
      <c r="F1167" s="18" t="n"/>
      <c r="G1167" s="18" t="n"/>
      <c r="H1167" s="18" t="n"/>
      <c r="I1167" s="5" t="n"/>
      <c r="J1167" s="24">
        <f>IF($A1167="","",$A1167&amp;IF($B1167="","0010",$B1167))</f>
        <v/>
      </c>
    </row>
    <row r="1168">
      <c r="A1168" s="5" t="n"/>
      <c r="B1168" s="5" t="n"/>
      <c r="C1168" s="5" t="n"/>
      <c r="D1168" s="5" t="n"/>
      <c r="E1168" s="5" t="n"/>
      <c r="F1168" s="18" t="n"/>
      <c r="G1168" s="18" t="n"/>
      <c r="H1168" s="18" t="n"/>
      <c r="I1168" s="5" t="n"/>
      <c r="J1168" s="24">
        <f>IF($A1168="","",$A1168&amp;IF($B1168="","0010",$B1168))</f>
        <v/>
      </c>
    </row>
    <row r="1169">
      <c r="A1169" s="5" t="n"/>
      <c r="B1169" s="5" t="n"/>
      <c r="C1169" s="5" t="n"/>
      <c r="D1169" s="5" t="n"/>
      <c r="E1169" s="5" t="n"/>
      <c r="F1169" s="18" t="n"/>
      <c r="G1169" s="18" t="n"/>
      <c r="H1169" s="18" t="n"/>
      <c r="I1169" s="5" t="n"/>
      <c r="J1169" s="24">
        <f>IF($A1169="","",$A1169&amp;IF($B1169="","0010",$B1169))</f>
        <v/>
      </c>
    </row>
    <row r="1170">
      <c r="A1170" s="5" t="n"/>
      <c r="B1170" s="5" t="n"/>
      <c r="C1170" s="5" t="n"/>
      <c r="D1170" s="5" t="n"/>
      <c r="E1170" s="5" t="n"/>
      <c r="F1170" s="18" t="n"/>
      <c r="G1170" s="18" t="n"/>
      <c r="H1170" s="18" t="n"/>
      <c r="I1170" s="5" t="n"/>
      <c r="J1170" s="24">
        <f>IF($A1170="","",$A1170&amp;IF($B1170="","0010",$B1170))</f>
        <v/>
      </c>
    </row>
    <row r="1171">
      <c r="A1171" s="5" t="n"/>
      <c r="B1171" s="5" t="n"/>
      <c r="C1171" s="5" t="n"/>
      <c r="D1171" s="5" t="n"/>
      <c r="E1171" s="5" t="n"/>
      <c r="F1171" s="18" t="n"/>
      <c r="G1171" s="18" t="n"/>
      <c r="H1171" s="18" t="n"/>
      <c r="I1171" s="5" t="n"/>
      <c r="J1171" s="24">
        <f>IF($A1171="","",$A1171&amp;IF($B1171="","0010",$B1171))</f>
        <v/>
      </c>
    </row>
    <row r="1172">
      <c r="A1172" s="5" t="n"/>
      <c r="B1172" s="5" t="n"/>
      <c r="C1172" s="5" t="n"/>
      <c r="D1172" s="5" t="n"/>
      <c r="E1172" s="5" t="n"/>
      <c r="F1172" s="18" t="n"/>
      <c r="G1172" s="18" t="n"/>
      <c r="H1172" s="18" t="n"/>
      <c r="I1172" s="5" t="n"/>
      <c r="J1172" s="24">
        <f>IF($A1172="","",$A1172&amp;IF($B1172="","0010",$B1172))</f>
        <v/>
      </c>
    </row>
    <row r="1173">
      <c r="A1173" s="5" t="n"/>
      <c r="B1173" s="5" t="n"/>
      <c r="C1173" s="5" t="n"/>
      <c r="D1173" s="5" t="n"/>
      <c r="E1173" s="5" t="n"/>
      <c r="F1173" s="18" t="n"/>
      <c r="G1173" s="18" t="n"/>
      <c r="H1173" s="18" t="n"/>
      <c r="I1173" s="5" t="n"/>
      <c r="J1173" s="24">
        <f>IF($A1173="","",$A1173&amp;IF($B1173="","0010",$B1173))</f>
        <v/>
      </c>
    </row>
    <row r="1174">
      <c r="A1174" s="5" t="n"/>
      <c r="B1174" s="5" t="n"/>
      <c r="C1174" s="5" t="n"/>
      <c r="D1174" s="5" t="n"/>
      <c r="E1174" s="5" t="n"/>
      <c r="F1174" s="18" t="n"/>
      <c r="G1174" s="18" t="n"/>
      <c r="H1174" s="18" t="n"/>
      <c r="I1174" s="5" t="n"/>
      <c r="J1174" s="24">
        <f>IF($A1174="","",$A1174&amp;IF($B1174="","0010",$B1174))</f>
        <v/>
      </c>
    </row>
    <row r="1175">
      <c r="A1175" s="5" t="n"/>
      <c r="B1175" s="5" t="n"/>
      <c r="C1175" s="5" t="n"/>
      <c r="D1175" s="5" t="n"/>
      <c r="E1175" s="5" t="n"/>
      <c r="F1175" s="18" t="n"/>
      <c r="G1175" s="18" t="n"/>
      <c r="H1175" s="18" t="n"/>
      <c r="I1175" s="5" t="n"/>
      <c r="J1175" s="24">
        <f>IF($A1175="","",$A1175&amp;IF($B1175="","0010",$B1175))</f>
        <v/>
      </c>
    </row>
    <row r="1176">
      <c r="A1176" s="5" t="n"/>
      <c r="B1176" s="5" t="n"/>
      <c r="C1176" s="5" t="n"/>
      <c r="D1176" s="5" t="n"/>
      <c r="E1176" s="5" t="n"/>
      <c r="F1176" s="18" t="n"/>
      <c r="G1176" s="18" t="n"/>
      <c r="H1176" s="18" t="n"/>
      <c r="I1176" s="5" t="n"/>
      <c r="J1176" s="24">
        <f>IF($A1176="","",$A1176&amp;IF($B1176="","0010",$B1176))</f>
        <v/>
      </c>
    </row>
    <row r="1177">
      <c r="A1177" s="5" t="n"/>
      <c r="B1177" s="5" t="n"/>
      <c r="C1177" s="5" t="n"/>
      <c r="D1177" s="5" t="n"/>
      <c r="E1177" s="5" t="n"/>
      <c r="F1177" s="18" t="n"/>
      <c r="G1177" s="18" t="n"/>
      <c r="H1177" s="18" t="n"/>
      <c r="I1177" s="5" t="n"/>
      <c r="J1177" s="24">
        <f>IF($A1177="","",$A1177&amp;IF($B1177="","0010",$B1177))</f>
        <v/>
      </c>
    </row>
    <row r="1178">
      <c r="A1178" s="5" t="n"/>
      <c r="B1178" s="5" t="n"/>
      <c r="C1178" s="5" t="n"/>
      <c r="D1178" s="5" t="n"/>
      <c r="E1178" s="5" t="n"/>
      <c r="F1178" s="18" t="n"/>
      <c r="G1178" s="18" t="n"/>
      <c r="H1178" s="18" t="n"/>
      <c r="I1178" s="5" t="n"/>
      <c r="J1178" s="24">
        <f>IF($A1178="","",$A1178&amp;IF($B1178="","0010",$B1178))</f>
        <v/>
      </c>
    </row>
    <row r="1179">
      <c r="A1179" s="5" t="n"/>
      <c r="B1179" s="5" t="n"/>
      <c r="C1179" s="5" t="n"/>
      <c r="D1179" s="5" t="n"/>
      <c r="E1179" s="5" t="n"/>
      <c r="F1179" s="18" t="n"/>
      <c r="G1179" s="18" t="n"/>
      <c r="H1179" s="18" t="n"/>
      <c r="I1179" s="5" t="n"/>
      <c r="J1179" s="24">
        <f>IF($A1179="","",$A1179&amp;IF($B1179="","0010",$B1179))</f>
        <v/>
      </c>
    </row>
    <row r="1180">
      <c r="A1180" s="5" t="n"/>
      <c r="B1180" s="5" t="n"/>
      <c r="C1180" s="5" t="n"/>
      <c r="D1180" s="5" t="n"/>
      <c r="E1180" s="5" t="n"/>
      <c r="F1180" s="18" t="n"/>
      <c r="G1180" s="18" t="n"/>
      <c r="H1180" s="18" t="n"/>
      <c r="I1180" s="5" t="n"/>
      <c r="J1180" s="24">
        <f>IF($A1180="","",$A1180&amp;IF($B1180="","0010",$B1180))</f>
        <v/>
      </c>
    </row>
    <row r="1181">
      <c r="A1181" s="5" t="n"/>
      <c r="B1181" s="5" t="n"/>
      <c r="C1181" s="5" t="n"/>
      <c r="D1181" s="5" t="n"/>
      <c r="E1181" s="5" t="n"/>
      <c r="F1181" s="18" t="n"/>
      <c r="G1181" s="18" t="n"/>
      <c r="H1181" s="18" t="n"/>
      <c r="I1181" s="5" t="n"/>
      <c r="J1181" s="24">
        <f>IF($A1181="","",$A1181&amp;IF($B1181="","0010",$B1181))</f>
        <v/>
      </c>
    </row>
    <row r="1182">
      <c r="A1182" s="5" t="n"/>
      <c r="B1182" s="5" t="n"/>
      <c r="C1182" s="5" t="n"/>
      <c r="D1182" s="5" t="n"/>
      <c r="E1182" s="5" t="n"/>
      <c r="F1182" s="18" t="n"/>
      <c r="G1182" s="18" t="n"/>
      <c r="H1182" s="18" t="n"/>
      <c r="I1182" s="5" t="n"/>
      <c r="J1182" s="24">
        <f>IF($A1182="","",$A1182&amp;IF($B1182="","0010",$B1182))</f>
        <v/>
      </c>
    </row>
    <row r="1183">
      <c r="A1183" s="5" t="n"/>
      <c r="B1183" s="5" t="n"/>
      <c r="C1183" s="5" t="n"/>
      <c r="D1183" s="5" t="n"/>
      <c r="E1183" s="5" t="n"/>
      <c r="F1183" s="18" t="n"/>
      <c r="G1183" s="18" t="n"/>
      <c r="H1183" s="18" t="n"/>
      <c r="I1183" s="5" t="n"/>
      <c r="J1183" s="24">
        <f>IF($A1183="","",$A1183&amp;IF($B1183="","0010",$B1183))</f>
        <v/>
      </c>
    </row>
    <row r="1184">
      <c r="A1184" s="5" t="n"/>
      <c r="B1184" s="5" t="n"/>
      <c r="C1184" s="5" t="n"/>
      <c r="D1184" s="5" t="n"/>
      <c r="E1184" s="5" t="n"/>
      <c r="F1184" s="18" t="n"/>
      <c r="G1184" s="18" t="n"/>
      <c r="H1184" s="18" t="n"/>
      <c r="I1184" s="5" t="n"/>
      <c r="J1184" s="24">
        <f>IF($A1184="","",$A1184&amp;IF($B1184="","0010",$B1184))</f>
        <v/>
      </c>
    </row>
    <row r="1185">
      <c r="A1185" s="5" t="n"/>
      <c r="B1185" s="5" t="n"/>
      <c r="C1185" s="5" t="n"/>
      <c r="D1185" s="5" t="n"/>
      <c r="E1185" s="5" t="n"/>
      <c r="F1185" s="18" t="n"/>
      <c r="G1185" s="18" t="n"/>
      <c r="H1185" s="18" t="n"/>
      <c r="I1185" s="5" t="n"/>
      <c r="J1185" s="24">
        <f>IF($A1185="","",$A1185&amp;IF($B1185="","0010",$B1185))</f>
        <v/>
      </c>
    </row>
    <row r="1186">
      <c r="A1186" s="5" t="n"/>
      <c r="B1186" s="5" t="n"/>
      <c r="C1186" s="5" t="n"/>
      <c r="D1186" s="5" t="n"/>
      <c r="E1186" s="5" t="n"/>
      <c r="F1186" s="18" t="n"/>
      <c r="G1186" s="18" t="n"/>
      <c r="H1186" s="18" t="n"/>
      <c r="I1186" s="5" t="n"/>
      <c r="J1186" s="24">
        <f>IF($A1186="","",$A1186&amp;IF($B1186="","0010",$B1186))</f>
        <v/>
      </c>
    </row>
    <row r="1187">
      <c r="A1187" s="5" t="n"/>
      <c r="B1187" s="5" t="n"/>
      <c r="C1187" s="5" t="n"/>
      <c r="D1187" s="5" t="n"/>
      <c r="E1187" s="5" t="n"/>
      <c r="F1187" s="18" t="n"/>
      <c r="G1187" s="18" t="n"/>
      <c r="H1187" s="18" t="n"/>
      <c r="I1187" s="5" t="n"/>
      <c r="J1187" s="24">
        <f>IF($A1187="","",$A1187&amp;IF($B1187="","0010",$B1187))</f>
        <v/>
      </c>
    </row>
    <row r="1188">
      <c r="A1188" s="5" t="n"/>
      <c r="B1188" s="5" t="n"/>
      <c r="C1188" s="5" t="n"/>
      <c r="D1188" s="5" t="n"/>
      <c r="E1188" s="5" t="n"/>
      <c r="F1188" s="18" t="n"/>
      <c r="G1188" s="18" t="n"/>
      <c r="H1188" s="18" t="n"/>
      <c r="I1188" s="5" t="n"/>
      <c r="J1188" s="24">
        <f>IF($A1188="","",$A1188&amp;IF($B1188="","0010",$B1188))</f>
        <v/>
      </c>
    </row>
    <row r="1189">
      <c r="A1189" s="5" t="n"/>
      <c r="B1189" s="5" t="n"/>
      <c r="C1189" s="5" t="n"/>
      <c r="D1189" s="5" t="n"/>
      <c r="E1189" s="5" t="n"/>
      <c r="F1189" s="18" t="n"/>
      <c r="G1189" s="18" t="n"/>
      <c r="H1189" s="18" t="n"/>
      <c r="I1189" s="5" t="n"/>
      <c r="J1189" s="24">
        <f>IF($A1189="","",$A1189&amp;IF($B1189="","0010",$B1189))</f>
        <v/>
      </c>
    </row>
    <row r="1190">
      <c r="A1190" s="5" t="n"/>
      <c r="B1190" s="5" t="n"/>
      <c r="C1190" s="5" t="n"/>
      <c r="D1190" s="5" t="n"/>
      <c r="E1190" s="5" t="n"/>
      <c r="F1190" s="18" t="n"/>
      <c r="G1190" s="18" t="n"/>
      <c r="H1190" s="18" t="n"/>
      <c r="I1190" s="5" t="n"/>
      <c r="J1190" s="24">
        <f>IF($A1190="","",$A1190&amp;IF($B1190="","0010",$B1190))</f>
        <v/>
      </c>
    </row>
    <row r="1191">
      <c r="A1191" s="5" t="n"/>
      <c r="B1191" s="5" t="n"/>
      <c r="C1191" s="5" t="n"/>
      <c r="D1191" s="5" t="n"/>
      <c r="E1191" s="5" t="n"/>
      <c r="F1191" s="18" t="n"/>
      <c r="G1191" s="18" t="n"/>
      <c r="H1191" s="18" t="n"/>
      <c r="I1191" s="5" t="n"/>
      <c r="J1191" s="24">
        <f>IF($A1191="","",$A1191&amp;IF($B1191="","0010",$B1191))</f>
        <v/>
      </c>
    </row>
    <row r="1192">
      <c r="A1192" s="5" t="n"/>
      <c r="B1192" s="5" t="n"/>
      <c r="C1192" s="5" t="n"/>
      <c r="D1192" s="5" t="n"/>
      <c r="E1192" s="5" t="n"/>
      <c r="F1192" s="18" t="n"/>
      <c r="G1192" s="18" t="n"/>
      <c r="H1192" s="18" t="n"/>
      <c r="I1192" s="5" t="n"/>
      <c r="J1192" s="24">
        <f>IF($A1192="","",$A1192&amp;IF($B1192="","0010",$B1192))</f>
        <v/>
      </c>
    </row>
    <row r="1193">
      <c r="A1193" s="5" t="n"/>
      <c r="B1193" s="5" t="n"/>
      <c r="C1193" s="5" t="n"/>
      <c r="D1193" s="5" t="n"/>
      <c r="E1193" s="5" t="n"/>
      <c r="F1193" s="18" t="n"/>
      <c r="G1193" s="18" t="n"/>
      <c r="H1193" s="18" t="n"/>
      <c r="I1193" s="5" t="n"/>
      <c r="J1193" s="24">
        <f>IF($A1193="","",$A1193&amp;IF($B1193="","0010",$B1193))</f>
        <v/>
      </c>
    </row>
    <row r="1194">
      <c r="A1194" s="5" t="n"/>
      <c r="B1194" s="5" t="n"/>
      <c r="C1194" s="5" t="n"/>
      <c r="D1194" s="5" t="n"/>
      <c r="E1194" s="5" t="n"/>
      <c r="F1194" s="18" t="n"/>
      <c r="G1194" s="18" t="n"/>
      <c r="H1194" s="18" t="n"/>
      <c r="I1194" s="5" t="n"/>
      <c r="J1194" s="24">
        <f>IF($A1194="","",$A1194&amp;IF($B1194="","0010",$B1194))</f>
        <v/>
      </c>
    </row>
    <row r="1195">
      <c r="A1195" s="5" t="n"/>
      <c r="B1195" s="5" t="n"/>
      <c r="C1195" s="5" t="n"/>
      <c r="D1195" s="5" t="n"/>
      <c r="E1195" s="5" t="n"/>
      <c r="F1195" s="18" t="n"/>
      <c r="G1195" s="18" t="n"/>
      <c r="H1195" s="18" t="n"/>
      <c r="I1195" s="5" t="n"/>
      <c r="J1195" s="24">
        <f>IF($A1195="","",$A1195&amp;IF($B1195="","0010",$B1195))</f>
        <v/>
      </c>
    </row>
    <row r="1196">
      <c r="A1196" s="5" t="n"/>
      <c r="B1196" s="5" t="n"/>
      <c r="C1196" s="5" t="n"/>
      <c r="D1196" s="5" t="n"/>
      <c r="E1196" s="5" t="n"/>
      <c r="F1196" s="18" t="n"/>
      <c r="G1196" s="18" t="n"/>
      <c r="H1196" s="18" t="n"/>
      <c r="I1196" s="5" t="n"/>
      <c r="J1196" s="24">
        <f>IF($A1196="","",$A1196&amp;IF($B1196="","0010",$B1196))</f>
        <v/>
      </c>
    </row>
    <row r="1197">
      <c r="A1197" s="5" t="n"/>
      <c r="B1197" s="5" t="n"/>
      <c r="C1197" s="5" t="n"/>
      <c r="D1197" s="5" t="n"/>
      <c r="E1197" s="5" t="n"/>
      <c r="F1197" s="18" t="n"/>
      <c r="G1197" s="18" t="n"/>
      <c r="H1197" s="18" t="n"/>
      <c r="I1197" s="5" t="n"/>
      <c r="J1197" s="24">
        <f>IF($A1197="","",$A1197&amp;IF($B1197="","0010",$B1197))</f>
        <v/>
      </c>
    </row>
    <row r="1198">
      <c r="A1198" s="5" t="n"/>
      <c r="B1198" s="5" t="n"/>
      <c r="C1198" s="5" t="n"/>
      <c r="D1198" s="5" t="n"/>
      <c r="E1198" s="5" t="n"/>
      <c r="F1198" s="18" t="n"/>
      <c r="G1198" s="18" t="n"/>
      <c r="H1198" s="18" t="n"/>
      <c r="I1198" s="5" t="n"/>
      <c r="J1198" s="24">
        <f>IF($A1198="","",$A1198&amp;IF($B1198="","0010",$B1198))</f>
        <v/>
      </c>
    </row>
    <row r="1199">
      <c r="A1199" s="5" t="n"/>
      <c r="B1199" s="5" t="n"/>
      <c r="C1199" s="5" t="n"/>
      <c r="D1199" s="5" t="n"/>
      <c r="E1199" s="5" t="n"/>
      <c r="F1199" s="18" t="n"/>
      <c r="G1199" s="18" t="n"/>
      <c r="H1199" s="18" t="n"/>
      <c r="I1199" s="5" t="n"/>
      <c r="J1199" s="24">
        <f>IF($A1199="","",$A1199&amp;IF($B1199="","0010",$B1199))</f>
        <v/>
      </c>
    </row>
    <row r="1200">
      <c r="A1200" s="5" t="n"/>
      <c r="B1200" s="5" t="n"/>
      <c r="C1200" s="5" t="n"/>
      <c r="D1200" s="5" t="n"/>
      <c r="E1200" s="5" t="n"/>
      <c r="F1200" s="18" t="n"/>
      <c r="G1200" s="18" t="n"/>
      <c r="H1200" s="18" t="n"/>
      <c r="I1200" s="5" t="n"/>
      <c r="J1200" s="24">
        <f>IF($A1200="","",$A1200&amp;IF($B1200="","0010",$B1200))</f>
        <v/>
      </c>
    </row>
    <row r="1201">
      <c r="A1201" s="5" t="n"/>
      <c r="B1201" s="5" t="n"/>
      <c r="C1201" s="5" t="n"/>
      <c r="D1201" s="5" t="n"/>
      <c r="E1201" s="5" t="n"/>
      <c r="F1201" s="18" t="n"/>
      <c r="G1201" s="18" t="n"/>
      <c r="H1201" s="18" t="n"/>
      <c r="I1201" s="5" t="n"/>
      <c r="J1201" s="24">
        <f>IF($A1201="","",$A1201&amp;IF($B1201="","0010",$B1201))</f>
        <v/>
      </c>
    </row>
    <row r="1202">
      <c r="A1202" s="5" t="n"/>
      <c r="B1202" s="5" t="n"/>
      <c r="C1202" s="5" t="n"/>
      <c r="D1202" s="5" t="n"/>
      <c r="E1202" s="5" t="n"/>
      <c r="F1202" s="18" t="n"/>
      <c r="G1202" s="18" t="n"/>
      <c r="H1202" s="18" t="n"/>
      <c r="I1202" s="5" t="n"/>
      <c r="J1202" s="24">
        <f>IF($A1202="","",$A1202&amp;IF($B1202="","0010",$B1202))</f>
        <v/>
      </c>
    </row>
    <row r="1203">
      <c r="A1203" s="5" t="n"/>
      <c r="B1203" s="5" t="n"/>
      <c r="C1203" s="5" t="n"/>
      <c r="D1203" s="5" t="n"/>
      <c r="E1203" s="5" t="n"/>
      <c r="F1203" s="18" t="n"/>
      <c r="G1203" s="18" t="n"/>
      <c r="H1203" s="18" t="n"/>
      <c r="I1203" s="5" t="n"/>
      <c r="J1203" s="24">
        <f>IF($A1203="","",$A1203&amp;IF($B1203="","0010",$B1203))</f>
        <v/>
      </c>
    </row>
    <row r="1204">
      <c r="A1204" s="5" t="n"/>
      <c r="B1204" s="5" t="n"/>
      <c r="C1204" s="5" t="n"/>
      <c r="D1204" s="5" t="n"/>
      <c r="E1204" s="5" t="n"/>
      <c r="F1204" s="18" t="n"/>
      <c r="G1204" s="18" t="n"/>
      <c r="H1204" s="18" t="n"/>
      <c r="I1204" s="5" t="n"/>
      <c r="J1204" s="24">
        <f>IF($A1204="","",$A1204&amp;IF($B1204="","0010",$B1204))</f>
        <v/>
      </c>
    </row>
    <row r="1205">
      <c r="A1205" s="5" t="n"/>
      <c r="B1205" s="5" t="n"/>
      <c r="C1205" s="5" t="n"/>
      <c r="D1205" s="5" t="n"/>
      <c r="E1205" s="5" t="n"/>
      <c r="F1205" s="18" t="n"/>
      <c r="G1205" s="18" t="n"/>
      <c r="H1205" s="18" t="n"/>
      <c r="I1205" s="5" t="n"/>
      <c r="J1205" s="24">
        <f>IF($A1205="","",$A1205&amp;IF($B1205="","0010",$B1205))</f>
        <v/>
      </c>
    </row>
    <row r="1206">
      <c r="A1206" s="5" t="n"/>
      <c r="B1206" s="5" t="n"/>
      <c r="C1206" s="5" t="n"/>
      <c r="D1206" s="5" t="n"/>
      <c r="E1206" s="5" t="n"/>
      <c r="F1206" s="18" t="n"/>
      <c r="G1206" s="18" t="n"/>
      <c r="H1206" s="18" t="n"/>
      <c r="I1206" s="5" t="n"/>
      <c r="J1206" s="24">
        <f>IF($A1206="","",$A1206&amp;IF($B1206="","0010",$B1206))</f>
        <v/>
      </c>
    </row>
    <row r="1207">
      <c r="A1207" s="5" t="n"/>
      <c r="B1207" s="5" t="n"/>
      <c r="C1207" s="5" t="n"/>
      <c r="D1207" s="5" t="n"/>
      <c r="E1207" s="5" t="n"/>
      <c r="F1207" s="18" t="n"/>
      <c r="G1207" s="18" t="n"/>
      <c r="H1207" s="18" t="n"/>
      <c r="I1207" s="5" t="n"/>
      <c r="J1207" s="24">
        <f>IF($A1207="","",$A1207&amp;IF($B1207="","0010",$B1207))</f>
        <v/>
      </c>
    </row>
    <row r="1208">
      <c r="A1208" s="5" t="n"/>
      <c r="B1208" s="5" t="n"/>
      <c r="C1208" s="5" t="n"/>
      <c r="D1208" s="5" t="n"/>
      <c r="E1208" s="5" t="n"/>
      <c r="F1208" s="18" t="n"/>
      <c r="G1208" s="18" t="n"/>
      <c r="H1208" s="18" t="n"/>
      <c r="I1208" s="5" t="n"/>
      <c r="J1208" s="24">
        <f>IF($A1208="","",$A1208&amp;IF($B1208="","0010",$B1208))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22" customWidth="1" min="5" max="5"/>
    <col width="9" customWidth="1" min="6" max="6"/>
    <col width="14" customWidth="1" min="7" max="7"/>
    <col width="8" customWidth="1" min="8" max="8"/>
    <col width="10" customWidth="1" min="10" max="10"/>
    <col width="24" customWidth="1" min="11" max="11"/>
  </cols>
  <sheetData>
    <row r="1">
      <c r="A1" s="3" t="inlineStr">
        <is>
          <t>TECNICOS (tblTecnicos) — catálogo editable de personal propio. 6.3: rotativo (sí/no) y orden_rotacion (1..N por especialidad×área entre rotativos) alimentan la rotación. 6.6: supervisor fijo del técnico.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id</t>
        </is>
      </c>
      <c r="B3" s="14" t="inlineStr">
        <is>
          <t>nombre</t>
        </is>
      </c>
      <c r="C3" s="14" t="inlineStr">
        <is>
          <t>especialidad</t>
        </is>
      </c>
      <c r="D3" s="14" t="inlineStr">
        <is>
          <t>area</t>
        </is>
      </c>
      <c r="E3" s="14" t="inlineStr">
        <is>
          <t>supervisor</t>
        </is>
      </c>
      <c r="F3" s="14" t="inlineStr">
        <is>
          <t>rotativo</t>
        </is>
      </c>
      <c r="G3" s="14" t="inlineStr">
        <is>
          <t>orden_rotacion</t>
        </is>
      </c>
      <c r="H3" s="14" t="inlineStr">
        <is>
          <t>activo</t>
        </is>
      </c>
      <c r="J3" s="2" t="inlineStr">
        <is>
          <t>nº activo</t>
        </is>
      </c>
      <c r="K3" s="2" t="inlineStr">
        <is>
          <t>técnicos activos (lista_tecnicos) — no editar</t>
        </is>
      </c>
    </row>
    <row r="4">
      <c r="A4" s="4" t="n">
        <v>80205524</v>
      </c>
      <c r="B4" s="4" t="inlineStr">
        <is>
          <t>Carlos Pérez</t>
        </is>
      </c>
      <c r="C4" s="4" t="inlineStr">
        <is>
          <t>MEC</t>
        </is>
      </c>
      <c r="D4" s="4" t="inlineStr">
        <is>
          <t>PRODUCCION</t>
        </is>
      </c>
      <c r="E4" s="4" t="inlineStr">
        <is>
          <t>Supervisor Mecánico</t>
        </is>
      </c>
      <c r="F4" s="4" t="inlineStr">
        <is>
          <t>sí</t>
        </is>
      </c>
      <c r="G4" s="4" t="n">
        <v>1</v>
      </c>
      <c r="H4" s="4" t="inlineStr">
        <is>
          <t>sí</t>
        </is>
      </c>
      <c r="J4" s="24">
        <f>IF($H4="sí",COUNTIFS($H$4:$H4,"sí"),"")</f>
        <v/>
      </c>
      <c r="K4" s="24">
        <f>IFERROR(INDEX($B$4:$B$19,MATCH(ROW()-3,$J$4:$J$19,0)),"")</f>
        <v/>
      </c>
    </row>
    <row r="5">
      <c r="A5" s="4" t="n">
        <v>80205525</v>
      </c>
      <c r="B5" s="4" t="inlineStr">
        <is>
          <t>María Gómez</t>
        </is>
      </c>
      <c r="C5" s="4" t="inlineStr">
        <is>
          <t>MEC</t>
        </is>
      </c>
      <c r="D5" s="4" t="inlineStr">
        <is>
          <t>PRODUCCION</t>
        </is>
      </c>
      <c r="E5" s="4" t="inlineStr">
        <is>
          <t>Supervisor Mecánico</t>
        </is>
      </c>
      <c r="F5" s="4" t="inlineStr">
        <is>
          <t>sí</t>
        </is>
      </c>
      <c r="G5" s="4" t="n">
        <v>2</v>
      </c>
      <c r="H5" s="4" t="inlineStr">
        <is>
          <t>sí</t>
        </is>
      </c>
      <c r="J5" s="24">
        <f>IF($H5="sí",COUNTIFS($H$4:$H5,"sí"),"")</f>
        <v/>
      </c>
      <c r="K5" s="24">
        <f>IFERROR(INDEX($B$4:$B$19,MATCH(ROW()-3,$J$4:$J$19,0)),"")</f>
        <v/>
      </c>
    </row>
    <row r="6">
      <c r="A6" s="4" t="n">
        <v>80205526</v>
      </c>
      <c r="B6" s="4" t="inlineStr">
        <is>
          <t>Luis Rodríguez</t>
        </is>
      </c>
      <c r="C6" s="4" t="inlineStr">
        <is>
          <t>MEC</t>
        </is>
      </c>
      <c r="D6" s="4" t="inlineStr">
        <is>
          <t>PRODUCCION</t>
        </is>
      </c>
      <c r="E6" s="4" t="inlineStr">
        <is>
          <t>Supervisor Mecánico</t>
        </is>
      </c>
      <c r="F6" s="4" t="inlineStr">
        <is>
          <t>sí</t>
        </is>
      </c>
      <c r="G6" s="4" t="n">
        <v>3</v>
      </c>
      <c r="H6" s="4" t="inlineStr">
        <is>
          <t>sí</t>
        </is>
      </c>
      <c r="J6" s="24">
        <f>IF($H6="sí",COUNTIFS($H$4:$H6,"sí"),"")</f>
        <v/>
      </c>
      <c r="K6" s="24">
        <f>IFERROR(INDEX($B$4:$B$19,MATCH(ROW()-3,$J$4:$J$19,0)),"")</f>
        <v/>
      </c>
    </row>
    <row r="7">
      <c r="A7" s="4" t="n">
        <v>80205527</v>
      </c>
      <c r="B7" s="4" t="inlineStr">
        <is>
          <t>Miguel Martínez</t>
        </is>
      </c>
      <c r="C7" s="4" t="inlineStr">
        <is>
          <t>MEC</t>
        </is>
      </c>
      <c r="D7" s="4" t="inlineStr">
        <is>
          <t>PRODUCCION</t>
        </is>
      </c>
      <c r="E7" s="4" t="inlineStr">
        <is>
          <t>Supervisor Mecánico</t>
        </is>
      </c>
      <c r="F7" s="4" t="inlineStr">
        <is>
          <t>sí</t>
        </is>
      </c>
      <c r="G7" s="4" t="n">
        <v>4</v>
      </c>
      <c r="H7" s="4" t="inlineStr">
        <is>
          <t>sí</t>
        </is>
      </c>
      <c r="J7" s="24">
        <f>IF($H7="sí",COUNTIFS($H$4:$H7,"sí"),"")</f>
        <v/>
      </c>
      <c r="K7" s="24">
        <f>IFERROR(INDEX($B$4:$B$19,MATCH(ROW()-3,$J$4:$J$19,0)),"")</f>
        <v/>
      </c>
    </row>
    <row r="8">
      <c r="A8" s="4" t="n">
        <v>80205528</v>
      </c>
      <c r="B8" s="4" t="inlineStr">
        <is>
          <t>Ana Sánchez</t>
        </is>
      </c>
      <c r="C8" s="4" t="inlineStr">
        <is>
          <t>MEC</t>
        </is>
      </c>
      <c r="D8" s="4" t="inlineStr">
        <is>
          <t>PRODUCCION</t>
        </is>
      </c>
      <c r="E8" s="4" t="inlineStr">
        <is>
          <t>Supervisor Mecánico</t>
        </is>
      </c>
      <c r="F8" s="4" t="inlineStr">
        <is>
          <t>sí</t>
        </is>
      </c>
      <c r="G8" s="4" t="n">
        <v>5</v>
      </c>
      <c r="H8" s="4" t="inlineStr">
        <is>
          <t>sí</t>
        </is>
      </c>
      <c r="J8" s="24">
        <f>IF($H8="sí",COUNTIFS($H$4:$H8,"sí"),"")</f>
        <v/>
      </c>
      <c r="K8" s="24">
        <f>IFERROR(INDEX($B$4:$B$19,MATCH(ROW()-3,$J$4:$J$19,0)),"")</f>
        <v/>
      </c>
    </row>
    <row r="9">
      <c r="A9" s="4" t="n">
        <v>80205529</v>
      </c>
      <c r="B9" s="4" t="inlineStr">
        <is>
          <t>David Torres</t>
        </is>
      </c>
      <c r="C9" s="4" t="inlineStr">
        <is>
          <t>MEC</t>
        </is>
      </c>
      <c r="D9" s="4" t="inlineStr">
        <is>
          <t>PRODUCCION</t>
        </is>
      </c>
      <c r="E9" s="4" t="inlineStr">
        <is>
          <t>Supervisor Mecánico</t>
        </is>
      </c>
      <c r="F9" s="4" t="inlineStr">
        <is>
          <t>sí</t>
        </is>
      </c>
      <c r="G9" s="4" t="n">
        <v>6</v>
      </c>
      <c r="H9" s="4" t="inlineStr">
        <is>
          <t>sí</t>
        </is>
      </c>
      <c r="J9" s="24">
        <f>IF($H9="sí",COUNTIFS($H$4:$H9,"sí"),"")</f>
        <v/>
      </c>
      <c r="K9" s="24">
        <f>IFERROR(INDEX($B$4:$B$19,MATCH(ROW()-3,$J$4:$J$19,0)),"")</f>
        <v/>
      </c>
    </row>
    <row r="10">
      <c r="A10" s="4" t="n">
        <v>80205530</v>
      </c>
      <c r="B10" s="4" t="inlineStr">
        <is>
          <t>Francisco Ramírez</t>
        </is>
      </c>
      <c r="C10" s="4" t="inlineStr">
        <is>
          <t>MEC</t>
        </is>
      </c>
      <c r="D10" s="4" t="inlineStr">
        <is>
          <t>PRODUCCION</t>
        </is>
      </c>
      <c r="E10" s="4" t="inlineStr">
        <is>
          <t>Supervisor Mecánico</t>
        </is>
      </c>
      <c r="F10" s="4" t="inlineStr">
        <is>
          <t>sí</t>
        </is>
      </c>
      <c r="G10" s="4" t="n">
        <v>7</v>
      </c>
      <c r="H10" s="4" t="inlineStr">
        <is>
          <t>sí</t>
        </is>
      </c>
      <c r="J10" s="24">
        <f>IF($H10="sí",COUNTIFS($H$4:$H10,"sí"),"")</f>
        <v/>
      </c>
      <c r="K10" s="24">
        <f>IFERROR(INDEX($B$4:$B$19,MATCH(ROW()-3,$J$4:$J$19,0)),"")</f>
        <v/>
      </c>
    </row>
    <row r="11">
      <c r="A11" s="4" t="n">
        <v>80205531</v>
      </c>
      <c r="B11" s="4" t="inlineStr">
        <is>
          <t>Jorge Díaz</t>
        </is>
      </c>
      <c r="C11" s="4" t="inlineStr">
        <is>
          <t>ELE</t>
        </is>
      </c>
      <c r="D11" s="4" t="inlineStr">
        <is>
          <t>PRODUCCION</t>
        </is>
      </c>
      <c r="E11" s="4" t="inlineStr">
        <is>
          <t>Supervisor Eléctrico</t>
        </is>
      </c>
      <c r="F11" s="4" t="inlineStr">
        <is>
          <t>sí</t>
        </is>
      </c>
      <c r="G11" s="4" t="n">
        <v>1</v>
      </c>
      <c r="H11" s="4" t="inlineStr">
        <is>
          <t>sí</t>
        </is>
      </c>
      <c r="J11" s="24">
        <f>IF($H11="sí",COUNTIFS($H$4:$H11,"sí"),"")</f>
        <v/>
      </c>
      <c r="K11" s="24">
        <f>IFERROR(INDEX($B$4:$B$19,MATCH(ROW()-3,$J$4:$J$19,0)),"")</f>
        <v/>
      </c>
    </row>
    <row r="12">
      <c r="A12" s="4" t="n">
        <v>80205532</v>
      </c>
      <c r="B12" s="4" t="inlineStr">
        <is>
          <t>Roberto Castro</t>
        </is>
      </c>
      <c r="C12" s="4" t="inlineStr">
        <is>
          <t>ELE</t>
        </is>
      </c>
      <c r="D12" s="4" t="inlineStr">
        <is>
          <t>PRODUCCION</t>
        </is>
      </c>
      <c r="E12" s="4" t="inlineStr">
        <is>
          <t>Supervisor Eléctrico</t>
        </is>
      </c>
      <c r="F12" s="4" t="inlineStr">
        <is>
          <t>sí</t>
        </is>
      </c>
      <c r="G12" s="4" t="n">
        <v>2</v>
      </c>
      <c r="H12" s="4" t="inlineStr">
        <is>
          <t>sí</t>
        </is>
      </c>
      <c r="J12" s="24">
        <f>IF($H12="sí",COUNTIFS($H$4:$H12,"sí"),"")</f>
        <v/>
      </c>
      <c r="K12" s="24">
        <f>IFERROR(INDEX($B$4:$B$19,MATCH(ROW()-3,$J$4:$J$19,0)),"")</f>
        <v/>
      </c>
    </row>
    <row r="13">
      <c r="A13" s="4" t="n">
        <v>80205533</v>
      </c>
      <c r="B13" s="4" t="inlineStr">
        <is>
          <t>Laura Morales</t>
        </is>
      </c>
      <c r="C13" s="4" t="inlineStr">
        <is>
          <t>ELE</t>
        </is>
      </c>
      <c r="D13" s="4" t="inlineStr">
        <is>
          <t>PRODUCCION</t>
        </is>
      </c>
      <c r="E13" s="4" t="inlineStr">
        <is>
          <t>Supervisor Eléctrico</t>
        </is>
      </c>
      <c r="F13" s="4" t="inlineStr">
        <is>
          <t>sí</t>
        </is>
      </c>
      <c r="G13" s="4" t="n">
        <v>3</v>
      </c>
      <c r="H13" s="4" t="inlineStr">
        <is>
          <t>sí</t>
        </is>
      </c>
      <c r="J13" s="24">
        <f>IF($H13="sí",COUNTIFS($H$4:$H13,"sí"),"")</f>
        <v/>
      </c>
      <c r="K13" s="24">
        <f>IFERROR(INDEX($B$4:$B$19,MATCH(ROW()-3,$J$4:$J$19,0)),"")</f>
        <v/>
      </c>
    </row>
    <row r="14">
      <c r="A14" s="4" t="n">
        <v>80205534</v>
      </c>
      <c r="B14" s="4" t="inlineStr">
        <is>
          <t>Ricardo Ortiz</t>
        </is>
      </c>
      <c r="C14" s="4" t="inlineStr">
        <is>
          <t>ELE</t>
        </is>
      </c>
      <c r="D14" s="4" t="inlineStr">
        <is>
          <t>PRODUCCION</t>
        </is>
      </c>
      <c r="E14" s="4" t="inlineStr">
        <is>
          <t>Supervisor Eléctrico</t>
        </is>
      </c>
      <c r="F14" s="4" t="inlineStr">
        <is>
          <t>sí</t>
        </is>
      </c>
      <c r="G14" s="4" t="n">
        <v>4</v>
      </c>
      <c r="H14" s="4" t="inlineStr">
        <is>
          <t>sí</t>
        </is>
      </c>
      <c r="J14" s="24">
        <f>IF($H14="sí",COUNTIFS($H$4:$H14,"sí"),"")</f>
        <v/>
      </c>
      <c r="K14" s="24">
        <f>IFERROR(INDEX($B$4:$B$19,MATCH(ROW()-3,$J$4:$J$19,0)),"")</f>
        <v/>
      </c>
    </row>
    <row r="15">
      <c r="A15" s="4" t="n">
        <v>80205535</v>
      </c>
      <c r="B15" s="4" t="inlineStr">
        <is>
          <t>Eduardo Silva</t>
        </is>
      </c>
      <c r="C15" s="4" t="inlineStr">
        <is>
          <t>ELE</t>
        </is>
      </c>
      <c r="D15" s="4" t="inlineStr">
        <is>
          <t>PRODUCCION</t>
        </is>
      </c>
      <c r="E15" s="4" t="inlineStr">
        <is>
          <t>Supervisor Eléctrico</t>
        </is>
      </c>
      <c r="F15" s="4" t="inlineStr">
        <is>
          <t>sí</t>
        </is>
      </c>
      <c r="G15" s="4" t="n">
        <v>5</v>
      </c>
      <c r="H15" s="4" t="inlineStr">
        <is>
          <t>sí</t>
        </is>
      </c>
      <c r="J15" s="24">
        <f>IF($H15="sí",COUNTIFS($H$4:$H15,"sí"),"")</f>
        <v/>
      </c>
      <c r="K15" s="24">
        <f>IFERROR(INDEX($B$4:$B$19,MATCH(ROW()-3,$J$4:$J$19,0)),"")</f>
        <v/>
      </c>
    </row>
    <row r="16">
      <c r="A16" s="4" t="n">
        <v>80205536</v>
      </c>
      <c r="B16" s="4" t="inlineStr">
        <is>
          <t>Gabriela Rojas</t>
        </is>
      </c>
      <c r="C16" s="4" t="inlineStr">
        <is>
          <t>ELE</t>
        </is>
      </c>
      <c r="D16" s="4" t="inlineStr">
        <is>
          <t>PRODUCCION</t>
        </is>
      </c>
      <c r="E16" s="4" t="inlineStr">
        <is>
          <t>Supervisor Eléctrico</t>
        </is>
      </c>
      <c r="F16" s="4" t="inlineStr">
        <is>
          <t>sí</t>
        </is>
      </c>
      <c r="G16" s="4" t="n">
        <v>6</v>
      </c>
      <c r="H16" s="4" t="inlineStr">
        <is>
          <t>sí</t>
        </is>
      </c>
      <c r="J16" s="24">
        <f>IF($H16="sí",COUNTIFS($H$4:$H16,"sí"),"")</f>
        <v/>
      </c>
      <c r="K16" s="24">
        <f>IFERROR(INDEX($B$4:$B$19,MATCH(ROW()-3,$J$4:$J$19,0)),"")</f>
        <v/>
      </c>
    </row>
    <row r="17">
      <c r="A17" s="4" t="n">
        <v>80205537</v>
      </c>
      <c r="B17" s="4" t="inlineStr">
        <is>
          <t>Fernando Mendoza</t>
        </is>
      </c>
      <c r="C17" s="4" t="inlineStr">
        <is>
          <t>ELE</t>
        </is>
      </c>
      <c r="D17" s="4" t="inlineStr">
        <is>
          <t>PRODUCCION</t>
        </is>
      </c>
      <c r="E17" s="4" t="inlineStr">
        <is>
          <t>Supervisor Eléctrico</t>
        </is>
      </c>
      <c r="F17" s="4" t="inlineStr">
        <is>
          <t>sí</t>
        </is>
      </c>
      <c r="G17" s="4" t="n">
        <v>7</v>
      </c>
      <c r="H17" s="4" t="inlineStr">
        <is>
          <t>sí</t>
        </is>
      </c>
      <c r="J17" s="24">
        <f>IF($H17="sí",COUNTIFS($H$4:$H17,"sí"),"")</f>
        <v/>
      </c>
      <c r="K17" s="24">
        <f>IFERROR(INDEX($B$4:$B$19,MATCH(ROW()-3,$J$4:$J$19,0)),"")</f>
        <v/>
      </c>
    </row>
    <row r="18">
      <c r="A18" s="4" t="n">
        <v>80205538</v>
      </c>
      <c r="B18" s="4" t="inlineStr">
        <is>
          <t>Alberto Vargas</t>
        </is>
      </c>
      <c r="C18" s="4" t="inlineStr">
        <is>
          <t>AUT</t>
        </is>
      </c>
      <c r="D18" s="4" t="inlineStr">
        <is>
          <t>PRODUCCION</t>
        </is>
      </c>
      <c r="E18" s="4" t="inlineStr">
        <is>
          <t>Jefe de Automatización</t>
        </is>
      </c>
      <c r="F18" s="4" t="inlineStr">
        <is>
          <t>no</t>
        </is>
      </c>
      <c r="G18" s="4" t="inlineStr"/>
      <c r="H18" s="4" t="inlineStr">
        <is>
          <t>sí</t>
        </is>
      </c>
      <c r="J18" s="24">
        <f>IF($H18="sí",COUNTIFS($H$4:$H18,"sí"),"")</f>
        <v/>
      </c>
      <c r="K18" s="24">
        <f>IFERROR(INDEX($B$4:$B$19,MATCH(ROW()-3,$J$4:$J$19,0)),"")</f>
        <v/>
      </c>
    </row>
    <row r="19">
      <c r="A19" s="4" t="n">
        <v>80205539</v>
      </c>
      <c r="B19" s="4" t="inlineStr">
        <is>
          <t>Daniela Medina</t>
        </is>
      </c>
      <c r="C19" s="4" t="inlineStr">
        <is>
          <t>AUT</t>
        </is>
      </c>
      <c r="D19" s="4" t="inlineStr">
        <is>
          <t>PRODUCCION</t>
        </is>
      </c>
      <c r="E19" s="4" t="inlineStr">
        <is>
          <t>Jefe de Automatización</t>
        </is>
      </c>
      <c r="F19" s="4" t="inlineStr">
        <is>
          <t>no</t>
        </is>
      </c>
      <c r="G19" s="4" t="inlineStr"/>
      <c r="H19" s="4" t="inlineStr">
        <is>
          <t>sí</t>
        </is>
      </c>
      <c r="J19" s="24">
        <f>IF($H19="sí",COUNTIFS($H$4:$H19,"sí"),"")</f>
        <v/>
      </c>
      <c r="K19" s="24">
        <f>IFERROR(INDEX($B$4:$B$19,MATCH(ROW()-3,$J$4:$J$19,0)),"")</f>
        <v/>
      </c>
    </row>
  </sheetData>
  <dataValidations count="5">
    <dataValidation sqref="C4:C19" showDropDown="0" showInputMessage="0" showErrorMessage="0" allowBlank="0" type="list">
      <formula1>lista_esp_propias</formula1>
    </dataValidation>
    <dataValidation sqref="D4:D19" showDropDown="0" showInputMessage="0" showErrorMessage="0" allowBlank="0" type="list">
      <formula1>lista_areas</formula1>
    </dataValidation>
    <dataValidation sqref="E4:E19" showDropDown="0" showInputMessage="0" showErrorMessage="0" allowBlank="1" type="list">
      <formula1>lista_supervisores</formula1>
    </dataValidation>
    <dataValidation sqref="F4:F19 H4:H19" showDropDown="0" showInputMessage="0" showErrorMessage="0" allowBlank="0" type="list">
      <formula1>"sí,no"</formula1>
    </dataValidation>
    <dataValidation sqref="G4:G19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8" customWidth="1" min="4" max="4"/>
    <col width="16" customWidth="1" min="5" max="5"/>
    <col width="40" customWidth="1" min="6" max="6"/>
    <col width="26" customWidth="1" min="7" max="7"/>
    <col width="12" customWidth="1" min="9" max="9"/>
    <col width="12" customWidth="1" min="10" max="10"/>
  </cols>
  <sheetData>
    <row r="1">
      <c r="A1" s="1" t="inlineStr">
        <is>
          <t>CALENDARIO LABORAL — un día no hábil no aporta capacidad ni penaliza los indicadores. es_habil resuelve por especificidad: excepción fecha+área+sub-área → fecha+área → fecha → patrón semanal.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3" t="inlineStr">
        <is>
          <t>Parte A — patrón semanal (marcar una sola vez, aplica todo el año)</t>
        </is>
      </c>
      <c r="I3" s="2" t="inlineStr">
        <is>
          <t>Parte C — grid del calendario (nivel planta) — no editar</t>
        </is>
      </c>
    </row>
    <row r="4">
      <c r="A4" s="14" t="inlineStr">
        <is>
          <t>dia</t>
        </is>
      </c>
      <c r="B4" s="14" t="inlineStr">
        <is>
          <t>habil</t>
        </is>
      </c>
      <c r="I4" s="14" t="inlineStr">
        <is>
          <t>fecha</t>
        </is>
      </c>
      <c r="J4" s="23" t="inlineStr">
        <is>
          <t>habil_planta</t>
        </is>
      </c>
    </row>
    <row r="5">
      <c r="A5" s="5" t="inlineStr">
        <is>
          <t>lunes</t>
        </is>
      </c>
      <c r="B5" s="4" t="inlineStr">
        <is>
          <t>sí</t>
        </is>
      </c>
      <c r="I5" s="41" t="n">
        <v>46023</v>
      </c>
      <c r="J5" s="24">
        <f>IFERROR(INDEX('CALENDARIO'!$C$15:$C$214,MATCH(TEXT($I5,"yyyy-mm-dd")&amp;"|"&amp;""&amp;"|"&amp;"",'CALENDARIO'!$G$15:$G$214,0)),IFERROR(INDEX('CALENDARIO'!$C$15:$C$214,MATCH(TEXT($I5,"yyyy-mm-dd")&amp;"|"&amp;""&amp;"|",'CALENDARIO'!$G$15:$G$214,0)),IFERROR(INDEX('CALENDARIO'!$C$15:$C$214,MATCH(TEXT($I5,"yyyy-mm-dd")&amp;"||",'CALENDARIO'!$G$15:$G$214,0)),INDEX(patronHabil,WEEKDAY($I5,2)))))</f>
        <v/>
      </c>
    </row>
    <row r="6">
      <c r="A6" s="5" t="inlineStr">
        <is>
          <t>martes</t>
        </is>
      </c>
      <c r="B6" s="4" t="inlineStr">
        <is>
          <t>sí</t>
        </is>
      </c>
      <c r="I6" s="41" t="n">
        <v>46024</v>
      </c>
      <c r="J6" s="24">
        <f>IFERROR(INDEX('CALENDARIO'!$C$15:$C$214,MATCH(TEXT($I6,"yyyy-mm-dd")&amp;"|"&amp;""&amp;"|"&amp;"",'CALENDARIO'!$G$15:$G$214,0)),IFERROR(INDEX('CALENDARIO'!$C$15:$C$214,MATCH(TEXT($I6,"yyyy-mm-dd")&amp;"|"&amp;""&amp;"|",'CALENDARIO'!$G$15:$G$214,0)),IFERROR(INDEX('CALENDARIO'!$C$15:$C$214,MATCH(TEXT($I6,"yyyy-mm-dd")&amp;"||",'CALENDARIO'!$G$15:$G$214,0)),INDEX(patronHabil,WEEKDAY($I6,2)))))</f>
        <v/>
      </c>
    </row>
    <row r="7">
      <c r="A7" s="5" t="inlineStr">
        <is>
          <t>miércoles</t>
        </is>
      </c>
      <c r="B7" s="4" t="inlineStr">
        <is>
          <t>sí</t>
        </is>
      </c>
      <c r="I7" s="41" t="n">
        <v>46025</v>
      </c>
      <c r="J7" s="24">
        <f>IFERROR(INDEX('CALENDARIO'!$C$15:$C$214,MATCH(TEXT($I7,"yyyy-mm-dd")&amp;"|"&amp;""&amp;"|"&amp;"",'CALENDARIO'!$G$15:$G$214,0)),IFERROR(INDEX('CALENDARIO'!$C$15:$C$214,MATCH(TEXT($I7,"yyyy-mm-dd")&amp;"|"&amp;""&amp;"|",'CALENDARIO'!$G$15:$G$214,0)),IFERROR(INDEX('CALENDARIO'!$C$15:$C$214,MATCH(TEXT($I7,"yyyy-mm-dd")&amp;"||",'CALENDARIO'!$G$15:$G$214,0)),INDEX(patronHabil,WEEKDAY($I7,2)))))</f>
        <v/>
      </c>
    </row>
    <row r="8">
      <c r="A8" s="5" t="inlineStr">
        <is>
          <t>jueves</t>
        </is>
      </c>
      <c r="B8" s="4" t="inlineStr">
        <is>
          <t>sí</t>
        </is>
      </c>
      <c r="I8" s="41" t="n">
        <v>46026</v>
      </c>
      <c r="J8" s="24">
        <f>IFERROR(INDEX('CALENDARIO'!$C$15:$C$214,MATCH(TEXT($I8,"yyyy-mm-dd")&amp;"|"&amp;""&amp;"|"&amp;"",'CALENDARIO'!$G$15:$G$214,0)),IFERROR(INDEX('CALENDARIO'!$C$15:$C$214,MATCH(TEXT($I8,"yyyy-mm-dd")&amp;"|"&amp;""&amp;"|",'CALENDARIO'!$G$15:$G$214,0)),IFERROR(INDEX('CALENDARIO'!$C$15:$C$214,MATCH(TEXT($I8,"yyyy-mm-dd")&amp;"||",'CALENDARIO'!$G$15:$G$214,0)),INDEX(patronHabil,WEEKDAY($I8,2)))))</f>
        <v/>
      </c>
    </row>
    <row r="9">
      <c r="A9" s="5" t="inlineStr">
        <is>
          <t>viernes</t>
        </is>
      </c>
      <c r="B9" s="4" t="inlineStr">
        <is>
          <t>sí</t>
        </is>
      </c>
      <c r="I9" s="41" t="n">
        <v>46027</v>
      </c>
      <c r="J9" s="24">
        <f>IFERROR(INDEX('CALENDARIO'!$C$15:$C$214,MATCH(TEXT($I9,"yyyy-mm-dd")&amp;"|"&amp;""&amp;"|"&amp;"",'CALENDARIO'!$G$15:$G$214,0)),IFERROR(INDEX('CALENDARIO'!$C$15:$C$214,MATCH(TEXT($I9,"yyyy-mm-dd")&amp;"|"&amp;""&amp;"|",'CALENDARIO'!$G$15:$G$214,0)),IFERROR(INDEX('CALENDARIO'!$C$15:$C$214,MATCH(TEXT($I9,"yyyy-mm-dd")&amp;"||",'CALENDARIO'!$G$15:$G$214,0)),INDEX(patronHabil,WEEKDAY($I9,2)))))</f>
        <v/>
      </c>
    </row>
    <row r="10">
      <c r="A10" s="5" t="inlineStr">
        <is>
          <t>sábado</t>
        </is>
      </c>
      <c r="B10" s="4" t="inlineStr">
        <is>
          <t>sí</t>
        </is>
      </c>
      <c r="I10" s="41" t="n">
        <v>46028</v>
      </c>
      <c r="J10" s="24">
        <f>IFERROR(INDEX('CALENDARIO'!$C$15:$C$214,MATCH(TEXT($I10,"yyyy-mm-dd")&amp;"|"&amp;""&amp;"|"&amp;"",'CALENDARIO'!$G$15:$G$214,0)),IFERROR(INDEX('CALENDARIO'!$C$15:$C$214,MATCH(TEXT($I10,"yyyy-mm-dd")&amp;"|"&amp;""&amp;"|",'CALENDARIO'!$G$15:$G$214,0)),IFERROR(INDEX('CALENDARIO'!$C$15:$C$214,MATCH(TEXT($I10,"yyyy-mm-dd")&amp;"||",'CALENDARIO'!$G$15:$G$214,0)),INDEX(patronHabil,WEEKDAY($I10,2)))))</f>
        <v/>
      </c>
    </row>
    <row r="11">
      <c r="A11" s="5" t="inlineStr">
        <is>
          <t>domingo</t>
        </is>
      </c>
      <c r="B11" s="4" t="inlineStr">
        <is>
          <t>no</t>
        </is>
      </c>
      <c r="I11" s="41" t="n">
        <v>46029</v>
      </c>
      <c r="J11" s="24">
        <f>IFERROR(INDEX('CALENDARIO'!$C$15:$C$214,MATCH(TEXT($I11,"yyyy-mm-dd")&amp;"|"&amp;""&amp;"|"&amp;"",'CALENDARIO'!$G$15:$G$214,0)),IFERROR(INDEX('CALENDARIO'!$C$15:$C$214,MATCH(TEXT($I11,"yyyy-mm-dd")&amp;"|"&amp;""&amp;"|",'CALENDARIO'!$G$15:$G$214,0)),IFERROR(INDEX('CALENDARIO'!$C$15:$C$214,MATCH(TEXT($I11,"yyyy-mm-dd")&amp;"||",'CALENDARIO'!$G$15:$G$214,0)),INDEX(patronHabil,WEEKDAY($I11,2)))))</f>
        <v/>
      </c>
    </row>
    <row r="12">
      <c r="I12" s="41" t="n">
        <v>46030</v>
      </c>
      <c r="J12" s="24">
        <f>IFERROR(INDEX('CALENDARIO'!$C$15:$C$214,MATCH(TEXT($I12,"yyyy-mm-dd")&amp;"|"&amp;""&amp;"|"&amp;"",'CALENDARIO'!$G$15:$G$214,0)),IFERROR(INDEX('CALENDARIO'!$C$15:$C$214,MATCH(TEXT($I12,"yyyy-mm-dd")&amp;"|"&amp;""&amp;"|",'CALENDARIO'!$G$15:$G$214,0)),IFERROR(INDEX('CALENDARIO'!$C$15:$C$214,MATCH(TEXT($I12,"yyyy-mm-dd")&amp;"||",'CALENDARIO'!$G$15:$G$214,0)),INDEX(patronHabil,WEEKDAY($I12,2)))))</f>
        <v/>
      </c>
    </row>
    <row r="13">
      <c r="A13" s="3" t="inlineStr">
        <is>
          <t>Parte B — excepciones que rompen el patrón (feriados, paros, días especiales). área vacía = toda la planta; sub-área vacía = toda el área.</t>
        </is>
      </c>
      <c r="I13" s="41" t="n">
        <v>46031</v>
      </c>
      <c r="J13" s="24">
        <f>IFERROR(INDEX('CALENDARIO'!$C$15:$C$214,MATCH(TEXT($I13,"yyyy-mm-dd")&amp;"|"&amp;""&amp;"|"&amp;"",'CALENDARIO'!$G$15:$G$214,0)),IFERROR(INDEX('CALENDARIO'!$C$15:$C$214,MATCH(TEXT($I13,"yyyy-mm-dd")&amp;"|"&amp;""&amp;"|",'CALENDARIO'!$G$15:$G$214,0)),IFERROR(INDEX('CALENDARIO'!$C$15:$C$214,MATCH(TEXT($I13,"yyyy-mm-dd")&amp;"||",'CALENDARIO'!$G$15:$G$214,0)),INDEX(patronHabil,WEEKDAY($I13,2)))))</f>
        <v/>
      </c>
    </row>
    <row r="14">
      <c r="A14" s="14" t="inlineStr">
        <is>
          <t>fecha</t>
        </is>
      </c>
      <c r="B14" s="14" t="inlineStr">
        <is>
          <t>tipo</t>
        </is>
      </c>
      <c r="C14" s="14" t="inlineStr">
        <is>
          <t>habil</t>
        </is>
      </c>
      <c r="D14" s="14" t="inlineStr">
        <is>
          <t>area</t>
        </is>
      </c>
      <c r="E14" s="14" t="inlineStr">
        <is>
          <t>sub_area</t>
        </is>
      </c>
      <c r="F14" s="14" t="inlineStr">
        <is>
          <t>motivo</t>
        </is>
      </c>
      <c r="G14" s="14" t="inlineStr">
        <is>
          <t>clave</t>
        </is>
      </c>
      <c r="I14" s="41" t="n">
        <v>46032</v>
      </c>
      <c r="J14" s="24">
        <f>IFERROR(INDEX('CALENDARIO'!$C$15:$C$214,MATCH(TEXT($I14,"yyyy-mm-dd")&amp;"|"&amp;""&amp;"|"&amp;"",'CALENDARIO'!$G$15:$G$214,0)),IFERROR(INDEX('CALENDARIO'!$C$15:$C$214,MATCH(TEXT($I14,"yyyy-mm-dd")&amp;"|"&amp;""&amp;"|",'CALENDARIO'!$G$15:$G$214,0)),IFERROR(INDEX('CALENDARIO'!$C$15:$C$214,MATCH(TEXT($I14,"yyyy-mm-dd")&amp;"||",'CALENDARIO'!$G$15:$G$214,0)),INDEX(patronHabil,WEEKDAY($I14,2)))))</f>
        <v/>
      </c>
    </row>
    <row r="15">
      <c r="A15" s="44" t="n">
        <v>46023</v>
      </c>
      <c r="B15" s="4" t="inlineStr">
        <is>
          <t>feriado</t>
        </is>
      </c>
      <c r="C15" s="4" t="inlineStr">
        <is>
          <t>no</t>
        </is>
      </c>
      <c r="D15" s="4" t="inlineStr"/>
      <c r="E15" s="4" t="inlineStr"/>
      <c r="F15" s="4" t="inlineStr">
        <is>
          <t>Año Nuevo</t>
        </is>
      </c>
      <c r="G15" s="24">
        <f>IF($A15="","",TEXT($A15,"yyyy-mm-dd")&amp;"|"&amp;$D15&amp;"|"&amp;$E15)</f>
        <v/>
      </c>
      <c r="I15" s="41" t="n">
        <v>46033</v>
      </c>
      <c r="J15" s="24">
        <f>IFERROR(INDEX('CALENDARIO'!$C$15:$C$214,MATCH(TEXT($I15,"yyyy-mm-dd")&amp;"|"&amp;""&amp;"|"&amp;"",'CALENDARIO'!$G$15:$G$214,0)),IFERROR(INDEX('CALENDARIO'!$C$15:$C$214,MATCH(TEXT($I15,"yyyy-mm-dd")&amp;"|"&amp;""&amp;"|",'CALENDARIO'!$G$15:$G$214,0)),IFERROR(INDEX('CALENDARIO'!$C$15:$C$214,MATCH(TEXT($I15,"yyyy-mm-dd")&amp;"||",'CALENDARIO'!$G$15:$G$214,0)),INDEX(patronHabil,WEEKDAY($I15,2)))))</f>
        <v/>
      </c>
    </row>
    <row r="16">
      <c r="A16" s="44" t="n">
        <v>46028</v>
      </c>
      <c r="B16" s="4" t="inlineStr">
        <is>
          <t>feriado</t>
        </is>
      </c>
      <c r="C16" s="4" t="inlineStr">
        <is>
          <t>no</t>
        </is>
      </c>
      <c r="D16" s="4" t="inlineStr"/>
      <c r="E16" s="4" t="inlineStr"/>
      <c r="F16" s="4" t="inlineStr">
        <is>
          <t>Día de Reyes</t>
        </is>
      </c>
      <c r="G16" s="24">
        <f>IF($A16="","",TEXT($A16,"yyyy-mm-dd")&amp;"|"&amp;$D16&amp;"|"&amp;$E16)</f>
        <v/>
      </c>
      <c r="I16" s="41" t="n">
        <v>46034</v>
      </c>
      <c r="J16" s="24">
        <f>IFERROR(INDEX('CALENDARIO'!$C$15:$C$214,MATCH(TEXT($I16,"yyyy-mm-dd")&amp;"|"&amp;""&amp;"|"&amp;"",'CALENDARIO'!$G$15:$G$214,0)),IFERROR(INDEX('CALENDARIO'!$C$15:$C$214,MATCH(TEXT($I16,"yyyy-mm-dd")&amp;"|"&amp;""&amp;"|",'CALENDARIO'!$G$15:$G$214,0)),IFERROR(INDEX('CALENDARIO'!$C$15:$C$214,MATCH(TEXT($I16,"yyyy-mm-dd")&amp;"||",'CALENDARIO'!$G$15:$G$214,0)),INDEX(patronHabil,WEEKDAY($I16,2)))))</f>
        <v/>
      </c>
    </row>
    <row r="17">
      <c r="A17" s="44" t="n">
        <v>46115</v>
      </c>
      <c r="B17" s="4" t="inlineStr">
        <is>
          <t>feriado</t>
        </is>
      </c>
      <c r="C17" s="4" t="inlineStr">
        <is>
          <t>no</t>
        </is>
      </c>
      <c r="D17" s="4" t="inlineStr"/>
      <c r="E17" s="4" t="inlineStr"/>
      <c r="F17" s="4" t="inlineStr">
        <is>
          <t>Viernes Santo</t>
        </is>
      </c>
      <c r="G17" s="24">
        <f>IF($A17="","",TEXT($A17,"yyyy-mm-dd")&amp;"|"&amp;$D17&amp;"|"&amp;$E17)</f>
        <v/>
      </c>
      <c r="I17" s="41" t="n">
        <v>46035</v>
      </c>
      <c r="J17" s="24">
        <f>IFERROR(INDEX('CALENDARIO'!$C$15:$C$214,MATCH(TEXT($I17,"yyyy-mm-dd")&amp;"|"&amp;""&amp;"|"&amp;"",'CALENDARIO'!$G$15:$G$214,0)),IFERROR(INDEX('CALENDARIO'!$C$15:$C$214,MATCH(TEXT($I17,"yyyy-mm-dd")&amp;"|"&amp;""&amp;"|",'CALENDARIO'!$G$15:$G$214,0)),IFERROR(INDEX('CALENDARIO'!$C$15:$C$214,MATCH(TEXT($I17,"yyyy-mm-dd")&amp;"||",'CALENDARIO'!$G$15:$G$214,0)),INDEX(patronHabil,WEEKDAY($I17,2)))))</f>
        <v/>
      </c>
    </row>
    <row r="18">
      <c r="A18" s="44" t="n">
        <v>46143</v>
      </c>
      <c r="B18" s="4" t="inlineStr">
        <is>
          <t>feriado</t>
        </is>
      </c>
      <c r="C18" s="4" t="inlineStr">
        <is>
          <t>no</t>
        </is>
      </c>
      <c r="D18" s="4" t="inlineStr"/>
      <c r="E18" s="4" t="inlineStr"/>
      <c r="F18" s="4" t="inlineStr">
        <is>
          <t>Día del Trabajo</t>
        </is>
      </c>
      <c r="G18" s="24">
        <f>IF($A18="","",TEXT($A18,"yyyy-mm-dd")&amp;"|"&amp;$D18&amp;"|"&amp;$E18)</f>
        <v/>
      </c>
      <c r="I18" s="41" t="n">
        <v>46036</v>
      </c>
      <c r="J18" s="24">
        <f>IFERROR(INDEX('CALENDARIO'!$C$15:$C$214,MATCH(TEXT($I18,"yyyy-mm-dd")&amp;"|"&amp;""&amp;"|"&amp;"",'CALENDARIO'!$G$15:$G$214,0)),IFERROR(INDEX('CALENDARIO'!$C$15:$C$214,MATCH(TEXT($I18,"yyyy-mm-dd")&amp;"|"&amp;""&amp;"|",'CALENDARIO'!$G$15:$G$214,0)),IFERROR(INDEX('CALENDARIO'!$C$15:$C$214,MATCH(TEXT($I18,"yyyy-mm-dd")&amp;"||",'CALENDARIO'!$G$15:$G$214,0)),INDEX(patronHabil,WEEKDAY($I18,2)))))</f>
        <v/>
      </c>
    </row>
    <row r="19">
      <c r="A19" s="44" t="n">
        <v>46167</v>
      </c>
      <c r="B19" s="4" t="inlineStr">
        <is>
          <t>feriado</t>
        </is>
      </c>
      <c r="C19" s="4" t="inlineStr">
        <is>
          <t>no</t>
        </is>
      </c>
      <c r="D19" s="4" t="inlineStr"/>
      <c r="E19" s="4" t="inlineStr"/>
      <c r="F19" s="4" t="inlineStr">
        <is>
          <t>Feriado nacional</t>
        </is>
      </c>
      <c r="G19" s="24">
        <f>IF($A19="","",TEXT($A19,"yyyy-mm-dd")&amp;"|"&amp;$D19&amp;"|"&amp;$E19)</f>
        <v/>
      </c>
      <c r="I19" s="41" t="n">
        <v>46037</v>
      </c>
      <c r="J19" s="24">
        <f>IFERROR(INDEX('CALENDARIO'!$C$15:$C$214,MATCH(TEXT($I19,"yyyy-mm-dd")&amp;"|"&amp;""&amp;"|"&amp;"",'CALENDARIO'!$G$15:$G$214,0)),IFERROR(INDEX('CALENDARIO'!$C$15:$C$214,MATCH(TEXT($I19,"yyyy-mm-dd")&amp;"|"&amp;""&amp;"|",'CALENDARIO'!$G$15:$G$214,0)),IFERROR(INDEX('CALENDARIO'!$C$15:$C$214,MATCH(TEXT($I19,"yyyy-mm-dd")&amp;"||",'CALENDARIO'!$G$15:$G$214,0)),INDEX(patronHabil,WEEKDAY($I19,2)))))</f>
        <v/>
      </c>
    </row>
    <row r="20">
      <c r="A20" s="44" t="n">
        <v>46202</v>
      </c>
      <c r="B20" s="4" t="inlineStr">
        <is>
          <t>feriado</t>
        </is>
      </c>
      <c r="C20" s="4" t="inlineStr">
        <is>
          <t>no</t>
        </is>
      </c>
      <c r="D20" s="4" t="inlineStr"/>
      <c r="E20" s="4" t="inlineStr"/>
      <c r="F20" s="4" t="inlineStr">
        <is>
          <t>San Pedro y San Pablo</t>
        </is>
      </c>
      <c r="G20" s="24">
        <f>IF($A20="","",TEXT($A20,"yyyy-mm-dd")&amp;"|"&amp;$D20&amp;"|"&amp;$E20)</f>
        <v/>
      </c>
      <c r="I20" s="41" t="n">
        <v>46038</v>
      </c>
      <c r="J20" s="24">
        <f>IFERROR(INDEX('CALENDARIO'!$C$15:$C$214,MATCH(TEXT($I20,"yyyy-mm-dd")&amp;"|"&amp;""&amp;"|"&amp;"",'CALENDARIO'!$G$15:$G$214,0)),IFERROR(INDEX('CALENDARIO'!$C$15:$C$214,MATCH(TEXT($I20,"yyyy-mm-dd")&amp;"|"&amp;""&amp;"|",'CALENDARIO'!$G$15:$G$214,0)),IFERROR(INDEX('CALENDARIO'!$C$15:$C$214,MATCH(TEXT($I20,"yyyy-mm-dd")&amp;"||",'CALENDARIO'!$G$15:$G$214,0)),INDEX(patronHabil,WEEKDAY($I20,2)))))</f>
        <v/>
      </c>
    </row>
    <row r="21">
      <c r="A21" s="44" t="n">
        <v>46249</v>
      </c>
      <c r="B21" s="4" t="inlineStr">
        <is>
          <t>feriado</t>
        </is>
      </c>
      <c r="C21" s="4" t="inlineStr">
        <is>
          <t>no</t>
        </is>
      </c>
      <c r="D21" s="4" t="inlineStr"/>
      <c r="E21" s="4" t="inlineStr"/>
      <c r="F21" s="4" t="inlineStr">
        <is>
          <t>Asunción</t>
        </is>
      </c>
      <c r="G21" s="24">
        <f>IF($A21="","",TEXT($A21,"yyyy-mm-dd")&amp;"|"&amp;$D21&amp;"|"&amp;$E21)</f>
        <v/>
      </c>
      <c r="I21" s="41" t="n">
        <v>46039</v>
      </c>
      <c r="J21" s="24">
        <f>IFERROR(INDEX('CALENDARIO'!$C$15:$C$214,MATCH(TEXT($I21,"yyyy-mm-dd")&amp;"|"&amp;""&amp;"|"&amp;"",'CALENDARIO'!$G$15:$G$214,0)),IFERROR(INDEX('CALENDARIO'!$C$15:$C$214,MATCH(TEXT($I21,"yyyy-mm-dd")&amp;"|"&amp;""&amp;"|",'CALENDARIO'!$G$15:$G$214,0)),IFERROR(INDEX('CALENDARIO'!$C$15:$C$214,MATCH(TEXT($I21,"yyyy-mm-dd")&amp;"||",'CALENDARIO'!$G$15:$G$214,0)),INDEX(patronHabil,WEEKDAY($I21,2)))))</f>
        <v/>
      </c>
    </row>
    <row r="22">
      <c r="A22" s="44" t="n">
        <v>46307</v>
      </c>
      <c r="B22" s="4" t="inlineStr">
        <is>
          <t>feriado</t>
        </is>
      </c>
      <c r="C22" s="4" t="inlineStr">
        <is>
          <t>no</t>
        </is>
      </c>
      <c r="D22" s="4" t="inlineStr"/>
      <c r="E22" s="4" t="inlineStr"/>
      <c r="F22" s="4" t="inlineStr">
        <is>
          <t>Día de la Raza</t>
        </is>
      </c>
      <c r="G22" s="24">
        <f>IF($A22="","",TEXT($A22,"yyyy-mm-dd")&amp;"|"&amp;$D22&amp;"|"&amp;$E22)</f>
        <v/>
      </c>
      <c r="I22" s="41" t="n">
        <v>46040</v>
      </c>
      <c r="J22" s="24">
        <f>IFERROR(INDEX('CALENDARIO'!$C$15:$C$214,MATCH(TEXT($I22,"yyyy-mm-dd")&amp;"|"&amp;""&amp;"|"&amp;"",'CALENDARIO'!$G$15:$G$214,0)),IFERROR(INDEX('CALENDARIO'!$C$15:$C$214,MATCH(TEXT($I22,"yyyy-mm-dd")&amp;"|"&amp;""&amp;"|",'CALENDARIO'!$G$15:$G$214,0)),IFERROR(INDEX('CALENDARIO'!$C$15:$C$214,MATCH(TEXT($I22,"yyyy-mm-dd")&amp;"||",'CALENDARIO'!$G$15:$G$214,0)),INDEX(patronHabil,WEEKDAY($I22,2)))))</f>
        <v/>
      </c>
    </row>
    <row r="23">
      <c r="A23" s="44" t="n">
        <v>46327</v>
      </c>
      <c r="B23" s="4" t="inlineStr">
        <is>
          <t>feriado</t>
        </is>
      </c>
      <c r="C23" s="4" t="inlineStr">
        <is>
          <t>no</t>
        </is>
      </c>
      <c r="D23" s="4" t="inlineStr"/>
      <c r="E23" s="4" t="inlineStr"/>
      <c r="F23" s="4" t="inlineStr">
        <is>
          <t>Todos los Santos</t>
        </is>
      </c>
      <c r="G23" s="24">
        <f>IF($A23="","",TEXT($A23,"yyyy-mm-dd")&amp;"|"&amp;$D23&amp;"|"&amp;$E23)</f>
        <v/>
      </c>
      <c r="I23" s="41" t="n">
        <v>46041</v>
      </c>
      <c r="J23" s="24">
        <f>IFERROR(INDEX('CALENDARIO'!$C$15:$C$214,MATCH(TEXT($I23,"yyyy-mm-dd")&amp;"|"&amp;""&amp;"|"&amp;"",'CALENDARIO'!$G$15:$G$214,0)),IFERROR(INDEX('CALENDARIO'!$C$15:$C$214,MATCH(TEXT($I23,"yyyy-mm-dd")&amp;"|"&amp;""&amp;"|",'CALENDARIO'!$G$15:$G$214,0)),IFERROR(INDEX('CALENDARIO'!$C$15:$C$214,MATCH(TEXT($I23,"yyyy-mm-dd")&amp;"||",'CALENDARIO'!$G$15:$G$214,0)),INDEX(patronHabil,WEEKDAY($I23,2)))))</f>
        <v/>
      </c>
    </row>
    <row r="24">
      <c r="A24" s="44" t="n">
        <v>46347</v>
      </c>
      <c r="B24" s="4" t="inlineStr">
        <is>
          <t>feriado</t>
        </is>
      </c>
      <c r="C24" s="4" t="inlineStr">
        <is>
          <t>no</t>
        </is>
      </c>
      <c r="D24" s="4" t="inlineStr"/>
      <c r="E24" s="4" t="inlineStr"/>
      <c r="F24" s="4" t="inlineStr">
        <is>
          <t>Feriado regional</t>
        </is>
      </c>
      <c r="G24" s="24">
        <f>IF($A24="","",TEXT($A24,"yyyy-mm-dd")&amp;"|"&amp;$D24&amp;"|"&amp;$E24)</f>
        <v/>
      </c>
      <c r="I24" s="41" t="n">
        <v>46042</v>
      </c>
      <c r="J24" s="24">
        <f>IFERROR(INDEX('CALENDARIO'!$C$15:$C$214,MATCH(TEXT($I24,"yyyy-mm-dd")&amp;"|"&amp;""&amp;"|"&amp;"",'CALENDARIO'!$G$15:$G$214,0)),IFERROR(INDEX('CALENDARIO'!$C$15:$C$214,MATCH(TEXT($I24,"yyyy-mm-dd")&amp;"|"&amp;""&amp;"|",'CALENDARIO'!$G$15:$G$214,0)),IFERROR(INDEX('CALENDARIO'!$C$15:$C$214,MATCH(TEXT($I24,"yyyy-mm-dd")&amp;"||",'CALENDARIO'!$G$15:$G$214,0)),INDEX(patronHabil,WEEKDAY($I24,2)))))</f>
        <v/>
      </c>
    </row>
    <row r="25">
      <c r="A25" s="44" t="n">
        <v>46364</v>
      </c>
      <c r="B25" s="4" t="inlineStr">
        <is>
          <t>feriado</t>
        </is>
      </c>
      <c r="C25" s="4" t="inlineStr">
        <is>
          <t>no</t>
        </is>
      </c>
      <c r="D25" s="4" t="inlineStr"/>
      <c r="E25" s="4" t="inlineStr"/>
      <c r="F25" s="4" t="inlineStr">
        <is>
          <t>Inmaculada Concepción</t>
        </is>
      </c>
      <c r="G25" s="24">
        <f>IF($A25="","",TEXT($A25,"yyyy-mm-dd")&amp;"|"&amp;$D25&amp;"|"&amp;$E25)</f>
        <v/>
      </c>
      <c r="I25" s="41" t="n">
        <v>46043</v>
      </c>
      <c r="J25" s="24">
        <f>IFERROR(INDEX('CALENDARIO'!$C$15:$C$214,MATCH(TEXT($I25,"yyyy-mm-dd")&amp;"|"&amp;""&amp;"|"&amp;"",'CALENDARIO'!$G$15:$G$214,0)),IFERROR(INDEX('CALENDARIO'!$C$15:$C$214,MATCH(TEXT($I25,"yyyy-mm-dd")&amp;"|"&amp;""&amp;"|",'CALENDARIO'!$G$15:$G$214,0)),IFERROR(INDEX('CALENDARIO'!$C$15:$C$214,MATCH(TEXT($I25,"yyyy-mm-dd")&amp;"||",'CALENDARIO'!$G$15:$G$214,0)),INDEX(patronHabil,WEEKDAY($I25,2)))))</f>
        <v/>
      </c>
    </row>
    <row r="26">
      <c r="A26" s="44" t="n">
        <v>46381</v>
      </c>
      <c r="B26" s="4" t="inlineStr">
        <is>
          <t>feriado</t>
        </is>
      </c>
      <c r="C26" s="4" t="inlineStr">
        <is>
          <t>no</t>
        </is>
      </c>
      <c r="D26" s="4" t="inlineStr"/>
      <c r="E26" s="4" t="inlineStr"/>
      <c r="F26" s="4" t="inlineStr">
        <is>
          <t>Navidad</t>
        </is>
      </c>
      <c r="G26" s="24">
        <f>IF($A26="","",TEXT($A26,"yyyy-mm-dd")&amp;"|"&amp;$D26&amp;"|"&amp;$E26)</f>
        <v/>
      </c>
      <c r="I26" s="41" t="n">
        <v>46044</v>
      </c>
      <c r="J26" s="24">
        <f>IFERROR(INDEX('CALENDARIO'!$C$15:$C$214,MATCH(TEXT($I26,"yyyy-mm-dd")&amp;"|"&amp;""&amp;"|"&amp;"",'CALENDARIO'!$G$15:$G$214,0)),IFERROR(INDEX('CALENDARIO'!$C$15:$C$214,MATCH(TEXT($I26,"yyyy-mm-dd")&amp;"|"&amp;""&amp;"|",'CALENDARIO'!$G$15:$G$214,0)),IFERROR(INDEX('CALENDARIO'!$C$15:$C$214,MATCH(TEXT($I26,"yyyy-mm-dd")&amp;"||",'CALENDARIO'!$G$15:$G$214,0)),INDEX(patronHabil,WEEKDAY($I26,2)))))</f>
        <v/>
      </c>
    </row>
    <row r="27">
      <c r="A27" s="44" t="n"/>
      <c r="B27" s="4" t="n"/>
      <c r="C27" s="4" t="n"/>
      <c r="D27" s="4" t="n"/>
      <c r="E27" s="4" t="n"/>
      <c r="F27" s="4" t="n"/>
      <c r="G27" s="24">
        <f>IF($A27="","",TEXT($A27,"yyyy-mm-dd")&amp;"|"&amp;$D27&amp;"|"&amp;$E27)</f>
        <v/>
      </c>
      <c r="I27" s="41" t="n">
        <v>46045</v>
      </c>
      <c r="J27" s="24">
        <f>IFERROR(INDEX('CALENDARIO'!$C$15:$C$214,MATCH(TEXT($I27,"yyyy-mm-dd")&amp;"|"&amp;""&amp;"|"&amp;"",'CALENDARIO'!$G$15:$G$214,0)),IFERROR(INDEX('CALENDARIO'!$C$15:$C$214,MATCH(TEXT($I27,"yyyy-mm-dd")&amp;"|"&amp;""&amp;"|",'CALENDARIO'!$G$15:$G$214,0)),IFERROR(INDEX('CALENDARIO'!$C$15:$C$214,MATCH(TEXT($I27,"yyyy-mm-dd")&amp;"||",'CALENDARIO'!$G$15:$G$214,0)),INDEX(patronHabil,WEEKDAY($I27,2)))))</f>
        <v/>
      </c>
    </row>
    <row r="28">
      <c r="A28" s="44" t="n"/>
      <c r="B28" s="4" t="n"/>
      <c r="C28" s="4" t="n"/>
      <c r="D28" s="4" t="n"/>
      <c r="E28" s="4" t="n"/>
      <c r="F28" s="4" t="n"/>
      <c r="G28" s="24">
        <f>IF($A28="","",TEXT($A28,"yyyy-mm-dd")&amp;"|"&amp;$D28&amp;"|"&amp;$E28)</f>
        <v/>
      </c>
      <c r="I28" s="41" t="n">
        <v>46046</v>
      </c>
      <c r="J28" s="24">
        <f>IFERROR(INDEX('CALENDARIO'!$C$15:$C$214,MATCH(TEXT($I28,"yyyy-mm-dd")&amp;"|"&amp;""&amp;"|"&amp;"",'CALENDARIO'!$G$15:$G$214,0)),IFERROR(INDEX('CALENDARIO'!$C$15:$C$214,MATCH(TEXT($I28,"yyyy-mm-dd")&amp;"|"&amp;""&amp;"|",'CALENDARIO'!$G$15:$G$214,0)),IFERROR(INDEX('CALENDARIO'!$C$15:$C$214,MATCH(TEXT($I28,"yyyy-mm-dd")&amp;"||",'CALENDARIO'!$G$15:$G$214,0)),INDEX(patronHabil,WEEKDAY($I28,2)))))</f>
        <v/>
      </c>
    </row>
    <row r="29">
      <c r="A29" s="44" t="n"/>
      <c r="B29" s="4" t="n"/>
      <c r="C29" s="4" t="n"/>
      <c r="D29" s="4" t="n"/>
      <c r="E29" s="4" t="n"/>
      <c r="F29" s="4" t="n"/>
      <c r="G29" s="24">
        <f>IF($A29="","",TEXT($A29,"yyyy-mm-dd")&amp;"|"&amp;$D29&amp;"|"&amp;$E29)</f>
        <v/>
      </c>
      <c r="I29" s="41" t="n">
        <v>46047</v>
      </c>
      <c r="J29" s="24">
        <f>IFERROR(INDEX('CALENDARIO'!$C$15:$C$214,MATCH(TEXT($I29,"yyyy-mm-dd")&amp;"|"&amp;""&amp;"|"&amp;"",'CALENDARIO'!$G$15:$G$214,0)),IFERROR(INDEX('CALENDARIO'!$C$15:$C$214,MATCH(TEXT($I29,"yyyy-mm-dd")&amp;"|"&amp;""&amp;"|",'CALENDARIO'!$G$15:$G$214,0)),IFERROR(INDEX('CALENDARIO'!$C$15:$C$214,MATCH(TEXT($I29,"yyyy-mm-dd")&amp;"||",'CALENDARIO'!$G$15:$G$214,0)),INDEX(patronHabil,WEEKDAY($I29,2)))))</f>
        <v/>
      </c>
    </row>
    <row r="30">
      <c r="A30" s="44" t="n"/>
      <c r="B30" s="4" t="n"/>
      <c r="C30" s="4" t="n"/>
      <c r="D30" s="4" t="n"/>
      <c r="E30" s="4" t="n"/>
      <c r="F30" s="4" t="n"/>
      <c r="G30" s="24">
        <f>IF($A30="","",TEXT($A30,"yyyy-mm-dd")&amp;"|"&amp;$D30&amp;"|"&amp;$E30)</f>
        <v/>
      </c>
      <c r="I30" s="41" t="n">
        <v>46048</v>
      </c>
      <c r="J30" s="24">
        <f>IFERROR(INDEX('CALENDARIO'!$C$15:$C$214,MATCH(TEXT($I30,"yyyy-mm-dd")&amp;"|"&amp;""&amp;"|"&amp;"",'CALENDARIO'!$G$15:$G$214,0)),IFERROR(INDEX('CALENDARIO'!$C$15:$C$214,MATCH(TEXT($I30,"yyyy-mm-dd")&amp;"|"&amp;""&amp;"|",'CALENDARIO'!$G$15:$G$214,0)),IFERROR(INDEX('CALENDARIO'!$C$15:$C$214,MATCH(TEXT($I30,"yyyy-mm-dd")&amp;"||",'CALENDARIO'!$G$15:$G$214,0)),INDEX(patronHabil,WEEKDAY($I30,2)))))</f>
        <v/>
      </c>
    </row>
    <row r="31">
      <c r="A31" s="44" t="n"/>
      <c r="B31" s="4" t="n"/>
      <c r="C31" s="4" t="n"/>
      <c r="D31" s="4" t="n"/>
      <c r="E31" s="4" t="n"/>
      <c r="F31" s="4" t="n"/>
      <c r="G31" s="24">
        <f>IF($A31="","",TEXT($A31,"yyyy-mm-dd")&amp;"|"&amp;$D31&amp;"|"&amp;$E31)</f>
        <v/>
      </c>
      <c r="I31" s="41" t="n">
        <v>46049</v>
      </c>
      <c r="J31" s="24">
        <f>IFERROR(INDEX('CALENDARIO'!$C$15:$C$214,MATCH(TEXT($I31,"yyyy-mm-dd")&amp;"|"&amp;""&amp;"|"&amp;"",'CALENDARIO'!$G$15:$G$214,0)),IFERROR(INDEX('CALENDARIO'!$C$15:$C$214,MATCH(TEXT($I31,"yyyy-mm-dd")&amp;"|"&amp;""&amp;"|",'CALENDARIO'!$G$15:$G$214,0)),IFERROR(INDEX('CALENDARIO'!$C$15:$C$214,MATCH(TEXT($I31,"yyyy-mm-dd")&amp;"||",'CALENDARIO'!$G$15:$G$214,0)),INDEX(patronHabil,WEEKDAY($I31,2)))))</f>
        <v/>
      </c>
    </row>
    <row r="32">
      <c r="A32" s="44" t="n"/>
      <c r="B32" s="4" t="n"/>
      <c r="C32" s="4" t="n"/>
      <c r="D32" s="4" t="n"/>
      <c r="E32" s="4" t="n"/>
      <c r="F32" s="4" t="n"/>
      <c r="G32" s="24">
        <f>IF($A32="","",TEXT($A32,"yyyy-mm-dd")&amp;"|"&amp;$D32&amp;"|"&amp;$E32)</f>
        <v/>
      </c>
      <c r="I32" s="41" t="n">
        <v>46050</v>
      </c>
      <c r="J32" s="24">
        <f>IFERROR(INDEX('CALENDARIO'!$C$15:$C$214,MATCH(TEXT($I32,"yyyy-mm-dd")&amp;"|"&amp;""&amp;"|"&amp;"",'CALENDARIO'!$G$15:$G$214,0)),IFERROR(INDEX('CALENDARIO'!$C$15:$C$214,MATCH(TEXT($I32,"yyyy-mm-dd")&amp;"|"&amp;""&amp;"|",'CALENDARIO'!$G$15:$G$214,0)),IFERROR(INDEX('CALENDARIO'!$C$15:$C$214,MATCH(TEXT($I32,"yyyy-mm-dd")&amp;"||",'CALENDARIO'!$G$15:$G$214,0)),INDEX(patronHabil,WEEKDAY($I32,2)))))</f>
        <v/>
      </c>
    </row>
    <row r="33">
      <c r="A33" s="44" t="n"/>
      <c r="B33" s="4" t="n"/>
      <c r="C33" s="4" t="n"/>
      <c r="D33" s="4" t="n"/>
      <c r="E33" s="4" t="n"/>
      <c r="F33" s="4" t="n"/>
      <c r="G33" s="24">
        <f>IF($A33="","",TEXT($A33,"yyyy-mm-dd")&amp;"|"&amp;$D33&amp;"|"&amp;$E33)</f>
        <v/>
      </c>
      <c r="I33" s="41" t="n">
        <v>46051</v>
      </c>
      <c r="J33" s="24">
        <f>IFERROR(INDEX('CALENDARIO'!$C$15:$C$214,MATCH(TEXT($I33,"yyyy-mm-dd")&amp;"|"&amp;""&amp;"|"&amp;"",'CALENDARIO'!$G$15:$G$214,0)),IFERROR(INDEX('CALENDARIO'!$C$15:$C$214,MATCH(TEXT($I33,"yyyy-mm-dd")&amp;"|"&amp;""&amp;"|",'CALENDARIO'!$G$15:$G$214,0)),IFERROR(INDEX('CALENDARIO'!$C$15:$C$214,MATCH(TEXT($I33,"yyyy-mm-dd")&amp;"||",'CALENDARIO'!$G$15:$G$214,0)),INDEX(patronHabil,WEEKDAY($I33,2)))))</f>
        <v/>
      </c>
    </row>
    <row r="34">
      <c r="A34" s="44" t="n"/>
      <c r="B34" s="4" t="n"/>
      <c r="C34" s="4" t="n"/>
      <c r="D34" s="4" t="n"/>
      <c r="E34" s="4" t="n"/>
      <c r="F34" s="4" t="n"/>
      <c r="G34" s="24">
        <f>IF($A34="","",TEXT($A34,"yyyy-mm-dd")&amp;"|"&amp;$D34&amp;"|"&amp;$E34)</f>
        <v/>
      </c>
      <c r="I34" s="41" t="n">
        <v>46052</v>
      </c>
      <c r="J34" s="24">
        <f>IFERROR(INDEX('CALENDARIO'!$C$15:$C$214,MATCH(TEXT($I34,"yyyy-mm-dd")&amp;"|"&amp;""&amp;"|"&amp;"",'CALENDARIO'!$G$15:$G$214,0)),IFERROR(INDEX('CALENDARIO'!$C$15:$C$214,MATCH(TEXT($I34,"yyyy-mm-dd")&amp;"|"&amp;""&amp;"|",'CALENDARIO'!$G$15:$G$214,0)),IFERROR(INDEX('CALENDARIO'!$C$15:$C$214,MATCH(TEXT($I34,"yyyy-mm-dd")&amp;"||",'CALENDARIO'!$G$15:$G$214,0)),INDEX(patronHabil,WEEKDAY($I34,2)))))</f>
        <v/>
      </c>
    </row>
    <row r="35">
      <c r="A35" s="44" t="n"/>
      <c r="B35" s="4" t="n"/>
      <c r="C35" s="4" t="n"/>
      <c r="D35" s="4" t="n"/>
      <c r="E35" s="4" t="n"/>
      <c r="F35" s="4" t="n"/>
      <c r="G35" s="24">
        <f>IF($A35="","",TEXT($A35,"yyyy-mm-dd")&amp;"|"&amp;$D35&amp;"|"&amp;$E35)</f>
        <v/>
      </c>
      <c r="I35" s="41" t="n">
        <v>46053</v>
      </c>
      <c r="J35" s="24">
        <f>IFERROR(INDEX('CALENDARIO'!$C$15:$C$214,MATCH(TEXT($I35,"yyyy-mm-dd")&amp;"|"&amp;""&amp;"|"&amp;"",'CALENDARIO'!$G$15:$G$214,0)),IFERROR(INDEX('CALENDARIO'!$C$15:$C$214,MATCH(TEXT($I35,"yyyy-mm-dd")&amp;"|"&amp;""&amp;"|",'CALENDARIO'!$G$15:$G$214,0)),IFERROR(INDEX('CALENDARIO'!$C$15:$C$214,MATCH(TEXT($I35,"yyyy-mm-dd")&amp;"||",'CALENDARIO'!$G$15:$G$214,0)),INDEX(patronHabil,WEEKDAY($I35,2)))))</f>
        <v/>
      </c>
    </row>
    <row r="36">
      <c r="A36" s="44" t="n"/>
      <c r="B36" s="4" t="n"/>
      <c r="C36" s="4" t="n"/>
      <c r="D36" s="4" t="n"/>
      <c r="E36" s="4" t="n"/>
      <c r="F36" s="4" t="n"/>
      <c r="G36" s="24">
        <f>IF($A36="","",TEXT($A36,"yyyy-mm-dd")&amp;"|"&amp;$D36&amp;"|"&amp;$E36)</f>
        <v/>
      </c>
      <c r="I36" s="41" t="n">
        <v>46054</v>
      </c>
      <c r="J36" s="24">
        <f>IFERROR(INDEX('CALENDARIO'!$C$15:$C$214,MATCH(TEXT($I36,"yyyy-mm-dd")&amp;"|"&amp;""&amp;"|"&amp;"",'CALENDARIO'!$G$15:$G$214,0)),IFERROR(INDEX('CALENDARIO'!$C$15:$C$214,MATCH(TEXT($I36,"yyyy-mm-dd")&amp;"|"&amp;""&amp;"|",'CALENDARIO'!$G$15:$G$214,0)),IFERROR(INDEX('CALENDARIO'!$C$15:$C$214,MATCH(TEXT($I36,"yyyy-mm-dd")&amp;"||",'CALENDARIO'!$G$15:$G$214,0)),INDEX(patronHabil,WEEKDAY($I36,2)))))</f>
        <v/>
      </c>
    </row>
    <row r="37">
      <c r="A37" s="44" t="n"/>
      <c r="B37" s="4" t="n"/>
      <c r="C37" s="4" t="n"/>
      <c r="D37" s="4" t="n"/>
      <c r="E37" s="4" t="n"/>
      <c r="F37" s="4" t="n"/>
      <c r="G37" s="24">
        <f>IF($A37="","",TEXT($A37,"yyyy-mm-dd")&amp;"|"&amp;$D37&amp;"|"&amp;$E37)</f>
        <v/>
      </c>
      <c r="I37" s="41" t="n">
        <v>46055</v>
      </c>
      <c r="J37" s="24">
        <f>IFERROR(INDEX('CALENDARIO'!$C$15:$C$214,MATCH(TEXT($I37,"yyyy-mm-dd")&amp;"|"&amp;""&amp;"|"&amp;"",'CALENDARIO'!$G$15:$G$214,0)),IFERROR(INDEX('CALENDARIO'!$C$15:$C$214,MATCH(TEXT($I37,"yyyy-mm-dd")&amp;"|"&amp;""&amp;"|",'CALENDARIO'!$G$15:$G$214,0)),IFERROR(INDEX('CALENDARIO'!$C$15:$C$214,MATCH(TEXT($I37,"yyyy-mm-dd")&amp;"||",'CALENDARIO'!$G$15:$G$214,0)),INDEX(patronHabil,WEEKDAY($I37,2)))))</f>
        <v/>
      </c>
    </row>
    <row r="38">
      <c r="A38" s="44" t="n"/>
      <c r="B38" s="4" t="n"/>
      <c r="C38" s="4" t="n"/>
      <c r="D38" s="4" t="n"/>
      <c r="E38" s="4" t="n"/>
      <c r="F38" s="4" t="n"/>
      <c r="G38" s="24">
        <f>IF($A38="","",TEXT($A38,"yyyy-mm-dd")&amp;"|"&amp;$D38&amp;"|"&amp;$E38)</f>
        <v/>
      </c>
      <c r="I38" s="41" t="n">
        <v>46056</v>
      </c>
      <c r="J38" s="24">
        <f>IFERROR(INDEX('CALENDARIO'!$C$15:$C$214,MATCH(TEXT($I38,"yyyy-mm-dd")&amp;"|"&amp;""&amp;"|"&amp;"",'CALENDARIO'!$G$15:$G$214,0)),IFERROR(INDEX('CALENDARIO'!$C$15:$C$214,MATCH(TEXT($I38,"yyyy-mm-dd")&amp;"|"&amp;""&amp;"|",'CALENDARIO'!$G$15:$G$214,0)),IFERROR(INDEX('CALENDARIO'!$C$15:$C$214,MATCH(TEXT($I38,"yyyy-mm-dd")&amp;"||",'CALENDARIO'!$G$15:$G$214,0)),INDEX(patronHabil,WEEKDAY($I38,2)))))</f>
        <v/>
      </c>
    </row>
    <row r="39">
      <c r="A39" s="44" t="n"/>
      <c r="B39" s="4" t="n"/>
      <c r="C39" s="4" t="n"/>
      <c r="D39" s="4" t="n"/>
      <c r="E39" s="4" t="n"/>
      <c r="F39" s="4" t="n"/>
      <c r="G39" s="24">
        <f>IF($A39="","",TEXT($A39,"yyyy-mm-dd")&amp;"|"&amp;$D39&amp;"|"&amp;$E39)</f>
        <v/>
      </c>
      <c r="I39" s="41" t="n">
        <v>46057</v>
      </c>
      <c r="J39" s="24">
        <f>IFERROR(INDEX('CALENDARIO'!$C$15:$C$214,MATCH(TEXT($I39,"yyyy-mm-dd")&amp;"|"&amp;""&amp;"|"&amp;"",'CALENDARIO'!$G$15:$G$214,0)),IFERROR(INDEX('CALENDARIO'!$C$15:$C$214,MATCH(TEXT($I39,"yyyy-mm-dd")&amp;"|"&amp;""&amp;"|",'CALENDARIO'!$G$15:$G$214,0)),IFERROR(INDEX('CALENDARIO'!$C$15:$C$214,MATCH(TEXT($I39,"yyyy-mm-dd")&amp;"||",'CALENDARIO'!$G$15:$G$214,0)),INDEX(patronHabil,WEEKDAY($I39,2)))))</f>
        <v/>
      </c>
    </row>
    <row r="40">
      <c r="A40" s="44" t="n"/>
      <c r="B40" s="4" t="n"/>
      <c r="C40" s="4" t="n"/>
      <c r="D40" s="4" t="n"/>
      <c r="E40" s="4" t="n"/>
      <c r="F40" s="4" t="n"/>
      <c r="G40" s="24">
        <f>IF($A40="","",TEXT($A40,"yyyy-mm-dd")&amp;"|"&amp;$D40&amp;"|"&amp;$E40)</f>
        <v/>
      </c>
      <c r="I40" s="41" t="n">
        <v>46058</v>
      </c>
      <c r="J40" s="24">
        <f>IFERROR(INDEX('CALENDARIO'!$C$15:$C$214,MATCH(TEXT($I40,"yyyy-mm-dd")&amp;"|"&amp;""&amp;"|"&amp;"",'CALENDARIO'!$G$15:$G$214,0)),IFERROR(INDEX('CALENDARIO'!$C$15:$C$214,MATCH(TEXT($I40,"yyyy-mm-dd")&amp;"|"&amp;""&amp;"|",'CALENDARIO'!$G$15:$G$214,0)),IFERROR(INDEX('CALENDARIO'!$C$15:$C$214,MATCH(TEXT($I40,"yyyy-mm-dd")&amp;"||",'CALENDARIO'!$G$15:$G$214,0)),INDEX(patronHabil,WEEKDAY($I40,2)))))</f>
        <v/>
      </c>
    </row>
    <row r="41">
      <c r="A41" s="44" t="n"/>
      <c r="B41" s="4" t="n"/>
      <c r="C41" s="4" t="n"/>
      <c r="D41" s="4" t="n"/>
      <c r="E41" s="4" t="n"/>
      <c r="F41" s="4" t="n"/>
      <c r="G41" s="24">
        <f>IF($A41="","",TEXT($A41,"yyyy-mm-dd")&amp;"|"&amp;$D41&amp;"|"&amp;$E41)</f>
        <v/>
      </c>
      <c r="I41" s="41" t="n">
        <v>46059</v>
      </c>
      <c r="J41" s="24">
        <f>IFERROR(INDEX('CALENDARIO'!$C$15:$C$214,MATCH(TEXT($I41,"yyyy-mm-dd")&amp;"|"&amp;""&amp;"|"&amp;"",'CALENDARIO'!$G$15:$G$214,0)),IFERROR(INDEX('CALENDARIO'!$C$15:$C$214,MATCH(TEXT($I41,"yyyy-mm-dd")&amp;"|"&amp;""&amp;"|",'CALENDARIO'!$G$15:$G$214,0)),IFERROR(INDEX('CALENDARIO'!$C$15:$C$214,MATCH(TEXT($I41,"yyyy-mm-dd")&amp;"||",'CALENDARIO'!$G$15:$G$214,0)),INDEX(patronHabil,WEEKDAY($I41,2)))))</f>
        <v/>
      </c>
    </row>
    <row r="42">
      <c r="A42" s="44" t="n"/>
      <c r="B42" s="4" t="n"/>
      <c r="C42" s="4" t="n"/>
      <c r="D42" s="4" t="n"/>
      <c r="E42" s="4" t="n"/>
      <c r="F42" s="4" t="n"/>
      <c r="G42" s="24">
        <f>IF($A42="","",TEXT($A42,"yyyy-mm-dd")&amp;"|"&amp;$D42&amp;"|"&amp;$E42)</f>
        <v/>
      </c>
      <c r="I42" s="41" t="n">
        <v>46060</v>
      </c>
      <c r="J42" s="24">
        <f>IFERROR(INDEX('CALENDARIO'!$C$15:$C$214,MATCH(TEXT($I42,"yyyy-mm-dd")&amp;"|"&amp;""&amp;"|"&amp;"",'CALENDARIO'!$G$15:$G$214,0)),IFERROR(INDEX('CALENDARIO'!$C$15:$C$214,MATCH(TEXT($I42,"yyyy-mm-dd")&amp;"|"&amp;""&amp;"|",'CALENDARIO'!$G$15:$G$214,0)),IFERROR(INDEX('CALENDARIO'!$C$15:$C$214,MATCH(TEXT($I42,"yyyy-mm-dd")&amp;"||",'CALENDARIO'!$G$15:$G$214,0)),INDEX(patronHabil,WEEKDAY($I42,2)))))</f>
        <v/>
      </c>
    </row>
    <row r="43">
      <c r="A43" s="44" t="n"/>
      <c r="B43" s="4" t="n"/>
      <c r="C43" s="4" t="n"/>
      <c r="D43" s="4" t="n"/>
      <c r="E43" s="4" t="n"/>
      <c r="F43" s="4" t="n"/>
      <c r="G43" s="24">
        <f>IF($A43="","",TEXT($A43,"yyyy-mm-dd")&amp;"|"&amp;$D43&amp;"|"&amp;$E43)</f>
        <v/>
      </c>
      <c r="I43" s="41" t="n">
        <v>46061</v>
      </c>
      <c r="J43" s="24">
        <f>IFERROR(INDEX('CALENDARIO'!$C$15:$C$214,MATCH(TEXT($I43,"yyyy-mm-dd")&amp;"|"&amp;""&amp;"|"&amp;"",'CALENDARIO'!$G$15:$G$214,0)),IFERROR(INDEX('CALENDARIO'!$C$15:$C$214,MATCH(TEXT($I43,"yyyy-mm-dd")&amp;"|"&amp;""&amp;"|",'CALENDARIO'!$G$15:$G$214,0)),IFERROR(INDEX('CALENDARIO'!$C$15:$C$214,MATCH(TEXT($I43,"yyyy-mm-dd")&amp;"||",'CALENDARIO'!$G$15:$G$214,0)),INDEX(patronHabil,WEEKDAY($I43,2)))))</f>
        <v/>
      </c>
    </row>
    <row r="44">
      <c r="A44" s="44" t="n"/>
      <c r="B44" s="4" t="n"/>
      <c r="C44" s="4" t="n"/>
      <c r="D44" s="4" t="n"/>
      <c r="E44" s="4" t="n"/>
      <c r="F44" s="4" t="n"/>
      <c r="G44" s="24">
        <f>IF($A44="","",TEXT($A44,"yyyy-mm-dd")&amp;"|"&amp;$D44&amp;"|"&amp;$E44)</f>
        <v/>
      </c>
      <c r="I44" s="41" t="n">
        <v>46062</v>
      </c>
      <c r="J44" s="24">
        <f>IFERROR(INDEX('CALENDARIO'!$C$15:$C$214,MATCH(TEXT($I44,"yyyy-mm-dd")&amp;"|"&amp;""&amp;"|"&amp;"",'CALENDARIO'!$G$15:$G$214,0)),IFERROR(INDEX('CALENDARIO'!$C$15:$C$214,MATCH(TEXT($I44,"yyyy-mm-dd")&amp;"|"&amp;""&amp;"|",'CALENDARIO'!$G$15:$G$214,0)),IFERROR(INDEX('CALENDARIO'!$C$15:$C$214,MATCH(TEXT($I44,"yyyy-mm-dd")&amp;"||",'CALENDARIO'!$G$15:$G$214,0)),INDEX(patronHabil,WEEKDAY($I44,2)))))</f>
        <v/>
      </c>
    </row>
    <row r="45">
      <c r="A45" s="44" t="n"/>
      <c r="B45" s="4" t="n"/>
      <c r="C45" s="4" t="n"/>
      <c r="D45" s="4" t="n"/>
      <c r="E45" s="4" t="n"/>
      <c r="F45" s="4" t="n"/>
      <c r="G45" s="24">
        <f>IF($A45="","",TEXT($A45,"yyyy-mm-dd")&amp;"|"&amp;$D45&amp;"|"&amp;$E45)</f>
        <v/>
      </c>
      <c r="I45" s="41" t="n">
        <v>46063</v>
      </c>
      <c r="J45" s="24">
        <f>IFERROR(INDEX('CALENDARIO'!$C$15:$C$214,MATCH(TEXT($I45,"yyyy-mm-dd")&amp;"|"&amp;""&amp;"|"&amp;"",'CALENDARIO'!$G$15:$G$214,0)),IFERROR(INDEX('CALENDARIO'!$C$15:$C$214,MATCH(TEXT($I45,"yyyy-mm-dd")&amp;"|"&amp;""&amp;"|",'CALENDARIO'!$G$15:$G$214,0)),IFERROR(INDEX('CALENDARIO'!$C$15:$C$214,MATCH(TEXT($I45,"yyyy-mm-dd")&amp;"||",'CALENDARIO'!$G$15:$G$214,0)),INDEX(patronHabil,WEEKDAY($I45,2)))))</f>
        <v/>
      </c>
    </row>
    <row r="46">
      <c r="A46" s="44" t="n"/>
      <c r="B46" s="4" t="n"/>
      <c r="C46" s="4" t="n"/>
      <c r="D46" s="4" t="n"/>
      <c r="E46" s="4" t="n"/>
      <c r="F46" s="4" t="n"/>
      <c r="G46" s="24">
        <f>IF($A46="","",TEXT($A46,"yyyy-mm-dd")&amp;"|"&amp;$D46&amp;"|"&amp;$E46)</f>
        <v/>
      </c>
      <c r="I46" s="41" t="n">
        <v>46064</v>
      </c>
      <c r="J46" s="24">
        <f>IFERROR(INDEX('CALENDARIO'!$C$15:$C$214,MATCH(TEXT($I46,"yyyy-mm-dd")&amp;"|"&amp;""&amp;"|"&amp;"",'CALENDARIO'!$G$15:$G$214,0)),IFERROR(INDEX('CALENDARIO'!$C$15:$C$214,MATCH(TEXT($I46,"yyyy-mm-dd")&amp;"|"&amp;""&amp;"|",'CALENDARIO'!$G$15:$G$214,0)),IFERROR(INDEX('CALENDARIO'!$C$15:$C$214,MATCH(TEXT($I46,"yyyy-mm-dd")&amp;"||",'CALENDARIO'!$G$15:$G$214,0)),INDEX(patronHabil,WEEKDAY($I46,2)))))</f>
        <v/>
      </c>
    </row>
    <row r="47">
      <c r="A47" s="44" t="n"/>
      <c r="B47" s="4" t="n"/>
      <c r="C47" s="4" t="n"/>
      <c r="D47" s="4" t="n"/>
      <c r="E47" s="4" t="n"/>
      <c r="F47" s="4" t="n"/>
      <c r="G47" s="24">
        <f>IF($A47="","",TEXT($A47,"yyyy-mm-dd")&amp;"|"&amp;$D47&amp;"|"&amp;$E47)</f>
        <v/>
      </c>
      <c r="I47" s="41" t="n">
        <v>46065</v>
      </c>
      <c r="J47" s="24">
        <f>IFERROR(INDEX('CALENDARIO'!$C$15:$C$214,MATCH(TEXT($I47,"yyyy-mm-dd")&amp;"|"&amp;""&amp;"|"&amp;"",'CALENDARIO'!$G$15:$G$214,0)),IFERROR(INDEX('CALENDARIO'!$C$15:$C$214,MATCH(TEXT($I47,"yyyy-mm-dd")&amp;"|"&amp;""&amp;"|",'CALENDARIO'!$G$15:$G$214,0)),IFERROR(INDEX('CALENDARIO'!$C$15:$C$214,MATCH(TEXT($I47,"yyyy-mm-dd")&amp;"||",'CALENDARIO'!$G$15:$G$214,0)),INDEX(patronHabil,WEEKDAY($I47,2)))))</f>
        <v/>
      </c>
    </row>
    <row r="48">
      <c r="A48" s="44" t="n"/>
      <c r="B48" s="4" t="n"/>
      <c r="C48" s="4" t="n"/>
      <c r="D48" s="4" t="n"/>
      <c r="E48" s="4" t="n"/>
      <c r="F48" s="4" t="n"/>
      <c r="G48" s="24">
        <f>IF($A48="","",TEXT($A48,"yyyy-mm-dd")&amp;"|"&amp;$D48&amp;"|"&amp;$E48)</f>
        <v/>
      </c>
      <c r="I48" s="41" t="n">
        <v>46066</v>
      </c>
      <c r="J48" s="24">
        <f>IFERROR(INDEX('CALENDARIO'!$C$15:$C$214,MATCH(TEXT($I48,"yyyy-mm-dd")&amp;"|"&amp;""&amp;"|"&amp;"",'CALENDARIO'!$G$15:$G$214,0)),IFERROR(INDEX('CALENDARIO'!$C$15:$C$214,MATCH(TEXT($I48,"yyyy-mm-dd")&amp;"|"&amp;""&amp;"|",'CALENDARIO'!$G$15:$G$214,0)),IFERROR(INDEX('CALENDARIO'!$C$15:$C$214,MATCH(TEXT($I48,"yyyy-mm-dd")&amp;"||",'CALENDARIO'!$G$15:$G$214,0)),INDEX(patronHabil,WEEKDAY($I48,2)))))</f>
        <v/>
      </c>
    </row>
    <row r="49">
      <c r="A49" s="44" t="n"/>
      <c r="B49" s="4" t="n"/>
      <c r="C49" s="4" t="n"/>
      <c r="D49" s="4" t="n"/>
      <c r="E49" s="4" t="n"/>
      <c r="F49" s="4" t="n"/>
      <c r="G49" s="24">
        <f>IF($A49="","",TEXT($A49,"yyyy-mm-dd")&amp;"|"&amp;$D49&amp;"|"&amp;$E49)</f>
        <v/>
      </c>
      <c r="I49" s="41" t="n">
        <v>46067</v>
      </c>
      <c r="J49" s="24">
        <f>IFERROR(INDEX('CALENDARIO'!$C$15:$C$214,MATCH(TEXT($I49,"yyyy-mm-dd")&amp;"|"&amp;""&amp;"|"&amp;"",'CALENDARIO'!$G$15:$G$214,0)),IFERROR(INDEX('CALENDARIO'!$C$15:$C$214,MATCH(TEXT($I49,"yyyy-mm-dd")&amp;"|"&amp;""&amp;"|",'CALENDARIO'!$G$15:$G$214,0)),IFERROR(INDEX('CALENDARIO'!$C$15:$C$214,MATCH(TEXT($I49,"yyyy-mm-dd")&amp;"||",'CALENDARIO'!$G$15:$G$214,0)),INDEX(patronHabil,WEEKDAY($I49,2)))))</f>
        <v/>
      </c>
    </row>
    <row r="50">
      <c r="A50" s="44" t="n"/>
      <c r="B50" s="4" t="n"/>
      <c r="C50" s="4" t="n"/>
      <c r="D50" s="4" t="n"/>
      <c r="E50" s="4" t="n"/>
      <c r="F50" s="4" t="n"/>
      <c r="G50" s="24">
        <f>IF($A50="","",TEXT($A50,"yyyy-mm-dd")&amp;"|"&amp;$D50&amp;"|"&amp;$E50)</f>
        <v/>
      </c>
      <c r="I50" s="41" t="n">
        <v>46068</v>
      </c>
      <c r="J50" s="24">
        <f>IFERROR(INDEX('CALENDARIO'!$C$15:$C$214,MATCH(TEXT($I50,"yyyy-mm-dd")&amp;"|"&amp;""&amp;"|"&amp;"",'CALENDARIO'!$G$15:$G$214,0)),IFERROR(INDEX('CALENDARIO'!$C$15:$C$214,MATCH(TEXT($I50,"yyyy-mm-dd")&amp;"|"&amp;""&amp;"|",'CALENDARIO'!$G$15:$G$214,0)),IFERROR(INDEX('CALENDARIO'!$C$15:$C$214,MATCH(TEXT($I50,"yyyy-mm-dd")&amp;"||",'CALENDARIO'!$G$15:$G$214,0)),INDEX(patronHabil,WEEKDAY($I50,2)))))</f>
        <v/>
      </c>
    </row>
    <row r="51">
      <c r="A51" s="44" t="n"/>
      <c r="B51" s="4" t="n"/>
      <c r="C51" s="4" t="n"/>
      <c r="D51" s="4" t="n"/>
      <c r="E51" s="4" t="n"/>
      <c r="F51" s="4" t="n"/>
      <c r="G51" s="24">
        <f>IF($A51="","",TEXT($A51,"yyyy-mm-dd")&amp;"|"&amp;$D51&amp;"|"&amp;$E51)</f>
        <v/>
      </c>
      <c r="I51" s="41" t="n">
        <v>46069</v>
      </c>
      <c r="J51" s="24">
        <f>IFERROR(INDEX('CALENDARIO'!$C$15:$C$214,MATCH(TEXT($I51,"yyyy-mm-dd")&amp;"|"&amp;""&amp;"|"&amp;"",'CALENDARIO'!$G$15:$G$214,0)),IFERROR(INDEX('CALENDARIO'!$C$15:$C$214,MATCH(TEXT($I51,"yyyy-mm-dd")&amp;"|"&amp;""&amp;"|",'CALENDARIO'!$G$15:$G$214,0)),IFERROR(INDEX('CALENDARIO'!$C$15:$C$214,MATCH(TEXT($I51,"yyyy-mm-dd")&amp;"||",'CALENDARIO'!$G$15:$G$214,0)),INDEX(patronHabil,WEEKDAY($I51,2)))))</f>
        <v/>
      </c>
    </row>
    <row r="52">
      <c r="A52" s="44" t="n"/>
      <c r="B52" s="4" t="n"/>
      <c r="C52" s="4" t="n"/>
      <c r="D52" s="4" t="n"/>
      <c r="E52" s="4" t="n"/>
      <c r="F52" s="4" t="n"/>
      <c r="G52" s="24">
        <f>IF($A52="","",TEXT($A52,"yyyy-mm-dd")&amp;"|"&amp;$D52&amp;"|"&amp;$E52)</f>
        <v/>
      </c>
      <c r="I52" s="41" t="n">
        <v>46070</v>
      </c>
      <c r="J52" s="24">
        <f>IFERROR(INDEX('CALENDARIO'!$C$15:$C$214,MATCH(TEXT($I52,"yyyy-mm-dd")&amp;"|"&amp;""&amp;"|"&amp;"",'CALENDARIO'!$G$15:$G$214,0)),IFERROR(INDEX('CALENDARIO'!$C$15:$C$214,MATCH(TEXT($I52,"yyyy-mm-dd")&amp;"|"&amp;""&amp;"|",'CALENDARIO'!$G$15:$G$214,0)),IFERROR(INDEX('CALENDARIO'!$C$15:$C$214,MATCH(TEXT($I52,"yyyy-mm-dd")&amp;"||",'CALENDARIO'!$G$15:$G$214,0)),INDEX(patronHabil,WEEKDAY($I52,2)))))</f>
        <v/>
      </c>
    </row>
    <row r="53">
      <c r="A53" s="44" t="n"/>
      <c r="B53" s="4" t="n"/>
      <c r="C53" s="4" t="n"/>
      <c r="D53" s="4" t="n"/>
      <c r="E53" s="4" t="n"/>
      <c r="F53" s="4" t="n"/>
      <c r="G53" s="24">
        <f>IF($A53="","",TEXT($A53,"yyyy-mm-dd")&amp;"|"&amp;$D53&amp;"|"&amp;$E53)</f>
        <v/>
      </c>
      <c r="I53" s="41" t="n">
        <v>46071</v>
      </c>
      <c r="J53" s="24">
        <f>IFERROR(INDEX('CALENDARIO'!$C$15:$C$214,MATCH(TEXT($I53,"yyyy-mm-dd")&amp;"|"&amp;""&amp;"|"&amp;"",'CALENDARIO'!$G$15:$G$214,0)),IFERROR(INDEX('CALENDARIO'!$C$15:$C$214,MATCH(TEXT($I53,"yyyy-mm-dd")&amp;"|"&amp;""&amp;"|",'CALENDARIO'!$G$15:$G$214,0)),IFERROR(INDEX('CALENDARIO'!$C$15:$C$214,MATCH(TEXT($I53,"yyyy-mm-dd")&amp;"||",'CALENDARIO'!$G$15:$G$214,0)),INDEX(patronHabil,WEEKDAY($I53,2)))))</f>
        <v/>
      </c>
    </row>
    <row r="54">
      <c r="A54" s="44" t="n"/>
      <c r="B54" s="4" t="n"/>
      <c r="C54" s="4" t="n"/>
      <c r="D54" s="4" t="n"/>
      <c r="E54" s="4" t="n"/>
      <c r="F54" s="4" t="n"/>
      <c r="G54" s="24">
        <f>IF($A54="","",TEXT($A54,"yyyy-mm-dd")&amp;"|"&amp;$D54&amp;"|"&amp;$E54)</f>
        <v/>
      </c>
      <c r="I54" s="41" t="n">
        <v>46072</v>
      </c>
      <c r="J54" s="24">
        <f>IFERROR(INDEX('CALENDARIO'!$C$15:$C$214,MATCH(TEXT($I54,"yyyy-mm-dd")&amp;"|"&amp;""&amp;"|"&amp;"",'CALENDARIO'!$G$15:$G$214,0)),IFERROR(INDEX('CALENDARIO'!$C$15:$C$214,MATCH(TEXT($I54,"yyyy-mm-dd")&amp;"|"&amp;""&amp;"|",'CALENDARIO'!$G$15:$G$214,0)),IFERROR(INDEX('CALENDARIO'!$C$15:$C$214,MATCH(TEXT($I54,"yyyy-mm-dd")&amp;"||",'CALENDARIO'!$G$15:$G$214,0)),INDEX(patronHabil,WEEKDAY($I54,2)))))</f>
        <v/>
      </c>
    </row>
    <row r="55">
      <c r="A55" s="44" t="n"/>
      <c r="B55" s="4" t="n"/>
      <c r="C55" s="4" t="n"/>
      <c r="D55" s="4" t="n"/>
      <c r="E55" s="4" t="n"/>
      <c r="F55" s="4" t="n"/>
      <c r="G55" s="24">
        <f>IF($A55="","",TEXT($A55,"yyyy-mm-dd")&amp;"|"&amp;$D55&amp;"|"&amp;$E55)</f>
        <v/>
      </c>
      <c r="I55" s="41" t="n">
        <v>46073</v>
      </c>
      <c r="J55" s="24">
        <f>IFERROR(INDEX('CALENDARIO'!$C$15:$C$214,MATCH(TEXT($I55,"yyyy-mm-dd")&amp;"|"&amp;""&amp;"|"&amp;"",'CALENDARIO'!$G$15:$G$214,0)),IFERROR(INDEX('CALENDARIO'!$C$15:$C$214,MATCH(TEXT($I55,"yyyy-mm-dd")&amp;"|"&amp;""&amp;"|",'CALENDARIO'!$G$15:$G$214,0)),IFERROR(INDEX('CALENDARIO'!$C$15:$C$214,MATCH(TEXT($I55,"yyyy-mm-dd")&amp;"||",'CALENDARIO'!$G$15:$G$214,0)),INDEX(patronHabil,WEEKDAY($I55,2)))))</f>
        <v/>
      </c>
    </row>
    <row r="56">
      <c r="A56" s="44" t="n"/>
      <c r="B56" s="4" t="n"/>
      <c r="C56" s="4" t="n"/>
      <c r="D56" s="4" t="n"/>
      <c r="E56" s="4" t="n"/>
      <c r="F56" s="4" t="n"/>
      <c r="G56" s="24">
        <f>IF($A56="","",TEXT($A56,"yyyy-mm-dd")&amp;"|"&amp;$D56&amp;"|"&amp;$E56)</f>
        <v/>
      </c>
      <c r="I56" s="41" t="n">
        <v>46074</v>
      </c>
      <c r="J56" s="24">
        <f>IFERROR(INDEX('CALENDARIO'!$C$15:$C$214,MATCH(TEXT($I56,"yyyy-mm-dd")&amp;"|"&amp;""&amp;"|"&amp;"",'CALENDARIO'!$G$15:$G$214,0)),IFERROR(INDEX('CALENDARIO'!$C$15:$C$214,MATCH(TEXT($I56,"yyyy-mm-dd")&amp;"|"&amp;""&amp;"|",'CALENDARIO'!$G$15:$G$214,0)),IFERROR(INDEX('CALENDARIO'!$C$15:$C$214,MATCH(TEXT($I56,"yyyy-mm-dd")&amp;"||",'CALENDARIO'!$G$15:$G$214,0)),INDEX(patronHabil,WEEKDAY($I56,2)))))</f>
        <v/>
      </c>
    </row>
    <row r="57">
      <c r="A57" s="44" t="n"/>
      <c r="B57" s="4" t="n"/>
      <c r="C57" s="4" t="n"/>
      <c r="D57" s="4" t="n"/>
      <c r="E57" s="4" t="n"/>
      <c r="F57" s="4" t="n"/>
      <c r="G57" s="24">
        <f>IF($A57="","",TEXT($A57,"yyyy-mm-dd")&amp;"|"&amp;$D57&amp;"|"&amp;$E57)</f>
        <v/>
      </c>
      <c r="I57" s="41" t="n">
        <v>46075</v>
      </c>
      <c r="J57" s="24">
        <f>IFERROR(INDEX('CALENDARIO'!$C$15:$C$214,MATCH(TEXT($I57,"yyyy-mm-dd")&amp;"|"&amp;""&amp;"|"&amp;"",'CALENDARIO'!$G$15:$G$214,0)),IFERROR(INDEX('CALENDARIO'!$C$15:$C$214,MATCH(TEXT($I57,"yyyy-mm-dd")&amp;"|"&amp;""&amp;"|",'CALENDARIO'!$G$15:$G$214,0)),IFERROR(INDEX('CALENDARIO'!$C$15:$C$214,MATCH(TEXT($I57,"yyyy-mm-dd")&amp;"||",'CALENDARIO'!$G$15:$G$214,0)),INDEX(patronHabil,WEEKDAY($I57,2)))))</f>
        <v/>
      </c>
    </row>
    <row r="58">
      <c r="A58" s="44" t="n"/>
      <c r="B58" s="4" t="n"/>
      <c r="C58" s="4" t="n"/>
      <c r="D58" s="4" t="n"/>
      <c r="E58" s="4" t="n"/>
      <c r="F58" s="4" t="n"/>
      <c r="G58" s="24">
        <f>IF($A58="","",TEXT($A58,"yyyy-mm-dd")&amp;"|"&amp;$D58&amp;"|"&amp;$E58)</f>
        <v/>
      </c>
      <c r="I58" s="41" t="n">
        <v>46076</v>
      </c>
      <c r="J58" s="24">
        <f>IFERROR(INDEX('CALENDARIO'!$C$15:$C$214,MATCH(TEXT($I58,"yyyy-mm-dd")&amp;"|"&amp;""&amp;"|"&amp;"",'CALENDARIO'!$G$15:$G$214,0)),IFERROR(INDEX('CALENDARIO'!$C$15:$C$214,MATCH(TEXT($I58,"yyyy-mm-dd")&amp;"|"&amp;""&amp;"|",'CALENDARIO'!$G$15:$G$214,0)),IFERROR(INDEX('CALENDARIO'!$C$15:$C$214,MATCH(TEXT($I58,"yyyy-mm-dd")&amp;"||",'CALENDARIO'!$G$15:$G$214,0)),INDEX(patronHabil,WEEKDAY($I58,2)))))</f>
        <v/>
      </c>
    </row>
    <row r="59">
      <c r="A59" s="44" t="n"/>
      <c r="B59" s="4" t="n"/>
      <c r="C59" s="4" t="n"/>
      <c r="D59" s="4" t="n"/>
      <c r="E59" s="4" t="n"/>
      <c r="F59" s="4" t="n"/>
      <c r="G59" s="24">
        <f>IF($A59="","",TEXT($A59,"yyyy-mm-dd")&amp;"|"&amp;$D59&amp;"|"&amp;$E59)</f>
        <v/>
      </c>
      <c r="I59" s="41" t="n">
        <v>46077</v>
      </c>
      <c r="J59" s="24">
        <f>IFERROR(INDEX('CALENDARIO'!$C$15:$C$214,MATCH(TEXT($I59,"yyyy-mm-dd")&amp;"|"&amp;""&amp;"|"&amp;"",'CALENDARIO'!$G$15:$G$214,0)),IFERROR(INDEX('CALENDARIO'!$C$15:$C$214,MATCH(TEXT($I59,"yyyy-mm-dd")&amp;"|"&amp;""&amp;"|",'CALENDARIO'!$G$15:$G$214,0)),IFERROR(INDEX('CALENDARIO'!$C$15:$C$214,MATCH(TEXT($I59,"yyyy-mm-dd")&amp;"||",'CALENDARIO'!$G$15:$G$214,0)),INDEX(patronHabil,WEEKDAY($I59,2)))))</f>
        <v/>
      </c>
    </row>
    <row r="60">
      <c r="A60" s="44" t="n"/>
      <c r="B60" s="4" t="n"/>
      <c r="C60" s="4" t="n"/>
      <c r="D60" s="4" t="n"/>
      <c r="E60" s="4" t="n"/>
      <c r="F60" s="4" t="n"/>
      <c r="G60" s="24">
        <f>IF($A60="","",TEXT($A60,"yyyy-mm-dd")&amp;"|"&amp;$D60&amp;"|"&amp;$E60)</f>
        <v/>
      </c>
      <c r="I60" s="41" t="n">
        <v>46078</v>
      </c>
      <c r="J60" s="24">
        <f>IFERROR(INDEX('CALENDARIO'!$C$15:$C$214,MATCH(TEXT($I60,"yyyy-mm-dd")&amp;"|"&amp;""&amp;"|"&amp;"",'CALENDARIO'!$G$15:$G$214,0)),IFERROR(INDEX('CALENDARIO'!$C$15:$C$214,MATCH(TEXT($I60,"yyyy-mm-dd")&amp;"|"&amp;""&amp;"|",'CALENDARIO'!$G$15:$G$214,0)),IFERROR(INDEX('CALENDARIO'!$C$15:$C$214,MATCH(TEXT($I60,"yyyy-mm-dd")&amp;"||",'CALENDARIO'!$G$15:$G$214,0)),INDEX(patronHabil,WEEKDAY($I60,2)))))</f>
        <v/>
      </c>
    </row>
    <row r="61">
      <c r="A61" s="44" t="n"/>
      <c r="B61" s="4" t="n"/>
      <c r="C61" s="4" t="n"/>
      <c r="D61" s="4" t="n"/>
      <c r="E61" s="4" t="n"/>
      <c r="F61" s="4" t="n"/>
      <c r="G61" s="24">
        <f>IF($A61="","",TEXT($A61,"yyyy-mm-dd")&amp;"|"&amp;$D61&amp;"|"&amp;$E61)</f>
        <v/>
      </c>
      <c r="I61" s="41" t="n">
        <v>46079</v>
      </c>
      <c r="J61" s="24">
        <f>IFERROR(INDEX('CALENDARIO'!$C$15:$C$214,MATCH(TEXT($I61,"yyyy-mm-dd")&amp;"|"&amp;""&amp;"|"&amp;"",'CALENDARIO'!$G$15:$G$214,0)),IFERROR(INDEX('CALENDARIO'!$C$15:$C$214,MATCH(TEXT($I61,"yyyy-mm-dd")&amp;"|"&amp;""&amp;"|",'CALENDARIO'!$G$15:$G$214,0)),IFERROR(INDEX('CALENDARIO'!$C$15:$C$214,MATCH(TEXT($I61,"yyyy-mm-dd")&amp;"||",'CALENDARIO'!$G$15:$G$214,0)),INDEX(patronHabil,WEEKDAY($I61,2)))))</f>
        <v/>
      </c>
    </row>
    <row r="62">
      <c r="A62" s="44" t="n"/>
      <c r="B62" s="4" t="n"/>
      <c r="C62" s="4" t="n"/>
      <c r="D62" s="4" t="n"/>
      <c r="E62" s="4" t="n"/>
      <c r="F62" s="4" t="n"/>
      <c r="G62" s="24">
        <f>IF($A62="","",TEXT($A62,"yyyy-mm-dd")&amp;"|"&amp;$D62&amp;"|"&amp;$E62)</f>
        <v/>
      </c>
      <c r="I62" s="41" t="n">
        <v>46080</v>
      </c>
      <c r="J62" s="24">
        <f>IFERROR(INDEX('CALENDARIO'!$C$15:$C$214,MATCH(TEXT($I62,"yyyy-mm-dd")&amp;"|"&amp;""&amp;"|"&amp;"",'CALENDARIO'!$G$15:$G$214,0)),IFERROR(INDEX('CALENDARIO'!$C$15:$C$214,MATCH(TEXT($I62,"yyyy-mm-dd")&amp;"|"&amp;""&amp;"|",'CALENDARIO'!$G$15:$G$214,0)),IFERROR(INDEX('CALENDARIO'!$C$15:$C$214,MATCH(TEXT($I62,"yyyy-mm-dd")&amp;"||",'CALENDARIO'!$G$15:$G$214,0)),INDEX(patronHabil,WEEKDAY($I62,2)))))</f>
        <v/>
      </c>
    </row>
    <row r="63">
      <c r="A63" s="44" t="n"/>
      <c r="B63" s="4" t="n"/>
      <c r="C63" s="4" t="n"/>
      <c r="D63" s="4" t="n"/>
      <c r="E63" s="4" t="n"/>
      <c r="F63" s="4" t="n"/>
      <c r="G63" s="24">
        <f>IF($A63="","",TEXT($A63,"yyyy-mm-dd")&amp;"|"&amp;$D63&amp;"|"&amp;$E63)</f>
        <v/>
      </c>
      <c r="I63" s="41" t="n">
        <v>46081</v>
      </c>
      <c r="J63" s="24">
        <f>IFERROR(INDEX('CALENDARIO'!$C$15:$C$214,MATCH(TEXT($I63,"yyyy-mm-dd")&amp;"|"&amp;""&amp;"|"&amp;"",'CALENDARIO'!$G$15:$G$214,0)),IFERROR(INDEX('CALENDARIO'!$C$15:$C$214,MATCH(TEXT($I63,"yyyy-mm-dd")&amp;"|"&amp;""&amp;"|",'CALENDARIO'!$G$15:$G$214,0)),IFERROR(INDEX('CALENDARIO'!$C$15:$C$214,MATCH(TEXT($I63,"yyyy-mm-dd")&amp;"||",'CALENDARIO'!$G$15:$G$214,0)),INDEX(patronHabil,WEEKDAY($I63,2)))))</f>
        <v/>
      </c>
    </row>
    <row r="64">
      <c r="A64" s="44" t="n"/>
      <c r="B64" s="4" t="n"/>
      <c r="C64" s="4" t="n"/>
      <c r="D64" s="4" t="n"/>
      <c r="E64" s="4" t="n"/>
      <c r="F64" s="4" t="n"/>
      <c r="G64" s="24">
        <f>IF($A64="","",TEXT($A64,"yyyy-mm-dd")&amp;"|"&amp;$D64&amp;"|"&amp;$E64)</f>
        <v/>
      </c>
      <c r="I64" s="41" t="n">
        <v>46082</v>
      </c>
      <c r="J64" s="24">
        <f>IFERROR(INDEX('CALENDARIO'!$C$15:$C$214,MATCH(TEXT($I64,"yyyy-mm-dd")&amp;"|"&amp;""&amp;"|"&amp;"",'CALENDARIO'!$G$15:$G$214,0)),IFERROR(INDEX('CALENDARIO'!$C$15:$C$214,MATCH(TEXT($I64,"yyyy-mm-dd")&amp;"|"&amp;""&amp;"|",'CALENDARIO'!$G$15:$G$214,0)),IFERROR(INDEX('CALENDARIO'!$C$15:$C$214,MATCH(TEXT($I64,"yyyy-mm-dd")&amp;"||",'CALENDARIO'!$G$15:$G$214,0)),INDEX(patronHabil,WEEKDAY($I64,2)))))</f>
        <v/>
      </c>
    </row>
    <row r="65">
      <c r="A65" s="44" t="n"/>
      <c r="B65" s="4" t="n"/>
      <c r="C65" s="4" t="n"/>
      <c r="D65" s="4" t="n"/>
      <c r="E65" s="4" t="n"/>
      <c r="F65" s="4" t="n"/>
      <c r="G65" s="24">
        <f>IF($A65="","",TEXT($A65,"yyyy-mm-dd")&amp;"|"&amp;$D65&amp;"|"&amp;$E65)</f>
        <v/>
      </c>
      <c r="I65" s="41" t="n">
        <v>46083</v>
      </c>
      <c r="J65" s="24">
        <f>IFERROR(INDEX('CALENDARIO'!$C$15:$C$214,MATCH(TEXT($I65,"yyyy-mm-dd")&amp;"|"&amp;""&amp;"|"&amp;"",'CALENDARIO'!$G$15:$G$214,0)),IFERROR(INDEX('CALENDARIO'!$C$15:$C$214,MATCH(TEXT($I65,"yyyy-mm-dd")&amp;"|"&amp;""&amp;"|",'CALENDARIO'!$G$15:$G$214,0)),IFERROR(INDEX('CALENDARIO'!$C$15:$C$214,MATCH(TEXT($I65,"yyyy-mm-dd")&amp;"||",'CALENDARIO'!$G$15:$G$214,0)),INDEX(patronHabil,WEEKDAY($I65,2)))))</f>
        <v/>
      </c>
    </row>
    <row r="66">
      <c r="A66" s="44" t="n"/>
      <c r="B66" s="4" t="n"/>
      <c r="C66" s="4" t="n"/>
      <c r="D66" s="4" t="n"/>
      <c r="E66" s="4" t="n"/>
      <c r="F66" s="4" t="n"/>
      <c r="G66" s="24">
        <f>IF($A66="","",TEXT($A66,"yyyy-mm-dd")&amp;"|"&amp;$D66&amp;"|"&amp;$E66)</f>
        <v/>
      </c>
      <c r="I66" s="41" t="n">
        <v>46084</v>
      </c>
      <c r="J66" s="24">
        <f>IFERROR(INDEX('CALENDARIO'!$C$15:$C$214,MATCH(TEXT($I66,"yyyy-mm-dd")&amp;"|"&amp;""&amp;"|"&amp;"",'CALENDARIO'!$G$15:$G$214,0)),IFERROR(INDEX('CALENDARIO'!$C$15:$C$214,MATCH(TEXT($I66,"yyyy-mm-dd")&amp;"|"&amp;""&amp;"|",'CALENDARIO'!$G$15:$G$214,0)),IFERROR(INDEX('CALENDARIO'!$C$15:$C$214,MATCH(TEXT($I66,"yyyy-mm-dd")&amp;"||",'CALENDARIO'!$G$15:$G$214,0)),INDEX(patronHabil,WEEKDAY($I66,2)))))</f>
        <v/>
      </c>
    </row>
    <row r="67">
      <c r="A67" s="44" t="n"/>
      <c r="B67" s="4" t="n"/>
      <c r="C67" s="4" t="n"/>
      <c r="D67" s="4" t="n"/>
      <c r="E67" s="4" t="n"/>
      <c r="F67" s="4" t="n"/>
      <c r="G67" s="24">
        <f>IF($A67="","",TEXT($A67,"yyyy-mm-dd")&amp;"|"&amp;$D67&amp;"|"&amp;$E67)</f>
        <v/>
      </c>
      <c r="I67" s="41" t="n">
        <v>46085</v>
      </c>
      <c r="J67" s="24">
        <f>IFERROR(INDEX('CALENDARIO'!$C$15:$C$214,MATCH(TEXT($I67,"yyyy-mm-dd")&amp;"|"&amp;""&amp;"|"&amp;"",'CALENDARIO'!$G$15:$G$214,0)),IFERROR(INDEX('CALENDARIO'!$C$15:$C$214,MATCH(TEXT($I67,"yyyy-mm-dd")&amp;"|"&amp;""&amp;"|",'CALENDARIO'!$G$15:$G$214,0)),IFERROR(INDEX('CALENDARIO'!$C$15:$C$214,MATCH(TEXT($I67,"yyyy-mm-dd")&amp;"||",'CALENDARIO'!$G$15:$G$214,0)),INDEX(patronHabil,WEEKDAY($I67,2)))))</f>
        <v/>
      </c>
    </row>
    <row r="68">
      <c r="A68" s="44" t="n"/>
      <c r="B68" s="4" t="n"/>
      <c r="C68" s="4" t="n"/>
      <c r="D68" s="4" t="n"/>
      <c r="E68" s="4" t="n"/>
      <c r="F68" s="4" t="n"/>
      <c r="G68" s="24">
        <f>IF($A68="","",TEXT($A68,"yyyy-mm-dd")&amp;"|"&amp;$D68&amp;"|"&amp;$E68)</f>
        <v/>
      </c>
      <c r="I68" s="41" t="n">
        <v>46086</v>
      </c>
      <c r="J68" s="24">
        <f>IFERROR(INDEX('CALENDARIO'!$C$15:$C$214,MATCH(TEXT($I68,"yyyy-mm-dd")&amp;"|"&amp;""&amp;"|"&amp;"",'CALENDARIO'!$G$15:$G$214,0)),IFERROR(INDEX('CALENDARIO'!$C$15:$C$214,MATCH(TEXT($I68,"yyyy-mm-dd")&amp;"|"&amp;""&amp;"|",'CALENDARIO'!$G$15:$G$214,0)),IFERROR(INDEX('CALENDARIO'!$C$15:$C$214,MATCH(TEXT($I68,"yyyy-mm-dd")&amp;"||",'CALENDARIO'!$G$15:$G$214,0)),INDEX(patronHabil,WEEKDAY($I68,2)))))</f>
        <v/>
      </c>
    </row>
    <row r="69">
      <c r="A69" s="44" t="n"/>
      <c r="B69" s="4" t="n"/>
      <c r="C69" s="4" t="n"/>
      <c r="D69" s="4" t="n"/>
      <c r="E69" s="4" t="n"/>
      <c r="F69" s="4" t="n"/>
      <c r="G69" s="24">
        <f>IF($A69="","",TEXT($A69,"yyyy-mm-dd")&amp;"|"&amp;$D69&amp;"|"&amp;$E69)</f>
        <v/>
      </c>
      <c r="I69" s="41" t="n">
        <v>46087</v>
      </c>
      <c r="J69" s="24">
        <f>IFERROR(INDEX('CALENDARIO'!$C$15:$C$214,MATCH(TEXT($I69,"yyyy-mm-dd")&amp;"|"&amp;""&amp;"|"&amp;"",'CALENDARIO'!$G$15:$G$214,0)),IFERROR(INDEX('CALENDARIO'!$C$15:$C$214,MATCH(TEXT($I69,"yyyy-mm-dd")&amp;"|"&amp;""&amp;"|",'CALENDARIO'!$G$15:$G$214,0)),IFERROR(INDEX('CALENDARIO'!$C$15:$C$214,MATCH(TEXT($I69,"yyyy-mm-dd")&amp;"||",'CALENDARIO'!$G$15:$G$214,0)),INDEX(patronHabil,WEEKDAY($I69,2)))))</f>
        <v/>
      </c>
    </row>
    <row r="70">
      <c r="A70" s="44" t="n"/>
      <c r="B70" s="4" t="n"/>
      <c r="C70" s="4" t="n"/>
      <c r="D70" s="4" t="n"/>
      <c r="E70" s="4" t="n"/>
      <c r="F70" s="4" t="n"/>
      <c r="G70" s="24">
        <f>IF($A70="","",TEXT($A70,"yyyy-mm-dd")&amp;"|"&amp;$D70&amp;"|"&amp;$E70)</f>
        <v/>
      </c>
      <c r="I70" s="41" t="n">
        <v>46088</v>
      </c>
      <c r="J70" s="24">
        <f>IFERROR(INDEX('CALENDARIO'!$C$15:$C$214,MATCH(TEXT($I70,"yyyy-mm-dd")&amp;"|"&amp;""&amp;"|"&amp;"",'CALENDARIO'!$G$15:$G$214,0)),IFERROR(INDEX('CALENDARIO'!$C$15:$C$214,MATCH(TEXT($I70,"yyyy-mm-dd")&amp;"|"&amp;""&amp;"|",'CALENDARIO'!$G$15:$G$214,0)),IFERROR(INDEX('CALENDARIO'!$C$15:$C$214,MATCH(TEXT($I70,"yyyy-mm-dd")&amp;"||",'CALENDARIO'!$G$15:$G$214,0)),INDEX(patronHabil,WEEKDAY($I70,2)))))</f>
        <v/>
      </c>
    </row>
    <row r="71">
      <c r="A71" s="44" t="n"/>
      <c r="B71" s="4" t="n"/>
      <c r="C71" s="4" t="n"/>
      <c r="D71" s="4" t="n"/>
      <c r="E71" s="4" t="n"/>
      <c r="F71" s="4" t="n"/>
      <c r="G71" s="24">
        <f>IF($A71="","",TEXT($A71,"yyyy-mm-dd")&amp;"|"&amp;$D71&amp;"|"&amp;$E71)</f>
        <v/>
      </c>
      <c r="I71" s="41" t="n">
        <v>46089</v>
      </c>
      <c r="J71" s="24">
        <f>IFERROR(INDEX('CALENDARIO'!$C$15:$C$214,MATCH(TEXT($I71,"yyyy-mm-dd")&amp;"|"&amp;""&amp;"|"&amp;"",'CALENDARIO'!$G$15:$G$214,0)),IFERROR(INDEX('CALENDARIO'!$C$15:$C$214,MATCH(TEXT($I71,"yyyy-mm-dd")&amp;"|"&amp;""&amp;"|",'CALENDARIO'!$G$15:$G$214,0)),IFERROR(INDEX('CALENDARIO'!$C$15:$C$214,MATCH(TEXT($I71,"yyyy-mm-dd")&amp;"||",'CALENDARIO'!$G$15:$G$214,0)),INDEX(patronHabil,WEEKDAY($I71,2)))))</f>
        <v/>
      </c>
    </row>
    <row r="72">
      <c r="A72" s="44" t="n"/>
      <c r="B72" s="4" t="n"/>
      <c r="C72" s="4" t="n"/>
      <c r="D72" s="4" t="n"/>
      <c r="E72" s="4" t="n"/>
      <c r="F72" s="4" t="n"/>
      <c r="G72" s="24">
        <f>IF($A72="","",TEXT($A72,"yyyy-mm-dd")&amp;"|"&amp;$D72&amp;"|"&amp;$E72)</f>
        <v/>
      </c>
      <c r="I72" s="41" t="n">
        <v>46090</v>
      </c>
      <c r="J72" s="24">
        <f>IFERROR(INDEX('CALENDARIO'!$C$15:$C$214,MATCH(TEXT($I72,"yyyy-mm-dd")&amp;"|"&amp;""&amp;"|"&amp;"",'CALENDARIO'!$G$15:$G$214,0)),IFERROR(INDEX('CALENDARIO'!$C$15:$C$214,MATCH(TEXT($I72,"yyyy-mm-dd")&amp;"|"&amp;""&amp;"|",'CALENDARIO'!$G$15:$G$214,0)),IFERROR(INDEX('CALENDARIO'!$C$15:$C$214,MATCH(TEXT($I72,"yyyy-mm-dd")&amp;"||",'CALENDARIO'!$G$15:$G$214,0)),INDEX(patronHabil,WEEKDAY($I72,2)))))</f>
        <v/>
      </c>
    </row>
    <row r="73">
      <c r="A73" s="44" t="n"/>
      <c r="B73" s="4" t="n"/>
      <c r="C73" s="4" t="n"/>
      <c r="D73" s="4" t="n"/>
      <c r="E73" s="4" t="n"/>
      <c r="F73" s="4" t="n"/>
      <c r="G73" s="24">
        <f>IF($A73="","",TEXT($A73,"yyyy-mm-dd")&amp;"|"&amp;$D73&amp;"|"&amp;$E73)</f>
        <v/>
      </c>
      <c r="I73" s="41" t="n">
        <v>46091</v>
      </c>
      <c r="J73" s="24">
        <f>IFERROR(INDEX('CALENDARIO'!$C$15:$C$214,MATCH(TEXT($I73,"yyyy-mm-dd")&amp;"|"&amp;""&amp;"|"&amp;"",'CALENDARIO'!$G$15:$G$214,0)),IFERROR(INDEX('CALENDARIO'!$C$15:$C$214,MATCH(TEXT($I73,"yyyy-mm-dd")&amp;"|"&amp;""&amp;"|",'CALENDARIO'!$G$15:$G$214,0)),IFERROR(INDEX('CALENDARIO'!$C$15:$C$214,MATCH(TEXT($I73,"yyyy-mm-dd")&amp;"||",'CALENDARIO'!$G$15:$G$214,0)),INDEX(patronHabil,WEEKDAY($I73,2)))))</f>
        <v/>
      </c>
    </row>
    <row r="74">
      <c r="A74" s="44" t="n"/>
      <c r="B74" s="4" t="n"/>
      <c r="C74" s="4" t="n"/>
      <c r="D74" s="4" t="n"/>
      <c r="E74" s="4" t="n"/>
      <c r="F74" s="4" t="n"/>
      <c r="G74" s="24">
        <f>IF($A74="","",TEXT($A74,"yyyy-mm-dd")&amp;"|"&amp;$D74&amp;"|"&amp;$E74)</f>
        <v/>
      </c>
      <c r="I74" s="41" t="n">
        <v>46092</v>
      </c>
      <c r="J74" s="24">
        <f>IFERROR(INDEX('CALENDARIO'!$C$15:$C$214,MATCH(TEXT($I74,"yyyy-mm-dd")&amp;"|"&amp;""&amp;"|"&amp;"",'CALENDARIO'!$G$15:$G$214,0)),IFERROR(INDEX('CALENDARIO'!$C$15:$C$214,MATCH(TEXT($I74,"yyyy-mm-dd")&amp;"|"&amp;""&amp;"|",'CALENDARIO'!$G$15:$G$214,0)),IFERROR(INDEX('CALENDARIO'!$C$15:$C$214,MATCH(TEXT($I74,"yyyy-mm-dd")&amp;"||",'CALENDARIO'!$G$15:$G$214,0)),INDEX(patronHabil,WEEKDAY($I74,2)))))</f>
        <v/>
      </c>
    </row>
    <row r="75">
      <c r="A75" s="44" t="n"/>
      <c r="B75" s="4" t="n"/>
      <c r="C75" s="4" t="n"/>
      <c r="D75" s="4" t="n"/>
      <c r="E75" s="4" t="n"/>
      <c r="F75" s="4" t="n"/>
      <c r="G75" s="24">
        <f>IF($A75="","",TEXT($A75,"yyyy-mm-dd")&amp;"|"&amp;$D75&amp;"|"&amp;$E75)</f>
        <v/>
      </c>
      <c r="I75" s="41" t="n">
        <v>46093</v>
      </c>
      <c r="J75" s="24">
        <f>IFERROR(INDEX('CALENDARIO'!$C$15:$C$214,MATCH(TEXT($I75,"yyyy-mm-dd")&amp;"|"&amp;""&amp;"|"&amp;"",'CALENDARIO'!$G$15:$G$214,0)),IFERROR(INDEX('CALENDARIO'!$C$15:$C$214,MATCH(TEXT($I75,"yyyy-mm-dd")&amp;"|"&amp;""&amp;"|",'CALENDARIO'!$G$15:$G$214,0)),IFERROR(INDEX('CALENDARIO'!$C$15:$C$214,MATCH(TEXT($I75,"yyyy-mm-dd")&amp;"||",'CALENDARIO'!$G$15:$G$214,0)),INDEX(patronHabil,WEEKDAY($I75,2)))))</f>
        <v/>
      </c>
    </row>
    <row r="76">
      <c r="A76" s="44" t="n"/>
      <c r="B76" s="4" t="n"/>
      <c r="C76" s="4" t="n"/>
      <c r="D76" s="4" t="n"/>
      <c r="E76" s="4" t="n"/>
      <c r="F76" s="4" t="n"/>
      <c r="G76" s="24">
        <f>IF($A76="","",TEXT($A76,"yyyy-mm-dd")&amp;"|"&amp;$D76&amp;"|"&amp;$E76)</f>
        <v/>
      </c>
      <c r="I76" s="41" t="n">
        <v>46094</v>
      </c>
      <c r="J76" s="24">
        <f>IFERROR(INDEX('CALENDARIO'!$C$15:$C$214,MATCH(TEXT($I76,"yyyy-mm-dd")&amp;"|"&amp;""&amp;"|"&amp;"",'CALENDARIO'!$G$15:$G$214,0)),IFERROR(INDEX('CALENDARIO'!$C$15:$C$214,MATCH(TEXT($I76,"yyyy-mm-dd")&amp;"|"&amp;""&amp;"|",'CALENDARIO'!$G$15:$G$214,0)),IFERROR(INDEX('CALENDARIO'!$C$15:$C$214,MATCH(TEXT($I76,"yyyy-mm-dd")&amp;"||",'CALENDARIO'!$G$15:$G$214,0)),INDEX(patronHabil,WEEKDAY($I76,2)))))</f>
        <v/>
      </c>
    </row>
    <row r="77">
      <c r="A77" s="44" t="n"/>
      <c r="B77" s="4" t="n"/>
      <c r="C77" s="4" t="n"/>
      <c r="D77" s="4" t="n"/>
      <c r="E77" s="4" t="n"/>
      <c r="F77" s="4" t="n"/>
      <c r="G77" s="24">
        <f>IF($A77="","",TEXT($A77,"yyyy-mm-dd")&amp;"|"&amp;$D77&amp;"|"&amp;$E77)</f>
        <v/>
      </c>
      <c r="I77" s="41" t="n">
        <v>46095</v>
      </c>
      <c r="J77" s="24">
        <f>IFERROR(INDEX('CALENDARIO'!$C$15:$C$214,MATCH(TEXT($I77,"yyyy-mm-dd")&amp;"|"&amp;""&amp;"|"&amp;"",'CALENDARIO'!$G$15:$G$214,0)),IFERROR(INDEX('CALENDARIO'!$C$15:$C$214,MATCH(TEXT($I77,"yyyy-mm-dd")&amp;"|"&amp;""&amp;"|",'CALENDARIO'!$G$15:$G$214,0)),IFERROR(INDEX('CALENDARIO'!$C$15:$C$214,MATCH(TEXT($I77,"yyyy-mm-dd")&amp;"||",'CALENDARIO'!$G$15:$G$214,0)),INDEX(patronHabil,WEEKDAY($I77,2)))))</f>
        <v/>
      </c>
    </row>
    <row r="78">
      <c r="A78" s="44" t="n"/>
      <c r="B78" s="4" t="n"/>
      <c r="C78" s="4" t="n"/>
      <c r="D78" s="4" t="n"/>
      <c r="E78" s="4" t="n"/>
      <c r="F78" s="4" t="n"/>
      <c r="G78" s="24">
        <f>IF($A78="","",TEXT($A78,"yyyy-mm-dd")&amp;"|"&amp;$D78&amp;"|"&amp;$E78)</f>
        <v/>
      </c>
      <c r="I78" s="41" t="n">
        <v>46096</v>
      </c>
      <c r="J78" s="24">
        <f>IFERROR(INDEX('CALENDARIO'!$C$15:$C$214,MATCH(TEXT($I78,"yyyy-mm-dd")&amp;"|"&amp;""&amp;"|"&amp;"",'CALENDARIO'!$G$15:$G$214,0)),IFERROR(INDEX('CALENDARIO'!$C$15:$C$214,MATCH(TEXT($I78,"yyyy-mm-dd")&amp;"|"&amp;""&amp;"|",'CALENDARIO'!$G$15:$G$214,0)),IFERROR(INDEX('CALENDARIO'!$C$15:$C$214,MATCH(TEXT($I78,"yyyy-mm-dd")&amp;"||",'CALENDARIO'!$G$15:$G$214,0)),INDEX(patronHabil,WEEKDAY($I78,2)))))</f>
        <v/>
      </c>
    </row>
    <row r="79">
      <c r="A79" s="44" t="n"/>
      <c r="B79" s="4" t="n"/>
      <c r="C79" s="4" t="n"/>
      <c r="D79" s="4" t="n"/>
      <c r="E79" s="4" t="n"/>
      <c r="F79" s="4" t="n"/>
      <c r="G79" s="24">
        <f>IF($A79="","",TEXT($A79,"yyyy-mm-dd")&amp;"|"&amp;$D79&amp;"|"&amp;$E79)</f>
        <v/>
      </c>
      <c r="I79" s="41" t="n">
        <v>46097</v>
      </c>
      <c r="J79" s="24">
        <f>IFERROR(INDEX('CALENDARIO'!$C$15:$C$214,MATCH(TEXT($I79,"yyyy-mm-dd")&amp;"|"&amp;""&amp;"|"&amp;"",'CALENDARIO'!$G$15:$G$214,0)),IFERROR(INDEX('CALENDARIO'!$C$15:$C$214,MATCH(TEXT($I79,"yyyy-mm-dd")&amp;"|"&amp;""&amp;"|",'CALENDARIO'!$G$15:$G$214,0)),IFERROR(INDEX('CALENDARIO'!$C$15:$C$214,MATCH(TEXT($I79,"yyyy-mm-dd")&amp;"||",'CALENDARIO'!$G$15:$G$214,0)),INDEX(patronHabil,WEEKDAY($I79,2)))))</f>
        <v/>
      </c>
    </row>
    <row r="80">
      <c r="A80" s="44" t="n"/>
      <c r="B80" s="4" t="n"/>
      <c r="C80" s="4" t="n"/>
      <c r="D80" s="4" t="n"/>
      <c r="E80" s="4" t="n"/>
      <c r="F80" s="4" t="n"/>
      <c r="G80" s="24">
        <f>IF($A80="","",TEXT($A80,"yyyy-mm-dd")&amp;"|"&amp;$D80&amp;"|"&amp;$E80)</f>
        <v/>
      </c>
      <c r="I80" s="41" t="n">
        <v>46098</v>
      </c>
      <c r="J80" s="24">
        <f>IFERROR(INDEX('CALENDARIO'!$C$15:$C$214,MATCH(TEXT($I80,"yyyy-mm-dd")&amp;"|"&amp;""&amp;"|"&amp;"",'CALENDARIO'!$G$15:$G$214,0)),IFERROR(INDEX('CALENDARIO'!$C$15:$C$214,MATCH(TEXT($I80,"yyyy-mm-dd")&amp;"|"&amp;""&amp;"|",'CALENDARIO'!$G$15:$G$214,0)),IFERROR(INDEX('CALENDARIO'!$C$15:$C$214,MATCH(TEXT($I80,"yyyy-mm-dd")&amp;"||",'CALENDARIO'!$G$15:$G$214,0)),INDEX(patronHabil,WEEKDAY($I80,2)))))</f>
        <v/>
      </c>
    </row>
    <row r="81">
      <c r="A81" s="44" t="n"/>
      <c r="B81" s="4" t="n"/>
      <c r="C81" s="4" t="n"/>
      <c r="D81" s="4" t="n"/>
      <c r="E81" s="4" t="n"/>
      <c r="F81" s="4" t="n"/>
      <c r="G81" s="24">
        <f>IF($A81="","",TEXT($A81,"yyyy-mm-dd")&amp;"|"&amp;$D81&amp;"|"&amp;$E81)</f>
        <v/>
      </c>
      <c r="I81" s="41" t="n">
        <v>46099</v>
      </c>
      <c r="J81" s="24">
        <f>IFERROR(INDEX('CALENDARIO'!$C$15:$C$214,MATCH(TEXT($I81,"yyyy-mm-dd")&amp;"|"&amp;""&amp;"|"&amp;"",'CALENDARIO'!$G$15:$G$214,0)),IFERROR(INDEX('CALENDARIO'!$C$15:$C$214,MATCH(TEXT($I81,"yyyy-mm-dd")&amp;"|"&amp;""&amp;"|",'CALENDARIO'!$G$15:$G$214,0)),IFERROR(INDEX('CALENDARIO'!$C$15:$C$214,MATCH(TEXT($I81,"yyyy-mm-dd")&amp;"||",'CALENDARIO'!$G$15:$G$214,0)),INDEX(patronHabil,WEEKDAY($I81,2)))))</f>
        <v/>
      </c>
    </row>
    <row r="82">
      <c r="A82" s="44" t="n"/>
      <c r="B82" s="4" t="n"/>
      <c r="C82" s="4" t="n"/>
      <c r="D82" s="4" t="n"/>
      <c r="E82" s="4" t="n"/>
      <c r="F82" s="4" t="n"/>
      <c r="G82" s="24">
        <f>IF($A82="","",TEXT($A82,"yyyy-mm-dd")&amp;"|"&amp;$D82&amp;"|"&amp;$E82)</f>
        <v/>
      </c>
      <c r="I82" s="41" t="n">
        <v>46100</v>
      </c>
      <c r="J82" s="24">
        <f>IFERROR(INDEX('CALENDARIO'!$C$15:$C$214,MATCH(TEXT($I82,"yyyy-mm-dd")&amp;"|"&amp;""&amp;"|"&amp;"",'CALENDARIO'!$G$15:$G$214,0)),IFERROR(INDEX('CALENDARIO'!$C$15:$C$214,MATCH(TEXT($I82,"yyyy-mm-dd")&amp;"|"&amp;""&amp;"|",'CALENDARIO'!$G$15:$G$214,0)),IFERROR(INDEX('CALENDARIO'!$C$15:$C$214,MATCH(TEXT($I82,"yyyy-mm-dd")&amp;"||",'CALENDARIO'!$G$15:$G$214,0)),INDEX(patronHabil,WEEKDAY($I82,2)))))</f>
        <v/>
      </c>
    </row>
    <row r="83">
      <c r="A83" s="44" t="n"/>
      <c r="B83" s="4" t="n"/>
      <c r="C83" s="4" t="n"/>
      <c r="D83" s="4" t="n"/>
      <c r="E83" s="4" t="n"/>
      <c r="F83" s="4" t="n"/>
      <c r="G83" s="24">
        <f>IF($A83="","",TEXT($A83,"yyyy-mm-dd")&amp;"|"&amp;$D83&amp;"|"&amp;$E83)</f>
        <v/>
      </c>
      <c r="I83" s="41" t="n">
        <v>46101</v>
      </c>
      <c r="J83" s="24">
        <f>IFERROR(INDEX('CALENDARIO'!$C$15:$C$214,MATCH(TEXT($I83,"yyyy-mm-dd")&amp;"|"&amp;""&amp;"|"&amp;"",'CALENDARIO'!$G$15:$G$214,0)),IFERROR(INDEX('CALENDARIO'!$C$15:$C$214,MATCH(TEXT($I83,"yyyy-mm-dd")&amp;"|"&amp;""&amp;"|",'CALENDARIO'!$G$15:$G$214,0)),IFERROR(INDEX('CALENDARIO'!$C$15:$C$214,MATCH(TEXT($I83,"yyyy-mm-dd")&amp;"||",'CALENDARIO'!$G$15:$G$214,0)),INDEX(patronHabil,WEEKDAY($I83,2)))))</f>
        <v/>
      </c>
    </row>
    <row r="84">
      <c r="A84" s="44" t="n"/>
      <c r="B84" s="4" t="n"/>
      <c r="C84" s="4" t="n"/>
      <c r="D84" s="4" t="n"/>
      <c r="E84" s="4" t="n"/>
      <c r="F84" s="4" t="n"/>
      <c r="G84" s="24">
        <f>IF($A84="","",TEXT($A84,"yyyy-mm-dd")&amp;"|"&amp;$D84&amp;"|"&amp;$E84)</f>
        <v/>
      </c>
      <c r="I84" s="41" t="n">
        <v>46102</v>
      </c>
      <c r="J84" s="24">
        <f>IFERROR(INDEX('CALENDARIO'!$C$15:$C$214,MATCH(TEXT($I84,"yyyy-mm-dd")&amp;"|"&amp;""&amp;"|"&amp;"",'CALENDARIO'!$G$15:$G$214,0)),IFERROR(INDEX('CALENDARIO'!$C$15:$C$214,MATCH(TEXT($I84,"yyyy-mm-dd")&amp;"|"&amp;""&amp;"|",'CALENDARIO'!$G$15:$G$214,0)),IFERROR(INDEX('CALENDARIO'!$C$15:$C$214,MATCH(TEXT($I84,"yyyy-mm-dd")&amp;"||",'CALENDARIO'!$G$15:$G$214,0)),INDEX(patronHabil,WEEKDAY($I84,2)))))</f>
        <v/>
      </c>
    </row>
    <row r="85">
      <c r="A85" s="44" t="n"/>
      <c r="B85" s="4" t="n"/>
      <c r="C85" s="4" t="n"/>
      <c r="D85" s="4" t="n"/>
      <c r="E85" s="4" t="n"/>
      <c r="F85" s="4" t="n"/>
      <c r="G85" s="24">
        <f>IF($A85="","",TEXT($A85,"yyyy-mm-dd")&amp;"|"&amp;$D85&amp;"|"&amp;$E85)</f>
        <v/>
      </c>
      <c r="I85" s="41" t="n">
        <v>46103</v>
      </c>
      <c r="J85" s="24">
        <f>IFERROR(INDEX('CALENDARIO'!$C$15:$C$214,MATCH(TEXT($I85,"yyyy-mm-dd")&amp;"|"&amp;""&amp;"|"&amp;"",'CALENDARIO'!$G$15:$G$214,0)),IFERROR(INDEX('CALENDARIO'!$C$15:$C$214,MATCH(TEXT($I85,"yyyy-mm-dd")&amp;"|"&amp;""&amp;"|",'CALENDARIO'!$G$15:$G$214,0)),IFERROR(INDEX('CALENDARIO'!$C$15:$C$214,MATCH(TEXT($I85,"yyyy-mm-dd")&amp;"||",'CALENDARIO'!$G$15:$G$214,0)),INDEX(patronHabil,WEEKDAY($I85,2)))))</f>
        <v/>
      </c>
    </row>
    <row r="86">
      <c r="A86" s="44" t="n"/>
      <c r="B86" s="4" t="n"/>
      <c r="C86" s="4" t="n"/>
      <c r="D86" s="4" t="n"/>
      <c r="E86" s="4" t="n"/>
      <c r="F86" s="4" t="n"/>
      <c r="G86" s="24">
        <f>IF($A86="","",TEXT($A86,"yyyy-mm-dd")&amp;"|"&amp;$D86&amp;"|"&amp;$E86)</f>
        <v/>
      </c>
      <c r="I86" s="41" t="n">
        <v>46104</v>
      </c>
      <c r="J86" s="24">
        <f>IFERROR(INDEX('CALENDARIO'!$C$15:$C$214,MATCH(TEXT($I86,"yyyy-mm-dd")&amp;"|"&amp;""&amp;"|"&amp;"",'CALENDARIO'!$G$15:$G$214,0)),IFERROR(INDEX('CALENDARIO'!$C$15:$C$214,MATCH(TEXT($I86,"yyyy-mm-dd")&amp;"|"&amp;""&amp;"|",'CALENDARIO'!$G$15:$G$214,0)),IFERROR(INDEX('CALENDARIO'!$C$15:$C$214,MATCH(TEXT($I86,"yyyy-mm-dd")&amp;"||",'CALENDARIO'!$G$15:$G$214,0)),INDEX(patronHabil,WEEKDAY($I86,2)))))</f>
        <v/>
      </c>
    </row>
    <row r="87">
      <c r="A87" s="44" t="n"/>
      <c r="B87" s="4" t="n"/>
      <c r="C87" s="4" t="n"/>
      <c r="D87" s="4" t="n"/>
      <c r="E87" s="4" t="n"/>
      <c r="F87" s="4" t="n"/>
      <c r="G87" s="24">
        <f>IF($A87="","",TEXT($A87,"yyyy-mm-dd")&amp;"|"&amp;$D87&amp;"|"&amp;$E87)</f>
        <v/>
      </c>
      <c r="I87" s="41" t="n">
        <v>46105</v>
      </c>
      <c r="J87" s="24">
        <f>IFERROR(INDEX('CALENDARIO'!$C$15:$C$214,MATCH(TEXT($I87,"yyyy-mm-dd")&amp;"|"&amp;""&amp;"|"&amp;"",'CALENDARIO'!$G$15:$G$214,0)),IFERROR(INDEX('CALENDARIO'!$C$15:$C$214,MATCH(TEXT($I87,"yyyy-mm-dd")&amp;"|"&amp;""&amp;"|",'CALENDARIO'!$G$15:$G$214,0)),IFERROR(INDEX('CALENDARIO'!$C$15:$C$214,MATCH(TEXT($I87,"yyyy-mm-dd")&amp;"||",'CALENDARIO'!$G$15:$G$214,0)),INDEX(patronHabil,WEEKDAY($I87,2)))))</f>
        <v/>
      </c>
    </row>
    <row r="88">
      <c r="A88" s="44" t="n"/>
      <c r="B88" s="4" t="n"/>
      <c r="C88" s="4" t="n"/>
      <c r="D88" s="4" t="n"/>
      <c r="E88" s="4" t="n"/>
      <c r="F88" s="4" t="n"/>
      <c r="G88" s="24">
        <f>IF($A88="","",TEXT($A88,"yyyy-mm-dd")&amp;"|"&amp;$D88&amp;"|"&amp;$E88)</f>
        <v/>
      </c>
      <c r="I88" s="41" t="n">
        <v>46106</v>
      </c>
      <c r="J88" s="24">
        <f>IFERROR(INDEX('CALENDARIO'!$C$15:$C$214,MATCH(TEXT($I88,"yyyy-mm-dd")&amp;"|"&amp;""&amp;"|"&amp;"",'CALENDARIO'!$G$15:$G$214,0)),IFERROR(INDEX('CALENDARIO'!$C$15:$C$214,MATCH(TEXT($I88,"yyyy-mm-dd")&amp;"|"&amp;""&amp;"|",'CALENDARIO'!$G$15:$G$214,0)),IFERROR(INDEX('CALENDARIO'!$C$15:$C$214,MATCH(TEXT($I88,"yyyy-mm-dd")&amp;"||",'CALENDARIO'!$G$15:$G$214,0)),INDEX(patronHabil,WEEKDAY($I88,2)))))</f>
        <v/>
      </c>
    </row>
    <row r="89">
      <c r="A89" s="44" t="n"/>
      <c r="B89" s="4" t="n"/>
      <c r="C89" s="4" t="n"/>
      <c r="D89" s="4" t="n"/>
      <c r="E89" s="4" t="n"/>
      <c r="F89" s="4" t="n"/>
      <c r="G89" s="24">
        <f>IF($A89="","",TEXT($A89,"yyyy-mm-dd")&amp;"|"&amp;$D89&amp;"|"&amp;$E89)</f>
        <v/>
      </c>
      <c r="I89" s="41" t="n">
        <v>46107</v>
      </c>
      <c r="J89" s="24">
        <f>IFERROR(INDEX('CALENDARIO'!$C$15:$C$214,MATCH(TEXT($I89,"yyyy-mm-dd")&amp;"|"&amp;""&amp;"|"&amp;"",'CALENDARIO'!$G$15:$G$214,0)),IFERROR(INDEX('CALENDARIO'!$C$15:$C$214,MATCH(TEXT($I89,"yyyy-mm-dd")&amp;"|"&amp;""&amp;"|",'CALENDARIO'!$G$15:$G$214,0)),IFERROR(INDEX('CALENDARIO'!$C$15:$C$214,MATCH(TEXT($I89,"yyyy-mm-dd")&amp;"||",'CALENDARIO'!$G$15:$G$214,0)),INDEX(patronHabil,WEEKDAY($I89,2)))))</f>
        <v/>
      </c>
    </row>
    <row r="90">
      <c r="A90" s="44" t="n"/>
      <c r="B90" s="4" t="n"/>
      <c r="C90" s="4" t="n"/>
      <c r="D90" s="4" t="n"/>
      <c r="E90" s="4" t="n"/>
      <c r="F90" s="4" t="n"/>
      <c r="G90" s="24">
        <f>IF($A90="","",TEXT($A90,"yyyy-mm-dd")&amp;"|"&amp;$D90&amp;"|"&amp;$E90)</f>
        <v/>
      </c>
      <c r="I90" s="41" t="n">
        <v>46108</v>
      </c>
      <c r="J90" s="24">
        <f>IFERROR(INDEX('CALENDARIO'!$C$15:$C$214,MATCH(TEXT($I90,"yyyy-mm-dd")&amp;"|"&amp;""&amp;"|"&amp;"",'CALENDARIO'!$G$15:$G$214,0)),IFERROR(INDEX('CALENDARIO'!$C$15:$C$214,MATCH(TEXT($I90,"yyyy-mm-dd")&amp;"|"&amp;""&amp;"|",'CALENDARIO'!$G$15:$G$214,0)),IFERROR(INDEX('CALENDARIO'!$C$15:$C$214,MATCH(TEXT($I90,"yyyy-mm-dd")&amp;"||",'CALENDARIO'!$G$15:$G$214,0)),INDEX(patronHabil,WEEKDAY($I90,2)))))</f>
        <v/>
      </c>
    </row>
    <row r="91">
      <c r="A91" s="44" t="n"/>
      <c r="B91" s="4" t="n"/>
      <c r="C91" s="4" t="n"/>
      <c r="D91" s="4" t="n"/>
      <c r="E91" s="4" t="n"/>
      <c r="F91" s="4" t="n"/>
      <c r="G91" s="24">
        <f>IF($A91="","",TEXT($A91,"yyyy-mm-dd")&amp;"|"&amp;$D91&amp;"|"&amp;$E91)</f>
        <v/>
      </c>
      <c r="I91" s="41" t="n">
        <v>46109</v>
      </c>
      <c r="J91" s="24">
        <f>IFERROR(INDEX('CALENDARIO'!$C$15:$C$214,MATCH(TEXT($I91,"yyyy-mm-dd")&amp;"|"&amp;""&amp;"|"&amp;"",'CALENDARIO'!$G$15:$G$214,0)),IFERROR(INDEX('CALENDARIO'!$C$15:$C$214,MATCH(TEXT($I91,"yyyy-mm-dd")&amp;"|"&amp;""&amp;"|",'CALENDARIO'!$G$15:$G$214,0)),IFERROR(INDEX('CALENDARIO'!$C$15:$C$214,MATCH(TEXT($I91,"yyyy-mm-dd")&amp;"||",'CALENDARIO'!$G$15:$G$214,0)),INDEX(patronHabil,WEEKDAY($I91,2)))))</f>
        <v/>
      </c>
    </row>
    <row r="92">
      <c r="A92" s="44" t="n"/>
      <c r="B92" s="4" t="n"/>
      <c r="C92" s="4" t="n"/>
      <c r="D92" s="4" t="n"/>
      <c r="E92" s="4" t="n"/>
      <c r="F92" s="4" t="n"/>
      <c r="G92" s="24">
        <f>IF($A92="","",TEXT($A92,"yyyy-mm-dd")&amp;"|"&amp;$D92&amp;"|"&amp;$E92)</f>
        <v/>
      </c>
      <c r="I92" s="41" t="n">
        <v>46110</v>
      </c>
      <c r="J92" s="24">
        <f>IFERROR(INDEX('CALENDARIO'!$C$15:$C$214,MATCH(TEXT($I92,"yyyy-mm-dd")&amp;"|"&amp;""&amp;"|"&amp;"",'CALENDARIO'!$G$15:$G$214,0)),IFERROR(INDEX('CALENDARIO'!$C$15:$C$214,MATCH(TEXT($I92,"yyyy-mm-dd")&amp;"|"&amp;""&amp;"|",'CALENDARIO'!$G$15:$G$214,0)),IFERROR(INDEX('CALENDARIO'!$C$15:$C$214,MATCH(TEXT($I92,"yyyy-mm-dd")&amp;"||",'CALENDARIO'!$G$15:$G$214,0)),INDEX(patronHabil,WEEKDAY($I92,2)))))</f>
        <v/>
      </c>
    </row>
    <row r="93">
      <c r="A93" s="44" t="n"/>
      <c r="B93" s="4" t="n"/>
      <c r="C93" s="4" t="n"/>
      <c r="D93" s="4" t="n"/>
      <c r="E93" s="4" t="n"/>
      <c r="F93" s="4" t="n"/>
      <c r="G93" s="24">
        <f>IF($A93="","",TEXT($A93,"yyyy-mm-dd")&amp;"|"&amp;$D93&amp;"|"&amp;$E93)</f>
        <v/>
      </c>
      <c r="I93" s="41" t="n">
        <v>46111</v>
      </c>
      <c r="J93" s="24">
        <f>IFERROR(INDEX('CALENDARIO'!$C$15:$C$214,MATCH(TEXT($I93,"yyyy-mm-dd")&amp;"|"&amp;""&amp;"|"&amp;"",'CALENDARIO'!$G$15:$G$214,0)),IFERROR(INDEX('CALENDARIO'!$C$15:$C$214,MATCH(TEXT($I93,"yyyy-mm-dd")&amp;"|"&amp;""&amp;"|",'CALENDARIO'!$G$15:$G$214,0)),IFERROR(INDEX('CALENDARIO'!$C$15:$C$214,MATCH(TEXT($I93,"yyyy-mm-dd")&amp;"||",'CALENDARIO'!$G$15:$G$214,0)),INDEX(patronHabil,WEEKDAY($I93,2)))))</f>
        <v/>
      </c>
    </row>
    <row r="94">
      <c r="A94" s="44" t="n"/>
      <c r="B94" s="4" t="n"/>
      <c r="C94" s="4" t="n"/>
      <c r="D94" s="4" t="n"/>
      <c r="E94" s="4" t="n"/>
      <c r="F94" s="4" t="n"/>
      <c r="G94" s="24">
        <f>IF($A94="","",TEXT($A94,"yyyy-mm-dd")&amp;"|"&amp;$D94&amp;"|"&amp;$E94)</f>
        <v/>
      </c>
      <c r="I94" s="41" t="n">
        <v>46112</v>
      </c>
      <c r="J94" s="24">
        <f>IFERROR(INDEX('CALENDARIO'!$C$15:$C$214,MATCH(TEXT($I94,"yyyy-mm-dd")&amp;"|"&amp;""&amp;"|"&amp;"",'CALENDARIO'!$G$15:$G$214,0)),IFERROR(INDEX('CALENDARIO'!$C$15:$C$214,MATCH(TEXT($I94,"yyyy-mm-dd")&amp;"|"&amp;""&amp;"|",'CALENDARIO'!$G$15:$G$214,0)),IFERROR(INDEX('CALENDARIO'!$C$15:$C$214,MATCH(TEXT($I94,"yyyy-mm-dd")&amp;"||",'CALENDARIO'!$G$15:$G$214,0)),INDEX(patronHabil,WEEKDAY($I94,2)))))</f>
        <v/>
      </c>
    </row>
    <row r="95">
      <c r="A95" s="44" t="n"/>
      <c r="B95" s="4" t="n"/>
      <c r="C95" s="4" t="n"/>
      <c r="D95" s="4" t="n"/>
      <c r="E95" s="4" t="n"/>
      <c r="F95" s="4" t="n"/>
      <c r="G95" s="24">
        <f>IF($A95="","",TEXT($A95,"yyyy-mm-dd")&amp;"|"&amp;$D95&amp;"|"&amp;$E95)</f>
        <v/>
      </c>
      <c r="I95" s="41" t="n">
        <v>46113</v>
      </c>
      <c r="J95" s="24">
        <f>IFERROR(INDEX('CALENDARIO'!$C$15:$C$214,MATCH(TEXT($I95,"yyyy-mm-dd")&amp;"|"&amp;""&amp;"|"&amp;"",'CALENDARIO'!$G$15:$G$214,0)),IFERROR(INDEX('CALENDARIO'!$C$15:$C$214,MATCH(TEXT($I95,"yyyy-mm-dd")&amp;"|"&amp;""&amp;"|",'CALENDARIO'!$G$15:$G$214,0)),IFERROR(INDEX('CALENDARIO'!$C$15:$C$214,MATCH(TEXT($I95,"yyyy-mm-dd")&amp;"||",'CALENDARIO'!$G$15:$G$214,0)),INDEX(patronHabil,WEEKDAY($I95,2)))))</f>
        <v/>
      </c>
    </row>
    <row r="96">
      <c r="A96" s="44" t="n"/>
      <c r="B96" s="4" t="n"/>
      <c r="C96" s="4" t="n"/>
      <c r="D96" s="4" t="n"/>
      <c r="E96" s="4" t="n"/>
      <c r="F96" s="4" t="n"/>
      <c r="G96" s="24">
        <f>IF($A96="","",TEXT($A96,"yyyy-mm-dd")&amp;"|"&amp;$D96&amp;"|"&amp;$E96)</f>
        <v/>
      </c>
      <c r="I96" s="41" t="n">
        <v>46114</v>
      </c>
      <c r="J96" s="24">
        <f>IFERROR(INDEX('CALENDARIO'!$C$15:$C$214,MATCH(TEXT($I96,"yyyy-mm-dd")&amp;"|"&amp;""&amp;"|"&amp;"",'CALENDARIO'!$G$15:$G$214,0)),IFERROR(INDEX('CALENDARIO'!$C$15:$C$214,MATCH(TEXT($I96,"yyyy-mm-dd")&amp;"|"&amp;""&amp;"|",'CALENDARIO'!$G$15:$G$214,0)),IFERROR(INDEX('CALENDARIO'!$C$15:$C$214,MATCH(TEXT($I96,"yyyy-mm-dd")&amp;"||",'CALENDARIO'!$G$15:$G$214,0)),INDEX(patronHabil,WEEKDAY($I96,2)))))</f>
        <v/>
      </c>
    </row>
    <row r="97">
      <c r="A97" s="44" t="n"/>
      <c r="B97" s="4" t="n"/>
      <c r="C97" s="4" t="n"/>
      <c r="D97" s="4" t="n"/>
      <c r="E97" s="4" t="n"/>
      <c r="F97" s="4" t="n"/>
      <c r="G97" s="24">
        <f>IF($A97="","",TEXT($A97,"yyyy-mm-dd")&amp;"|"&amp;$D97&amp;"|"&amp;$E97)</f>
        <v/>
      </c>
      <c r="I97" s="41" t="n">
        <v>46115</v>
      </c>
      <c r="J97" s="24">
        <f>IFERROR(INDEX('CALENDARIO'!$C$15:$C$214,MATCH(TEXT($I97,"yyyy-mm-dd")&amp;"|"&amp;""&amp;"|"&amp;"",'CALENDARIO'!$G$15:$G$214,0)),IFERROR(INDEX('CALENDARIO'!$C$15:$C$214,MATCH(TEXT($I97,"yyyy-mm-dd")&amp;"|"&amp;""&amp;"|",'CALENDARIO'!$G$15:$G$214,0)),IFERROR(INDEX('CALENDARIO'!$C$15:$C$214,MATCH(TEXT($I97,"yyyy-mm-dd")&amp;"||",'CALENDARIO'!$G$15:$G$214,0)),INDEX(patronHabil,WEEKDAY($I97,2)))))</f>
        <v/>
      </c>
    </row>
    <row r="98">
      <c r="A98" s="44" t="n"/>
      <c r="B98" s="4" t="n"/>
      <c r="C98" s="4" t="n"/>
      <c r="D98" s="4" t="n"/>
      <c r="E98" s="4" t="n"/>
      <c r="F98" s="4" t="n"/>
      <c r="G98" s="24">
        <f>IF($A98="","",TEXT($A98,"yyyy-mm-dd")&amp;"|"&amp;$D98&amp;"|"&amp;$E98)</f>
        <v/>
      </c>
      <c r="I98" s="41" t="n">
        <v>46116</v>
      </c>
      <c r="J98" s="24">
        <f>IFERROR(INDEX('CALENDARIO'!$C$15:$C$214,MATCH(TEXT($I98,"yyyy-mm-dd")&amp;"|"&amp;""&amp;"|"&amp;"",'CALENDARIO'!$G$15:$G$214,0)),IFERROR(INDEX('CALENDARIO'!$C$15:$C$214,MATCH(TEXT($I98,"yyyy-mm-dd")&amp;"|"&amp;""&amp;"|",'CALENDARIO'!$G$15:$G$214,0)),IFERROR(INDEX('CALENDARIO'!$C$15:$C$214,MATCH(TEXT($I98,"yyyy-mm-dd")&amp;"||",'CALENDARIO'!$G$15:$G$214,0)),INDEX(patronHabil,WEEKDAY($I98,2)))))</f>
        <v/>
      </c>
    </row>
    <row r="99">
      <c r="A99" s="44" t="n"/>
      <c r="B99" s="4" t="n"/>
      <c r="C99" s="4" t="n"/>
      <c r="D99" s="4" t="n"/>
      <c r="E99" s="4" t="n"/>
      <c r="F99" s="4" t="n"/>
      <c r="G99" s="24">
        <f>IF($A99="","",TEXT($A99,"yyyy-mm-dd")&amp;"|"&amp;$D99&amp;"|"&amp;$E99)</f>
        <v/>
      </c>
      <c r="I99" s="41" t="n">
        <v>46117</v>
      </c>
      <c r="J99" s="24">
        <f>IFERROR(INDEX('CALENDARIO'!$C$15:$C$214,MATCH(TEXT($I99,"yyyy-mm-dd")&amp;"|"&amp;""&amp;"|"&amp;"",'CALENDARIO'!$G$15:$G$214,0)),IFERROR(INDEX('CALENDARIO'!$C$15:$C$214,MATCH(TEXT($I99,"yyyy-mm-dd")&amp;"|"&amp;""&amp;"|",'CALENDARIO'!$G$15:$G$214,0)),IFERROR(INDEX('CALENDARIO'!$C$15:$C$214,MATCH(TEXT($I99,"yyyy-mm-dd")&amp;"||",'CALENDARIO'!$G$15:$G$214,0)),INDEX(patronHabil,WEEKDAY($I99,2)))))</f>
        <v/>
      </c>
    </row>
    <row r="100">
      <c r="A100" s="44" t="n"/>
      <c r="B100" s="4" t="n"/>
      <c r="C100" s="4" t="n"/>
      <c r="D100" s="4" t="n"/>
      <c r="E100" s="4" t="n"/>
      <c r="F100" s="4" t="n"/>
      <c r="G100" s="24">
        <f>IF($A100="","",TEXT($A100,"yyyy-mm-dd")&amp;"|"&amp;$D100&amp;"|"&amp;$E100)</f>
        <v/>
      </c>
      <c r="I100" s="41" t="n">
        <v>46118</v>
      </c>
      <c r="J100" s="24">
        <f>IFERROR(INDEX('CALENDARIO'!$C$15:$C$214,MATCH(TEXT($I100,"yyyy-mm-dd")&amp;"|"&amp;""&amp;"|"&amp;"",'CALENDARIO'!$G$15:$G$214,0)),IFERROR(INDEX('CALENDARIO'!$C$15:$C$214,MATCH(TEXT($I100,"yyyy-mm-dd")&amp;"|"&amp;""&amp;"|",'CALENDARIO'!$G$15:$G$214,0)),IFERROR(INDEX('CALENDARIO'!$C$15:$C$214,MATCH(TEXT($I100,"yyyy-mm-dd")&amp;"||",'CALENDARIO'!$G$15:$G$214,0)),INDEX(patronHabil,WEEKDAY($I100,2)))))</f>
        <v/>
      </c>
    </row>
    <row r="101">
      <c r="A101" s="44" t="n"/>
      <c r="B101" s="4" t="n"/>
      <c r="C101" s="4" t="n"/>
      <c r="D101" s="4" t="n"/>
      <c r="E101" s="4" t="n"/>
      <c r="F101" s="4" t="n"/>
      <c r="G101" s="24">
        <f>IF($A101="","",TEXT($A101,"yyyy-mm-dd")&amp;"|"&amp;$D101&amp;"|"&amp;$E101)</f>
        <v/>
      </c>
      <c r="I101" s="41" t="n">
        <v>46119</v>
      </c>
      <c r="J101" s="24">
        <f>IFERROR(INDEX('CALENDARIO'!$C$15:$C$214,MATCH(TEXT($I101,"yyyy-mm-dd")&amp;"|"&amp;""&amp;"|"&amp;"",'CALENDARIO'!$G$15:$G$214,0)),IFERROR(INDEX('CALENDARIO'!$C$15:$C$214,MATCH(TEXT($I101,"yyyy-mm-dd")&amp;"|"&amp;""&amp;"|",'CALENDARIO'!$G$15:$G$214,0)),IFERROR(INDEX('CALENDARIO'!$C$15:$C$214,MATCH(TEXT($I101,"yyyy-mm-dd")&amp;"||",'CALENDARIO'!$G$15:$G$214,0)),INDEX(patronHabil,WEEKDAY($I101,2)))))</f>
        <v/>
      </c>
    </row>
    <row r="102">
      <c r="A102" s="44" t="n"/>
      <c r="B102" s="4" t="n"/>
      <c r="C102" s="4" t="n"/>
      <c r="D102" s="4" t="n"/>
      <c r="E102" s="4" t="n"/>
      <c r="F102" s="4" t="n"/>
      <c r="G102" s="24">
        <f>IF($A102="","",TEXT($A102,"yyyy-mm-dd")&amp;"|"&amp;$D102&amp;"|"&amp;$E102)</f>
        <v/>
      </c>
      <c r="I102" s="41" t="n">
        <v>46120</v>
      </c>
      <c r="J102" s="24">
        <f>IFERROR(INDEX('CALENDARIO'!$C$15:$C$214,MATCH(TEXT($I102,"yyyy-mm-dd")&amp;"|"&amp;""&amp;"|"&amp;"",'CALENDARIO'!$G$15:$G$214,0)),IFERROR(INDEX('CALENDARIO'!$C$15:$C$214,MATCH(TEXT($I102,"yyyy-mm-dd")&amp;"|"&amp;""&amp;"|",'CALENDARIO'!$G$15:$G$214,0)),IFERROR(INDEX('CALENDARIO'!$C$15:$C$214,MATCH(TEXT($I102,"yyyy-mm-dd")&amp;"||",'CALENDARIO'!$G$15:$G$214,0)),INDEX(patronHabil,WEEKDAY($I102,2)))))</f>
        <v/>
      </c>
    </row>
    <row r="103">
      <c r="A103" s="44" t="n"/>
      <c r="B103" s="4" t="n"/>
      <c r="C103" s="4" t="n"/>
      <c r="D103" s="4" t="n"/>
      <c r="E103" s="4" t="n"/>
      <c r="F103" s="4" t="n"/>
      <c r="G103" s="24">
        <f>IF($A103="","",TEXT($A103,"yyyy-mm-dd")&amp;"|"&amp;$D103&amp;"|"&amp;$E103)</f>
        <v/>
      </c>
      <c r="I103" s="41" t="n">
        <v>46121</v>
      </c>
      <c r="J103" s="24">
        <f>IFERROR(INDEX('CALENDARIO'!$C$15:$C$214,MATCH(TEXT($I103,"yyyy-mm-dd")&amp;"|"&amp;""&amp;"|"&amp;"",'CALENDARIO'!$G$15:$G$214,0)),IFERROR(INDEX('CALENDARIO'!$C$15:$C$214,MATCH(TEXT($I103,"yyyy-mm-dd")&amp;"|"&amp;""&amp;"|",'CALENDARIO'!$G$15:$G$214,0)),IFERROR(INDEX('CALENDARIO'!$C$15:$C$214,MATCH(TEXT($I103,"yyyy-mm-dd")&amp;"||",'CALENDARIO'!$G$15:$G$214,0)),INDEX(patronHabil,WEEKDAY($I103,2)))))</f>
        <v/>
      </c>
    </row>
    <row r="104">
      <c r="A104" s="44" t="n"/>
      <c r="B104" s="4" t="n"/>
      <c r="C104" s="4" t="n"/>
      <c r="D104" s="4" t="n"/>
      <c r="E104" s="4" t="n"/>
      <c r="F104" s="4" t="n"/>
      <c r="G104" s="24">
        <f>IF($A104="","",TEXT($A104,"yyyy-mm-dd")&amp;"|"&amp;$D104&amp;"|"&amp;$E104)</f>
        <v/>
      </c>
      <c r="I104" s="41" t="n">
        <v>46122</v>
      </c>
      <c r="J104" s="24">
        <f>IFERROR(INDEX('CALENDARIO'!$C$15:$C$214,MATCH(TEXT($I104,"yyyy-mm-dd")&amp;"|"&amp;""&amp;"|"&amp;"",'CALENDARIO'!$G$15:$G$214,0)),IFERROR(INDEX('CALENDARIO'!$C$15:$C$214,MATCH(TEXT($I104,"yyyy-mm-dd")&amp;"|"&amp;""&amp;"|",'CALENDARIO'!$G$15:$G$214,0)),IFERROR(INDEX('CALENDARIO'!$C$15:$C$214,MATCH(TEXT($I104,"yyyy-mm-dd")&amp;"||",'CALENDARIO'!$G$15:$G$214,0)),INDEX(patronHabil,WEEKDAY($I104,2)))))</f>
        <v/>
      </c>
    </row>
    <row r="105">
      <c r="A105" s="44" t="n"/>
      <c r="B105" s="4" t="n"/>
      <c r="C105" s="4" t="n"/>
      <c r="D105" s="4" t="n"/>
      <c r="E105" s="4" t="n"/>
      <c r="F105" s="4" t="n"/>
      <c r="G105" s="24">
        <f>IF($A105="","",TEXT($A105,"yyyy-mm-dd")&amp;"|"&amp;$D105&amp;"|"&amp;$E105)</f>
        <v/>
      </c>
      <c r="I105" s="41" t="n">
        <v>46123</v>
      </c>
      <c r="J105" s="24">
        <f>IFERROR(INDEX('CALENDARIO'!$C$15:$C$214,MATCH(TEXT($I105,"yyyy-mm-dd")&amp;"|"&amp;""&amp;"|"&amp;"",'CALENDARIO'!$G$15:$G$214,0)),IFERROR(INDEX('CALENDARIO'!$C$15:$C$214,MATCH(TEXT($I105,"yyyy-mm-dd")&amp;"|"&amp;""&amp;"|",'CALENDARIO'!$G$15:$G$214,0)),IFERROR(INDEX('CALENDARIO'!$C$15:$C$214,MATCH(TEXT($I105,"yyyy-mm-dd")&amp;"||",'CALENDARIO'!$G$15:$G$214,0)),INDEX(patronHabil,WEEKDAY($I105,2)))))</f>
        <v/>
      </c>
    </row>
    <row r="106">
      <c r="A106" s="44" t="n"/>
      <c r="B106" s="4" t="n"/>
      <c r="C106" s="4" t="n"/>
      <c r="D106" s="4" t="n"/>
      <c r="E106" s="4" t="n"/>
      <c r="F106" s="4" t="n"/>
      <c r="G106" s="24">
        <f>IF($A106="","",TEXT($A106,"yyyy-mm-dd")&amp;"|"&amp;$D106&amp;"|"&amp;$E106)</f>
        <v/>
      </c>
      <c r="I106" s="41" t="n">
        <v>46124</v>
      </c>
      <c r="J106" s="24">
        <f>IFERROR(INDEX('CALENDARIO'!$C$15:$C$214,MATCH(TEXT($I106,"yyyy-mm-dd")&amp;"|"&amp;""&amp;"|"&amp;"",'CALENDARIO'!$G$15:$G$214,0)),IFERROR(INDEX('CALENDARIO'!$C$15:$C$214,MATCH(TEXT($I106,"yyyy-mm-dd")&amp;"|"&amp;""&amp;"|",'CALENDARIO'!$G$15:$G$214,0)),IFERROR(INDEX('CALENDARIO'!$C$15:$C$214,MATCH(TEXT($I106,"yyyy-mm-dd")&amp;"||",'CALENDARIO'!$G$15:$G$214,0)),INDEX(patronHabil,WEEKDAY($I106,2)))))</f>
        <v/>
      </c>
    </row>
    <row r="107">
      <c r="A107" s="44" t="n"/>
      <c r="B107" s="4" t="n"/>
      <c r="C107" s="4" t="n"/>
      <c r="D107" s="4" t="n"/>
      <c r="E107" s="4" t="n"/>
      <c r="F107" s="4" t="n"/>
      <c r="G107" s="24">
        <f>IF($A107="","",TEXT($A107,"yyyy-mm-dd")&amp;"|"&amp;$D107&amp;"|"&amp;$E107)</f>
        <v/>
      </c>
      <c r="I107" s="41" t="n">
        <v>46125</v>
      </c>
      <c r="J107" s="24">
        <f>IFERROR(INDEX('CALENDARIO'!$C$15:$C$214,MATCH(TEXT($I107,"yyyy-mm-dd")&amp;"|"&amp;""&amp;"|"&amp;"",'CALENDARIO'!$G$15:$G$214,0)),IFERROR(INDEX('CALENDARIO'!$C$15:$C$214,MATCH(TEXT($I107,"yyyy-mm-dd")&amp;"|"&amp;""&amp;"|",'CALENDARIO'!$G$15:$G$214,0)),IFERROR(INDEX('CALENDARIO'!$C$15:$C$214,MATCH(TEXT($I107,"yyyy-mm-dd")&amp;"||",'CALENDARIO'!$G$15:$G$214,0)),INDEX(patronHabil,WEEKDAY($I107,2)))))</f>
        <v/>
      </c>
    </row>
    <row r="108">
      <c r="A108" s="44" t="n"/>
      <c r="B108" s="4" t="n"/>
      <c r="C108" s="4" t="n"/>
      <c r="D108" s="4" t="n"/>
      <c r="E108" s="4" t="n"/>
      <c r="F108" s="4" t="n"/>
      <c r="G108" s="24">
        <f>IF($A108="","",TEXT($A108,"yyyy-mm-dd")&amp;"|"&amp;$D108&amp;"|"&amp;$E108)</f>
        <v/>
      </c>
      <c r="I108" s="41" t="n">
        <v>46126</v>
      </c>
      <c r="J108" s="24">
        <f>IFERROR(INDEX('CALENDARIO'!$C$15:$C$214,MATCH(TEXT($I108,"yyyy-mm-dd")&amp;"|"&amp;""&amp;"|"&amp;"",'CALENDARIO'!$G$15:$G$214,0)),IFERROR(INDEX('CALENDARIO'!$C$15:$C$214,MATCH(TEXT($I108,"yyyy-mm-dd")&amp;"|"&amp;""&amp;"|",'CALENDARIO'!$G$15:$G$214,0)),IFERROR(INDEX('CALENDARIO'!$C$15:$C$214,MATCH(TEXT($I108,"yyyy-mm-dd")&amp;"||",'CALENDARIO'!$G$15:$G$214,0)),INDEX(patronHabil,WEEKDAY($I108,2)))))</f>
        <v/>
      </c>
    </row>
    <row r="109">
      <c r="A109" s="44" t="n"/>
      <c r="B109" s="4" t="n"/>
      <c r="C109" s="4" t="n"/>
      <c r="D109" s="4" t="n"/>
      <c r="E109" s="4" t="n"/>
      <c r="F109" s="4" t="n"/>
      <c r="G109" s="24">
        <f>IF($A109="","",TEXT($A109,"yyyy-mm-dd")&amp;"|"&amp;$D109&amp;"|"&amp;$E109)</f>
        <v/>
      </c>
      <c r="I109" s="41" t="n">
        <v>46127</v>
      </c>
      <c r="J109" s="24">
        <f>IFERROR(INDEX('CALENDARIO'!$C$15:$C$214,MATCH(TEXT($I109,"yyyy-mm-dd")&amp;"|"&amp;""&amp;"|"&amp;"",'CALENDARIO'!$G$15:$G$214,0)),IFERROR(INDEX('CALENDARIO'!$C$15:$C$214,MATCH(TEXT($I109,"yyyy-mm-dd")&amp;"|"&amp;""&amp;"|",'CALENDARIO'!$G$15:$G$214,0)),IFERROR(INDEX('CALENDARIO'!$C$15:$C$214,MATCH(TEXT($I109,"yyyy-mm-dd")&amp;"||",'CALENDARIO'!$G$15:$G$214,0)),INDEX(patronHabil,WEEKDAY($I109,2)))))</f>
        <v/>
      </c>
    </row>
    <row r="110">
      <c r="A110" s="44" t="n"/>
      <c r="B110" s="4" t="n"/>
      <c r="C110" s="4" t="n"/>
      <c r="D110" s="4" t="n"/>
      <c r="E110" s="4" t="n"/>
      <c r="F110" s="4" t="n"/>
      <c r="G110" s="24">
        <f>IF($A110="","",TEXT($A110,"yyyy-mm-dd")&amp;"|"&amp;$D110&amp;"|"&amp;$E110)</f>
        <v/>
      </c>
      <c r="I110" s="41" t="n">
        <v>46128</v>
      </c>
      <c r="J110" s="24">
        <f>IFERROR(INDEX('CALENDARIO'!$C$15:$C$214,MATCH(TEXT($I110,"yyyy-mm-dd")&amp;"|"&amp;""&amp;"|"&amp;"",'CALENDARIO'!$G$15:$G$214,0)),IFERROR(INDEX('CALENDARIO'!$C$15:$C$214,MATCH(TEXT($I110,"yyyy-mm-dd")&amp;"|"&amp;""&amp;"|",'CALENDARIO'!$G$15:$G$214,0)),IFERROR(INDEX('CALENDARIO'!$C$15:$C$214,MATCH(TEXT($I110,"yyyy-mm-dd")&amp;"||",'CALENDARIO'!$G$15:$G$214,0)),INDEX(patronHabil,WEEKDAY($I110,2)))))</f>
        <v/>
      </c>
    </row>
    <row r="111">
      <c r="A111" s="44" t="n"/>
      <c r="B111" s="4" t="n"/>
      <c r="C111" s="4" t="n"/>
      <c r="D111" s="4" t="n"/>
      <c r="E111" s="4" t="n"/>
      <c r="F111" s="4" t="n"/>
      <c r="G111" s="24">
        <f>IF($A111="","",TEXT($A111,"yyyy-mm-dd")&amp;"|"&amp;$D111&amp;"|"&amp;$E111)</f>
        <v/>
      </c>
      <c r="I111" s="41" t="n">
        <v>46129</v>
      </c>
      <c r="J111" s="24">
        <f>IFERROR(INDEX('CALENDARIO'!$C$15:$C$214,MATCH(TEXT($I111,"yyyy-mm-dd")&amp;"|"&amp;""&amp;"|"&amp;"",'CALENDARIO'!$G$15:$G$214,0)),IFERROR(INDEX('CALENDARIO'!$C$15:$C$214,MATCH(TEXT($I111,"yyyy-mm-dd")&amp;"|"&amp;""&amp;"|",'CALENDARIO'!$G$15:$G$214,0)),IFERROR(INDEX('CALENDARIO'!$C$15:$C$214,MATCH(TEXT($I111,"yyyy-mm-dd")&amp;"||",'CALENDARIO'!$G$15:$G$214,0)),INDEX(patronHabil,WEEKDAY($I111,2)))))</f>
        <v/>
      </c>
    </row>
    <row r="112">
      <c r="A112" s="44" t="n"/>
      <c r="B112" s="4" t="n"/>
      <c r="C112" s="4" t="n"/>
      <c r="D112" s="4" t="n"/>
      <c r="E112" s="4" t="n"/>
      <c r="F112" s="4" t="n"/>
      <c r="G112" s="24">
        <f>IF($A112="","",TEXT($A112,"yyyy-mm-dd")&amp;"|"&amp;$D112&amp;"|"&amp;$E112)</f>
        <v/>
      </c>
      <c r="I112" s="41" t="n">
        <v>46130</v>
      </c>
      <c r="J112" s="24">
        <f>IFERROR(INDEX('CALENDARIO'!$C$15:$C$214,MATCH(TEXT($I112,"yyyy-mm-dd")&amp;"|"&amp;""&amp;"|"&amp;"",'CALENDARIO'!$G$15:$G$214,0)),IFERROR(INDEX('CALENDARIO'!$C$15:$C$214,MATCH(TEXT($I112,"yyyy-mm-dd")&amp;"|"&amp;""&amp;"|",'CALENDARIO'!$G$15:$G$214,0)),IFERROR(INDEX('CALENDARIO'!$C$15:$C$214,MATCH(TEXT($I112,"yyyy-mm-dd")&amp;"||",'CALENDARIO'!$G$15:$G$214,0)),INDEX(patronHabil,WEEKDAY($I112,2)))))</f>
        <v/>
      </c>
    </row>
    <row r="113">
      <c r="A113" s="44" t="n"/>
      <c r="B113" s="4" t="n"/>
      <c r="C113" s="4" t="n"/>
      <c r="D113" s="4" t="n"/>
      <c r="E113" s="4" t="n"/>
      <c r="F113" s="4" t="n"/>
      <c r="G113" s="24">
        <f>IF($A113="","",TEXT($A113,"yyyy-mm-dd")&amp;"|"&amp;$D113&amp;"|"&amp;$E113)</f>
        <v/>
      </c>
      <c r="I113" s="41" t="n">
        <v>46131</v>
      </c>
      <c r="J113" s="24">
        <f>IFERROR(INDEX('CALENDARIO'!$C$15:$C$214,MATCH(TEXT($I113,"yyyy-mm-dd")&amp;"|"&amp;""&amp;"|"&amp;"",'CALENDARIO'!$G$15:$G$214,0)),IFERROR(INDEX('CALENDARIO'!$C$15:$C$214,MATCH(TEXT($I113,"yyyy-mm-dd")&amp;"|"&amp;""&amp;"|",'CALENDARIO'!$G$15:$G$214,0)),IFERROR(INDEX('CALENDARIO'!$C$15:$C$214,MATCH(TEXT($I113,"yyyy-mm-dd")&amp;"||",'CALENDARIO'!$G$15:$G$214,0)),INDEX(patronHabil,WEEKDAY($I113,2)))))</f>
        <v/>
      </c>
    </row>
    <row r="114">
      <c r="A114" s="44" t="n"/>
      <c r="B114" s="4" t="n"/>
      <c r="C114" s="4" t="n"/>
      <c r="D114" s="4" t="n"/>
      <c r="E114" s="4" t="n"/>
      <c r="F114" s="4" t="n"/>
      <c r="G114" s="24">
        <f>IF($A114="","",TEXT($A114,"yyyy-mm-dd")&amp;"|"&amp;$D114&amp;"|"&amp;$E114)</f>
        <v/>
      </c>
      <c r="I114" s="41" t="n">
        <v>46132</v>
      </c>
      <c r="J114" s="24">
        <f>IFERROR(INDEX('CALENDARIO'!$C$15:$C$214,MATCH(TEXT($I114,"yyyy-mm-dd")&amp;"|"&amp;""&amp;"|"&amp;"",'CALENDARIO'!$G$15:$G$214,0)),IFERROR(INDEX('CALENDARIO'!$C$15:$C$214,MATCH(TEXT($I114,"yyyy-mm-dd")&amp;"|"&amp;""&amp;"|",'CALENDARIO'!$G$15:$G$214,0)),IFERROR(INDEX('CALENDARIO'!$C$15:$C$214,MATCH(TEXT($I114,"yyyy-mm-dd")&amp;"||",'CALENDARIO'!$G$15:$G$214,0)),INDEX(patronHabil,WEEKDAY($I114,2)))))</f>
        <v/>
      </c>
    </row>
    <row r="115">
      <c r="A115" s="44" t="n"/>
      <c r="B115" s="4" t="n"/>
      <c r="C115" s="4" t="n"/>
      <c r="D115" s="4" t="n"/>
      <c r="E115" s="4" t="n"/>
      <c r="F115" s="4" t="n"/>
      <c r="G115" s="24">
        <f>IF($A115="","",TEXT($A115,"yyyy-mm-dd")&amp;"|"&amp;$D115&amp;"|"&amp;$E115)</f>
        <v/>
      </c>
      <c r="I115" s="41" t="n">
        <v>46133</v>
      </c>
      <c r="J115" s="24">
        <f>IFERROR(INDEX('CALENDARIO'!$C$15:$C$214,MATCH(TEXT($I115,"yyyy-mm-dd")&amp;"|"&amp;""&amp;"|"&amp;"",'CALENDARIO'!$G$15:$G$214,0)),IFERROR(INDEX('CALENDARIO'!$C$15:$C$214,MATCH(TEXT($I115,"yyyy-mm-dd")&amp;"|"&amp;""&amp;"|",'CALENDARIO'!$G$15:$G$214,0)),IFERROR(INDEX('CALENDARIO'!$C$15:$C$214,MATCH(TEXT($I115,"yyyy-mm-dd")&amp;"||",'CALENDARIO'!$G$15:$G$214,0)),INDEX(patronHabil,WEEKDAY($I115,2)))))</f>
        <v/>
      </c>
    </row>
    <row r="116">
      <c r="A116" s="44" t="n"/>
      <c r="B116" s="4" t="n"/>
      <c r="C116" s="4" t="n"/>
      <c r="D116" s="4" t="n"/>
      <c r="E116" s="4" t="n"/>
      <c r="F116" s="4" t="n"/>
      <c r="G116" s="24">
        <f>IF($A116="","",TEXT($A116,"yyyy-mm-dd")&amp;"|"&amp;$D116&amp;"|"&amp;$E116)</f>
        <v/>
      </c>
      <c r="I116" s="41" t="n">
        <v>46134</v>
      </c>
      <c r="J116" s="24">
        <f>IFERROR(INDEX('CALENDARIO'!$C$15:$C$214,MATCH(TEXT($I116,"yyyy-mm-dd")&amp;"|"&amp;""&amp;"|"&amp;"",'CALENDARIO'!$G$15:$G$214,0)),IFERROR(INDEX('CALENDARIO'!$C$15:$C$214,MATCH(TEXT($I116,"yyyy-mm-dd")&amp;"|"&amp;""&amp;"|",'CALENDARIO'!$G$15:$G$214,0)),IFERROR(INDEX('CALENDARIO'!$C$15:$C$214,MATCH(TEXT($I116,"yyyy-mm-dd")&amp;"||",'CALENDARIO'!$G$15:$G$214,0)),INDEX(patronHabil,WEEKDAY($I116,2)))))</f>
        <v/>
      </c>
    </row>
    <row r="117">
      <c r="A117" s="44" t="n"/>
      <c r="B117" s="4" t="n"/>
      <c r="C117" s="4" t="n"/>
      <c r="D117" s="4" t="n"/>
      <c r="E117" s="4" t="n"/>
      <c r="F117" s="4" t="n"/>
      <c r="G117" s="24">
        <f>IF($A117="","",TEXT($A117,"yyyy-mm-dd")&amp;"|"&amp;$D117&amp;"|"&amp;$E117)</f>
        <v/>
      </c>
      <c r="I117" s="41" t="n">
        <v>46135</v>
      </c>
      <c r="J117" s="24">
        <f>IFERROR(INDEX('CALENDARIO'!$C$15:$C$214,MATCH(TEXT($I117,"yyyy-mm-dd")&amp;"|"&amp;""&amp;"|"&amp;"",'CALENDARIO'!$G$15:$G$214,0)),IFERROR(INDEX('CALENDARIO'!$C$15:$C$214,MATCH(TEXT($I117,"yyyy-mm-dd")&amp;"|"&amp;""&amp;"|",'CALENDARIO'!$G$15:$G$214,0)),IFERROR(INDEX('CALENDARIO'!$C$15:$C$214,MATCH(TEXT($I117,"yyyy-mm-dd")&amp;"||",'CALENDARIO'!$G$15:$G$214,0)),INDEX(patronHabil,WEEKDAY($I117,2)))))</f>
        <v/>
      </c>
    </row>
    <row r="118">
      <c r="A118" s="44" t="n"/>
      <c r="B118" s="4" t="n"/>
      <c r="C118" s="4" t="n"/>
      <c r="D118" s="4" t="n"/>
      <c r="E118" s="4" t="n"/>
      <c r="F118" s="4" t="n"/>
      <c r="G118" s="24">
        <f>IF($A118="","",TEXT($A118,"yyyy-mm-dd")&amp;"|"&amp;$D118&amp;"|"&amp;$E118)</f>
        <v/>
      </c>
      <c r="I118" s="41" t="n">
        <v>46136</v>
      </c>
      <c r="J118" s="24">
        <f>IFERROR(INDEX('CALENDARIO'!$C$15:$C$214,MATCH(TEXT($I118,"yyyy-mm-dd")&amp;"|"&amp;""&amp;"|"&amp;"",'CALENDARIO'!$G$15:$G$214,0)),IFERROR(INDEX('CALENDARIO'!$C$15:$C$214,MATCH(TEXT($I118,"yyyy-mm-dd")&amp;"|"&amp;""&amp;"|",'CALENDARIO'!$G$15:$G$214,0)),IFERROR(INDEX('CALENDARIO'!$C$15:$C$214,MATCH(TEXT($I118,"yyyy-mm-dd")&amp;"||",'CALENDARIO'!$G$15:$G$214,0)),INDEX(patronHabil,WEEKDAY($I118,2)))))</f>
        <v/>
      </c>
    </row>
    <row r="119">
      <c r="A119" s="44" t="n"/>
      <c r="B119" s="4" t="n"/>
      <c r="C119" s="4" t="n"/>
      <c r="D119" s="4" t="n"/>
      <c r="E119" s="4" t="n"/>
      <c r="F119" s="4" t="n"/>
      <c r="G119" s="24">
        <f>IF($A119="","",TEXT($A119,"yyyy-mm-dd")&amp;"|"&amp;$D119&amp;"|"&amp;$E119)</f>
        <v/>
      </c>
      <c r="I119" s="41" t="n">
        <v>46137</v>
      </c>
      <c r="J119" s="24">
        <f>IFERROR(INDEX('CALENDARIO'!$C$15:$C$214,MATCH(TEXT($I119,"yyyy-mm-dd")&amp;"|"&amp;""&amp;"|"&amp;"",'CALENDARIO'!$G$15:$G$214,0)),IFERROR(INDEX('CALENDARIO'!$C$15:$C$214,MATCH(TEXT($I119,"yyyy-mm-dd")&amp;"|"&amp;""&amp;"|",'CALENDARIO'!$G$15:$G$214,0)),IFERROR(INDEX('CALENDARIO'!$C$15:$C$214,MATCH(TEXT($I119,"yyyy-mm-dd")&amp;"||",'CALENDARIO'!$G$15:$G$214,0)),INDEX(patronHabil,WEEKDAY($I119,2)))))</f>
        <v/>
      </c>
    </row>
    <row r="120">
      <c r="A120" s="44" t="n"/>
      <c r="B120" s="4" t="n"/>
      <c r="C120" s="4" t="n"/>
      <c r="D120" s="4" t="n"/>
      <c r="E120" s="4" t="n"/>
      <c r="F120" s="4" t="n"/>
      <c r="G120" s="24">
        <f>IF($A120="","",TEXT($A120,"yyyy-mm-dd")&amp;"|"&amp;$D120&amp;"|"&amp;$E120)</f>
        <v/>
      </c>
      <c r="I120" s="41" t="n">
        <v>46138</v>
      </c>
      <c r="J120" s="24">
        <f>IFERROR(INDEX('CALENDARIO'!$C$15:$C$214,MATCH(TEXT($I120,"yyyy-mm-dd")&amp;"|"&amp;""&amp;"|"&amp;"",'CALENDARIO'!$G$15:$G$214,0)),IFERROR(INDEX('CALENDARIO'!$C$15:$C$214,MATCH(TEXT($I120,"yyyy-mm-dd")&amp;"|"&amp;""&amp;"|",'CALENDARIO'!$G$15:$G$214,0)),IFERROR(INDEX('CALENDARIO'!$C$15:$C$214,MATCH(TEXT($I120,"yyyy-mm-dd")&amp;"||",'CALENDARIO'!$G$15:$G$214,0)),INDEX(patronHabil,WEEKDAY($I120,2)))))</f>
        <v/>
      </c>
    </row>
    <row r="121">
      <c r="A121" s="44" t="n"/>
      <c r="B121" s="4" t="n"/>
      <c r="C121" s="4" t="n"/>
      <c r="D121" s="4" t="n"/>
      <c r="E121" s="4" t="n"/>
      <c r="F121" s="4" t="n"/>
      <c r="G121" s="24">
        <f>IF($A121="","",TEXT($A121,"yyyy-mm-dd")&amp;"|"&amp;$D121&amp;"|"&amp;$E121)</f>
        <v/>
      </c>
      <c r="I121" s="41" t="n">
        <v>46139</v>
      </c>
      <c r="J121" s="24">
        <f>IFERROR(INDEX('CALENDARIO'!$C$15:$C$214,MATCH(TEXT($I121,"yyyy-mm-dd")&amp;"|"&amp;""&amp;"|"&amp;"",'CALENDARIO'!$G$15:$G$214,0)),IFERROR(INDEX('CALENDARIO'!$C$15:$C$214,MATCH(TEXT($I121,"yyyy-mm-dd")&amp;"|"&amp;""&amp;"|",'CALENDARIO'!$G$15:$G$214,0)),IFERROR(INDEX('CALENDARIO'!$C$15:$C$214,MATCH(TEXT($I121,"yyyy-mm-dd")&amp;"||",'CALENDARIO'!$G$15:$G$214,0)),INDEX(patronHabil,WEEKDAY($I121,2)))))</f>
        <v/>
      </c>
    </row>
    <row r="122">
      <c r="A122" s="44" t="n"/>
      <c r="B122" s="4" t="n"/>
      <c r="C122" s="4" t="n"/>
      <c r="D122" s="4" t="n"/>
      <c r="E122" s="4" t="n"/>
      <c r="F122" s="4" t="n"/>
      <c r="G122" s="24">
        <f>IF($A122="","",TEXT($A122,"yyyy-mm-dd")&amp;"|"&amp;$D122&amp;"|"&amp;$E122)</f>
        <v/>
      </c>
      <c r="I122" s="41" t="n">
        <v>46140</v>
      </c>
      <c r="J122" s="24">
        <f>IFERROR(INDEX('CALENDARIO'!$C$15:$C$214,MATCH(TEXT($I122,"yyyy-mm-dd")&amp;"|"&amp;""&amp;"|"&amp;"",'CALENDARIO'!$G$15:$G$214,0)),IFERROR(INDEX('CALENDARIO'!$C$15:$C$214,MATCH(TEXT($I122,"yyyy-mm-dd")&amp;"|"&amp;""&amp;"|",'CALENDARIO'!$G$15:$G$214,0)),IFERROR(INDEX('CALENDARIO'!$C$15:$C$214,MATCH(TEXT($I122,"yyyy-mm-dd")&amp;"||",'CALENDARIO'!$G$15:$G$214,0)),INDEX(patronHabil,WEEKDAY($I122,2)))))</f>
        <v/>
      </c>
    </row>
    <row r="123">
      <c r="A123" s="44" t="n"/>
      <c r="B123" s="4" t="n"/>
      <c r="C123" s="4" t="n"/>
      <c r="D123" s="4" t="n"/>
      <c r="E123" s="4" t="n"/>
      <c r="F123" s="4" t="n"/>
      <c r="G123" s="24">
        <f>IF($A123="","",TEXT($A123,"yyyy-mm-dd")&amp;"|"&amp;$D123&amp;"|"&amp;$E123)</f>
        <v/>
      </c>
      <c r="I123" s="41" t="n">
        <v>46141</v>
      </c>
      <c r="J123" s="24">
        <f>IFERROR(INDEX('CALENDARIO'!$C$15:$C$214,MATCH(TEXT($I123,"yyyy-mm-dd")&amp;"|"&amp;""&amp;"|"&amp;"",'CALENDARIO'!$G$15:$G$214,0)),IFERROR(INDEX('CALENDARIO'!$C$15:$C$214,MATCH(TEXT($I123,"yyyy-mm-dd")&amp;"|"&amp;""&amp;"|",'CALENDARIO'!$G$15:$G$214,0)),IFERROR(INDEX('CALENDARIO'!$C$15:$C$214,MATCH(TEXT($I123,"yyyy-mm-dd")&amp;"||",'CALENDARIO'!$G$15:$G$214,0)),INDEX(patronHabil,WEEKDAY($I123,2)))))</f>
        <v/>
      </c>
    </row>
    <row r="124">
      <c r="A124" s="44" t="n"/>
      <c r="B124" s="4" t="n"/>
      <c r="C124" s="4" t="n"/>
      <c r="D124" s="4" t="n"/>
      <c r="E124" s="4" t="n"/>
      <c r="F124" s="4" t="n"/>
      <c r="G124" s="24">
        <f>IF($A124="","",TEXT($A124,"yyyy-mm-dd")&amp;"|"&amp;$D124&amp;"|"&amp;$E124)</f>
        <v/>
      </c>
      <c r="I124" s="41" t="n">
        <v>46142</v>
      </c>
      <c r="J124" s="24">
        <f>IFERROR(INDEX('CALENDARIO'!$C$15:$C$214,MATCH(TEXT($I124,"yyyy-mm-dd")&amp;"|"&amp;""&amp;"|"&amp;"",'CALENDARIO'!$G$15:$G$214,0)),IFERROR(INDEX('CALENDARIO'!$C$15:$C$214,MATCH(TEXT($I124,"yyyy-mm-dd")&amp;"|"&amp;""&amp;"|",'CALENDARIO'!$G$15:$G$214,0)),IFERROR(INDEX('CALENDARIO'!$C$15:$C$214,MATCH(TEXT($I124,"yyyy-mm-dd")&amp;"||",'CALENDARIO'!$G$15:$G$214,0)),INDEX(patronHabil,WEEKDAY($I124,2)))))</f>
        <v/>
      </c>
    </row>
    <row r="125">
      <c r="A125" s="44" t="n"/>
      <c r="B125" s="4" t="n"/>
      <c r="C125" s="4" t="n"/>
      <c r="D125" s="4" t="n"/>
      <c r="E125" s="4" t="n"/>
      <c r="F125" s="4" t="n"/>
      <c r="G125" s="24">
        <f>IF($A125="","",TEXT($A125,"yyyy-mm-dd")&amp;"|"&amp;$D125&amp;"|"&amp;$E125)</f>
        <v/>
      </c>
      <c r="I125" s="41" t="n">
        <v>46143</v>
      </c>
      <c r="J125" s="24">
        <f>IFERROR(INDEX('CALENDARIO'!$C$15:$C$214,MATCH(TEXT($I125,"yyyy-mm-dd")&amp;"|"&amp;""&amp;"|"&amp;"",'CALENDARIO'!$G$15:$G$214,0)),IFERROR(INDEX('CALENDARIO'!$C$15:$C$214,MATCH(TEXT($I125,"yyyy-mm-dd")&amp;"|"&amp;""&amp;"|",'CALENDARIO'!$G$15:$G$214,0)),IFERROR(INDEX('CALENDARIO'!$C$15:$C$214,MATCH(TEXT($I125,"yyyy-mm-dd")&amp;"||",'CALENDARIO'!$G$15:$G$214,0)),INDEX(patronHabil,WEEKDAY($I125,2)))))</f>
        <v/>
      </c>
    </row>
    <row r="126">
      <c r="A126" s="44" t="n"/>
      <c r="B126" s="4" t="n"/>
      <c r="C126" s="4" t="n"/>
      <c r="D126" s="4" t="n"/>
      <c r="E126" s="4" t="n"/>
      <c r="F126" s="4" t="n"/>
      <c r="G126" s="24">
        <f>IF($A126="","",TEXT($A126,"yyyy-mm-dd")&amp;"|"&amp;$D126&amp;"|"&amp;$E126)</f>
        <v/>
      </c>
      <c r="I126" s="41" t="n">
        <v>46144</v>
      </c>
      <c r="J126" s="24">
        <f>IFERROR(INDEX('CALENDARIO'!$C$15:$C$214,MATCH(TEXT($I126,"yyyy-mm-dd")&amp;"|"&amp;""&amp;"|"&amp;"",'CALENDARIO'!$G$15:$G$214,0)),IFERROR(INDEX('CALENDARIO'!$C$15:$C$214,MATCH(TEXT($I126,"yyyy-mm-dd")&amp;"|"&amp;""&amp;"|",'CALENDARIO'!$G$15:$G$214,0)),IFERROR(INDEX('CALENDARIO'!$C$15:$C$214,MATCH(TEXT($I126,"yyyy-mm-dd")&amp;"||",'CALENDARIO'!$G$15:$G$214,0)),INDEX(patronHabil,WEEKDAY($I126,2)))))</f>
        <v/>
      </c>
    </row>
    <row r="127">
      <c r="A127" s="44" t="n"/>
      <c r="B127" s="4" t="n"/>
      <c r="C127" s="4" t="n"/>
      <c r="D127" s="4" t="n"/>
      <c r="E127" s="4" t="n"/>
      <c r="F127" s="4" t="n"/>
      <c r="G127" s="24">
        <f>IF($A127="","",TEXT($A127,"yyyy-mm-dd")&amp;"|"&amp;$D127&amp;"|"&amp;$E127)</f>
        <v/>
      </c>
      <c r="I127" s="41" t="n">
        <v>46145</v>
      </c>
      <c r="J127" s="24">
        <f>IFERROR(INDEX('CALENDARIO'!$C$15:$C$214,MATCH(TEXT($I127,"yyyy-mm-dd")&amp;"|"&amp;""&amp;"|"&amp;"",'CALENDARIO'!$G$15:$G$214,0)),IFERROR(INDEX('CALENDARIO'!$C$15:$C$214,MATCH(TEXT($I127,"yyyy-mm-dd")&amp;"|"&amp;""&amp;"|",'CALENDARIO'!$G$15:$G$214,0)),IFERROR(INDEX('CALENDARIO'!$C$15:$C$214,MATCH(TEXT($I127,"yyyy-mm-dd")&amp;"||",'CALENDARIO'!$G$15:$G$214,0)),INDEX(patronHabil,WEEKDAY($I127,2)))))</f>
        <v/>
      </c>
    </row>
    <row r="128">
      <c r="A128" s="44" t="n"/>
      <c r="B128" s="4" t="n"/>
      <c r="C128" s="4" t="n"/>
      <c r="D128" s="4" t="n"/>
      <c r="E128" s="4" t="n"/>
      <c r="F128" s="4" t="n"/>
      <c r="G128" s="24">
        <f>IF($A128="","",TEXT($A128,"yyyy-mm-dd")&amp;"|"&amp;$D128&amp;"|"&amp;$E128)</f>
        <v/>
      </c>
      <c r="I128" s="41" t="n">
        <v>46146</v>
      </c>
      <c r="J128" s="24">
        <f>IFERROR(INDEX('CALENDARIO'!$C$15:$C$214,MATCH(TEXT($I128,"yyyy-mm-dd")&amp;"|"&amp;""&amp;"|"&amp;"",'CALENDARIO'!$G$15:$G$214,0)),IFERROR(INDEX('CALENDARIO'!$C$15:$C$214,MATCH(TEXT($I128,"yyyy-mm-dd")&amp;"|"&amp;""&amp;"|",'CALENDARIO'!$G$15:$G$214,0)),IFERROR(INDEX('CALENDARIO'!$C$15:$C$214,MATCH(TEXT($I128,"yyyy-mm-dd")&amp;"||",'CALENDARIO'!$G$15:$G$214,0)),INDEX(patronHabil,WEEKDAY($I128,2)))))</f>
        <v/>
      </c>
    </row>
    <row r="129">
      <c r="A129" s="44" t="n"/>
      <c r="B129" s="4" t="n"/>
      <c r="C129" s="4" t="n"/>
      <c r="D129" s="4" t="n"/>
      <c r="E129" s="4" t="n"/>
      <c r="F129" s="4" t="n"/>
      <c r="G129" s="24">
        <f>IF($A129="","",TEXT($A129,"yyyy-mm-dd")&amp;"|"&amp;$D129&amp;"|"&amp;$E129)</f>
        <v/>
      </c>
      <c r="I129" s="41" t="n">
        <v>46147</v>
      </c>
      <c r="J129" s="24">
        <f>IFERROR(INDEX('CALENDARIO'!$C$15:$C$214,MATCH(TEXT($I129,"yyyy-mm-dd")&amp;"|"&amp;""&amp;"|"&amp;"",'CALENDARIO'!$G$15:$G$214,0)),IFERROR(INDEX('CALENDARIO'!$C$15:$C$214,MATCH(TEXT($I129,"yyyy-mm-dd")&amp;"|"&amp;""&amp;"|",'CALENDARIO'!$G$15:$G$214,0)),IFERROR(INDEX('CALENDARIO'!$C$15:$C$214,MATCH(TEXT($I129,"yyyy-mm-dd")&amp;"||",'CALENDARIO'!$G$15:$G$214,0)),INDEX(patronHabil,WEEKDAY($I129,2)))))</f>
        <v/>
      </c>
    </row>
    <row r="130">
      <c r="A130" s="44" t="n"/>
      <c r="B130" s="4" t="n"/>
      <c r="C130" s="4" t="n"/>
      <c r="D130" s="4" t="n"/>
      <c r="E130" s="4" t="n"/>
      <c r="F130" s="4" t="n"/>
      <c r="G130" s="24">
        <f>IF($A130="","",TEXT($A130,"yyyy-mm-dd")&amp;"|"&amp;$D130&amp;"|"&amp;$E130)</f>
        <v/>
      </c>
      <c r="I130" s="41" t="n">
        <v>46148</v>
      </c>
      <c r="J130" s="24">
        <f>IFERROR(INDEX('CALENDARIO'!$C$15:$C$214,MATCH(TEXT($I130,"yyyy-mm-dd")&amp;"|"&amp;""&amp;"|"&amp;"",'CALENDARIO'!$G$15:$G$214,0)),IFERROR(INDEX('CALENDARIO'!$C$15:$C$214,MATCH(TEXT($I130,"yyyy-mm-dd")&amp;"|"&amp;""&amp;"|",'CALENDARIO'!$G$15:$G$214,0)),IFERROR(INDEX('CALENDARIO'!$C$15:$C$214,MATCH(TEXT($I130,"yyyy-mm-dd")&amp;"||",'CALENDARIO'!$G$15:$G$214,0)),INDEX(patronHabil,WEEKDAY($I130,2)))))</f>
        <v/>
      </c>
    </row>
    <row r="131">
      <c r="A131" s="44" t="n"/>
      <c r="B131" s="4" t="n"/>
      <c r="C131" s="4" t="n"/>
      <c r="D131" s="4" t="n"/>
      <c r="E131" s="4" t="n"/>
      <c r="F131" s="4" t="n"/>
      <c r="G131" s="24">
        <f>IF($A131="","",TEXT($A131,"yyyy-mm-dd")&amp;"|"&amp;$D131&amp;"|"&amp;$E131)</f>
        <v/>
      </c>
      <c r="I131" s="41" t="n">
        <v>46149</v>
      </c>
      <c r="J131" s="24">
        <f>IFERROR(INDEX('CALENDARIO'!$C$15:$C$214,MATCH(TEXT($I131,"yyyy-mm-dd")&amp;"|"&amp;""&amp;"|"&amp;"",'CALENDARIO'!$G$15:$G$214,0)),IFERROR(INDEX('CALENDARIO'!$C$15:$C$214,MATCH(TEXT($I131,"yyyy-mm-dd")&amp;"|"&amp;""&amp;"|",'CALENDARIO'!$G$15:$G$214,0)),IFERROR(INDEX('CALENDARIO'!$C$15:$C$214,MATCH(TEXT($I131,"yyyy-mm-dd")&amp;"||",'CALENDARIO'!$G$15:$G$214,0)),INDEX(patronHabil,WEEKDAY($I131,2)))))</f>
        <v/>
      </c>
    </row>
    <row r="132">
      <c r="A132" s="44" t="n"/>
      <c r="B132" s="4" t="n"/>
      <c r="C132" s="4" t="n"/>
      <c r="D132" s="4" t="n"/>
      <c r="E132" s="4" t="n"/>
      <c r="F132" s="4" t="n"/>
      <c r="G132" s="24">
        <f>IF($A132="","",TEXT($A132,"yyyy-mm-dd")&amp;"|"&amp;$D132&amp;"|"&amp;$E132)</f>
        <v/>
      </c>
      <c r="I132" s="41" t="n">
        <v>46150</v>
      </c>
      <c r="J132" s="24">
        <f>IFERROR(INDEX('CALENDARIO'!$C$15:$C$214,MATCH(TEXT($I132,"yyyy-mm-dd")&amp;"|"&amp;""&amp;"|"&amp;"",'CALENDARIO'!$G$15:$G$214,0)),IFERROR(INDEX('CALENDARIO'!$C$15:$C$214,MATCH(TEXT($I132,"yyyy-mm-dd")&amp;"|"&amp;""&amp;"|",'CALENDARIO'!$G$15:$G$214,0)),IFERROR(INDEX('CALENDARIO'!$C$15:$C$214,MATCH(TEXT($I132,"yyyy-mm-dd")&amp;"||",'CALENDARIO'!$G$15:$G$214,0)),INDEX(patronHabil,WEEKDAY($I132,2)))))</f>
        <v/>
      </c>
    </row>
    <row r="133">
      <c r="A133" s="44" t="n"/>
      <c r="B133" s="4" t="n"/>
      <c r="C133" s="4" t="n"/>
      <c r="D133" s="4" t="n"/>
      <c r="E133" s="4" t="n"/>
      <c r="F133" s="4" t="n"/>
      <c r="G133" s="24">
        <f>IF($A133="","",TEXT($A133,"yyyy-mm-dd")&amp;"|"&amp;$D133&amp;"|"&amp;$E133)</f>
        <v/>
      </c>
      <c r="I133" s="41" t="n">
        <v>46151</v>
      </c>
      <c r="J133" s="24">
        <f>IFERROR(INDEX('CALENDARIO'!$C$15:$C$214,MATCH(TEXT($I133,"yyyy-mm-dd")&amp;"|"&amp;""&amp;"|"&amp;"",'CALENDARIO'!$G$15:$G$214,0)),IFERROR(INDEX('CALENDARIO'!$C$15:$C$214,MATCH(TEXT($I133,"yyyy-mm-dd")&amp;"|"&amp;""&amp;"|",'CALENDARIO'!$G$15:$G$214,0)),IFERROR(INDEX('CALENDARIO'!$C$15:$C$214,MATCH(TEXT($I133,"yyyy-mm-dd")&amp;"||",'CALENDARIO'!$G$15:$G$214,0)),INDEX(patronHabil,WEEKDAY($I133,2)))))</f>
        <v/>
      </c>
    </row>
    <row r="134">
      <c r="A134" s="44" t="n"/>
      <c r="B134" s="4" t="n"/>
      <c r="C134" s="4" t="n"/>
      <c r="D134" s="4" t="n"/>
      <c r="E134" s="4" t="n"/>
      <c r="F134" s="4" t="n"/>
      <c r="G134" s="24">
        <f>IF($A134="","",TEXT($A134,"yyyy-mm-dd")&amp;"|"&amp;$D134&amp;"|"&amp;$E134)</f>
        <v/>
      </c>
      <c r="I134" s="41" t="n">
        <v>46152</v>
      </c>
      <c r="J134" s="24">
        <f>IFERROR(INDEX('CALENDARIO'!$C$15:$C$214,MATCH(TEXT($I134,"yyyy-mm-dd")&amp;"|"&amp;""&amp;"|"&amp;"",'CALENDARIO'!$G$15:$G$214,0)),IFERROR(INDEX('CALENDARIO'!$C$15:$C$214,MATCH(TEXT($I134,"yyyy-mm-dd")&amp;"|"&amp;""&amp;"|",'CALENDARIO'!$G$15:$G$214,0)),IFERROR(INDEX('CALENDARIO'!$C$15:$C$214,MATCH(TEXT($I134,"yyyy-mm-dd")&amp;"||",'CALENDARIO'!$G$15:$G$214,0)),INDEX(patronHabil,WEEKDAY($I134,2)))))</f>
        <v/>
      </c>
    </row>
    <row r="135">
      <c r="A135" s="44" t="n"/>
      <c r="B135" s="4" t="n"/>
      <c r="C135" s="4" t="n"/>
      <c r="D135" s="4" t="n"/>
      <c r="E135" s="4" t="n"/>
      <c r="F135" s="4" t="n"/>
      <c r="G135" s="24">
        <f>IF($A135="","",TEXT($A135,"yyyy-mm-dd")&amp;"|"&amp;$D135&amp;"|"&amp;$E135)</f>
        <v/>
      </c>
      <c r="I135" s="41" t="n">
        <v>46153</v>
      </c>
      <c r="J135" s="24">
        <f>IFERROR(INDEX('CALENDARIO'!$C$15:$C$214,MATCH(TEXT($I135,"yyyy-mm-dd")&amp;"|"&amp;""&amp;"|"&amp;"",'CALENDARIO'!$G$15:$G$214,0)),IFERROR(INDEX('CALENDARIO'!$C$15:$C$214,MATCH(TEXT($I135,"yyyy-mm-dd")&amp;"|"&amp;""&amp;"|",'CALENDARIO'!$G$15:$G$214,0)),IFERROR(INDEX('CALENDARIO'!$C$15:$C$214,MATCH(TEXT($I135,"yyyy-mm-dd")&amp;"||",'CALENDARIO'!$G$15:$G$214,0)),INDEX(patronHabil,WEEKDAY($I135,2)))))</f>
        <v/>
      </c>
    </row>
    <row r="136">
      <c r="A136" s="44" t="n"/>
      <c r="B136" s="4" t="n"/>
      <c r="C136" s="4" t="n"/>
      <c r="D136" s="4" t="n"/>
      <c r="E136" s="4" t="n"/>
      <c r="F136" s="4" t="n"/>
      <c r="G136" s="24">
        <f>IF($A136="","",TEXT($A136,"yyyy-mm-dd")&amp;"|"&amp;$D136&amp;"|"&amp;$E136)</f>
        <v/>
      </c>
      <c r="I136" s="41" t="n">
        <v>46154</v>
      </c>
      <c r="J136" s="24">
        <f>IFERROR(INDEX('CALENDARIO'!$C$15:$C$214,MATCH(TEXT($I136,"yyyy-mm-dd")&amp;"|"&amp;""&amp;"|"&amp;"",'CALENDARIO'!$G$15:$G$214,0)),IFERROR(INDEX('CALENDARIO'!$C$15:$C$214,MATCH(TEXT($I136,"yyyy-mm-dd")&amp;"|"&amp;""&amp;"|",'CALENDARIO'!$G$15:$G$214,0)),IFERROR(INDEX('CALENDARIO'!$C$15:$C$214,MATCH(TEXT($I136,"yyyy-mm-dd")&amp;"||",'CALENDARIO'!$G$15:$G$214,0)),INDEX(patronHabil,WEEKDAY($I136,2)))))</f>
        <v/>
      </c>
    </row>
    <row r="137">
      <c r="A137" s="44" t="n"/>
      <c r="B137" s="4" t="n"/>
      <c r="C137" s="4" t="n"/>
      <c r="D137" s="4" t="n"/>
      <c r="E137" s="4" t="n"/>
      <c r="F137" s="4" t="n"/>
      <c r="G137" s="24">
        <f>IF($A137="","",TEXT($A137,"yyyy-mm-dd")&amp;"|"&amp;$D137&amp;"|"&amp;$E137)</f>
        <v/>
      </c>
      <c r="I137" s="41" t="n">
        <v>46155</v>
      </c>
      <c r="J137" s="24">
        <f>IFERROR(INDEX('CALENDARIO'!$C$15:$C$214,MATCH(TEXT($I137,"yyyy-mm-dd")&amp;"|"&amp;""&amp;"|"&amp;"",'CALENDARIO'!$G$15:$G$214,0)),IFERROR(INDEX('CALENDARIO'!$C$15:$C$214,MATCH(TEXT($I137,"yyyy-mm-dd")&amp;"|"&amp;""&amp;"|",'CALENDARIO'!$G$15:$G$214,0)),IFERROR(INDEX('CALENDARIO'!$C$15:$C$214,MATCH(TEXT($I137,"yyyy-mm-dd")&amp;"||",'CALENDARIO'!$G$15:$G$214,0)),INDEX(patronHabil,WEEKDAY($I137,2)))))</f>
        <v/>
      </c>
    </row>
    <row r="138">
      <c r="A138" s="44" t="n"/>
      <c r="B138" s="4" t="n"/>
      <c r="C138" s="4" t="n"/>
      <c r="D138" s="4" t="n"/>
      <c r="E138" s="4" t="n"/>
      <c r="F138" s="4" t="n"/>
      <c r="G138" s="24">
        <f>IF($A138="","",TEXT($A138,"yyyy-mm-dd")&amp;"|"&amp;$D138&amp;"|"&amp;$E138)</f>
        <v/>
      </c>
      <c r="I138" s="41" t="n">
        <v>46156</v>
      </c>
      <c r="J138" s="24">
        <f>IFERROR(INDEX('CALENDARIO'!$C$15:$C$214,MATCH(TEXT($I138,"yyyy-mm-dd")&amp;"|"&amp;""&amp;"|"&amp;"",'CALENDARIO'!$G$15:$G$214,0)),IFERROR(INDEX('CALENDARIO'!$C$15:$C$214,MATCH(TEXT($I138,"yyyy-mm-dd")&amp;"|"&amp;""&amp;"|",'CALENDARIO'!$G$15:$G$214,0)),IFERROR(INDEX('CALENDARIO'!$C$15:$C$214,MATCH(TEXT($I138,"yyyy-mm-dd")&amp;"||",'CALENDARIO'!$G$15:$G$214,0)),INDEX(patronHabil,WEEKDAY($I138,2)))))</f>
        <v/>
      </c>
    </row>
    <row r="139">
      <c r="A139" s="44" t="n"/>
      <c r="B139" s="4" t="n"/>
      <c r="C139" s="4" t="n"/>
      <c r="D139" s="4" t="n"/>
      <c r="E139" s="4" t="n"/>
      <c r="F139" s="4" t="n"/>
      <c r="G139" s="24">
        <f>IF($A139="","",TEXT($A139,"yyyy-mm-dd")&amp;"|"&amp;$D139&amp;"|"&amp;$E139)</f>
        <v/>
      </c>
      <c r="I139" s="41" t="n">
        <v>46157</v>
      </c>
      <c r="J139" s="24">
        <f>IFERROR(INDEX('CALENDARIO'!$C$15:$C$214,MATCH(TEXT($I139,"yyyy-mm-dd")&amp;"|"&amp;""&amp;"|"&amp;"",'CALENDARIO'!$G$15:$G$214,0)),IFERROR(INDEX('CALENDARIO'!$C$15:$C$214,MATCH(TEXT($I139,"yyyy-mm-dd")&amp;"|"&amp;""&amp;"|",'CALENDARIO'!$G$15:$G$214,0)),IFERROR(INDEX('CALENDARIO'!$C$15:$C$214,MATCH(TEXT($I139,"yyyy-mm-dd")&amp;"||",'CALENDARIO'!$G$15:$G$214,0)),INDEX(patronHabil,WEEKDAY($I139,2)))))</f>
        <v/>
      </c>
    </row>
    <row r="140">
      <c r="A140" s="44" t="n"/>
      <c r="B140" s="4" t="n"/>
      <c r="C140" s="4" t="n"/>
      <c r="D140" s="4" t="n"/>
      <c r="E140" s="4" t="n"/>
      <c r="F140" s="4" t="n"/>
      <c r="G140" s="24">
        <f>IF($A140="","",TEXT($A140,"yyyy-mm-dd")&amp;"|"&amp;$D140&amp;"|"&amp;$E140)</f>
        <v/>
      </c>
      <c r="I140" s="41" t="n">
        <v>46158</v>
      </c>
      <c r="J140" s="24">
        <f>IFERROR(INDEX('CALENDARIO'!$C$15:$C$214,MATCH(TEXT($I140,"yyyy-mm-dd")&amp;"|"&amp;""&amp;"|"&amp;"",'CALENDARIO'!$G$15:$G$214,0)),IFERROR(INDEX('CALENDARIO'!$C$15:$C$214,MATCH(TEXT($I140,"yyyy-mm-dd")&amp;"|"&amp;""&amp;"|",'CALENDARIO'!$G$15:$G$214,0)),IFERROR(INDEX('CALENDARIO'!$C$15:$C$214,MATCH(TEXT($I140,"yyyy-mm-dd")&amp;"||",'CALENDARIO'!$G$15:$G$214,0)),INDEX(patronHabil,WEEKDAY($I140,2)))))</f>
        <v/>
      </c>
    </row>
    <row r="141">
      <c r="A141" s="44" t="n"/>
      <c r="B141" s="4" t="n"/>
      <c r="C141" s="4" t="n"/>
      <c r="D141" s="4" t="n"/>
      <c r="E141" s="4" t="n"/>
      <c r="F141" s="4" t="n"/>
      <c r="G141" s="24">
        <f>IF($A141="","",TEXT($A141,"yyyy-mm-dd")&amp;"|"&amp;$D141&amp;"|"&amp;$E141)</f>
        <v/>
      </c>
      <c r="I141" s="41" t="n">
        <v>46159</v>
      </c>
      <c r="J141" s="24">
        <f>IFERROR(INDEX('CALENDARIO'!$C$15:$C$214,MATCH(TEXT($I141,"yyyy-mm-dd")&amp;"|"&amp;""&amp;"|"&amp;"",'CALENDARIO'!$G$15:$G$214,0)),IFERROR(INDEX('CALENDARIO'!$C$15:$C$214,MATCH(TEXT($I141,"yyyy-mm-dd")&amp;"|"&amp;""&amp;"|",'CALENDARIO'!$G$15:$G$214,0)),IFERROR(INDEX('CALENDARIO'!$C$15:$C$214,MATCH(TEXT($I141,"yyyy-mm-dd")&amp;"||",'CALENDARIO'!$G$15:$G$214,0)),INDEX(patronHabil,WEEKDAY($I141,2)))))</f>
        <v/>
      </c>
    </row>
    <row r="142">
      <c r="A142" s="44" t="n"/>
      <c r="B142" s="4" t="n"/>
      <c r="C142" s="4" t="n"/>
      <c r="D142" s="4" t="n"/>
      <c r="E142" s="4" t="n"/>
      <c r="F142" s="4" t="n"/>
      <c r="G142" s="24">
        <f>IF($A142="","",TEXT($A142,"yyyy-mm-dd")&amp;"|"&amp;$D142&amp;"|"&amp;$E142)</f>
        <v/>
      </c>
      <c r="I142" s="41" t="n">
        <v>46160</v>
      </c>
      <c r="J142" s="24">
        <f>IFERROR(INDEX('CALENDARIO'!$C$15:$C$214,MATCH(TEXT($I142,"yyyy-mm-dd")&amp;"|"&amp;""&amp;"|"&amp;"",'CALENDARIO'!$G$15:$G$214,0)),IFERROR(INDEX('CALENDARIO'!$C$15:$C$214,MATCH(TEXT($I142,"yyyy-mm-dd")&amp;"|"&amp;""&amp;"|",'CALENDARIO'!$G$15:$G$214,0)),IFERROR(INDEX('CALENDARIO'!$C$15:$C$214,MATCH(TEXT($I142,"yyyy-mm-dd")&amp;"||",'CALENDARIO'!$G$15:$G$214,0)),INDEX(patronHabil,WEEKDAY($I142,2)))))</f>
        <v/>
      </c>
    </row>
    <row r="143">
      <c r="A143" s="44" t="n"/>
      <c r="B143" s="4" t="n"/>
      <c r="C143" s="4" t="n"/>
      <c r="D143" s="4" t="n"/>
      <c r="E143" s="4" t="n"/>
      <c r="F143" s="4" t="n"/>
      <c r="G143" s="24">
        <f>IF($A143="","",TEXT($A143,"yyyy-mm-dd")&amp;"|"&amp;$D143&amp;"|"&amp;$E143)</f>
        <v/>
      </c>
      <c r="I143" s="41" t="n">
        <v>46161</v>
      </c>
      <c r="J143" s="24">
        <f>IFERROR(INDEX('CALENDARIO'!$C$15:$C$214,MATCH(TEXT($I143,"yyyy-mm-dd")&amp;"|"&amp;""&amp;"|"&amp;"",'CALENDARIO'!$G$15:$G$214,0)),IFERROR(INDEX('CALENDARIO'!$C$15:$C$214,MATCH(TEXT($I143,"yyyy-mm-dd")&amp;"|"&amp;""&amp;"|",'CALENDARIO'!$G$15:$G$214,0)),IFERROR(INDEX('CALENDARIO'!$C$15:$C$214,MATCH(TEXT($I143,"yyyy-mm-dd")&amp;"||",'CALENDARIO'!$G$15:$G$214,0)),INDEX(patronHabil,WEEKDAY($I143,2)))))</f>
        <v/>
      </c>
    </row>
    <row r="144">
      <c r="A144" s="44" t="n"/>
      <c r="B144" s="4" t="n"/>
      <c r="C144" s="4" t="n"/>
      <c r="D144" s="4" t="n"/>
      <c r="E144" s="4" t="n"/>
      <c r="F144" s="4" t="n"/>
      <c r="G144" s="24">
        <f>IF($A144="","",TEXT($A144,"yyyy-mm-dd")&amp;"|"&amp;$D144&amp;"|"&amp;$E144)</f>
        <v/>
      </c>
      <c r="I144" s="41" t="n">
        <v>46162</v>
      </c>
      <c r="J144" s="24">
        <f>IFERROR(INDEX('CALENDARIO'!$C$15:$C$214,MATCH(TEXT($I144,"yyyy-mm-dd")&amp;"|"&amp;""&amp;"|"&amp;"",'CALENDARIO'!$G$15:$G$214,0)),IFERROR(INDEX('CALENDARIO'!$C$15:$C$214,MATCH(TEXT($I144,"yyyy-mm-dd")&amp;"|"&amp;""&amp;"|",'CALENDARIO'!$G$15:$G$214,0)),IFERROR(INDEX('CALENDARIO'!$C$15:$C$214,MATCH(TEXT($I144,"yyyy-mm-dd")&amp;"||",'CALENDARIO'!$G$15:$G$214,0)),INDEX(patronHabil,WEEKDAY($I144,2)))))</f>
        <v/>
      </c>
    </row>
    <row r="145">
      <c r="A145" s="44" t="n"/>
      <c r="B145" s="4" t="n"/>
      <c r="C145" s="4" t="n"/>
      <c r="D145" s="4" t="n"/>
      <c r="E145" s="4" t="n"/>
      <c r="F145" s="4" t="n"/>
      <c r="G145" s="24">
        <f>IF($A145="","",TEXT($A145,"yyyy-mm-dd")&amp;"|"&amp;$D145&amp;"|"&amp;$E145)</f>
        <v/>
      </c>
      <c r="I145" s="41" t="n">
        <v>46163</v>
      </c>
      <c r="J145" s="24">
        <f>IFERROR(INDEX('CALENDARIO'!$C$15:$C$214,MATCH(TEXT($I145,"yyyy-mm-dd")&amp;"|"&amp;""&amp;"|"&amp;"",'CALENDARIO'!$G$15:$G$214,0)),IFERROR(INDEX('CALENDARIO'!$C$15:$C$214,MATCH(TEXT($I145,"yyyy-mm-dd")&amp;"|"&amp;""&amp;"|",'CALENDARIO'!$G$15:$G$214,0)),IFERROR(INDEX('CALENDARIO'!$C$15:$C$214,MATCH(TEXT($I145,"yyyy-mm-dd")&amp;"||",'CALENDARIO'!$G$15:$G$214,0)),INDEX(patronHabil,WEEKDAY($I145,2)))))</f>
        <v/>
      </c>
    </row>
    <row r="146">
      <c r="A146" s="44" t="n"/>
      <c r="B146" s="4" t="n"/>
      <c r="C146" s="4" t="n"/>
      <c r="D146" s="4" t="n"/>
      <c r="E146" s="4" t="n"/>
      <c r="F146" s="4" t="n"/>
      <c r="G146" s="24">
        <f>IF($A146="","",TEXT($A146,"yyyy-mm-dd")&amp;"|"&amp;$D146&amp;"|"&amp;$E146)</f>
        <v/>
      </c>
      <c r="I146" s="41" t="n">
        <v>46164</v>
      </c>
      <c r="J146" s="24">
        <f>IFERROR(INDEX('CALENDARIO'!$C$15:$C$214,MATCH(TEXT($I146,"yyyy-mm-dd")&amp;"|"&amp;""&amp;"|"&amp;"",'CALENDARIO'!$G$15:$G$214,0)),IFERROR(INDEX('CALENDARIO'!$C$15:$C$214,MATCH(TEXT($I146,"yyyy-mm-dd")&amp;"|"&amp;""&amp;"|",'CALENDARIO'!$G$15:$G$214,0)),IFERROR(INDEX('CALENDARIO'!$C$15:$C$214,MATCH(TEXT($I146,"yyyy-mm-dd")&amp;"||",'CALENDARIO'!$G$15:$G$214,0)),INDEX(patronHabil,WEEKDAY($I146,2)))))</f>
        <v/>
      </c>
    </row>
    <row r="147">
      <c r="A147" s="44" t="n"/>
      <c r="B147" s="4" t="n"/>
      <c r="C147" s="4" t="n"/>
      <c r="D147" s="4" t="n"/>
      <c r="E147" s="4" t="n"/>
      <c r="F147" s="4" t="n"/>
      <c r="G147" s="24">
        <f>IF($A147="","",TEXT($A147,"yyyy-mm-dd")&amp;"|"&amp;$D147&amp;"|"&amp;$E147)</f>
        <v/>
      </c>
      <c r="I147" s="41" t="n">
        <v>46165</v>
      </c>
      <c r="J147" s="24">
        <f>IFERROR(INDEX('CALENDARIO'!$C$15:$C$214,MATCH(TEXT($I147,"yyyy-mm-dd")&amp;"|"&amp;""&amp;"|"&amp;"",'CALENDARIO'!$G$15:$G$214,0)),IFERROR(INDEX('CALENDARIO'!$C$15:$C$214,MATCH(TEXT($I147,"yyyy-mm-dd")&amp;"|"&amp;""&amp;"|",'CALENDARIO'!$G$15:$G$214,0)),IFERROR(INDEX('CALENDARIO'!$C$15:$C$214,MATCH(TEXT($I147,"yyyy-mm-dd")&amp;"||",'CALENDARIO'!$G$15:$G$214,0)),INDEX(patronHabil,WEEKDAY($I147,2)))))</f>
        <v/>
      </c>
    </row>
    <row r="148">
      <c r="A148" s="44" t="n"/>
      <c r="B148" s="4" t="n"/>
      <c r="C148" s="4" t="n"/>
      <c r="D148" s="4" t="n"/>
      <c r="E148" s="4" t="n"/>
      <c r="F148" s="4" t="n"/>
      <c r="G148" s="24">
        <f>IF($A148="","",TEXT($A148,"yyyy-mm-dd")&amp;"|"&amp;$D148&amp;"|"&amp;$E148)</f>
        <v/>
      </c>
      <c r="I148" s="41" t="n">
        <v>46166</v>
      </c>
      <c r="J148" s="24">
        <f>IFERROR(INDEX('CALENDARIO'!$C$15:$C$214,MATCH(TEXT($I148,"yyyy-mm-dd")&amp;"|"&amp;""&amp;"|"&amp;"",'CALENDARIO'!$G$15:$G$214,0)),IFERROR(INDEX('CALENDARIO'!$C$15:$C$214,MATCH(TEXT($I148,"yyyy-mm-dd")&amp;"|"&amp;""&amp;"|",'CALENDARIO'!$G$15:$G$214,0)),IFERROR(INDEX('CALENDARIO'!$C$15:$C$214,MATCH(TEXT($I148,"yyyy-mm-dd")&amp;"||",'CALENDARIO'!$G$15:$G$214,0)),INDEX(patronHabil,WEEKDAY($I148,2)))))</f>
        <v/>
      </c>
    </row>
    <row r="149">
      <c r="A149" s="44" t="n"/>
      <c r="B149" s="4" t="n"/>
      <c r="C149" s="4" t="n"/>
      <c r="D149" s="4" t="n"/>
      <c r="E149" s="4" t="n"/>
      <c r="F149" s="4" t="n"/>
      <c r="G149" s="24">
        <f>IF($A149="","",TEXT($A149,"yyyy-mm-dd")&amp;"|"&amp;$D149&amp;"|"&amp;$E149)</f>
        <v/>
      </c>
      <c r="I149" s="41" t="n">
        <v>46167</v>
      </c>
      <c r="J149" s="24">
        <f>IFERROR(INDEX('CALENDARIO'!$C$15:$C$214,MATCH(TEXT($I149,"yyyy-mm-dd")&amp;"|"&amp;""&amp;"|"&amp;"",'CALENDARIO'!$G$15:$G$214,0)),IFERROR(INDEX('CALENDARIO'!$C$15:$C$214,MATCH(TEXT($I149,"yyyy-mm-dd")&amp;"|"&amp;""&amp;"|",'CALENDARIO'!$G$15:$G$214,0)),IFERROR(INDEX('CALENDARIO'!$C$15:$C$214,MATCH(TEXT($I149,"yyyy-mm-dd")&amp;"||",'CALENDARIO'!$G$15:$G$214,0)),INDEX(patronHabil,WEEKDAY($I149,2)))))</f>
        <v/>
      </c>
    </row>
    <row r="150">
      <c r="A150" s="44" t="n"/>
      <c r="B150" s="4" t="n"/>
      <c r="C150" s="4" t="n"/>
      <c r="D150" s="4" t="n"/>
      <c r="E150" s="4" t="n"/>
      <c r="F150" s="4" t="n"/>
      <c r="G150" s="24">
        <f>IF($A150="","",TEXT($A150,"yyyy-mm-dd")&amp;"|"&amp;$D150&amp;"|"&amp;$E150)</f>
        <v/>
      </c>
      <c r="I150" s="41" t="n">
        <v>46168</v>
      </c>
      <c r="J150" s="24">
        <f>IFERROR(INDEX('CALENDARIO'!$C$15:$C$214,MATCH(TEXT($I150,"yyyy-mm-dd")&amp;"|"&amp;""&amp;"|"&amp;"",'CALENDARIO'!$G$15:$G$214,0)),IFERROR(INDEX('CALENDARIO'!$C$15:$C$214,MATCH(TEXT($I150,"yyyy-mm-dd")&amp;"|"&amp;""&amp;"|",'CALENDARIO'!$G$15:$G$214,0)),IFERROR(INDEX('CALENDARIO'!$C$15:$C$214,MATCH(TEXT($I150,"yyyy-mm-dd")&amp;"||",'CALENDARIO'!$G$15:$G$214,0)),INDEX(patronHabil,WEEKDAY($I150,2)))))</f>
        <v/>
      </c>
    </row>
    <row r="151">
      <c r="A151" s="44" t="n"/>
      <c r="B151" s="4" t="n"/>
      <c r="C151" s="4" t="n"/>
      <c r="D151" s="4" t="n"/>
      <c r="E151" s="4" t="n"/>
      <c r="F151" s="4" t="n"/>
      <c r="G151" s="24">
        <f>IF($A151="","",TEXT($A151,"yyyy-mm-dd")&amp;"|"&amp;$D151&amp;"|"&amp;$E151)</f>
        <v/>
      </c>
      <c r="I151" s="41" t="n">
        <v>46169</v>
      </c>
      <c r="J151" s="24">
        <f>IFERROR(INDEX('CALENDARIO'!$C$15:$C$214,MATCH(TEXT($I151,"yyyy-mm-dd")&amp;"|"&amp;""&amp;"|"&amp;"",'CALENDARIO'!$G$15:$G$214,0)),IFERROR(INDEX('CALENDARIO'!$C$15:$C$214,MATCH(TEXT($I151,"yyyy-mm-dd")&amp;"|"&amp;""&amp;"|",'CALENDARIO'!$G$15:$G$214,0)),IFERROR(INDEX('CALENDARIO'!$C$15:$C$214,MATCH(TEXT($I151,"yyyy-mm-dd")&amp;"||",'CALENDARIO'!$G$15:$G$214,0)),INDEX(patronHabil,WEEKDAY($I151,2)))))</f>
        <v/>
      </c>
    </row>
    <row r="152">
      <c r="A152" s="44" t="n"/>
      <c r="B152" s="4" t="n"/>
      <c r="C152" s="4" t="n"/>
      <c r="D152" s="4" t="n"/>
      <c r="E152" s="4" t="n"/>
      <c r="F152" s="4" t="n"/>
      <c r="G152" s="24">
        <f>IF($A152="","",TEXT($A152,"yyyy-mm-dd")&amp;"|"&amp;$D152&amp;"|"&amp;$E152)</f>
        <v/>
      </c>
      <c r="I152" s="41" t="n">
        <v>46170</v>
      </c>
      <c r="J152" s="24">
        <f>IFERROR(INDEX('CALENDARIO'!$C$15:$C$214,MATCH(TEXT($I152,"yyyy-mm-dd")&amp;"|"&amp;""&amp;"|"&amp;"",'CALENDARIO'!$G$15:$G$214,0)),IFERROR(INDEX('CALENDARIO'!$C$15:$C$214,MATCH(TEXT($I152,"yyyy-mm-dd")&amp;"|"&amp;""&amp;"|",'CALENDARIO'!$G$15:$G$214,0)),IFERROR(INDEX('CALENDARIO'!$C$15:$C$214,MATCH(TEXT($I152,"yyyy-mm-dd")&amp;"||",'CALENDARIO'!$G$15:$G$214,0)),INDEX(patronHabil,WEEKDAY($I152,2)))))</f>
        <v/>
      </c>
    </row>
    <row r="153">
      <c r="A153" s="44" t="n"/>
      <c r="B153" s="4" t="n"/>
      <c r="C153" s="4" t="n"/>
      <c r="D153" s="4" t="n"/>
      <c r="E153" s="4" t="n"/>
      <c r="F153" s="4" t="n"/>
      <c r="G153" s="24">
        <f>IF($A153="","",TEXT($A153,"yyyy-mm-dd")&amp;"|"&amp;$D153&amp;"|"&amp;$E153)</f>
        <v/>
      </c>
      <c r="I153" s="41" t="n">
        <v>46171</v>
      </c>
      <c r="J153" s="24">
        <f>IFERROR(INDEX('CALENDARIO'!$C$15:$C$214,MATCH(TEXT($I153,"yyyy-mm-dd")&amp;"|"&amp;""&amp;"|"&amp;"",'CALENDARIO'!$G$15:$G$214,0)),IFERROR(INDEX('CALENDARIO'!$C$15:$C$214,MATCH(TEXT($I153,"yyyy-mm-dd")&amp;"|"&amp;""&amp;"|",'CALENDARIO'!$G$15:$G$214,0)),IFERROR(INDEX('CALENDARIO'!$C$15:$C$214,MATCH(TEXT($I153,"yyyy-mm-dd")&amp;"||",'CALENDARIO'!$G$15:$G$214,0)),INDEX(patronHabil,WEEKDAY($I153,2)))))</f>
        <v/>
      </c>
    </row>
    <row r="154">
      <c r="A154" s="44" t="n"/>
      <c r="B154" s="4" t="n"/>
      <c r="C154" s="4" t="n"/>
      <c r="D154" s="4" t="n"/>
      <c r="E154" s="4" t="n"/>
      <c r="F154" s="4" t="n"/>
      <c r="G154" s="24">
        <f>IF($A154="","",TEXT($A154,"yyyy-mm-dd")&amp;"|"&amp;$D154&amp;"|"&amp;$E154)</f>
        <v/>
      </c>
      <c r="I154" s="41" t="n">
        <v>46172</v>
      </c>
      <c r="J154" s="24">
        <f>IFERROR(INDEX('CALENDARIO'!$C$15:$C$214,MATCH(TEXT($I154,"yyyy-mm-dd")&amp;"|"&amp;""&amp;"|"&amp;"",'CALENDARIO'!$G$15:$G$214,0)),IFERROR(INDEX('CALENDARIO'!$C$15:$C$214,MATCH(TEXT($I154,"yyyy-mm-dd")&amp;"|"&amp;""&amp;"|",'CALENDARIO'!$G$15:$G$214,0)),IFERROR(INDEX('CALENDARIO'!$C$15:$C$214,MATCH(TEXT($I154,"yyyy-mm-dd")&amp;"||",'CALENDARIO'!$G$15:$G$214,0)),INDEX(patronHabil,WEEKDAY($I154,2)))))</f>
        <v/>
      </c>
    </row>
    <row r="155">
      <c r="A155" s="44" t="n"/>
      <c r="B155" s="4" t="n"/>
      <c r="C155" s="4" t="n"/>
      <c r="D155" s="4" t="n"/>
      <c r="E155" s="4" t="n"/>
      <c r="F155" s="4" t="n"/>
      <c r="G155" s="24">
        <f>IF($A155="","",TEXT($A155,"yyyy-mm-dd")&amp;"|"&amp;$D155&amp;"|"&amp;$E155)</f>
        <v/>
      </c>
      <c r="I155" s="41" t="n">
        <v>46173</v>
      </c>
      <c r="J155" s="24">
        <f>IFERROR(INDEX('CALENDARIO'!$C$15:$C$214,MATCH(TEXT($I155,"yyyy-mm-dd")&amp;"|"&amp;""&amp;"|"&amp;"",'CALENDARIO'!$G$15:$G$214,0)),IFERROR(INDEX('CALENDARIO'!$C$15:$C$214,MATCH(TEXT($I155,"yyyy-mm-dd")&amp;"|"&amp;""&amp;"|",'CALENDARIO'!$G$15:$G$214,0)),IFERROR(INDEX('CALENDARIO'!$C$15:$C$214,MATCH(TEXT($I155,"yyyy-mm-dd")&amp;"||",'CALENDARIO'!$G$15:$G$214,0)),INDEX(patronHabil,WEEKDAY($I155,2)))))</f>
        <v/>
      </c>
    </row>
    <row r="156">
      <c r="A156" s="44" t="n"/>
      <c r="B156" s="4" t="n"/>
      <c r="C156" s="4" t="n"/>
      <c r="D156" s="4" t="n"/>
      <c r="E156" s="4" t="n"/>
      <c r="F156" s="4" t="n"/>
      <c r="G156" s="24">
        <f>IF($A156="","",TEXT($A156,"yyyy-mm-dd")&amp;"|"&amp;$D156&amp;"|"&amp;$E156)</f>
        <v/>
      </c>
      <c r="I156" s="41" t="n">
        <v>46174</v>
      </c>
      <c r="J156" s="24">
        <f>IFERROR(INDEX('CALENDARIO'!$C$15:$C$214,MATCH(TEXT($I156,"yyyy-mm-dd")&amp;"|"&amp;""&amp;"|"&amp;"",'CALENDARIO'!$G$15:$G$214,0)),IFERROR(INDEX('CALENDARIO'!$C$15:$C$214,MATCH(TEXT($I156,"yyyy-mm-dd")&amp;"|"&amp;""&amp;"|",'CALENDARIO'!$G$15:$G$214,0)),IFERROR(INDEX('CALENDARIO'!$C$15:$C$214,MATCH(TEXT($I156,"yyyy-mm-dd")&amp;"||",'CALENDARIO'!$G$15:$G$214,0)),INDEX(patronHabil,WEEKDAY($I156,2)))))</f>
        <v/>
      </c>
    </row>
    <row r="157">
      <c r="A157" s="44" t="n"/>
      <c r="B157" s="4" t="n"/>
      <c r="C157" s="4" t="n"/>
      <c r="D157" s="4" t="n"/>
      <c r="E157" s="4" t="n"/>
      <c r="F157" s="4" t="n"/>
      <c r="G157" s="24">
        <f>IF($A157="","",TEXT($A157,"yyyy-mm-dd")&amp;"|"&amp;$D157&amp;"|"&amp;$E157)</f>
        <v/>
      </c>
      <c r="I157" s="41" t="n">
        <v>46175</v>
      </c>
      <c r="J157" s="24">
        <f>IFERROR(INDEX('CALENDARIO'!$C$15:$C$214,MATCH(TEXT($I157,"yyyy-mm-dd")&amp;"|"&amp;""&amp;"|"&amp;"",'CALENDARIO'!$G$15:$G$214,0)),IFERROR(INDEX('CALENDARIO'!$C$15:$C$214,MATCH(TEXT($I157,"yyyy-mm-dd")&amp;"|"&amp;""&amp;"|",'CALENDARIO'!$G$15:$G$214,0)),IFERROR(INDEX('CALENDARIO'!$C$15:$C$214,MATCH(TEXT($I157,"yyyy-mm-dd")&amp;"||",'CALENDARIO'!$G$15:$G$214,0)),INDEX(patronHabil,WEEKDAY($I157,2)))))</f>
        <v/>
      </c>
    </row>
    <row r="158">
      <c r="A158" s="44" t="n"/>
      <c r="B158" s="4" t="n"/>
      <c r="C158" s="4" t="n"/>
      <c r="D158" s="4" t="n"/>
      <c r="E158" s="4" t="n"/>
      <c r="F158" s="4" t="n"/>
      <c r="G158" s="24">
        <f>IF($A158="","",TEXT($A158,"yyyy-mm-dd")&amp;"|"&amp;$D158&amp;"|"&amp;$E158)</f>
        <v/>
      </c>
      <c r="I158" s="41" t="n">
        <v>46176</v>
      </c>
      <c r="J158" s="24">
        <f>IFERROR(INDEX('CALENDARIO'!$C$15:$C$214,MATCH(TEXT($I158,"yyyy-mm-dd")&amp;"|"&amp;""&amp;"|"&amp;"",'CALENDARIO'!$G$15:$G$214,0)),IFERROR(INDEX('CALENDARIO'!$C$15:$C$214,MATCH(TEXT($I158,"yyyy-mm-dd")&amp;"|"&amp;""&amp;"|",'CALENDARIO'!$G$15:$G$214,0)),IFERROR(INDEX('CALENDARIO'!$C$15:$C$214,MATCH(TEXT($I158,"yyyy-mm-dd")&amp;"||",'CALENDARIO'!$G$15:$G$214,0)),INDEX(patronHabil,WEEKDAY($I158,2)))))</f>
        <v/>
      </c>
    </row>
    <row r="159">
      <c r="A159" s="44" t="n"/>
      <c r="B159" s="4" t="n"/>
      <c r="C159" s="4" t="n"/>
      <c r="D159" s="4" t="n"/>
      <c r="E159" s="4" t="n"/>
      <c r="F159" s="4" t="n"/>
      <c r="G159" s="24">
        <f>IF($A159="","",TEXT($A159,"yyyy-mm-dd")&amp;"|"&amp;$D159&amp;"|"&amp;$E159)</f>
        <v/>
      </c>
      <c r="I159" s="41" t="n">
        <v>46177</v>
      </c>
      <c r="J159" s="24">
        <f>IFERROR(INDEX('CALENDARIO'!$C$15:$C$214,MATCH(TEXT($I159,"yyyy-mm-dd")&amp;"|"&amp;""&amp;"|"&amp;"",'CALENDARIO'!$G$15:$G$214,0)),IFERROR(INDEX('CALENDARIO'!$C$15:$C$214,MATCH(TEXT($I159,"yyyy-mm-dd")&amp;"|"&amp;""&amp;"|",'CALENDARIO'!$G$15:$G$214,0)),IFERROR(INDEX('CALENDARIO'!$C$15:$C$214,MATCH(TEXT($I159,"yyyy-mm-dd")&amp;"||",'CALENDARIO'!$G$15:$G$214,0)),INDEX(patronHabil,WEEKDAY($I159,2)))))</f>
        <v/>
      </c>
    </row>
    <row r="160">
      <c r="A160" s="44" t="n"/>
      <c r="B160" s="4" t="n"/>
      <c r="C160" s="4" t="n"/>
      <c r="D160" s="4" t="n"/>
      <c r="E160" s="4" t="n"/>
      <c r="F160" s="4" t="n"/>
      <c r="G160" s="24">
        <f>IF($A160="","",TEXT($A160,"yyyy-mm-dd")&amp;"|"&amp;$D160&amp;"|"&amp;$E160)</f>
        <v/>
      </c>
      <c r="I160" s="41" t="n">
        <v>46178</v>
      </c>
      <c r="J160" s="24">
        <f>IFERROR(INDEX('CALENDARIO'!$C$15:$C$214,MATCH(TEXT($I160,"yyyy-mm-dd")&amp;"|"&amp;""&amp;"|"&amp;"",'CALENDARIO'!$G$15:$G$214,0)),IFERROR(INDEX('CALENDARIO'!$C$15:$C$214,MATCH(TEXT($I160,"yyyy-mm-dd")&amp;"|"&amp;""&amp;"|",'CALENDARIO'!$G$15:$G$214,0)),IFERROR(INDEX('CALENDARIO'!$C$15:$C$214,MATCH(TEXT($I160,"yyyy-mm-dd")&amp;"||",'CALENDARIO'!$G$15:$G$214,0)),INDEX(patronHabil,WEEKDAY($I160,2)))))</f>
        <v/>
      </c>
    </row>
    <row r="161">
      <c r="A161" s="44" t="n"/>
      <c r="B161" s="4" t="n"/>
      <c r="C161" s="4" t="n"/>
      <c r="D161" s="4" t="n"/>
      <c r="E161" s="4" t="n"/>
      <c r="F161" s="4" t="n"/>
      <c r="G161" s="24">
        <f>IF($A161="","",TEXT($A161,"yyyy-mm-dd")&amp;"|"&amp;$D161&amp;"|"&amp;$E161)</f>
        <v/>
      </c>
      <c r="I161" s="41" t="n">
        <v>46179</v>
      </c>
      <c r="J161" s="24">
        <f>IFERROR(INDEX('CALENDARIO'!$C$15:$C$214,MATCH(TEXT($I161,"yyyy-mm-dd")&amp;"|"&amp;""&amp;"|"&amp;"",'CALENDARIO'!$G$15:$G$214,0)),IFERROR(INDEX('CALENDARIO'!$C$15:$C$214,MATCH(TEXT($I161,"yyyy-mm-dd")&amp;"|"&amp;""&amp;"|",'CALENDARIO'!$G$15:$G$214,0)),IFERROR(INDEX('CALENDARIO'!$C$15:$C$214,MATCH(TEXT($I161,"yyyy-mm-dd")&amp;"||",'CALENDARIO'!$G$15:$G$214,0)),INDEX(patronHabil,WEEKDAY($I161,2)))))</f>
        <v/>
      </c>
    </row>
    <row r="162">
      <c r="A162" s="44" t="n"/>
      <c r="B162" s="4" t="n"/>
      <c r="C162" s="4" t="n"/>
      <c r="D162" s="4" t="n"/>
      <c r="E162" s="4" t="n"/>
      <c r="F162" s="4" t="n"/>
      <c r="G162" s="24">
        <f>IF($A162="","",TEXT($A162,"yyyy-mm-dd")&amp;"|"&amp;$D162&amp;"|"&amp;$E162)</f>
        <v/>
      </c>
      <c r="I162" s="41" t="n">
        <v>46180</v>
      </c>
      <c r="J162" s="24">
        <f>IFERROR(INDEX('CALENDARIO'!$C$15:$C$214,MATCH(TEXT($I162,"yyyy-mm-dd")&amp;"|"&amp;""&amp;"|"&amp;"",'CALENDARIO'!$G$15:$G$214,0)),IFERROR(INDEX('CALENDARIO'!$C$15:$C$214,MATCH(TEXT($I162,"yyyy-mm-dd")&amp;"|"&amp;""&amp;"|",'CALENDARIO'!$G$15:$G$214,0)),IFERROR(INDEX('CALENDARIO'!$C$15:$C$214,MATCH(TEXT($I162,"yyyy-mm-dd")&amp;"||",'CALENDARIO'!$G$15:$G$214,0)),INDEX(patronHabil,WEEKDAY($I162,2)))))</f>
        <v/>
      </c>
    </row>
    <row r="163">
      <c r="A163" s="44" t="n"/>
      <c r="B163" s="4" t="n"/>
      <c r="C163" s="4" t="n"/>
      <c r="D163" s="4" t="n"/>
      <c r="E163" s="4" t="n"/>
      <c r="F163" s="4" t="n"/>
      <c r="G163" s="24">
        <f>IF($A163="","",TEXT($A163,"yyyy-mm-dd")&amp;"|"&amp;$D163&amp;"|"&amp;$E163)</f>
        <v/>
      </c>
      <c r="I163" s="41" t="n">
        <v>46181</v>
      </c>
      <c r="J163" s="24">
        <f>IFERROR(INDEX('CALENDARIO'!$C$15:$C$214,MATCH(TEXT($I163,"yyyy-mm-dd")&amp;"|"&amp;""&amp;"|"&amp;"",'CALENDARIO'!$G$15:$G$214,0)),IFERROR(INDEX('CALENDARIO'!$C$15:$C$214,MATCH(TEXT($I163,"yyyy-mm-dd")&amp;"|"&amp;""&amp;"|",'CALENDARIO'!$G$15:$G$214,0)),IFERROR(INDEX('CALENDARIO'!$C$15:$C$214,MATCH(TEXT($I163,"yyyy-mm-dd")&amp;"||",'CALENDARIO'!$G$15:$G$214,0)),INDEX(patronHabil,WEEKDAY($I163,2)))))</f>
        <v/>
      </c>
    </row>
    <row r="164">
      <c r="A164" s="44" t="n"/>
      <c r="B164" s="4" t="n"/>
      <c r="C164" s="4" t="n"/>
      <c r="D164" s="4" t="n"/>
      <c r="E164" s="4" t="n"/>
      <c r="F164" s="4" t="n"/>
      <c r="G164" s="24">
        <f>IF($A164="","",TEXT($A164,"yyyy-mm-dd")&amp;"|"&amp;$D164&amp;"|"&amp;$E164)</f>
        <v/>
      </c>
      <c r="I164" s="41" t="n">
        <v>46182</v>
      </c>
      <c r="J164" s="24">
        <f>IFERROR(INDEX('CALENDARIO'!$C$15:$C$214,MATCH(TEXT($I164,"yyyy-mm-dd")&amp;"|"&amp;""&amp;"|"&amp;"",'CALENDARIO'!$G$15:$G$214,0)),IFERROR(INDEX('CALENDARIO'!$C$15:$C$214,MATCH(TEXT($I164,"yyyy-mm-dd")&amp;"|"&amp;""&amp;"|",'CALENDARIO'!$G$15:$G$214,0)),IFERROR(INDEX('CALENDARIO'!$C$15:$C$214,MATCH(TEXT($I164,"yyyy-mm-dd")&amp;"||",'CALENDARIO'!$G$15:$G$214,0)),INDEX(patronHabil,WEEKDAY($I164,2)))))</f>
        <v/>
      </c>
    </row>
    <row r="165">
      <c r="A165" s="44" t="n"/>
      <c r="B165" s="4" t="n"/>
      <c r="C165" s="4" t="n"/>
      <c r="D165" s="4" t="n"/>
      <c r="E165" s="4" t="n"/>
      <c r="F165" s="4" t="n"/>
      <c r="G165" s="24">
        <f>IF($A165="","",TEXT($A165,"yyyy-mm-dd")&amp;"|"&amp;$D165&amp;"|"&amp;$E165)</f>
        <v/>
      </c>
      <c r="I165" s="41" t="n">
        <v>46183</v>
      </c>
      <c r="J165" s="24">
        <f>IFERROR(INDEX('CALENDARIO'!$C$15:$C$214,MATCH(TEXT($I165,"yyyy-mm-dd")&amp;"|"&amp;""&amp;"|"&amp;"",'CALENDARIO'!$G$15:$G$214,0)),IFERROR(INDEX('CALENDARIO'!$C$15:$C$214,MATCH(TEXT($I165,"yyyy-mm-dd")&amp;"|"&amp;""&amp;"|",'CALENDARIO'!$G$15:$G$214,0)),IFERROR(INDEX('CALENDARIO'!$C$15:$C$214,MATCH(TEXT($I165,"yyyy-mm-dd")&amp;"||",'CALENDARIO'!$G$15:$G$214,0)),INDEX(patronHabil,WEEKDAY($I165,2)))))</f>
        <v/>
      </c>
    </row>
    <row r="166">
      <c r="A166" s="44" t="n"/>
      <c r="B166" s="4" t="n"/>
      <c r="C166" s="4" t="n"/>
      <c r="D166" s="4" t="n"/>
      <c r="E166" s="4" t="n"/>
      <c r="F166" s="4" t="n"/>
      <c r="G166" s="24">
        <f>IF($A166="","",TEXT($A166,"yyyy-mm-dd")&amp;"|"&amp;$D166&amp;"|"&amp;$E166)</f>
        <v/>
      </c>
      <c r="I166" s="41" t="n">
        <v>46184</v>
      </c>
      <c r="J166" s="24">
        <f>IFERROR(INDEX('CALENDARIO'!$C$15:$C$214,MATCH(TEXT($I166,"yyyy-mm-dd")&amp;"|"&amp;""&amp;"|"&amp;"",'CALENDARIO'!$G$15:$G$214,0)),IFERROR(INDEX('CALENDARIO'!$C$15:$C$214,MATCH(TEXT($I166,"yyyy-mm-dd")&amp;"|"&amp;""&amp;"|",'CALENDARIO'!$G$15:$G$214,0)),IFERROR(INDEX('CALENDARIO'!$C$15:$C$214,MATCH(TEXT($I166,"yyyy-mm-dd")&amp;"||",'CALENDARIO'!$G$15:$G$214,0)),INDEX(patronHabil,WEEKDAY($I166,2)))))</f>
        <v/>
      </c>
    </row>
    <row r="167">
      <c r="A167" s="44" t="n"/>
      <c r="B167" s="4" t="n"/>
      <c r="C167" s="4" t="n"/>
      <c r="D167" s="4" t="n"/>
      <c r="E167" s="4" t="n"/>
      <c r="F167" s="4" t="n"/>
      <c r="G167" s="24">
        <f>IF($A167="","",TEXT($A167,"yyyy-mm-dd")&amp;"|"&amp;$D167&amp;"|"&amp;$E167)</f>
        <v/>
      </c>
      <c r="I167" s="41" t="n">
        <v>46185</v>
      </c>
      <c r="J167" s="24">
        <f>IFERROR(INDEX('CALENDARIO'!$C$15:$C$214,MATCH(TEXT($I167,"yyyy-mm-dd")&amp;"|"&amp;""&amp;"|"&amp;"",'CALENDARIO'!$G$15:$G$214,0)),IFERROR(INDEX('CALENDARIO'!$C$15:$C$214,MATCH(TEXT($I167,"yyyy-mm-dd")&amp;"|"&amp;""&amp;"|",'CALENDARIO'!$G$15:$G$214,0)),IFERROR(INDEX('CALENDARIO'!$C$15:$C$214,MATCH(TEXT($I167,"yyyy-mm-dd")&amp;"||",'CALENDARIO'!$G$15:$G$214,0)),INDEX(patronHabil,WEEKDAY($I167,2)))))</f>
        <v/>
      </c>
    </row>
    <row r="168">
      <c r="A168" s="44" t="n"/>
      <c r="B168" s="4" t="n"/>
      <c r="C168" s="4" t="n"/>
      <c r="D168" s="4" t="n"/>
      <c r="E168" s="4" t="n"/>
      <c r="F168" s="4" t="n"/>
      <c r="G168" s="24">
        <f>IF($A168="","",TEXT($A168,"yyyy-mm-dd")&amp;"|"&amp;$D168&amp;"|"&amp;$E168)</f>
        <v/>
      </c>
      <c r="I168" s="41" t="n">
        <v>46186</v>
      </c>
      <c r="J168" s="24">
        <f>IFERROR(INDEX('CALENDARIO'!$C$15:$C$214,MATCH(TEXT($I168,"yyyy-mm-dd")&amp;"|"&amp;""&amp;"|"&amp;"",'CALENDARIO'!$G$15:$G$214,0)),IFERROR(INDEX('CALENDARIO'!$C$15:$C$214,MATCH(TEXT($I168,"yyyy-mm-dd")&amp;"|"&amp;""&amp;"|",'CALENDARIO'!$G$15:$G$214,0)),IFERROR(INDEX('CALENDARIO'!$C$15:$C$214,MATCH(TEXT($I168,"yyyy-mm-dd")&amp;"||",'CALENDARIO'!$G$15:$G$214,0)),INDEX(patronHabil,WEEKDAY($I168,2)))))</f>
        <v/>
      </c>
    </row>
    <row r="169">
      <c r="A169" s="44" t="n"/>
      <c r="B169" s="4" t="n"/>
      <c r="C169" s="4" t="n"/>
      <c r="D169" s="4" t="n"/>
      <c r="E169" s="4" t="n"/>
      <c r="F169" s="4" t="n"/>
      <c r="G169" s="24">
        <f>IF($A169="","",TEXT($A169,"yyyy-mm-dd")&amp;"|"&amp;$D169&amp;"|"&amp;$E169)</f>
        <v/>
      </c>
      <c r="I169" s="41" t="n">
        <v>46187</v>
      </c>
      <c r="J169" s="24">
        <f>IFERROR(INDEX('CALENDARIO'!$C$15:$C$214,MATCH(TEXT($I169,"yyyy-mm-dd")&amp;"|"&amp;""&amp;"|"&amp;"",'CALENDARIO'!$G$15:$G$214,0)),IFERROR(INDEX('CALENDARIO'!$C$15:$C$214,MATCH(TEXT($I169,"yyyy-mm-dd")&amp;"|"&amp;""&amp;"|",'CALENDARIO'!$G$15:$G$214,0)),IFERROR(INDEX('CALENDARIO'!$C$15:$C$214,MATCH(TEXT($I169,"yyyy-mm-dd")&amp;"||",'CALENDARIO'!$G$15:$G$214,0)),INDEX(patronHabil,WEEKDAY($I169,2)))))</f>
        <v/>
      </c>
    </row>
    <row r="170">
      <c r="A170" s="44" t="n"/>
      <c r="B170" s="4" t="n"/>
      <c r="C170" s="4" t="n"/>
      <c r="D170" s="4" t="n"/>
      <c r="E170" s="4" t="n"/>
      <c r="F170" s="4" t="n"/>
      <c r="G170" s="24">
        <f>IF($A170="","",TEXT($A170,"yyyy-mm-dd")&amp;"|"&amp;$D170&amp;"|"&amp;$E170)</f>
        <v/>
      </c>
      <c r="I170" s="41" t="n">
        <v>46188</v>
      </c>
      <c r="J170" s="24">
        <f>IFERROR(INDEX('CALENDARIO'!$C$15:$C$214,MATCH(TEXT($I170,"yyyy-mm-dd")&amp;"|"&amp;""&amp;"|"&amp;"",'CALENDARIO'!$G$15:$G$214,0)),IFERROR(INDEX('CALENDARIO'!$C$15:$C$214,MATCH(TEXT($I170,"yyyy-mm-dd")&amp;"|"&amp;""&amp;"|",'CALENDARIO'!$G$15:$G$214,0)),IFERROR(INDEX('CALENDARIO'!$C$15:$C$214,MATCH(TEXT($I170,"yyyy-mm-dd")&amp;"||",'CALENDARIO'!$G$15:$G$214,0)),INDEX(patronHabil,WEEKDAY($I170,2)))))</f>
        <v/>
      </c>
    </row>
    <row r="171">
      <c r="A171" s="44" t="n"/>
      <c r="B171" s="4" t="n"/>
      <c r="C171" s="4" t="n"/>
      <c r="D171" s="4" t="n"/>
      <c r="E171" s="4" t="n"/>
      <c r="F171" s="4" t="n"/>
      <c r="G171" s="24">
        <f>IF($A171="","",TEXT($A171,"yyyy-mm-dd")&amp;"|"&amp;$D171&amp;"|"&amp;$E171)</f>
        <v/>
      </c>
      <c r="I171" s="41" t="n">
        <v>46189</v>
      </c>
      <c r="J171" s="24">
        <f>IFERROR(INDEX('CALENDARIO'!$C$15:$C$214,MATCH(TEXT($I171,"yyyy-mm-dd")&amp;"|"&amp;""&amp;"|"&amp;"",'CALENDARIO'!$G$15:$G$214,0)),IFERROR(INDEX('CALENDARIO'!$C$15:$C$214,MATCH(TEXT($I171,"yyyy-mm-dd")&amp;"|"&amp;""&amp;"|",'CALENDARIO'!$G$15:$G$214,0)),IFERROR(INDEX('CALENDARIO'!$C$15:$C$214,MATCH(TEXT($I171,"yyyy-mm-dd")&amp;"||",'CALENDARIO'!$G$15:$G$214,0)),INDEX(patronHabil,WEEKDAY($I171,2)))))</f>
        <v/>
      </c>
    </row>
    <row r="172">
      <c r="A172" s="44" t="n"/>
      <c r="B172" s="4" t="n"/>
      <c r="C172" s="4" t="n"/>
      <c r="D172" s="4" t="n"/>
      <c r="E172" s="4" t="n"/>
      <c r="F172" s="4" t="n"/>
      <c r="G172" s="24">
        <f>IF($A172="","",TEXT($A172,"yyyy-mm-dd")&amp;"|"&amp;$D172&amp;"|"&amp;$E172)</f>
        <v/>
      </c>
      <c r="I172" s="41" t="n">
        <v>46190</v>
      </c>
      <c r="J172" s="24">
        <f>IFERROR(INDEX('CALENDARIO'!$C$15:$C$214,MATCH(TEXT($I172,"yyyy-mm-dd")&amp;"|"&amp;""&amp;"|"&amp;"",'CALENDARIO'!$G$15:$G$214,0)),IFERROR(INDEX('CALENDARIO'!$C$15:$C$214,MATCH(TEXT($I172,"yyyy-mm-dd")&amp;"|"&amp;""&amp;"|",'CALENDARIO'!$G$15:$G$214,0)),IFERROR(INDEX('CALENDARIO'!$C$15:$C$214,MATCH(TEXT($I172,"yyyy-mm-dd")&amp;"||",'CALENDARIO'!$G$15:$G$214,0)),INDEX(patronHabil,WEEKDAY($I172,2)))))</f>
        <v/>
      </c>
    </row>
    <row r="173">
      <c r="A173" s="44" t="n"/>
      <c r="B173" s="4" t="n"/>
      <c r="C173" s="4" t="n"/>
      <c r="D173" s="4" t="n"/>
      <c r="E173" s="4" t="n"/>
      <c r="F173" s="4" t="n"/>
      <c r="G173" s="24">
        <f>IF($A173="","",TEXT($A173,"yyyy-mm-dd")&amp;"|"&amp;$D173&amp;"|"&amp;$E173)</f>
        <v/>
      </c>
      <c r="I173" s="41" t="n">
        <v>46191</v>
      </c>
      <c r="J173" s="24">
        <f>IFERROR(INDEX('CALENDARIO'!$C$15:$C$214,MATCH(TEXT($I173,"yyyy-mm-dd")&amp;"|"&amp;""&amp;"|"&amp;"",'CALENDARIO'!$G$15:$G$214,0)),IFERROR(INDEX('CALENDARIO'!$C$15:$C$214,MATCH(TEXT($I173,"yyyy-mm-dd")&amp;"|"&amp;""&amp;"|",'CALENDARIO'!$G$15:$G$214,0)),IFERROR(INDEX('CALENDARIO'!$C$15:$C$214,MATCH(TEXT($I173,"yyyy-mm-dd")&amp;"||",'CALENDARIO'!$G$15:$G$214,0)),INDEX(patronHabil,WEEKDAY($I173,2)))))</f>
        <v/>
      </c>
    </row>
    <row r="174">
      <c r="A174" s="44" t="n"/>
      <c r="B174" s="4" t="n"/>
      <c r="C174" s="4" t="n"/>
      <c r="D174" s="4" t="n"/>
      <c r="E174" s="4" t="n"/>
      <c r="F174" s="4" t="n"/>
      <c r="G174" s="24">
        <f>IF($A174="","",TEXT($A174,"yyyy-mm-dd")&amp;"|"&amp;$D174&amp;"|"&amp;$E174)</f>
        <v/>
      </c>
      <c r="I174" s="41" t="n">
        <v>46192</v>
      </c>
      <c r="J174" s="24">
        <f>IFERROR(INDEX('CALENDARIO'!$C$15:$C$214,MATCH(TEXT($I174,"yyyy-mm-dd")&amp;"|"&amp;""&amp;"|"&amp;"",'CALENDARIO'!$G$15:$G$214,0)),IFERROR(INDEX('CALENDARIO'!$C$15:$C$214,MATCH(TEXT($I174,"yyyy-mm-dd")&amp;"|"&amp;""&amp;"|",'CALENDARIO'!$G$15:$G$214,0)),IFERROR(INDEX('CALENDARIO'!$C$15:$C$214,MATCH(TEXT($I174,"yyyy-mm-dd")&amp;"||",'CALENDARIO'!$G$15:$G$214,0)),INDEX(patronHabil,WEEKDAY($I174,2)))))</f>
        <v/>
      </c>
    </row>
    <row r="175">
      <c r="A175" s="44" t="n"/>
      <c r="B175" s="4" t="n"/>
      <c r="C175" s="4" t="n"/>
      <c r="D175" s="4" t="n"/>
      <c r="E175" s="4" t="n"/>
      <c r="F175" s="4" t="n"/>
      <c r="G175" s="24">
        <f>IF($A175="","",TEXT($A175,"yyyy-mm-dd")&amp;"|"&amp;$D175&amp;"|"&amp;$E175)</f>
        <v/>
      </c>
      <c r="I175" s="41" t="n">
        <v>46193</v>
      </c>
      <c r="J175" s="24">
        <f>IFERROR(INDEX('CALENDARIO'!$C$15:$C$214,MATCH(TEXT($I175,"yyyy-mm-dd")&amp;"|"&amp;""&amp;"|"&amp;"",'CALENDARIO'!$G$15:$G$214,0)),IFERROR(INDEX('CALENDARIO'!$C$15:$C$214,MATCH(TEXT($I175,"yyyy-mm-dd")&amp;"|"&amp;""&amp;"|",'CALENDARIO'!$G$15:$G$214,0)),IFERROR(INDEX('CALENDARIO'!$C$15:$C$214,MATCH(TEXT($I175,"yyyy-mm-dd")&amp;"||",'CALENDARIO'!$G$15:$G$214,0)),INDEX(patronHabil,WEEKDAY($I175,2)))))</f>
        <v/>
      </c>
    </row>
    <row r="176">
      <c r="A176" s="44" t="n"/>
      <c r="B176" s="4" t="n"/>
      <c r="C176" s="4" t="n"/>
      <c r="D176" s="4" t="n"/>
      <c r="E176" s="4" t="n"/>
      <c r="F176" s="4" t="n"/>
      <c r="G176" s="24">
        <f>IF($A176="","",TEXT($A176,"yyyy-mm-dd")&amp;"|"&amp;$D176&amp;"|"&amp;$E176)</f>
        <v/>
      </c>
      <c r="I176" s="41" t="n">
        <v>46194</v>
      </c>
      <c r="J176" s="24">
        <f>IFERROR(INDEX('CALENDARIO'!$C$15:$C$214,MATCH(TEXT($I176,"yyyy-mm-dd")&amp;"|"&amp;""&amp;"|"&amp;"",'CALENDARIO'!$G$15:$G$214,0)),IFERROR(INDEX('CALENDARIO'!$C$15:$C$214,MATCH(TEXT($I176,"yyyy-mm-dd")&amp;"|"&amp;""&amp;"|",'CALENDARIO'!$G$15:$G$214,0)),IFERROR(INDEX('CALENDARIO'!$C$15:$C$214,MATCH(TEXT($I176,"yyyy-mm-dd")&amp;"||",'CALENDARIO'!$G$15:$G$214,0)),INDEX(patronHabil,WEEKDAY($I176,2)))))</f>
        <v/>
      </c>
    </row>
    <row r="177">
      <c r="A177" s="44" t="n"/>
      <c r="B177" s="4" t="n"/>
      <c r="C177" s="4" t="n"/>
      <c r="D177" s="4" t="n"/>
      <c r="E177" s="4" t="n"/>
      <c r="F177" s="4" t="n"/>
      <c r="G177" s="24">
        <f>IF($A177="","",TEXT($A177,"yyyy-mm-dd")&amp;"|"&amp;$D177&amp;"|"&amp;$E177)</f>
        <v/>
      </c>
      <c r="I177" s="41" t="n">
        <v>46195</v>
      </c>
      <c r="J177" s="24">
        <f>IFERROR(INDEX('CALENDARIO'!$C$15:$C$214,MATCH(TEXT($I177,"yyyy-mm-dd")&amp;"|"&amp;""&amp;"|"&amp;"",'CALENDARIO'!$G$15:$G$214,0)),IFERROR(INDEX('CALENDARIO'!$C$15:$C$214,MATCH(TEXT($I177,"yyyy-mm-dd")&amp;"|"&amp;""&amp;"|",'CALENDARIO'!$G$15:$G$214,0)),IFERROR(INDEX('CALENDARIO'!$C$15:$C$214,MATCH(TEXT($I177,"yyyy-mm-dd")&amp;"||",'CALENDARIO'!$G$15:$G$214,0)),INDEX(patronHabil,WEEKDAY($I177,2)))))</f>
        <v/>
      </c>
    </row>
    <row r="178">
      <c r="A178" s="44" t="n"/>
      <c r="B178" s="4" t="n"/>
      <c r="C178" s="4" t="n"/>
      <c r="D178" s="4" t="n"/>
      <c r="E178" s="4" t="n"/>
      <c r="F178" s="4" t="n"/>
      <c r="G178" s="24">
        <f>IF($A178="","",TEXT($A178,"yyyy-mm-dd")&amp;"|"&amp;$D178&amp;"|"&amp;$E178)</f>
        <v/>
      </c>
      <c r="I178" s="41" t="n">
        <v>46196</v>
      </c>
      <c r="J178" s="24">
        <f>IFERROR(INDEX('CALENDARIO'!$C$15:$C$214,MATCH(TEXT($I178,"yyyy-mm-dd")&amp;"|"&amp;""&amp;"|"&amp;"",'CALENDARIO'!$G$15:$G$214,0)),IFERROR(INDEX('CALENDARIO'!$C$15:$C$214,MATCH(TEXT($I178,"yyyy-mm-dd")&amp;"|"&amp;""&amp;"|",'CALENDARIO'!$G$15:$G$214,0)),IFERROR(INDEX('CALENDARIO'!$C$15:$C$214,MATCH(TEXT($I178,"yyyy-mm-dd")&amp;"||",'CALENDARIO'!$G$15:$G$214,0)),INDEX(patronHabil,WEEKDAY($I178,2)))))</f>
        <v/>
      </c>
    </row>
    <row r="179">
      <c r="A179" s="44" t="n"/>
      <c r="B179" s="4" t="n"/>
      <c r="C179" s="4" t="n"/>
      <c r="D179" s="4" t="n"/>
      <c r="E179" s="4" t="n"/>
      <c r="F179" s="4" t="n"/>
      <c r="G179" s="24">
        <f>IF($A179="","",TEXT($A179,"yyyy-mm-dd")&amp;"|"&amp;$D179&amp;"|"&amp;$E179)</f>
        <v/>
      </c>
      <c r="I179" s="41" t="n">
        <v>46197</v>
      </c>
      <c r="J179" s="24">
        <f>IFERROR(INDEX('CALENDARIO'!$C$15:$C$214,MATCH(TEXT($I179,"yyyy-mm-dd")&amp;"|"&amp;""&amp;"|"&amp;"",'CALENDARIO'!$G$15:$G$214,0)),IFERROR(INDEX('CALENDARIO'!$C$15:$C$214,MATCH(TEXT($I179,"yyyy-mm-dd")&amp;"|"&amp;""&amp;"|",'CALENDARIO'!$G$15:$G$214,0)),IFERROR(INDEX('CALENDARIO'!$C$15:$C$214,MATCH(TEXT($I179,"yyyy-mm-dd")&amp;"||",'CALENDARIO'!$G$15:$G$214,0)),INDEX(patronHabil,WEEKDAY($I179,2)))))</f>
        <v/>
      </c>
    </row>
    <row r="180">
      <c r="A180" s="44" t="n"/>
      <c r="B180" s="4" t="n"/>
      <c r="C180" s="4" t="n"/>
      <c r="D180" s="4" t="n"/>
      <c r="E180" s="4" t="n"/>
      <c r="F180" s="4" t="n"/>
      <c r="G180" s="24">
        <f>IF($A180="","",TEXT($A180,"yyyy-mm-dd")&amp;"|"&amp;$D180&amp;"|"&amp;$E180)</f>
        <v/>
      </c>
      <c r="I180" s="41" t="n">
        <v>46198</v>
      </c>
      <c r="J180" s="24">
        <f>IFERROR(INDEX('CALENDARIO'!$C$15:$C$214,MATCH(TEXT($I180,"yyyy-mm-dd")&amp;"|"&amp;""&amp;"|"&amp;"",'CALENDARIO'!$G$15:$G$214,0)),IFERROR(INDEX('CALENDARIO'!$C$15:$C$214,MATCH(TEXT($I180,"yyyy-mm-dd")&amp;"|"&amp;""&amp;"|",'CALENDARIO'!$G$15:$G$214,0)),IFERROR(INDEX('CALENDARIO'!$C$15:$C$214,MATCH(TEXT($I180,"yyyy-mm-dd")&amp;"||",'CALENDARIO'!$G$15:$G$214,0)),INDEX(patronHabil,WEEKDAY($I180,2)))))</f>
        <v/>
      </c>
    </row>
    <row r="181">
      <c r="A181" s="44" t="n"/>
      <c r="B181" s="4" t="n"/>
      <c r="C181" s="4" t="n"/>
      <c r="D181" s="4" t="n"/>
      <c r="E181" s="4" t="n"/>
      <c r="F181" s="4" t="n"/>
      <c r="G181" s="24">
        <f>IF($A181="","",TEXT($A181,"yyyy-mm-dd")&amp;"|"&amp;$D181&amp;"|"&amp;$E181)</f>
        <v/>
      </c>
      <c r="I181" s="41" t="n">
        <v>46199</v>
      </c>
      <c r="J181" s="24">
        <f>IFERROR(INDEX('CALENDARIO'!$C$15:$C$214,MATCH(TEXT($I181,"yyyy-mm-dd")&amp;"|"&amp;""&amp;"|"&amp;"",'CALENDARIO'!$G$15:$G$214,0)),IFERROR(INDEX('CALENDARIO'!$C$15:$C$214,MATCH(TEXT($I181,"yyyy-mm-dd")&amp;"|"&amp;""&amp;"|",'CALENDARIO'!$G$15:$G$214,0)),IFERROR(INDEX('CALENDARIO'!$C$15:$C$214,MATCH(TEXT($I181,"yyyy-mm-dd")&amp;"||",'CALENDARIO'!$G$15:$G$214,0)),INDEX(patronHabil,WEEKDAY($I181,2)))))</f>
        <v/>
      </c>
    </row>
    <row r="182">
      <c r="A182" s="44" t="n"/>
      <c r="B182" s="4" t="n"/>
      <c r="C182" s="4" t="n"/>
      <c r="D182" s="4" t="n"/>
      <c r="E182" s="4" t="n"/>
      <c r="F182" s="4" t="n"/>
      <c r="G182" s="24">
        <f>IF($A182="","",TEXT($A182,"yyyy-mm-dd")&amp;"|"&amp;$D182&amp;"|"&amp;$E182)</f>
        <v/>
      </c>
      <c r="I182" s="41" t="n">
        <v>46200</v>
      </c>
      <c r="J182" s="24">
        <f>IFERROR(INDEX('CALENDARIO'!$C$15:$C$214,MATCH(TEXT($I182,"yyyy-mm-dd")&amp;"|"&amp;""&amp;"|"&amp;"",'CALENDARIO'!$G$15:$G$214,0)),IFERROR(INDEX('CALENDARIO'!$C$15:$C$214,MATCH(TEXT($I182,"yyyy-mm-dd")&amp;"|"&amp;""&amp;"|",'CALENDARIO'!$G$15:$G$214,0)),IFERROR(INDEX('CALENDARIO'!$C$15:$C$214,MATCH(TEXT($I182,"yyyy-mm-dd")&amp;"||",'CALENDARIO'!$G$15:$G$214,0)),INDEX(patronHabil,WEEKDAY($I182,2)))))</f>
        <v/>
      </c>
    </row>
    <row r="183">
      <c r="A183" s="44" t="n"/>
      <c r="B183" s="4" t="n"/>
      <c r="C183" s="4" t="n"/>
      <c r="D183" s="4" t="n"/>
      <c r="E183" s="4" t="n"/>
      <c r="F183" s="4" t="n"/>
      <c r="G183" s="24">
        <f>IF($A183="","",TEXT($A183,"yyyy-mm-dd")&amp;"|"&amp;$D183&amp;"|"&amp;$E183)</f>
        <v/>
      </c>
      <c r="I183" s="41" t="n">
        <v>46201</v>
      </c>
      <c r="J183" s="24">
        <f>IFERROR(INDEX('CALENDARIO'!$C$15:$C$214,MATCH(TEXT($I183,"yyyy-mm-dd")&amp;"|"&amp;""&amp;"|"&amp;"",'CALENDARIO'!$G$15:$G$214,0)),IFERROR(INDEX('CALENDARIO'!$C$15:$C$214,MATCH(TEXT($I183,"yyyy-mm-dd")&amp;"|"&amp;""&amp;"|",'CALENDARIO'!$G$15:$G$214,0)),IFERROR(INDEX('CALENDARIO'!$C$15:$C$214,MATCH(TEXT($I183,"yyyy-mm-dd")&amp;"||",'CALENDARIO'!$G$15:$G$214,0)),INDEX(patronHabil,WEEKDAY($I183,2)))))</f>
        <v/>
      </c>
    </row>
    <row r="184">
      <c r="A184" s="44" t="n"/>
      <c r="B184" s="4" t="n"/>
      <c r="C184" s="4" t="n"/>
      <c r="D184" s="4" t="n"/>
      <c r="E184" s="4" t="n"/>
      <c r="F184" s="4" t="n"/>
      <c r="G184" s="24">
        <f>IF($A184="","",TEXT($A184,"yyyy-mm-dd")&amp;"|"&amp;$D184&amp;"|"&amp;$E184)</f>
        <v/>
      </c>
      <c r="I184" s="41" t="n">
        <v>46202</v>
      </c>
      <c r="J184" s="24">
        <f>IFERROR(INDEX('CALENDARIO'!$C$15:$C$214,MATCH(TEXT($I184,"yyyy-mm-dd")&amp;"|"&amp;""&amp;"|"&amp;"",'CALENDARIO'!$G$15:$G$214,0)),IFERROR(INDEX('CALENDARIO'!$C$15:$C$214,MATCH(TEXT($I184,"yyyy-mm-dd")&amp;"|"&amp;""&amp;"|",'CALENDARIO'!$G$15:$G$214,0)),IFERROR(INDEX('CALENDARIO'!$C$15:$C$214,MATCH(TEXT($I184,"yyyy-mm-dd")&amp;"||",'CALENDARIO'!$G$15:$G$214,0)),INDEX(patronHabil,WEEKDAY($I184,2)))))</f>
        <v/>
      </c>
    </row>
    <row r="185">
      <c r="A185" s="44" t="n"/>
      <c r="B185" s="4" t="n"/>
      <c r="C185" s="4" t="n"/>
      <c r="D185" s="4" t="n"/>
      <c r="E185" s="4" t="n"/>
      <c r="F185" s="4" t="n"/>
      <c r="G185" s="24">
        <f>IF($A185="","",TEXT($A185,"yyyy-mm-dd")&amp;"|"&amp;$D185&amp;"|"&amp;$E185)</f>
        <v/>
      </c>
      <c r="I185" s="41" t="n">
        <v>46203</v>
      </c>
      <c r="J185" s="24">
        <f>IFERROR(INDEX('CALENDARIO'!$C$15:$C$214,MATCH(TEXT($I185,"yyyy-mm-dd")&amp;"|"&amp;""&amp;"|"&amp;"",'CALENDARIO'!$G$15:$G$214,0)),IFERROR(INDEX('CALENDARIO'!$C$15:$C$214,MATCH(TEXT($I185,"yyyy-mm-dd")&amp;"|"&amp;""&amp;"|",'CALENDARIO'!$G$15:$G$214,0)),IFERROR(INDEX('CALENDARIO'!$C$15:$C$214,MATCH(TEXT($I185,"yyyy-mm-dd")&amp;"||",'CALENDARIO'!$G$15:$G$214,0)),INDEX(patronHabil,WEEKDAY($I185,2)))))</f>
        <v/>
      </c>
    </row>
    <row r="186">
      <c r="A186" s="44" t="n"/>
      <c r="B186" s="4" t="n"/>
      <c r="C186" s="4" t="n"/>
      <c r="D186" s="4" t="n"/>
      <c r="E186" s="4" t="n"/>
      <c r="F186" s="4" t="n"/>
      <c r="G186" s="24">
        <f>IF($A186="","",TEXT($A186,"yyyy-mm-dd")&amp;"|"&amp;$D186&amp;"|"&amp;$E186)</f>
        <v/>
      </c>
      <c r="I186" s="41" t="n">
        <v>46204</v>
      </c>
      <c r="J186" s="24">
        <f>IFERROR(INDEX('CALENDARIO'!$C$15:$C$214,MATCH(TEXT($I186,"yyyy-mm-dd")&amp;"|"&amp;""&amp;"|"&amp;"",'CALENDARIO'!$G$15:$G$214,0)),IFERROR(INDEX('CALENDARIO'!$C$15:$C$214,MATCH(TEXT($I186,"yyyy-mm-dd")&amp;"|"&amp;""&amp;"|",'CALENDARIO'!$G$15:$G$214,0)),IFERROR(INDEX('CALENDARIO'!$C$15:$C$214,MATCH(TEXT($I186,"yyyy-mm-dd")&amp;"||",'CALENDARIO'!$G$15:$G$214,0)),INDEX(patronHabil,WEEKDAY($I186,2)))))</f>
        <v/>
      </c>
    </row>
    <row r="187">
      <c r="A187" s="44" t="n"/>
      <c r="B187" s="4" t="n"/>
      <c r="C187" s="4" t="n"/>
      <c r="D187" s="4" t="n"/>
      <c r="E187" s="4" t="n"/>
      <c r="F187" s="4" t="n"/>
      <c r="G187" s="24">
        <f>IF($A187="","",TEXT($A187,"yyyy-mm-dd")&amp;"|"&amp;$D187&amp;"|"&amp;$E187)</f>
        <v/>
      </c>
      <c r="I187" s="41" t="n">
        <v>46205</v>
      </c>
      <c r="J187" s="24">
        <f>IFERROR(INDEX('CALENDARIO'!$C$15:$C$214,MATCH(TEXT($I187,"yyyy-mm-dd")&amp;"|"&amp;""&amp;"|"&amp;"",'CALENDARIO'!$G$15:$G$214,0)),IFERROR(INDEX('CALENDARIO'!$C$15:$C$214,MATCH(TEXT($I187,"yyyy-mm-dd")&amp;"|"&amp;""&amp;"|",'CALENDARIO'!$G$15:$G$214,0)),IFERROR(INDEX('CALENDARIO'!$C$15:$C$214,MATCH(TEXT($I187,"yyyy-mm-dd")&amp;"||",'CALENDARIO'!$G$15:$G$214,0)),INDEX(patronHabil,WEEKDAY($I187,2)))))</f>
        <v/>
      </c>
    </row>
    <row r="188">
      <c r="A188" s="44" t="n"/>
      <c r="B188" s="4" t="n"/>
      <c r="C188" s="4" t="n"/>
      <c r="D188" s="4" t="n"/>
      <c r="E188" s="4" t="n"/>
      <c r="F188" s="4" t="n"/>
      <c r="G188" s="24">
        <f>IF($A188="","",TEXT($A188,"yyyy-mm-dd")&amp;"|"&amp;$D188&amp;"|"&amp;$E188)</f>
        <v/>
      </c>
      <c r="I188" s="41" t="n">
        <v>46206</v>
      </c>
      <c r="J188" s="24">
        <f>IFERROR(INDEX('CALENDARIO'!$C$15:$C$214,MATCH(TEXT($I188,"yyyy-mm-dd")&amp;"|"&amp;""&amp;"|"&amp;"",'CALENDARIO'!$G$15:$G$214,0)),IFERROR(INDEX('CALENDARIO'!$C$15:$C$214,MATCH(TEXT($I188,"yyyy-mm-dd")&amp;"|"&amp;""&amp;"|",'CALENDARIO'!$G$15:$G$214,0)),IFERROR(INDEX('CALENDARIO'!$C$15:$C$214,MATCH(TEXT($I188,"yyyy-mm-dd")&amp;"||",'CALENDARIO'!$G$15:$G$214,0)),INDEX(patronHabil,WEEKDAY($I188,2)))))</f>
        <v/>
      </c>
    </row>
    <row r="189">
      <c r="A189" s="44" t="n"/>
      <c r="B189" s="4" t="n"/>
      <c r="C189" s="4" t="n"/>
      <c r="D189" s="4" t="n"/>
      <c r="E189" s="4" t="n"/>
      <c r="F189" s="4" t="n"/>
      <c r="G189" s="24">
        <f>IF($A189="","",TEXT($A189,"yyyy-mm-dd")&amp;"|"&amp;$D189&amp;"|"&amp;$E189)</f>
        <v/>
      </c>
      <c r="I189" s="41" t="n">
        <v>46207</v>
      </c>
      <c r="J189" s="24">
        <f>IFERROR(INDEX('CALENDARIO'!$C$15:$C$214,MATCH(TEXT($I189,"yyyy-mm-dd")&amp;"|"&amp;""&amp;"|"&amp;"",'CALENDARIO'!$G$15:$G$214,0)),IFERROR(INDEX('CALENDARIO'!$C$15:$C$214,MATCH(TEXT($I189,"yyyy-mm-dd")&amp;"|"&amp;""&amp;"|",'CALENDARIO'!$G$15:$G$214,0)),IFERROR(INDEX('CALENDARIO'!$C$15:$C$214,MATCH(TEXT($I189,"yyyy-mm-dd")&amp;"||",'CALENDARIO'!$G$15:$G$214,0)),INDEX(patronHabil,WEEKDAY($I189,2)))))</f>
        <v/>
      </c>
    </row>
    <row r="190">
      <c r="A190" s="44" t="n"/>
      <c r="B190" s="4" t="n"/>
      <c r="C190" s="4" t="n"/>
      <c r="D190" s="4" t="n"/>
      <c r="E190" s="4" t="n"/>
      <c r="F190" s="4" t="n"/>
      <c r="G190" s="24">
        <f>IF($A190="","",TEXT($A190,"yyyy-mm-dd")&amp;"|"&amp;$D190&amp;"|"&amp;$E190)</f>
        <v/>
      </c>
      <c r="I190" s="41" t="n">
        <v>46208</v>
      </c>
      <c r="J190" s="24">
        <f>IFERROR(INDEX('CALENDARIO'!$C$15:$C$214,MATCH(TEXT($I190,"yyyy-mm-dd")&amp;"|"&amp;""&amp;"|"&amp;"",'CALENDARIO'!$G$15:$G$214,0)),IFERROR(INDEX('CALENDARIO'!$C$15:$C$214,MATCH(TEXT($I190,"yyyy-mm-dd")&amp;"|"&amp;""&amp;"|",'CALENDARIO'!$G$15:$G$214,0)),IFERROR(INDEX('CALENDARIO'!$C$15:$C$214,MATCH(TEXT($I190,"yyyy-mm-dd")&amp;"||",'CALENDARIO'!$G$15:$G$214,0)),INDEX(patronHabil,WEEKDAY($I190,2)))))</f>
        <v/>
      </c>
    </row>
    <row r="191">
      <c r="A191" s="44" t="n"/>
      <c r="B191" s="4" t="n"/>
      <c r="C191" s="4" t="n"/>
      <c r="D191" s="4" t="n"/>
      <c r="E191" s="4" t="n"/>
      <c r="F191" s="4" t="n"/>
      <c r="G191" s="24">
        <f>IF($A191="","",TEXT($A191,"yyyy-mm-dd")&amp;"|"&amp;$D191&amp;"|"&amp;$E191)</f>
        <v/>
      </c>
      <c r="I191" s="41" t="n">
        <v>46209</v>
      </c>
      <c r="J191" s="24">
        <f>IFERROR(INDEX('CALENDARIO'!$C$15:$C$214,MATCH(TEXT($I191,"yyyy-mm-dd")&amp;"|"&amp;""&amp;"|"&amp;"",'CALENDARIO'!$G$15:$G$214,0)),IFERROR(INDEX('CALENDARIO'!$C$15:$C$214,MATCH(TEXT($I191,"yyyy-mm-dd")&amp;"|"&amp;""&amp;"|",'CALENDARIO'!$G$15:$G$214,0)),IFERROR(INDEX('CALENDARIO'!$C$15:$C$214,MATCH(TEXT($I191,"yyyy-mm-dd")&amp;"||",'CALENDARIO'!$G$15:$G$214,0)),INDEX(patronHabil,WEEKDAY($I191,2)))))</f>
        <v/>
      </c>
    </row>
    <row r="192">
      <c r="A192" s="44" t="n"/>
      <c r="B192" s="4" t="n"/>
      <c r="C192" s="4" t="n"/>
      <c r="D192" s="4" t="n"/>
      <c r="E192" s="4" t="n"/>
      <c r="F192" s="4" t="n"/>
      <c r="G192" s="24">
        <f>IF($A192="","",TEXT($A192,"yyyy-mm-dd")&amp;"|"&amp;$D192&amp;"|"&amp;$E192)</f>
        <v/>
      </c>
      <c r="I192" s="41" t="n">
        <v>46210</v>
      </c>
      <c r="J192" s="24">
        <f>IFERROR(INDEX('CALENDARIO'!$C$15:$C$214,MATCH(TEXT($I192,"yyyy-mm-dd")&amp;"|"&amp;""&amp;"|"&amp;"",'CALENDARIO'!$G$15:$G$214,0)),IFERROR(INDEX('CALENDARIO'!$C$15:$C$214,MATCH(TEXT($I192,"yyyy-mm-dd")&amp;"|"&amp;""&amp;"|",'CALENDARIO'!$G$15:$G$214,0)),IFERROR(INDEX('CALENDARIO'!$C$15:$C$214,MATCH(TEXT($I192,"yyyy-mm-dd")&amp;"||",'CALENDARIO'!$G$15:$G$214,0)),INDEX(patronHabil,WEEKDAY($I192,2)))))</f>
        <v/>
      </c>
    </row>
    <row r="193">
      <c r="A193" s="44" t="n"/>
      <c r="B193" s="4" t="n"/>
      <c r="C193" s="4" t="n"/>
      <c r="D193" s="4" t="n"/>
      <c r="E193" s="4" t="n"/>
      <c r="F193" s="4" t="n"/>
      <c r="G193" s="24">
        <f>IF($A193="","",TEXT($A193,"yyyy-mm-dd")&amp;"|"&amp;$D193&amp;"|"&amp;$E193)</f>
        <v/>
      </c>
      <c r="I193" s="41" t="n">
        <v>46211</v>
      </c>
      <c r="J193" s="24">
        <f>IFERROR(INDEX('CALENDARIO'!$C$15:$C$214,MATCH(TEXT($I193,"yyyy-mm-dd")&amp;"|"&amp;""&amp;"|"&amp;"",'CALENDARIO'!$G$15:$G$214,0)),IFERROR(INDEX('CALENDARIO'!$C$15:$C$214,MATCH(TEXT($I193,"yyyy-mm-dd")&amp;"|"&amp;""&amp;"|",'CALENDARIO'!$G$15:$G$214,0)),IFERROR(INDEX('CALENDARIO'!$C$15:$C$214,MATCH(TEXT($I193,"yyyy-mm-dd")&amp;"||",'CALENDARIO'!$G$15:$G$214,0)),INDEX(patronHabil,WEEKDAY($I193,2)))))</f>
        <v/>
      </c>
    </row>
    <row r="194">
      <c r="A194" s="44" t="n"/>
      <c r="B194" s="4" t="n"/>
      <c r="C194" s="4" t="n"/>
      <c r="D194" s="4" t="n"/>
      <c r="E194" s="4" t="n"/>
      <c r="F194" s="4" t="n"/>
      <c r="G194" s="24">
        <f>IF($A194="","",TEXT($A194,"yyyy-mm-dd")&amp;"|"&amp;$D194&amp;"|"&amp;$E194)</f>
        <v/>
      </c>
      <c r="I194" s="41" t="n">
        <v>46212</v>
      </c>
      <c r="J194" s="24">
        <f>IFERROR(INDEX('CALENDARIO'!$C$15:$C$214,MATCH(TEXT($I194,"yyyy-mm-dd")&amp;"|"&amp;""&amp;"|"&amp;"",'CALENDARIO'!$G$15:$G$214,0)),IFERROR(INDEX('CALENDARIO'!$C$15:$C$214,MATCH(TEXT($I194,"yyyy-mm-dd")&amp;"|"&amp;""&amp;"|",'CALENDARIO'!$G$15:$G$214,0)),IFERROR(INDEX('CALENDARIO'!$C$15:$C$214,MATCH(TEXT($I194,"yyyy-mm-dd")&amp;"||",'CALENDARIO'!$G$15:$G$214,0)),INDEX(patronHabil,WEEKDAY($I194,2)))))</f>
        <v/>
      </c>
    </row>
    <row r="195">
      <c r="A195" s="44" t="n"/>
      <c r="B195" s="4" t="n"/>
      <c r="C195" s="4" t="n"/>
      <c r="D195" s="4" t="n"/>
      <c r="E195" s="4" t="n"/>
      <c r="F195" s="4" t="n"/>
      <c r="G195" s="24">
        <f>IF($A195="","",TEXT($A195,"yyyy-mm-dd")&amp;"|"&amp;$D195&amp;"|"&amp;$E195)</f>
        <v/>
      </c>
      <c r="I195" s="41" t="n">
        <v>46213</v>
      </c>
      <c r="J195" s="24">
        <f>IFERROR(INDEX('CALENDARIO'!$C$15:$C$214,MATCH(TEXT($I195,"yyyy-mm-dd")&amp;"|"&amp;""&amp;"|"&amp;"",'CALENDARIO'!$G$15:$G$214,0)),IFERROR(INDEX('CALENDARIO'!$C$15:$C$214,MATCH(TEXT($I195,"yyyy-mm-dd")&amp;"|"&amp;""&amp;"|",'CALENDARIO'!$G$15:$G$214,0)),IFERROR(INDEX('CALENDARIO'!$C$15:$C$214,MATCH(TEXT($I195,"yyyy-mm-dd")&amp;"||",'CALENDARIO'!$G$15:$G$214,0)),INDEX(patronHabil,WEEKDAY($I195,2)))))</f>
        <v/>
      </c>
    </row>
    <row r="196">
      <c r="A196" s="44" t="n"/>
      <c r="B196" s="4" t="n"/>
      <c r="C196" s="4" t="n"/>
      <c r="D196" s="4" t="n"/>
      <c r="E196" s="4" t="n"/>
      <c r="F196" s="4" t="n"/>
      <c r="G196" s="24">
        <f>IF($A196="","",TEXT($A196,"yyyy-mm-dd")&amp;"|"&amp;$D196&amp;"|"&amp;$E196)</f>
        <v/>
      </c>
      <c r="I196" s="41" t="n">
        <v>46214</v>
      </c>
      <c r="J196" s="24">
        <f>IFERROR(INDEX('CALENDARIO'!$C$15:$C$214,MATCH(TEXT($I196,"yyyy-mm-dd")&amp;"|"&amp;""&amp;"|"&amp;"",'CALENDARIO'!$G$15:$G$214,0)),IFERROR(INDEX('CALENDARIO'!$C$15:$C$214,MATCH(TEXT($I196,"yyyy-mm-dd")&amp;"|"&amp;""&amp;"|",'CALENDARIO'!$G$15:$G$214,0)),IFERROR(INDEX('CALENDARIO'!$C$15:$C$214,MATCH(TEXT($I196,"yyyy-mm-dd")&amp;"||",'CALENDARIO'!$G$15:$G$214,0)),INDEX(patronHabil,WEEKDAY($I196,2)))))</f>
        <v/>
      </c>
    </row>
    <row r="197">
      <c r="A197" s="44" t="n"/>
      <c r="B197" s="4" t="n"/>
      <c r="C197" s="4" t="n"/>
      <c r="D197" s="4" t="n"/>
      <c r="E197" s="4" t="n"/>
      <c r="F197" s="4" t="n"/>
      <c r="G197" s="24">
        <f>IF($A197="","",TEXT($A197,"yyyy-mm-dd")&amp;"|"&amp;$D197&amp;"|"&amp;$E197)</f>
        <v/>
      </c>
      <c r="I197" s="41" t="n">
        <v>46215</v>
      </c>
      <c r="J197" s="24">
        <f>IFERROR(INDEX('CALENDARIO'!$C$15:$C$214,MATCH(TEXT($I197,"yyyy-mm-dd")&amp;"|"&amp;""&amp;"|"&amp;"",'CALENDARIO'!$G$15:$G$214,0)),IFERROR(INDEX('CALENDARIO'!$C$15:$C$214,MATCH(TEXT($I197,"yyyy-mm-dd")&amp;"|"&amp;""&amp;"|",'CALENDARIO'!$G$15:$G$214,0)),IFERROR(INDEX('CALENDARIO'!$C$15:$C$214,MATCH(TEXT($I197,"yyyy-mm-dd")&amp;"||",'CALENDARIO'!$G$15:$G$214,0)),INDEX(patronHabil,WEEKDAY($I197,2)))))</f>
        <v/>
      </c>
    </row>
    <row r="198">
      <c r="A198" s="44" t="n"/>
      <c r="B198" s="4" t="n"/>
      <c r="C198" s="4" t="n"/>
      <c r="D198" s="4" t="n"/>
      <c r="E198" s="4" t="n"/>
      <c r="F198" s="4" t="n"/>
      <c r="G198" s="24">
        <f>IF($A198="","",TEXT($A198,"yyyy-mm-dd")&amp;"|"&amp;$D198&amp;"|"&amp;$E198)</f>
        <v/>
      </c>
      <c r="I198" s="41" t="n">
        <v>46216</v>
      </c>
      <c r="J198" s="24">
        <f>IFERROR(INDEX('CALENDARIO'!$C$15:$C$214,MATCH(TEXT($I198,"yyyy-mm-dd")&amp;"|"&amp;""&amp;"|"&amp;"",'CALENDARIO'!$G$15:$G$214,0)),IFERROR(INDEX('CALENDARIO'!$C$15:$C$214,MATCH(TEXT($I198,"yyyy-mm-dd")&amp;"|"&amp;""&amp;"|",'CALENDARIO'!$G$15:$G$214,0)),IFERROR(INDEX('CALENDARIO'!$C$15:$C$214,MATCH(TEXT($I198,"yyyy-mm-dd")&amp;"||",'CALENDARIO'!$G$15:$G$214,0)),INDEX(patronHabil,WEEKDAY($I198,2)))))</f>
        <v/>
      </c>
    </row>
    <row r="199">
      <c r="A199" s="44" t="n"/>
      <c r="B199" s="4" t="n"/>
      <c r="C199" s="4" t="n"/>
      <c r="D199" s="4" t="n"/>
      <c r="E199" s="4" t="n"/>
      <c r="F199" s="4" t="n"/>
      <c r="G199" s="24">
        <f>IF($A199="","",TEXT($A199,"yyyy-mm-dd")&amp;"|"&amp;$D199&amp;"|"&amp;$E199)</f>
        <v/>
      </c>
      <c r="I199" s="41" t="n">
        <v>46217</v>
      </c>
      <c r="J199" s="24">
        <f>IFERROR(INDEX('CALENDARIO'!$C$15:$C$214,MATCH(TEXT($I199,"yyyy-mm-dd")&amp;"|"&amp;""&amp;"|"&amp;"",'CALENDARIO'!$G$15:$G$214,0)),IFERROR(INDEX('CALENDARIO'!$C$15:$C$214,MATCH(TEXT($I199,"yyyy-mm-dd")&amp;"|"&amp;""&amp;"|",'CALENDARIO'!$G$15:$G$214,0)),IFERROR(INDEX('CALENDARIO'!$C$15:$C$214,MATCH(TEXT($I199,"yyyy-mm-dd")&amp;"||",'CALENDARIO'!$G$15:$G$214,0)),INDEX(patronHabil,WEEKDAY($I199,2)))))</f>
        <v/>
      </c>
    </row>
    <row r="200">
      <c r="A200" s="44" t="n"/>
      <c r="B200" s="4" t="n"/>
      <c r="C200" s="4" t="n"/>
      <c r="D200" s="4" t="n"/>
      <c r="E200" s="4" t="n"/>
      <c r="F200" s="4" t="n"/>
      <c r="G200" s="24">
        <f>IF($A200="","",TEXT($A200,"yyyy-mm-dd")&amp;"|"&amp;$D200&amp;"|"&amp;$E200)</f>
        <v/>
      </c>
      <c r="I200" s="41" t="n">
        <v>46218</v>
      </c>
      <c r="J200" s="24">
        <f>IFERROR(INDEX('CALENDARIO'!$C$15:$C$214,MATCH(TEXT($I200,"yyyy-mm-dd")&amp;"|"&amp;""&amp;"|"&amp;"",'CALENDARIO'!$G$15:$G$214,0)),IFERROR(INDEX('CALENDARIO'!$C$15:$C$214,MATCH(TEXT($I200,"yyyy-mm-dd")&amp;"|"&amp;""&amp;"|",'CALENDARIO'!$G$15:$G$214,0)),IFERROR(INDEX('CALENDARIO'!$C$15:$C$214,MATCH(TEXT($I200,"yyyy-mm-dd")&amp;"||",'CALENDARIO'!$G$15:$G$214,0)),INDEX(patronHabil,WEEKDAY($I200,2)))))</f>
        <v/>
      </c>
    </row>
    <row r="201">
      <c r="A201" s="44" t="n"/>
      <c r="B201" s="4" t="n"/>
      <c r="C201" s="4" t="n"/>
      <c r="D201" s="4" t="n"/>
      <c r="E201" s="4" t="n"/>
      <c r="F201" s="4" t="n"/>
      <c r="G201" s="24">
        <f>IF($A201="","",TEXT($A201,"yyyy-mm-dd")&amp;"|"&amp;$D201&amp;"|"&amp;$E201)</f>
        <v/>
      </c>
      <c r="I201" s="41" t="n">
        <v>46219</v>
      </c>
      <c r="J201" s="24">
        <f>IFERROR(INDEX('CALENDARIO'!$C$15:$C$214,MATCH(TEXT($I201,"yyyy-mm-dd")&amp;"|"&amp;""&amp;"|"&amp;"",'CALENDARIO'!$G$15:$G$214,0)),IFERROR(INDEX('CALENDARIO'!$C$15:$C$214,MATCH(TEXT($I201,"yyyy-mm-dd")&amp;"|"&amp;""&amp;"|",'CALENDARIO'!$G$15:$G$214,0)),IFERROR(INDEX('CALENDARIO'!$C$15:$C$214,MATCH(TEXT($I201,"yyyy-mm-dd")&amp;"||",'CALENDARIO'!$G$15:$G$214,0)),INDEX(patronHabil,WEEKDAY($I201,2)))))</f>
        <v/>
      </c>
    </row>
    <row r="202">
      <c r="A202" s="44" t="n"/>
      <c r="B202" s="4" t="n"/>
      <c r="C202" s="4" t="n"/>
      <c r="D202" s="4" t="n"/>
      <c r="E202" s="4" t="n"/>
      <c r="F202" s="4" t="n"/>
      <c r="G202" s="24">
        <f>IF($A202="","",TEXT($A202,"yyyy-mm-dd")&amp;"|"&amp;$D202&amp;"|"&amp;$E202)</f>
        <v/>
      </c>
      <c r="I202" s="41" t="n">
        <v>46220</v>
      </c>
      <c r="J202" s="24">
        <f>IFERROR(INDEX('CALENDARIO'!$C$15:$C$214,MATCH(TEXT($I202,"yyyy-mm-dd")&amp;"|"&amp;""&amp;"|"&amp;"",'CALENDARIO'!$G$15:$G$214,0)),IFERROR(INDEX('CALENDARIO'!$C$15:$C$214,MATCH(TEXT($I202,"yyyy-mm-dd")&amp;"|"&amp;""&amp;"|",'CALENDARIO'!$G$15:$G$214,0)),IFERROR(INDEX('CALENDARIO'!$C$15:$C$214,MATCH(TEXT($I202,"yyyy-mm-dd")&amp;"||",'CALENDARIO'!$G$15:$G$214,0)),INDEX(patronHabil,WEEKDAY($I202,2)))))</f>
        <v/>
      </c>
    </row>
    <row r="203">
      <c r="A203" s="44" t="n"/>
      <c r="B203" s="4" t="n"/>
      <c r="C203" s="4" t="n"/>
      <c r="D203" s="4" t="n"/>
      <c r="E203" s="4" t="n"/>
      <c r="F203" s="4" t="n"/>
      <c r="G203" s="24">
        <f>IF($A203="","",TEXT($A203,"yyyy-mm-dd")&amp;"|"&amp;$D203&amp;"|"&amp;$E203)</f>
        <v/>
      </c>
      <c r="I203" s="41" t="n">
        <v>46221</v>
      </c>
      <c r="J203" s="24">
        <f>IFERROR(INDEX('CALENDARIO'!$C$15:$C$214,MATCH(TEXT($I203,"yyyy-mm-dd")&amp;"|"&amp;""&amp;"|"&amp;"",'CALENDARIO'!$G$15:$G$214,0)),IFERROR(INDEX('CALENDARIO'!$C$15:$C$214,MATCH(TEXT($I203,"yyyy-mm-dd")&amp;"|"&amp;""&amp;"|",'CALENDARIO'!$G$15:$G$214,0)),IFERROR(INDEX('CALENDARIO'!$C$15:$C$214,MATCH(TEXT($I203,"yyyy-mm-dd")&amp;"||",'CALENDARIO'!$G$15:$G$214,0)),INDEX(patronHabil,WEEKDAY($I203,2)))))</f>
        <v/>
      </c>
    </row>
    <row r="204">
      <c r="A204" s="44" t="n"/>
      <c r="B204" s="4" t="n"/>
      <c r="C204" s="4" t="n"/>
      <c r="D204" s="4" t="n"/>
      <c r="E204" s="4" t="n"/>
      <c r="F204" s="4" t="n"/>
      <c r="G204" s="24">
        <f>IF($A204="","",TEXT($A204,"yyyy-mm-dd")&amp;"|"&amp;$D204&amp;"|"&amp;$E204)</f>
        <v/>
      </c>
      <c r="I204" s="41" t="n">
        <v>46222</v>
      </c>
      <c r="J204" s="24">
        <f>IFERROR(INDEX('CALENDARIO'!$C$15:$C$214,MATCH(TEXT($I204,"yyyy-mm-dd")&amp;"|"&amp;""&amp;"|"&amp;"",'CALENDARIO'!$G$15:$G$214,0)),IFERROR(INDEX('CALENDARIO'!$C$15:$C$214,MATCH(TEXT($I204,"yyyy-mm-dd")&amp;"|"&amp;""&amp;"|",'CALENDARIO'!$G$15:$G$214,0)),IFERROR(INDEX('CALENDARIO'!$C$15:$C$214,MATCH(TEXT($I204,"yyyy-mm-dd")&amp;"||",'CALENDARIO'!$G$15:$G$214,0)),INDEX(patronHabil,WEEKDAY($I204,2)))))</f>
        <v/>
      </c>
    </row>
    <row r="205">
      <c r="A205" s="44" t="n"/>
      <c r="B205" s="4" t="n"/>
      <c r="C205" s="4" t="n"/>
      <c r="D205" s="4" t="n"/>
      <c r="E205" s="4" t="n"/>
      <c r="F205" s="4" t="n"/>
      <c r="G205" s="24">
        <f>IF($A205="","",TEXT($A205,"yyyy-mm-dd")&amp;"|"&amp;$D205&amp;"|"&amp;$E205)</f>
        <v/>
      </c>
      <c r="I205" s="41" t="n">
        <v>46223</v>
      </c>
      <c r="J205" s="24">
        <f>IFERROR(INDEX('CALENDARIO'!$C$15:$C$214,MATCH(TEXT($I205,"yyyy-mm-dd")&amp;"|"&amp;""&amp;"|"&amp;"",'CALENDARIO'!$G$15:$G$214,0)),IFERROR(INDEX('CALENDARIO'!$C$15:$C$214,MATCH(TEXT($I205,"yyyy-mm-dd")&amp;"|"&amp;""&amp;"|",'CALENDARIO'!$G$15:$G$214,0)),IFERROR(INDEX('CALENDARIO'!$C$15:$C$214,MATCH(TEXT($I205,"yyyy-mm-dd")&amp;"||",'CALENDARIO'!$G$15:$G$214,0)),INDEX(patronHabil,WEEKDAY($I205,2)))))</f>
        <v/>
      </c>
    </row>
    <row r="206">
      <c r="A206" s="44" t="n"/>
      <c r="B206" s="4" t="n"/>
      <c r="C206" s="4" t="n"/>
      <c r="D206" s="4" t="n"/>
      <c r="E206" s="4" t="n"/>
      <c r="F206" s="4" t="n"/>
      <c r="G206" s="24">
        <f>IF($A206="","",TEXT($A206,"yyyy-mm-dd")&amp;"|"&amp;$D206&amp;"|"&amp;$E206)</f>
        <v/>
      </c>
      <c r="I206" s="41" t="n">
        <v>46224</v>
      </c>
      <c r="J206" s="24">
        <f>IFERROR(INDEX('CALENDARIO'!$C$15:$C$214,MATCH(TEXT($I206,"yyyy-mm-dd")&amp;"|"&amp;""&amp;"|"&amp;"",'CALENDARIO'!$G$15:$G$214,0)),IFERROR(INDEX('CALENDARIO'!$C$15:$C$214,MATCH(TEXT($I206,"yyyy-mm-dd")&amp;"|"&amp;""&amp;"|",'CALENDARIO'!$G$15:$G$214,0)),IFERROR(INDEX('CALENDARIO'!$C$15:$C$214,MATCH(TEXT($I206,"yyyy-mm-dd")&amp;"||",'CALENDARIO'!$G$15:$G$214,0)),INDEX(patronHabil,WEEKDAY($I206,2)))))</f>
        <v/>
      </c>
    </row>
    <row r="207">
      <c r="A207" s="44" t="n"/>
      <c r="B207" s="4" t="n"/>
      <c r="C207" s="4" t="n"/>
      <c r="D207" s="4" t="n"/>
      <c r="E207" s="4" t="n"/>
      <c r="F207" s="4" t="n"/>
      <c r="G207" s="24">
        <f>IF($A207="","",TEXT($A207,"yyyy-mm-dd")&amp;"|"&amp;$D207&amp;"|"&amp;$E207)</f>
        <v/>
      </c>
      <c r="I207" s="41" t="n">
        <v>46225</v>
      </c>
      <c r="J207" s="24">
        <f>IFERROR(INDEX('CALENDARIO'!$C$15:$C$214,MATCH(TEXT($I207,"yyyy-mm-dd")&amp;"|"&amp;""&amp;"|"&amp;"",'CALENDARIO'!$G$15:$G$214,0)),IFERROR(INDEX('CALENDARIO'!$C$15:$C$214,MATCH(TEXT($I207,"yyyy-mm-dd")&amp;"|"&amp;""&amp;"|",'CALENDARIO'!$G$15:$G$214,0)),IFERROR(INDEX('CALENDARIO'!$C$15:$C$214,MATCH(TEXT($I207,"yyyy-mm-dd")&amp;"||",'CALENDARIO'!$G$15:$G$214,0)),INDEX(patronHabil,WEEKDAY($I207,2)))))</f>
        <v/>
      </c>
    </row>
    <row r="208">
      <c r="A208" s="44" t="n"/>
      <c r="B208" s="4" t="n"/>
      <c r="C208" s="4" t="n"/>
      <c r="D208" s="4" t="n"/>
      <c r="E208" s="4" t="n"/>
      <c r="F208" s="4" t="n"/>
      <c r="G208" s="24">
        <f>IF($A208="","",TEXT($A208,"yyyy-mm-dd")&amp;"|"&amp;$D208&amp;"|"&amp;$E208)</f>
        <v/>
      </c>
      <c r="I208" s="41" t="n">
        <v>46226</v>
      </c>
      <c r="J208" s="24">
        <f>IFERROR(INDEX('CALENDARIO'!$C$15:$C$214,MATCH(TEXT($I208,"yyyy-mm-dd")&amp;"|"&amp;""&amp;"|"&amp;"",'CALENDARIO'!$G$15:$G$214,0)),IFERROR(INDEX('CALENDARIO'!$C$15:$C$214,MATCH(TEXT($I208,"yyyy-mm-dd")&amp;"|"&amp;""&amp;"|",'CALENDARIO'!$G$15:$G$214,0)),IFERROR(INDEX('CALENDARIO'!$C$15:$C$214,MATCH(TEXT($I208,"yyyy-mm-dd")&amp;"||",'CALENDARIO'!$G$15:$G$214,0)),INDEX(patronHabil,WEEKDAY($I208,2)))))</f>
        <v/>
      </c>
    </row>
    <row r="209">
      <c r="A209" s="44" t="n"/>
      <c r="B209" s="4" t="n"/>
      <c r="C209" s="4" t="n"/>
      <c r="D209" s="4" t="n"/>
      <c r="E209" s="4" t="n"/>
      <c r="F209" s="4" t="n"/>
      <c r="G209" s="24">
        <f>IF($A209="","",TEXT($A209,"yyyy-mm-dd")&amp;"|"&amp;$D209&amp;"|"&amp;$E209)</f>
        <v/>
      </c>
      <c r="I209" s="41" t="n">
        <v>46227</v>
      </c>
      <c r="J209" s="24">
        <f>IFERROR(INDEX('CALENDARIO'!$C$15:$C$214,MATCH(TEXT($I209,"yyyy-mm-dd")&amp;"|"&amp;""&amp;"|"&amp;"",'CALENDARIO'!$G$15:$G$214,0)),IFERROR(INDEX('CALENDARIO'!$C$15:$C$214,MATCH(TEXT($I209,"yyyy-mm-dd")&amp;"|"&amp;""&amp;"|",'CALENDARIO'!$G$15:$G$214,0)),IFERROR(INDEX('CALENDARIO'!$C$15:$C$214,MATCH(TEXT($I209,"yyyy-mm-dd")&amp;"||",'CALENDARIO'!$G$15:$G$214,0)),INDEX(patronHabil,WEEKDAY($I209,2)))))</f>
        <v/>
      </c>
    </row>
    <row r="210">
      <c r="A210" s="44" t="n"/>
      <c r="B210" s="4" t="n"/>
      <c r="C210" s="4" t="n"/>
      <c r="D210" s="4" t="n"/>
      <c r="E210" s="4" t="n"/>
      <c r="F210" s="4" t="n"/>
      <c r="G210" s="24">
        <f>IF($A210="","",TEXT($A210,"yyyy-mm-dd")&amp;"|"&amp;$D210&amp;"|"&amp;$E210)</f>
        <v/>
      </c>
      <c r="I210" s="41" t="n">
        <v>46228</v>
      </c>
      <c r="J210" s="24">
        <f>IFERROR(INDEX('CALENDARIO'!$C$15:$C$214,MATCH(TEXT($I210,"yyyy-mm-dd")&amp;"|"&amp;""&amp;"|"&amp;"",'CALENDARIO'!$G$15:$G$214,0)),IFERROR(INDEX('CALENDARIO'!$C$15:$C$214,MATCH(TEXT($I210,"yyyy-mm-dd")&amp;"|"&amp;""&amp;"|",'CALENDARIO'!$G$15:$G$214,0)),IFERROR(INDEX('CALENDARIO'!$C$15:$C$214,MATCH(TEXT($I210,"yyyy-mm-dd")&amp;"||",'CALENDARIO'!$G$15:$G$214,0)),INDEX(patronHabil,WEEKDAY($I210,2)))))</f>
        <v/>
      </c>
    </row>
    <row r="211">
      <c r="A211" s="44" t="n"/>
      <c r="B211" s="4" t="n"/>
      <c r="C211" s="4" t="n"/>
      <c r="D211" s="4" t="n"/>
      <c r="E211" s="4" t="n"/>
      <c r="F211" s="4" t="n"/>
      <c r="G211" s="24">
        <f>IF($A211="","",TEXT($A211,"yyyy-mm-dd")&amp;"|"&amp;$D211&amp;"|"&amp;$E211)</f>
        <v/>
      </c>
      <c r="I211" s="41" t="n">
        <v>46229</v>
      </c>
      <c r="J211" s="24">
        <f>IFERROR(INDEX('CALENDARIO'!$C$15:$C$214,MATCH(TEXT($I211,"yyyy-mm-dd")&amp;"|"&amp;""&amp;"|"&amp;"",'CALENDARIO'!$G$15:$G$214,0)),IFERROR(INDEX('CALENDARIO'!$C$15:$C$214,MATCH(TEXT($I211,"yyyy-mm-dd")&amp;"|"&amp;""&amp;"|",'CALENDARIO'!$G$15:$G$214,0)),IFERROR(INDEX('CALENDARIO'!$C$15:$C$214,MATCH(TEXT($I211,"yyyy-mm-dd")&amp;"||",'CALENDARIO'!$G$15:$G$214,0)),INDEX(patronHabil,WEEKDAY($I211,2)))))</f>
        <v/>
      </c>
    </row>
    <row r="212">
      <c r="A212" s="44" t="n"/>
      <c r="B212" s="4" t="n"/>
      <c r="C212" s="4" t="n"/>
      <c r="D212" s="4" t="n"/>
      <c r="E212" s="4" t="n"/>
      <c r="F212" s="4" t="n"/>
      <c r="G212" s="24">
        <f>IF($A212="","",TEXT($A212,"yyyy-mm-dd")&amp;"|"&amp;$D212&amp;"|"&amp;$E212)</f>
        <v/>
      </c>
      <c r="I212" s="41" t="n">
        <v>46230</v>
      </c>
      <c r="J212" s="24">
        <f>IFERROR(INDEX('CALENDARIO'!$C$15:$C$214,MATCH(TEXT($I212,"yyyy-mm-dd")&amp;"|"&amp;""&amp;"|"&amp;"",'CALENDARIO'!$G$15:$G$214,0)),IFERROR(INDEX('CALENDARIO'!$C$15:$C$214,MATCH(TEXT($I212,"yyyy-mm-dd")&amp;"|"&amp;""&amp;"|",'CALENDARIO'!$G$15:$G$214,0)),IFERROR(INDEX('CALENDARIO'!$C$15:$C$214,MATCH(TEXT($I212,"yyyy-mm-dd")&amp;"||",'CALENDARIO'!$G$15:$G$214,0)),INDEX(patronHabil,WEEKDAY($I212,2)))))</f>
        <v/>
      </c>
    </row>
    <row r="213">
      <c r="A213" s="44" t="n"/>
      <c r="B213" s="4" t="n"/>
      <c r="C213" s="4" t="n"/>
      <c r="D213" s="4" t="n"/>
      <c r="E213" s="4" t="n"/>
      <c r="F213" s="4" t="n"/>
      <c r="G213" s="24">
        <f>IF($A213="","",TEXT($A213,"yyyy-mm-dd")&amp;"|"&amp;$D213&amp;"|"&amp;$E213)</f>
        <v/>
      </c>
      <c r="I213" s="41" t="n">
        <v>46231</v>
      </c>
      <c r="J213" s="24">
        <f>IFERROR(INDEX('CALENDARIO'!$C$15:$C$214,MATCH(TEXT($I213,"yyyy-mm-dd")&amp;"|"&amp;""&amp;"|"&amp;"",'CALENDARIO'!$G$15:$G$214,0)),IFERROR(INDEX('CALENDARIO'!$C$15:$C$214,MATCH(TEXT($I213,"yyyy-mm-dd")&amp;"|"&amp;""&amp;"|",'CALENDARIO'!$G$15:$G$214,0)),IFERROR(INDEX('CALENDARIO'!$C$15:$C$214,MATCH(TEXT($I213,"yyyy-mm-dd")&amp;"||",'CALENDARIO'!$G$15:$G$214,0)),INDEX(patronHabil,WEEKDAY($I213,2)))))</f>
        <v/>
      </c>
    </row>
    <row r="214">
      <c r="A214" s="44" t="n"/>
      <c r="B214" s="4" t="n"/>
      <c r="C214" s="4" t="n"/>
      <c r="D214" s="4" t="n"/>
      <c r="E214" s="4" t="n"/>
      <c r="F214" s="4" t="n"/>
      <c r="G214" s="24">
        <f>IF($A214="","",TEXT($A214,"yyyy-mm-dd")&amp;"|"&amp;$D214&amp;"|"&amp;$E214)</f>
        <v/>
      </c>
      <c r="I214" s="41" t="n">
        <v>46232</v>
      </c>
      <c r="J214" s="24">
        <f>IFERROR(INDEX('CALENDARIO'!$C$15:$C$214,MATCH(TEXT($I214,"yyyy-mm-dd")&amp;"|"&amp;""&amp;"|"&amp;"",'CALENDARIO'!$G$15:$G$214,0)),IFERROR(INDEX('CALENDARIO'!$C$15:$C$214,MATCH(TEXT($I214,"yyyy-mm-dd")&amp;"|"&amp;""&amp;"|",'CALENDARIO'!$G$15:$G$214,0)),IFERROR(INDEX('CALENDARIO'!$C$15:$C$214,MATCH(TEXT($I214,"yyyy-mm-dd")&amp;"||",'CALENDARIO'!$G$15:$G$214,0)),INDEX(patronHabil,WEEKDAY($I214,2)))))</f>
        <v/>
      </c>
    </row>
    <row r="215">
      <c r="I215" s="41" t="n">
        <v>46233</v>
      </c>
      <c r="J215" s="24">
        <f>IFERROR(INDEX('CALENDARIO'!$C$15:$C$214,MATCH(TEXT($I215,"yyyy-mm-dd")&amp;"|"&amp;""&amp;"|"&amp;"",'CALENDARIO'!$G$15:$G$214,0)),IFERROR(INDEX('CALENDARIO'!$C$15:$C$214,MATCH(TEXT($I215,"yyyy-mm-dd")&amp;"|"&amp;""&amp;"|",'CALENDARIO'!$G$15:$G$214,0)),IFERROR(INDEX('CALENDARIO'!$C$15:$C$214,MATCH(TEXT($I215,"yyyy-mm-dd")&amp;"||",'CALENDARIO'!$G$15:$G$214,0)),INDEX(patronHabil,WEEKDAY($I215,2)))))</f>
        <v/>
      </c>
    </row>
    <row r="216">
      <c r="I216" s="41" t="n">
        <v>46234</v>
      </c>
      <c r="J216" s="24">
        <f>IFERROR(INDEX('CALENDARIO'!$C$15:$C$214,MATCH(TEXT($I216,"yyyy-mm-dd")&amp;"|"&amp;""&amp;"|"&amp;"",'CALENDARIO'!$G$15:$G$214,0)),IFERROR(INDEX('CALENDARIO'!$C$15:$C$214,MATCH(TEXT($I216,"yyyy-mm-dd")&amp;"|"&amp;""&amp;"|",'CALENDARIO'!$G$15:$G$214,0)),IFERROR(INDEX('CALENDARIO'!$C$15:$C$214,MATCH(TEXT($I216,"yyyy-mm-dd")&amp;"||",'CALENDARIO'!$G$15:$G$214,0)),INDEX(patronHabil,WEEKDAY($I216,2)))))</f>
        <v/>
      </c>
    </row>
    <row r="217">
      <c r="I217" s="41" t="n">
        <v>46235</v>
      </c>
      <c r="J217" s="24">
        <f>IFERROR(INDEX('CALENDARIO'!$C$15:$C$214,MATCH(TEXT($I217,"yyyy-mm-dd")&amp;"|"&amp;""&amp;"|"&amp;"",'CALENDARIO'!$G$15:$G$214,0)),IFERROR(INDEX('CALENDARIO'!$C$15:$C$214,MATCH(TEXT($I217,"yyyy-mm-dd")&amp;"|"&amp;""&amp;"|",'CALENDARIO'!$G$15:$G$214,0)),IFERROR(INDEX('CALENDARIO'!$C$15:$C$214,MATCH(TEXT($I217,"yyyy-mm-dd")&amp;"||",'CALENDARIO'!$G$15:$G$214,0)),INDEX(patronHabil,WEEKDAY($I217,2)))))</f>
        <v/>
      </c>
    </row>
    <row r="218">
      <c r="I218" s="41" t="n">
        <v>46236</v>
      </c>
      <c r="J218" s="24">
        <f>IFERROR(INDEX('CALENDARIO'!$C$15:$C$214,MATCH(TEXT($I218,"yyyy-mm-dd")&amp;"|"&amp;""&amp;"|"&amp;"",'CALENDARIO'!$G$15:$G$214,0)),IFERROR(INDEX('CALENDARIO'!$C$15:$C$214,MATCH(TEXT($I218,"yyyy-mm-dd")&amp;"|"&amp;""&amp;"|",'CALENDARIO'!$G$15:$G$214,0)),IFERROR(INDEX('CALENDARIO'!$C$15:$C$214,MATCH(TEXT($I218,"yyyy-mm-dd")&amp;"||",'CALENDARIO'!$G$15:$G$214,0)),INDEX(patronHabil,WEEKDAY($I218,2)))))</f>
        <v/>
      </c>
    </row>
    <row r="219">
      <c r="I219" s="41" t="n">
        <v>46237</v>
      </c>
      <c r="J219" s="24">
        <f>IFERROR(INDEX('CALENDARIO'!$C$15:$C$214,MATCH(TEXT($I219,"yyyy-mm-dd")&amp;"|"&amp;""&amp;"|"&amp;"",'CALENDARIO'!$G$15:$G$214,0)),IFERROR(INDEX('CALENDARIO'!$C$15:$C$214,MATCH(TEXT($I219,"yyyy-mm-dd")&amp;"|"&amp;""&amp;"|",'CALENDARIO'!$G$15:$G$214,0)),IFERROR(INDEX('CALENDARIO'!$C$15:$C$214,MATCH(TEXT($I219,"yyyy-mm-dd")&amp;"||",'CALENDARIO'!$G$15:$G$214,0)),INDEX(patronHabil,WEEKDAY($I219,2)))))</f>
        <v/>
      </c>
    </row>
    <row r="220">
      <c r="I220" s="41" t="n">
        <v>46238</v>
      </c>
      <c r="J220" s="24">
        <f>IFERROR(INDEX('CALENDARIO'!$C$15:$C$214,MATCH(TEXT($I220,"yyyy-mm-dd")&amp;"|"&amp;""&amp;"|"&amp;"",'CALENDARIO'!$G$15:$G$214,0)),IFERROR(INDEX('CALENDARIO'!$C$15:$C$214,MATCH(TEXT($I220,"yyyy-mm-dd")&amp;"|"&amp;""&amp;"|",'CALENDARIO'!$G$15:$G$214,0)),IFERROR(INDEX('CALENDARIO'!$C$15:$C$214,MATCH(TEXT($I220,"yyyy-mm-dd")&amp;"||",'CALENDARIO'!$G$15:$G$214,0)),INDEX(patronHabil,WEEKDAY($I220,2)))))</f>
        <v/>
      </c>
    </row>
    <row r="221">
      <c r="I221" s="41" t="n">
        <v>46239</v>
      </c>
      <c r="J221" s="24">
        <f>IFERROR(INDEX('CALENDARIO'!$C$15:$C$214,MATCH(TEXT($I221,"yyyy-mm-dd")&amp;"|"&amp;""&amp;"|"&amp;"",'CALENDARIO'!$G$15:$G$214,0)),IFERROR(INDEX('CALENDARIO'!$C$15:$C$214,MATCH(TEXT($I221,"yyyy-mm-dd")&amp;"|"&amp;""&amp;"|",'CALENDARIO'!$G$15:$G$214,0)),IFERROR(INDEX('CALENDARIO'!$C$15:$C$214,MATCH(TEXT($I221,"yyyy-mm-dd")&amp;"||",'CALENDARIO'!$G$15:$G$214,0)),INDEX(patronHabil,WEEKDAY($I221,2)))))</f>
        <v/>
      </c>
    </row>
    <row r="222">
      <c r="I222" s="41" t="n">
        <v>46240</v>
      </c>
      <c r="J222" s="24">
        <f>IFERROR(INDEX('CALENDARIO'!$C$15:$C$214,MATCH(TEXT($I222,"yyyy-mm-dd")&amp;"|"&amp;""&amp;"|"&amp;"",'CALENDARIO'!$G$15:$G$214,0)),IFERROR(INDEX('CALENDARIO'!$C$15:$C$214,MATCH(TEXT($I222,"yyyy-mm-dd")&amp;"|"&amp;""&amp;"|",'CALENDARIO'!$G$15:$G$214,0)),IFERROR(INDEX('CALENDARIO'!$C$15:$C$214,MATCH(TEXT($I222,"yyyy-mm-dd")&amp;"||",'CALENDARIO'!$G$15:$G$214,0)),INDEX(patronHabil,WEEKDAY($I222,2)))))</f>
        <v/>
      </c>
    </row>
    <row r="223">
      <c r="I223" s="41" t="n">
        <v>46241</v>
      </c>
      <c r="J223" s="24">
        <f>IFERROR(INDEX('CALENDARIO'!$C$15:$C$214,MATCH(TEXT($I223,"yyyy-mm-dd")&amp;"|"&amp;""&amp;"|"&amp;"",'CALENDARIO'!$G$15:$G$214,0)),IFERROR(INDEX('CALENDARIO'!$C$15:$C$214,MATCH(TEXT($I223,"yyyy-mm-dd")&amp;"|"&amp;""&amp;"|",'CALENDARIO'!$G$15:$G$214,0)),IFERROR(INDEX('CALENDARIO'!$C$15:$C$214,MATCH(TEXT($I223,"yyyy-mm-dd")&amp;"||",'CALENDARIO'!$G$15:$G$214,0)),INDEX(patronHabil,WEEKDAY($I223,2)))))</f>
        <v/>
      </c>
    </row>
    <row r="224">
      <c r="I224" s="41" t="n">
        <v>46242</v>
      </c>
      <c r="J224" s="24">
        <f>IFERROR(INDEX('CALENDARIO'!$C$15:$C$214,MATCH(TEXT($I224,"yyyy-mm-dd")&amp;"|"&amp;""&amp;"|"&amp;"",'CALENDARIO'!$G$15:$G$214,0)),IFERROR(INDEX('CALENDARIO'!$C$15:$C$214,MATCH(TEXT($I224,"yyyy-mm-dd")&amp;"|"&amp;""&amp;"|",'CALENDARIO'!$G$15:$G$214,0)),IFERROR(INDEX('CALENDARIO'!$C$15:$C$214,MATCH(TEXT($I224,"yyyy-mm-dd")&amp;"||",'CALENDARIO'!$G$15:$G$214,0)),INDEX(patronHabil,WEEKDAY($I224,2)))))</f>
        <v/>
      </c>
    </row>
    <row r="225">
      <c r="I225" s="41" t="n">
        <v>46243</v>
      </c>
      <c r="J225" s="24">
        <f>IFERROR(INDEX('CALENDARIO'!$C$15:$C$214,MATCH(TEXT($I225,"yyyy-mm-dd")&amp;"|"&amp;""&amp;"|"&amp;"",'CALENDARIO'!$G$15:$G$214,0)),IFERROR(INDEX('CALENDARIO'!$C$15:$C$214,MATCH(TEXT($I225,"yyyy-mm-dd")&amp;"|"&amp;""&amp;"|",'CALENDARIO'!$G$15:$G$214,0)),IFERROR(INDEX('CALENDARIO'!$C$15:$C$214,MATCH(TEXT($I225,"yyyy-mm-dd")&amp;"||",'CALENDARIO'!$G$15:$G$214,0)),INDEX(patronHabil,WEEKDAY($I225,2)))))</f>
        <v/>
      </c>
    </row>
    <row r="226">
      <c r="I226" s="41" t="n">
        <v>46244</v>
      </c>
      <c r="J226" s="24">
        <f>IFERROR(INDEX('CALENDARIO'!$C$15:$C$214,MATCH(TEXT($I226,"yyyy-mm-dd")&amp;"|"&amp;""&amp;"|"&amp;"",'CALENDARIO'!$G$15:$G$214,0)),IFERROR(INDEX('CALENDARIO'!$C$15:$C$214,MATCH(TEXT($I226,"yyyy-mm-dd")&amp;"|"&amp;""&amp;"|",'CALENDARIO'!$G$15:$G$214,0)),IFERROR(INDEX('CALENDARIO'!$C$15:$C$214,MATCH(TEXT($I226,"yyyy-mm-dd")&amp;"||",'CALENDARIO'!$G$15:$G$214,0)),INDEX(patronHabil,WEEKDAY($I226,2)))))</f>
        <v/>
      </c>
    </row>
    <row r="227">
      <c r="I227" s="41" t="n">
        <v>46245</v>
      </c>
      <c r="J227" s="24">
        <f>IFERROR(INDEX('CALENDARIO'!$C$15:$C$214,MATCH(TEXT($I227,"yyyy-mm-dd")&amp;"|"&amp;""&amp;"|"&amp;"",'CALENDARIO'!$G$15:$G$214,0)),IFERROR(INDEX('CALENDARIO'!$C$15:$C$214,MATCH(TEXT($I227,"yyyy-mm-dd")&amp;"|"&amp;""&amp;"|",'CALENDARIO'!$G$15:$G$214,0)),IFERROR(INDEX('CALENDARIO'!$C$15:$C$214,MATCH(TEXT($I227,"yyyy-mm-dd")&amp;"||",'CALENDARIO'!$G$15:$G$214,0)),INDEX(patronHabil,WEEKDAY($I227,2)))))</f>
        <v/>
      </c>
    </row>
    <row r="228">
      <c r="I228" s="41" t="n">
        <v>46246</v>
      </c>
      <c r="J228" s="24">
        <f>IFERROR(INDEX('CALENDARIO'!$C$15:$C$214,MATCH(TEXT($I228,"yyyy-mm-dd")&amp;"|"&amp;""&amp;"|"&amp;"",'CALENDARIO'!$G$15:$G$214,0)),IFERROR(INDEX('CALENDARIO'!$C$15:$C$214,MATCH(TEXT($I228,"yyyy-mm-dd")&amp;"|"&amp;""&amp;"|",'CALENDARIO'!$G$15:$G$214,0)),IFERROR(INDEX('CALENDARIO'!$C$15:$C$214,MATCH(TEXT($I228,"yyyy-mm-dd")&amp;"||",'CALENDARIO'!$G$15:$G$214,0)),INDEX(patronHabil,WEEKDAY($I228,2)))))</f>
        <v/>
      </c>
    </row>
    <row r="229">
      <c r="I229" s="41" t="n">
        <v>46247</v>
      </c>
      <c r="J229" s="24">
        <f>IFERROR(INDEX('CALENDARIO'!$C$15:$C$214,MATCH(TEXT($I229,"yyyy-mm-dd")&amp;"|"&amp;""&amp;"|"&amp;"",'CALENDARIO'!$G$15:$G$214,0)),IFERROR(INDEX('CALENDARIO'!$C$15:$C$214,MATCH(TEXT($I229,"yyyy-mm-dd")&amp;"|"&amp;""&amp;"|",'CALENDARIO'!$G$15:$G$214,0)),IFERROR(INDEX('CALENDARIO'!$C$15:$C$214,MATCH(TEXT($I229,"yyyy-mm-dd")&amp;"||",'CALENDARIO'!$G$15:$G$214,0)),INDEX(patronHabil,WEEKDAY($I229,2)))))</f>
        <v/>
      </c>
    </row>
    <row r="230">
      <c r="I230" s="41" t="n">
        <v>46248</v>
      </c>
      <c r="J230" s="24">
        <f>IFERROR(INDEX('CALENDARIO'!$C$15:$C$214,MATCH(TEXT($I230,"yyyy-mm-dd")&amp;"|"&amp;""&amp;"|"&amp;"",'CALENDARIO'!$G$15:$G$214,0)),IFERROR(INDEX('CALENDARIO'!$C$15:$C$214,MATCH(TEXT($I230,"yyyy-mm-dd")&amp;"|"&amp;""&amp;"|",'CALENDARIO'!$G$15:$G$214,0)),IFERROR(INDEX('CALENDARIO'!$C$15:$C$214,MATCH(TEXT($I230,"yyyy-mm-dd")&amp;"||",'CALENDARIO'!$G$15:$G$214,0)),INDEX(patronHabil,WEEKDAY($I230,2)))))</f>
        <v/>
      </c>
    </row>
    <row r="231">
      <c r="I231" s="41" t="n">
        <v>46249</v>
      </c>
      <c r="J231" s="24">
        <f>IFERROR(INDEX('CALENDARIO'!$C$15:$C$214,MATCH(TEXT($I231,"yyyy-mm-dd")&amp;"|"&amp;""&amp;"|"&amp;"",'CALENDARIO'!$G$15:$G$214,0)),IFERROR(INDEX('CALENDARIO'!$C$15:$C$214,MATCH(TEXT($I231,"yyyy-mm-dd")&amp;"|"&amp;""&amp;"|",'CALENDARIO'!$G$15:$G$214,0)),IFERROR(INDEX('CALENDARIO'!$C$15:$C$214,MATCH(TEXT($I231,"yyyy-mm-dd")&amp;"||",'CALENDARIO'!$G$15:$G$214,0)),INDEX(patronHabil,WEEKDAY($I231,2)))))</f>
        <v/>
      </c>
    </row>
    <row r="232">
      <c r="I232" s="41" t="n">
        <v>46250</v>
      </c>
      <c r="J232" s="24">
        <f>IFERROR(INDEX('CALENDARIO'!$C$15:$C$214,MATCH(TEXT($I232,"yyyy-mm-dd")&amp;"|"&amp;""&amp;"|"&amp;"",'CALENDARIO'!$G$15:$G$214,0)),IFERROR(INDEX('CALENDARIO'!$C$15:$C$214,MATCH(TEXT($I232,"yyyy-mm-dd")&amp;"|"&amp;""&amp;"|",'CALENDARIO'!$G$15:$G$214,0)),IFERROR(INDEX('CALENDARIO'!$C$15:$C$214,MATCH(TEXT($I232,"yyyy-mm-dd")&amp;"||",'CALENDARIO'!$G$15:$G$214,0)),INDEX(patronHabil,WEEKDAY($I232,2)))))</f>
        <v/>
      </c>
    </row>
    <row r="233">
      <c r="I233" s="41" t="n">
        <v>46251</v>
      </c>
      <c r="J233" s="24">
        <f>IFERROR(INDEX('CALENDARIO'!$C$15:$C$214,MATCH(TEXT($I233,"yyyy-mm-dd")&amp;"|"&amp;""&amp;"|"&amp;"",'CALENDARIO'!$G$15:$G$214,0)),IFERROR(INDEX('CALENDARIO'!$C$15:$C$214,MATCH(TEXT($I233,"yyyy-mm-dd")&amp;"|"&amp;""&amp;"|",'CALENDARIO'!$G$15:$G$214,0)),IFERROR(INDEX('CALENDARIO'!$C$15:$C$214,MATCH(TEXT($I233,"yyyy-mm-dd")&amp;"||",'CALENDARIO'!$G$15:$G$214,0)),INDEX(patronHabil,WEEKDAY($I233,2)))))</f>
        <v/>
      </c>
    </row>
    <row r="234">
      <c r="I234" s="41" t="n">
        <v>46252</v>
      </c>
      <c r="J234" s="24">
        <f>IFERROR(INDEX('CALENDARIO'!$C$15:$C$214,MATCH(TEXT($I234,"yyyy-mm-dd")&amp;"|"&amp;""&amp;"|"&amp;"",'CALENDARIO'!$G$15:$G$214,0)),IFERROR(INDEX('CALENDARIO'!$C$15:$C$214,MATCH(TEXT($I234,"yyyy-mm-dd")&amp;"|"&amp;""&amp;"|",'CALENDARIO'!$G$15:$G$214,0)),IFERROR(INDEX('CALENDARIO'!$C$15:$C$214,MATCH(TEXT($I234,"yyyy-mm-dd")&amp;"||",'CALENDARIO'!$G$15:$G$214,0)),INDEX(patronHabil,WEEKDAY($I234,2)))))</f>
        <v/>
      </c>
    </row>
    <row r="235">
      <c r="I235" s="41" t="n">
        <v>46253</v>
      </c>
      <c r="J235" s="24">
        <f>IFERROR(INDEX('CALENDARIO'!$C$15:$C$214,MATCH(TEXT($I235,"yyyy-mm-dd")&amp;"|"&amp;""&amp;"|"&amp;"",'CALENDARIO'!$G$15:$G$214,0)),IFERROR(INDEX('CALENDARIO'!$C$15:$C$214,MATCH(TEXT($I235,"yyyy-mm-dd")&amp;"|"&amp;""&amp;"|",'CALENDARIO'!$G$15:$G$214,0)),IFERROR(INDEX('CALENDARIO'!$C$15:$C$214,MATCH(TEXT($I235,"yyyy-mm-dd")&amp;"||",'CALENDARIO'!$G$15:$G$214,0)),INDEX(patronHabil,WEEKDAY($I235,2)))))</f>
        <v/>
      </c>
    </row>
    <row r="236">
      <c r="I236" s="41" t="n">
        <v>46254</v>
      </c>
      <c r="J236" s="24">
        <f>IFERROR(INDEX('CALENDARIO'!$C$15:$C$214,MATCH(TEXT($I236,"yyyy-mm-dd")&amp;"|"&amp;""&amp;"|"&amp;"",'CALENDARIO'!$G$15:$G$214,0)),IFERROR(INDEX('CALENDARIO'!$C$15:$C$214,MATCH(TEXT($I236,"yyyy-mm-dd")&amp;"|"&amp;""&amp;"|",'CALENDARIO'!$G$15:$G$214,0)),IFERROR(INDEX('CALENDARIO'!$C$15:$C$214,MATCH(TEXT($I236,"yyyy-mm-dd")&amp;"||",'CALENDARIO'!$G$15:$G$214,0)),INDEX(patronHabil,WEEKDAY($I236,2)))))</f>
        <v/>
      </c>
    </row>
    <row r="237">
      <c r="I237" s="41" t="n">
        <v>46255</v>
      </c>
      <c r="J237" s="24">
        <f>IFERROR(INDEX('CALENDARIO'!$C$15:$C$214,MATCH(TEXT($I237,"yyyy-mm-dd")&amp;"|"&amp;""&amp;"|"&amp;"",'CALENDARIO'!$G$15:$G$214,0)),IFERROR(INDEX('CALENDARIO'!$C$15:$C$214,MATCH(TEXT($I237,"yyyy-mm-dd")&amp;"|"&amp;""&amp;"|",'CALENDARIO'!$G$15:$G$214,0)),IFERROR(INDEX('CALENDARIO'!$C$15:$C$214,MATCH(TEXT($I237,"yyyy-mm-dd")&amp;"||",'CALENDARIO'!$G$15:$G$214,0)),INDEX(patronHabil,WEEKDAY($I237,2)))))</f>
        <v/>
      </c>
    </row>
    <row r="238">
      <c r="I238" s="41" t="n">
        <v>46256</v>
      </c>
      <c r="J238" s="24">
        <f>IFERROR(INDEX('CALENDARIO'!$C$15:$C$214,MATCH(TEXT($I238,"yyyy-mm-dd")&amp;"|"&amp;""&amp;"|"&amp;"",'CALENDARIO'!$G$15:$G$214,0)),IFERROR(INDEX('CALENDARIO'!$C$15:$C$214,MATCH(TEXT($I238,"yyyy-mm-dd")&amp;"|"&amp;""&amp;"|",'CALENDARIO'!$G$15:$G$214,0)),IFERROR(INDEX('CALENDARIO'!$C$15:$C$214,MATCH(TEXT($I238,"yyyy-mm-dd")&amp;"||",'CALENDARIO'!$G$15:$G$214,0)),INDEX(patronHabil,WEEKDAY($I238,2)))))</f>
        <v/>
      </c>
    </row>
    <row r="239">
      <c r="I239" s="41" t="n">
        <v>46257</v>
      </c>
      <c r="J239" s="24">
        <f>IFERROR(INDEX('CALENDARIO'!$C$15:$C$214,MATCH(TEXT($I239,"yyyy-mm-dd")&amp;"|"&amp;""&amp;"|"&amp;"",'CALENDARIO'!$G$15:$G$214,0)),IFERROR(INDEX('CALENDARIO'!$C$15:$C$214,MATCH(TEXT($I239,"yyyy-mm-dd")&amp;"|"&amp;""&amp;"|",'CALENDARIO'!$G$15:$G$214,0)),IFERROR(INDEX('CALENDARIO'!$C$15:$C$214,MATCH(TEXT($I239,"yyyy-mm-dd")&amp;"||",'CALENDARIO'!$G$15:$G$214,0)),INDEX(patronHabil,WEEKDAY($I239,2)))))</f>
        <v/>
      </c>
    </row>
    <row r="240">
      <c r="I240" s="41" t="n">
        <v>46258</v>
      </c>
      <c r="J240" s="24">
        <f>IFERROR(INDEX('CALENDARIO'!$C$15:$C$214,MATCH(TEXT($I240,"yyyy-mm-dd")&amp;"|"&amp;""&amp;"|"&amp;"",'CALENDARIO'!$G$15:$G$214,0)),IFERROR(INDEX('CALENDARIO'!$C$15:$C$214,MATCH(TEXT($I240,"yyyy-mm-dd")&amp;"|"&amp;""&amp;"|",'CALENDARIO'!$G$15:$G$214,0)),IFERROR(INDEX('CALENDARIO'!$C$15:$C$214,MATCH(TEXT($I240,"yyyy-mm-dd")&amp;"||",'CALENDARIO'!$G$15:$G$214,0)),INDEX(patronHabil,WEEKDAY($I240,2)))))</f>
        <v/>
      </c>
    </row>
    <row r="241">
      <c r="I241" s="41" t="n">
        <v>46259</v>
      </c>
      <c r="J241" s="24">
        <f>IFERROR(INDEX('CALENDARIO'!$C$15:$C$214,MATCH(TEXT($I241,"yyyy-mm-dd")&amp;"|"&amp;""&amp;"|"&amp;"",'CALENDARIO'!$G$15:$G$214,0)),IFERROR(INDEX('CALENDARIO'!$C$15:$C$214,MATCH(TEXT($I241,"yyyy-mm-dd")&amp;"|"&amp;""&amp;"|",'CALENDARIO'!$G$15:$G$214,0)),IFERROR(INDEX('CALENDARIO'!$C$15:$C$214,MATCH(TEXT($I241,"yyyy-mm-dd")&amp;"||",'CALENDARIO'!$G$15:$G$214,0)),INDEX(patronHabil,WEEKDAY($I241,2)))))</f>
        <v/>
      </c>
    </row>
    <row r="242">
      <c r="I242" s="41" t="n">
        <v>46260</v>
      </c>
      <c r="J242" s="24">
        <f>IFERROR(INDEX('CALENDARIO'!$C$15:$C$214,MATCH(TEXT($I242,"yyyy-mm-dd")&amp;"|"&amp;""&amp;"|"&amp;"",'CALENDARIO'!$G$15:$G$214,0)),IFERROR(INDEX('CALENDARIO'!$C$15:$C$214,MATCH(TEXT($I242,"yyyy-mm-dd")&amp;"|"&amp;""&amp;"|",'CALENDARIO'!$G$15:$G$214,0)),IFERROR(INDEX('CALENDARIO'!$C$15:$C$214,MATCH(TEXT($I242,"yyyy-mm-dd")&amp;"||",'CALENDARIO'!$G$15:$G$214,0)),INDEX(patronHabil,WEEKDAY($I242,2)))))</f>
        <v/>
      </c>
    </row>
    <row r="243">
      <c r="I243" s="41" t="n">
        <v>46261</v>
      </c>
      <c r="J243" s="24">
        <f>IFERROR(INDEX('CALENDARIO'!$C$15:$C$214,MATCH(TEXT($I243,"yyyy-mm-dd")&amp;"|"&amp;""&amp;"|"&amp;"",'CALENDARIO'!$G$15:$G$214,0)),IFERROR(INDEX('CALENDARIO'!$C$15:$C$214,MATCH(TEXT($I243,"yyyy-mm-dd")&amp;"|"&amp;""&amp;"|",'CALENDARIO'!$G$15:$G$214,0)),IFERROR(INDEX('CALENDARIO'!$C$15:$C$214,MATCH(TEXT($I243,"yyyy-mm-dd")&amp;"||",'CALENDARIO'!$G$15:$G$214,0)),INDEX(patronHabil,WEEKDAY($I243,2)))))</f>
        <v/>
      </c>
    </row>
    <row r="244">
      <c r="I244" s="41" t="n">
        <v>46262</v>
      </c>
      <c r="J244" s="24">
        <f>IFERROR(INDEX('CALENDARIO'!$C$15:$C$214,MATCH(TEXT($I244,"yyyy-mm-dd")&amp;"|"&amp;""&amp;"|"&amp;"",'CALENDARIO'!$G$15:$G$214,0)),IFERROR(INDEX('CALENDARIO'!$C$15:$C$214,MATCH(TEXT($I244,"yyyy-mm-dd")&amp;"|"&amp;""&amp;"|",'CALENDARIO'!$G$15:$G$214,0)),IFERROR(INDEX('CALENDARIO'!$C$15:$C$214,MATCH(TEXT($I244,"yyyy-mm-dd")&amp;"||",'CALENDARIO'!$G$15:$G$214,0)),INDEX(patronHabil,WEEKDAY($I244,2)))))</f>
        <v/>
      </c>
    </row>
    <row r="245">
      <c r="I245" s="41" t="n">
        <v>46263</v>
      </c>
      <c r="J245" s="24">
        <f>IFERROR(INDEX('CALENDARIO'!$C$15:$C$214,MATCH(TEXT($I245,"yyyy-mm-dd")&amp;"|"&amp;""&amp;"|"&amp;"",'CALENDARIO'!$G$15:$G$214,0)),IFERROR(INDEX('CALENDARIO'!$C$15:$C$214,MATCH(TEXT($I245,"yyyy-mm-dd")&amp;"|"&amp;""&amp;"|",'CALENDARIO'!$G$15:$G$214,0)),IFERROR(INDEX('CALENDARIO'!$C$15:$C$214,MATCH(TEXT($I245,"yyyy-mm-dd")&amp;"||",'CALENDARIO'!$G$15:$G$214,0)),INDEX(patronHabil,WEEKDAY($I245,2)))))</f>
        <v/>
      </c>
    </row>
    <row r="246">
      <c r="I246" s="41" t="n">
        <v>46264</v>
      </c>
      <c r="J246" s="24">
        <f>IFERROR(INDEX('CALENDARIO'!$C$15:$C$214,MATCH(TEXT($I246,"yyyy-mm-dd")&amp;"|"&amp;""&amp;"|"&amp;"",'CALENDARIO'!$G$15:$G$214,0)),IFERROR(INDEX('CALENDARIO'!$C$15:$C$214,MATCH(TEXT($I246,"yyyy-mm-dd")&amp;"|"&amp;""&amp;"|",'CALENDARIO'!$G$15:$G$214,0)),IFERROR(INDEX('CALENDARIO'!$C$15:$C$214,MATCH(TEXT($I246,"yyyy-mm-dd")&amp;"||",'CALENDARIO'!$G$15:$G$214,0)),INDEX(patronHabil,WEEKDAY($I246,2)))))</f>
        <v/>
      </c>
    </row>
    <row r="247">
      <c r="I247" s="41" t="n">
        <v>46265</v>
      </c>
      <c r="J247" s="24">
        <f>IFERROR(INDEX('CALENDARIO'!$C$15:$C$214,MATCH(TEXT($I247,"yyyy-mm-dd")&amp;"|"&amp;""&amp;"|"&amp;"",'CALENDARIO'!$G$15:$G$214,0)),IFERROR(INDEX('CALENDARIO'!$C$15:$C$214,MATCH(TEXT($I247,"yyyy-mm-dd")&amp;"|"&amp;""&amp;"|",'CALENDARIO'!$G$15:$G$214,0)),IFERROR(INDEX('CALENDARIO'!$C$15:$C$214,MATCH(TEXT($I247,"yyyy-mm-dd")&amp;"||",'CALENDARIO'!$G$15:$G$214,0)),INDEX(patronHabil,WEEKDAY($I247,2)))))</f>
        <v/>
      </c>
    </row>
    <row r="248">
      <c r="I248" s="41" t="n">
        <v>46266</v>
      </c>
      <c r="J248" s="24">
        <f>IFERROR(INDEX('CALENDARIO'!$C$15:$C$214,MATCH(TEXT($I248,"yyyy-mm-dd")&amp;"|"&amp;""&amp;"|"&amp;"",'CALENDARIO'!$G$15:$G$214,0)),IFERROR(INDEX('CALENDARIO'!$C$15:$C$214,MATCH(TEXT($I248,"yyyy-mm-dd")&amp;"|"&amp;""&amp;"|",'CALENDARIO'!$G$15:$G$214,0)),IFERROR(INDEX('CALENDARIO'!$C$15:$C$214,MATCH(TEXT($I248,"yyyy-mm-dd")&amp;"||",'CALENDARIO'!$G$15:$G$214,0)),INDEX(patronHabil,WEEKDAY($I248,2)))))</f>
        <v/>
      </c>
    </row>
    <row r="249">
      <c r="I249" s="41" t="n">
        <v>46267</v>
      </c>
      <c r="J249" s="24">
        <f>IFERROR(INDEX('CALENDARIO'!$C$15:$C$214,MATCH(TEXT($I249,"yyyy-mm-dd")&amp;"|"&amp;""&amp;"|"&amp;"",'CALENDARIO'!$G$15:$G$214,0)),IFERROR(INDEX('CALENDARIO'!$C$15:$C$214,MATCH(TEXT($I249,"yyyy-mm-dd")&amp;"|"&amp;""&amp;"|",'CALENDARIO'!$G$15:$G$214,0)),IFERROR(INDEX('CALENDARIO'!$C$15:$C$214,MATCH(TEXT($I249,"yyyy-mm-dd")&amp;"||",'CALENDARIO'!$G$15:$G$214,0)),INDEX(patronHabil,WEEKDAY($I249,2)))))</f>
        <v/>
      </c>
    </row>
    <row r="250">
      <c r="I250" s="41" t="n">
        <v>46268</v>
      </c>
      <c r="J250" s="24">
        <f>IFERROR(INDEX('CALENDARIO'!$C$15:$C$214,MATCH(TEXT($I250,"yyyy-mm-dd")&amp;"|"&amp;""&amp;"|"&amp;"",'CALENDARIO'!$G$15:$G$214,0)),IFERROR(INDEX('CALENDARIO'!$C$15:$C$214,MATCH(TEXT($I250,"yyyy-mm-dd")&amp;"|"&amp;""&amp;"|",'CALENDARIO'!$G$15:$G$214,0)),IFERROR(INDEX('CALENDARIO'!$C$15:$C$214,MATCH(TEXT($I250,"yyyy-mm-dd")&amp;"||",'CALENDARIO'!$G$15:$G$214,0)),INDEX(patronHabil,WEEKDAY($I250,2)))))</f>
        <v/>
      </c>
    </row>
    <row r="251">
      <c r="I251" s="41" t="n">
        <v>46269</v>
      </c>
      <c r="J251" s="24">
        <f>IFERROR(INDEX('CALENDARIO'!$C$15:$C$214,MATCH(TEXT($I251,"yyyy-mm-dd")&amp;"|"&amp;""&amp;"|"&amp;"",'CALENDARIO'!$G$15:$G$214,0)),IFERROR(INDEX('CALENDARIO'!$C$15:$C$214,MATCH(TEXT($I251,"yyyy-mm-dd")&amp;"|"&amp;""&amp;"|",'CALENDARIO'!$G$15:$G$214,0)),IFERROR(INDEX('CALENDARIO'!$C$15:$C$214,MATCH(TEXT($I251,"yyyy-mm-dd")&amp;"||",'CALENDARIO'!$G$15:$G$214,0)),INDEX(patronHabil,WEEKDAY($I251,2)))))</f>
        <v/>
      </c>
    </row>
    <row r="252">
      <c r="I252" s="41" t="n">
        <v>46270</v>
      </c>
      <c r="J252" s="24">
        <f>IFERROR(INDEX('CALENDARIO'!$C$15:$C$214,MATCH(TEXT($I252,"yyyy-mm-dd")&amp;"|"&amp;""&amp;"|"&amp;"",'CALENDARIO'!$G$15:$G$214,0)),IFERROR(INDEX('CALENDARIO'!$C$15:$C$214,MATCH(TEXT($I252,"yyyy-mm-dd")&amp;"|"&amp;""&amp;"|",'CALENDARIO'!$G$15:$G$214,0)),IFERROR(INDEX('CALENDARIO'!$C$15:$C$214,MATCH(TEXT($I252,"yyyy-mm-dd")&amp;"||",'CALENDARIO'!$G$15:$G$214,0)),INDEX(patronHabil,WEEKDAY($I252,2)))))</f>
        <v/>
      </c>
    </row>
    <row r="253">
      <c r="I253" s="41" t="n">
        <v>46271</v>
      </c>
      <c r="J253" s="24">
        <f>IFERROR(INDEX('CALENDARIO'!$C$15:$C$214,MATCH(TEXT($I253,"yyyy-mm-dd")&amp;"|"&amp;""&amp;"|"&amp;"",'CALENDARIO'!$G$15:$G$214,0)),IFERROR(INDEX('CALENDARIO'!$C$15:$C$214,MATCH(TEXT($I253,"yyyy-mm-dd")&amp;"|"&amp;""&amp;"|",'CALENDARIO'!$G$15:$G$214,0)),IFERROR(INDEX('CALENDARIO'!$C$15:$C$214,MATCH(TEXT($I253,"yyyy-mm-dd")&amp;"||",'CALENDARIO'!$G$15:$G$214,0)),INDEX(patronHabil,WEEKDAY($I253,2)))))</f>
        <v/>
      </c>
    </row>
    <row r="254">
      <c r="I254" s="41" t="n">
        <v>46272</v>
      </c>
      <c r="J254" s="24">
        <f>IFERROR(INDEX('CALENDARIO'!$C$15:$C$214,MATCH(TEXT($I254,"yyyy-mm-dd")&amp;"|"&amp;""&amp;"|"&amp;"",'CALENDARIO'!$G$15:$G$214,0)),IFERROR(INDEX('CALENDARIO'!$C$15:$C$214,MATCH(TEXT($I254,"yyyy-mm-dd")&amp;"|"&amp;""&amp;"|",'CALENDARIO'!$G$15:$G$214,0)),IFERROR(INDEX('CALENDARIO'!$C$15:$C$214,MATCH(TEXT($I254,"yyyy-mm-dd")&amp;"||",'CALENDARIO'!$G$15:$G$214,0)),INDEX(patronHabil,WEEKDAY($I254,2)))))</f>
        <v/>
      </c>
    </row>
    <row r="255">
      <c r="I255" s="41" t="n">
        <v>46273</v>
      </c>
      <c r="J255" s="24">
        <f>IFERROR(INDEX('CALENDARIO'!$C$15:$C$214,MATCH(TEXT($I255,"yyyy-mm-dd")&amp;"|"&amp;""&amp;"|"&amp;"",'CALENDARIO'!$G$15:$G$214,0)),IFERROR(INDEX('CALENDARIO'!$C$15:$C$214,MATCH(TEXT($I255,"yyyy-mm-dd")&amp;"|"&amp;""&amp;"|",'CALENDARIO'!$G$15:$G$214,0)),IFERROR(INDEX('CALENDARIO'!$C$15:$C$214,MATCH(TEXT($I255,"yyyy-mm-dd")&amp;"||",'CALENDARIO'!$G$15:$G$214,0)),INDEX(patronHabil,WEEKDAY($I255,2)))))</f>
        <v/>
      </c>
    </row>
    <row r="256">
      <c r="I256" s="41" t="n">
        <v>46274</v>
      </c>
      <c r="J256" s="24">
        <f>IFERROR(INDEX('CALENDARIO'!$C$15:$C$214,MATCH(TEXT($I256,"yyyy-mm-dd")&amp;"|"&amp;""&amp;"|"&amp;"",'CALENDARIO'!$G$15:$G$214,0)),IFERROR(INDEX('CALENDARIO'!$C$15:$C$214,MATCH(TEXT($I256,"yyyy-mm-dd")&amp;"|"&amp;""&amp;"|",'CALENDARIO'!$G$15:$G$214,0)),IFERROR(INDEX('CALENDARIO'!$C$15:$C$214,MATCH(TEXT($I256,"yyyy-mm-dd")&amp;"||",'CALENDARIO'!$G$15:$G$214,0)),INDEX(patronHabil,WEEKDAY($I256,2)))))</f>
        <v/>
      </c>
    </row>
    <row r="257">
      <c r="I257" s="41" t="n">
        <v>46275</v>
      </c>
      <c r="J257" s="24">
        <f>IFERROR(INDEX('CALENDARIO'!$C$15:$C$214,MATCH(TEXT($I257,"yyyy-mm-dd")&amp;"|"&amp;""&amp;"|"&amp;"",'CALENDARIO'!$G$15:$G$214,0)),IFERROR(INDEX('CALENDARIO'!$C$15:$C$214,MATCH(TEXT($I257,"yyyy-mm-dd")&amp;"|"&amp;""&amp;"|",'CALENDARIO'!$G$15:$G$214,0)),IFERROR(INDEX('CALENDARIO'!$C$15:$C$214,MATCH(TEXT($I257,"yyyy-mm-dd")&amp;"||",'CALENDARIO'!$G$15:$G$214,0)),INDEX(patronHabil,WEEKDAY($I257,2)))))</f>
        <v/>
      </c>
    </row>
    <row r="258">
      <c r="I258" s="41" t="n">
        <v>46276</v>
      </c>
      <c r="J258" s="24">
        <f>IFERROR(INDEX('CALENDARIO'!$C$15:$C$214,MATCH(TEXT($I258,"yyyy-mm-dd")&amp;"|"&amp;""&amp;"|"&amp;"",'CALENDARIO'!$G$15:$G$214,0)),IFERROR(INDEX('CALENDARIO'!$C$15:$C$214,MATCH(TEXT($I258,"yyyy-mm-dd")&amp;"|"&amp;""&amp;"|",'CALENDARIO'!$G$15:$G$214,0)),IFERROR(INDEX('CALENDARIO'!$C$15:$C$214,MATCH(TEXT($I258,"yyyy-mm-dd")&amp;"||",'CALENDARIO'!$G$15:$G$214,0)),INDEX(patronHabil,WEEKDAY($I258,2)))))</f>
        <v/>
      </c>
    </row>
    <row r="259">
      <c r="I259" s="41" t="n">
        <v>46277</v>
      </c>
      <c r="J259" s="24">
        <f>IFERROR(INDEX('CALENDARIO'!$C$15:$C$214,MATCH(TEXT($I259,"yyyy-mm-dd")&amp;"|"&amp;""&amp;"|"&amp;"",'CALENDARIO'!$G$15:$G$214,0)),IFERROR(INDEX('CALENDARIO'!$C$15:$C$214,MATCH(TEXT($I259,"yyyy-mm-dd")&amp;"|"&amp;""&amp;"|",'CALENDARIO'!$G$15:$G$214,0)),IFERROR(INDEX('CALENDARIO'!$C$15:$C$214,MATCH(TEXT($I259,"yyyy-mm-dd")&amp;"||",'CALENDARIO'!$G$15:$G$214,0)),INDEX(patronHabil,WEEKDAY($I259,2)))))</f>
        <v/>
      </c>
    </row>
    <row r="260">
      <c r="I260" s="41" t="n">
        <v>46278</v>
      </c>
      <c r="J260" s="24">
        <f>IFERROR(INDEX('CALENDARIO'!$C$15:$C$214,MATCH(TEXT($I260,"yyyy-mm-dd")&amp;"|"&amp;""&amp;"|"&amp;"",'CALENDARIO'!$G$15:$G$214,0)),IFERROR(INDEX('CALENDARIO'!$C$15:$C$214,MATCH(TEXT($I260,"yyyy-mm-dd")&amp;"|"&amp;""&amp;"|",'CALENDARIO'!$G$15:$G$214,0)),IFERROR(INDEX('CALENDARIO'!$C$15:$C$214,MATCH(TEXT($I260,"yyyy-mm-dd")&amp;"||",'CALENDARIO'!$G$15:$G$214,0)),INDEX(patronHabil,WEEKDAY($I260,2)))))</f>
        <v/>
      </c>
    </row>
    <row r="261">
      <c r="I261" s="41" t="n">
        <v>46279</v>
      </c>
      <c r="J261" s="24">
        <f>IFERROR(INDEX('CALENDARIO'!$C$15:$C$214,MATCH(TEXT($I261,"yyyy-mm-dd")&amp;"|"&amp;""&amp;"|"&amp;"",'CALENDARIO'!$G$15:$G$214,0)),IFERROR(INDEX('CALENDARIO'!$C$15:$C$214,MATCH(TEXT($I261,"yyyy-mm-dd")&amp;"|"&amp;""&amp;"|",'CALENDARIO'!$G$15:$G$214,0)),IFERROR(INDEX('CALENDARIO'!$C$15:$C$214,MATCH(TEXT($I261,"yyyy-mm-dd")&amp;"||",'CALENDARIO'!$G$15:$G$214,0)),INDEX(patronHabil,WEEKDAY($I261,2)))))</f>
        <v/>
      </c>
    </row>
    <row r="262">
      <c r="I262" s="41" t="n">
        <v>46280</v>
      </c>
      <c r="J262" s="24">
        <f>IFERROR(INDEX('CALENDARIO'!$C$15:$C$214,MATCH(TEXT($I262,"yyyy-mm-dd")&amp;"|"&amp;""&amp;"|"&amp;"",'CALENDARIO'!$G$15:$G$214,0)),IFERROR(INDEX('CALENDARIO'!$C$15:$C$214,MATCH(TEXT($I262,"yyyy-mm-dd")&amp;"|"&amp;""&amp;"|",'CALENDARIO'!$G$15:$G$214,0)),IFERROR(INDEX('CALENDARIO'!$C$15:$C$214,MATCH(TEXT($I262,"yyyy-mm-dd")&amp;"||",'CALENDARIO'!$G$15:$G$214,0)),INDEX(patronHabil,WEEKDAY($I262,2)))))</f>
        <v/>
      </c>
    </row>
    <row r="263">
      <c r="I263" s="41" t="n">
        <v>46281</v>
      </c>
      <c r="J263" s="24">
        <f>IFERROR(INDEX('CALENDARIO'!$C$15:$C$214,MATCH(TEXT($I263,"yyyy-mm-dd")&amp;"|"&amp;""&amp;"|"&amp;"",'CALENDARIO'!$G$15:$G$214,0)),IFERROR(INDEX('CALENDARIO'!$C$15:$C$214,MATCH(TEXT($I263,"yyyy-mm-dd")&amp;"|"&amp;""&amp;"|",'CALENDARIO'!$G$15:$G$214,0)),IFERROR(INDEX('CALENDARIO'!$C$15:$C$214,MATCH(TEXT($I263,"yyyy-mm-dd")&amp;"||",'CALENDARIO'!$G$15:$G$214,0)),INDEX(patronHabil,WEEKDAY($I263,2)))))</f>
        <v/>
      </c>
    </row>
    <row r="264">
      <c r="I264" s="41" t="n">
        <v>46282</v>
      </c>
      <c r="J264" s="24">
        <f>IFERROR(INDEX('CALENDARIO'!$C$15:$C$214,MATCH(TEXT($I264,"yyyy-mm-dd")&amp;"|"&amp;""&amp;"|"&amp;"",'CALENDARIO'!$G$15:$G$214,0)),IFERROR(INDEX('CALENDARIO'!$C$15:$C$214,MATCH(TEXT($I264,"yyyy-mm-dd")&amp;"|"&amp;""&amp;"|",'CALENDARIO'!$G$15:$G$214,0)),IFERROR(INDEX('CALENDARIO'!$C$15:$C$214,MATCH(TEXT($I264,"yyyy-mm-dd")&amp;"||",'CALENDARIO'!$G$15:$G$214,0)),INDEX(patronHabil,WEEKDAY($I264,2)))))</f>
        <v/>
      </c>
    </row>
    <row r="265">
      <c r="I265" s="41" t="n">
        <v>46283</v>
      </c>
      <c r="J265" s="24">
        <f>IFERROR(INDEX('CALENDARIO'!$C$15:$C$214,MATCH(TEXT($I265,"yyyy-mm-dd")&amp;"|"&amp;""&amp;"|"&amp;"",'CALENDARIO'!$G$15:$G$214,0)),IFERROR(INDEX('CALENDARIO'!$C$15:$C$214,MATCH(TEXT($I265,"yyyy-mm-dd")&amp;"|"&amp;""&amp;"|",'CALENDARIO'!$G$15:$G$214,0)),IFERROR(INDEX('CALENDARIO'!$C$15:$C$214,MATCH(TEXT($I265,"yyyy-mm-dd")&amp;"||",'CALENDARIO'!$G$15:$G$214,0)),INDEX(patronHabil,WEEKDAY($I265,2)))))</f>
        <v/>
      </c>
    </row>
    <row r="266">
      <c r="I266" s="41" t="n">
        <v>46284</v>
      </c>
      <c r="J266" s="24">
        <f>IFERROR(INDEX('CALENDARIO'!$C$15:$C$214,MATCH(TEXT($I266,"yyyy-mm-dd")&amp;"|"&amp;""&amp;"|"&amp;"",'CALENDARIO'!$G$15:$G$214,0)),IFERROR(INDEX('CALENDARIO'!$C$15:$C$214,MATCH(TEXT($I266,"yyyy-mm-dd")&amp;"|"&amp;""&amp;"|",'CALENDARIO'!$G$15:$G$214,0)),IFERROR(INDEX('CALENDARIO'!$C$15:$C$214,MATCH(TEXT($I266,"yyyy-mm-dd")&amp;"||",'CALENDARIO'!$G$15:$G$214,0)),INDEX(patronHabil,WEEKDAY($I266,2)))))</f>
        <v/>
      </c>
    </row>
    <row r="267">
      <c r="I267" s="41" t="n">
        <v>46285</v>
      </c>
      <c r="J267" s="24">
        <f>IFERROR(INDEX('CALENDARIO'!$C$15:$C$214,MATCH(TEXT($I267,"yyyy-mm-dd")&amp;"|"&amp;""&amp;"|"&amp;"",'CALENDARIO'!$G$15:$G$214,0)),IFERROR(INDEX('CALENDARIO'!$C$15:$C$214,MATCH(TEXT($I267,"yyyy-mm-dd")&amp;"|"&amp;""&amp;"|",'CALENDARIO'!$G$15:$G$214,0)),IFERROR(INDEX('CALENDARIO'!$C$15:$C$214,MATCH(TEXT($I267,"yyyy-mm-dd")&amp;"||",'CALENDARIO'!$G$15:$G$214,0)),INDEX(patronHabil,WEEKDAY($I267,2)))))</f>
        <v/>
      </c>
    </row>
    <row r="268">
      <c r="I268" s="41" t="n">
        <v>46286</v>
      </c>
      <c r="J268" s="24">
        <f>IFERROR(INDEX('CALENDARIO'!$C$15:$C$214,MATCH(TEXT($I268,"yyyy-mm-dd")&amp;"|"&amp;""&amp;"|"&amp;"",'CALENDARIO'!$G$15:$G$214,0)),IFERROR(INDEX('CALENDARIO'!$C$15:$C$214,MATCH(TEXT($I268,"yyyy-mm-dd")&amp;"|"&amp;""&amp;"|",'CALENDARIO'!$G$15:$G$214,0)),IFERROR(INDEX('CALENDARIO'!$C$15:$C$214,MATCH(TEXT($I268,"yyyy-mm-dd")&amp;"||",'CALENDARIO'!$G$15:$G$214,0)),INDEX(patronHabil,WEEKDAY($I268,2)))))</f>
        <v/>
      </c>
    </row>
    <row r="269">
      <c r="I269" s="41" t="n">
        <v>46287</v>
      </c>
      <c r="J269" s="24">
        <f>IFERROR(INDEX('CALENDARIO'!$C$15:$C$214,MATCH(TEXT($I269,"yyyy-mm-dd")&amp;"|"&amp;""&amp;"|"&amp;"",'CALENDARIO'!$G$15:$G$214,0)),IFERROR(INDEX('CALENDARIO'!$C$15:$C$214,MATCH(TEXT($I269,"yyyy-mm-dd")&amp;"|"&amp;""&amp;"|",'CALENDARIO'!$G$15:$G$214,0)),IFERROR(INDEX('CALENDARIO'!$C$15:$C$214,MATCH(TEXT($I269,"yyyy-mm-dd")&amp;"||",'CALENDARIO'!$G$15:$G$214,0)),INDEX(patronHabil,WEEKDAY($I269,2)))))</f>
        <v/>
      </c>
    </row>
    <row r="270">
      <c r="I270" s="41" t="n">
        <v>46288</v>
      </c>
      <c r="J270" s="24">
        <f>IFERROR(INDEX('CALENDARIO'!$C$15:$C$214,MATCH(TEXT($I270,"yyyy-mm-dd")&amp;"|"&amp;""&amp;"|"&amp;"",'CALENDARIO'!$G$15:$G$214,0)),IFERROR(INDEX('CALENDARIO'!$C$15:$C$214,MATCH(TEXT($I270,"yyyy-mm-dd")&amp;"|"&amp;""&amp;"|",'CALENDARIO'!$G$15:$G$214,0)),IFERROR(INDEX('CALENDARIO'!$C$15:$C$214,MATCH(TEXT($I270,"yyyy-mm-dd")&amp;"||",'CALENDARIO'!$G$15:$G$214,0)),INDEX(patronHabil,WEEKDAY($I270,2)))))</f>
        <v/>
      </c>
    </row>
    <row r="271">
      <c r="I271" s="41" t="n">
        <v>46289</v>
      </c>
      <c r="J271" s="24">
        <f>IFERROR(INDEX('CALENDARIO'!$C$15:$C$214,MATCH(TEXT($I271,"yyyy-mm-dd")&amp;"|"&amp;""&amp;"|"&amp;"",'CALENDARIO'!$G$15:$G$214,0)),IFERROR(INDEX('CALENDARIO'!$C$15:$C$214,MATCH(TEXT($I271,"yyyy-mm-dd")&amp;"|"&amp;""&amp;"|",'CALENDARIO'!$G$15:$G$214,0)),IFERROR(INDEX('CALENDARIO'!$C$15:$C$214,MATCH(TEXT($I271,"yyyy-mm-dd")&amp;"||",'CALENDARIO'!$G$15:$G$214,0)),INDEX(patronHabil,WEEKDAY($I271,2)))))</f>
        <v/>
      </c>
    </row>
    <row r="272">
      <c r="I272" s="41" t="n">
        <v>46290</v>
      </c>
      <c r="J272" s="24">
        <f>IFERROR(INDEX('CALENDARIO'!$C$15:$C$214,MATCH(TEXT($I272,"yyyy-mm-dd")&amp;"|"&amp;""&amp;"|"&amp;"",'CALENDARIO'!$G$15:$G$214,0)),IFERROR(INDEX('CALENDARIO'!$C$15:$C$214,MATCH(TEXT($I272,"yyyy-mm-dd")&amp;"|"&amp;""&amp;"|",'CALENDARIO'!$G$15:$G$214,0)),IFERROR(INDEX('CALENDARIO'!$C$15:$C$214,MATCH(TEXT($I272,"yyyy-mm-dd")&amp;"||",'CALENDARIO'!$G$15:$G$214,0)),INDEX(patronHabil,WEEKDAY($I272,2)))))</f>
        <v/>
      </c>
    </row>
    <row r="273">
      <c r="I273" s="41" t="n">
        <v>46291</v>
      </c>
      <c r="J273" s="24">
        <f>IFERROR(INDEX('CALENDARIO'!$C$15:$C$214,MATCH(TEXT($I273,"yyyy-mm-dd")&amp;"|"&amp;""&amp;"|"&amp;"",'CALENDARIO'!$G$15:$G$214,0)),IFERROR(INDEX('CALENDARIO'!$C$15:$C$214,MATCH(TEXT($I273,"yyyy-mm-dd")&amp;"|"&amp;""&amp;"|",'CALENDARIO'!$G$15:$G$214,0)),IFERROR(INDEX('CALENDARIO'!$C$15:$C$214,MATCH(TEXT($I273,"yyyy-mm-dd")&amp;"||",'CALENDARIO'!$G$15:$G$214,0)),INDEX(patronHabil,WEEKDAY($I273,2)))))</f>
        <v/>
      </c>
    </row>
    <row r="274">
      <c r="I274" s="41" t="n">
        <v>46292</v>
      </c>
      <c r="J274" s="24">
        <f>IFERROR(INDEX('CALENDARIO'!$C$15:$C$214,MATCH(TEXT($I274,"yyyy-mm-dd")&amp;"|"&amp;""&amp;"|"&amp;"",'CALENDARIO'!$G$15:$G$214,0)),IFERROR(INDEX('CALENDARIO'!$C$15:$C$214,MATCH(TEXT($I274,"yyyy-mm-dd")&amp;"|"&amp;""&amp;"|",'CALENDARIO'!$G$15:$G$214,0)),IFERROR(INDEX('CALENDARIO'!$C$15:$C$214,MATCH(TEXT($I274,"yyyy-mm-dd")&amp;"||",'CALENDARIO'!$G$15:$G$214,0)),INDEX(patronHabil,WEEKDAY($I274,2)))))</f>
        <v/>
      </c>
    </row>
    <row r="275">
      <c r="I275" s="41" t="n">
        <v>46293</v>
      </c>
      <c r="J275" s="24">
        <f>IFERROR(INDEX('CALENDARIO'!$C$15:$C$214,MATCH(TEXT($I275,"yyyy-mm-dd")&amp;"|"&amp;""&amp;"|"&amp;"",'CALENDARIO'!$G$15:$G$214,0)),IFERROR(INDEX('CALENDARIO'!$C$15:$C$214,MATCH(TEXT($I275,"yyyy-mm-dd")&amp;"|"&amp;""&amp;"|",'CALENDARIO'!$G$15:$G$214,0)),IFERROR(INDEX('CALENDARIO'!$C$15:$C$214,MATCH(TEXT($I275,"yyyy-mm-dd")&amp;"||",'CALENDARIO'!$G$15:$G$214,0)),INDEX(patronHabil,WEEKDAY($I275,2)))))</f>
        <v/>
      </c>
    </row>
    <row r="276">
      <c r="I276" s="41" t="n">
        <v>46294</v>
      </c>
      <c r="J276" s="24">
        <f>IFERROR(INDEX('CALENDARIO'!$C$15:$C$214,MATCH(TEXT($I276,"yyyy-mm-dd")&amp;"|"&amp;""&amp;"|"&amp;"",'CALENDARIO'!$G$15:$G$214,0)),IFERROR(INDEX('CALENDARIO'!$C$15:$C$214,MATCH(TEXT($I276,"yyyy-mm-dd")&amp;"|"&amp;""&amp;"|",'CALENDARIO'!$G$15:$G$214,0)),IFERROR(INDEX('CALENDARIO'!$C$15:$C$214,MATCH(TEXT($I276,"yyyy-mm-dd")&amp;"||",'CALENDARIO'!$G$15:$G$214,0)),INDEX(patronHabil,WEEKDAY($I276,2)))))</f>
        <v/>
      </c>
    </row>
    <row r="277">
      <c r="I277" s="41" t="n">
        <v>46295</v>
      </c>
      <c r="J277" s="24">
        <f>IFERROR(INDEX('CALENDARIO'!$C$15:$C$214,MATCH(TEXT($I277,"yyyy-mm-dd")&amp;"|"&amp;""&amp;"|"&amp;"",'CALENDARIO'!$G$15:$G$214,0)),IFERROR(INDEX('CALENDARIO'!$C$15:$C$214,MATCH(TEXT($I277,"yyyy-mm-dd")&amp;"|"&amp;""&amp;"|",'CALENDARIO'!$G$15:$G$214,0)),IFERROR(INDEX('CALENDARIO'!$C$15:$C$214,MATCH(TEXT($I277,"yyyy-mm-dd")&amp;"||",'CALENDARIO'!$G$15:$G$214,0)),INDEX(patronHabil,WEEKDAY($I277,2)))))</f>
        <v/>
      </c>
    </row>
    <row r="278">
      <c r="I278" s="41" t="n">
        <v>46296</v>
      </c>
      <c r="J278" s="24">
        <f>IFERROR(INDEX('CALENDARIO'!$C$15:$C$214,MATCH(TEXT($I278,"yyyy-mm-dd")&amp;"|"&amp;""&amp;"|"&amp;"",'CALENDARIO'!$G$15:$G$214,0)),IFERROR(INDEX('CALENDARIO'!$C$15:$C$214,MATCH(TEXT($I278,"yyyy-mm-dd")&amp;"|"&amp;""&amp;"|",'CALENDARIO'!$G$15:$G$214,0)),IFERROR(INDEX('CALENDARIO'!$C$15:$C$214,MATCH(TEXT($I278,"yyyy-mm-dd")&amp;"||",'CALENDARIO'!$G$15:$G$214,0)),INDEX(patronHabil,WEEKDAY($I278,2)))))</f>
        <v/>
      </c>
    </row>
    <row r="279">
      <c r="I279" s="41" t="n">
        <v>46297</v>
      </c>
      <c r="J279" s="24">
        <f>IFERROR(INDEX('CALENDARIO'!$C$15:$C$214,MATCH(TEXT($I279,"yyyy-mm-dd")&amp;"|"&amp;""&amp;"|"&amp;"",'CALENDARIO'!$G$15:$G$214,0)),IFERROR(INDEX('CALENDARIO'!$C$15:$C$214,MATCH(TEXT($I279,"yyyy-mm-dd")&amp;"|"&amp;""&amp;"|",'CALENDARIO'!$G$15:$G$214,0)),IFERROR(INDEX('CALENDARIO'!$C$15:$C$214,MATCH(TEXT($I279,"yyyy-mm-dd")&amp;"||",'CALENDARIO'!$G$15:$G$214,0)),INDEX(patronHabil,WEEKDAY($I279,2)))))</f>
        <v/>
      </c>
    </row>
    <row r="280">
      <c r="I280" s="41" t="n">
        <v>46298</v>
      </c>
      <c r="J280" s="24">
        <f>IFERROR(INDEX('CALENDARIO'!$C$15:$C$214,MATCH(TEXT($I280,"yyyy-mm-dd")&amp;"|"&amp;""&amp;"|"&amp;"",'CALENDARIO'!$G$15:$G$214,0)),IFERROR(INDEX('CALENDARIO'!$C$15:$C$214,MATCH(TEXT($I280,"yyyy-mm-dd")&amp;"|"&amp;""&amp;"|",'CALENDARIO'!$G$15:$G$214,0)),IFERROR(INDEX('CALENDARIO'!$C$15:$C$214,MATCH(TEXT($I280,"yyyy-mm-dd")&amp;"||",'CALENDARIO'!$G$15:$G$214,0)),INDEX(patronHabil,WEEKDAY($I280,2)))))</f>
        <v/>
      </c>
    </row>
    <row r="281">
      <c r="I281" s="41" t="n">
        <v>46299</v>
      </c>
      <c r="J281" s="24">
        <f>IFERROR(INDEX('CALENDARIO'!$C$15:$C$214,MATCH(TEXT($I281,"yyyy-mm-dd")&amp;"|"&amp;""&amp;"|"&amp;"",'CALENDARIO'!$G$15:$G$214,0)),IFERROR(INDEX('CALENDARIO'!$C$15:$C$214,MATCH(TEXT($I281,"yyyy-mm-dd")&amp;"|"&amp;""&amp;"|",'CALENDARIO'!$G$15:$G$214,0)),IFERROR(INDEX('CALENDARIO'!$C$15:$C$214,MATCH(TEXT($I281,"yyyy-mm-dd")&amp;"||",'CALENDARIO'!$G$15:$G$214,0)),INDEX(patronHabil,WEEKDAY($I281,2)))))</f>
        <v/>
      </c>
    </row>
    <row r="282">
      <c r="I282" s="41" t="n">
        <v>46300</v>
      </c>
      <c r="J282" s="24">
        <f>IFERROR(INDEX('CALENDARIO'!$C$15:$C$214,MATCH(TEXT($I282,"yyyy-mm-dd")&amp;"|"&amp;""&amp;"|"&amp;"",'CALENDARIO'!$G$15:$G$214,0)),IFERROR(INDEX('CALENDARIO'!$C$15:$C$214,MATCH(TEXT($I282,"yyyy-mm-dd")&amp;"|"&amp;""&amp;"|",'CALENDARIO'!$G$15:$G$214,0)),IFERROR(INDEX('CALENDARIO'!$C$15:$C$214,MATCH(TEXT($I282,"yyyy-mm-dd")&amp;"||",'CALENDARIO'!$G$15:$G$214,0)),INDEX(patronHabil,WEEKDAY($I282,2)))))</f>
        <v/>
      </c>
    </row>
    <row r="283">
      <c r="I283" s="41" t="n">
        <v>46301</v>
      </c>
      <c r="J283" s="24">
        <f>IFERROR(INDEX('CALENDARIO'!$C$15:$C$214,MATCH(TEXT($I283,"yyyy-mm-dd")&amp;"|"&amp;""&amp;"|"&amp;"",'CALENDARIO'!$G$15:$G$214,0)),IFERROR(INDEX('CALENDARIO'!$C$15:$C$214,MATCH(TEXT($I283,"yyyy-mm-dd")&amp;"|"&amp;""&amp;"|",'CALENDARIO'!$G$15:$G$214,0)),IFERROR(INDEX('CALENDARIO'!$C$15:$C$214,MATCH(TEXT($I283,"yyyy-mm-dd")&amp;"||",'CALENDARIO'!$G$15:$G$214,0)),INDEX(patronHabil,WEEKDAY($I283,2)))))</f>
        <v/>
      </c>
    </row>
    <row r="284">
      <c r="I284" s="41" t="n">
        <v>46302</v>
      </c>
      <c r="J284" s="24">
        <f>IFERROR(INDEX('CALENDARIO'!$C$15:$C$214,MATCH(TEXT($I284,"yyyy-mm-dd")&amp;"|"&amp;""&amp;"|"&amp;"",'CALENDARIO'!$G$15:$G$214,0)),IFERROR(INDEX('CALENDARIO'!$C$15:$C$214,MATCH(TEXT($I284,"yyyy-mm-dd")&amp;"|"&amp;""&amp;"|",'CALENDARIO'!$G$15:$G$214,0)),IFERROR(INDEX('CALENDARIO'!$C$15:$C$214,MATCH(TEXT($I284,"yyyy-mm-dd")&amp;"||",'CALENDARIO'!$G$15:$G$214,0)),INDEX(patronHabil,WEEKDAY($I284,2)))))</f>
        <v/>
      </c>
    </row>
    <row r="285">
      <c r="I285" s="41" t="n">
        <v>46303</v>
      </c>
      <c r="J285" s="24">
        <f>IFERROR(INDEX('CALENDARIO'!$C$15:$C$214,MATCH(TEXT($I285,"yyyy-mm-dd")&amp;"|"&amp;""&amp;"|"&amp;"",'CALENDARIO'!$G$15:$G$214,0)),IFERROR(INDEX('CALENDARIO'!$C$15:$C$214,MATCH(TEXT($I285,"yyyy-mm-dd")&amp;"|"&amp;""&amp;"|",'CALENDARIO'!$G$15:$G$214,0)),IFERROR(INDEX('CALENDARIO'!$C$15:$C$214,MATCH(TEXT($I285,"yyyy-mm-dd")&amp;"||",'CALENDARIO'!$G$15:$G$214,0)),INDEX(patronHabil,WEEKDAY($I285,2)))))</f>
        <v/>
      </c>
    </row>
    <row r="286">
      <c r="I286" s="41" t="n">
        <v>46304</v>
      </c>
      <c r="J286" s="24">
        <f>IFERROR(INDEX('CALENDARIO'!$C$15:$C$214,MATCH(TEXT($I286,"yyyy-mm-dd")&amp;"|"&amp;""&amp;"|"&amp;"",'CALENDARIO'!$G$15:$G$214,0)),IFERROR(INDEX('CALENDARIO'!$C$15:$C$214,MATCH(TEXT($I286,"yyyy-mm-dd")&amp;"|"&amp;""&amp;"|",'CALENDARIO'!$G$15:$G$214,0)),IFERROR(INDEX('CALENDARIO'!$C$15:$C$214,MATCH(TEXT($I286,"yyyy-mm-dd")&amp;"||",'CALENDARIO'!$G$15:$G$214,0)),INDEX(patronHabil,WEEKDAY($I286,2)))))</f>
        <v/>
      </c>
    </row>
    <row r="287">
      <c r="I287" s="41" t="n">
        <v>46305</v>
      </c>
      <c r="J287" s="24">
        <f>IFERROR(INDEX('CALENDARIO'!$C$15:$C$214,MATCH(TEXT($I287,"yyyy-mm-dd")&amp;"|"&amp;""&amp;"|"&amp;"",'CALENDARIO'!$G$15:$G$214,0)),IFERROR(INDEX('CALENDARIO'!$C$15:$C$214,MATCH(TEXT($I287,"yyyy-mm-dd")&amp;"|"&amp;""&amp;"|",'CALENDARIO'!$G$15:$G$214,0)),IFERROR(INDEX('CALENDARIO'!$C$15:$C$214,MATCH(TEXT($I287,"yyyy-mm-dd")&amp;"||",'CALENDARIO'!$G$15:$G$214,0)),INDEX(patronHabil,WEEKDAY($I287,2)))))</f>
        <v/>
      </c>
    </row>
    <row r="288">
      <c r="I288" s="41" t="n">
        <v>46306</v>
      </c>
      <c r="J288" s="24">
        <f>IFERROR(INDEX('CALENDARIO'!$C$15:$C$214,MATCH(TEXT($I288,"yyyy-mm-dd")&amp;"|"&amp;""&amp;"|"&amp;"",'CALENDARIO'!$G$15:$G$214,0)),IFERROR(INDEX('CALENDARIO'!$C$15:$C$214,MATCH(TEXT($I288,"yyyy-mm-dd")&amp;"|"&amp;""&amp;"|",'CALENDARIO'!$G$15:$G$214,0)),IFERROR(INDEX('CALENDARIO'!$C$15:$C$214,MATCH(TEXT($I288,"yyyy-mm-dd")&amp;"||",'CALENDARIO'!$G$15:$G$214,0)),INDEX(patronHabil,WEEKDAY($I288,2)))))</f>
        <v/>
      </c>
    </row>
    <row r="289">
      <c r="I289" s="41" t="n">
        <v>46307</v>
      </c>
      <c r="J289" s="24">
        <f>IFERROR(INDEX('CALENDARIO'!$C$15:$C$214,MATCH(TEXT($I289,"yyyy-mm-dd")&amp;"|"&amp;""&amp;"|"&amp;"",'CALENDARIO'!$G$15:$G$214,0)),IFERROR(INDEX('CALENDARIO'!$C$15:$C$214,MATCH(TEXT($I289,"yyyy-mm-dd")&amp;"|"&amp;""&amp;"|",'CALENDARIO'!$G$15:$G$214,0)),IFERROR(INDEX('CALENDARIO'!$C$15:$C$214,MATCH(TEXT($I289,"yyyy-mm-dd")&amp;"||",'CALENDARIO'!$G$15:$G$214,0)),INDEX(patronHabil,WEEKDAY($I289,2)))))</f>
        <v/>
      </c>
    </row>
    <row r="290">
      <c r="I290" s="41" t="n">
        <v>46308</v>
      </c>
      <c r="J290" s="24">
        <f>IFERROR(INDEX('CALENDARIO'!$C$15:$C$214,MATCH(TEXT($I290,"yyyy-mm-dd")&amp;"|"&amp;""&amp;"|"&amp;"",'CALENDARIO'!$G$15:$G$214,0)),IFERROR(INDEX('CALENDARIO'!$C$15:$C$214,MATCH(TEXT($I290,"yyyy-mm-dd")&amp;"|"&amp;""&amp;"|",'CALENDARIO'!$G$15:$G$214,0)),IFERROR(INDEX('CALENDARIO'!$C$15:$C$214,MATCH(TEXT($I290,"yyyy-mm-dd")&amp;"||",'CALENDARIO'!$G$15:$G$214,0)),INDEX(patronHabil,WEEKDAY($I290,2)))))</f>
        <v/>
      </c>
    </row>
    <row r="291">
      <c r="I291" s="41" t="n">
        <v>46309</v>
      </c>
      <c r="J291" s="24">
        <f>IFERROR(INDEX('CALENDARIO'!$C$15:$C$214,MATCH(TEXT($I291,"yyyy-mm-dd")&amp;"|"&amp;""&amp;"|"&amp;"",'CALENDARIO'!$G$15:$G$214,0)),IFERROR(INDEX('CALENDARIO'!$C$15:$C$214,MATCH(TEXT($I291,"yyyy-mm-dd")&amp;"|"&amp;""&amp;"|",'CALENDARIO'!$G$15:$G$214,0)),IFERROR(INDEX('CALENDARIO'!$C$15:$C$214,MATCH(TEXT($I291,"yyyy-mm-dd")&amp;"||",'CALENDARIO'!$G$15:$G$214,0)),INDEX(patronHabil,WEEKDAY($I291,2)))))</f>
        <v/>
      </c>
    </row>
    <row r="292">
      <c r="I292" s="41" t="n">
        <v>46310</v>
      </c>
      <c r="J292" s="24">
        <f>IFERROR(INDEX('CALENDARIO'!$C$15:$C$214,MATCH(TEXT($I292,"yyyy-mm-dd")&amp;"|"&amp;""&amp;"|"&amp;"",'CALENDARIO'!$G$15:$G$214,0)),IFERROR(INDEX('CALENDARIO'!$C$15:$C$214,MATCH(TEXT($I292,"yyyy-mm-dd")&amp;"|"&amp;""&amp;"|",'CALENDARIO'!$G$15:$G$214,0)),IFERROR(INDEX('CALENDARIO'!$C$15:$C$214,MATCH(TEXT($I292,"yyyy-mm-dd")&amp;"||",'CALENDARIO'!$G$15:$G$214,0)),INDEX(patronHabil,WEEKDAY($I292,2)))))</f>
        <v/>
      </c>
    </row>
    <row r="293">
      <c r="I293" s="41" t="n">
        <v>46311</v>
      </c>
      <c r="J293" s="24">
        <f>IFERROR(INDEX('CALENDARIO'!$C$15:$C$214,MATCH(TEXT($I293,"yyyy-mm-dd")&amp;"|"&amp;""&amp;"|"&amp;"",'CALENDARIO'!$G$15:$G$214,0)),IFERROR(INDEX('CALENDARIO'!$C$15:$C$214,MATCH(TEXT($I293,"yyyy-mm-dd")&amp;"|"&amp;""&amp;"|",'CALENDARIO'!$G$15:$G$214,0)),IFERROR(INDEX('CALENDARIO'!$C$15:$C$214,MATCH(TEXT($I293,"yyyy-mm-dd")&amp;"||",'CALENDARIO'!$G$15:$G$214,0)),INDEX(patronHabil,WEEKDAY($I293,2)))))</f>
        <v/>
      </c>
    </row>
    <row r="294">
      <c r="I294" s="41" t="n">
        <v>46312</v>
      </c>
      <c r="J294" s="24">
        <f>IFERROR(INDEX('CALENDARIO'!$C$15:$C$214,MATCH(TEXT($I294,"yyyy-mm-dd")&amp;"|"&amp;""&amp;"|"&amp;"",'CALENDARIO'!$G$15:$G$214,0)),IFERROR(INDEX('CALENDARIO'!$C$15:$C$214,MATCH(TEXT($I294,"yyyy-mm-dd")&amp;"|"&amp;""&amp;"|",'CALENDARIO'!$G$15:$G$214,0)),IFERROR(INDEX('CALENDARIO'!$C$15:$C$214,MATCH(TEXT($I294,"yyyy-mm-dd")&amp;"||",'CALENDARIO'!$G$15:$G$214,0)),INDEX(patronHabil,WEEKDAY($I294,2)))))</f>
        <v/>
      </c>
    </row>
    <row r="295">
      <c r="I295" s="41" t="n">
        <v>46313</v>
      </c>
      <c r="J295" s="24">
        <f>IFERROR(INDEX('CALENDARIO'!$C$15:$C$214,MATCH(TEXT($I295,"yyyy-mm-dd")&amp;"|"&amp;""&amp;"|"&amp;"",'CALENDARIO'!$G$15:$G$214,0)),IFERROR(INDEX('CALENDARIO'!$C$15:$C$214,MATCH(TEXT($I295,"yyyy-mm-dd")&amp;"|"&amp;""&amp;"|",'CALENDARIO'!$G$15:$G$214,0)),IFERROR(INDEX('CALENDARIO'!$C$15:$C$214,MATCH(TEXT($I295,"yyyy-mm-dd")&amp;"||",'CALENDARIO'!$G$15:$G$214,0)),INDEX(patronHabil,WEEKDAY($I295,2)))))</f>
        <v/>
      </c>
    </row>
    <row r="296">
      <c r="I296" s="41" t="n">
        <v>46314</v>
      </c>
      <c r="J296" s="24">
        <f>IFERROR(INDEX('CALENDARIO'!$C$15:$C$214,MATCH(TEXT($I296,"yyyy-mm-dd")&amp;"|"&amp;""&amp;"|"&amp;"",'CALENDARIO'!$G$15:$G$214,0)),IFERROR(INDEX('CALENDARIO'!$C$15:$C$214,MATCH(TEXT($I296,"yyyy-mm-dd")&amp;"|"&amp;""&amp;"|",'CALENDARIO'!$G$15:$G$214,0)),IFERROR(INDEX('CALENDARIO'!$C$15:$C$214,MATCH(TEXT($I296,"yyyy-mm-dd")&amp;"||",'CALENDARIO'!$G$15:$G$214,0)),INDEX(patronHabil,WEEKDAY($I296,2)))))</f>
        <v/>
      </c>
    </row>
    <row r="297">
      <c r="I297" s="41" t="n">
        <v>46315</v>
      </c>
      <c r="J297" s="24">
        <f>IFERROR(INDEX('CALENDARIO'!$C$15:$C$214,MATCH(TEXT($I297,"yyyy-mm-dd")&amp;"|"&amp;""&amp;"|"&amp;"",'CALENDARIO'!$G$15:$G$214,0)),IFERROR(INDEX('CALENDARIO'!$C$15:$C$214,MATCH(TEXT($I297,"yyyy-mm-dd")&amp;"|"&amp;""&amp;"|",'CALENDARIO'!$G$15:$G$214,0)),IFERROR(INDEX('CALENDARIO'!$C$15:$C$214,MATCH(TEXT($I297,"yyyy-mm-dd")&amp;"||",'CALENDARIO'!$G$15:$G$214,0)),INDEX(patronHabil,WEEKDAY($I297,2)))))</f>
        <v/>
      </c>
    </row>
    <row r="298">
      <c r="I298" s="41" t="n">
        <v>46316</v>
      </c>
      <c r="J298" s="24">
        <f>IFERROR(INDEX('CALENDARIO'!$C$15:$C$214,MATCH(TEXT($I298,"yyyy-mm-dd")&amp;"|"&amp;""&amp;"|"&amp;"",'CALENDARIO'!$G$15:$G$214,0)),IFERROR(INDEX('CALENDARIO'!$C$15:$C$214,MATCH(TEXT($I298,"yyyy-mm-dd")&amp;"|"&amp;""&amp;"|",'CALENDARIO'!$G$15:$G$214,0)),IFERROR(INDEX('CALENDARIO'!$C$15:$C$214,MATCH(TEXT($I298,"yyyy-mm-dd")&amp;"||",'CALENDARIO'!$G$15:$G$214,0)),INDEX(patronHabil,WEEKDAY($I298,2)))))</f>
        <v/>
      </c>
    </row>
    <row r="299">
      <c r="I299" s="41" t="n">
        <v>46317</v>
      </c>
      <c r="J299" s="24">
        <f>IFERROR(INDEX('CALENDARIO'!$C$15:$C$214,MATCH(TEXT($I299,"yyyy-mm-dd")&amp;"|"&amp;""&amp;"|"&amp;"",'CALENDARIO'!$G$15:$G$214,0)),IFERROR(INDEX('CALENDARIO'!$C$15:$C$214,MATCH(TEXT($I299,"yyyy-mm-dd")&amp;"|"&amp;""&amp;"|",'CALENDARIO'!$G$15:$G$214,0)),IFERROR(INDEX('CALENDARIO'!$C$15:$C$214,MATCH(TEXT($I299,"yyyy-mm-dd")&amp;"||",'CALENDARIO'!$G$15:$G$214,0)),INDEX(patronHabil,WEEKDAY($I299,2)))))</f>
        <v/>
      </c>
    </row>
    <row r="300">
      <c r="I300" s="41" t="n">
        <v>46318</v>
      </c>
      <c r="J300" s="24">
        <f>IFERROR(INDEX('CALENDARIO'!$C$15:$C$214,MATCH(TEXT($I300,"yyyy-mm-dd")&amp;"|"&amp;""&amp;"|"&amp;"",'CALENDARIO'!$G$15:$G$214,0)),IFERROR(INDEX('CALENDARIO'!$C$15:$C$214,MATCH(TEXT($I300,"yyyy-mm-dd")&amp;"|"&amp;""&amp;"|",'CALENDARIO'!$G$15:$G$214,0)),IFERROR(INDEX('CALENDARIO'!$C$15:$C$214,MATCH(TEXT($I300,"yyyy-mm-dd")&amp;"||",'CALENDARIO'!$G$15:$G$214,0)),INDEX(patronHabil,WEEKDAY($I300,2)))))</f>
        <v/>
      </c>
    </row>
    <row r="301">
      <c r="I301" s="41" t="n">
        <v>46319</v>
      </c>
      <c r="J301" s="24">
        <f>IFERROR(INDEX('CALENDARIO'!$C$15:$C$214,MATCH(TEXT($I301,"yyyy-mm-dd")&amp;"|"&amp;""&amp;"|"&amp;"",'CALENDARIO'!$G$15:$G$214,0)),IFERROR(INDEX('CALENDARIO'!$C$15:$C$214,MATCH(TEXT($I301,"yyyy-mm-dd")&amp;"|"&amp;""&amp;"|",'CALENDARIO'!$G$15:$G$214,0)),IFERROR(INDEX('CALENDARIO'!$C$15:$C$214,MATCH(TEXT($I301,"yyyy-mm-dd")&amp;"||",'CALENDARIO'!$G$15:$G$214,0)),INDEX(patronHabil,WEEKDAY($I301,2)))))</f>
        <v/>
      </c>
    </row>
    <row r="302">
      <c r="I302" s="41" t="n">
        <v>46320</v>
      </c>
      <c r="J302" s="24">
        <f>IFERROR(INDEX('CALENDARIO'!$C$15:$C$214,MATCH(TEXT($I302,"yyyy-mm-dd")&amp;"|"&amp;""&amp;"|"&amp;"",'CALENDARIO'!$G$15:$G$214,0)),IFERROR(INDEX('CALENDARIO'!$C$15:$C$214,MATCH(TEXT($I302,"yyyy-mm-dd")&amp;"|"&amp;""&amp;"|",'CALENDARIO'!$G$15:$G$214,0)),IFERROR(INDEX('CALENDARIO'!$C$15:$C$214,MATCH(TEXT($I302,"yyyy-mm-dd")&amp;"||",'CALENDARIO'!$G$15:$G$214,0)),INDEX(patronHabil,WEEKDAY($I302,2)))))</f>
        <v/>
      </c>
    </row>
    <row r="303">
      <c r="I303" s="41" t="n">
        <v>46321</v>
      </c>
      <c r="J303" s="24">
        <f>IFERROR(INDEX('CALENDARIO'!$C$15:$C$214,MATCH(TEXT($I303,"yyyy-mm-dd")&amp;"|"&amp;""&amp;"|"&amp;"",'CALENDARIO'!$G$15:$G$214,0)),IFERROR(INDEX('CALENDARIO'!$C$15:$C$214,MATCH(TEXT($I303,"yyyy-mm-dd")&amp;"|"&amp;""&amp;"|",'CALENDARIO'!$G$15:$G$214,0)),IFERROR(INDEX('CALENDARIO'!$C$15:$C$214,MATCH(TEXT($I303,"yyyy-mm-dd")&amp;"||",'CALENDARIO'!$G$15:$G$214,0)),INDEX(patronHabil,WEEKDAY($I303,2)))))</f>
        <v/>
      </c>
    </row>
    <row r="304">
      <c r="I304" s="41" t="n">
        <v>46322</v>
      </c>
      <c r="J304" s="24">
        <f>IFERROR(INDEX('CALENDARIO'!$C$15:$C$214,MATCH(TEXT($I304,"yyyy-mm-dd")&amp;"|"&amp;""&amp;"|"&amp;"",'CALENDARIO'!$G$15:$G$214,0)),IFERROR(INDEX('CALENDARIO'!$C$15:$C$214,MATCH(TEXT($I304,"yyyy-mm-dd")&amp;"|"&amp;""&amp;"|",'CALENDARIO'!$G$15:$G$214,0)),IFERROR(INDEX('CALENDARIO'!$C$15:$C$214,MATCH(TEXT($I304,"yyyy-mm-dd")&amp;"||",'CALENDARIO'!$G$15:$G$214,0)),INDEX(patronHabil,WEEKDAY($I304,2)))))</f>
        <v/>
      </c>
    </row>
    <row r="305">
      <c r="I305" s="41" t="n">
        <v>46323</v>
      </c>
      <c r="J305" s="24">
        <f>IFERROR(INDEX('CALENDARIO'!$C$15:$C$214,MATCH(TEXT($I305,"yyyy-mm-dd")&amp;"|"&amp;""&amp;"|"&amp;"",'CALENDARIO'!$G$15:$G$214,0)),IFERROR(INDEX('CALENDARIO'!$C$15:$C$214,MATCH(TEXT($I305,"yyyy-mm-dd")&amp;"|"&amp;""&amp;"|",'CALENDARIO'!$G$15:$G$214,0)),IFERROR(INDEX('CALENDARIO'!$C$15:$C$214,MATCH(TEXT($I305,"yyyy-mm-dd")&amp;"||",'CALENDARIO'!$G$15:$G$214,0)),INDEX(patronHabil,WEEKDAY($I305,2)))))</f>
        <v/>
      </c>
    </row>
    <row r="306">
      <c r="I306" s="41" t="n">
        <v>46324</v>
      </c>
      <c r="J306" s="24">
        <f>IFERROR(INDEX('CALENDARIO'!$C$15:$C$214,MATCH(TEXT($I306,"yyyy-mm-dd")&amp;"|"&amp;""&amp;"|"&amp;"",'CALENDARIO'!$G$15:$G$214,0)),IFERROR(INDEX('CALENDARIO'!$C$15:$C$214,MATCH(TEXT($I306,"yyyy-mm-dd")&amp;"|"&amp;""&amp;"|",'CALENDARIO'!$G$15:$G$214,0)),IFERROR(INDEX('CALENDARIO'!$C$15:$C$214,MATCH(TEXT($I306,"yyyy-mm-dd")&amp;"||",'CALENDARIO'!$G$15:$G$214,0)),INDEX(patronHabil,WEEKDAY($I306,2)))))</f>
        <v/>
      </c>
    </row>
    <row r="307">
      <c r="I307" s="41" t="n">
        <v>46325</v>
      </c>
      <c r="J307" s="24">
        <f>IFERROR(INDEX('CALENDARIO'!$C$15:$C$214,MATCH(TEXT($I307,"yyyy-mm-dd")&amp;"|"&amp;""&amp;"|"&amp;"",'CALENDARIO'!$G$15:$G$214,0)),IFERROR(INDEX('CALENDARIO'!$C$15:$C$214,MATCH(TEXT($I307,"yyyy-mm-dd")&amp;"|"&amp;""&amp;"|",'CALENDARIO'!$G$15:$G$214,0)),IFERROR(INDEX('CALENDARIO'!$C$15:$C$214,MATCH(TEXT($I307,"yyyy-mm-dd")&amp;"||",'CALENDARIO'!$G$15:$G$214,0)),INDEX(patronHabil,WEEKDAY($I307,2)))))</f>
        <v/>
      </c>
    </row>
    <row r="308">
      <c r="I308" s="41" t="n">
        <v>46326</v>
      </c>
      <c r="J308" s="24">
        <f>IFERROR(INDEX('CALENDARIO'!$C$15:$C$214,MATCH(TEXT($I308,"yyyy-mm-dd")&amp;"|"&amp;""&amp;"|"&amp;"",'CALENDARIO'!$G$15:$G$214,0)),IFERROR(INDEX('CALENDARIO'!$C$15:$C$214,MATCH(TEXT($I308,"yyyy-mm-dd")&amp;"|"&amp;""&amp;"|",'CALENDARIO'!$G$15:$G$214,0)),IFERROR(INDEX('CALENDARIO'!$C$15:$C$214,MATCH(TEXT($I308,"yyyy-mm-dd")&amp;"||",'CALENDARIO'!$G$15:$G$214,0)),INDEX(patronHabil,WEEKDAY($I308,2)))))</f>
        <v/>
      </c>
    </row>
    <row r="309">
      <c r="I309" s="41" t="n">
        <v>46327</v>
      </c>
      <c r="J309" s="24">
        <f>IFERROR(INDEX('CALENDARIO'!$C$15:$C$214,MATCH(TEXT($I309,"yyyy-mm-dd")&amp;"|"&amp;""&amp;"|"&amp;"",'CALENDARIO'!$G$15:$G$214,0)),IFERROR(INDEX('CALENDARIO'!$C$15:$C$214,MATCH(TEXT($I309,"yyyy-mm-dd")&amp;"|"&amp;""&amp;"|",'CALENDARIO'!$G$15:$G$214,0)),IFERROR(INDEX('CALENDARIO'!$C$15:$C$214,MATCH(TEXT($I309,"yyyy-mm-dd")&amp;"||",'CALENDARIO'!$G$15:$G$214,0)),INDEX(patronHabil,WEEKDAY($I309,2)))))</f>
        <v/>
      </c>
    </row>
    <row r="310">
      <c r="I310" s="41" t="n">
        <v>46328</v>
      </c>
      <c r="J310" s="24">
        <f>IFERROR(INDEX('CALENDARIO'!$C$15:$C$214,MATCH(TEXT($I310,"yyyy-mm-dd")&amp;"|"&amp;""&amp;"|"&amp;"",'CALENDARIO'!$G$15:$G$214,0)),IFERROR(INDEX('CALENDARIO'!$C$15:$C$214,MATCH(TEXT($I310,"yyyy-mm-dd")&amp;"|"&amp;""&amp;"|",'CALENDARIO'!$G$15:$G$214,0)),IFERROR(INDEX('CALENDARIO'!$C$15:$C$214,MATCH(TEXT($I310,"yyyy-mm-dd")&amp;"||",'CALENDARIO'!$G$15:$G$214,0)),INDEX(patronHabil,WEEKDAY($I310,2)))))</f>
        <v/>
      </c>
    </row>
    <row r="311">
      <c r="I311" s="41" t="n">
        <v>46329</v>
      </c>
      <c r="J311" s="24">
        <f>IFERROR(INDEX('CALENDARIO'!$C$15:$C$214,MATCH(TEXT($I311,"yyyy-mm-dd")&amp;"|"&amp;""&amp;"|"&amp;"",'CALENDARIO'!$G$15:$G$214,0)),IFERROR(INDEX('CALENDARIO'!$C$15:$C$214,MATCH(TEXT($I311,"yyyy-mm-dd")&amp;"|"&amp;""&amp;"|",'CALENDARIO'!$G$15:$G$214,0)),IFERROR(INDEX('CALENDARIO'!$C$15:$C$214,MATCH(TEXT($I311,"yyyy-mm-dd")&amp;"||",'CALENDARIO'!$G$15:$G$214,0)),INDEX(patronHabil,WEEKDAY($I311,2)))))</f>
        <v/>
      </c>
    </row>
    <row r="312">
      <c r="I312" s="41" t="n">
        <v>46330</v>
      </c>
      <c r="J312" s="24">
        <f>IFERROR(INDEX('CALENDARIO'!$C$15:$C$214,MATCH(TEXT($I312,"yyyy-mm-dd")&amp;"|"&amp;""&amp;"|"&amp;"",'CALENDARIO'!$G$15:$G$214,0)),IFERROR(INDEX('CALENDARIO'!$C$15:$C$214,MATCH(TEXT($I312,"yyyy-mm-dd")&amp;"|"&amp;""&amp;"|",'CALENDARIO'!$G$15:$G$214,0)),IFERROR(INDEX('CALENDARIO'!$C$15:$C$214,MATCH(TEXT($I312,"yyyy-mm-dd")&amp;"||",'CALENDARIO'!$G$15:$G$214,0)),INDEX(patronHabil,WEEKDAY($I312,2)))))</f>
        <v/>
      </c>
    </row>
    <row r="313">
      <c r="I313" s="41" t="n">
        <v>46331</v>
      </c>
      <c r="J313" s="24">
        <f>IFERROR(INDEX('CALENDARIO'!$C$15:$C$214,MATCH(TEXT($I313,"yyyy-mm-dd")&amp;"|"&amp;""&amp;"|"&amp;"",'CALENDARIO'!$G$15:$G$214,0)),IFERROR(INDEX('CALENDARIO'!$C$15:$C$214,MATCH(TEXT($I313,"yyyy-mm-dd")&amp;"|"&amp;""&amp;"|",'CALENDARIO'!$G$15:$G$214,0)),IFERROR(INDEX('CALENDARIO'!$C$15:$C$214,MATCH(TEXT($I313,"yyyy-mm-dd")&amp;"||",'CALENDARIO'!$G$15:$G$214,0)),INDEX(patronHabil,WEEKDAY($I313,2)))))</f>
        <v/>
      </c>
    </row>
    <row r="314">
      <c r="I314" s="41" t="n">
        <v>46332</v>
      </c>
      <c r="J314" s="24">
        <f>IFERROR(INDEX('CALENDARIO'!$C$15:$C$214,MATCH(TEXT($I314,"yyyy-mm-dd")&amp;"|"&amp;""&amp;"|"&amp;"",'CALENDARIO'!$G$15:$G$214,0)),IFERROR(INDEX('CALENDARIO'!$C$15:$C$214,MATCH(TEXT($I314,"yyyy-mm-dd")&amp;"|"&amp;""&amp;"|",'CALENDARIO'!$G$15:$G$214,0)),IFERROR(INDEX('CALENDARIO'!$C$15:$C$214,MATCH(TEXT($I314,"yyyy-mm-dd")&amp;"||",'CALENDARIO'!$G$15:$G$214,0)),INDEX(patronHabil,WEEKDAY($I314,2)))))</f>
        <v/>
      </c>
    </row>
    <row r="315">
      <c r="I315" s="41" t="n">
        <v>46333</v>
      </c>
      <c r="J315" s="24">
        <f>IFERROR(INDEX('CALENDARIO'!$C$15:$C$214,MATCH(TEXT($I315,"yyyy-mm-dd")&amp;"|"&amp;""&amp;"|"&amp;"",'CALENDARIO'!$G$15:$G$214,0)),IFERROR(INDEX('CALENDARIO'!$C$15:$C$214,MATCH(TEXT($I315,"yyyy-mm-dd")&amp;"|"&amp;""&amp;"|",'CALENDARIO'!$G$15:$G$214,0)),IFERROR(INDEX('CALENDARIO'!$C$15:$C$214,MATCH(TEXT($I315,"yyyy-mm-dd")&amp;"||",'CALENDARIO'!$G$15:$G$214,0)),INDEX(patronHabil,WEEKDAY($I315,2)))))</f>
        <v/>
      </c>
    </row>
    <row r="316">
      <c r="I316" s="41" t="n">
        <v>46334</v>
      </c>
      <c r="J316" s="24">
        <f>IFERROR(INDEX('CALENDARIO'!$C$15:$C$214,MATCH(TEXT($I316,"yyyy-mm-dd")&amp;"|"&amp;""&amp;"|"&amp;"",'CALENDARIO'!$G$15:$G$214,0)),IFERROR(INDEX('CALENDARIO'!$C$15:$C$214,MATCH(TEXT($I316,"yyyy-mm-dd")&amp;"|"&amp;""&amp;"|",'CALENDARIO'!$G$15:$G$214,0)),IFERROR(INDEX('CALENDARIO'!$C$15:$C$214,MATCH(TEXT($I316,"yyyy-mm-dd")&amp;"||",'CALENDARIO'!$G$15:$G$214,0)),INDEX(patronHabil,WEEKDAY($I316,2)))))</f>
        <v/>
      </c>
    </row>
    <row r="317">
      <c r="I317" s="41" t="n">
        <v>46335</v>
      </c>
      <c r="J317" s="24">
        <f>IFERROR(INDEX('CALENDARIO'!$C$15:$C$214,MATCH(TEXT($I317,"yyyy-mm-dd")&amp;"|"&amp;""&amp;"|"&amp;"",'CALENDARIO'!$G$15:$G$214,0)),IFERROR(INDEX('CALENDARIO'!$C$15:$C$214,MATCH(TEXT($I317,"yyyy-mm-dd")&amp;"|"&amp;""&amp;"|",'CALENDARIO'!$G$15:$G$214,0)),IFERROR(INDEX('CALENDARIO'!$C$15:$C$214,MATCH(TEXT($I317,"yyyy-mm-dd")&amp;"||",'CALENDARIO'!$G$15:$G$214,0)),INDEX(patronHabil,WEEKDAY($I317,2)))))</f>
        <v/>
      </c>
    </row>
    <row r="318">
      <c r="I318" s="41" t="n">
        <v>46336</v>
      </c>
      <c r="J318" s="24">
        <f>IFERROR(INDEX('CALENDARIO'!$C$15:$C$214,MATCH(TEXT($I318,"yyyy-mm-dd")&amp;"|"&amp;""&amp;"|"&amp;"",'CALENDARIO'!$G$15:$G$214,0)),IFERROR(INDEX('CALENDARIO'!$C$15:$C$214,MATCH(TEXT($I318,"yyyy-mm-dd")&amp;"|"&amp;""&amp;"|",'CALENDARIO'!$G$15:$G$214,0)),IFERROR(INDEX('CALENDARIO'!$C$15:$C$214,MATCH(TEXT($I318,"yyyy-mm-dd")&amp;"||",'CALENDARIO'!$G$15:$G$214,0)),INDEX(patronHabil,WEEKDAY($I318,2)))))</f>
        <v/>
      </c>
    </row>
    <row r="319">
      <c r="I319" s="41" t="n">
        <v>46337</v>
      </c>
      <c r="J319" s="24">
        <f>IFERROR(INDEX('CALENDARIO'!$C$15:$C$214,MATCH(TEXT($I319,"yyyy-mm-dd")&amp;"|"&amp;""&amp;"|"&amp;"",'CALENDARIO'!$G$15:$G$214,0)),IFERROR(INDEX('CALENDARIO'!$C$15:$C$214,MATCH(TEXT($I319,"yyyy-mm-dd")&amp;"|"&amp;""&amp;"|",'CALENDARIO'!$G$15:$G$214,0)),IFERROR(INDEX('CALENDARIO'!$C$15:$C$214,MATCH(TEXT($I319,"yyyy-mm-dd")&amp;"||",'CALENDARIO'!$G$15:$G$214,0)),INDEX(patronHabil,WEEKDAY($I319,2)))))</f>
        <v/>
      </c>
    </row>
    <row r="320">
      <c r="I320" s="41" t="n">
        <v>46338</v>
      </c>
      <c r="J320" s="24">
        <f>IFERROR(INDEX('CALENDARIO'!$C$15:$C$214,MATCH(TEXT($I320,"yyyy-mm-dd")&amp;"|"&amp;""&amp;"|"&amp;"",'CALENDARIO'!$G$15:$G$214,0)),IFERROR(INDEX('CALENDARIO'!$C$15:$C$214,MATCH(TEXT($I320,"yyyy-mm-dd")&amp;"|"&amp;""&amp;"|",'CALENDARIO'!$G$15:$G$214,0)),IFERROR(INDEX('CALENDARIO'!$C$15:$C$214,MATCH(TEXT($I320,"yyyy-mm-dd")&amp;"||",'CALENDARIO'!$G$15:$G$214,0)),INDEX(patronHabil,WEEKDAY($I320,2)))))</f>
        <v/>
      </c>
    </row>
    <row r="321">
      <c r="I321" s="41" t="n">
        <v>46339</v>
      </c>
      <c r="J321" s="24">
        <f>IFERROR(INDEX('CALENDARIO'!$C$15:$C$214,MATCH(TEXT($I321,"yyyy-mm-dd")&amp;"|"&amp;""&amp;"|"&amp;"",'CALENDARIO'!$G$15:$G$214,0)),IFERROR(INDEX('CALENDARIO'!$C$15:$C$214,MATCH(TEXT($I321,"yyyy-mm-dd")&amp;"|"&amp;""&amp;"|",'CALENDARIO'!$G$15:$G$214,0)),IFERROR(INDEX('CALENDARIO'!$C$15:$C$214,MATCH(TEXT($I321,"yyyy-mm-dd")&amp;"||",'CALENDARIO'!$G$15:$G$214,0)),INDEX(patronHabil,WEEKDAY($I321,2)))))</f>
        <v/>
      </c>
    </row>
    <row r="322">
      <c r="I322" s="41" t="n">
        <v>46340</v>
      </c>
      <c r="J322" s="24">
        <f>IFERROR(INDEX('CALENDARIO'!$C$15:$C$214,MATCH(TEXT($I322,"yyyy-mm-dd")&amp;"|"&amp;""&amp;"|"&amp;"",'CALENDARIO'!$G$15:$G$214,0)),IFERROR(INDEX('CALENDARIO'!$C$15:$C$214,MATCH(TEXT($I322,"yyyy-mm-dd")&amp;"|"&amp;""&amp;"|",'CALENDARIO'!$G$15:$G$214,0)),IFERROR(INDEX('CALENDARIO'!$C$15:$C$214,MATCH(TEXT($I322,"yyyy-mm-dd")&amp;"||",'CALENDARIO'!$G$15:$G$214,0)),INDEX(patronHabil,WEEKDAY($I322,2)))))</f>
        <v/>
      </c>
    </row>
    <row r="323">
      <c r="I323" s="41" t="n">
        <v>46341</v>
      </c>
      <c r="J323" s="24">
        <f>IFERROR(INDEX('CALENDARIO'!$C$15:$C$214,MATCH(TEXT($I323,"yyyy-mm-dd")&amp;"|"&amp;""&amp;"|"&amp;"",'CALENDARIO'!$G$15:$G$214,0)),IFERROR(INDEX('CALENDARIO'!$C$15:$C$214,MATCH(TEXT($I323,"yyyy-mm-dd")&amp;"|"&amp;""&amp;"|",'CALENDARIO'!$G$15:$G$214,0)),IFERROR(INDEX('CALENDARIO'!$C$15:$C$214,MATCH(TEXT($I323,"yyyy-mm-dd")&amp;"||",'CALENDARIO'!$G$15:$G$214,0)),INDEX(patronHabil,WEEKDAY($I323,2)))))</f>
        <v/>
      </c>
    </row>
    <row r="324">
      <c r="I324" s="41" t="n">
        <v>46342</v>
      </c>
      <c r="J324" s="24">
        <f>IFERROR(INDEX('CALENDARIO'!$C$15:$C$214,MATCH(TEXT($I324,"yyyy-mm-dd")&amp;"|"&amp;""&amp;"|"&amp;"",'CALENDARIO'!$G$15:$G$214,0)),IFERROR(INDEX('CALENDARIO'!$C$15:$C$214,MATCH(TEXT($I324,"yyyy-mm-dd")&amp;"|"&amp;""&amp;"|",'CALENDARIO'!$G$15:$G$214,0)),IFERROR(INDEX('CALENDARIO'!$C$15:$C$214,MATCH(TEXT($I324,"yyyy-mm-dd")&amp;"||",'CALENDARIO'!$G$15:$G$214,0)),INDEX(patronHabil,WEEKDAY($I324,2)))))</f>
        <v/>
      </c>
    </row>
    <row r="325">
      <c r="I325" s="41" t="n">
        <v>46343</v>
      </c>
      <c r="J325" s="24">
        <f>IFERROR(INDEX('CALENDARIO'!$C$15:$C$214,MATCH(TEXT($I325,"yyyy-mm-dd")&amp;"|"&amp;""&amp;"|"&amp;"",'CALENDARIO'!$G$15:$G$214,0)),IFERROR(INDEX('CALENDARIO'!$C$15:$C$214,MATCH(TEXT($I325,"yyyy-mm-dd")&amp;"|"&amp;""&amp;"|",'CALENDARIO'!$G$15:$G$214,0)),IFERROR(INDEX('CALENDARIO'!$C$15:$C$214,MATCH(TEXT($I325,"yyyy-mm-dd")&amp;"||",'CALENDARIO'!$G$15:$G$214,0)),INDEX(patronHabil,WEEKDAY($I325,2)))))</f>
        <v/>
      </c>
    </row>
    <row r="326">
      <c r="I326" s="41" t="n">
        <v>46344</v>
      </c>
      <c r="J326" s="24">
        <f>IFERROR(INDEX('CALENDARIO'!$C$15:$C$214,MATCH(TEXT($I326,"yyyy-mm-dd")&amp;"|"&amp;""&amp;"|"&amp;"",'CALENDARIO'!$G$15:$G$214,0)),IFERROR(INDEX('CALENDARIO'!$C$15:$C$214,MATCH(TEXT($I326,"yyyy-mm-dd")&amp;"|"&amp;""&amp;"|",'CALENDARIO'!$G$15:$G$214,0)),IFERROR(INDEX('CALENDARIO'!$C$15:$C$214,MATCH(TEXT($I326,"yyyy-mm-dd")&amp;"||",'CALENDARIO'!$G$15:$G$214,0)),INDEX(patronHabil,WEEKDAY($I326,2)))))</f>
        <v/>
      </c>
    </row>
    <row r="327">
      <c r="I327" s="41" t="n">
        <v>46345</v>
      </c>
      <c r="J327" s="24">
        <f>IFERROR(INDEX('CALENDARIO'!$C$15:$C$214,MATCH(TEXT($I327,"yyyy-mm-dd")&amp;"|"&amp;""&amp;"|"&amp;"",'CALENDARIO'!$G$15:$G$214,0)),IFERROR(INDEX('CALENDARIO'!$C$15:$C$214,MATCH(TEXT($I327,"yyyy-mm-dd")&amp;"|"&amp;""&amp;"|",'CALENDARIO'!$G$15:$G$214,0)),IFERROR(INDEX('CALENDARIO'!$C$15:$C$214,MATCH(TEXT($I327,"yyyy-mm-dd")&amp;"||",'CALENDARIO'!$G$15:$G$214,0)),INDEX(patronHabil,WEEKDAY($I327,2)))))</f>
        <v/>
      </c>
    </row>
    <row r="328">
      <c r="I328" s="41" t="n">
        <v>46346</v>
      </c>
      <c r="J328" s="24">
        <f>IFERROR(INDEX('CALENDARIO'!$C$15:$C$214,MATCH(TEXT($I328,"yyyy-mm-dd")&amp;"|"&amp;""&amp;"|"&amp;"",'CALENDARIO'!$G$15:$G$214,0)),IFERROR(INDEX('CALENDARIO'!$C$15:$C$214,MATCH(TEXT($I328,"yyyy-mm-dd")&amp;"|"&amp;""&amp;"|",'CALENDARIO'!$G$15:$G$214,0)),IFERROR(INDEX('CALENDARIO'!$C$15:$C$214,MATCH(TEXT($I328,"yyyy-mm-dd")&amp;"||",'CALENDARIO'!$G$15:$G$214,0)),INDEX(patronHabil,WEEKDAY($I328,2)))))</f>
        <v/>
      </c>
    </row>
    <row r="329">
      <c r="I329" s="41" t="n">
        <v>46347</v>
      </c>
      <c r="J329" s="24">
        <f>IFERROR(INDEX('CALENDARIO'!$C$15:$C$214,MATCH(TEXT($I329,"yyyy-mm-dd")&amp;"|"&amp;""&amp;"|"&amp;"",'CALENDARIO'!$G$15:$G$214,0)),IFERROR(INDEX('CALENDARIO'!$C$15:$C$214,MATCH(TEXT($I329,"yyyy-mm-dd")&amp;"|"&amp;""&amp;"|",'CALENDARIO'!$G$15:$G$214,0)),IFERROR(INDEX('CALENDARIO'!$C$15:$C$214,MATCH(TEXT($I329,"yyyy-mm-dd")&amp;"||",'CALENDARIO'!$G$15:$G$214,0)),INDEX(patronHabil,WEEKDAY($I329,2)))))</f>
        <v/>
      </c>
    </row>
    <row r="330">
      <c r="I330" s="41" t="n">
        <v>46348</v>
      </c>
      <c r="J330" s="24">
        <f>IFERROR(INDEX('CALENDARIO'!$C$15:$C$214,MATCH(TEXT($I330,"yyyy-mm-dd")&amp;"|"&amp;""&amp;"|"&amp;"",'CALENDARIO'!$G$15:$G$214,0)),IFERROR(INDEX('CALENDARIO'!$C$15:$C$214,MATCH(TEXT($I330,"yyyy-mm-dd")&amp;"|"&amp;""&amp;"|",'CALENDARIO'!$G$15:$G$214,0)),IFERROR(INDEX('CALENDARIO'!$C$15:$C$214,MATCH(TEXT($I330,"yyyy-mm-dd")&amp;"||",'CALENDARIO'!$G$15:$G$214,0)),INDEX(patronHabil,WEEKDAY($I330,2)))))</f>
        <v/>
      </c>
    </row>
    <row r="331">
      <c r="I331" s="41" t="n">
        <v>46349</v>
      </c>
      <c r="J331" s="24">
        <f>IFERROR(INDEX('CALENDARIO'!$C$15:$C$214,MATCH(TEXT($I331,"yyyy-mm-dd")&amp;"|"&amp;""&amp;"|"&amp;"",'CALENDARIO'!$G$15:$G$214,0)),IFERROR(INDEX('CALENDARIO'!$C$15:$C$214,MATCH(TEXT($I331,"yyyy-mm-dd")&amp;"|"&amp;""&amp;"|",'CALENDARIO'!$G$15:$G$214,0)),IFERROR(INDEX('CALENDARIO'!$C$15:$C$214,MATCH(TEXT($I331,"yyyy-mm-dd")&amp;"||",'CALENDARIO'!$G$15:$G$214,0)),INDEX(patronHabil,WEEKDAY($I331,2)))))</f>
        <v/>
      </c>
    </row>
    <row r="332">
      <c r="I332" s="41" t="n">
        <v>46350</v>
      </c>
      <c r="J332" s="24">
        <f>IFERROR(INDEX('CALENDARIO'!$C$15:$C$214,MATCH(TEXT($I332,"yyyy-mm-dd")&amp;"|"&amp;""&amp;"|"&amp;"",'CALENDARIO'!$G$15:$G$214,0)),IFERROR(INDEX('CALENDARIO'!$C$15:$C$214,MATCH(TEXT($I332,"yyyy-mm-dd")&amp;"|"&amp;""&amp;"|",'CALENDARIO'!$G$15:$G$214,0)),IFERROR(INDEX('CALENDARIO'!$C$15:$C$214,MATCH(TEXT($I332,"yyyy-mm-dd")&amp;"||",'CALENDARIO'!$G$15:$G$214,0)),INDEX(patronHabil,WEEKDAY($I332,2)))))</f>
        <v/>
      </c>
    </row>
    <row r="333">
      <c r="I333" s="41" t="n">
        <v>46351</v>
      </c>
      <c r="J333" s="24">
        <f>IFERROR(INDEX('CALENDARIO'!$C$15:$C$214,MATCH(TEXT($I333,"yyyy-mm-dd")&amp;"|"&amp;""&amp;"|"&amp;"",'CALENDARIO'!$G$15:$G$214,0)),IFERROR(INDEX('CALENDARIO'!$C$15:$C$214,MATCH(TEXT($I333,"yyyy-mm-dd")&amp;"|"&amp;""&amp;"|",'CALENDARIO'!$G$15:$G$214,0)),IFERROR(INDEX('CALENDARIO'!$C$15:$C$214,MATCH(TEXT($I333,"yyyy-mm-dd")&amp;"||",'CALENDARIO'!$G$15:$G$214,0)),INDEX(patronHabil,WEEKDAY($I333,2)))))</f>
        <v/>
      </c>
    </row>
    <row r="334">
      <c r="I334" s="41" t="n">
        <v>46352</v>
      </c>
      <c r="J334" s="24">
        <f>IFERROR(INDEX('CALENDARIO'!$C$15:$C$214,MATCH(TEXT($I334,"yyyy-mm-dd")&amp;"|"&amp;""&amp;"|"&amp;"",'CALENDARIO'!$G$15:$G$214,0)),IFERROR(INDEX('CALENDARIO'!$C$15:$C$214,MATCH(TEXT($I334,"yyyy-mm-dd")&amp;"|"&amp;""&amp;"|",'CALENDARIO'!$G$15:$G$214,0)),IFERROR(INDEX('CALENDARIO'!$C$15:$C$214,MATCH(TEXT($I334,"yyyy-mm-dd")&amp;"||",'CALENDARIO'!$G$15:$G$214,0)),INDEX(patronHabil,WEEKDAY($I334,2)))))</f>
        <v/>
      </c>
    </row>
    <row r="335">
      <c r="I335" s="41" t="n">
        <v>46353</v>
      </c>
      <c r="J335" s="24">
        <f>IFERROR(INDEX('CALENDARIO'!$C$15:$C$214,MATCH(TEXT($I335,"yyyy-mm-dd")&amp;"|"&amp;""&amp;"|"&amp;"",'CALENDARIO'!$G$15:$G$214,0)),IFERROR(INDEX('CALENDARIO'!$C$15:$C$214,MATCH(TEXT($I335,"yyyy-mm-dd")&amp;"|"&amp;""&amp;"|",'CALENDARIO'!$G$15:$G$214,0)),IFERROR(INDEX('CALENDARIO'!$C$15:$C$214,MATCH(TEXT($I335,"yyyy-mm-dd")&amp;"||",'CALENDARIO'!$G$15:$G$214,0)),INDEX(patronHabil,WEEKDAY($I335,2)))))</f>
        <v/>
      </c>
    </row>
    <row r="336">
      <c r="I336" s="41" t="n">
        <v>46354</v>
      </c>
      <c r="J336" s="24">
        <f>IFERROR(INDEX('CALENDARIO'!$C$15:$C$214,MATCH(TEXT($I336,"yyyy-mm-dd")&amp;"|"&amp;""&amp;"|"&amp;"",'CALENDARIO'!$G$15:$G$214,0)),IFERROR(INDEX('CALENDARIO'!$C$15:$C$214,MATCH(TEXT($I336,"yyyy-mm-dd")&amp;"|"&amp;""&amp;"|",'CALENDARIO'!$G$15:$G$214,0)),IFERROR(INDEX('CALENDARIO'!$C$15:$C$214,MATCH(TEXT($I336,"yyyy-mm-dd")&amp;"||",'CALENDARIO'!$G$15:$G$214,0)),INDEX(patronHabil,WEEKDAY($I336,2)))))</f>
        <v/>
      </c>
    </row>
    <row r="337">
      <c r="I337" s="41" t="n">
        <v>46355</v>
      </c>
      <c r="J337" s="24">
        <f>IFERROR(INDEX('CALENDARIO'!$C$15:$C$214,MATCH(TEXT($I337,"yyyy-mm-dd")&amp;"|"&amp;""&amp;"|"&amp;"",'CALENDARIO'!$G$15:$G$214,0)),IFERROR(INDEX('CALENDARIO'!$C$15:$C$214,MATCH(TEXT($I337,"yyyy-mm-dd")&amp;"|"&amp;""&amp;"|",'CALENDARIO'!$G$15:$G$214,0)),IFERROR(INDEX('CALENDARIO'!$C$15:$C$214,MATCH(TEXT($I337,"yyyy-mm-dd")&amp;"||",'CALENDARIO'!$G$15:$G$214,0)),INDEX(patronHabil,WEEKDAY($I337,2)))))</f>
        <v/>
      </c>
    </row>
    <row r="338">
      <c r="I338" s="41" t="n">
        <v>46356</v>
      </c>
      <c r="J338" s="24">
        <f>IFERROR(INDEX('CALENDARIO'!$C$15:$C$214,MATCH(TEXT($I338,"yyyy-mm-dd")&amp;"|"&amp;""&amp;"|"&amp;"",'CALENDARIO'!$G$15:$G$214,0)),IFERROR(INDEX('CALENDARIO'!$C$15:$C$214,MATCH(TEXT($I338,"yyyy-mm-dd")&amp;"|"&amp;""&amp;"|",'CALENDARIO'!$G$15:$G$214,0)),IFERROR(INDEX('CALENDARIO'!$C$15:$C$214,MATCH(TEXT($I338,"yyyy-mm-dd")&amp;"||",'CALENDARIO'!$G$15:$G$214,0)),INDEX(patronHabil,WEEKDAY($I338,2)))))</f>
        <v/>
      </c>
    </row>
    <row r="339">
      <c r="I339" s="41" t="n">
        <v>46357</v>
      </c>
      <c r="J339" s="24">
        <f>IFERROR(INDEX('CALENDARIO'!$C$15:$C$214,MATCH(TEXT($I339,"yyyy-mm-dd")&amp;"|"&amp;""&amp;"|"&amp;"",'CALENDARIO'!$G$15:$G$214,0)),IFERROR(INDEX('CALENDARIO'!$C$15:$C$214,MATCH(TEXT($I339,"yyyy-mm-dd")&amp;"|"&amp;""&amp;"|",'CALENDARIO'!$G$15:$G$214,0)),IFERROR(INDEX('CALENDARIO'!$C$15:$C$214,MATCH(TEXT($I339,"yyyy-mm-dd")&amp;"||",'CALENDARIO'!$G$15:$G$214,0)),INDEX(patronHabil,WEEKDAY($I339,2)))))</f>
        <v/>
      </c>
    </row>
    <row r="340">
      <c r="I340" s="41" t="n">
        <v>46358</v>
      </c>
      <c r="J340" s="24">
        <f>IFERROR(INDEX('CALENDARIO'!$C$15:$C$214,MATCH(TEXT($I340,"yyyy-mm-dd")&amp;"|"&amp;""&amp;"|"&amp;"",'CALENDARIO'!$G$15:$G$214,0)),IFERROR(INDEX('CALENDARIO'!$C$15:$C$214,MATCH(TEXT($I340,"yyyy-mm-dd")&amp;"|"&amp;""&amp;"|",'CALENDARIO'!$G$15:$G$214,0)),IFERROR(INDEX('CALENDARIO'!$C$15:$C$214,MATCH(TEXT($I340,"yyyy-mm-dd")&amp;"||",'CALENDARIO'!$G$15:$G$214,0)),INDEX(patronHabil,WEEKDAY($I340,2)))))</f>
        <v/>
      </c>
    </row>
    <row r="341">
      <c r="I341" s="41" t="n">
        <v>46359</v>
      </c>
      <c r="J341" s="24">
        <f>IFERROR(INDEX('CALENDARIO'!$C$15:$C$214,MATCH(TEXT($I341,"yyyy-mm-dd")&amp;"|"&amp;""&amp;"|"&amp;"",'CALENDARIO'!$G$15:$G$214,0)),IFERROR(INDEX('CALENDARIO'!$C$15:$C$214,MATCH(TEXT($I341,"yyyy-mm-dd")&amp;"|"&amp;""&amp;"|",'CALENDARIO'!$G$15:$G$214,0)),IFERROR(INDEX('CALENDARIO'!$C$15:$C$214,MATCH(TEXT($I341,"yyyy-mm-dd")&amp;"||",'CALENDARIO'!$G$15:$G$214,0)),INDEX(patronHabil,WEEKDAY($I341,2)))))</f>
        <v/>
      </c>
    </row>
    <row r="342">
      <c r="I342" s="41" t="n">
        <v>46360</v>
      </c>
      <c r="J342" s="24">
        <f>IFERROR(INDEX('CALENDARIO'!$C$15:$C$214,MATCH(TEXT($I342,"yyyy-mm-dd")&amp;"|"&amp;""&amp;"|"&amp;"",'CALENDARIO'!$G$15:$G$214,0)),IFERROR(INDEX('CALENDARIO'!$C$15:$C$214,MATCH(TEXT($I342,"yyyy-mm-dd")&amp;"|"&amp;""&amp;"|",'CALENDARIO'!$G$15:$G$214,0)),IFERROR(INDEX('CALENDARIO'!$C$15:$C$214,MATCH(TEXT($I342,"yyyy-mm-dd")&amp;"||",'CALENDARIO'!$G$15:$G$214,0)),INDEX(patronHabil,WEEKDAY($I342,2)))))</f>
        <v/>
      </c>
    </row>
    <row r="343">
      <c r="I343" s="41" t="n">
        <v>46361</v>
      </c>
      <c r="J343" s="24">
        <f>IFERROR(INDEX('CALENDARIO'!$C$15:$C$214,MATCH(TEXT($I343,"yyyy-mm-dd")&amp;"|"&amp;""&amp;"|"&amp;"",'CALENDARIO'!$G$15:$G$214,0)),IFERROR(INDEX('CALENDARIO'!$C$15:$C$214,MATCH(TEXT($I343,"yyyy-mm-dd")&amp;"|"&amp;""&amp;"|",'CALENDARIO'!$G$15:$G$214,0)),IFERROR(INDEX('CALENDARIO'!$C$15:$C$214,MATCH(TEXT($I343,"yyyy-mm-dd")&amp;"||",'CALENDARIO'!$G$15:$G$214,0)),INDEX(patronHabil,WEEKDAY($I343,2)))))</f>
        <v/>
      </c>
    </row>
    <row r="344">
      <c r="I344" s="41" t="n">
        <v>46362</v>
      </c>
      <c r="J344" s="24">
        <f>IFERROR(INDEX('CALENDARIO'!$C$15:$C$214,MATCH(TEXT($I344,"yyyy-mm-dd")&amp;"|"&amp;""&amp;"|"&amp;"",'CALENDARIO'!$G$15:$G$214,0)),IFERROR(INDEX('CALENDARIO'!$C$15:$C$214,MATCH(TEXT($I344,"yyyy-mm-dd")&amp;"|"&amp;""&amp;"|",'CALENDARIO'!$G$15:$G$214,0)),IFERROR(INDEX('CALENDARIO'!$C$15:$C$214,MATCH(TEXT($I344,"yyyy-mm-dd")&amp;"||",'CALENDARIO'!$G$15:$G$214,0)),INDEX(patronHabil,WEEKDAY($I344,2)))))</f>
        <v/>
      </c>
    </row>
    <row r="345">
      <c r="I345" s="41" t="n">
        <v>46363</v>
      </c>
      <c r="J345" s="24">
        <f>IFERROR(INDEX('CALENDARIO'!$C$15:$C$214,MATCH(TEXT($I345,"yyyy-mm-dd")&amp;"|"&amp;""&amp;"|"&amp;"",'CALENDARIO'!$G$15:$G$214,0)),IFERROR(INDEX('CALENDARIO'!$C$15:$C$214,MATCH(TEXT($I345,"yyyy-mm-dd")&amp;"|"&amp;""&amp;"|",'CALENDARIO'!$G$15:$G$214,0)),IFERROR(INDEX('CALENDARIO'!$C$15:$C$214,MATCH(TEXT($I345,"yyyy-mm-dd")&amp;"||",'CALENDARIO'!$G$15:$G$214,0)),INDEX(patronHabil,WEEKDAY($I345,2)))))</f>
        <v/>
      </c>
    </row>
    <row r="346">
      <c r="I346" s="41" t="n">
        <v>46364</v>
      </c>
      <c r="J346" s="24">
        <f>IFERROR(INDEX('CALENDARIO'!$C$15:$C$214,MATCH(TEXT($I346,"yyyy-mm-dd")&amp;"|"&amp;""&amp;"|"&amp;"",'CALENDARIO'!$G$15:$G$214,0)),IFERROR(INDEX('CALENDARIO'!$C$15:$C$214,MATCH(TEXT($I346,"yyyy-mm-dd")&amp;"|"&amp;""&amp;"|",'CALENDARIO'!$G$15:$G$214,0)),IFERROR(INDEX('CALENDARIO'!$C$15:$C$214,MATCH(TEXT($I346,"yyyy-mm-dd")&amp;"||",'CALENDARIO'!$G$15:$G$214,0)),INDEX(patronHabil,WEEKDAY($I346,2)))))</f>
        <v/>
      </c>
    </row>
    <row r="347">
      <c r="I347" s="41" t="n">
        <v>46365</v>
      </c>
      <c r="J347" s="24">
        <f>IFERROR(INDEX('CALENDARIO'!$C$15:$C$214,MATCH(TEXT($I347,"yyyy-mm-dd")&amp;"|"&amp;""&amp;"|"&amp;"",'CALENDARIO'!$G$15:$G$214,0)),IFERROR(INDEX('CALENDARIO'!$C$15:$C$214,MATCH(TEXT($I347,"yyyy-mm-dd")&amp;"|"&amp;""&amp;"|",'CALENDARIO'!$G$15:$G$214,0)),IFERROR(INDEX('CALENDARIO'!$C$15:$C$214,MATCH(TEXT($I347,"yyyy-mm-dd")&amp;"||",'CALENDARIO'!$G$15:$G$214,0)),INDEX(patronHabil,WEEKDAY($I347,2)))))</f>
        <v/>
      </c>
    </row>
    <row r="348">
      <c r="I348" s="41" t="n">
        <v>46366</v>
      </c>
      <c r="J348" s="24">
        <f>IFERROR(INDEX('CALENDARIO'!$C$15:$C$214,MATCH(TEXT($I348,"yyyy-mm-dd")&amp;"|"&amp;""&amp;"|"&amp;"",'CALENDARIO'!$G$15:$G$214,0)),IFERROR(INDEX('CALENDARIO'!$C$15:$C$214,MATCH(TEXT($I348,"yyyy-mm-dd")&amp;"|"&amp;""&amp;"|",'CALENDARIO'!$G$15:$G$214,0)),IFERROR(INDEX('CALENDARIO'!$C$15:$C$214,MATCH(TEXT($I348,"yyyy-mm-dd")&amp;"||",'CALENDARIO'!$G$15:$G$214,0)),INDEX(patronHabil,WEEKDAY($I348,2)))))</f>
        <v/>
      </c>
    </row>
    <row r="349">
      <c r="I349" s="41" t="n">
        <v>46367</v>
      </c>
      <c r="J349" s="24">
        <f>IFERROR(INDEX('CALENDARIO'!$C$15:$C$214,MATCH(TEXT($I349,"yyyy-mm-dd")&amp;"|"&amp;""&amp;"|"&amp;"",'CALENDARIO'!$G$15:$G$214,0)),IFERROR(INDEX('CALENDARIO'!$C$15:$C$214,MATCH(TEXT($I349,"yyyy-mm-dd")&amp;"|"&amp;""&amp;"|",'CALENDARIO'!$G$15:$G$214,0)),IFERROR(INDEX('CALENDARIO'!$C$15:$C$214,MATCH(TEXT($I349,"yyyy-mm-dd")&amp;"||",'CALENDARIO'!$G$15:$G$214,0)),INDEX(patronHabil,WEEKDAY($I349,2)))))</f>
        <v/>
      </c>
    </row>
    <row r="350">
      <c r="I350" s="41" t="n">
        <v>46368</v>
      </c>
      <c r="J350" s="24">
        <f>IFERROR(INDEX('CALENDARIO'!$C$15:$C$214,MATCH(TEXT($I350,"yyyy-mm-dd")&amp;"|"&amp;""&amp;"|"&amp;"",'CALENDARIO'!$G$15:$G$214,0)),IFERROR(INDEX('CALENDARIO'!$C$15:$C$214,MATCH(TEXT($I350,"yyyy-mm-dd")&amp;"|"&amp;""&amp;"|",'CALENDARIO'!$G$15:$G$214,0)),IFERROR(INDEX('CALENDARIO'!$C$15:$C$214,MATCH(TEXT($I350,"yyyy-mm-dd")&amp;"||",'CALENDARIO'!$G$15:$G$214,0)),INDEX(patronHabil,WEEKDAY($I350,2)))))</f>
        <v/>
      </c>
    </row>
    <row r="351">
      <c r="I351" s="41" t="n">
        <v>46369</v>
      </c>
      <c r="J351" s="24">
        <f>IFERROR(INDEX('CALENDARIO'!$C$15:$C$214,MATCH(TEXT($I351,"yyyy-mm-dd")&amp;"|"&amp;""&amp;"|"&amp;"",'CALENDARIO'!$G$15:$G$214,0)),IFERROR(INDEX('CALENDARIO'!$C$15:$C$214,MATCH(TEXT($I351,"yyyy-mm-dd")&amp;"|"&amp;""&amp;"|",'CALENDARIO'!$G$15:$G$214,0)),IFERROR(INDEX('CALENDARIO'!$C$15:$C$214,MATCH(TEXT($I351,"yyyy-mm-dd")&amp;"||",'CALENDARIO'!$G$15:$G$214,0)),INDEX(patronHabil,WEEKDAY($I351,2)))))</f>
        <v/>
      </c>
    </row>
    <row r="352">
      <c r="I352" s="41" t="n">
        <v>46370</v>
      </c>
      <c r="J352" s="24">
        <f>IFERROR(INDEX('CALENDARIO'!$C$15:$C$214,MATCH(TEXT($I352,"yyyy-mm-dd")&amp;"|"&amp;""&amp;"|"&amp;"",'CALENDARIO'!$G$15:$G$214,0)),IFERROR(INDEX('CALENDARIO'!$C$15:$C$214,MATCH(TEXT($I352,"yyyy-mm-dd")&amp;"|"&amp;""&amp;"|",'CALENDARIO'!$G$15:$G$214,0)),IFERROR(INDEX('CALENDARIO'!$C$15:$C$214,MATCH(TEXT($I352,"yyyy-mm-dd")&amp;"||",'CALENDARIO'!$G$15:$G$214,0)),INDEX(patronHabil,WEEKDAY($I352,2)))))</f>
        <v/>
      </c>
    </row>
    <row r="353">
      <c r="I353" s="41" t="n">
        <v>46371</v>
      </c>
      <c r="J353" s="24">
        <f>IFERROR(INDEX('CALENDARIO'!$C$15:$C$214,MATCH(TEXT($I353,"yyyy-mm-dd")&amp;"|"&amp;""&amp;"|"&amp;"",'CALENDARIO'!$G$15:$G$214,0)),IFERROR(INDEX('CALENDARIO'!$C$15:$C$214,MATCH(TEXT($I353,"yyyy-mm-dd")&amp;"|"&amp;""&amp;"|",'CALENDARIO'!$G$15:$G$214,0)),IFERROR(INDEX('CALENDARIO'!$C$15:$C$214,MATCH(TEXT($I353,"yyyy-mm-dd")&amp;"||",'CALENDARIO'!$G$15:$G$214,0)),INDEX(patronHabil,WEEKDAY($I353,2)))))</f>
        <v/>
      </c>
    </row>
    <row r="354">
      <c r="I354" s="41" t="n">
        <v>46372</v>
      </c>
      <c r="J354" s="24">
        <f>IFERROR(INDEX('CALENDARIO'!$C$15:$C$214,MATCH(TEXT($I354,"yyyy-mm-dd")&amp;"|"&amp;""&amp;"|"&amp;"",'CALENDARIO'!$G$15:$G$214,0)),IFERROR(INDEX('CALENDARIO'!$C$15:$C$214,MATCH(TEXT($I354,"yyyy-mm-dd")&amp;"|"&amp;""&amp;"|",'CALENDARIO'!$G$15:$G$214,0)),IFERROR(INDEX('CALENDARIO'!$C$15:$C$214,MATCH(TEXT($I354,"yyyy-mm-dd")&amp;"||",'CALENDARIO'!$G$15:$G$214,0)),INDEX(patronHabil,WEEKDAY($I354,2)))))</f>
        <v/>
      </c>
    </row>
    <row r="355">
      <c r="I355" s="41" t="n">
        <v>46373</v>
      </c>
      <c r="J355" s="24">
        <f>IFERROR(INDEX('CALENDARIO'!$C$15:$C$214,MATCH(TEXT($I355,"yyyy-mm-dd")&amp;"|"&amp;""&amp;"|"&amp;"",'CALENDARIO'!$G$15:$G$214,0)),IFERROR(INDEX('CALENDARIO'!$C$15:$C$214,MATCH(TEXT($I355,"yyyy-mm-dd")&amp;"|"&amp;""&amp;"|",'CALENDARIO'!$G$15:$G$214,0)),IFERROR(INDEX('CALENDARIO'!$C$15:$C$214,MATCH(TEXT($I355,"yyyy-mm-dd")&amp;"||",'CALENDARIO'!$G$15:$G$214,0)),INDEX(patronHabil,WEEKDAY($I355,2)))))</f>
        <v/>
      </c>
    </row>
    <row r="356">
      <c r="I356" s="41" t="n">
        <v>46374</v>
      </c>
      <c r="J356" s="24">
        <f>IFERROR(INDEX('CALENDARIO'!$C$15:$C$214,MATCH(TEXT($I356,"yyyy-mm-dd")&amp;"|"&amp;""&amp;"|"&amp;"",'CALENDARIO'!$G$15:$G$214,0)),IFERROR(INDEX('CALENDARIO'!$C$15:$C$214,MATCH(TEXT($I356,"yyyy-mm-dd")&amp;"|"&amp;""&amp;"|",'CALENDARIO'!$G$15:$G$214,0)),IFERROR(INDEX('CALENDARIO'!$C$15:$C$214,MATCH(TEXT($I356,"yyyy-mm-dd")&amp;"||",'CALENDARIO'!$G$15:$G$214,0)),INDEX(patronHabil,WEEKDAY($I356,2)))))</f>
        <v/>
      </c>
    </row>
    <row r="357">
      <c r="I357" s="41" t="n">
        <v>46375</v>
      </c>
      <c r="J357" s="24">
        <f>IFERROR(INDEX('CALENDARIO'!$C$15:$C$214,MATCH(TEXT($I357,"yyyy-mm-dd")&amp;"|"&amp;""&amp;"|"&amp;"",'CALENDARIO'!$G$15:$G$214,0)),IFERROR(INDEX('CALENDARIO'!$C$15:$C$214,MATCH(TEXT($I357,"yyyy-mm-dd")&amp;"|"&amp;""&amp;"|",'CALENDARIO'!$G$15:$G$214,0)),IFERROR(INDEX('CALENDARIO'!$C$15:$C$214,MATCH(TEXT($I357,"yyyy-mm-dd")&amp;"||",'CALENDARIO'!$G$15:$G$214,0)),INDEX(patronHabil,WEEKDAY($I357,2)))))</f>
        <v/>
      </c>
    </row>
    <row r="358">
      <c r="I358" s="41" t="n">
        <v>46376</v>
      </c>
      <c r="J358" s="24">
        <f>IFERROR(INDEX('CALENDARIO'!$C$15:$C$214,MATCH(TEXT($I358,"yyyy-mm-dd")&amp;"|"&amp;""&amp;"|"&amp;"",'CALENDARIO'!$G$15:$G$214,0)),IFERROR(INDEX('CALENDARIO'!$C$15:$C$214,MATCH(TEXT($I358,"yyyy-mm-dd")&amp;"|"&amp;""&amp;"|",'CALENDARIO'!$G$15:$G$214,0)),IFERROR(INDEX('CALENDARIO'!$C$15:$C$214,MATCH(TEXT($I358,"yyyy-mm-dd")&amp;"||",'CALENDARIO'!$G$15:$G$214,0)),INDEX(patronHabil,WEEKDAY($I358,2)))))</f>
        <v/>
      </c>
    </row>
    <row r="359">
      <c r="I359" s="41" t="n">
        <v>46377</v>
      </c>
      <c r="J359" s="24">
        <f>IFERROR(INDEX('CALENDARIO'!$C$15:$C$214,MATCH(TEXT($I359,"yyyy-mm-dd")&amp;"|"&amp;""&amp;"|"&amp;"",'CALENDARIO'!$G$15:$G$214,0)),IFERROR(INDEX('CALENDARIO'!$C$15:$C$214,MATCH(TEXT($I359,"yyyy-mm-dd")&amp;"|"&amp;""&amp;"|",'CALENDARIO'!$G$15:$G$214,0)),IFERROR(INDEX('CALENDARIO'!$C$15:$C$214,MATCH(TEXT($I359,"yyyy-mm-dd")&amp;"||",'CALENDARIO'!$G$15:$G$214,0)),INDEX(patronHabil,WEEKDAY($I359,2)))))</f>
        <v/>
      </c>
    </row>
    <row r="360">
      <c r="I360" s="41" t="n">
        <v>46378</v>
      </c>
      <c r="J360" s="24">
        <f>IFERROR(INDEX('CALENDARIO'!$C$15:$C$214,MATCH(TEXT($I360,"yyyy-mm-dd")&amp;"|"&amp;""&amp;"|"&amp;"",'CALENDARIO'!$G$15:$G$214,0)),IFERROR(INDEX('CALENDARIO'!$C$15:$C$214,MATCH(TEXT($I360,"yyyy-mm-dd")&amp;"|"&amp;""&amp;"|",'CALENDARIO'!$G$15:$G$214,0)),IFERROR(INDEX('CALENDARIO'!$C$15:$C$214,MATCH(TEXT($I360,"yyyy-mm-dd")&amp;"||",'CALENDARIO'!$G$15:$G$214,0)),INDEX(patronHabil,WEEKDAY($I360,2)))))</f>
        <v/>
      </c>
    </row>
    <row r="361">
      <c r="I361" s="41" t="n">
        <v>46379</v>
      </c>
      <c r="J361" s="24">
        <f>IFERROR(INDEX('CALENDARIO'!$C$15:$C$214,MATCH(TEXT($I361,"yyyy-mm-dd")&amp;"|"&amp;""&amp;"|"&amp;"",'CALENDARIO'!$G$15:$G$214,0)),IFERROR(INDEX('CALENDARIO'!$C$15:$C$214,MATCH(TEXT($I361,"yyyy-mm-dd")&amp;"|"&amp;""&amp;"|",'CALENDARIO'!$G$15:$G$214,0)),IFERROR(INDEX('CALENDARIO'!$C$15:$C$214,MATCH(TEXT($I361,"yyyy-mm-dd")&amp;"||",'CALENDARIO'!$G$15:$G$214,0)),INDEX(patronHabil,WEEKDAY($I361,2)))))</f>
        <v/>
      </c>
    </row>
    <row r="362">
      <c r="I362" s="41" t="n">
        <v>46380</v>
      </c>
      <c r="J362" s="24">
        <f>IFERROR(INDEX('CALENDARIO'!$C$15:$C$214,MATCH(TEXT($I362,"yyyy-mm-dd")&amp;"|"&amp;""&amp;"|"&amp;"",'CALENDARIO'!$G$15:$G$214,0)),IFERROR(INDEX('CALENDARIO'!$C$15:$C$214,MATCH(TEXT($I362,"yyyy-mm-dd")&amp;"|"&amp;""&amp;"|",'CALENDARIO'!$G$15:$G$214,0)),IFERROR(INDEX('CALENDARIO'!$C$15:$C$214,MATCH(TEXT($I362,"yyyy-mm-dd")&amp;"||",'CALENDARIO'!$G$15:$G$214,0)),INDEX(patronHabil,WEEKDAY($I362,2)))))</f>
        <v/>
      </c>
    </row>
    <row r="363">
      <c r="I363" s="41" t="n">
        <v>46381</v>
      </c>
      <c r="J363" s="24">
        <f>IFERROR(INDEX('CALENDARIO'!$C$15:$C$214,MATCH(TEXT($I363,"yyyy-mm-dd")&amp;"|"&amp;""&amp;"|"&amp;"",'CALENDARIO'!$G$15:$G$214,0)),IFERROR(INDEX('CALENDARIO'!$C$15:$C$214,MATCH(TEXT($I363,"yyyy-mm-dd")&amp;"|"&amp;""&amp;"|",'CALENDARIO'!$G$15:$G$214,0)),IFERROR(INDEX('CALENDARIO'!$C$15:$C$214,MATCH(TEXT($I363,"yyyy-mm-dd")&amp;"||",'CALENDARIO'!$G$15:$G$214,0)),INDEX(patronHabil,WEEKDAY($I363,2)))))</f>
        <v/>
      </c>
    </row>
    <row r="364">
      <c r="I364" s="41" t="n">
        <v>46382</v>
      </c>
      <c r="J364" s="24">
        <f>IFERROR(INDEX('CALENDARIO'!$C$15:$C$214,MATCH(TEXT($I364,"yyyy-mm-dd")&amp;"|"&amp;""&amp;"|"&amp;"",'CALENDARIO'!$G$15:$G$214,0)),IFERROR(INDEX('CALENDARIO'!$C$15:$C$214,MATCH(TEXT($I364,"yyyy-mm-dd")&amp;"|"&amp;""&amp;"|",'CALENDARIO'!$G$15:$G$214,0)),IFERROR(INDEX('CALENDARIO'!$C$15:$C$214,MATCH(TEXT($I364,"yyyy-mm-dd")&amp;"||",'CALENDARIO'!$G$15:$G$214,0)),INDEX(patronHabil,WEEKDAY($I364,2)))))</f>
        <v/>
      </c>
    </row>
    <row r="365">
      <c r="I365" s="41" t="n">
        <v>46383</v>
      </c>
      <c r="J365" s="24">
        <f>IFERROR(INDEX('CALENDARIO'!$C$15:$C$214,MATCH(TEXT($I365,"yyyy-mm-dd")&amp;"|"&amp;""&amp;"|"&amp;"",'CALENDARIO'!$G$15:$G$214,0)),IFERROR(INDEX('CALENDARIO'!$C$15:$C$214,MATCH(TEXT($I365,"yyyy-mm-dd")&amp;"|"&amp;""&amp;"|",'CALENDARIO'!$G$15:$G$214,0)),IFERROR(INDEX('CALENDARIO'!$C$15:$C$214,MATCH(TEXT($I365,"yyyy-mm-dd")&amp;"||",'CALENDARIO'!$G$15:$G$214,0)),INDEX(patronHabil,WEEKDAY($I365,2)))))</f>
        <v/>
      </c>
    </row>
    <row r="366">
      <c r="I366" s="41" t="n">
        <v>46384</v>
      </c>
      <c r="J366" s="24">
        <f>IFERROR(INDEX('CALENDARIO'!$C$15:$C$214,MATCH(TEXT($I366,"yyyy-mm-dd")&amp;"|"&amp;""&amp;"|"&amp;"",'CALENDARIO'!$G$15:$G$214,0)),IFERROR(INDEX('CALENDARIO'!$C$15:$C$214,MATCH(TEXT($I366,"yyyy-mm-dd")&amp;"|"&amp;""&amp;"|",'CALENDARIO'!$G$15:$G$214,0)),IFERROR(INDEX('CALENDARIO'!$C$15:$C$214,MATCH(TEXT($I366,"yyyy-mm-dd")&amp;"||",'CALENDARIO'!$G$15:$G$214,0)),INDEX(patronHabil,WEEKDAY($I366,2)))))</f>
        <v/>
      </c>
    </row>
    <row r="367">
      <c r="I367" s="41" t="n">
        <v>46385</v>
      </c>
      <c r="J367" s="24">
        <f>IFERROR(INDEX('CALENDARIO'!$C$15:$C$214,MATCH(TEXT($I367,"yyyy-mm-dd")&amp;"|"&amp;""&amp;"|"&amp;"",'CALENDARIO'!$G$15:$G$214,0)),IFERROR(INDEX('CALENDARIO'!$C$15:$C$214,MATCH(TEXT($I367,"yyyy-mm-dd")&amp;"|"&amp;""&amp;"|",'CALENDARIO'!$G$15:$G$214,0)),IFERROR(INDEX('CALENDARIO'!$C$15:$C$214,MATCH(TEXT($I367,"yyyy-mm-dd")&amp;"||",'CALENDARIO'!$G$15:$G$214,0)),INDEX(patronHabil,WEEKDAY($I367,2)))))</f>
        <v/>
      </c>
    </row>
    <row r="368">
      <c r="I368" s="41" t="n">
        <v>46386</v>
      </c>
      <c r="J368" s="24">
        <f>IFERROR(INDEX('CALENDARIO'!$C$15:$C$214,MATCH(TEXT($I368,"yyyy-mm-dd")&amp;"|"&amp;""&amp;"|"&amp;"",'CALENDARIO'!$G$15:$G$214,0)),IFERROR(INDEX('CALENDARIO'!$C$15:$C$214,MATCH(TEXT($I368,"yyyy-mm-dd")&amp;"|"&amp;""&amp;"|",'CALENDARIO'!$G$15:$G$214,0)),IFERROR(INDEX('CALENDARIO'!$C$15:$C$214,MATCH(TEXT($I368,"yyyy-mm-dd")&amp;"||",'CALENDARIO'!$G$15:$G$214,0)),INDEX(patronHabil,WEEKDAY($I368,2)))))</f>
        <v/>
      </c>
    </row>
    <row r="369">
      <c r="I369" s="41" t="n">
        <v>46387</v>
      </c>
      <c r="J369" s="24">
        <f>IFERROR(INDEX('CALENDARIO'!$C$15:$C$214,MATCH(TEXT($I369,"yyyy-mm-dd")&amp;"|"&amp;""&amp;"|"&amp;"",'CALENDARIO'!$G$15:$G$214,0)),IFERROR(INDEX('CALENDARIO'!$C$15:$C$214,MATCH(TEXT($I369,"yyyy-mm-dd")&amp;"|"&amp;""&amp;"|",'CALENDARIO'!$G$15:$G$214,0)),IFERROR(INDEX('CALENDARIO'!$C$15:$C$214,MATCH(TEXT($I369,"yyyy-mm-dd")&amp;"||",'CALENDARIO'!$G$15:$G$214,0)),INDEX(patronHabil,WEEKDAY($I369,2)))))</f>
        <v/>
      </c>
    </row>
    <row r="370">
      <c r="I370" s="41" t="n">
        <v>46388</v>
      </c>
      <c r="J370" s="24">
        <f>IFERROR(INDEX('CALENDARIO'!$C$15:$C$214,MATCH(TEXT($I370,"yyyy-mm-dd")&amp;"|"&amp;""&amp;"|"&amp;"",'CALENDARIO'!$G$15:$G$214,0)),IFERROR(INDEX('CALENDARIO'!$C$15:$C$214,MATCH(TEXT($I370,"yyyy-mm-dd")&amp;"|"&amp;""&amp;"|",'CALENDARIO'!$G$15:$G$214,0)),IFERROR(INDEX('CALENDARIO'!$C$15:$C$214,MATCH(TEXT($I370,"yyyy-mm-dd")&amp;"||",'CALENDARIO'!$G$15:$G$214,0)),INDEX(patronHabil,WEEKDAY($I370,2)))))</f>
        <v/>
      </c>
    </row>
    <row r="371">
      <c r="I371" s="41" t="n">
        <v>46389</v>
      </c>
      <c r="J371" s="24">
        <f>IFERROR(INDEX('CALENDARIO'!$C$15:$C$214,MATCH(TEXT($I371,"yyyy-mm-dd")&amp;"|"&amp;""&amp;"|"&amp;"",'CALENDARIO'!$G$15:$G$214,0)),IFERROR(INDEX('CALENDARIO'!$C$15:$C$214,MATCH(TEXT($I371,"yyyy-mm-dd")&amp;"|"&amp;""&amp;"|",'CALENDARIO'!$G$15:$G$214,0)),IFERROR(INDEX('CALENDARIO'!$C$15:$C$214,MATCH(TEXT($I371,"yyyy-mm-dd")&amp;"||",'CALENDARIO'!$G$15:$G$214,0)),INDEX(patronHabil,WEEKDAY($I371,2)))))</f>
        <v/>
      </c>
    </row>
    <row r="372">
      <c r="I372" s="41" t="n">
        <v>46390</v>
      </c>
      <c r="J372" s="24">
        <f>IFERROR(INDEX('CALENDARIO'!$C$15:$C$214,MATCH(TEXT($I372,"yyyy-mm-dd")&amp;"|"&amp;""&amp;"|"&amp;"",'CALENDARIO'!$G$15:$G$214,0)),IFERROR(INDEX('CALENDARIO'!$C$15:$C$214,MATCH(TEXT($I372,"yyyy-mm-dd")&amp;"|"&amp;""&amp;"|",'CALENDARIO'!$G$15:$G$214,0)),IFERROR(INDEX('CALENDARIO'!$C$15:$C$214,MATCH(TEXT($I372,"yyyy-mm-dd")&amp;"||",'CALENDARIO'!$G$15:$G$214,0)),INDEX(patronHabil,WEEKDAY($I372,2)))))</f>
        <v/>
      </c>
    </row>
    <row r="373">
      <c r="I373" s="41" t="n">
        <v>46391</v>
      </c>
      <c r="J373" s="24">
        <f>IFERROR(INDEX('CALENDARIO'!$C$15:$C$214,MATCH(TEXT($I373,"yyyy-mm-dd")&amp;"|"&amp;""&amp;"|"&amp;"",'CALENDARIO'!$G$15:$G$214,0)),IFERROR(INDEX('CALENDARIO'!$C$15:$C$214,MATCH(TEXT($I373,"yyyy-mm-dd")&amp;"|"&amp;""&amp;"|",'CALENDARIO'!$G$15:$G$214,0)),IFERROR(INDEX('CALENDARIO'!$C$15:$C$214,MATCH(TEXT($I373,"yyyy-mm-dd")&amp;"||",'CALENDARIO'!$G$15:$G$214,0)),INDEX(patronHabil,WEEKDAY($I373,2)))))</f>
        <v/>
      </c>
    </row>
    <row r="374">
      <c r="I374" s="41" t="n">
        <v>46392</v>
      </c>
      <c r="J374" s="24">
        <f>IFERROR(INDEX('CALENDARIO'!$C$15:$C$214,MATCH(TEXT($I374,"yyyy-mm-dd")&amp;"|"&amp;""&amp;"|"&amp;"",'CALENDARIO'!$G$15:$G$214,0)),IFERROR(INDEX('CALENDARIO'!$C$15:$C$214,MATCH(TEXT($I374,"yyyy-mm-dd")&amp;"|"&amp;""&amp;"|",'CALENDARIO'!$G$15:$G$214,0)),IFERROR(INDEX('CALENDARIO'!$C$15:$C$214,MATCH(TEXT($I374,"yyyy-mm-dd")&amp;"||",'CALENDARIO'!$G$15:$G$214,0)),INDEX(patronHabil,WEEKDAY($I374,2)))))</f>
        <v/>
      </c>
    </row>
    <row r="375">
      <c r="I375" s="41" t="n">
        <v>46393</v>
      </c>
      <c r="J375" s="24">
        <f>IFERROR(INDEX('CALENDARIO'!$C$15:$C$214,MATCH(TEXT($I375,"yyyy-mm-dd")&amp;"|"&amp;""&amp;"|"&amp;"",'CALENDARIO'!$G$15:$G$214,0)),IFERROR(INDEX('CALENDARIO'!$C$15:$C$214,MATCH(TEXT($I375,"yyyy-mm-dd")&amp;"|"&amp;""&amp;"|",'CALENDARIO'!$G$15:$G$214,0)),IFERROR(INDEX('CALENDARIO'!$C$15:$C$214,MATCH(TEXT($I375,"yyyy-mm-dd")&amp;"||",'CALENDARIO'!$G$15:$G$214,0)),INDEX(patronHabil,WEEKDAY($I375,2)))))</f>
        <v/>
      </c>
    </row>
    <row r="376">
      <c r="I376" s="41" t="n">
        <v>46394</v>
      </c>
      <c r="J376" s="24">
        <f>IFERROR(INDEX('CALENDARIO'!$C$15:$C$214,MATCH(TEXT($I376,"yyyy-mm-dd")&amp;"|"&amp;""&amp;"|"&amp;"",'CALENDARIO'!$G$15:$G$214,0)),IFERROR(INDEX('CALENDARIO'!$C$15:$C$214,MATCH(TEXT($I376,"yyyy-mm-dd")&amp;"|"&amp;""&amp;"|",'CALENDARIO'!$G$15:$G$214,0)),IFERROR(INDEX('CALENDARIO'!$C$15:$C$214,MATCH(TEXT($I376,"yyyy-mm-dd")&amp;"||",'CALENDARIO'!$G$15:$G$214,0)),INDEX(patronHabil,WEEKDAY($I376,2)))))</f>
        <v/>
      </c>
    </row>
    <row r="377">
      <c r="I377" s="41" t="n">
        <v>46395</v>
      </c>
      <c r="J377" s="24">
        <f>IFERROR(INDEX('CALENDARIO'!$C$15:$C$214,MATCH(TEXT($I377,"yyyy-mm-dd")&amp;"|"&amp;""&amp;"|"&amp;"",'CALENDARIO'!$G$15:$G$214,0)),IFERROR(INDEX('CALENDARIO'!$C$15:$C$214,MATCH(TEXT($I377,"yyyy-mm-dd")&amp;"|"&amp;""&amp;"|",'CALENDARIO'!$G$15:$G$214,0)),IFERROR(INDEX('CALENDARIO'!$C$15:$C$214,MATCH(TEXT($I377,"yyyy-mm-dd")&amp;"||",'CALENDARIO'!$G$15:$G$214,0)),INDEX(patronHabil,WEEKDAY($I377,2)))))</f>
        <v/>
      </c>
    </row>
    <row r="378">
      <c r="I378" s="41" t="n">
        <v>46396</v>
      </c>
      <c r="J378" s="24">
        <f>IFERROR(INDEX('CALENDARIO'!$C$15:$C$214,MATCH(TEXT($I378,"yyyy-mm-dd")&amp;"|"&amp;""&amp;"|"&amp;"",'CALENDARIO'!$G$15:$G$214,0)),IFERROR(INDEX('CALENDARIO'!$C$15:$C$214,MATCH(TEXT($I378,"yyyy-mm-dd")&amp;"|"&amp;""&amp;"|",'CALENDARIO'!$G$15:$G$214,0)),IFERROR(INDEX('CALENDARIO'!$C$15:$C$214,MATCH(TEXT($I378,"yyyy-mm-dd")&amp;"||",'CALENDARIO'!$G$15:$G$214,0)),INDEX(patronHabil,WEEKDAY($I378,2)))))</f>
        <v/>
      </c>
    </row>
    <row r="379">
      <c r="I379" s="41" t="n">
        <v>46397</v>
      </c>
      <c r="J379" s="24">
        <f>IFERROR(INDEX('CALENDARIO'!$C$15:$C$214,MATCH(TEXT($I379,"yyyy-mm-dd")&amp;"|"&amp;""&amp;"|"&amp;"",'CALENDARIO'!$G$15:$G$214,0)),IFERROR(INDEX('CALENDARIO'!$C$15:$C$214,MATCH(TEXT($I379,"yyyy-mm-dd")&amp;"|"&amp;""&amp;"|",'CALENDARIO'!$G$15:$G$214,0)),IFERROR(INDEX('CALENDARIO'!$C$15:$C$214,MATCH(TEXT($I379,"yyyy-mm-dd")&amp;"||",'CALENDARIO'!$G$15:$G$214,0)),INDEX(patronHabil,WEEKDAY($I379,2)))))</f>
        <v/>
      </c>
    </row>
    <row r="380">
      <c r="I380" s="41" t="n">
        <v>46398</v>
      </c>
      <c r="J380" s="24">
        <f>IFERROR(INDEX('CALENDARIO'!$C$15:$C$214,MATCH(TEXT($I380,"yyyy-mm-dd")&amp;"|"&amp;""&amp;"|"&amp;"",'CALENDARIO'!$G$15:$G$214,0)),IFERROR(INDEX('CALENDARIO'!$C$15:$C$214,MATCH(TEXT($I380,"yyyy-mm-dd")&amp;"|"&amp;""&amp;"|",'CALENDARIO'!$G$15:$G$214,0)),IFERROR(INDEX('CALENDARIO'!$C$15:$C$214,MATCH(TEXT($I380,"yyyy-mm-dd")&amp;"||",'CALENDARIO'!$G$15:$G$214,0)),INDEX(patronHabil,WEEKDAY($I380,2)))))</f>
        <v/>
      </c>
    </row>
    <row r="381">
      <c r="I381" s="41" t="n">
        <v>46399</v>
      </c>
      <c r="J381" s="24">
        <f>IFERROR(INDEX('CALENDARIO'!$C$15:$C$214,MATCH(TEXT($I381,"yyyy-mm-dd")&amp;"|"&amp;""&amp;"|"&amp;"",'CALENDARIO'!$G$15:$G$214,0)),IFERROR(INDEX('CALENDARIO'!$C$15:$C$214,MATCH(TEXT($I381,"yyyy-mm-dd")&amp;"|"&amp;""&amp;"|",'CALENDARIO'!$G$15:$G$214,0)),IFERROR(INDEX('CALENDARIO'!$C$15:$C$214,MATCH(TEXT($I381,"yyyy-mm-dd")&amp;"||",'CALENDARIO'!$G$15:$G$214,0)),INDEX(patronHabil,WEEKDAY($I381,2)))))</f>
        <v/>
      </c>
    </row>
    <row r="382">
      <c r="I382" s="41" t="n">
        <v>46400</v>
      </c>
      <c r="J382" s="24">
        <f>IFERROR(INDEX('CALENDARIO'!$C$15:$C$214,MATCH(TEXT($I382,"yyyy-mm-dd")&amp;"|"&amp;""&amp;"|"&amp;"",'CALENDARIO'!$G$15:$G$214,0)),IFERROR(INDEX('CALENDARIO'!$C$15:$C$214,MATCH(TEXT($I382,"yyyy-mm-dd")&amp;"|"&amp;""&amp;"|",'CALENDARIO'!$G$15:$G$214,0)),IFERROR(INDEX('CALENDARIO'!$C$15:$C$214,MATCH(TEXT($I382,"yyyy-mm-dd")&amp;"||",'CALENDARIO'!$G$15:$G$214,0)),INDEX(patronHabil,WEEKDAY($I382,2)))))</f>
        <v/>
      </c>
    </row>
    <row r="383">
      <c r="I383" s="41" t="n">
        <v>46401</v>
      </c>
      <c r="J383" s="24">
        <f>IFERROR(INDEX('CALENDARIO'!$C$15:$C$214,MATCH(TEXT($I383,"yyyy-mm-dd")&amp;"|"&amp;""&amp;"|"&amp;"",'CALENDARIO'!$G$15:$G$214,0)),IFERROR(INDEX('CALENDARIO'!$C$15:$C$214,MATCH(TEXT($I383,"yyyy-mm-dd")&amp;"|"&amp;""&amp;"|",'CALENDARIO'!$G$15:$G$214,0)),IFERROR(INDEX('CALENDARIO'!$C$15:$C$214,MATCH(TEXT($I383,"yyyy-mm-dd")&amp;"||",'CALENDARIO'!$G$15:$G$214,0)),INDEX(patronHabil,WEEKDAY($I383,2)))))</f>
        <v/>
      </c>
    </row>
    <row r="384">
      <c r="I384" s="41" t="n">
        <v>46402</v>
      </c>
      <c r="J384" s="24">
        <f>IFERROR(INDEX('CALENDARIO'!$C$15:$C$214,MATCH(TEXT($I384,"yyyy-mm-dd")&amp;"|"&amp;""&amp;"|"&amp;"",'CALENDARIO'!$G$15:$G$214,0)),IFERROR(INDEX('CALENDARIO'!$C$15:$C$214,MATCH(TEXT($I384,"yyyy-mm-dd")&amp;"|"&amp;""&amp;"|",'CALENDARIO'!$G$15:$G$214,0)),IFERROR(INDEX('CALENDARIO'!$C$15:$C$214,MATCH(TEXT($I384,"yyyy-mm-dd")&amp;"||",'CALENDARIO'!$G$15:$G$214,0)),INDEX(patronHabil,WEEKDAY($I384,2)))))</f>
        <v/>
      </c>
    </row>
    <row r="385">
      <c r="I385" s="41" t="n">
        <v>46403</v>
      </c>
      <c r="J385" s="24">
        <f>IFERROR(INDEX('CALENDARIO'!$C$15:$C$214,MATCH(TEXT($I385,"yyyy-mm-dd")&amp;"|"&amp;""&amp;"|"&amp;"",'CALENDARIO'!$G$15:$G$214,0)),IFERROR(INDEX('CALENDARIO'!$C$15:$C$214,MATCH(TEXT($I385,"yyyy-mm-dd")&amp;"|"&amp;""&amp;"|",'CALENDARIO'!$G$15:$G$214,0)),IFERROR(INDEX('CALENDARIO'!$C$15:$C$214,MATCH(TEXT($I385,"yyyy-mm-dd")&amp;"||",'CALENDARIO'!$G$15:$G$214,0)),INDEX(patronHabil,WEEKDAY($I385,2)))))</f>
        <v/>
      </c>
    </row>
    <row r="386">
      <c r="I386" s="41" t="n">
        <v>46404</v>
      </c>
      <c r="J386" s="24">
        <f>IFERROR(INDEX('CALENDARIO'!$C$15:$C$214,MATCH(TEXT($I386,"yyyy-mm-dd")&amp;"|"&amp;""&amp;"|"&amp;"",'CALENDARIO'!$G$15:$G$214,0)),IFERROR(INDEX('CALENDARIO'!$C$15:$C$214,MATCH(TEXT($I386,"yyyy-mm-dd")&amp;"|"&amp;""&amp;"|",'CALENDARIO'!$G$15:$G$214,0)),IFERROR(INDEX('CALENDARIO'!$C$15:$C$214,MATCH(TEXT($I386,"yyyy-mm-dd")&amp;"||",'CALENDARIO'!$G$15:$G$214,0)),INDEX(patronHabil,WEEKDAY($I386,2)))))</f>
        <v/>
      </c>
    </row>
    <row r="387">
      <c r="I387" s="41" t="n">
        <v>46405</v>
      </c>
      <c r="J387" s="24">
        <f>IFERROR(INDEX('CALENDARIO'!$C$15:$C$214,MATCH(TEXT($I387,"yyyy-mm-dd")&amp;"|"&amp;""&amp;"|"&amp;"",'CALENDARIO'!$G$15:$G$214,0)),IFERROR(INDEX('CALENDARIO'!$C$15:$C$214,MATCH(TEXT($I387,"yyyy-mm-dd")&amp;"|"&amp;""&amp;"|",'CALENDARIO'!$G$15:$G$214,0)),IFERROR(INDEX('CALENDARIO'!$C$15:$C$214,MATCH(TEXT($I387,"yyyy-mm-dd")&amp;"||",'CALENDARIO'!$G$15:$G$214,0)),INDEX(patronHabil,WEEKDAY($I387,2)))))</f>
        <v/>
      </c>
    </row>
    <row r="388">
      <c r="I388" s="41" t="n">
        <v>46406</v>
      </c>
      <c r="J388" s="24">
        <f>IFERROR(INDEX('CALENDARIO'!$C$15:$C$214,MATCH(TEXT($I388,"yyyy-mm-dd")&amp;"|"&amp;""&amp;"|"&amp;"",'CALENDARIO'!$G$15:$G$214,0)),IFERROR(INDEX('CALENDARIO'!$C$15:$C$214,MATCH(TEXT($I388,"yyyy-mm-dd")&amp;"|"&amp;""&amp;"|",'CALENDARIO'!$G$15:$G$214,0)),IFERROR(INDEX('CALENDARIO'!$C$15:$C$214,MATCH(TEXT($I388,"yyyy-mm-dd")&amp;"||",'CALENDARIO'!$G$15:$G$214,0)),INDEX(patronHabil,WEEKDAY($I388,2)))))</f>
        <v/>
      </c>
    </row>
    <row r="389">
      <c r="I389" s="41" t="n">
        <v>46407</v>
      </c>
      <c r="J389" s="24">
        <f>IFERROR(INDEX('CALENDARIO'!$C$15:$C$214,MATCH(TEXT($I389,"yyyy-mm-dd")&amp;"|"&amp;""&amp;"|"&amp;"",'CALENDARIO'!$G$15:$G$214,0)),IFERROR(INDEX('CALENDARIO'!$C$15:$C$214,MATCH(TEXT($I389,"yyyy-mm-dd")&amp;"|"&amp;""&amp;"|",'CALENDARIO'!$G$15:$G$214,0)),IFERROR(INDEX('CALENDARIO'!$C$15:$C$214,MATCH(TEXT($I389,"yyyy-mm-dd")&amp;"||",'CALENDARIO'!$G$15:$G$214,0)),INDEX(patronHabil,WEEKDAY($I389,2)))))</f>
        <v/>
      </c>
    </row>
    <row r="390">
      <c r="I390" s="41" t="n">
        <v>46408</v>
      </c>
      <c r="J390" s="24">
        <f>IFERROR(INDEX('CALENDARIO'!$C$15:$C$214,MATCH(TEXT($I390,"yyyy-mm-dd")&amp;"|"&amp;""&amp;"|"&amp;"",'CALENDARIO'!$G$15:$G$214,0)),IFERROR(INDEX('CALENDARIO'!$C$15:$C$214,MATCH(TEXT($I390,"yyyy-mm-dd")&amp;"|"&amp;""&amp;"|",'CALENDARIO'!$G$15:$G$214,0)),IFERROR(INDEX('CALENDARIO'!$C$15:$C$214,MATCH(TEXT($I390,"yyyy-mm-dd")&amp;"||",'CALENDARIO'!$G$15:$G$214,0)),INDEX(patronHabil,WEEKDAY($I390,2)))))</f>
        <v/>
      </c>
    </row>
    <row r="391">
      <c r="I391" s="41" t="n">
        <v>46409</v>
      </c>
      <c r="J391" s="24">
        <f>IFERROR(INDEX('CALENDARIO'!$C$15:$C$214,MATCH(TEXT($I391,"yyyy-mm-dd")&amp;"|"&amp;""&amp;"|"&amp;"",'CALENDARIO'!$G$15:$G$214,0)),IFERROR(INDEX('CALENDARIO'!$C$15:$C$214,MATCH(TEXT($I391,"yyyy-mm-dd")&amp;"|"&amp;""&amp;"|",'CALENDARIO'!$G$15:$G$214,0)),IFERROR(INDEX('CALENDARIO'!$C$15:$C$214,MATCH(TEXT($I391,"yyyy-mm-dd")&amp;"||",'CALENDARIO'!$G$15:$G$214,0)),INDEX(patronHabil,WEEKDAY($I391,2)))))</f>
        <v/>
      </c>
    </row>
    <row r="392">
      <c r="I392" s="41" t="n">
        <v>46410</v>
      </c>
      <c r="J392" s="24">
        <f>IFERROR(INDEX('CALENDARIO'!$C$15:$C$214,MATCH(TEXT($I392,"yyyy-mm-dd")&amp;"|"&amp;""&amp;"|"&amp;"",'CALENDARIO'!$G$15:$G$214,0)),IFERROR(INDEX('CALENDARIO'!$C$15:$C$214,MATCH(TEXT($I392,"yyyy-mm-dd")&amp;"|"&amp;""&amp;"|",'CALENDARIO'!$G$15:$G$214,0)),IFERROR(INDEX('CALENDARIO'!$C$15:$C$214,MATCH(TEXT($I392,"yyyy-mm-dd")&amp;"||",'CALENDARIO'!$G$15:$G$214,0)),INDEX(patronHabil,WEEKDAY($I392,2)))))</f>
        <v/>
      </c>
    </row>
    <row r="393">
      <c r="I393" s="41" t="n">
        <v>46411</v>
      </c>
      <c r="J393" s="24">
        <f>IFERROR(INDEX('CALENDARIO'!$C$15:$C$214,MATCH(TEXT($I393,"yyyy-mm-dd")&amp;"|"&amp;""&amp;"|"&amp;"",'CALENDARIO'!$G$15:$G$214,0)),IFERROR(INDEX('CALENDARIO'!$C$15:$C$214,MATCH(TEXT($I393,"yyyy-mm-dd")&amp;"|"&amp;""&amp;"|",'CALENDARIO'!$G$15:$G$214,0)),IFERROR(INDEX('CALENDARIO'!$C$15:$C$214,MATCH(TEXT($I393,"yyyy-mm-dd")&amp;"||",'CALENDARIO'!$G$15:$G$214,0)),INDEX(patronHabil,WEEKDAY($I393,2)))))</f>
        <v/>
      </c>
    </row>
    <row r="394">
      <c r="I394" s="41" t="n">
        <v>46412</v>
      </c>
      <c r="J394" s="24">
        <f>IFERROR(INDEX('CALENDARIO'!$C$15:$C$214,MATCH(TEXT($I394,"yyyy-mm-dd")&amp;"|"&amp;""&amp;"|"&amp;"",'CALENDARIO'!$G$15:$G$214,0)),IFERROR(INDEX('CALENDARIO'!$C$15:$C$214,MATCH(TEXT($I394,"yyyy-mm-dd")&amp;"|"&amp;""&amp;"|",'CALENDARIO'!$G$15:$G$214,0)),IFERROR(INDEX('CALENDARIO'!$C$15:$C$214,MATCH(TEXT($I394,"yyyy-mm-dd")&amp;"||",'CALENDARIO'!$G$15:$G$214,0)),INDEX(patronHabil,WEEKDAY($I394,2)))))</f>
        <v/>
      </c>
    </row>
    <row r="395">
      <c r="I395" s="41" t="n">
        <v>46413</v>
      </c>
      <c r="J395" s="24">
        <f>IFERROR(INDEX('CALENDARIO'!$C$15:$C$214,MATCH(TEXT($I395,"yyyy-mm-dd")&amp;"|"&amp;""&amp;"|"&amp;"",'CALENDARIO'!$G$15:$G$214,0)),IFERROR(INDEX('CALENDARIO'!$C$15:$C$214,MATCH(TEXT($I395,"yyyy-mm-dd")&amp;"|"&amp;""&amp;"|",'CALENDARIO'!$G$15:$G$214,0)),IFERROR(INDEX('CALENDARIO'!$C$15:$C$214,MATCH(TEXT($I395,"yyyy-mm-dd")&amp;"||",'CALENDARIO'!$G$15:$G$214,0)),INDEX(patronHabil,WEEKDAY($I395,2)))))</f>
        <v/>
      </c>
    </row>
    <row r="396">
      <c r="I396" s="41" t="n">
        <v>46414</v>
      </c>
      <c r="J396" s="24">
        <f>IFERROR(INDEX('CALENDARIO'!$C$15:$C$214,MATCH(TEXT($I396,"yyyy-mm-dd")&amp;"|"&amp;""&amp;"|"&amp;"",'CALENDARIO'!$G$15:$G$214,0)),IFERROR(INDEX('CALENDARIO'!$C$15:$C$214,MATCH(TEXT($I396,"yyyy-mm-dd")&amp;"|"&amp;""&amp;"|",'CALENDARIO'!$G$15:$G$214,0)),IFERROR(INDEX('CALENDARIO'!$C$15:$C$214,MATCH(TEXT($I396,"yyyy-mm-dd")&amp;"||",'CALENDARIO'!$G$15:$G$214,0)),INDEX(patronHabil,WEEKDAY($I396,2)))))</f>
        <v/>
      </c>
    </row>
    <row r="397">
      <c r="I397" s="41" t="n">
        <v>46415</v>
      </c>
      <c r="J397" s="24">
        <f>IFERROR(INDEX('CALENDARIO'!$C$15:$C$214,MATCH(TEXT($I397,"yyyy-mm-dd")&amp;"|"&amp;""&amp;"|"&amp;"",'CALENDARIO'!$G$15:$G$214,0)),IFERROR(INDEX('CALENDARIO'!$C$15:$C$214,MATCH(TEXT($I397,"yyyy-mm-dd")&amp;"|"&amp;""&amp;"|",'CALENDARIO'!$G$15:$G$214,0)),IFERROR(INDEX('CALENDARIO'!$C$15:$C$214,MATCH(TEXT($I397,"yyyy-mm-dd")&amp;"||",'CALENDARIO'!$G$15:$G$214,0)),INDEX(patronHabil,WEEKDAY($I397,2)))))</f>
        <v/>
      </c>
    </row>
    <row r="398">
      <c r="I398" s="41" t="n">
        <v>46416</v>
      </c>
      <c r="J398" s="24">
        <f>IFERROR(INDEX('CALENDARIO'!$C$15:$C$214,MATCH(TEXT($I398,"yyyy-mm-dd")&amp;"|"&amp;""&amp;"|"&amp;"",'CALENDARIO'!$G$15:$G$214,0)),IFERROR(INDEX('CALENDARIO'!$C$15:$C$214,MATCH(TEXT($I398,"yyyy-mm-dd")&amp;"|"&amp;""&amp;"|",'CALENDARIO'!$G$15:$G$214,0)),IFERROR(INDEX('CALENDARIO'!$C$15:$C$214,MATCH(TEXT($I398,"yyyy-mm-dd")&amp;"||",'CALENDARIO'!$G$15:$G$214,0)),INDEX(patronHabil,WEEKDAY($I398,2)))))</f>
        <v/>
      </c>
    </row>
    <row r="399">
      <c r="I399" s="41" t="n">
        <v>46417</v>
      </c>
      <c r="J399" s="24">
        <f>IFERROR(INDEX('CALENDARIO'!$C$15:$C$214,MATCH(TEXT($I399,"yyyy-mm-dd")&amp;"|"&amp;""&amp;"|"&amp;"",'CALENDARIO'!$G$15:$G$214,0)),IFERROR(INDEX('CALENDARIO'!$C$15:$C$214,MATCH(TEXT($I399,"yyyy-mm-dd")&amp;"|"&amp;""&amp;"|",'CALENDARIO'!$G$15:$G$214,0)),IFERROR(INDEX('CALENDARIO'!$C$15:$C$214,MATCH(TEXT($I399,"yyyy-mm-dd")&amp;"||",'CALENDARIO'!$G$15:$G$214,0)),INDEX(patronHabil,WEEKDAY($I399,2)))))</f>
        <v/>
      </c>
    </row>
    <row r="400">
      <c r="I400" s="41" t="n">
        <v>46418</v>
      </c>
      <c r="J400" s="24">
        <f>IFERROR(INDEX('CALENDARIO'!$C$15:$C$214,MATCH(TEXT($I400,"yyyy-mm-dd")&amp;"|"&amp;""&amp;"|"&amp;"",'CALENDARIO'!$G$15:$G$214,0)),IFERROR(INDEX('CALENDARIO'!$C$15:$C$214,MATCH(TEXT($I400,"yyyy-mm-dd")&amp;"|"&amp;""&amp;"|",'CALENDARIO'!$G$15:$G$214,0)),IFERROR(INDEX('CALENDARIO'!$C$15:$C$214,MATCH(TEXT($I400,"yyyy-mm-dd")&amp;"||",'CALENDARIO'!$G$15:$G$214,0)),INDEX(patronHabil,WEEKDAY($I400,2)))))</f>
        <v/>
      </c>
    </row>
    <row r="401">
      <c r="I401" s="41" t="n">
        <v>46419</v>
      </c>
      <c r="J401" s="24">
        <f>IFERROR(INDEX('CALENDARIO'!$C$15:$C$214,MATCH(TEXT($I401,"yyyy-mm-dd")&amp;"|"&amp;""&amp;"|"&amp;"",'CALENDARIO'!$G$15:$G$214,0)),IFERROR(INDEX('CALENDARIO'!$C$15:$C$214,MATCH(TEXT($I401,"yyyy-mm-dd")&amp;"|"&amp;""&amp;"|",'CALENDARIO'!$G$15:$G$214,0)),IFERROR(INDEX('CALENDARIO'!$C$15:$C$214,MATCH(TEXT($I401,"yyyy-mm-dd")&amp;"||",'CALENDARIO'!$G$15:$G$214,0)),INDEX(patronHabil,WEEKDAY($I401,2)))))</f>
        <v/>
      </c>
    </row>
    <row r="402">
      <c r="I402" s="41" t="n">
        <v>46420</v>
      </c>
      <c r="J402" s="24">
        <f>IFERROR(INDEX('CALENDARIO'!$C$15:$C$214,MATCH(TEXT($I402,"yyyy-mm-dd")&amp;"|"&amp;""&amp;"|"&amp;"",'CALENDARIO'!$G$15:$G$214,0)),IFERROR(INDEX('CALENDARIO'!$C$15:$C$214,MATCH(TEXT($I402,"yyyy-mm-dd")&amp;"|"&amp;""&amp;"|",'CALENDARIO'!$G$15:$G$214,0)),IFERROR(INDEX('CALENDARIO'!$C$15:$C$214,MATCH(TEXT($I402,"yyyy-mm-dd")&amp;"||",'CALENDARIO'!$G$15:$G$214,0)),INDEX(patronHabil,WEEKDAY($I402,2)))))</f>
        <v/>
      </c>
    </row>
    <row r="403">
      <c r="I403" s="41" t="n">
        <v>46421</v>
      </c>
      <c r="J403" s="24">
        <f>IFERROR(INDEX('CALENDARIO'!$C$15:$C$214,MATCH(TEXT($I403,"yyyy-mm-dd")&amp;"|"&amp;""&amp;"|"&amp;"",'CALENDARIO'!$G$15:$G$214,0)),IFERROR(INDEX('CALENDARIO'!$C$15:$C$214,MATCH(TEXT($I403,"yyyy-mm-dd")&amp;"|"&amp;""&amp;"|",'CALENDARIO'!$G$15:$G$214,0)),IFERROR(INDEX('CALENDARIO'!$C$15:$C$214,MATCH(TEXT($I403,"yyyy-mm-dd")&amp;"||",'CALENDARIO'!$G$15:$G$214,0)),INDEX(patronHabil,WEEKDAY($I403,2)))))</f>
        <v/>
      </c>
    </row>
    <row r="404">
      <c r="I404" s="41" t="n">
        <v>46422</v>
      </c>
      <c r="J404" s="24">
        <f>IFERROR(INDEX('CALENDARIO'!$C$15:$C$214,MATCH(TEXT($I404,"yyyy-mm-dd")&amp;"|"&amp;""&amp;"|"&amp;"",'CALENDARIO'!$G$15:$G$214,0)),IFERROR(INDEX('CALENDARIO'!$C$15:$C$214,MATCH(TEXT($I404,"yyyy-mm-dd")&amp;"|"&amp;""&amp;"|",'CALENDARIO'!$G$15:$G$214,0)),IFERROR(INDEX('CALENDARIO'!$C$15:$C$214,MATCH(TEXT($I404,"yyyy-mm-dd")&amp;"||",'CALENDARIO'!$G$15:$G$214,0)),INDEX(patronHabil,WEEKDAY($I404,2)))))</f>
        <v/>
      </c>
    </row>
    <row r="405">
      <c r="I405" s="41" t="n">
        <v>46423</v>
      </c>
      <c r="J405" s="24">
        <f>IFERROR(INDEX('CALENDARIO'!$C$15:$C$214,MATCH(TEXT($I405,"yyyy-mm-dd")&amp;"|"&amp;""&amp;"|"&amp;"",'CALENDARIO'!$G$15:$G$214,0)),IFERROR(INDEX('CALENDARIO'!$C$15:$C$214,MATCH(TEXT($I405,"yyyy-mm-dd")&amp;"|"&amp;""&amp;"|",'CALENDARIO'!$G$15:$G$214,0)),IFERROR(INDEX('CALENDARIO'!$C$15:$C$214,MATCH(TEXT($I405,"yyyy-mm-dd")&amp;"||",'CALENDARIO'!$G$15:$G$214,0)),INDEX(patronHabil,WEEKDAY($I405,2)))))</f>
        <v/>
      </c>
    </row>
    <row r="406">
      <c r="I406" s="41" t="n">
        <v>46424</v>
      </c>
      <c r="J406" s="24">
        <f>IFERROR(INDEX('CALENDARIO'!$C$15:$C$214,MATCH(TEXT($I406,"yyyy-mm-dd")&amp;"|"&amp;""&amp;"|"&amp;"",'CALENDARIO'!$G$15:$G$214,0)),IFERROR(INDEX('CALENDARIO'!$C$15:$C$214,MATCH(TEXT($I406,"yyyy-mm-dd")&amp;"|"&amp;""&amp;"|",'CALENDARIO'!$G$15:$G$214,0)),IFERROR(INDEX('CALENDARIO'!$C$15:$C$214,MATCH(TEXT($I406,"yyyy-mm-dd")&amp;"||",'CALENDARIO'!$G$15:$G$214,0)),INDEX(patronHabil,WEEKDAY($I406,2)))))</f>
        <v/>
      </c>
    </row>
    <row r="407">
      <c r="I407" s="41" t="n">
        <v>46425</v>
      </c>
      <c r="J407" s="24">
        <f>IFERROR(INDEX('CALENDARIO'!$C$15:$C$214,MATCH(TEXT($I407,"yyyy-mm-dd")&amp;"|"&amp;""&amp;"|"&amp;"",'CALENDARIO'!$G$15:$G$214,0)),IFERROR(INDEX('CALENDARIO'!$C$15:$C$214,MATCH(TEXT($I407,"yyyy-mm-dd")&amp;"|"&amp;""&amp;"|",'CALENDARIO'!$G$15:$G$214,0)),IFERROR(INDEX('CALENDARIO'!$C$15:$C$214,MATCH(TEXT($I407,"yyyy-mm-dd")&amp;"||",'CALENDARIO'!$G$15:$G$214,0)),INDEX(patronHabil,WEEKDAY($I407,2)))))</f>
        <v/>
      </c>
    </row>
    <row r="408">
      <c r="I408" s="41" t="n">
        <v>46426</v>
      </c>
      <c r="J408" s="24">
        <f>IFERROR(INDEX('CALENDARIO'!$C$15:$C$214,MATCH(TEXT($I408,"yyyy-mm-dd")&amp;"|"&amp;""&amp;"|"&amp;"",'CALENDARIO'!$G$15:$G$214,0)),IFERROR(INDEX('CALENDARIO'!$C$15:$C$214,MATCH(TEXT($I408,"yyyy-mm-dd")&amp;"|"&amp;""&amp;"|",'CALENDARIO'!$G$15:$G$214,0)),IFERROR(INDEX('CALENDARIO'!$C$15:$C$214,MATCH(TEXT($I408,"yyyy-mm-dd")&amp;"||",'CALENDARIO'!$G$15:$G$214,0)),INDEX(patronHabil,WEEKDAY($I408,2)))))</f>
        <v/>
      </c>
    </row>
    <row r="409">
      <c r="I409" s="41" t="n">
        <v>46427</v>
      </c>
      <c r="J409" s="24">
        <f>IFERROR(INDEX('CALENDARIO'!$C$15:$C$214,MATCH(TEXT($I409,"yyyy-mm-dd")&amp;"|"&amp;""&amp;"|"&amp;"",'CALENDARIO'!$G$15:$G$214,0)),IFERROR(INDEX('CALENDARIO'!$C$15:$C$214,MATCH(TEXT($I409,"yyyy-mm-dd")&amp;"|"&amp;""&amp;"|",'CALENDARIO'!$G$15:$G$214,0)),IFERROR(INDEX('CALENDARIO'!$C$15:$C$214,MATCH(TEXT($I409,"yyyy-mm-dd")&amp;"||",'CALENDARIO'!$G$15:$G$214,0)),INDEX(patronHabil,WEEKDAY($I409,2)))))</f>
        <v/>
      </c>
    </row>
    <row r="410">
      <c r="I410" s="41" t="n">
        <v>46428</v>
      </c>
      <c r="J410" s="24">
        <f>IFERROR(INDEX('CALENDARIO'!$C$15:$C$214,MATCH(TEXT($I410,"yyyy-mm-dd")&amp;"|"&amp;""&amp;"|"&amp;"",'CALENDARIO'!$G$15:$G$214,0)),IFERROR(INDEX('CALENDARIO'!$C$15:$C$214,MATCH(TEXT($I410,"yyyy-mm-dd")&amp;"|"&amp;""&amp;"|",'CALENDARIO'!$G$15:$G$214,0)),IFERROR(INDEX('CALENDARIO'!$C$15:$C$214,MATCH(TEXT($I410,"yyyy-mm-dd")&amp;"||",'CALENDARIO'!$G$15:$G$214,0)),INDEX(patronHabil,WEEKDAY($I410,2)))))</f>
        <v/>
      </c>
    </row>
    <row r="411">
      <c r="I411" s="41" t="n">
        <v>46429</v>
      </c>
      <c r="J411" s="24">
        <f>IFERROR(INDEX('CALENDARIO'!$C$15:$C$214,MATCH(TEXT($I411,"yyyy-mm-dd")&amp;"|"&amp;""&amp;"|"&amp;"",'CALENDARIO'!$G$15:$G$214,0)),IFERROR(INDEX('CALENDARIO'!$C$15:$C$214,MATCH(TEXT($I411,"yyyy-mm-dd")&amp;"|"&amp;""&amp;"|",'CALENDARIO'!$G$15:$G$214,0)),IFERROR(INDEX('CALENDARIO'!$C$15:$C$214,MATCH(TEXT($I411,"yyyy-mm-dd")&amp;"||",'CALENDARIO'!$G$15:$G$214,0)),INDEX(patronHabil,WEEKDAY($I411,2)))))</f>
        <v/>
      </c>
    </row>
    <row r="412">
      <c r="I412" s="41" t="n">
        <v>46430</v>
      </c>
      <c r="J412" s="24">
        <f>IFERROR(INDEX('CALENDARIO'!$C$15:$C$214,MATCH(TEXT($I412,"yyyy-mm-dd")&amp;"|"&amp;""&amp;"|"&amp;"",'CALENDARIO'!$G$15:$G$214,0)),IFERROR(INDEX('CALENDARIO'!$C$15:$C$214,MATCH(TEXT($I412,"yyyy-mm-dd")&amp;"|"&amp;""&amp;"|",'CALENDARIO'!$G$15:$G$214,0)),IFERROR(INDEX('CALENDARIO'!$C$15:$C$214,MATCH(TEXT($I412,"yyyy-mm-dd")&amp;"||",'CALENDARIO'!$G$15:$G$214,0)),INDEX(patronHabil,WEEKDAY($I412,2)))))</f>
        <v/>
      </c>
    </row>
    <row r="413">
      <c r="I413" s="41" t="n">
        <v>46431</v>
      </c>
      <c r="J413" s="24">
        <f>IFERROR(INDEX('CALENDARIO'!$C$15:$C$214,MATCH(TEXT($I413,"yyyy-mm-dd")&amp;"|"&amp;""&amp;"|"&amp;"",'CALENDARIO'!$G$15:$G$214,0)),IFERROR(INDEX('CALENDARIO'!$C$15:$C$214,MATCH(TEXT($I413,"yyyy-mm-dd")&amp;"|"&amp;""&amp;"|",'CALENDARIO'!$G$15:$G$214,0)),IFERROR(INDEX('CALENDARIO'!$C$15:$C$214,MATCH(TEXT($I413,"yyyy-mm-dd")&amp;"||",'CALENDARIO'!$G$15:$G$214,0)),INDEX(patronHabil,WEEKDAY($I413,2)))))</f>
        <v/>
      </c>
    </row>
    <row r="414">
      <c r="I414" s="41" t="n">
        <v>46432</v>
      </c>
      <c r="J414" s="24">
        <f>IFERROR(INDEX('CALENDARIO'!$C$15:$C$214,MATCH(TEXT($I414,"yyyy-mm-dd")&amp;"|"&amp;""&amp;"|"&amp;"",'CALENDARIO'!$G$15:$G$214,0)),IFERROR(INDEX('CALENDARIO'!$C$15:$C$214,MATCH(TEXT($I414,"yyyy-mm-dd")&amp;"|"&amp;""&amp;"|",'CALENDARIO'!$G$15:$G$214,0)),IFERROR(INDEX('CALENDARIO'!$C$15:$C$214,MATCH(TEXT($I414,"yyyy-mm-dd")&amp;"||",'CALENDARIO'!$G$15:$G$214,0)),INDEX(patronHabil,WEEKDAY($I414,2)))))</f>
        <v/>
      </c>
    </row>
    <row r="415">
      <c r="I415" s="41" t="n">
        <v>46433</v>
      </c>
      <c r="J415" s="24">
        <f>IFERROR(INDEX('CALENDARIO'!$C$15:$C$214,MATCH(TEXT($I415,"yyyy-mm-dd")&amp;"|"&amp;""&amp;"|"&amp;"",'CALENDARIO'!$G$15:$G$214,0)),IFERROR(INDEX('CALENDARIO'!$C$15:$C$214,MATCH(TEXT($I415,"yyyy-mm-dd")&amp;"|"&amp;""&amp;"|",'CALENDARIO'!$G$15:$G$214,0)),IFERROR(INDEX('CALENDARIO'!$C$15:$C$214,MATCH(TEXT($I415,"yyyy-mm-dd")&amp;"||",'CALENDARIO'!$G$15:$G$214,0)),INDEX(patronHabil,WEEKDAY($I415,2)))))</f>
        <v/>
      </c>
    </row>
    <row r="416">
      <c r="I416" s="41" t="n">
        <v>46434</v>
      </c>
      <c r="J416" s="24">
        <f>IFERROR(INDEX('CALENDARIO'!$C$15:$C$214,MATCH(TEXT($I416,"yyyy-mm-dd")&amp;"|"&amp;""&amp;"|"&amp;"",'CALENDARIO'!$G$15:$G$214,0)),IFERROR(INDEX('CALENDARIO'!$C$15:$C$214,MATCH(TEXT($I416,"yyyy-mm-dd")&amp;"|"&amp;""&amp;"|",'CALENDARIO'!$G$15:$G$214,0)),IFERROR(INDEX('CALENDARIO'!$C$15:$C$214,MATCH(TEXT($I416,"yyyy-mm-dd")&amp;"||",'CALENDARIO'!$G$15:$G$214,0)),INDEX(patronHabil,WEEKDAY($I416,2)))))</f>
        <v/>
      </c>
    </row>
    <row r="417">
      <c r="I417" s="41" t="n">
        <v>46435</v>
      </c>
      <c r="J417" s="24">
        <f>IFERROR(INDEX('CALENDARIO'!$C$15:$C$214,MATCH(TEXT($I417,"yyyy-mm-dd")&amp;"|"&amp;""&amp;"|"&amp;"",'CALENDARIO'!$G$15:$G$214,0)),IFERROR(INDEX('CALENDARIO'!$C$15:$C$214,MATCH(TEXT($I417,"yyyy-mm-dd")&amp;"|"&amp;""&amp;"|",'CALENDARIO'!$G$15:$G$214,0)),IFERROR(INDEX('CALENDARIO'!$C$15:$C$214,MATCH(TEXT($I417,"yyyy-mm-dd")&amp;"||",'CALENDARIO'!$G$15:$G$214,0)),INDEX(patronHabil,WEEKDAY($I417,2)))))</f>
        <v/>
      </c>
    </row>
    <row r="418">
      <c r="I418" s="41" t="n">
        <v>46436</v>
      </c>
      <c r="J418" s="24">
        <f>IFERROR(INDEX('CALENDARIO'!$C$15:$C$214,MATCH(TEXT($I418,"yyyy-mm-dd")&amp;"|"&amp;""&amp;"|"&amp;"",'CALENDARIO'!$G$15:$G$214,0)),IFERROR(INDEX('CALENDARIO'!$C$15:$C$214,MATCH(TEXT($I418,"yyyy-mm-dd")&amp;"|"&amp;""&amp;"|",'CALENDARIO'!$G$15:$G$214,0)),IFERROR(INDEX('CALENDARIO'!$C$15:$C$214,MATCH(TEXT($I418,"yyyy-mm-dd")&amp;"||",'CALENDARIO'!$G$15:$G$214,0)),INDEX(patronHabil,WEEKDAY($I418,2)))))</f>
        <v/>
      </c>
    </row>
    <row r="419">
      <c r="I419" s="41" t="n">
        <v>46437</v>
      </c>
      <c r="J419" s="24">
        <f>IFERROR(INDEX('CALENDARIO'!$C$15:$C$214,MATCH(TEXT($I419,"yyyy-mm-dd")&amp;"|"&amp;""&amp;"|"&amp;"",'CALENDARIO'!$G$15:$G$214,0)),IFERROR(INDEX('CALENDARIO'!$C$15:$C$214,MATCH(TEXT($I419,"yyyy-mm-dd")&amp;"|"&amp;""&amp;"|",'CALENDARIO'!$G$15:$G$214,0)),IFERROR(INDEX('CALENDARIO'!$C$15:$C$214,MATCH(TEXT($I419,"yyyy-mm-dd")&amp;"||",'CALENDARIO'!$G$15:$G$214,0)),INDEX(patronHabil,WEEKDAY($I419,2)))))</f>
        <v/>
      </c>
    </row>
    <row r="420">
      <c r="I420" s="41" t="n">
        <v>46438</v>
      </c>
      <c r="J420" s="24">
        <f>IFERROR(INDEX('CALENDARIO'!$C$15:$C$214,MATCH(TEXT($I420,"yyyy-mm-dd")&amp;"|"&amp;""&amp;"|"&amp;"",'CALENDARIO'!$G$15:$G$214,0)),IFERROR(INDEX('CALENDARIO'!$C$15:$C$214,MATCH(TEXT($I420,"yyyy-mm-dd")&amp;"|"&amp;""&amp;"|",'CALENDARIO'!$G$15:$G$214,0)),IFERROR(INDEX('CALENDARIO'!$C$15:$C$214,MATCH(TEXT($I420,"yyyy-mm-dd")&amp;"||",'CALENDARIO'!$G$15:$G$214,0)),INDEX(patronHabil,WEEKDAY($I420,2)))))</f>
        <v/>
      </c>
    </row>
    <row r="421">
      <c r="I421" s="41" t="n">
        <v>46439</v>
      </c>
      <c r="J421" s="24">
        <f>IFERROR(INDEX('CALENDARIO'!$C$15:$C$214,MATCH(TEXT($I421,"yyyy-mm-dd")&amp;"|"&amp;""&amp;"|"&amp;"",'CALENDARIO'!$G$15:$G$214,0)),IFERROR(INDEX('CALENDARIO'!$C$15:$C$214,MATCH(TEXT($I421,"yyyy-mm-dd")&amp;"|"&amp;""&amp;"|",'CALENDARIO'!$G$15:$G$214,0)),IFERROR(INDEX('CALENDARIO'!$C$15:$C$214,MATCH(TEXT($I421,"yyyy-mm-dd")&amp;"||",'CALENDARIO'!$G$15:$G$214,0)),INDEX(patronHabil,WEEKDAY($I421,2)))))</f>
        <v/>
      </c>
    </row>
    <row r="422">
      <c r="I422" s="41" t="n">
        <v>46440</v>
      </c>
      <c r="J422" s="24">
        <f>IFERROR(INDEX('CALENDARIO'!$C$15:$C$214,MATCH(TEXT($I422,"yyyy-mm-dd")&amp;"|"&amp;""&amp;"|"&amp;"",'CALENDARIO'!$G$15:$G$214,0)),IFERROR(INDEX('CALENDARIO'!$C$15:$C$214,MATCH(TEXT($I422,"yyyy-mm-dd")&amp;"|"&amp;""&amp;"|",'CALENDARIO'!$G$15:$G$214,0)),IFERROR(INDEX('CALENDARIO'!$C$15:$C$214,MATCH(TEXT($I422,"yyyy-mm-dd")&amp;"||",'CALENDARIO'!$G$15:$G$214,0)),INDEX(patronHabil,WEEKDAY($I422,2)))))</f>
        <v/>
      </c>
    </row>
    <row r="423">
      <c r="I423" s="41" t="n">
        <v>46441</v>
      </c>
      <c r="J423" s="24">
        <f>IFERROR(INDEX('CALENDARIO'!$C$15:$C$214,MATCH(TEXT($I423,"yyyy-mm-dd")&amp;"|"&amp;""&amp;"|"&amp;"",'CALENDARIO'!$G$15:$G$214,0)),IFERROR(INDEX('CALENDARIO'!$C$15:$C$214,MATCH(TEXT($I423,"yyyy-mm-dd")&amp;"|"&amp;""&amp;"|",'CALENDARIO'!$G$15:$G$214,0)),IFERROR(INDEX('CALENDARIO'!$C$15:$C$214,MATCH(TEXT($I423,"yyyy-mm-dd")&amp;"||",'CALENDARIO'!$G$15:$G$214,0)),INDEX(patronHabil,WEEKDAY($I423,2)))))</f>
        <v/>
      </c>
    </row>
    <row r="424">
      <c r="I424" s="41" t="n">
        <v>46442</v>
      </c>
      <c r="J424" s="24">
        <f>IFERROR(INDEX('CALENDARIO'!$C$15:$C$214,MATCH(TEXT($I424,"yyyy-mm-dd")&amp;"|"&amp;""&amp;"|"&amp;"",'CALENDARIO'!$G$15:$G$214,0)),IFERROR(INDEX('CALENDARIO'!$C$15:$C$214,MATCH(TEXT($I424,"yyyy-mm-dd")&amp;"|"&amp;""&amp;"|",'CALENDARIO'!$G$15:$G$214,0)),IFERROR(INDEX('CALENDARIO'!$C$15:$C$214,MATCH(TEXT($I424,"yyyy-mm-dd")&amp;"||",'CALENDARIO'!$G$15:$G$214,0)),INDEX(patronHabil,WEEKDAY($I424,2)))))</f>
        <v/>
      </c>
    </row>
    <row r="425">
      <c r="I425" s="41" t="n">
        <v>46443</v>
      </c>
      <c r="J425" s="24">
        <f>IFERROR(INDEX('CALENDARIO'!$C$15:$C$214,MATCH(TEXT($I425,"yyyy-mm-dd")&amp;"|"&amp;""&amp;"|"&amp;"",'CALENDARIO'!$G$15:$G$214,0)),IFERROR(INDEX('CALENDARIO'!$C$15:$C$214,MATCH(TEXT($I425,"yyyy-mm-dd")&amp;"|"&amp;""&amp;"|",'CALENDARIO'!$G$15:$G$214,0)),IFERROR(INDEX('CALENDARIO'!$C$15:$C$214,MATCH(TEXT($I425,"yyyy-mm-dd")&amp;"||",'CALENDARIO'!$G$15:$G$214,0)),INDEX(patronHabil,WEEKDAY($I425,2)))))</f>
        <v/>
      </c>
    </row>
    <row r="426">
      <c r="I426" s="41" t="n">
        <v>46444</v>
      </c>
      <c r="J426" s="24">
        <f>IFERROR(INDEX('CALENDARIO'!$C$15:$C$214,MATCH(TEXT($I426,"yyyy-mm-dd")&amp;"|"&amp;""&amp;"|"&amp;"",'CALENDARIO'!$G$15:$G$214,0)),IFERROR(INDEX('CALENDARIO'!$C$15:$C$214,MATCH(TEXT($I426,"yyyy-mm-dd")&amp;"|"&amp;""&amp;"|",'CALENDARIO'!$G$15:$G$214,0)),IFERROR(INDEX('CALENDARIO'!$C$15:$C$214,MATCH(TEXT($I426,"yyyy-mm-dd")&amp;"||",'CALENDARIO'!$G$15:$G$214,0)),INDEX(patronHabil,WEEKDAY($I426,2)))))</f>
        <v/>
      </c>
    </row>
    <row r="427">
      <c r="I427" s="41" t="n">
        <v>46445</v>
      </c>
      <c r="J427" s="24">
        <f>IFERROR(INDEX('CALENDARIO'!$C$15:$C$214,MATCH(TEXT($I427,"yyyy-mm-dd")&amp;"|"&amp;""&amp;"|"&amp;"",'CALENDARIO'!$G$15:$G$214,0)),IFERROR(INDEX('CALENDARIO'!$C$15:$C$214,MATCH(TEXT($I427,"yyyy-mm-dd")&amp;"|"&amp;""&amp;"|",'CALENDARIO'!$G$15:$G$214,0)),IFERROR(INDEX('CALENDARIO'!$C$15:$C$214,MATCH(TEXT($I427,"yyyy-mm-dd")&amp;"||",'CALENDARIO'!$G$15:$G$214,0)),INDEX(patronHabil,WEEKDAY($I427,2)))))</f>
        <v/>
      </c>
    </row>
    <row r="428">
      <c r="I428" s="41" t="n">
        <v>46446</v>
      </c>
      <c r="J428" s="24">
        <f>IFERROR(INDEX('CALENDARIO'!$C$15:$C$214,MATCH(TEXT($I428,"yyyy-mm-dd")&amp;"|"&amp;""&amp;"|"&amp;"",'CALENDARIO'!$G$15:$G$214,0)),IFERROR(INDEX('CALENDARIO'!$C$15:$C$214,MATCH(TEXT($I428,"yyyy-mm-dd")&amp;"|"&amp;""&amp;"|",'CALENDARIO'!$G$15:$G$214,0)),IFERROR(INDEX('CALENDARIO'!$C$15:$C$214,MATCH(TEXT($I428,"yyyy-mm-dd")&amp;"||",'CALENDARIO'!$G$15:$G$214,0)),INDEX(patronHabil,WEEKDAY($I428,2)))))</f>
        <v/>
      </c>
    </row>
    <row r="429">
      <c r="I429" s="41" t="n">
        <v>46447</v>
      </c>
      <c r="J429" s="24">
        <f>IFERROR(INDEX('CALENDARIO'!$C$15:$C$214,MATCH(TEXT($I429,"yyyy-mm-dd")&amp;"|"&amp;""&amp;"|"&amp;"",'CALENDARIO'!$G$15:$G$214,0)),IFERROR(INDEX('CALENDARIO'!$C$15:$C$214,MATCH(TEXT($I429,"yyyy-mm-dd")&amp;"|"&amp;""&amp;"|",'CALENDARIO'!$G$15:$G$214,0)),IFERROR(INDEX('CALENDARIO'!$C$15:$C$214,MATCH(TEXT($I429,"yyyy-mm-dd")&amp;"||",'CALENDARIO'!$G$15:$G$214,0)),INDEX(patronHabil,WEEKDAY($I429,2)))))</f>
        <v/>
      </c>
    </row>
    <row r="430">
      <c r="I430" s="41" t="n">
        <v>46448</v>
      </c>
      <c r="J430" s="24">
        <f>IFERROR(INDEX('CALENDARIO'!$C$15:$C$214,MATCH(TEXT($I430,"yyyy-mm-dd")&amp;"|"&amp;""&amp;"|"&amp;"",'CALENDARIO'!$G$15:$G$214,0)),IFERROR(INDEX('CALENDARIO'!$C$15:$C$214,MATCH(TEXT($I430,"yyyy-mm-dd")&amp;"|"&amp;""&amp;"|",'CALENDARIO'!$G$15:$G$214,0)),IFERROR(INDEX('CALENDARIO'!$C$15:$C$214,MATCH(TEXT($I430,"yyyy-mm-dd")&amp;"||",'CALENDARIO'!$G$15:$G$214,0)),INDEX(patronHabil,WEEKDAY($I430,2)))))</f>
        <v/>
      </c>
    </row>
    <row r="431">
      <c r="I431" s="41" t="n">
        <v>46449</v>
      </c>
      <c r="J431" s="24">
        <f>IFERROR(INDEX('CALENDARIO'!$C$15:$C$214,MATCH(TEXT($I431,"yyyy-mm-dd")&amp;"|"&amp;""&amp;"|"&amp;"",'CALENDARIO'!$G$15:$G$214,0)),IFERROR(INDEX('CALENDARIO'!$C$15:$C$214,MATCH(TEXT($I431,"yyyy-mm-dd")&amp;"|"&amp;""&amp;"|",'CALENDARIO'!$G$15:$G$214,0)),IFERROR(INDEX('CALENDARIO'!$C$15:$C$214,MATCH(TEXT($I431,"yyyy-mm-dd")&amp;"||",'CALENDARIO'!$G$15:$G$214,0)),INDEX(patronHabil,WEEKDAY($I431,2)))))</f>
        <v/>
      </c>
    </row>
    <row r="432">
      <c r="I432" s="41" t="n">
        <v>46450</v>
      </c>
      <c r="J432" s="24">
        <f>IFERROR(INDEX('CALENDARIO'!$C$15:$C$214,MATCH(TEXT($I432,"yyyy-mm-dd")&amp;"|"&amp;""&amp;"|"&amp;"",'CALENDARIO'!$G$15:$G$214,0)),IFERROR(INDEX('CALENDARIO'!$C$15:$C$214,MATCH(TEXT($I432,"yyyy-mm-dd")&amp;"|"&amp;""&amp;"|",'CALENDARIO'!$G$15:$G$214,0)),IFERROR(INDEX('CALENDARIO'!$C$15:$C$214,MATCH(TEXT($I432,"yyyy-mm-dd")&amp;"||",'CALENDARIO'!$G$15:$G$214,0)),INDEX(patronHabil,WEEKDAY($I432,2)))))</f>
        <v/>
      </c>
    </row>
    <row r="433">
      <c r="I433" s="41" t="n">
        <v>46451</v>
      </c>
      <c r="J433" s="24">
        <f>IFERROR(INDEX('CALENDARIO'!$C$15:$C$214,MATCH(TEXT($I433,"yyyy-mm-dd")&amp;"|"&amp;""&amp;"|"&amp;"",'CALENDARIO'!$G$15:$G$214,0)),IFERROR(INDEX('CALENDARIO'!$C$15:$C$214,MATCH(TEXT($I433,"yyyy-mm-dd")&amp;"|"&amp;""&amp;"|",'CALENDARIO'!$G$15:$G$214,0)),IFERROR(INDEX('CALENDARIO'!$C$15:$C$214,MATCH(TEXT($I433,"yyyy-mm-dd")&amp;"||",'CALENDARIO'!$G$15:$G$214,0)),INDEX(patronHabil,WEEKDAY($I433,2)))))</f>
        <v/>
      </c>
    </row>
    <row r="434">
      <c r="I434" s="41" t="n">
        <v>46452</v>
      </c>
      <c r="J434" s="24">
        <f>IFERROR(INDEX('CALENDARIO'!$C$15:$C$214,MATCH(TEXT($I434,"yyyy-mm-dd")&amp;"|"&amp;""&amp;"|"&amp;"",'CALENDARIO'!$G$15:$G$214,0)),IFERROR(INDEX('CALENDARIO'!$C$15:$C$214,MATCH(TEXT($I434,"yyyy-mm-dd")&amp;"|"&amp;""&amp;"|",'CALENDARIO'!$G$15:$G$214,0)),IFERROR(INDEX('CALENDARIO'!$C$15:$C$214,MATCH(TEXT($I434,"yyyy-mm-dd")&amp;"||",'CALENDARIO'!$G$15:$G$214,0)),INDEX(patronHabil,WEEKDAY($I434,2)))))</f>
        <v/>
      </c>
    </row>
    <row r="435">
      <c r="I435" s="41" t="n">
        <v>46453</v>
      </c>
      <c r="J435" s="24">
        <f>IFERROR(INDEX('CALENDARIO'!$C$15:$C$214,MATCH(TEXT($I435,"yyyy-mm-dd")&amp;"|"&amp;""&amp;"|"&amp;"",'CALENDARIO'!$G$15:$G$214,0)),IFERROR(INDEX('CALENDARIO'!$C$15:$C$214,MATCH(TEXT($I435,"yyyy-mm-dd")&amp;"|"&amp;""&amp;"|",'CALENDARIO'!$G$15:$G$214,0)),IFERROR(INDEX('CALENDARIO'!$C$15:$C$214,MATCH(TEXT($I435,"yyyy-mm-dd")&amp;"||",'CALENDARIO'!$G$15:$G$214,0)),INDEX(patronHabil,WEEKDAY($I435,2)))))</f>
        <v/>
      </c>
    </row>
    <row r="436">
      <c r="I436" s="41" t="n">
        <v>46454</v>
      </c>
      <c r="J436" s="24">
        <f>IFERROR(INDEX('CALENDARIO'!$C$15:$C$214,MATCH(TEXT($I436,"yyyy-mm-dd")&amp;"|"&amp;""&amp;"|"&amp;"",'CALENDARIO'!$G$15:$G$214,0)),IFERROR(INDEX('CALENDARIO'!$C$15:$C$214,MATCH(TEXT($I436,"yyyy-mm-dd")&amp;"|"&amp;""&amp;"|",'CALENDARIO'!$G$15:$G$214,0)),IFERROR(INDEX('CALENDARIO'!$C$15:$C$214,MATCH(TEXT($I436,"yyyy-mm-dd")&amp;"||",'CALENDARIO'!$G$15:$G$214,0)),INDEX(patronHabil,WEEKDAY($I436,2)))))</f>
        <v/>
      </c>
    </row>
    <row r="437">
      <c r="I437" s="41" t="n">
        <v>46455</v>
      </c>
      <c r="J437" s="24">
        <f>IFERROR(INDEX('CALENDARIO'!$C$15:$C$214,MATCH(TEXT($I437,"yyyy-mm-dd")&amp;"|"&amp;""&amp;"|"&amp;"",'CALENDARIO'!$G$15:$G$214,0)),IFERROR(INDEX('CALENDARIO'!$C$15:$C$214,MATCH(TEXT($I437,"yyyy-mm-dd")&amp;"|"&amp;""&amp;"|",'CALENDARIO'!$G$15:$G$214,0)),IFERROR(INDEX('CALENDARIO'!$C$15:$C$214,MATCH(TEXT($I437,"yyyy-mm-dd")&amp;"||",'CALENDARIO'!$G$15:$G$214,0)),INDEX(patronHabil,WEEKDAY($I437,2)))))</f>
        <v/>
      </c>
    </row>
    <row r="438">
      <c r="I438" s="41" t="n">
        <v>46456</v>
      </c>
      <c r="J438" s="24">
        <f>IFERROR(INDEX('CALENDARIO'!$C$15:$C$214,MATCH(TEXT($I438,"yyyy-mm-dd")&amp;"|"&amp;""&amp;"|"&amp;"",'CALENDARIO'!$G$15:$G$214,0)),IFERROR(INDEX('CALENDARIO'!$C$15:$C$214,MATCH(TEXT($I438,"yyyy-mm-dd")&amp;"|"&amp;""&amp;"|",'CALENDARIO'!$G$15:$G$214,0)),IFERROR(INDEX('CALENDARIO'!$C$15:$C$214,MATCH(TEXT($I438,"yyyy-mm-dd")&amp;"||",'CALENDARIO'!$G$15:$G$214,0)),INDEX(patronHabil,WEEKDAY($I438,2)))))</f>
        <v/>
      </c>
    </row>
    <row r="439">
      <c r="I439" s="41" t="n">
        <v>46457</v>
      </c>
      <c r="J439" s="24">
        <f>IFERROR(INDEX('CALENDARIO'!$C$15:$C$214,MATCH(TEXT($I439,"yyyy-mm-dd")&amp;"|"&amp;""&amp;"|"&amp;"",'CALENDARIO'!$G$15:$G$214,0)),IFERROR(INDEX('CALENDARIO'!$C$15:$C$214,MATCH(TEXT($I439,"yyyy-mm-dd")&amp;"|"&amp;""&amp;"|",'CALENDARIO'!$G$15:$G$214,0)),IFERROR(INDEX('CALENDARIO'!$C$15:$C$214,MATCH(TEXT($I439,"yyyy-mm-dd")&amp;"||",'CALENDARIO'!$G$15:$G$214,0)),INDEX(patronHabil,WEEKDAY($I439,2)))))</f>
        <v/>
      </c>
    </row>
    <row r="440">
      <c r="I440" s="41" t="n">
        <v>46458</v>
      </c>
      <c r="J440" s="24">
        <f>IFERROR(INDEX('CALENDARIO'!$C$15:$C$214,MATCH(TEXT($I440,"yyyy-mm-dd")&amp;"|"&amp;""&amp;"|"&amp;"",'CALENDARIO'!$G$15:$G$214,0)),IFERROR(INDEX('CALENDARIO'!$C$15:$C$214,MATCH(TEXT($I440,"yyyy-mm-dd")&amp;"|"&amp;""&amp;"|",'CALENDARIO'!$G$15:$G$214,0)),IFERROR(INDEX('CALENDARIO'!$C$15:$C$214,MATCH(TEXT($I440,"yyyy-mm-dd")&amp;"||",'CALENDARIO'!$G$15:$G$214,0)),INDEX(patronHabil,WEEKDAY($I440,2)))))</f>
        <v/>
      </c>
    </row>
    <row r="441">
      <c r="I441" s="41" t="n">
        <v>46459</v>
      </c>
      <c r="J441" s="24">
        <f>IFERROR(INDEX('CALENDARIO'!$C$15:$C$214,MATCH(TEXT($I441,"yyyy-mm-dd")&amp;"|"&amp;""&amp;"|"&amp;"",'CALENDARIO'!$G$15:$G$214,0)),IFERROR(INDEX('CALENDARIO'!$C$15:$C$214,MATCH(TEXT($I441,"yyyy-mm-dd")&amp;"|"&amp;""&amp;"|",'CALENDARIO'!$G$15:$G$214,0)),IFERROR(INDEX('CALENDARIO'!$C$15:$C$214,MATCH(TEXT($I441,"yyyy-mm-dd")&amp;"||",'CALENDARIO'!$G$15:$G$214,0)),INDEX(patronHabil,WEEKDAY($I441,2)))))</f>
        <v/>
      </c>
    </row>
    <row r="442">
      <c r="I442" s="41" t="n">
        <v>46460</v>
      </c>
      <c r="J442" s="24">
        <f>IFERROR(INDEX('CALENDARIO'!$C$15:$C$214,MATCH(TEXT($I442,"yyyy-mm-dd")&amp;"|"&amp;""&amp;"|"&amp;"",'CALENDARIO'!$G$15:$G$214,0)),IFERROR(INDEX('CALENDARIO'!$C$15:$C$214,MATCH(TEXT($I442,"yyyy-mm-dd")&amp;"|"&amp;""&amp;"|",'CALENDARIO'!$G$15:$G$214,0)),IFERROR(INDEX('CALENDARIO'!$C$15:$C$214,MATCH(TEXT($I442,"yyyy-mm-dd")&amp;"||",'CALENDARIO'!$G$15:$G$214,0)),INDEX(patronHabil,WEEKDAY($I442,2)))))</f>
        <v/>
      </c>
    </row>
    <row r="443">
      <c r="I443" s="41" t="n">
        <v>46461</v>
      </c>
      <c r="J443" s="24">
        <f>IFERROR(INDEX('CALENDARIO'!$C$15:$C$214,MATCH(TEXT($I443,"yyyy-mm-dd")&amp;"|"&amp;""&amp;"|"&amp;"",'CALENDARIO'!$G$15:$G$214,0)),IFERROR(INDEX('CALENDARIO'!$C$15:$C$214,MATCH(TEXT($I443,"yyyy-mm-dd")&amp;"|"&amp;""&amp;"|",'CALENDARIO'!$G$15:$G$214,0)),IFERROR(INDEX('CALENDARIO'!$C$15:$C$214,MATCH(TEXT($I443,"yyyy-mm-dd")&amp;"||",'CALENDARIO'!$G$15:$G$214,0)),INDEX(patronHabil,WEEKDAY($I443,2)))))</f>
        <v/>
      </c>
    </row>
    <row r="444">
      <c r="I444" s="41" t="n">
        <v>46462</v>
      </c>
      <c r="J444" s="24">
        <f>IFERROR(INDEX('CALENDARIO'!$C$15:$C$214,MATCH(TEXT($I444,"yyyy-mm-dd")&amp;"|"&amp;""&amp;"|"&amp;"",'CALENDARIO'!$G$15:$G$214,0)),IFERROR(INDEX('CALENDARIO'!$C$15:$C$214,MATCH(TEXT($I444,"yyyy-mm-dd")&amp;"|"&amp;""&amp;"|",'CALENDARIO'!$G$15:$G$214,0)),IFERROR(INDEX('CALENDARIO'!$C$15:$C$214,MATCH(TEXT($I444,"yyyy-mm-dd")&amp;"||",'CALENDARIO'!$G$15:$G$214,0)),INDEX(patronHabil,WEEKDAY($I444,2)))))</f>
        <v/>
      </c>
    </row>
    <row r="445">
      <c r="I445" s="41" t="n">
        <v>46463</v>
      </c>
      <c r="J445" s="24">
        <f>IFERROR(INDEX('CALENDARIO'!$C$15:$C$214,MATCH(TEXT($I445,"yyyy-mm-dd")&amp;"|"&amp;""&amp;"|"&amp;"",'CALENDARIO'!$G$15:$G$214,0)),IFERROR(INDEX('CALENDARIO'!$C$15:$C$214,MATCH(TEXT($I445,"yyyy-mm-dd")&amp;"|"&amp;""&amp;"|",'CALENDARIO'!$G$15:$G$214,0)),IFERROR(INDEX('CALENDARIO'!$C$15:$C$214,MATCH(TEXT($I445,"yyyy-mm-dd")&amp;"||",'CALENDARIO'!$G$15:$G$214,0)),INDEX(patronHabil,WEEKDAY($I445,2)))))</f>
        <v/>
      </c>
    </row>
    <row r="446">
      <c r="I446" s="41" t="n">
        <v>46464</v>
      </c>
      <c r="J446" s="24">
        <f>IFERROR(INDEX('CALENDARIO'!$C$15:$C$214,MATCH(TEXT($I446,"yyyy-mm-dd")&amp;"|"&amp;""&amp;"|"&amp;"",'CALENDARIO'!$G$15:$G$214,0)),IFERROR(INDEX('CALENDARIO'!$C$15:$C$214,MATCH(TEXT($I446,"yyyy-mm-dd")&amp;"|"&amp;""&amp;"|",'CALENDARIO'!$G$15:$G$214,0)),IFERROR(INDEX('CALENDARIO'!$C$15:$C$214,MATCH(TEXT($I446,"yyyy-mm-dd")&amp;"||",'CALENDARIO'!$G$15:$G$214,0)),INDEX(patronHabil,WEEKDAY($I446,2)))))</f>
        <v/>
      </c>
    </row>
    <row r="447">
      <c r="I447" s="41" t="n">
        <v>46465</v>
      </c>
      <c r="J447" s="24">
        <f>IFERROR(INDEX('CALENDARIO'!$C$15:$C$214,MATCH(TEXT($I447,"yyyy-mm-dd")&amp;"|"&amp;""&amp;"|"&amp;"",'CALENDARIO'!$G$15:$G$214,0)),IFERROR(INDEX('CALENDARIO'!$C$15:$C$214,MATCH(TEXT($I447,"yyyy-mm-dd")&amp;"|"&amp;""&amp;"|",'CALENDARIO'!$G$15:$G$214,0)),IFERROR(INDEX('CALENDARIO'!$C$15:$C$214,MATCH(TEXT($I447,"yyyy-mm-dd")&amp;"||",'CALENDARIO'!$G$15:$G$214,0)),INDEX(patronHabil,WEEKDAY($I447,2)))))</f>
        <v/>
      </c>
    </row>
    <row r="448">
      <c r="I448" s="41" t="n">
        <v>46466</v>
      </c>
      <c r="J448" s="24">
        <f>IFERROR(INDEX('CALENDARIO'!$C$15:$C$214,MATCH(TEXT($I448,"yyyy-mm-dd")&amp;"|"&amp;""&amp;"|"&amp;"",'CALENDARIO'!$G$15:$G$214,0)),IFERROR(INDEX('CALENDARIO'!$C$15:$C$214,MATCH(TEXT($I448,"yyyy-mm-dd")&amp;"|"&amp;""&amp;"|",'CALENDARIO'!$G$15:$G$214,0)),IFERROR(INDEX('CALENDARIO'!$C$15:$C$214,MATCH(TEXT($I448,"yyyy-mm-dd")&amp;"||",'CALENDARIO'!$G$15:$G$214,0)),INDEX(patronHabil,WEEKDAY($I448,2)))))</f>
        <v/>
      </c>
    </row>
    <row r="449">
      <c r="I449" s="41" t="n">
        <v>46467</v>
      </c>
      <c r="J449" s="24">
        <f>IFERROR(INDEX('CALENDARIO'!$C$15:$C$214,MATCH(TEXT($I449,"yyyy-mm-dd")&amp;"|"&amp;""&amp;"|"&amp;"",'CALENDARIO'!$G$15:$G$214,0)),IFERROR(INDEX('CALENDARIO'!$C$15:$C$214,MATCH(TEXT($I449,"yyyy-mm-dd")&amp;"|"&amp;""&amp;"|",'CALENDARIO'!$G$15:$G$214,0)),IFERROR(INDEX('CALENDARIO'!$C$15:$C$214,MATCH(TEXT($I449,"yyyy-mm-dd")&amp;"||",'CALENDARIO'!$G$15:$G$214,0)),INDEX(patronHabil,WEEKDAY($I449,2)))))</f>
        <v/>
      </c>
    </row>
    <row r="450">
      <c r="I450" s="41" t="n">
        <v>46468</v>
      </c>
      <c r="J450" s="24">
        <f>IFERROR(INDEX('CALENDARIO'!$C$15:$C$214,MATCH(TEXT($I450,"yyyy-mm-dd")&amp;"|"&amp;""&amp;"|"&amp;"",'CALENDARIO'!$G$15:$G$214,0)),IFERROR(INDEX('CALENDARIO'!$C$15:$C$214,MATCH(TEXT($I450,"yyyy-mm-dd")&amp;"|"&amp;""&amp;"|",'CALENDARIO'!$G$15:$G$214,0)),IFERROR(INDEX('CALENDARIO'!$C$15:$C$214,MATCH(TEXT($I450,"yyyy-mm-dd")&amp;"||",'CALENDARIO'!$G$15:$G$214,0)),INDEX(patronHabil,WEEKDAY($I450,2)))))</f>
        <v/>
      </c>
    </row>
    <row r="451">
      <c r="I451" s="41" t="n">
        <v>46469</v>
      </c>
      <c r="J451" s="24">
        <f>IFERROR(INDEX('CALENDARIO'!$C$15:$C$214,MATCH(TEXT($I451,"yyyy-mm-dd")&amp;"|"&amp;""&amp;"|"&amp;"",'CALENDARIO'!$G$15:$G$214,0)),IFERROR(INDEX('CALENDARIO'!$C$15:$C$214,MATCH(TEXT($I451,"yyyy-mm-dd")&amp;"|"&amp;""&amp;"|",'CALENDARIO'!$G$15:$G$214,0)),IFERROR(INDEX('CALENDARIO'!$C$15:$C$214,MATCH(TEXT($I451,"yyyy-mm-dd")&amp;"||",'CALENDARIO'!$G$15:$G$214,0)),INDEX(patronHabil,WEEKDAY($I451,2)))))</f>
        <v/>
      </c>
    </row>
    <row r="452">
      <c r="I452" s="41" t="n">
        <v>46470</v>
      </c>
      <c r="J452" s="24">
        <f>IFERROR(INDEX('CALENDARIO'!$C$15:$C$214,MATCH(TEXT($I452,"yyyy-mm-dd")&amp;"|"&amp;""&amp;"|"&amp;"",'CALENDARIO'!$G$15:$G$214,0)),IFERROR(INDEX('CALENDARIO'!$C$15:$C$214,MATCH(TEXT($I452,"yyyy-mm-dd")&amp;"|"&amp;""&amp;"|",'CALENDARIO'!$G$15:$G$214,0)),IFERROR(INDEX('CALENDARIO'!$C$15:$C$214,MATCH(TEXT($I452,"yyyy-mm-dd")&amp;"||",'CALENDARIO'!$G$15:$G$214,0)),INDEX(patronHabil,WEEKDAY($I452,2)))))</f>
        <v/>
      </c>
    </row>
    <row r="453">
      <c r="I453" s="41" t="n">
        <v>46471</v>
      </c>
      <c r="J453" s="24">
        <f>IFERROR(INDEX('CALENDARIO'!$C$15:$C$214,MATCH(TEXT($I453,"yyyy-mm-dd")&amp;"|"&amp;""&amp;"|"&amp;"",'CALENDARIO'!$G$15:$G$214,0)),IFERROR(INDEX('CALENDARIO'!$C$15:$C$214,MATCH(TEXT($I453,"yyyy-mm-dd")&amp;"|"&amp;""&amp;"|",'CALENDARIO'!$G$15:$G$214,0)),IFERROR(INDEX('CALENDARIO'!$C$15:$C$214,MATCH(TEXT($I453,"yyyy-mm-dd")&amp;"||",'CALENDARIO'!$G$15:$G$214,0)),INDEX(patronHabil,WEEKDAY($I453,2)))))</f>
        <v/>
      </c>
    </row>
    <row r="454">
      <c r="I454" s="41" t="n">
        <v>46472</v>
      </c>
      <c r="J454" s="24">
        <f>IFERROR(INDEX('CALENDARIO'!$C$15:$C$214,MATCH(TEXT($I454,"yyyy-mm-dd")&amp;"|"&amp;""&amp;"|"&amp;"",'CALENDARIO'!$G$15:$G$214,0)),IFERROR(INDEX('CALENDARIO'!$C$15:$C$214,MATCH(TEXT($I454,"yyyy-mm-dd")&amp;"|"&amp;""&amp;"|",'CALENDARIO'!$G$15:$G$214,0)),IFERROR(INDEX('CALENDARIO'!$C$15:$C$214,MATCH(TEXT($I454,"yyyy-mm-dd")&amp;"||",'CALENDARIO'!$G$15:$G$214,0)),INDEX(patronHabil,WEEKDAY($I454,2)))))</f>
        <v/>
      </c>
    </row>
    <row r="455">
      <c r="I455" s="41" t="n">
        <v>46473</v>
      </c>
      <c r="J455" s="24">
        <f>IFERROR(INDEX('CALENDARIO'!$C$15:$C$214,MATCH(TEXT($I455,"yyyy-mm-dd")&amp;"|"&amp;""&amp;"|"&amp;"",'CALENDARIO'!$G$15:$G$214,0)),IFERROR(INDEX('CALENDARIO'!$C$15:$C$214,MATCH(TEXT($I455,"yyyy-mm-dd")&amp;"|"&amp;""&amp;"|",'CALENDARIO'!$G$15:$G$214,0)),IFERROR(INDEX('CALENDARIO'!$C$15:$C$214,MATCH(TEXT($I455,"yyyy-mm-dd")&amp;"||",'CALENDARIO'!$G$15:$G$214,0)),INDEX(patronHabil,WEEKDAY($I455,2)))))</f>
        <v/>
      </c>
    </row>
    <row r="456">
      <c r="I456" s="41" t="n">
        <v>46474</v>
      </c>
      <c r="J456" s="24">
        <f>IFERROR(INDEX('CALENDARIO'!$C$15:$C$214,MATCH(TEXT($I456,"yyyy-mm-dd")&amp;"|"&amp;""&amp;"|"&amp;"",'CALENDARIO'!$G$15:$G$214,0)),IFERROR(INDEX('CALENDARIO'!$C$15:$C$214,MATCH(TEXT($I456,"yyyy-mm-dd")&amp;"|"&amp;""&amp;"|",'CALENDARIO'!$G$15:$G$214,0)),IFERROR(INDEX('CALENDARIO'!$C$15:$C$214,MATCH(TEXT($I456,"yyyy-mm-dd")&amp;"||",'CALENDARIO'!$G$15:$G$214,0)),INDEX(patronHabil,WEEKDAY($I456,2)))))</f>
        <v/>
      </c>
    </row>
    <row r="457">
      <c r="I457" s="41" t="n">
        <v>46475</v>
      </c>
      <c r="J457" s="24">
        <f>IFERROR(INDEX('CALENDARIO'!$C$15:$C$214,MATCH(TEXT($I457,"yyyy-mm-dd")&amp;"|"&amp;""&amp;"|"&amp;"",'CALENDARIO'!$G$15:$G$214,0)),IFERROR(INDEX('CALENDARIO'!$C$15:$C$214,MATCH(TEXT($I457,"yyyy-mm-dd")&amp;"|"&amp;""&amp;"|",'CALENDARIO'!$G$15:$G$214,0)),IFERROR(INDEX('CALENDARIO'!$C$15:$C$214,MATCH(TEXT($I457,"yyyy-mm-dd")&amp;"||",'CALENDARIO'!$G$15:$G$214,0)),INDEX(patronHabil,WEEKDAY($I457,2)))))</f>
        <v/>
      </c>
    </row>
    <row r="458">
      <c r="I458" s="41" t="n">
        <v>46476</v>
      </c>
      <c r="J458" s="24">
        <f>IFERROR(INDEX('CALENDARIO'!$C$15:$C$214,MATCH(TEXT($I458,"yyyy-mm-dd")&amp;"|"&amp;""&amp;"|"&amp;"",'CALENDARIO'!$G$15:$G$214,0)),IFERROR(INDEX('CALENDARIO'!$C$15:$C$214,MATCH(TEXT($I458,"yyyy-mm-dd")&amp;"|"&amp;""&amp;"|",'CALENDARIO'!$G$15:$G$214,0)),IFERROR(INDEX('CALENDARIO'!$C$15:$C$214,MATCH(TEXT($I458,"yyyy-mm-dd")&amp;"||",'CALENDARIO'!$G$15:$G$214,0)),INDEX(patronHabil,WEEKDAY($I458,2)))))</f>
        <v/>
      </c>
    </row>
    <row r="459">
      <c r="I459" s="41" t="n">
        <v>46477</v>
      </c>
      <c r="J459" s="24">
        <f>IFERROR(INDEX('CALENDARIO'!$C$15:$C$214,MATCH(TEXT($I459,"yyyy-mm-dd")&amp;"|"&amp;""&amp;"|"&amp;"",'CALENDARIO'!$G$15:$G$214,0)),IFERROR(INDEX('CALENDARIO'!$C$15:$C$214,MATCH(TEXT($I459,"yyyy-mm-dd")&amp;"|"&amp;""&amp;"|",'CALENDARIO'!$G$15:$G$214,0)),IFERROR(INDEX('CALENDARIO'!$C$15:$C$214,MATCH(TEXT($I459,"yyyy-mm-dd")&amp;"||",'CALENDARIO'!$G$15:$G$214,0)),INDEX(patronHabil,WEEKDAY($I459,2)))))</f>
        <v/>
      </c>
    </row>
    <row r="460">
      <c r="I460" s="41" t="n">
        <v>46478</v>
      </c>
      <c r="J460" s="24">
        <f>IFERROR(INDEX('CALENDARIO'!$C$15:$C$214,MATCH(TEXT($I460,"yyyy-mm-dd")&amp;"|"&amp;""&amp;"|"&amp;"",'CALENDARIO'!$G$15:$G$214,0)),IFERROR(INDEX('CALENDARIO'!$C$15:$C$214,MATCH(TEXT($I460,"yyyy-mm-dd")&amp;"|"&amp;""&amp;"|",'CALENDARIO'!$G$15:$G$214,0)),IFERROR(INDEX('CALENDARIO'!$C$15:$C$214,MATCH(TEXT($I460,"yyyy-mm-dd")&amp;"||",'CALENDARIO'!$G$15:$G$214,0)),INDEX(patronHabil,WEEKDAY($I460,2)))))</f>
        <v/>
      </c>
    </row>
    <row r="461">
      <c r="I461" s="41" t="n">
        <v>46479</v>
      </c>
      <c r="J461" s="24">
        <f>IFERROR(INDEX('CALENDARIO'!$C$15:$C$214,MATCH(TEXT($I461,"yyyy-mm-dd")&amp;"|"&amp;""&amp;"|"&amp;"",'CALENDARIO'!$G$15:$G$214,0)),IFERROR(INDEX('CALENDARIO'!$C$15:$C$214,MATCH(TEXT($I461,"yyyy-mm-dd")&amp;"|"&amp;""&amp;"|",'CALENDARIO'!$G$15:$G$214,0)),IFERROR(INDEX('CALENDARIO'!$C$15:$C$214,MATCH(TEXT($I461,"yyyy-mm-dd")&amp;"||",'CALENDARIO'!$G$15:$G$214,0)),INDEX(patronHabil,WEEKDAY($I461,2)))))</f>
        <v/>
      </c>
    </row>
    <row r="462">
      <c r="I462" s="41" t="n">
        <v>46480</v>
      </c>
      <c r="J462" s="24">
        <f>IFERROR(INDEX('CALENDARIO'!$C$15:$C$214,MATCH(TEXT($I462,"yyyy-mm-dd")&amp;"|"&amp;""&amp;"|"&amp;"",'CALENDARIO'!$G$15:$G$214,0)),IFERROR(INDEX('CALENDARIO'!$C$15:$C$214,MATCH(TEXT($I462,"yyyy-mm-dd")&amp;"|"&amp;""&amp;"|",'CALENDARIO'!$G$15:$G$214,0)),IFERROR(INDEX('CALENDARIO'!$C$15:$C$214,MATCH(TEXT($I462,"yyyy-mm-dd")&amp;"||",'CALENDARIO'!$G$15:$G$214,0)),INDEX(patronHabil,WEEKDAY($I462,2)))))</f>
        <v/>
      </c>
    </row>
    <row r="463">
      <c r="I463" s="41" t="n">
        <v>46481</v>
      </c>
      <c r="J463" s="24">
        <f>IFERROR(INDEX('CALENDARIO'!$C$15:$C$214,MATCH(TEXT($I463,"yyyy-mm-dd")&amp;"|"&amp;""&amp;"|"&amp;"",'CALENDARIO'!$G$15:$G$214,0)),IFERROR(INDEX('CALENDARIO'!$C$15:$C$214,MATCH(TEXT($I463,"yyyy-mm-dd")&amp;"|"&amp;""&amp;"|",'CALENDARIO'!$G$15:$G$214,0)),IFERROR(INDEX('CALENDARIO'!$C$15:$C$214,MATCH(TEXT($I463,"yyyy-mm-dd")&amp;"||",'CALENDARIO'!$G$15:$G$214,0)),INDEX(patronHabil,WEEKDAY($I463,2)))))</f>
        <v/>
      </c>
    </row>
    <row r="464">
      <c r="I464" s="41" t="n">
        <v>46482</v>
      </c>
      <c r="J464" s="24">
        <f>IFERROR(INDEX('CALENDARIO'!$C$15:$C$214,MATCH(TEXT($I464,"yyyy-mm-dd")&amp;"|"&amp;""&amp;"|"&amp;"",'CALENDARIO'!$G$15:$G$214,0)),IFERROR(INDEX('CALENDARIO'!$C$15:$C$214,MATCH(TEXT($I464,"yyyy-mm-dd")&amp;"|"&amp;""&amp;"|",'CALENDARIO'!$G$15:$G$214,0)),IFERROR(INDEX('CALENDARIO'!$C$15:$C$214,MATCH(TEXT($I464,"yyyy-mm-dd")&amp;"||",'CALENDARIO'!$G$15:$G$214,0)),INDEX(patronHabil,WEEKDAY($I464,2)))))</f>
        <v/>
      </c>
    </row>
    <row r="465">
      <c r="I465" s="41" t="n">
        <v>46483</v>
      </c>
      <c r="J465" s="24">
        <f>IFERROR(INDEX('CALENDARIO'!$C$15:$C$214,MATCH(TEXT($I465,"yyyy-mm-dd")&amp;"|"&amp;""&amp;"|"&amp;"",'CALENDARIO'!$G$15:$G$214,0)),IFERROR(INDEX('CALENDARIO'!$C$15:$C$214,MATCH(TEXT($I465,"yyyy-mm-dd")&amp;"|"&amp;""&amp;"|",'CALENDARIO'!$G$15:$G$214,0)),IFERROR(INDEX('CALENDARIO'!$C$15:$C$214,MATCH(TEXT($I465,"yyyy-mm-dd")&amp;"||",'CALENDARIO'!$G$15:$G$214,0)),INDEX(patronHabil,WEEKDAY($I465,2)))))</f>
        <v/>
      </c>
    </row>
    <row r="466">
      <c r="I466" s="41" t="n">
        <v>46484</v>
      </c>
      <c r="J466" s="24">
        <f>IFERROR(INDEX('CALENDARIO'!$C$15:$C$214,MATCH(TEXT($I466,"yyyy-mm-dd")&amp;"|"&amp;""&amp;"|"&amp;"",'CALENDARIO'!$G$15:$G$214,0)),IFERROR(INDEX('CALENDARIO'!$C$15:$C$214,MATCH(TEXT($I466,"yyyy-mm-dd")&amp;"|"&amp;""&amp;"|",'CALENDARIO'!$G$15:$G$214,0)),IFERROR(INDEX('CALENDARIO'!$C$15:$C$214,MATCH(TEXT($I466,"yyyy-mm-dd")&amp;"||",'CALENDARIO'!$G$15:$G$214,0)),INDEX(patronHabil,WEEKDAY($I466,2)))))</f>
        <v/>
      </c>
    </row>
    <row r="467">
      <c r="I467" s="41" t="n">
        <v>46485</v>
      </c>
      <c r="J467" s="24">
        <f>IFERROR(INDEX('CALENDARIO'!$C$15:$C$214,MATCH(TEXT($I467,"yyyy-mm-dd")&amp;"|"&amp;""&amp;"|"&amp;"",'CALENDARIO'!$G$15:$G$214,0)),IFERROR(INDEX('CALENDARIO'!$C$15:$C$214,MATCH(TEXT($I467,"yyyy-mm-dd")&amp;"|"&amp;""&amp;"|",'CALENDARIO'!$G$15:$G$214,0)),IFERROR(INDEX('CALENDARIO'!$C$15:$C$214,MATCH(TEXT($I467,"yyyy-mm-dd")&amp;"||",'CALENDARIO'!$G$15:$G$214,0)),INDEX(patronHabil,WEEKDAY($I467,2)))))</f>
        <v/>
      </c>
    </row>
    <row r="468">
      <c r="I468" s="41" t="n">
        <v>46486</v>
      </c>
      <c r="J468" s="24">
        <f>IFERROR(INDEX('CALENDARIO'!$C$15:$C$214,MATCH(TEXT($I468,"yyyy-mm-dd")&amp;"|"&amp;""&amp;"|"&amp;"",'CALENDARIO'!$G$15:$G$214,0)),IFERROR(INDEX('CALENDARIO'!$C$15:$C$214,MATCH(TEXT($I468,"yyyy-mm-dd")&amp;"|"&amp;""&amp;"|",'CALENDARIO'!$G$15:$G$214,0)),IFERROR(INDEX('CALENDARIO'!$C$15:$C$214,MATCH(TEXT($I468,"yyyy-mm-dd")&amp;"||",'CALENDARIO'!$G$15:$G$214,0)),INDEX(patronHabil,WEEKDAY($I468,2)))))</f>
        <v/>
      </c>
    </row>
    <row r="469">
      <c r="I469" s="41" t="n">
        <v>46487</v>
      </c>
      <c r="J469" s="24">
        <f>IFERROR(INDEX('CALENDARIO'!$C$15:$C$214,MATCH(TEXT($I469,"yyyy-mm-dd")&amp;"|"&amp;""&amp;"|"&amp;"",'CALENDARIO'!$G$15:$G$214,0)),IFERROR(INDEX('CALENDARIO'!$C$15:$C$214,MATCH(TEXT($I469,"yyyy-mm-dd")&amp;"|"&amp;""&amp;"|",'CALENDARIO'!$G$15:$G$214,0)),IFERROR(INDEX('CALENDARIO'!$C$15:$C$214,MATCH(TEXT($I469,"yyyy-mm-dd")&amp;"||",'CALENDARIO'!$G$15:$G$214,0)),INDEX(patronHabil,WEEKDAY($I469,2)))))</f>
        <v/>
      </c>
    </row>
    <row r="470">
      <c r="I470" s="41" t="n">
        <v>46488</v>
      </c>
      <c r="J470" s="24">
        <f>IFERROR(INDEX('CALENDARIO'!$C$15:$C$214,MATCH(TEXT($I470,"yyyy-mm-dd")&amp;"|"&amp;""&amp;"|"&amp;"",'CALENDARIO'!$G$15:$G$214,0)),IFERROR(INDEX('CALENDARIO'!$C$15:$C$214,MATCH(TEXT($I470,"yyyy-mm-dd")&amp;"|"&amp;""&amp;"|",'CALENDARIO'!$G$15:$G$214,0)),IFERROR(INDEX('CALENDARIO'!$C$15:$C$214,MATCH(TEXT($I470,"yyyy-mm-dd")&amp;"||",'CALENDARIO'!$G$15:$G$214,0)),INDEX(patronHabil,WEEKDAY($I470,2)))))</f>
        <v/>
      </c>
    </row>
    <row r="471">
      <c r="I471" s="41" t="n">
        <v>46489</v>
      </c>
      <c r="J471" s="24">
        <f>IFERROR(INDEX('CALENDARIO'!$C$15:$C$214,MATCH(TEXT($I471,"yyyy-mm-dd")&amp;"|"&amp;""&amp;"|"&amp;"",'CALENDARIO'!$G$15:$G$214,0)),IFERROR(INDEX('CALENDARIO'!$C$15:$C$214,MATCH(TEXT($I471,"yyyy-mm-dd")&amp;"|"&amp;""&amp;"|",'CALENDARIO'!$G$15:$G$214,0)),IFERROR(INDEX('CALENDARIO'!$C$15:$C$214,MATCH(TEXT($I471,"yyyy-mm-dd")&amp;"||",'CALENDARIO'!$G$15:$G$214,0)),INDEX(patronHabil,WEEKDAY($I471,2)))))</f>
        <v/>
      </c>
    </row>
    <row r="472">
      <c r="I472" s="41" t="n">
        <v>46490</v>
      </c>
      <c r="J472" s="24">
        <f>IFERROR(INDEX('CALENDARIO'!$C$15:$C$214,MATCH(TEXT($I472,"yyyy-mm-dd")&amp;"|"&amp;""&amp;"|"&amp;"",'CALENDARIO'!$G$15:$G$214,0)),IFERROR(INDEX('CALENDARIO'!$C$15:$C$214,MATCH(TEXT($I472,"yyyy-mm-dd")&amp;"|"&amp;""&amp;"|",'CALENDARIO'!$G$15:$G$214,0)),IFERROR(INDEX('CALENDARIO'!$C$15:$C$214,MATCH(TEXT($I472,"yyyy-mm-dd")&amp;"||",'CALENDARIO'!$G$15:$G$214,0)),INDEX(patronHabil,WEEKDAY($I472,2)))))</f>
        <v/>
      </c>
    </row>
    <row r="473">
      <c r="I473" s="41" t="n">
        <v>46491</v>
      </c>
      <c r="J473" s="24">
        <f>IFERROR(INDEX('CALENDARIO'!$C$15:$C$214,MATCH(TEXT($I473,"yyyy-mm-dd")&amp;"|"&amp;""&amp;"|"&amp;"",'CALENDARIO'!$G$15:$G$214,0)),IFERROR(INDEX('CALENDARIO'!$C$15:$C$214,MATCH(TEXT($I473,"yyyy-mm-dd")&amp;"|"&amp;""&amp;"|",'CALENDARIO'!$G$15:$G$214,0)),IFERROR(INDEX('CALENDARIO'!$C$15:$C$214,MATCH(TEXT($I473,"yyyy-mm-dd")&amp;"||",'CALENDARIO'!$G$15:$G$214,0)),INDEX(patronHabil,WEEKDAY($I473,2)))))</f>
        <v/>
      </c>
    </row>
    <row r="474">
      <c r="I474" s="41" t="n">
        <v>46492</v>
      </c>
      <c r="J474" s="24">
        <f>IFERROR(INDEX('CALENDARIO'!$C$15:$C$214,MATCH(TEXT($I474,"yyyy-mm-dd")&amp;"|"&amp;""&amp;"|"&amp;"",'CALENDARIO'!$G$15:$G$214,0)),IFERROR(INDEX('CALENDARIO'!$C$15:$C$214,MATCH(TEXT($I474,"yyyy-mm-dd")&amp;"|"&amp;""&amp;"|",'CALENDARIO'!$G$15:$G$214,0)),IFERROR(INDEX('CALENDARIO'!$C$15:$C$214,MATCH(TEXT($I474,"yyyy-mm-dd")&amp;"||",'CALENDARIO'!$G$15:$G$214,0)),INDEX(patronHabil,WEEKDAY($I474,2)))))</f>
        <v/>
      </c>
    </row>
    <row r="475">
      <c r="I475" s="41" t="n">
        <v>46493</v>
      </c>
      <c r="J475" s="24">
        <f>IFERROR(INDEX('CALENDARIO'!$C$15:$C$214,MATCH(TEXT($I475,"yyyy-mm-dd")&amp;"|"&amp;""&amp;"|"&amp;"",'CALENDARIO'!$G$15:$G$214,0)),IFERROR(INDEX('CALENDARIO'!$C$15:$C$214,MATCH(TEXT($I475,"yyyy-mm-dd")&amp;"|"&amp;""&amp;"|",'CALENDARIO'!$G$15:$G$214,0)),IFERROR(INDEX('CALENDARIO'!$C$15:$C$214,MATCH(TEXT($I475,"yyyy-mm-dd")&amp;"||",'CALENDARIO'!$G$15:$G$214,0)),INDEX(patronHabil,WEEKDAY($I475,2)))))</f>
        <v/>
      </c>
    </row>
    <row r="476">
      <c r="I476" s="41" t="n">
        <v>46494</v>
      </c>
      <c r="J476" s="24">
        <f>IFERROR(INDEX('CALENDARIO'!$C$15:$C$214,MATCH(TEXT($I476,"yyyy-mm-dd")&amp;"|"&amp;""&amp;"|"&amp;"",'CALENDARIO'!$G$15:$G$214,0)),IFERROR(INDEX('CALENDARIO'!$C$15:$C$214,MATCH(TEXT($I476,"yyyy-mm-dd")&amp;"|"&amp;""&amp;"|",'CALENDARIO'!$G$15:$G$214,0)),IFERROR(INDEX('CALENDARIO'!$C$15:$C$214,MATCH(TEXT($I476,"yyyy-mm-dd")&amp;"||",'CALENDARIO'!$G$15:$G$214,0)),INDEX(patronHabil,WEEKDAY($I476,2)))))</f>
        <v/>
      </c>
    </row>
    <row r="477">
      <c r="I477" s="41" t="n">
        <v>46495</v>
      </c>
      <c r="J477" s="24">
        <f>IFERROR(INDEX('CALENDARIO'!$C$15:$C$214,MATCH(TEXT($I477,"yyyy-mm-dd")&amp;"|"&amp;""&amp;"|"&amp;"",'CALENDARIO'!$G$15:$G$214,0)),IFERROR(INDEX('CALENDARIO'!$C$15:$C$214,MATCH(TEXT($I477,"yyyy-mm-dd")&amp;"|"&amp;""&amp;"|",'CALENDARIO'!$G$15:$G$214,0)),IFERROR(INDEX('CALENDARIO'!$C$15:$C$214,MATCH(TEXT($I477,"yyyy-mm-dd")&amp;"||",'CALENDARIO'!$G$15:$G$214,0)),INDEX(patronHabil,WEEKDAY($I477,2)))))</f>
        <v/>
      </c>
    </row>
    <row r="478">
      <c r="I478" s="41" t="n">
        <v>46496</v>
      </c>
      <c r="J478" s="24">
        <f>IFERROR(INDEX('CALENDARIO'!$C$15:$C$214,MATCH(TEXT($I478,"yyyy-mm-dd")&amp;"|"&amp;""&amp;"|"&amp;"",'CALENDARIO'!$G$15:$G$214,0)),IFERROR(INDEX('CALENDARIO'!$C$15:$C$214,MATCH(TEXT($I478,"yyyy-mm-dd")&amp;"|"&amp;""&amp;"|",'CALENDARIO'!$G$15:$G$214,0)),IFERROR(INDEX('CALENDARIO'!$C$15:$C$214,MATCH(TEXT($I478,"yyyy-mm-dd")&amp;"||",'CALENDARIO'!$G$15:$G$214,0)),INDEX(patronHabil,WEEKDAY($I478,2)))))</f>
        <v/>
      </c>
    </row>
    <row r="479">
      <c r="I479" s="41" t="n">
        <v>46497</v>
      </c>
      <c r="J479" s="24">
        <f>IFERROR(INDEX('CALENDARIO'!$C$15:$C$214,MATCH(TEXT($I479,"yyyy-mm-dd")&amp;"|"&amp;""&amp;"|"&amp;"",'CALENDARIO'!$G$15:$G$214,0)),IFERROR(INDEX('CALENDARIO'!$C$15:$C$214,MATCH(TEXT($I479,"yyyy-mm-dd")&amp;"|"&amp;""&amp;"|",'CALENDARIO'!$G$15:$G$214,0)),IFERROR(INDEX('CALENDARIO'!$C$15:$C$214,MATCH(TEXT($I479,"yyyy-mm-dd")&amp;"||",'CALENDARIO'!$G$15:$G$214,0)),INDEX(patronHabil,WEEKDAY($I479,2)))))</f>
        <v/>
      </c>
    </row>
    <row r="480">
      <c r="I480" s="41" t="n">
        <v>46498</v>
      </c>
      <c r="J480" s="24">
        <f>IFERROR(INDEX('CALENDARIO'!$C$15:$C$214,MATCH(TEXT($I480,"yyyy-mm-dd")&amp;"|"&amp;""&amp;"|"&amp;"",'CALENDARIO'!$G$15:$G$214,0)),IFERROR(INDEX('CALENDARIO'!$C$15:$C$214,MATCH(TEXT($I480,"yyyy-mm-dd")&amp;"|"&amp;""&amp;"|",'CALENDARIO'!$G$15:$G$214,0)),IFERROR(INDEX('CALENDARIO'!$C$15:$C$214,MATCH(TEXT($I480,"yyyy-mm-dd")&amp;"||",'CALENDARIO'!$G$15:$G$214,0)),INDEX(patronHabil,WEEKDAY($I480,2)))))</f>
        <v/>
      </c>
    </row>
    <row r="481">
      <c r="I481" s="41" t="n">
        <v>46499</v>
      </c>
      <c r="J481" s="24">
        <f>IFERROR(INDEX('CALENDARIO'!$C$15:$C$214,MATCH(TEXT($I481,"yyyy-mm-dd")&amp;"|"&amp;""&amp;"|"&amp;"",'CALENDARIO'!$G$15:$G$214,0)),IFERROR(INDEX('CALENDARIO'!$C$15:$C$214,MATCH(TEXT($I481,"yyyy-mm-dd")&amp;"|"&amp;""&amp;"|",'CALENDARIO'!$G$15:$G$214,0)),IFERROR(INDEX('CALENDARIO'!$C$15:$C$214,MATCH(TEXT($I481,"yyyy-mm-dd")&amp;"||",'CALENDARIO'!$G$15:$G$214,0)),INDEX(patronHabil,WEEKDAY($I481,2)))))</f>
        <v/>
      </c>
    </row>
    <row r="482">
      <c r="I482" s="41" t="n">
        <v>46500</v>
      </c>
      <c r="J482" s="24">
        <f>IFERROR(INDEX('CALENDARIO'!$C$15:$C$214,MATCH(TEXT($I482,"yyyy-mm-dd")&amp;"|"&amp;""&amp;"|"&amp;"",'CALENDARIO'!$G$15:$G$214,0)),IFERROR(INDEX('CALENDARIO'!$C$15:$C$214,MATCH(TEXT($I482,"yyyy-mm-dd")&amp;"|"&amp;""&amp;"|",'CALENDARIO'!$G$15:$G$214,0)),IFERROR(INDEX('CALENDARIO'!$C$15:$C$214,MATCH(TEXT($I482,"yyyy-mm-dd")&amp;"||",'CALENDARIO'!$G$15:$G$214,0)),INDEX(patronHabil,WEEKDAY($I482,2)))))</f>
        <v/>
      </c>
    </row>
    <row r="483">
      <c r="I483" s="41" t="n">
        <v>46501</v>
      </c>
      <c r="J483" s="24">
        <f>IFERROR(INDEX('CALENDARIO'!$C$15:$C$214,MATCH(TEXT($I483,"yyyy-mm-dd")&amp;"|"&amp;""&amp;"|"&amp;"",'CALENDARIO'!$G$15:$G$214,0)),IFERROR(INDEX('CALENDARIO'!$C$15:$C$214,MATCH(TEXT($I483,"yyyy-mm-dd")&amp;"|"&amp;""&amp;"|",'CALENDARIO'!$G$15:$G$214,0)),IFERROR(INDEX('CALENDARIO'!$C$15:$C$214,MATCH(TEXT($I483,"yyyy-mm-dd")&amp;"||",'CALENDARIO'!$G$15:$G$214,0)),INDEX(patronHabil,WEEKDAY($I483,2)))))</f>
        <v/>
      </c>
    </row>
    <row r="484">
      <c r="I484" s="41" t="n">
        <v>46502</v>
      </c>
      <c r="J484" s="24">
        <f>IFERROR(INDEX('CALENDARIO'!$C$15:$C$214,MATCH(TEXT($I484,"yyyy-mm-dd")&amp;"|"&amp;""&amp;"|"&amp;"",'CALENDARIO'!$G$15:$G$214,0)),IFERROR(INDEX('CALENDARIO'!$C$15:$C$214,MATCH(TEXT($I484,"yyyy-mm-dd")&amp;"|"&amp;""&amp;"|",'CALENDARIO'!$G$15:$G$214,0)),IFERROR(INDEX('CALENDARIO'!$C$15:$C$214,MATCH(TEXT($I484,"yyyy-mm-dd")&amp;"||",'CALENDARIO'!$G$15:$G$214,0)),INDEX(patronHabil,WEEKDAY($I484,2)))))</f>
        <v/>
      </c>
    </row>
    <row r="485">
      <c r="I485" s="41" t="n">
        <v>46503</v>
      </c>
      <c r="J485" s="24">
        <f>IFERROR(INDEX('CALENDARIO'!$C$15:$C$214,MATCH(TEXT($I485,"yyyy-mm-dd")&amp;"|"&amp;""&amp;"|"&amp;"",'CALENDARIO'!$G$15:$G$214,0)),IFERROR(INDEX('CALENDARIO'!$C$15:$C$214,MATCH(TEXT($I485,"yyyy-mm-dd")&amp;"|"&amp;""&amp;"|",'CALENDARIO'!$G$15:$G$214,0)),IFERROR(INDEX('CALENDARIO'!$C$15:$C$214,MATCH(TEXT($I485,"yyyy-mm-dd")&amp;"||",'CALENDARIO'!$G$15:$G$214,0)),INDEX(patronHabil,WEEKDAY($I485,2)))))</f>
        <v/>
      </c>
    </row>
    <row r="486">
      <c r="I486" s="41" t="n">
        <v>46504</v>
      </c>
      <c r="J486" s="24">
        <f>IFERROR(INDEX('CALENDARIO'!$C$15:$C$214,MATCH(TEXT($I486,"yyyy-mm-dd")&amp;"|"&amp;""&amp;"|"&amp;"",'CALENDARIO'!$G$15:$G$214,0)),IFERROR(INDEX('CALENDARIO'!$C$15:$C$214,MATCH(TEXT($I486,"yyyy-mm-dd")&amp;"|"&amp;""&amp;"|",'CALENDARIO'!$G$15:$G$214,0)),IFERROR(INDEX('CALENDARIO'!$C$15:$C$214,MATCH(TEXT($I486,"yyyy-mm-dd")&amp;"||",'CALENDARIO'!$G$15:$G$214,0)),INDEX(patronHabil,WEEKDAY($I486,2)))))</f>
        <v/>
      </c>
    </row>
    <row r="487">
      <c r="I487" s="41" t="n">
        <v>46505</v>
      </c>
      <c r="J487" s="24">
        <f>IFERROR(INDEX('CALENDARIO'!$C$15:$C$214,MATCH(TEXT($I487,"yyyy-mm-dd")&amp;"|"&amp;""&amp;"|"&amp;"",'CALENDARIO'!$G$15:$G$214,0)),IFERROR(INDEX('CALENDARIO'!$C$15:$C$214,MATCH(TEXT($I487,"yyyy-mm-dd")&amp;"|"&amp;""&amp;"|",'CALENDARIO'!$G$15:$G$214,0)),IFERROR(INDEX('CALENDARIO'!$C$15:$C$214,MATCH(TEXT($I487,"yyyy-mm-dd")&amp;"||",'CALENDARIO'!$G$15:$G$214,0)),INDEX(patronHabil,WEEKDAY($I487,2)))))</f>
        <v/>
      </c>
    </row>
    <row r="488">
      <c r="I488" s="41" t="n">
        <v>46506</v>
      </c>
      <c r="J488" s="24">
        <f>IFERROR(INDEX('CALENDARIO'!$C$15:$C$214,MATCH(TEXT($I488,"yyyy-mm-dd")&amp;"|"&amp;""&amp;"|"&amp;"",'CALENDARIO'!$G$15:$G$214,0)),IFERROR(INDEX('CALENDARIO'!$C$15:$C$214,MATCH(TEXT($I488,"yyyy-mm-dd")&amp;"|"&amp;""&amp;"|",'CALENDARIO'!$G$15:$G$214,0)),IFERROR(INDEX('CALENDARIO'!$C$15:$C$214,MATCH(TEXT($I488,"yyyy-mm-dd")&amp;"||",'CALENDARIO'!$G$15:$G$214,0)),INDEX(patronHabil,WEEKDAY($I488,2)))))</f>
        <v/>
      </c>
    </row>
    <row r="489">
      <c r="I489" s="41" t="n">
        <v>46507</v>
      </c>
      <c r="J489" s="24">
        <f>IFERROR(INDEX('CALENDARIO'!$C$15:$C$214,MATCH(TEXT($I489,"yyyy-mm-dd")&amp;"|"&amp;""&amp;"|"&amp;"",'CALENDARIO'!$G$15:$G$214,0)),IFERROR(INDEX('CALENDARIO'!$C$15:$C$214,MATCH(TEXT($I489,"yyyy-mm-dd")&amp;"|"&amp;""&amp;"|",'CALENDARIO'!$G$15:$G$214,0)),IFERROR(INDEX('CALENDARIO'!$C$15:$C$214,MATCH(TEXT($I489,"yyyy-mm-dd")&amp;"||",'CALENDARIO'!$G$15:$G$214,0)),INDEX(patronHabil,WEEKDAY($I489,2)))))</f>
        <v/>
      </c>
    </row>
    <row r="490">
      <c r="I490" s="41" t="n">
        <v>46508</v>
      </c>
      <c r="J490" s="24">
        <f>IFERROR(INDEX('CALENDARIO'!$C$15:$C$214,MATCH(TEXT($I490,"yyyy-mm-dd")&amp;"|"&amp;""&amp;"|"&amp;"",'CALENDARIO'!$G$15:$G$214,0)),IFERROR(INDEX('CALENDARIO'!$C$15:$C$214,MATCH(TEXT($I490,"yyyy-mm-dd")&amp;"|"&amp;""&amp;"|",'CALENDARIO'!$G$15:$G$214,0)),IFERROR(INDEX('CALENDARIO'!$C$15:$C$214,MATCH(TEXT($I490,"yyyy-mm-dd")&amp;"||",'CALENDARIO'!$G$15:$G$214,0)),INDEX(patronHabil,WEEKDAY($I490,2)))))</f>
        <v/>
      </c>
    </row>
    <row r="491">
      <c r="I491" s="41" t="n">
        <v>46509</v>
      </c>
      <c r="J491" s="24">
        <f>IFERROR(INDEX('CALENDARIO'!$C$15:$C$214,MATCH(TEXT($I491,"yyyy-mm-dd")&amp;"|"&amp;""&amp;"|"&amp;"",'CALENDARIO'!$G$15:$G$214,0)),IFERROR(INDEX('CALENDARIO'!$C$15:$C$214,MATCH(TEXT($I491,"yyyy-mm-dd")&amp;"|"&amp;""&amp;"|",'CALENDARIO'!$G$15:$G$214,0)),IFERROR(INDEX('CALENDARIO'!$C$15:$C$214,MATCH(TEXT($I491,"yyyy-mm-dd")&amp;"||",'CALENDARIO'!$G$15:$G$214,0)),INDEX(patronHabil,WEEKDAY($I491,2)))))</f>
        <v/>
      </c>
    </row>
    <row r="492">
      <c r="I492" s="41" t="n">
        <v>46510</v>
      </c>
      <c r="J492" s="24">
        <f>IFERROR(INDEX('CALENDARIO'!$C$15:$C$214,MATCH(TEXT($I492,"yyyy-mm-dd")&amp;"|"&amp;""&amp;"|"&amp;"",'CALENDARIO'!$G$15:$G$214,0)),IFERROR(INDEX('CALENDARIO'!$C$15:$C$214,MATCH(TEXT($I492,"yyyy-mm-dd")&amp;"|"&amp;""&amp;"|",'CALENDARIO'!$G$15:$G$214,0)),IFERROR(INDEX('CALENDARIO'!$C$15:$C$214,MATCH(TEXT($I492,"yyyy-mm-dd")&amp;"||",'CALENDARIO'!$G$15:$G$214,0)),INDEX(patronHabil,WEEKDAY($I492,2)))))</f>
        <v/>
      </c>
    </row>
    <row r="493">
      <c r="I493" s="41" t="n">
        <v>46511</v>
      </c>
      <c r="J493" s="24">
        <f>IFERROR(INDEX('CALENDARIO'!$C$15:$C$214,MATCH(TEXT($I493,"yyyy-mm-dd")&amp;"|"&amp;""&amp;"|"&amp;"",'CALENDARIO'!$G$15:$G$214,0)),IFERROR(INDEX('CALENDARIO'!$C$15:$C$214,MATCH(TEXT($I493,"yyyy-mm-dd")&amp;"|"&amp;""&amp;"|",'CALENDARIO'!$G$15:$G$214,0)),IFERROR(INDEX('CALENDARIO'!$C$15:$C$214,MATCH(TEXT($I493,"yyyy-mm-dd")&amp;"||",'CALENDARIO'!$G$15:$G$214,0)),INDEX(patronHabil,WEEKDAY($I493,2)))))</f>
        <v/>
      </c>
    </row>
    <row r="494">
      <c r="I494" s="41" t="n">
        <v>46512</v>
      </c>
      <c r="J494" s="24">
        <f>IFERROR(INDEX('CALENDARIO'!$C$15:$C$214,MATCH(TEXT($I494,"yyyy-mm-dd")&amp;"|"&amp;""&amp;"|"&amp;"",'CALENDARIO'!$G$15:$G$214,0)),IFERROR(INDEX('CALENDARIO'!$C$15:$C$214,MATCH(TEXT($I494,"yyyy-mm-dd")&amp;"|"&amp;""&amp;"|",'CALENDARIO'!$G$15:$G$214,0)),IFERROR(INDEX('CALENDARIO'!$C$15:$C$214,MATCH(TEXT($I494,"yyyy-mm-dd")&amp;"||",'CALENDARIO'!$G$15:$G$214,0)),INDEX(patronHabil,WEEKDAY($I494,2)))))</f>
        <v/>
      </c>
    </row>
    <row r="495">
      <c r="I495" s="41" t="n">
        <v>46513</v>
      </c>
      <c r="J495" s="24">
        <f>IFERROR(INDEX('CALENDARIO'!$C$15:$C$214,MATCH(TEXT($I495,"yyyy-mm-dd")&amp;"|"&amp;""&amp;"|"&amp;"",'CALENDARIO'!$G$15:$G$214,0)),IFERROR(INDEX('CALENDARIO'!$C$15:$C$214,MATCH(TEXT($I495,"yyyy-mm-dd")&amp;"|"&amp;""&amp;"|",'CALENDARIO'!$G$15:$G$214,0)),IFERROR(INDEX('CALENDARIO'!$C$15:$C$214,MATCH(TEXT($I495,"yyyy-mm-dd")&amp;"||",'CALENDARIO'!$G$15:$G$214,0)),INDEX(patronHabil,WEEKDAY($I495,2)))))</f>
        <v/>
      </c>
    </row>
    <row r="496">
      <c r="I496" s="41" t="n">
        <v>46514</v>
      </c>
      <c r="J496" s="24">
        <f>IFERROR(INDEX('CALENDARIO'!$C$15:$C$214,MATCH(TEXT($I496,"yyyy-mm-dd")&amp;"|"&amp;""&amp;"|"&amp;"",'CALENDARIO'!$G$15:$G$214,0)),IFERROR(INDEX('CALENDARIO'!$C$15:$C$214,MATCH(TEXT($I496,"yyyy-mm-dd")&amp;"|"&amp;""&amp;"|",'CALENDARIO'!$G$15:$G$214,0)),IFERROR(INDEX('CALENDARIO'!$C$15:$C$214,MATCH(TEXT($I496,"yyyy-mm-dd")&amp;"||",'CALENDARIO'!$G$15:$G$214,0)),INDEX(patronHabil,WEEKDAY($I496,2)))))</f>
        <v/>
      </c>
    </row>
    <row r="497">
      <c r="I497" s="41" t="n">
        <v>46515</v>
      </c>
      <c r="J497" s="24">
        <f>IFERROR(INDEX('CALENDARIO'!$C$15:$C$214,MATCH(TEXT($I497,"yyyy-mm-dd")&amp;"|"&amp;""&amp;"|"&amp;"",'CALENDARIO'!$G$15:$G$214,0)),IFERROR(INDEX('CALENDARIO'!$C$15:$C$214,MATCH(TEXT($I497,"yyyy-mm-dd")&amp;"|"&amp;""&amp;"|",'CALENDARIO'!$G$15:$G$214,0)),IFERROR(INDEX('CALENDARIO'!$C$15:$C$214,MATCH(TEXT($I497,"yyyy-mm-dd")&amp;"||",'CALENDARIO'!$G$15:$G$214,0)),INDEX(patronHabil,WEEKDAY($I497,2)))))</f>
        <v/>
      </c>
    </row>
    <row r="498">
      <c r="I498" s="41" t="n">
        <v>46516</v>
      </c>
      <c r="J498" s="24">
        <f>IFERROR(INDEX('CALENDARIO'!$C$15:$C$214,MATCH(TEXT($I498,"yyyy-mm-dd")&amp;"|"&amp;""&amp;"|"&amp;"",'CALENDARIO'!$G$15:$G$214,0)),IFERROR(INDEX('CALENDARIO'!$C$15:$C$214,MATCH(TEXT($I498,"yyyy-mm-dd")&amp;"|"&amp;""&amp;"|",'CALENDARIO'!$G$15:$G$214,0)),IFERROR(INDEX('CALENDARIO'!$C$15:$C$214,MATCH(TEXT($I498,"yyyy-mm-dd")&amp;"||",'CALENDARIO'!$G$15:$G$214,0)),INDEX(patronHabil,WEEKDAY($I498,2)))))</f>
        <v/>
      </c>
    </row>
    <row r="499">
      <c r="I499" s="41" t="n">
        <v>46517</v>
      </c>
      <c r="J499" s="24">
        <f>IFERROR(INDEX('CALENDARIO'!$C$15:$C$214,MATCH(TEXT($I499,"yyyy-mm-dd")&amp;"|"&amp;""&amp;"|"&amp;"",'CALENDARIO'!$G$15:$G$214,0)),IFERROR(INDEX('CALENDARIO'!$C$15:$C$214,MATCH(TEXT($I499,"yyyy-mm-dd")&amp;"|"&amp;""&amp;"|",'CALENDARIO'!$G$15:$G$214,0)),IFERROR(INDEX('CALENDARIO'!$C$15:$C$214,MATCH(TEXT($I499,"yyyy-mm-dd")&amp;"||",'CALENDARIO'!$G$15:$G$214,0)),INDEX(patronHabil,WEEKDAY($I499,2)))))</f>
        <v/>
      </c>
    </row>
    <row r="500">
      <c r="I500" s="41" t="n">
        <v>46518</v>
      </c>
      <c r="J500" s="24">
        <f>IFERROR(INDEX('CALENDARIO'!$C$15:$C$214,MATCH(TEXT($I500,"yyyy-mm-dd")&amp;"|"&amp;""&amp;"|"&amp;"",'CALENDARIO'!$G$15:$G$214,0)),IFERROR(INDEX('CALENDARIO'!$C$15:$C$214,MATCH(TEXT($I500,"yyyy-mm-dd")&amp;"|"&amp;""&amp;"|",'CALENDARIO'!$G$15:$G$214,0)),IFERROR(INDEX('CALENDARIO'!$C$15:$C$214,MATCH(TEXT($I500,"yyyy-mm-dd")&amp;"||",'CALENDARIO'!$G$15:$G$214,0)),INDEX(patronHabil,WEEKDAY($I500,2)))))</f>
        <v/>
      </c>
    </row>
    <row r="501">
      <c r="I501" s="41" t="n">
        <v>46519</v>
      </c>
      <c r="J501" s="24">
        <f>IFERROR(INDEX('CALENDARIO'!$C$15:$C$214,MATCH(TEXT($I501,"yyyy-mm-dd")&amp;"|"&amp;""&amp;"|"&amp;"",'CALENDARIO'!$G$15:$G$214,0)),IFERROR(INDEX('CALENDARIO'!$C$15:$C$214,MATCH(TEXT($I501,"yyyy-mm-dd")&amp;"|"&amp;""&amp;"|",'CALENDARIO'!$G$15:$G$214,0)),IFERROR(INDEX('CALENDARIO'!$C$15:$C$214,MATCH(TEXT($I501,"yyyy-mm-dd")&amp;"||",'CALENDARIO'!$G$15:$G$214,0)),INDEX(patronHabil,WEEKDAY($I501,2)))))</f>
        <v/>
      </c>
    </row>
    <row r="502">
      <c r="I502" s="41" t="n">
        <v>46520</v>
      </c>
      <c r="J502" s="24">
        <f>IFERROR(INDEX('CALENDARIO'!$C$15:$C$214,MATCH(TEXT($I502,"yyyy-mm-dd")&amp;"|"&amp;""&amp;"|"&amp;"",'CALENDARIO'!$G$15:$G$214,0)),IFERROR(INDEX('CALENDARIO'!$C$15:$C$214,MATCH(TEXT($I502,"yyyy-mm-dd")&amp;"|"&amp;""&amp;"|",'CALENDARIO'!$G$15:$G$214,0)),IFERROR(INDEX('CALENDARIO'!$C$15:$C$214,MATCH(TEXT($I502,"yyyy-mm-dd")&amp;"||",'CALENDARIO'!$G$15:$G$214,0)),INDEX(patronHabil,WEEKDAY($I502,2)))))</f>
        <v/>
      </c>
    </row>
    <row r="503">
      <c r="I503" s="41" t="n">
        <v>46521</v>
      </c>
      <c r="J503" s="24">
        <f>IFERROR(INDEX('CALENDARIO'!$C$15:$C$214,MATCH(TEXT($I503,"yyyy-mm-dd")&amp;"|"&amp;""&amp;"|"&amp;"",'CALENDARIO'!$G$15:$G$214,0)),IFERROR(INDEX('CALENDARIO'!$C$15:$C$214,MATCH(TEXT($I503,"yyyy-mm-dd")&amp;"|"&amp;""&amp;"|",'CALENDARIO'!$G$15:$G$214,0)),IFERROR(INDEX('CALENDARIO'!$C$15:$C$214,MATCH(TEXT($I503,"yyyy-mm-dd")&amp;"||",'CALENDARIO'!$G$15:$G$214,0)),INDEX(patronHabil,WEEKDAY($I503,2)))))</f>
        <v/>
      </c>
    </row>
    <row r="504">
      <c r="I504" s="41" t="n">
        <v>46522</v>
      </c>
      <c r="J504" s="24">
        <f>IFERROR(INDEX('CALENDARIO'!$C$15:$C$214,MATCH(TEXT($I504,"yyyy-mm-dd")&amp;"|"&amp;""&amp;"|"&amp;"",'CALENDARIO'!$G$15:$G$214,0)),IFERROR(INDEX('CALENDARIO'!$C$15:$C$214,MATCH(TEXT($I504,"yyyy-mm-dd")&amp;"|"&amp;""&amp;"|",'CALENDARIO'!$G$15:$G$214,0)),IFERROR(INDEX('CALENDARIO'!$C$15:$C$214,MATCH(TEXT($I504,"yyyy-mm-dd")&amp;"||",'CALENDARIO'!$G$15:$G$214,0)),INDEX(patronHabil,WEEKDAY($I504,2)))))</f>
        <v/>
      </c>
    </row>
    <row r="505">
      <c r="I505" s="41" t="n">
        <v>46523</v>
      </c>
      <c r="J505" s="24">
        <f>IFERROR(INDEX('CALENDARIO'!$C$15:$C$214,MATCH(TEXT($I505,"yyyy-mm-dd")&amp;"|"&amp;""&amp;"|"&amp;"",'CALENDARIO'!$G$15:$G$214,0)),IFERROR(INDEX('CALENDARIO'!$C$15:$C$214,MATCH(TEXT($I505,"yyyy-mm-dd")&amp;"|"&amp;""&amp;"|",'CALENDARIO'!$G$15:$G$214,0)),IFERROR(INDEX('CALENDARIO'!$C$15:$C$214,MATCH(TEXT($I505,"yyyy-mm-dd")&amp;"||",'CALENDARIO'!$G$15:$G$214,0)),INDEX(patronHabil,WEEKDAY($I505,2)))))</f>
        <v/>
      </c>
    </row>
    <row r="506">
      <c r="I506" s="41" t="n">
        <v>46524</v>
      </c>
      <c r="J506" s="24">
        <f>IFERROR(INDEX('CALENDARIO'!$C$15:$C$214,MATCH(TEXT($I506,"yyyy-mm-dd")&amp;"|"&amp;""&amp;"|"&amp;"",'CALENDARIO'!$G$15:$G$214,0)),IFERROR(INDEX('CALENDARIO'!$C$15:$C$214,MATCH(TEXT($I506,"yyyy-mm-dd")&amp;"|"&amp;""&amp;"|",'CALENDARIO'!$G$15:$G$214,0)),IFERROR(INDEX('CALENDARIO'!$C$15:$C$214,MATCH(TEXT($I506,"yyyy-mm-dd")&amp;"||",'CALENDARIO'!$G$15:$G$214,0)),INDEX(patronHabil,WEEKDAY($I506,2)))))</f>
        <v/>
      </c>
    </row>
    <row r="507">
      <c r="I507" s="41" t="n">
        <v>46525</v>
      </c>
      <c r="J507" s="24">
        <f>IFERROR(INDEX('CALENDARIO'!$C$15:$C$214,MATCH(TEXT($I507,"yyyy-mm-dd")&amp;"|"&amp;""&amp;"|"&amp;"",'CALENDARIO'!$G$15:$G$214,0)),IFERROR(INDEX('CALENDARIO'!$C$15:$C$214,MATCH(TEXT($I507,"yyyy-mm-dd")&amp;"|"&amp;""&amp;"|",'CALENDARIO'!$G$15:$G$214,0)),IFERROR(INDEX('CALENDARIO'!$C$15:$C$214,MATCH(TEXT($I507,"yyyy-mm-dd")&amp;"||",'CALENDARIO'!$G$15:$G$214,0)),INDEX(patronHabil,WEEKDAY($I507,2)))))</f>
        <v/>
      </c>
    </row>
    <row r="508">
      <c r="I508" s="41" t="n">
        <v>46526</v>
      </c>
      <c r="J508" s="24">
        <f>IFERROR(INDEX('CALENDARIO'!$C$15:$C$214,MATCH(TEXT($I508,"yyyy-mm-dd")&amp;"|"&amp;""&amp;"|"&amp;"",'CALENDARIO'!$G$15:$G$214,0)),IFERROR(INDEX('CALENDARIO'!$C$15:$C$214,MATCH(TEXT($I508,"yyyy-mm-dd")&amp;"|"&amp;""&amp;"|",'CALENDARIO'!$G$15:$G$214,0)),IFERROR(INDEX('CALENDARIO'!$C$15:$C$214,MATCH(TEXT($I508,"yyyy-mm-dd")&amp;"||",'CALENDARIO'!$G$15:$G$214,0)),INDEX(patronHabil,WEEKDAY($I508,2)))))</f>
        <v/>
      </c>
    </row>
    <row r="509">
      <c r="I509" s="41" t="n">
        <v>46527</v>
      </c>
      <c r="J509" s="24">
        <f>IFERROR(INDEX('CALENDARIO'!$C$15:$C$214,MATCH(TEXT($I509,"yyyy-mm-dd")&amp;"|"&amp;""&amp;"|"&amp;"",'CALENDARIO'!$G$15:$G$214,0)),IFERROR(INDEX('CALENDARIO'!$C$15:$C$214,MATCH(TEXT($I509,"yyyy-mm-dd")&amp;"|"&amp;""&amp;"|",'CALENDARIO'!$G$15:$G$214,0)),IFERROR(INDEX('CALENDARIO'!$C$15:$C$214,MATCH(TEXT($I509,"yyyy-mm-dd")&amp;"||",'CALENDARIO'!$G$15:$G$214,0)),INDEX(patronHabil,WEEKDAY($I509,2)))))</f>
        <v/>
      </c>
    </row>
    <row r="510">
      <c r="I510" s="41" t="n">
        <v>46528</v>
      </c>
      <c r="J510" s="24">
        <f>IFERROR(INDEX('CALENDARIO'!$C$15:$C$214,MATCH(TEXT($I510,"yyyy-mm-dd")&amp;"|"&amp;""&amp;"|"&amp;"",'CALENDARIO'!$G$15:$G$214,0)),IFERROR(INDEX('CALENDARIO'!$C$15:$C$214,MATCH(TEXT($I510,"yyyy-mm-dd")&amp;"|"&amp;""&amp;"|",'CALENDARIO'!$G$15:$G$214,0)),IFERROR(INDEX('CALENDARIO'!$C$15:$C$214,MATCH(TEXT($I510,"yyyy-mm-dd")&amp;"||",'CALENDARIO'!$G$15:$G$214,0)),INDEX(patronHabil,WEEKDAY($I510,2)))))</f>
        <v/>
      </c>
    </row>
    <row r="511">
      <c r="I511" s="41" t="n">
        <v>46529</v>
      </c>
      <c r="J511" s="24">
        <f>IFERROR(INDEX('CALENDARIO'!$C$15:$C$214,MATCH(TEXT($I511,"yyyy-mm-dd")&amp;"|"&amp;""&amp;"|"&amp;"",'CALENDARIO'!$G$15:$G$214,0)),IFERROR(INDEX('CALENDARIO'!$C$15:$C$214,MATCH(TEXT($I511,"yyyy-mm-dd")&amp;"|"&amp;""&amp;"|",'CALENDARIO'!$G$15:$G$214,0)),IFERROR(INDEX('CALENDARIO'!$C$15:$C$214,MATCH(TEXT($I511,"yyyy-mm-dd")&amp;"||",'CALENDARIO'!$G$15:$G$214,0)),INDEX(patronHabil,WEEKDAY($I511,2)))))</f>
        <v/>
      </c>
    </row>
    <row r="512">
      <c r="I512" s="41" t="n">
        <v>46530</v>
      </c>
      <c r="J512" s="24">
        <f>IFERROR(INDEX('CALENDARIO'!$C$15:$C$214,MATCH(TEXT($I512,"yyyy-mm-dd")&amp;"|"&amp;""&amp;"|"&amp;"",'CALENDARIO'!$G$15:$G$214,0)),IFERROR(INDEX('CALENDARIO'!$C$15:$C$214,MATCH(TEXT($I512,"yyyy-mm-dd")&amp;"|"&amp;""&amp;"|",'CALENDARIO'!$G$15:$G$214,0)),IFERROR(INDEX('CALENDARIO'!$C$15:$C$214,MATCH(TEXT($I512,"yyyy-mm-dd")&amp;"||",'CALENDARIO'!$G$15:$G$214,0)),INDEX(patronHabil,WEEKDAY($I512,2)))))</f>
        <v/>
      </c>
    </row>
    <row r="513">
      <c r="I513" s="41" t="n">
        <v>46531</v>
      </c>
      <c r="J513" s="24">
        <f>IFERROR(INDEX('CALENDARIO'!$C$15:$C$214,MATCH(TEXT($I513,"yyyy-mm-dd")&amp;"|"&amp;""&amp;"|"&amp;"",'CALENDARIO'!$G$15:$G$214,0)),IFERROR(INDEX('CALENDARIO'!$C$15:$C$214,MATCH(TEXT($I513,"yyyy-mm-dd")&amp;"|"&amp;""&amp;"|",'CALENDARIO'!$G$15:$G$214,0)),IFERROR(INDEX('CALENDARIO'!$C$15:$C$214,MATCH(TEXT($I513,"yyyy-mm-dd")&amp;"||",'CALENDARIO'!$G$15:$G$214,0)),INDEX(patronHabil,WEEKDAY($I513,2)))))</f>
        <v/>
      </c>
    </row>
    <row r="514">
      <c r="I514" s="41" t="n">
        <v>46532</v>
      </c>
      <c r="J514" s="24">
        <f>IFERROR(INDEX('CALENDARIO'!$C$15:$C$214,MATCH(TEXT($I514,"yyyy-mm-dd")&amp;"|"&amp;""&amp;"|"&amp;"",'CALENDARIO'!$G$15:$G$214,0)),IFERROR(INDEX('CALENDARIO'!$C$15:$C$214,MATCH(TEXT($I514,"yyyy-mm-dd")&amp;"|"&amp;""&amp;"|",'CALENDARIO'!$G$15:$G$214,0)),IFERROR(INDEX('CALENDARIO'!$C$15:$C$214,MATCH(TEXT($I514,"yyyy-mm-dd")&amp;"||",'CALENDARIO'!$G$15:$G$214,0)),INDEX(patronHabil,WEEKDAY($I514,2)))))</f>
        <v/>
      </c>
    </row>
    <row r="515">
      <c r="I515" s="41" t="n">
        <v>46533</v>
      </c>
      <c r="J515" s="24">
        <f>IFERROR(INDEX('CALENDARIO'!$C$15:$C$214,MATCH(TEXT($I515,"yyyy-mm-dd")&amp;"|"&amp;""&amp;"|"&amp;"",'CALENDARIO'!$G$15:$G$214,0)),IFERROR(INDEX('CALENDARIO'!$C$15:$C$214,MATCH(TEXT($I515,"yyyy-mm-dd")&amp;"|"&amp;""&amp;"|",'CALENDARIO'!$G$15:$G$214,0)),IFERROR(INDEX('CALENDARIO'!$C$15:$C$214,MATCH(TEXT($I515,"yyyy-mm-dd")&amp;"||",'CALENDARIO'!$G$15:$G$214,0)),INDEX(patronHabil,WEEKDAY($I515,2)))))</f>
        <v/>
      </c>
    </row>
    <row r="516">
      <c r="I516" s="41" t="n">
        <v>46534</v>
      </c>
      <c r="J516" s="24">
        <f>IFERROR(INDEX('CALENDARIO'!$C$15:$C$214,MATCH(TEXT($I516,"yyyy-mm-dd")&amp;"|"&amp;""&amp;"|"&amp;"",'CALENDARIO'!$G$15:$G$214,0)),IFERROR(INDEX('CALENDARIO'!$C$15:$C$214,MATCH(TEXT($I516,"yyyy-mm-dd")&amp;"|"&amp;""&amp;"|",'CALENDARIO'!$G$15:$G$214,0)),IFERROR(INDEX('CALENDARIO'!$C$15:$C$214,MATCH(TEXT($I516,"yyyy-mm-dd")&amp;"||",'CALENDARIO'!$G$15:$G$214,0)),INDEX(patronHabil,WEEKDAY($I516,2)))))</f>
        <v/>
      </c>
    </row>
    <row r="517">
      <c r="I517" s="41" t="n">
        <v>46535</v>
      </c>
      <c r="J517" s="24">
        <f>IFERROR(INDEX('CALENDARIO'!$C$15:$C$214,MATCH(TEXT($I517,"yyyy-mm-dd")&amp;"|"&amp;""&amp;"|"&amp;"",'CALENDARIO'!$G$15:$G$214,0)),IFERROR(INDEX('CALENDARIO'!$C$15:$C$214,MATCH(TEXT($I517,"yyyy-mm-dd")&amp;"|"&amp;""&amp;"|",'CALENDARIO'!$G$15:$G$214,0)),IFERROR(INDEX('CALENDARIO'!$C$15:$C$214,MATCH(TEXT($I517,"yyyy-mm-dd")&amp;"||",'CALENDARIO'!$G$15:$G$214,0)),INDEX(patronHabil,WEEKDAY($I517,2)))))</f>
        <v/>
      </c>
    </row>
    <row r="518">
      <c r="I518" s="41" t="n">
        <v>46536</v>
      </c>
      <c r="J518" s="24">
        <f>IFERROR(INDEX('CALENDARIO'!$C$15:$C$214,MATCH(TEXT($I518,"yyyy-mm-dd")&amp;"|"&amp;""&amp;"|"&amp;"",'CALENDARIO'!$G$15:$G$214,0)),IFERROR(INDEX('CALENDARIO'!$C$15:$C$214,MATCH(TEXT($I518,"yyyy-mm-dd")&amp;"|"&amp;""&amp;"|",'CALENDARIO'!$G$15:$G$214,0)),IFERROR(INDEX('CALENDARIO'!$C$15:$C$214,MATCH(TEXT($I518,"yyyy-mm-dd")&amp;"||",'CALENDARIO'!$G$15:$G$214,0)),INDEX(patronHabil,WEEKDAY($I518,2)))))</f>
        <v/>
      </c>
    </row>
    <row r="519">
      <c r="I519" s="41" t="n">
        <v>46537</v>
      </c>
      <c r="J519" s="24">
        <f>IFERROR(INDEX('CALENDARIO'!$C$15:$C$214,MATCH(TEXT($I519,"yyyy-mm-dd")&amp;"|"&amp;""&amp;"|"&amp;"",'CALENDARIO'!$G$15:$G$214,0)),IFERROR(INDEX('CALENDARIO'!$C$15:$C$214,MATCH(TEXT($I519,"yyyy-mm-dd")&amp;"|"&amp;""&amp;"|",'CALENDARIO'!$G$15:$G$214,0)),IFERROR(INDEX('CALENDARIO'!$C$15:$C$214,MATCH(TEXT($I519,"yyyy-mm-dd")&amp;"||",'CALENDARIO'!$G$15:$G$214,0)),INDEX(patronHabil,WEEKDAY($I519,2)))))</f>
        <v/>
      </c>
    </row>
    <row r="520">
      <c r="I520" s="41" t="n">
        <v>46538</v>
      </c>
      <c r="J520" s="24">
        <f>IFERROR(INDEX('CALENDARIO'!$C$15:$C$214,MATCH(TEXT($I520,"yyyy-mm-dd")&amp;"|"&amp;""&amp;"|"&amp;"",'CALENDARIO'!$G$15:$G$214,0)),IFERROR(INDEX('CALENDARIO'!$C$15:$C$214,MATCH(TEXT($I520,"yyyy-mm-dd")&amp;"|"&amp;""&amp;"|",'CALENDARIO'!$G$15:$G$214,0)),IFERROR(INDEX('CALENDARIO'!$C$15:$C$214,MATCH(TEXT($I520,"yyyy-mm-dd")&amp;"||",'CALENDARIO'!$G$15:$G$214,0)),INDEX(patronHabil,WEEKDAY($I520,2)))))</f>
        <v/>
      </c>
    </row>
    <row r="521">
      <c r="I521" s="41" t="n">
        <v>46539</v>
      </c>
      <c r="J521" s="24">
        <f>IFERROR(INDEX('CALENDARIO'!$C$15:$C$214,MATCH(TEXT($I521,"yyyy-mm-dd")&amp;"|"&amp;""&amp;"|"&amp;"",'CALENDARIO'!$G$15:$G$214,0)),IFERROR(INDEX('CALENDARIO'!$C$15:$C$214,MATCH(TEXT($I521,"yyyy-mm-dd")&amp;"|"&amp;""&amp;"|",'CALENDARIO'!$G$15:$G$214,0)),IFERROR(INDEX('CALENDARIO'!$C$15:$C$214,MATCH(TEXT($I521,"yyyy-mm-dd")&amp;"||",'CALENDARIO'!$G$15:$G$214,0)),INDEX(patronHabil,WEEKDAY($I521,2)))))</f>
        <v/>
      </c>
    </row>
    <row r="522">
      <c r="I522" s="41" t="n">
        <v>46540</v>
      </c>
      <c r="J522" s="24">
        <f>IFERROR(INDEX('CALENDARIO'!$C$15:$C$214,MATCH(TEXT($I522,"yyyy-mm-dd")&amp;"|"&amp;""&amp;"|"&amp;"",'CALENDARIO'!$G$15:$G$214,0)),IFERROR(INDEX('CALENDARIO'!$C$15:$C$214,MATCH(TEXT($I522,"yyyy-mm-dd")&amp;"|"&amp;""&amp;"|",'CALENDARIO'!$G$15:$G$214,0)),IFERROR(INDEX('CALENDARIO'!$C$15:$C$214,MATCH(TEXT($I522,"yyyy-mm-dd")&amp;"||",'CALENDARIO'!$G$15:$G$214,0)),INDEX(patronHabil,WEEKDAY($I522,2)))))</f>
        <v/>
      </c>
    </row>
    <row r="523">
      <c r="I523" s="41" t="n">
        <v>46541</v>
      </c>
      <c r="J523" s="24">
        <f>IFERROR(INDEX('CALENDARIO'!$C$15:$C$214,MATCH(TEXT($I523,"yyyy-mm-dd")&amp;"|"&amp;""&amp;"|"&amp;"",'CALENDARIO'!$G$15:$G$214,0)),IFERROR(INDEX('CALENDARIO'!$C$15:$C$214,MATCH(TEXT($I523,"yyyy-mm-dd")&amp;"|"&amp;""&amp;"|",'CALENDARIO'!$G$15:$G$214,0)),IFERROR(INDEX('CALENDARIO'!$C$15:$C$214,MATCH(TEXT($I523,"yyyy-mm-dd")&amp;"||",'CALENDARIO'!$G$15:$G$214,0)),INDEX(patronHabil,WEEKDAY($I523,2)))))</f>
        <v/>
      </c>
    </row>
    <row r="524">
      <c r="I524" s="41" t="n">
        <v>46542</v>
      </c>
      <c r="J524" s="24">
        <f>IFERROR(INDEX('CALENDARIO'!$C$15:$C$214,MATCH(TEXT($I524,"yyyy-mm-dd")&amp;"|"&amp;""&amp;"|"&amp;"",'CALENDARIO'!$G$15:$G$214,0)),IFERROR(INDEX('CALENDARIO'!$C$15:$C$214,MATCH(TEXT($I524,"yyyy-mm-dd")&amp;"|"&amp;""&amp;"|",'CALENDARIO'!$G$15:$G$214,0)),IFERROR(INDEX('CALENDARIO'!$C$15:$C$214,MATCH(TEXT($I524,"yyyy-mm-dd")&amp;"||",'CALENDARIO'!$G$15:$G$214,0)),INDEX(patronHabil,WEEKDAY($I524,2)))))</f>
        <v/>
      </c>
    </row>
    <row r="525">
      <c r="I525" s="41" t="n">
        <v>46543</v>
      </c>
      <c r="J525" s="24">
        <f>IFERROR(INDEX('CALENDARIO'!$C$15:$C$214,MATCH(TEXT($I525,"yyyy-mm-dd")&amp;"|"&amp;""&amp;"|"&amp;"",'CALENDARIO'!$G$15:$G$214,0)),IFERROR(INDEX('CALENDARIO'!$C$15:$C$214,MATCH(TEXT($I525,"yyyy-mm-dd")&amp;"|"&amp;""&amp;"|",'CALENDARIO'!$G$15:$G$214,0)),IFERROR(INDEX('CALENDARIO'!$C$15:$C$214,MATCH(TEXT($I525,"yyyy-mm-dd")&amp;"||",'CALENDARIO'!$G$15:$G$214,0)),INDEX(patronHabil,WEEKDAY($I525,2)))))</f>
        <v/>
      </c>
    </row>
    <row r="526">
      <c r="I526" s="41" t="n">
        <v>46544</v>
      </c>
      <c r="J526" s="24">
        <f>IFERROR(INDEX('CALENDARIO'!$C$15:$C$214,MATCH(TEXT($I526,"yyyy-mm-dd")&amp;"|"&amp;""&amp;"|"&amp;"",'CALENDARIO'!$G$15:$G$214,0)),IFERROR(INDEX('CALENDARIO'!$C$15:$C$214,MATCH(TEXT($I526,"yyyy-mm-dd")&amp;"|"&amp;""&amp;"|",'CALENDARIO'!$G$15:$G$214,0)),IFERROR(INDEX('CALENDARIO'!$C$15:$C$214,MATCH(TEXT($I526,"yyyy-mm-dd")&amp;"||",'CALENDARIO'!$G$15:$G$214,0)),INDEX(patronHabil,WEEKDAY($I526,2)))))</f>
        <v/>
      </c>
    </row>
    <row r="527">
      <c r="I527" s="41" t="n">
        <v>46545</v>
      </c>
      <c r="J527" s="24">
        <f>IFERROR(INDEX('CALENDARIO'!$C$15:$C$214,MATCH(TEXT($I527,"yyyy-mm-dd")&amp;"|"&amp;""&amp;"|"&amp;"",'CALENDARIO'!$G$15:$G$214,0)),IFERROR(INDEX('CALENDARIO'!$C$15:$C$214,MATCH(TEXT($I527,"yyyy-mm-dd")&amp;"|"&amp;""&amp;"|",'CALENDARIO'!$G$15:$G$214,0)),IFERROR(INDEX('CALENDARIO'!$C$15:$C$214,MATCH(TEXT($I527,"yyyy-mm-dd")&amp;"||",'CALENDARIO'!$G$15:$G$214,0)),INDEX(patronHabil,WEEKDAY($I527,2)))))</f>
        <v/>
      </c>
    </row>
    <row r="528">
      <c r="I528" s="41" t="n">
        <v>46546</v>
      </c>
      <c r="J528" s="24">
        <f>IFERROR(INDEX('CALENDARIO'!$C$15:$C$214,MATCH(TEXT($I528,"yyyy-mm-dd")&amp;"|"&amp;""&amp;"|"&amp;"",'CALENDARIO'!$G$15:$G$214,0)),IFERROR(INDEX('CALENDARIO'!$C$15:$C$214,MATCH(TEXT($I528,"yyyy-mm-dd")&amp;"|"&amp;""&amp;"|",'CALENDARIO'!$G$15:$G$214,0)),IFERROR(INDEX('CALENDARIO'!$C$15:$C$214,MATCH(TEXT($I528,"yyyy-mm-dd")&amp;"||",'CALENDARIO'!$G$15:$G$214,0)),INDEX(patronHabil,WEEKDAY($I528,2)))))</f>
        <v/>
      </c>
    </row>
    <row r="529">
      <c r="I529" s="41" t="n">
        <v>46547</v>
      </c>
      <c r="J529" s="24">
        <f>IFERROR(INDEX('CALENDARIO'!$C$15:$C$214,MATCH(TEXT($I529,"yyyy-mm-dd")&amp;"|"&amp;""&amp;"|"&amp;"",'CALENDARIO'!$G$15:$G$214,0)),IFERROR(INDEX('CALENDARIO'!$C$15:$C$214,MATCH(TEXT($I529,"yyyy-mm-dd")&amp;"|"&amp;""&amp;"|",'CALENDARIO'!$G$15:$G$214,0)),IFERROR(INDEX('CALENDARIO'!$C$15:$C$214,MATCH(TEXT($I529,"yyyy-mm-dd")&amp;"||",'CALENDARIO'!$G$15:$G$214,0)),INDEX(patronHabil,WEEKDAY($I529,2)))))</f>
        <v/>
      </c>
    </row>
    <row r="530">
      <c r="I530" s="41" t="n">
        <v>46548</v>
      </c>
      <c r="J530" s="24">
        <f>IFERROR(INDEX('CALENDARIO'!$C$15:$C$214,MATCH(TEXT($I530,"yyyy-mm-dd")&amp;"|"&amp;""&amp;"|"&amp;"",'CALENDARIO'!$G$15:$G$214,0)),IFERROR(INDEX('CALENDARIO'!$C$15:$C$214,MATCH(TEXT($I530,"yyyy-mm-dd")&amp;"|"&amp;""&amp;"|",'CALENDARIO'!$G$15:$G$214,0)),IFERROR(INDEX('CALENDARIO'!$C$15:$C$214,MATCH(TEXT($I530,"yyyy-mm-dd")&amp;"||",'CALENDARIO'!$G$15:$G$214,0)),INDEX(patronHabil,WEEKDAY($I530,2)))))</f>
        <v/>
      </c>
    </row>
    <row r="531">
      <c r="I531" s="41" t="n">
        <v>46549</v>
      </c>
      <c r="J531" s="24">
        <f>IFERROR(INDEX('CALENDARIO'!$C$15:$C$214,MATCH(TEXT($I531,"yyyy-mm-dd")&amp;"|"&amp;""&amp;"|"&amp;"",'CALENDARIO'!$G$15:$G$214,0)),IFERROR(INDEX('CALENDARIO'!$C$15:$C$214,MATCH(TEXT($I531,"yyyy-mm-dd")&amp;"|"&amp;""&amp;"|",'CALENDARIO'!$G$15:$G$214,0)),IFERROR(INDEX('CALENDARIO'!$C$15:$C$214,MATCH(TEXT($I531,"yyyy-mm-dd")&amp;"||",'CALENDARIO'!$G$15:$G$214,0)),INDEX(patronHabil,WEEKDAY($I531,2)))))</f>
        <v/>
      </c>
    </row>
    <row r="532">
      <c r="I532" s="41" t="n">
        <v>46550</v>
      </c>
      <c r="J532" s="24">
        <f>IFERROR(INDEX('CALENDARIO'!$C$15:$C$214,MATCH(TEXT($I532,"yyyy-mm-dd")&amp;"|"&amp;""&amp;"|"&amp;"",'CALENDARIO'!$G$15:$G$214,0)),IFERROR(INDEX('CALENDARIO'!$C$15:$C$214,MATCH(TEXT($I532,"yyyy-mm-dd")&amp;"|"&amp;""&amp;"|",'CALENDARIO'!$G$15:$G$214,0)),IFERROR(INDEX('CALENDARIO'!$C$15:$C$214,MATCH(TEXT($I532,"yyyy-mm-dd")&amp;"||",'CALENDARIO'!$G$15:$G$214,0)),INDEX(patronHabil,WEEKDAY($I532,2)))))</f>
        <v/>
      </c>
    </row>
    <row r="533">
      <c r="I533" s="41" t="n">
        <v>46551</v>
      </c>
      <c r="J533" s="24">
        <f>IFERROR(INDEX('CALENDARIO'!$C$15:$C$214,MATCH(TEXT($I533,"yyyy-mm-dd")&amp;"|"&amp;""&amp;"|"&amp;"",'CALENDARIO'!$G$15:$G$214,0)),IFERROR(INDEX('CALENDARIO'!$C$15:$C$214,MATCH(TEXT($I533,"yyyy-mm-dd")&amp;"|"&amp;""&amp;"|",'CALENDARIO'!$G$15:$G$214,0)),IFERROR(INDEX('CALENDARIO'!$C$15:$C$214,MATCH(TEXT($I533,"yyyy-mm-dd")&amp;"||",'CALENDARIO'!$G$15:$G$214,0)),INDEX(patronHabil,WEEKDAY($I533,2)))))</f>
        <v/>
      </c>
    </row>
    <row r="534">
      <c r="I534" s="41" t="n">
        <v>46552</v>
      </c>
      <c r="J534" s="24">
        <f>IFERROR(INDEX('CALENDARIO'!$C$15:$C$214,MATCH(TEXT($I534,"yyyy-mm-dd")&amp;"|"&amp;""&amp;"|"&amp;"",'CALENDARIO'!$G$15:$G$214,0)),IFERROR(INDEX('CALENDARIO'!$C$15:$C$214,MATCH(TEXT($I534,"yyyy-mm-dd")&amp;"|"&amp;""&amp;"|",'CALENDARIO'!$G$15:$G$214,0)),IFERROR(INDEX('CALENDARIO'!$C$15:$C$214,MATCH(TEXT($I534,"yyyy-mm-dd")&amp;"||",'CALENDARIO'!$G$15:$G$214,0)),INDEX(patronHabil,WEEKDAY($I534,2)))))</f>
        <v/>
      </c>
    </row>
    <row r="535">
      <c r="I535" s="41" t="n">
        <v>46553</v>
      </c>
      <c r="J535" s="24">
        <f>IFERROR(INDEX('CALENDARIO'!$C$15:$C$214,MATCH(TEXT($I535,"yyyy-mm-dd")&amp;"|"&amp;""&amp;"|"&amp;"",'CALENDARIO'!$G$15:$G$214,0)),IFERROR(INDEX('CALENDARIO'!$C$15:$C$214,MATCH(TEXT($I535,"yyyy-mm-dd")&amp;"|"&amp;""&amp;"|",'CALENDARIO'!$G$15:$G$214,0)),IFERROR(INDEX('CALENDARIO'!$C$15:$C$214,MATCH(TEXT($I535,"yyyy-mm-dd")&amp;"||",'CALENDARIO'!$G$15:$G$214,0)),INDEX(patronHabil,WEEKDAY($I535,2)))))</f>
        <v/>
      </c>
    </row>
    <row r="536">
      <c r="I536" s="41" t="n">
        <v>46554</v>
      </c>
      <c r="J536" s="24">
        <f>IFERROR(INDEX('CALENDARIO'!$C$15:$C$214,MATCH(TEXT($I536,"yyyy-mm-dd")&amp;"|"&amp;""&amp;"|"&amp;"",'CALENDARIO'!$G$15:$G$214,0)),IFERROR(INDEX('CALENDARIO'!$C$15:$C$214,MATCH(TEXT($I536,"yyyy-mm-dd")&amp;"|"&amp;""&amp;"|",'CALENDARIO'!$G$15:$G$214,0)),IFERROR(INDEX('CALENDARIO'!$C$15:$C$214,MATCH(TEXT($I536,"yyyy-mm-dd")&amp;"||",'CALENDARIO'!$G$15:$G$214,0)),INDEX(patronHabil,WEEKDAY($I536,2)))))</f>
        <v/>
      </c>
    </row>
    <row r="537">
      <c r="I537" s="41" t="n">
        <v>46555</v>
      </c>
      <c r="J537" s="24">
        <f>IFERROR(INDEX('CALENDARIO'!$C$15:$C$214,MATCH(TEXT($I537,"yyyy-mm-dd")&amp;"|"&amp;""&amp;"|"&amp;"",'CALENDARIO'!$G$15:$G$214,0)),IFERROR(INDEX('CALENDARIO'!$C$15:$C$214,MATCH(TEXT($I537,"yyyy-mm-dd")&amp;"|"&amp;""&amp;"|",'CALENDARIO'!$G$15:$G$214,0)),IFERROR(INDEX('CALENDARIO'!$C$15:$C$214,MATCH(TEXT($I537,"yyyy-mm-dd")&amp;"||",'CALENDARIO'!$G$15:$G$214,0)),INDEX(patronHabil,WEEKDAY($I537,2)))))</f>
        <v/>
      </c>
    </row>
    <row r="538">
      <c r="I538" s="41" t="n">
        <v>46556</v>
      </c>
      <c r="J538" s="24">
        <f>IFERROR(INDEX('CALENDARIO'!$C$15:$C$214,MATCH(TEXT($I538,"yyyy-mm-dd")&amp;"|"&amp;""&amp;"|"&amp;"",'CALENDARIO'!$G$15:$G$214,0)),IFERROR(INDEX('CALENDARIO'!$C$15:$C$214,MATCH(TEXT($I538,"yyyy-mm-dd")&amp;"|"&amp;""&amp;"|",'CALENDARIO'!$G$15:$G$214,0)),IFERROR(INDEX('CALENDARIO'!$C$15:$C$214,MATCH(TEXT($I538,"yyyy-mm-dd")&amp;"||",'CALENDARIO'!$G$15:$G$214,0)),INDEX(patronHabil,WEEKDAY($I538,2)))))</f>
        <v/>
      </c>
    </row>
    <row r="539">
      <c r="I539" s="41" t="n">
        <v>46557</v>
      </c>
      <c r="J539" s="24">
        <f>IFERROR(INDEX('CALENDARIO'!$C$15:$C$214,MATCH(TEXT($I539,"yyyy-mm-dd")&amp;"|"&amp;""&amp;"|"&amp;"",'CALENDARIO'!$G$15:$G$214,0)),IFERROR(INDEX('CALENDARIO'!$C$15:$C$214,MATCH(TEXT($I539,"yyyy-mm-dd")&amp;"|"&amp;""&amp;"|",'CALENDARIO'!$G$15:$G$214,0)),IFERROR(INDEX('CALENDARIO'!$C$15:$C$214,MATCH(TEXT($I539,"yyyy-mm-dd")&amp;"||",'CALENDARIO'!$G$15:$G$214,0)),INDEX(patronHabil,WEEKDAY($I539,2)))))</f>
        <v/>
      </c>
    </row>
    <row r="540">
      <c r="I540" s="41" t="n">
        <v>46558</v>
      </c>
      <c r="J540" s="24">
        <f>IFERROR(INDEX('CALENDARIO'!$C$15:$C$214,MATCH(TEXT($I540,"yyyy-mm-dd")&amp;"|"&amp;""&amp;"|"&amp;"",'CALENDARIO'!$G$15:$G$214,0)),IFERROR(INDEX('CALENDARIO'!$C$15:$C$214,MATCH(TEXT($I540,"yyyy-mm-dd")&amp;"|"&amp;""&amp;"|",'CALENDARIO'!$G$15:$G$214,0)),IFERROR(INDEX('CALENDARIO'!$C$15:$C$214,MATCH(TEXT($I540,"yyyy-mm-dd")&amp;"||",'CALENDARIO'!$G$15:$G$214,0)),INDEX(patronHabil,WEEKDAY($I540,2)))))</f>
        <v/>
      </c>
    </row>
    <row r="541">
      <c r="I541" s="41" t="n">
        <v>46559</v>
      </c>
      <c r="J541" s="24">
        <f>IFERROR(INDEX('CALENDARIO'!$C$15:$C$214,MATCH(TEXT($I541,"yyyy-mm-dd")&amp;"|"&amp;""&amp;"|"&amp;"",'CALENDARIO'!$G$15:$G$214,0)),IFERROR(INDEX('CALENDARIO'!$C$15:$C$214,MATCH(TEXT($I541,"yyyy-mm-dd")&amp;"|"&amp;""&amp;"|",'CALENDARIO'!$G$15:$G$214,0)),IFERROR(INDEX('CALENDARIO'!$C$15:$C$214,MATCH(TEXT($I541,"yyyy-mm-dd")&amp;"||",'CALENDARIO'!$G$15:$G$214,0)),INDEX(patronHabil,WEEKDAY($I541,2)))))</f>
        <v/>
      </c>
    </row>
    <row r="542">
      <c r="I542" s="41" t="n">
        <v>46560</v>
      </c>
      <c r="J542" s="24">
        <f>IFERROR(INDEX('CALENDARIO'!$C$15:$C$214,MATCH(TEXT($I542,"yyyy-mm-dd")&amp;"|"&amp;""&amp;"|"&amp;"",'CALENDARIO'!$G$15:$G$214,0)),IFERROR(INDEX('CALENDARIO'!$C$15:$C$214,MATCH(TEXT($I542,"yyyy-mm-dd")&amp;"|"&amp;""&amp;"|",'CALENDARIO'!$G$15:$G$214,0)),IFERROR(INDEX('CALENDARIO'!$C$15:$C$214,MATCH(TEXT($I542,"yyyy-mm-dd")&amp;"||",'CALENDARIO'!$G$15:$G$214,0)),INDEX(patronHabil,WEEKDAY($I542,2)))))</f>
        <v/>
      </c>
    </row>
    <row r="543">
      <c r="I543" s="41" t="n">
        <v>46561</v>
      </c>
      <c r="J543" s="24">
        <f>IFERROR(INDEX('CALENDARIO'!$C$15:$C$214,MATCH(TEXT($I543,"yyyy-mm-dd")&amp;"|"&amp;""&amp;"|"&amp;"",'CALENDARIO'!$G$15:$G$214,0)),IFERROR(INDEX('CALENDARIO'!$C$15:$C$214,MATCH(TEXT($I543,"yyyy-mm-dd")&amp;"|"&amp;""&amp;"|",'CALENDARIO'!$G$15:$G$214,0)),IFERROR(INDEX('CALENDARIO'!$C$15:$C$214,MATCH(TEXT($I543,"yyyy-mm-dd")&amp;"||",'CALENDARIO'!$G$15:$G$214,0)),INDEX(patronHabil,WEEKDAY($I543,2)))))</f>
        <v/>
      </c>
    </row>
    <row r="544">
      <c r="I544" s="41" t="n">
        <v>46562</v>
      </c>
      <c r="J544" s="24">
        <f>IFERROR(INDEX('CALENDARIO'!$C$15:$C$214,MATCH(TEXT($I544,"yyyy-mm-dd")&amp;"|"&amp;""&amp;"|"&amp;"",'CALENDARIO'!$G$15:$G$214,0)),IFERROR(INDEX('CALENDARIO'!$C$15:$C$214,MATCH(TEXT($I544,"yyyy-mm-dd")&amp;"|"&amp;""&amp;"|",'CALENDARIO'!$G$15:$G$214,0)),IFERROR(INDEX('CALENDARIO'!$C$15:$C$214,MATCH(TEXT($I544,"yyyy-mm-dd")&amp;"||",'CALENDARIO'!$G$15:$G$214,0)),INDEX(patronHabil,WEEKDAY($I544,2)))))</f>
        <v/>
      </c>
    </row>
    <row r="545">
      <c r="I545" s="41" t="n">
        <v>46563</v>
      </c>
      <c r="J545" s="24">
        <f>IFERROR(INDEX('CALENDARIO'!$C$15:$C$214,MATCH(TEXT($I545,"yyyy-mm-dd")&amp;"|"&amp;""&amp;"|"&amp;"",'CALENDARIO'!$G$15:$G$214,0)),IFERROR(INDEX('CALENDARIO'!$C$15:$C$214,MATCH(TEXT($I545,"yyyy-mm-dd")&amp;"|"&amp;""&amp;"|",'CALENDARIO'!$G$15:$G$214,0)),IFERROR(INDEX('CALENDARIO'!$C$15:$C$214,MATCH(TEXT($I545,"yyyy-mm-dd")&amp;"||",'CALENDARIO'!$G$15:$G$214,0)),INDEX(patronHabil,WEEKDAY($I545,2)))))</f>
        <v/>
      </c>
    </row>
    <row r="546">
      <c r="I546" s="41" t="n">
        <v>46564</v>
      </c>
      <c r="J546" s="24">
        <f>IFERROR(INDEX('CALENDARIO'!$C$15:$C$214,MATCH(TEXT($I546,"yyyy-mm-dd")&amp;"|"&amp;""&amp;"|"&amp;"",'CALENDARIO'!$G$15:$G$214,0)),IFERROR(INDEX('CALENDARIO'!$C$15:$C$214,MATCH(TEXT($I546,"yyyy-mm-dd")&amp;"|"&amp;""&amp;"|",'CALENDARIO'!$G$15:$G$214,0)),IFERROR(INDEX('CALENDARIO'!$C$15:$C$214,MATCH(TEXT($I546,"yyyy-mm-dd")&amp;"||",'CALENDARIO'!$G$15:$G$214,0)),INDEX(patronHabil,WEEKDAY($I546,2)))))</f>
        <v/>
      </c>
    </row>
    <row r="547">
      <c r="I547" s="41" t="n">
        <v>46565</v>
      </c>
      <c r="J547" s="24">
        <f>IFERROR(INDEX('CALENDARIO'!$C$15:$C$214,MATCH(TEXT($I547,"yyyy-mm-dd")&amp;"|"&amp;""&amp;"|"&amp;"",'CALENDARIO'!$G$15:$G$214,0)),IFERROR(INDEX('CALENDARIO'!$C$15:$C$214,MATCH(TEXT($I547,"yyyy-mm-dd")&amp;"|"&amp;""&amp;"|",'CALENDARIO'!$G$15:$G$214,0)),IFERROR(INDEX('CALENDARIO'!$C$15:$C$214,MATCH(TEXT($I547,"yyyy-mm-dd")&amp;"||",'CALENDARIO'!$G$15:$G$214,0)),INDEX(patronHabil,WEEKDAY($I547,2)))))</f>
        <v/>
      </c>
    </row>
    <row r="548">
      <c r="I548" s="41" t="n">
        <v>46566</v>
      </c>
      <c r="J548" s="24">
        <f>IFERROR(INDEX('CALENDARIO'!$C$15:$C$214,MATCH(TEXT($I548,"yyyy-mm-dd")&amp;"|"&amp;""&amp;"|"&amp;"",'CALENDARIO'!$G$15:$G$214,0)),IFERROR(INDEX('CALENDARIO'!$C$15:$C$214,MATCH(TEXT($I548,"yyyy-mm-dd")&amp;"|"&amp;""&amp;"|",'CALENDARIO'!$G$15:$G$214,0)),IFERROR(INDEX('CALENDARIO'!$C$15:$C$214,MATCH(TEXT($I548,"yyyy-mm-dd")&amp;"||",'CALENDARIO'!$G$15:$G$214,0)),INDEX(patronHabil,WEEKDAY($I548,2)))))</f>
        <v/>
      </c>
    </row>
    <row r="549">
      <c r="I549" s="41" t="n">
        <v>46567</v>
      </c>
      <c r="J549" s="24">
        <f>IFERROR(INDEX('CALENDARIO'!$C$15:$C$214,MATCH(TEXT($I549,"yyyy-mm-dd")&amp;"|"&amp;""&amp;"|"&amp;"",'CALENDARIO'!$G$15:$G$214,0)),IFERROR(INDEX('CALENDARIO'!$C$15:$C$214,MATCH(TEXT($I549,"yyyy-mm-dd")&amp;"|"&amp;""&amp;"|",'CALENDARIO'!$G$15:$G$214,0)),IFERROR(INDEX('CALENDARIO'!$C$15:$C$214,MATCH(TEXT($I549,"yyyy-mm-dd")&amp;"||",'CALENDARIO'!$G$15:$G$214,0)),INDEX(patronHabil,WEEKDAY($I549,2)))))</f>
        <v/>
      </c>
    </row>
    <row r="550">
      <c r="I550" s="41" t="n">
        <v>46568</v>
      </c>
      <c r="J550" s="24">
        <f>IFERROR(INDEX('CALENDARIO'!$C$15:$C$214,MATCH(TEXT($I550,"yyyy-mm-dd")&amp;"|"&amp;""&amp;"|"&amp;"",'CALENDARIO'!$G$15:$G$214,0)),IFERROR(INDEX('CALENDARIO'!$C$15:$C$214,MATCH(TEXT($I550,"yyyy-mm-dd")&amp;"|"&amp;""&amp;"|",'CALENDARIO'!$G$15:$G$214,0)),IFERROR(INDEX('CALENDARIO'!$C$15:$C$214,MATCH(TEXT($I550,"yyyy-mm-dd")&amp;"||",'CALENDARIO'!$G$15:$G$214,0)),INDEX(patronHabil,WEEKDAY($I550,2)))))</f>
        <v/>
      </c>
    </row>
    <row r="551">
      <c r="I551" s="41" t="n">
        <v>46569</v>
      </c>
      <c r="J551" s="24">
        <f>IFERROR(INDEX('CALENDARIO'!$C$15:$C$214,MATCH(TEXT($I551,"yyyy-mm-dd")&amp;"|"&amp;""&amp;"|"&amp;"",'CALENDARIO'!$G$15:$G$214,0)),IFERROR(INDEX('CALENDARIO'!$C$15:$C$214,MATCH(TEXT($I551,"yyyy-mm-dd")&amp;"|"&amp;""&amp;"|",'CALENDARIO'!$G$15:$G$214,0)),IFERROR(INDEX('CALENDARIO'!$C$15:$C$214,MATCH(TEXT($I551,"yyyy-mm-dd")&amp;"||",'CALENDARIO'!$G$15:$G$214,0)),INDEX(patronHabil,WEEKDAY($I551,2)))))</f>
        <v/>
      </c>
    </row>
    <row r="552">
      <c r="I552" s="41" t="n">
        <v>46570</v>
      </c>
      <c r="J552" s="24">
        <f>IFERROR(INDEX('CALENDARIO'!$C$15:$C$214,MATCH(TEXT($I552,"yyyy-mm-dd")&amp;"|"&amp;""&amp;"|"&amp;"",'CALENDARIO'!$G$15:$G$214,0)),IFERROR(INDEX('CALENDARIO'!$C$15:$C$214,MATCH(TEXT($I552,"yyyy-mm-dd")&amp;"|"&amp;""&amp;"|",'CALENDARIO'!$G$15:$G$214,0)),IFERROR(INDEX('CALENDARIO'!$C$15:$C$214,MATCH(TEXT($I552,"yyyy-mm-dd")&amp;"||",'CALENDARIO'!$G$15:$G$214,0)),INDEX(patronHabil,WEEKDAY($I552,2)))))</f>
        <v/>
      </c>
    </row>
    <row r="553">
      <c r="I553" s="41" t="n">
        <v>46571</v>
      </c>
      <c r="J553" s="24">
        <f>IFERROR(INDEX('CALENDARIO'!$C$15:$C$214,MATCH(TEXT($I553,"yyyy-mm-dd")&amp;"|"&amp;""&amp;"|"&amp;"",'CALENDARIO'!$G$15:$G$214,0)),IFERROR(INDEX('CALENDARIO'!$C$15:$C$214,MATCH(TEXT($I553,"yyyy-mm-dd")&amp;"|"&amp;""&amp;"|",'CALENDARIO'!$G$15:$G$214,0)),IFERROR(INDEX('CALENDARIO'!$C$15:$C$214,MATCH(TEXT($I553,"yyyy-mm-dd")&amp;"||",'CALENDARIO'!$G$15:$G$214,0)),INDEX(patronHabil,WEEKDAY($I553,2)))))</f>
        <v/>
      </c>
    </row>
    <row r="554">
      <c r="I554" s="41" t="n">
        <v>46572</v>
      </c>
      <c r="J554" s="24">
        <f>IFERROR(INDEX('CALENDARIO'!$C$15:$C$214,MATCH(TEXT($I554,"yyyy-mm-dd")&amp;"|"&amp;""&amp;"|"&amp;"",'CALENDARIO'!$G$15:$G$214,0)),IFERROR(INDEX('CALENDARIO'!$C$15:$C$214,MATCH(TEXT($I554,"yyyy-mm-dd")&amp;"|"&amp;""&amp;"|",'CALENDARIO'!$G$15:$G$214,0)),IFERROR(INDEX('CALENDARIO'!$C$15:$C$214,MATCH(TEXT($I554,"yyyy-mm-dd")&amp;"||",'CALENDARIO'!$G$15:$G$214,0)),INDEX(patronHabil,WEEKDAY($I554,2)))))</f>
        <v/>
      </c>
    </row>
    <row r="555">
      <c r="I555" s="41" t="n">
        <v>46573</v>
      </c>
      <c r="J555" s="24">
        <f>IFERROR(INDEX('CALENDARIO'!$C$15:$C$214,MATCH(TEXT($I555,"yyyy-mm-dd")&amp;"|"&amp;""&amp;"|"&amp;"",'CALENDARIO'!$G$15:$G$214,0)),IFERROR(INDEX('CALENDARIO'!$C$15:$C$214,MATCH(TEXT($I555,"yyyy-mm-dd")&amp;"|"&amp;""&amp;"|",'CALENDARIO'!$G$15:$G$214,0)),IFERROR(INDEX('CALENDARIO'!$C$15:$C$214,MATCH(TEXT($I555,"yyyy-mm-dd")&amp;"||",'CALENDARIO'!$G$15:$G$214,0)),INDEX(patronHabil,WEEKDAY($I555,2)))))</f>
        <v/>
      </c>
    </row>
    <row r="556">
      <c r="I556" s="41" t="n">
        <v>46574</v>
      </c>
      <c r="J556" s="24">
        <f>IFERROR(INDEX('CALENDARIO'!$C$15:$C$214,MATCH(TEXT($I556,"yyyy-mm-dd")&amp;"|"&amp;""&amp;"|"&amp;"",'CALENDARIO'!$G$15:$G$214,0)),IFERROR(INDEX('CALENDARIO'!$C$15:$C$214,MATCH(TEXT($I556,"yyyy-mm-dd")&amp;"|"&amp;""&amp;"|",'CALENDARIO'!$G$15:$G$214,0)),IFERROR(INDEX('CALENDARIO'!$C$15:$C$214,MATCH(TEXT($I556,"yyyy-mm-dd")&amp;"||",'CALENDARIO'!$G$15:$G$214,0)),INDEX(patronHabil,WEEKDAY($I556,2)))))</f>
        <v/>
      </c>
    </row>
    <row r="557">
      <c r="I557" s="41" t="n">
        <v>46575</v>
      </c>
      <c r="J557" s="24">
        <f>IFERROR(INDEX('CALENDARIO'!$C$15:$C$214,MATCH(TEXT($I557,"yyyy-mm-dd")&amp;"|"&amp;""&amp;"|"&amp;"",'CALENDARIO'!$G$15:$G$214,0)),IFERROR(INDEX('CALENDARIO'!$C$15:$C$214,MATCH(TEXT($I557,"yyyy-mm-dd")&amp;"|"&amp;""&amp;"|",'CALENDARIO'!$G$15:$G$214,0)),IFERROR(INDEX('CALENDARIO'!$C$15:$C$214,MATCH(TEXT($I557,"yyyy-mm-dd")&amp;"||",'CALENDARIO'!$G$15:$G$214,0)),INDEX(patronHabil,WEEKDAY($I557,2)))))</f>
        <v/>
      </c>
    </row>
    <row r="558">
      <c r="I558" s="41" t="n">
        <v>46576</v>
      </c>
      <c r="J558" s="24">
        <f>IFERROR(INDEX('CALENDARIO'!$C$15:$C$214,MATCH(TEXT($I558,"yyyy-mm-dd")&amp;"|"&amp;""&amp;"|"&amp;"",'CALENDARIO'!$G$15:$G$214,0)),IFERROR(INDEX('CALENDARIO'!$C$15:$C$214,MATCH(TEXT($I558,"yyyy-mm-dd")&amp;"|"&amp;""&amp;"|",'CALENDARIO'!$G$15:$G$214,0)),IFERROR(INDEX('CALENDARIO'!$C$15:$C$214,MATCH(TEXT($I558,"yyyy-mm-dd")&amp;"||",'CALENDARIO'!$G$15:$G$214,0)),INDEX(patronHabil,WEEKDAY($I558,2)))))</f>
        <v/>
      </c>
    </row>
    <row r="559">
      <c r="I559" s="41" t="n">
        <v>46577</v>
      </c>
      <c r="J559" s="24">
        <f>IFERROR(INDEX('CALENDARIO'!$C$15:$C$214,MATCH(TEXT($I559,"yyyy-mm-dd")&amp;"|"&amp;""&amp;"|"&amp;"",'CALENDARIO'!$G$15:$G$214,0)),IFERROR(INDEX('CALENDARIO'!$C$15:$C$214,MATCH(TEXT($I559,"yyyy-mm-dd")&amp;"|"&amp;""&amp;"|",'CALENDARIO'!$G$15:$G$214,0)),IFERROR(INDEX('CALENDARIO'!$C$15:$C$214,MATCH(TEXT($I559,"yyyy-mm-dd")&amp;"||",'CALENDARIO'!$G$15:$G$214,0)),INDEX(patronHabil,WEEKDAY($I559,2)))))</f>
        <v/>
      </c>
    </row>
    <row r="560">
      <c r="I560" s="41" t="n">
        <v>46578</v>
      </c>
      <c r="J560" s="24">
        <f>IFERROR(INDEX('CALENDARIO'!$C$15:$C$214,MATCH(TEXT($I560,"yyyy-mm-dd")&amp;"|"&amp;""&amp;"|"&amp;"",'CALENDARIO'!$G$15:$G$214,0)),IFERROR(INDEX('CALENDARIO'!$C$15:$C$214,MATCH(TEXT($I560,"yyyy-mm-dd")&amp;"|"&amp;""&amp;"|",'CALENDARIO'!$G$15:$G$214,0)),IFERROR(INDEX('CALENDARIO'!$C$15:$C$214,MATCH(TEXT($I560,"yyyy-mm-dd")&amp;"||",'CALENDARIO'!$G$15:$G$214,0)),INDEX(patronHabil,WEEKDAY($I560,2)))))</f>
        <v/>
      </c>
    </row>
    <row r="561">
      <c r="I561" s="41" t="n">
        <v>46579</v>
      </c>
      <c r="J561" s="24">
        <f>IFERROR(INDEX('CALENDARIO'!$C$15:$C$214,MATCH(TEXT($I561,"yyyy-mm-dd")&amp;"|"&amp;""&amp;"|"&amp;"",'CALENDARIO'!$G$15:$G$214,0)),IFERROR(INDEX('CALENDARIO'!$C$15:$C$214,MATCH(TEXT($I561,"yyyy-mm-dd")&amp;"|"&amp;""&amp;"|",'CALENDARIO'!$G$15:$G$214,0)),IFERROR(INDEX('CALENDARIO'!$C$15:$C$214,MATCH(TEXT($I561,"yyyy-mm-dd")&amp;"||",'CALENDARIO'!$G$15:$G$214,0)),INDEX(patronHabil,WEEKDAY($I561,2)))))</f>
        <v/>
      </c>
    </row>
    <row r="562">
      <c r="I562" s="41" t="n">
        <v>46580</v>
      </c>
      <c r="J562" s="24">
        <f>IFERROR(INDEX('CALENDARIO'!$C$15:$C$214,MATCH(TEXT($I562,"yyyy-mm-dd")&amp;"|"&amp;""&amp;"|"&amp;"",'CALENDARIO'!$G$15:$G$214,0)),IFERROR(INDEX('CALENDARIO'!$C$15:$C$214,MATCH(TEXT($I562,"yyyy-mm-dd")&amp;"|"&amp;""&amp;"|",'CALENDARIO'!$G$15:$G$214,0)),IFERROR(INDEX('CALENDARIO'!$C$15:$C$214,MATCH(TEXT($I562,"yyyy-mm-dd")&amp;"||",'CALENDARIO'!$G$15:$G$214,0)),INDEX(patronHabil,WEEKDAY($I562,2)))))</f>
        <v/>
      </c>
    </row>
    <row r="563">
      <c r="I563" s="41" t="n">
        <v>46581</v>
      </c>
      <c r="J563" s="24">
        <f>IFERROR(INDEX('CALENDARIO'!$C$15:$C$214,MATCH(TEXT($I563,"yyyy-mm-dd")&amp;"|"&amp;""&amp;"|"&amp;"",'CALENDARIO'!$G$15:$G$214,0)),IFERROR(INDEX('CALENDARIO'!$C$15:$C$214,MATCH(TEXT($I563,"yyyy-mm-dd")&amp;"|"&amp;""&amp;"|",'CALENDARIO'!$G$15:$G$214,0)),IFERROR(INDEX('CALENDARIO'!$C$15:$C$214,MATCH(TEXT($I563,"yyyy-mm-dd")&amp;"||",'CALENDARIO'!$G$15:$G$214,0)),INDEX(patronHabil,WEEKDAY($I563,2)))))</f>
        <v/>
      </c>
    </row>
    <row r="564">
      <c r="I564" s="41" t="n">
        <v>46582</v>
      </c>
      <c r="J564" s="24">
        <f>IFERROR(INDEX('CALENDARIO'!$C$15:$C$214,MATCH(TEXT($I564,"yyyy-mm-dd")&amp;"|"&amp;""&amp;"|"&amp;"",'CALENDARIO'!$G$15:$G$214,0)),IFERROR(INDEX('CALENDARIO'!$C$15:$C$214,MATCH(TEXT($I564,"yyyy-mm-dd")&amp;"|"&amp;""&amp;"|",'CALENDARIO'!$G$15:$G$214,0)),IFERROR(INDEX('CALENDARIO'!$C$15:$C$214,MATCH(TEXT($I564,"yyyy-mm-dd")&amp;"||",'CALENDARIO'!$G$15:$G$214,0)),INDEX(patronHabil,WEEKDAY($I564,2)))))</f>
        <v/>
      </c>
    </row>
    <row r="565">
      <c r="I565" s="41" t="n">
        <v>46583</v>
      </c>
      <c r="J565" s="24">
        <f>IFERROR(INDEX('CALENDARIO'!$C$15:$C$214,MATCH(TEXT($I565,"yyyy-mm-dd")&amp;"|"&amp;""&amp;"|"&amp;"",'CALENDARIO'!$G$15:$G$214,0)),IFERROR(INDEX('CALENDARIO'!$C$15:$C$214,MATCH(TEXT($I565,"yyyy-mm-dd")&amp;"|"&amp;""&amp;"|",'CALENDARIO'!$G$15:$G$214,0)),IFERROR(INDEX('CALENDARIO'!$C$15:$C$214,MATCH(TEXT($I565,"yyyy-mm-dd")&amp;"||",'CALENDARIO'!$G$15:$G$214,0)),INDEX(patronHabil,WEEKDAY($I565,2)))))</f>
        <v/>
      </c>
    </row>
    <row r="566">
      <c r="I566" s="41" t="n">
        <v>46584</v>
      </c>
      <c r="J566" s="24">
        <f>IFERROR(INDEX('CALENDARIO'!$C$15:$C$214,MATCH(TEXT($I566,"yyyy-mm-dd")&amp;"|"&amp;""&amp;"|"&amp;"",'CALENDARIO'!$G$15:$G$214,0)),IFERROR(INDEX('CALENDARIO'!$C$15:$C$214,MATCH(TEXT($I566,"yyyy-mm-dd")&amp;"|"&amp;""&amp;"|",'CALENDARIO'!$G$15:$G$214,0)),IFERROR(INDEX('CALENDARIO'!$C$15:$C$214,MATCH(TEXT($I566,"yyyy-mm-dd")&amp;"||",'CALENDARIO'!$G$15:$G$214,0)),INDEX(patronHabil,WEEKDAY($I566,2)))))</f>
        <v/>
      </c>
    </row>
    <row r="567">
      <c r="I567" s="41" t="n">
        <v>46585</v>
      </c>
      <c r="J567" s="24">
        <f>IFERROR(INDEX('CALENDARIO'!$C$15:$C$214,MATCH(TEXT($I567,"yyyy-mm-dd")&amp;"|"&amp;""&amp;"|"&amp;"",'CALENDARIO'!$G$15:$G$214,0)),IFERROR(INDEX('CALENDARIO'!$C$15:$C$214,MATCH(TEXT($I567,"yyyy-mm-dd")&amp;"|"&amp;""&amp;"|",'CALENDARIO'!$G$15:$G$214,0)),IFERROR(INDEX('CALENDARIO'!$C$15:$C$214,MATCH(TEXT($I567,"yyyy-mm-dd")&amp;"||",'CALENDARIO'!$G$15:$G$214,0)),INDEX(patronHabil,WEEKDAY($I567,2)))))</f>
        <v/>
      </c>
    </row>
    <row r="568">
      <c r="I568" s="41" t="n">
        <v>46586</v>
      </c>
      <c r="J568" s="24">
        <f>IFERROR(INDEX('CALENDARIO'!$C$15:$C$214,MATCH(TEXT($I568,"yyyy-mm-dd")&amp;"|"&amp;""&amp;"|"&amp;"",'CALENDARIO'!$G$15:$G$214,0)),IFERROR(INDEX('CALENDARIO'!$C$15:$C$214,MATCH(TEXT($I568,"yyyy-mm-dd")&amp;"|"&amp;""&amp;"|",'CALENDARIO'!$G$15:$G$214,0)),IFERROR(INDEX('CALENDARIO'!$C$15:$C$214,MATCH(TEXT($I568,"yyyy-mm-dd")&amp;"||",'CALENDARIO'!$G$15:$G$214,0)),INDEX(patronHabil,WEEKDAY($I568,2)))))</f>
        <v/>
      </c>
    </row>
    <row r="569">
      <c r="I569" s="41" t="n">
        <v>46587</v>
      </c>
      <c r="J569" s="24">
        <f>IFERROR(INDEX('CALENDARIO'!$C$15:$C$214,MATCH(TEXT($I569,"yyyy-mm-dd")&amp;"|"&amp;""&amp;"|"&amp;"",'CALENDARIO'!$G$15:$G$214,0)),IFERROR(INDEX('CALENDARIO'!$C$15:$C$214,MATCH(TEXT($I569,"yyyy-mm-dd")&amp;"|"&amp;""&amp;"|",'CALENDARIO'!$G$15:$G$214,0)),IFERROR(INDEX('CALENDARIO'!$C$15:$C$214,MATCH(TEXT($I569,"yyyy-mm-dd")&amp;"||",'CALENDARIO'!$G$15:$G$214,0)),INDEX(patronHabil,WEEKDAY($I569,2)))))</f>
        <v/>
      </c>
    </row>
    <row r="570">
      <c r="I570" s="41" t="n">
        <v>46588</v>
      </c>
      <c r="J570" s="24">
        <f>IFERROR(INDEX('CALENDARIO'!$C$15:$C$214,MATCH(TEXT($I570,"yyyy-mm-dd")&amp;"|"&amp;""&amp;"|"&amp;"",'CALENDARIO'!$G$15:$G$214,0)),IFERROR(INDEX('CALENDARIO'!$C$15:$C$214,MATCH(TEXT($I570,"yyyy-mm-dd")&amp;"|"&amp;""&amp;"|",'CALENDARIO'!$G$15:$G$214,0)),IFERROR(INDEX('CALENDARIO'!$C$15:$C$214,MATCH(TEXT($I570,"yyyy-mm-dd")&amp;"||",'CALENDARIO'!$G$15:$G$214,0)),INDEX(patronHabil,WEEKDAY($I570,2)))))</f>
        <v/>
      </c>
    </row>
    <row r="571">
      <c r="I571" s="41" t="n">
        <v>46589</v>
      </c>
      <c r="J571" s="24">
        <f>IFERROR(INDEX('CALENDARIO'!$C$15:$C$214,MATCH(TEXT($I571,"yyyy-mm-dd")&amp;"|"&amp;""&amp;"|"&amp;"",'CALENDARIO'!$G$15:$G$214,0)),IFERROR(INDEX('CALENDARIO'!$C$15:$C$214,MATCH(TEXT($I571,"yyyy-mm-dd")&amp;"|"&amp;""&amp;"|",'CALENDARIO'!$G$15:$G$214,0)),IFERROR(INDEX('CALENDARIO'!$C$15:$C$214,MATCH(TEXT($I571,"yyyy-mm-dd")&amp;"||",'CALENDARIO'!$G$15:$G$214,0)),INDEX(patronHabil,WEEKDAY($I571,2)))))</f>
        <v/>
      </c>
    </row>
    <row r="572">
      <c r="I572" s="41" t="n">
        <v>46590</v>
      </c>
      <c r="J572" s="24">
        <f>IFERROR(INDEX('CALENDARIO'!$C$15:$C$214,MATCH(TEXT($I572,"yyyy-mm-dd")&amp;"|"&amp;""&amp;"|"&amp;"",'CALENDARIO'!$G$15:$G$214,0)),IFERROR(INDEX('CALENDARIO'!$C$15:$C$214,MATCH(TEXT($I572,"yyyy-mm-dd")&amp;"|"&amp;""&amp;"|",'CALENDARIO'!$G$15:$G$214,0)),IFERROR(INDEX('CALENDARIO'!$C$15:$C$214,MATCH(TEXT($I572,"yyyy-mm-dd")&amp;"||",'CALENDARIO'!$G$15:$G$214,0)),INDEX(patronHabil,WEEKDAY($I572,2)))))</f>
        <v/>
      </c>
    </row>
    <row r="573">
      <c r="I573" s="41" t="n">
        <v>46591</v>
      </c>
      <c r="J573" s="24">
        <f>IFERROR(INDEX('CALENDARIO'!$C$15:$C$214,MATCH(TEXT($I573,"yyyy-mm-dd")&amp;"|"&amp;""&amp;"|"&amp;"",'CALENDARIO'!$G$15:$G$214,0)),IFERROR(INDEX('CALENDARIO'!$C$15:$C$214,MATCH(TEXT($I573,"yyyy-mm-dd")&amp;"|"&amp;""&amp;"|",'CALENDARIO'!$G$15:$G$214,0)),IFERROR(INDEX('CALENDARIO'!$C$15:$C$214,MATCH(TEXT($I573,"yyyy-mm-dd")&amp;"||",'CALENDARIO'!$G$15:$G$214,0)),INDEX(patronHabil,WEEKDAY($I573,2)))))</f>
        <v/>
      </c>
    </row>
    <row r="574">
      <c r="I574" s="41" t="n">
        <v>46592</v>
      </c>
      <c r="J574" s="24">
        <f>IFERROR(INDEX('CALENDARIO'!$C$15:$C$214,MATCH(TEXT($I574,"yyyy-mm-dd")&amp;"|"&amp;""&amp;"|"&amp;"",'CALENDARIO'!$G$15:$G$214,0)),IFERROR(INDEX('CALENDARIO'!$C$15:$C$214,MATCH(TEXT($I574,"yyyy-mm-dd")&amp;"|"&amp;""&amp;"|",'CALENDARIO'!$G$15:$G$214,0)),IFERROR(INDEX('CALENDARIO'!$C$15:$C$214,MATCH(TEXT($I574,"yyyy-mm-dd")&amp;"||",'CALENDARIO'!$G$15:$G$214,0)),INDEX(patronHabil,WEEKDAY($I574,2)))))</f>
        <v/>
      </c>
    </row>
    <row r="575">
      <c r="I575" s="41" t="n">
        <v>46593</v>
      </c>
      <c r="J575" s="24">
        <f>IFERROR(INDEX('CALENDARIO'!$C$15:$C$214,MATCH(TEXT($I575,"yyyy-mm-dd")&amp;"|"&amp;""&amp;"|"&amp;"",'CALENDARIO'!$G$15:$G$214,0)),IFERROR(INDEX('CALENDARIO'!$C$15:$C$214,MATCH(TEXT($I575,"yyyy-mm-dd")&amp;"|"&amp;""&amp;"|",'CALENDARIO'!$G$15:$G$214,0)),IFERROR(INDEX('CALENDARIO'!$C$15:$C$214,MATCH(TEXT($I575,"yyyy-mm-dd")&amp;"||",'CALENDARIO'!$G$15:$G$214,0)),INDEX(patronHabil,WEEKDAY($I575,2)))))</f>
        <v/>
      </c>
    </row>
    <row r="576">
      <c r="I576" s="41" t="n">
        <v>46594</v>
      </c>
      <c r="J576" s="24">
        <f>IFERROR(INDEX('CALENDARIO'!$C$15:$C$214,MATCH(TEXT($I576,"yyyy-mm-dd")&amp;"|"&amp;""&amp;"|"&amp;"",'CALENDARIO'!$G$15:$G$214,0)),IFERROR(INDEX('CALENDARIO'!$C$15:$C$214,MATCH(TEXT($I576,"yyyy-mm-dd")&amp;"|"&amp;""&amp;"|",'CALENDARIO'!$G$15:$G$214,0)),IFERROR(INDEX('CALENDARIO'!$C$15:$C$214,MATCH(TEXT($I576,"yyyy-mm-dd")&amp;"||",'CALENDARIO'!$G$15:$G$214,0)),INDEX(patronHabil,WEEKDAY($I576,2)))))</f>
        <v/>
      </c>
    </row>
    <row r="577">
      <c r="I577" s="41" t="n">
        <v>46595</v>
      </c>
      <c r="J577" s="24">
        <f>IFERROR(INDEX('CALENDARIO'!$C$15:$C$214,MATCH(TEXT($I577,"yyyy-mm-dd")&amp;"|"&amp;""&amp;"|"&amp;"",'CALENDARIO'!$G$15:$G$214,0)),IFERROR(INDEX('CALENDARIO'!$C$15:$C$214,MATCH(TEXT($I577,"yyyy-mm-dd")&amp;"|"&amp;""&amp;"|",'CALENDARIO'!$G$15:$G$214,0)),IFERROR(INDEX('CALENDARIO'!$C$15:$C$214,MATCH(TEXT($I577,"yyyy-mm-dd")&amp;"||",'CALENDARIO'!$G$15:$G$214,0)),INDEX(patronHabil,WEEKDAY($I577,2)))))</f>
        <v/>
      </c>
    </row>
    <row r="578">
      <c r="I578" s="41" t="n">
        <v>46596</v>
      </c>
      <c r="J578" s="24">
        <f>IFERROR(INDEX('CALENDARIO'!$C$15:$C$214,MATCH(TEXT($I578,"yyyy-mm-dd")&amp;"|"&amp;""&amp;"|"&amp;"",'CALENDARIO'!$G$15:$G$214,0)),IFERROR(INDEX('CALENDARIO'!$C$15:$C$214,MATCH(TEXT($I578,"yyyy-mm-dd")&amp;"|"&amp;""&amp;"|",'CALENDARIO'!$G$15:$G$214,0)),IFERROR(INDEX('CALENDARIO'!$C$15:$C$214,MATCH(TEXT($I578,"yyyy-mm-dd")&amp;"||",'CALENDARIO'!$G$15:$G$214,0)),INDEX(patronHabil,WEEKDAY($I578,2)))))</f>
        <v/>
      </c>
    </row>
    <row r="579">
      <c r="I579" s="41" t="n">
        <v>46597</v>
      </c>
      <c r="J579" s="24">
        <f>IFERROR(INDEX('CALENDARIO'!$C$15:$C$214,MATCH(TEXT($I579,"yyyy-mm-dd")&amp;"|"&amp;""&amp;"|"&amp;"",'CALENDARIO'!$G$15:$G$214,0)),IFERROR(INDEX('CALENDARIO'!$C$15:$C$214,MATCH(TEXT($I579,"yyyy-mm-dd")&amp;"|"&amp;""&amp;"|",'CALENDARIO'!$G$15:$G$214,0)),IFERROR(INDEX('CALENDARIO'!$C$15:$C$214,MATCH(TEXT($I579,"yyyy-mm-dd")&amp;"||",'CALENDARIO'!$G$15:$G$214,0)),INDEX(patronHabil,WEEKDAY($I579,2)))))</f>
        <v/>
      </c>
    </row>
    <row r="580">
      <c r="I580" s="41" t="n">
        <v>46598</v>
      </c>
      <c r="J580" s="24">
        <f>IFERROR(INDEX('CALENDARIO'!$C$15:$C$214,MATCH(TEXT($I580,"yyyy-mm-dd")&amp;"|"&amp;""&amp;"|"&amp;"",'CALENDARIO'!$G$15:$G$214,0)),IFERROR(INDEX('CALENDARIO'!$C$15:$C$214,MATCH(TEXT($I580,"yyyy-mm-dd")&amp;"|"&amp;""&amp;"|",'CALENDARIO'!$G$15:$G$214,0)),IFERROR(INDEX('CALENDARIO'!$C$15:$C$214,MATCH(TEXT($I580,"yyyy-mm-dd")&amp;"||",'CALENDARIO'!$G$15:$G$214,0)),INDEX(patronHabil,WEEKDAY($I580,2)))))</f>
        <v/>
      </c>
    </row>
    <row r="581">
      <c r="I581" s="41" t="n">
        <v>46599</v>
      </c>
      <c r="J581" s="24">
        <f>IFERROR(INDEX('CALENDARIO'!$C$15:$C$214,MATCH(TEXT($I581,"yyyy-mm-dd")&amp;"|"&amp;""&amp;"|"&amp;"",'CALENDARIO'!$G$15:$G$214,0)),IFERROR(INDEX('CALENDARIO'!$C$15:$C$214,MATCH(TEXT($I581,"yyyy-mm-dd")&amp;"|"&amp;""&amp;"|",'CALENDARIO'!$G$15:$G$214,0)),IFERROR(INDEX('CALENDARIO'!$C$15:$C$214,MATCH(TEXT($I581,"yyyy-mm-dd")&amp;"||",'CALENDARIO'!$G$15:$G$214,0)),INDEX(patronHabil,WEEKDAY($I581,2)))))</f>
        <v/>
      </c>
    </row>
    <row r="582">
      <c r="I582" s="41" t="n">
        <v>46600</v>
      </c>
      <c r="J582" s="24">
        <f>IFERROR(INDEX('CALENDARIO'!$C$15:$C$214,MATCH(TEXT($I582,"yyyy-mm-dd")&amp;"|"&amp;""&amp;"|"&amp;"",'CALENDARIO'!$G$15:$G$214,0)),IFERROR(INDEX('CALENDARIO'!$C$15:$C$214,MATCH(TEXT($I582,"yyyy-mm-dd")&amp;"|"&amp;""&amp;"|",'CALENDARIO'!$G$15:$G$214,0)),IFERROR(INDEX('CALENDARIO'!$C$15:$C$214,MATCH(TEXT($I582,"yyyy-mm-dd")&amp;"||",'CALENDARIO'!$G$15:$G$214,0)),INDEX(patronHabil,WEEKDAY($I582,2)))))</f>
        <v/>
      </c>
    </row>
    <row r="583">
      <c r="I583" s="41" t="n">
        <v>46601</v>
      </c>
      <c r="J583" s="24">
        <f>IFERROR(INDEX('CALENDARIO'!$C$15:$C$214,MATCH(TEXT($I583,"yyyy-mm-dd")&amp;"|"&amp;""&amp;"|"&amp;"",'CALENDARIO'!$G$15:$G$214,0)),IFERROR(INDEX('CALENDARIO'!$C$15:$C$214,MATCH(TEXT($I583,"yyyy-mm-dd")&amp;"|"&amp;""&amp;"|",'CALENDARIO'!$G$15:$G$214,0)),IFERROR(INDEX('CALENDARIO'!$C$15:$C$214,MATCH(TEXT($I583,"yyyy-mm-dd")&amp;"||",'CALENDARIO'!$G$15:$G$214,0)),INDEX(patronHabil,WEEKDAY($I583,2)))))</f>
        <v/>
      </c>
    </row>
    <row r="584">
      <c r="I584" s="41" t="n">
        <v>46602</v>
      </c>
      <c r="J584" s="24">
        <f>IFERROR(INDEX('CALENDARIO'!$C$15:$C$214,MATCH(TEXT($I584,"yyyy-mm-dd")&amp;"|"&amp;""&amp;"|"&amp;"",'CALENDARIO'!$G$15:$G$214,0)),IFERROR(INDEX('CALENDARIO'!$C$15:$C$214,MATCH(TEXT($I584,"yyyy-mm-dd")&amp;"|"&amp;""&amp;"|",'CALENDARIO'!$G$15:$G$214,0)),IFERROR(INDEX('CALENDARIO'!$C$15:$C$214,MATCH(TEXT($I584,"yyyy-mm-dd")&amp;"||",'CALENDARIO'!$G$15:$G$214,0)),INDEX(patronHabil,WEEKDAY($I584,2)))))</f>
        <v/>
      </c>
    </row>
    <row r="585">
      <c r="I585" s="41" t="n">
        <v>46603</v>
      </c>
      <c r="J585" s="24">
        <f>IFERROR(INDEX('CALENDARIO'!$C$15:$C$214,MATCH(TEXT($I585,"yyyy-mm-dd")&amp;"|"&amp;""&amp;"|"&amp;"",'CALENDARIO'!$G$15:$G$214,0)),IFERROR(INDEX('CALENDARIO'!$C$15:$C$214,MATCH(TEXT($I585,"yyyy-mm-dd")&amp;"|"&amp;""&amp;"|",'CALENDARIO'!$G$15:$G$214,0)),IFERROR(INDEX('CALENDARIO'!$C$15:$C$214,MATCH(TEXT($I585,"yyyy-mm-dd")&amp;"||",'CALENDARIO'!$G$15:$G$214,0)),INDEX(patronHabil,WEEKDAY($I585,2)))))</f>
        <v/>
      </c>
    </row>
    <row r="586">
      <c r="I586" s="41" t="n">
        <v>46604</v>
      </c>
      <c r="J586" s="24">
        <f>IFERROR(INDEX('CALENDARIO'!$C$15:$C$214,MATCH(TEXT($I586,"yyyy-mm-dd")&amp;"|"&amp;""&amp;"|"&amp;"",'CALENDARIO'!$G$15:$G$214,0)),IFERROR(INDEX('CALENDARIO'!$C$15:$C$214,MATCH(TEXT($I586,"yyyy-mm-dd")&amp;"|"&amp;""&amp;"|",'CALENDARIO'!$G$15:$G$214,0)),IFERROR(INDEX('CALENDARIO'!$C$15:$C$214,MATCH(TEXT($I586,"yyyy-mm-dd")&amp;"||",'CALENDARIO'!$G$15:$G$214,0)),INDEX(patronHabil,WEEKDAY($I586,2)))))</f>
        <v/>
      </c>
    </row>
    <row r="587">
      <c r="I587" s="41" t="n">
        <v>46605</v>
      </c>
      <c r="J587" s="24">
        <f>IFERROR(INDEX('CALENDARIO'!$C$15:$C$214,MATCH(TEXT($I587,"yyyy-mm-dd")&amp;"|"&amp;""&amp;"|"&amp;"",'CALENDARIO'!$G$15:$G$214,0)),IFERROR(INDEX('CALENDARIO'!$C$15:$C$214,MATCH(TEXT($I587,"yyyy-mm-dd")&amp;"|"&amp;""&amp;"|",'CALENDARIO'!$G$15:$G$214,0)),IFERROR(INDEX('CALENDARIO'!$C$15:$C$214,MATCH(TEXT($I587,"yyyy-mm-dd")&amp;"||",'CALENDARIO'!$G$15:$G$214,0)),INDEX(patronHabil,WEEKDAY($I587,2)))))</f>
        <v/>
      </c>
    </row>
    <row r="588">
      <c r="I588" s="41" t="n">
        <v>46606</v>
      </c>
      <c r="J588" s="24">
        <f>IFERROR(INDEX('CALENDARIO'!$C$15:$C$214,MATCH(TEXT($I588,"yyyy-mm-dd")&amp;"|"&amp;""&amp;"|"&amp;"",'CALENDARIO'!$G$15:$G$214,0)),IFERROR(INDEX('CALENDARIO'!$C$15:$C$214,MATCH(TEXT($I588,"yyyy-mm-dd")&amp;"|"&amp;""&amp;"|",'CALENDARIO'!$G$15:$G$214,0)),IFERROR(INDEX('CALENDARIO'!$C$15:$C$214,MATCH(TEXT($I588,"yyyy-mm-dd")&amp;"||",'CALENDARIO'!$G$15:$G$214,0)),INDEX(patronHabil,WEEKDAY($I588,2)))))</f>
        <v/>
      </c>
    </row>
    <row r="589">
      <c r="I589" s="41" t="n">
        <v>46607</v>
      </c>
      <c r="J589" s="24">
        <f>IFERROR(INDEX('CALENDARIO'!$C$15:$C$214,MATCH(TEXT($I589,"yyyy-mm-dd")&amp;"|"&amp;""&amp;"|"&amp;"",'CALENDARIO'!$G$15:$G$214,0)),IFERROR(INDEX('CALENDARIO'!$C$15:$C$214,MATCH(TEXT($I589,"yyyy-mm-dd")&amp;"|"&amp;""&amp;"|",'CALENDARIO'!$G$15:$G$214,0)),IFERROR(INDEX('CALENDARIO'!$C$15:$C$214,MATCH(TEXT($I589,"yyyy-mm-dd")&amp;"||",'CALENDARIO'!$G$15:$G$214,0)),INDEX(patronHabil,WEEKDAY($I589,2)))))</f>
        <v/>
      </c>
    </row>
    <row r="590">
      <c r="I590" s="41" t="n">
        <v>46608</v>
      </c>
      <c r="J590" s="24">
        <f>IFERROR(INDEX('CALENDARIO'!$C$15:$C$214,MATCH(TEXT($I590,"yyyy-mm-dd")&amp;"|"&amp;""&amp;"|"&amp;"",'CALENDARIO'!$G$15:$G$214,0)),IFERROR(INDEX('CALENDARIO'!$C$15:$C$214,MATCH(TEXT($I590,"yyyy-mm-dd")&amp;"|"&amp;""&amp;"|",'CALENDARIO'!$G$15:$G$214,0)),IFERROR(INDEX('CALENDARIO'!$C$15:$C$214,MATCH(TEXT($I590,"yyyy-mm-dd")&amp;"||",'CALENDARIO'!$G$15:$G$214,0)),INDEX(patronHabil,WEEKDAY($I590,2)))))</f>
        <v/>
      </c>
    </row>
    <row r="591">
      <c r="I591" s="41" t="n">
        <v>46609</v>
      </c>
      <c r="J591" s="24">
        <f>IFERROR(INDEX('CALENDARIO'!$C$15:$C$214,MATCH(TEXT($I591,"yyyy-mm-dd")&amp;"|"&amp;""&amp;"|"&amp;"",'CALENDARIO'!$G$15:$G$214,0)),IFERROR(INDEX('CALENDARIO'!$C$15:$C$214,MATCH(TEXT($I591,"yyyy-mm-dd")&amp;"|"&amp;""&amp;"|",'CALENDARIO'!$G$15:$G$214,0)),IFERROR(INDEX('CALENDARIO'!$C$15:$C$214,MATCH(TEXT($I591,"yyyy-mm-dd")&amp;"||",'CALENDARIO'!$G$15:$G$214,0)),INDEX(patronHabil,WEEKDAY($I591,2)))))</f>
        <v/>
      </c>
    </row>
    <row r="592">
      <c r="I592" s="41" t="n">
        <v>46610</v>
      </c>
      <c r="J592" s="24">
        <f>IFERROR(INDEX('CALENDARIO'!$C$15:$C$214,MATCH(TEXT($I592,"yyyy-mm-dd")&amp;"|"&amp;""&amp;"|"&amp;"",'CALENDARIO'!$G$15:$G$214,0)),IFERROR(INDEX('CALENDARIO'!$C$15:$C$214,MATCH(TEXT($I592,"yyyy-mm-dd")&amp;"|"&amp;""&amp;"|",'CALENDARIO'!$G$15:$G$214,0)),IFERROR(INDEX('CALENDARIO'!$C$15:$C$214,MATCH(TEXT($I592,"yyyy-mm-dd")&amp;"||",'CALENDARIO'!$G$15:$G$214,0)),INDEX(patronHabil,WEEKDAY($I592,2)))))</f>
        <v/>
      </c>
    </row>
    <row r="593">
      <c r="I593" s="41" t="n">
        <v>46611</v>
      </c>
      <c r="J593" s="24">
        <f>IFERROR(INDEX('CALENDARIO'!$C$15:$C$214,MATCH(TEXT($I593,"yyyy-mm-dd")&amp;"|"&amp;""&amp;"|"&amp;"",'CALENDARIO'!$G$15:$G$214,0)),IFERROR(INDEX('CALENDARIO'!$C$15:$C$214,MATCH(TEXT($I593,"yyyy-mm-dd")&amp;"|"&amp;""&amp;"|",'CALENDARIO'!$G$15:$G$214,0)),IFERROR(INDEX('CALENDARIO'!$C$15:$C$214,MATCH(TEXT($I593,"yyyy-mm-dd")&amp;"||",'CALENDARIO'!$G$15:$G$214,0)),INDEX(patronHabil,WEEKDAY($I593,2)))))</f>
        <v/>
      </c>
    </row>
    <row r="594">
      <c r="I594" s="41" t="n">
        <v>46612</v>
      </c>
      <c r="J594" s="24">
        <f>IFERROR(INDEX('CALENDARIO'!$C$15:$C$214,MATCH(TEXT($I594,"yyyy-mm-dd")&amp;"|"&amp;""&amp;"|"&amp;"",'CALENDARIO'!$G$15:$G$214,0)),IFERROR(INDEX('CALENDARIO'!$C$15:$C$214,MATCH(TEXT($I594,"yyyy-mm-dd")&amp;"|"&amp;""&amp;"|",'CALENDARIO'!$G$15:$G$214,0)),IFERROR(INDEX('CALENDARIO'!$C$15:$C$214,MATCH(TEXT($I594,"yyyy-mm-dd")&amp;"||",'CALENDARIO'!$G$15:$G$214,0)),INDEX(patronHabil,WEEKDAY($I594,2)))))</f>
        <v/>
      </c>
    </row>
    <row r="595">
      <c r="I595" s="41" t="n">
        <v>46613</v>
      </c>
      <c r="J595" s="24">
        <f>IFERROR(INDEX('CALENDARIO'!$C$15:$C$214,MATCH(TEXT($I595,"yyyy-mm-dd")&amp;"|"&amp;""&amp;"|"&amp;"",'CALENDARIO'!$G$15:$G$214,0)),IFERROR(INDEX('CALENDARIO'!$C$15:$C$214,MATCH(TEXT($I595,"yyyy-mm-dd")&amp;"|"&amp;""&amp;"|",'CALENDARIO'!$G$15:$G$214,0)),IFERROR(INDEX('CALENDARIO'!$C$15:$C$214,MATCH(TEXT($I595,"yyyy-mm-dd")&amp;"||",'CALENDARIO'!$G$15:$G$214,0)),INDEX(patronHabil,WEEKDAY($I595,2)))))</f>
        <v/>
      </c>
    </row>
    <row r="596">
      <c r="I596" s="41" t="n">
        <v>46614</v>
      </c>
      <c r="J596" s="24">
        <f>IFERROR(INDEX('CALENDARIO'!$C$15:$C$214,MATCH(TEXT($I596,"yyyy-mm-dd")&amp;"|"&amp;""&amp;"|"&amp;"",'CALENDARIO'!$G$15:$G$214,0)),IFERROR(INDEX('CALENDARIO'!$C$15:$C$214,MATCH(TEXT($I596,"yyyy-mm-dd")&amp;"|"&amp;""&amp;"|",'CALENDARIO'!$G$15:$G$214,0)),IFERROR(INDEX('CALENDARIO'!$C$15:$C$214,MATCH(TEXT($I596,"yyyy-mm-dd")&amp;"||",'CALENDARIO'!$G$15:$G$214,0)),INDEX(patronHabil,WEEKDAY($I596,2)))))</f>
        <v/>
      </c>
    </row>
    <row r="597">
      <c r="I597" s="41" t="n">
        <v>46615</v>
      </c>
      <c r="J597" s="24">
        <f>IFERROR(INDEX('CALENDARIO'!$C$15:$C$214,MATCH(TEXT($I597,"yyyy-mm-dd")&amp;"|"&amp;""&amp;"|"&amp;"",'CALENDARIO'!$G$15:$G$214,0)),IFERROR(INDEX('CALENDARIO'!$C$15:$C$214,MATCH(TEXT($I597,"yyyy-mm-dd")&amp;"|"&amp;""&amp;"|",'CALENDARIO'!$G$15:$G$214,0)),IFERROR(INDEX('CALENDARIO'!$C$15:$C$214,MATCH(TEXT($I597,"yyyy-mm-dd")&amp;"||",'CALENDARIO'!$G$15:$G$214,0)),INDEX(patronHabil,WEEKDAY($I597,2)))))</f>
        <v/>
      </c>
    </row>
    <row r="598">
      <c r="I598" s="41" t="n">
        <v>46616</v>
      </c>
      <c r="J598" s="24">
        <f>IFERROR(INDEX('CALENDARIO'!$C$15:$C$214,MATCH(TEXT($I598,"yyyy-mm-dd")&amp;"|"&amp;""&amp;"|"&amp;"",'CALENDARIO'!$G$15:$G$214,0)),IFERROR(INDEX('CALENDARIO'!$C$15:$C$214,MATCH(TEXT($I598,"yyyy-mm-dd")&amp;"|"&amp;""&amp;"|",'CALENDARIO'!$G$15:$G$214,0)),IFERROR(INDEX('CALENDARIO'!$C$15:$C$214,MATCH(TEXT($I598,"yyyy-mm-dd")&amp;"||",'CALENDARIO'!$G$15:$G$214,0)),INDEX(patronHabil,WEEKDAY($I598,2)))))</f>
        <v/>
      </c>
    </row>
    <row r="599">
      <c r="I599" s="41" t="n">
        <v>46617</v>
      </c>
      <c r="J599" s="24">
        <f>IFERROR(INDEX('CALENDARIO'!$C$15:$C$214,MATCH(TEXT($I599,"yyyy-mm-dd")&amp;"|"&amp;""&amp;"|"&amp;"",'CALENDARIO'!$G$15:$G$214,0)),IFERROR(INDEX('CALENDARIO'!$C$15:$C$214,MATCH(TEXT($I599,"yyyy-mm-dd")&amp;"|"&amp;""&amp;"|",'CALENDARIO'!$G$15:$G$214,0)),IFERROR(INDEX('CALENDARIO'!$C$15:$C$214,MATCH(TEXT($I599,"yyyy-mm-dd")&amp;"||",'CALENDARIO'!$G$15:$G$214,0)),INDEX(patronHabil,WEEKDAY($I599,2)))))</f>
        <v/>
      </c>
    </row>
    <row r="600">
      <c r="I600" s="41" t="n">
        <v>46618</v>
      </c>
      <c r="J600" s="24">
        <f>IFERROR(INDEX('CALENDARIO'!$C$15:$C$214,MATCH(TEXT($I600,"yyyy-mm-dd")&amp;"|"&amp;""&amp;"|"&amp;"",'CALENDARIO'!$G$15:$G$214,0)),IFERROR(INDEX('CALENDARIO'!$C$15:$C$214,MATCH(TEXT($I600,"yyyy-mm-dd")&amp;"|"&amp;""&amp;"|",'CALENDARIO'!$G$15:$G$214,0)),IFERROR(INDEX('CALENDARIO'!$C$15:$C$214,MATCH(TEXT($I600,"yyyy-mm-dd")&amp;"||",'CALENDARIO'!$G$15:$G$214,0)),INDEX(patronHabil,WEEKDAY($I600,2)))))</f>
        <v/>
      </c>
    </row>
    <row r="601">
      <c r="I601" s="41" t="n">
        <v>46619</v>
      </c>
      <c r="J601" s="24">
        <f>IFERROR(INDEX('CALENDARIO'!$C$15:$C$214,MATCH(TEXT($I601,"yyyy-mm-dd")&amp;"|"&amp;""&amp;"|"&amp;"",'CALENDARIO'!$G$15:$G$214,0)),IFERROR(INDEX('CALENDARIO'!$C$15:$C$214,MATCH(TEXT($I601,"yyyy-mm-dd")&amp;"|"&amp;""&amp;"|",'CALENDARIO'!$G$15:$G$214,0)),IFERROR(INDEX('CALENDARIO'!$C$15:$C$214,MATCH(TEXT($I601,"yyyy-mm-dd")&amp;"||",'CALENDARIO'!$G$15:$G$214,0)),INDEX(patronHabil,WEEKDAY($I601,2)))))</f>
        <v/>
      </c>
    </row>
    <row r="602">
      <c r="I602" s="41" t="n">
        <v>46620</v>
      </c>
      <c r="J602" s="24">
        <f>IFERROR(INDEX('CALENDARIO'!$C$15:$C$214,MATCH(TEXT($I602,"yyyy-mm-dd")&amp;"|"&amp;""&amp;"|"&amp;"",'CALENDARIO'!$G$15:$G$214,0)),IFERROR(INDEX('CALENDARIO'!$C$15:$C$214,MATCH(TEXT($I602,"yyyy-mm-dd")&amp;"|"&amp;""&amp;"|",'CALENDARIO'!$G$15:$G$214,0)),IFERROR(INDEX('CALENDARIO'!$C$15:$C$214,MATCH(TEXT($I602,"yyyy-mm-dd")&amp;"||",'CALENDARIO'!$G$15:$G$214,0)),INDEX(patronHabil,WEEKDAY($I602,2)))))</f>
        <v/>
      </c>
    </row>
    <row r="603">
      <c r="I603" s="41" t="n">
        <v>46621</v>
      </c>
      <c r="J603" s="24">
        <f>IFERROR(INDEX('CALENDARIO'!$C$15:$C$214,MATCH(TEXT($I603,"yyyy-mm-dd")&amp;"|"&amp;""&amp;"|"&amp;"",'CALENDARIO'!$G$15:$G$214,0)),IFERROR(INDEX('CALENDARIO'!$C$15:$C$214,MATCH(TEXT($I603,"yyyy-mm-dd")&amp;"|"&amp;""&amp;"|",'CALENDARIO'!$G$15:$G$214,0)),IFERROR(INDEX('CALENDARIO'!$C$15:$C$214,MATCH(TEXT($I603,"yyyy-mm-dd")&amp;"||",'CALENDARIO'!$G$15:$G$214,0)),INDEX(patronHabil,WEEKDAY($I603,2)))))</f>
        <v/>
      </c>
    </row>
    <row r="604">
      <c r="I604" s="41" t="n">
        <v>46622</v>
      </c>
      <c r="J604" s="24">
        <f>IFERROR(INDEX('CALENDARIO'!$C$15:$C$214,MATCH(TEXT($I604,"yyyy-mm-dd")&amp;"|"&amp;""&amp;"|"&amp;"",'CALENDARIO'!$G$15:$G$214,0)),IFERROR(INDEX('CALENDARIO'!$C$15:$C$214,MATCH(TEXT($I604,"yyyy-mm-dd")&amp;"|"&amp;""&amp;"|",'CALENDARIO'!$G$15:$G$214,0)),IFERROR(INDEX('CALENDARIO'!$C$15:$C$214,MATCH(TEXT($I604,"yyyy-mm-dd")&amp;"||",'CALENDARIO'!$G$15:$G$214,0)),INDEX(patronHabil,WEEKDAY($I604,2)))))</f>
        <v/>
      </c>
    </row>
    <row r="605">
      <c r="I605" s="41" t="n">
        <v>46623</v>
      </c>
      <c r="J605" s="24">
        <f>IFERROR(INDEX('CALENDARIO'!$C$15:$C$214,MATCH(TEXT($I605,"yyyy-mm-dd")&amp;"|"&amp;""&amp;"|"&amp;"",'CALENDARIO'!$G$15:$G$214,0)),IFERROR(INDEX('CALENDARIO'!$C$15:$C$214,MATCH(TEXT($I605,"yyyy-mm-dd")&amp;"|"&amp;""&amp;"|",'CALENDARIO'!$G$15:$G$214,0)),IFERROR(INDEX('CALENDARIO'!$C$15:$C$214,MATCH(TEXT($I605,"yyyy-mm-dd")&amp;"||",'CALENDARIO'!$G$15:$G$214,0)),INDEX(patronHabil,WEEKDAY($I605,2)))))</f>
        <v/>
      </c>
    </row>
    <row r="606">
      <c r="I606" s="41" t="n">
        <v>46624</v>
      </c>
      <c r="J606" s="24">
        <f>IFERROR(INDEX('CALENDARIO'!$C$15:$C$214,MATCH(TEXT($I606,"yyyy-mm-dd")&amp;"|"&amp;""&amp;"|"&amp;"",'CALENDARIO'!$G$15:$G$214,0)),IFERROR(INDEX('CALENDARIO'!$C$15:$C$214,MATCH(TEXT($I606,"yyyy-mm-dd")&amp;"|"&amp;""&amp;"|",'CALENDARIO'!$G$15:$G$214,0)),IFERROR(INDEX('CALENDARIO'!$C$15:$C$214,MATCH(TEXT($I606,"yyyy-mm-dd")&amp;"||",'CALENDARIO'!$G$15:$G$214,0)),INDEX(patronHabil,WEEKDAY($I606,2)))))</f>
        <v/>
      </c>
    </row>
    <row r="607">
      <c r="I607" s="41" t="n">
        <v>46625</v>
      </c>
      <c r="J607" s="24">
        <f>IFERROR(INDEX('CALENDARIO'!$C$15:$C$214,MATCH(TEXT($I607,"yyyy-mm-dd")&amp;"|"&amp;""&amp;"|"&amp;"",'CALENDARIO'!$G$15:$G$214,0)),IFERROR(INDEX('CALENDARIO'!$C$15:$C$214,MATCH(TEXT($I607,"yyyy-mm-dd")&amp;"|"&amp;""&amp;"|",'CALENDARIO'!$G$15:$G$214,0)),IFERROR(INDEX('CALENDARIO'!$C$15:$C$214,MATCH(TEXT($I607,"yyyy-mm-dd")&amp;"||",'CALENDARIO'!$G$15:$G$214,0)),INDEX(patronHabil,WEEKDAY($I607,2)))))</f>
        <v/>
      </c>
    </row>
    <row r="608">
      <c r="I608" s="41" t="n">
        <v>46626</v>
      </c>
      <c r="J608" s="24">
        <f>IFERROR(INDEX('CALENDARIO'!$C$15:$C$214,MATCH(TEXT($I608,"yyyy-mm-dd")&amp;"|"&amp;""&amp;"|"&amp;"",'CALENDARIO'!$G$15:$G$214,0)),IFERROR(INDEX('CALENDARIO'!$C$15:$C$214,MATCH(TEXT($I608,"yyyy-mm-dd")&amp;"|"&amp;""&amp;"|",'CALENDARIO'!$G$15:$G$214,0)),IFERROR(INDEX('CALENDARIO'!$C$15:$C$214,MATCH(TEXT($I608,"yyyy-mm-dd")&amp;"||",'CALENDARIO'!$G$15:$G$214,0)),INDEX(patronHabil,WEEKDAY($I608,2)))))</f>
        <v/>
      </c>
    </row>
    <row r="609">
      <c r="I609" s="41" t="n">
        <v>46627</v>
      </c>
      <c r="J609" s="24">
        <f>IFERROR(INDEX('CALENDARIO'!$C$15:$C$214,MATCH(TEXT($I609,"yyyy-mm-dd")&amp;"|"&amp;""&amp;"|"&amp;"",'CALENDARIO'!$G$15:$G$214,0)),IFERROR(INDEX('CALENDARIO'!$C$15:$C$214,MATCH(TEXT($I609,"yyyy-mm-dd")&amp;"|"&amp;""&amp;"|",'CALENDARIO'!$G$15:$G$214,0)),IFERROR(INDEX('CALENDARIO'!$C$15:$C$214,MATCH(TEXT($I609,"yyyy-mm-dd")&amp;"||",'CALENDARIO'!$G$15:$G$214,0)),INDEX(patronHabil,WEEKDAY($I609,2)))))</f>
        <v/>
      </c>
    </row>
    <row r="610">
      <c r="I610" s="41" t="n">
        <v>46628</v>
      </c>
      <c r="J610" s="24">
        <f>IFERROR(INDEX('CALENDARIO'!$C$15:$C$214,MATCH(TEXT($I610,"yyyy-mm-dd")&amp;"|"&amp;""&amp;"|"&amp;"",'CALENDARIO'!$G$15:$G$214,0)),IFERROR(INDEX('CALENDARIO'!$C$15:$C$214,MATCH(TEXT($I610,"yyyy-mm-dd")&amp;"|"&amp;""&amp;"|",'CALENDARIO'!$G$15:$G$214,0)),IFERROR(INDEX('CALENDARIO'!$C$15:$C$214,MATCH(TEXT($I610,"yyyy-mm-dd")&amp;"||",'CALENDARIO'!$G$15:$G$214,0)),INDEX(patronHabil,WEEKDAY($I610,2)))))</f>
        <v/>
      </c>
    </row>
    <row r="611">
      <c r="I611" s="41" t="n">
        <v>46629</v>
      </c>
      <c r="J611" s="24">
        <f>IFERROR(INDEX('CALENDARIO'!$C$15:$C$214,MATCH(TEXT($I611,"yyyy-mm-dd")&amp;"|"&amp;""&amp;"|"&amp;"",'CALENDARIO'!$G$15:$G$214,0)),IFERROR(INDEX('CALENDARIO'!$C$15:$C$214,MATCH(TEXT($I611,"yyyy-mm-dd")&amp;"|"&amp;""&amp;"|",'CALENDARIO'!$G$15:$G$214,0)),IFERROR(INDEX('CALENDARIO'!$C$15:$C$214,MATCH(TEXT($I611,"yyyy-mm-dd")&amp;"||",'CALENDARIO'!$G$15:$G$214,0)),INDEX(patronHabil,WEEKDAY($I611,2)))))</f>
        <v/>
      </c>
    </row>
    <row r="612">
      <c r="I612" s="41" t="n">
        <v>46630</v>
      </c>
      <c r="J612" s="24">
        <f>IFERROR(INDEX('CALENDARIO'!$C$15:$C$214,MATCH(TEXT($I612,"yyyy-mm-dd")&amp;"|"&amp;""&amp;"|"&amp;"",'CALENDARIO'!$G$15:$G$214,0)),IFERROR(INDEX('CALENDARIO'!$C$15:$C$214,MATCH(TEXT($I612,"yyyy-mm-dd")&amp;"|"&amp;""&amp;"|",'CALENDARIO'!$G$15:$G$214,0)),IFERROR(INDEX('CALENDARIO'!$C$15:$C$214,MATCH(TEXT($I612,"yyyy-mm-dd")&amp;"||",'CALENDARIO'!$G$15:$G$214,0)),INDEX(patronHabil,WEEKDAY($I612,2)))))</f>
        <v/>
      </c>
    </row>
    <row r="613">
      <c r="I613" s="41" t="n">
        <v>46631</v>
      </c>
      <c r="J613" s="24">
        <f>IFERROR(INDEX('CALENDARIO'!$C$15:$C$214,MATCH(TEXT($I613,"yyyy-mm-dd")&amp;"|"&amp;""&amp;"|"&amp;"",'CALENDARIO'!$G$15:$G$214,0)),IFERROR(INDEX('CALENDARIO'!$C$15:$C$214,MATCH(TEXT($I613,"yyyy-mm-dd")&amp;"|"&amp;""&amp;"|",'CALENDARIO'!$G$15:$G$214,0)),IFERROR(INDEX('CALENDARIO'!$C$15:$C$214,MATCH(TEXT($I613,"yyyy-mm-dd")&amp;"||",'CALENDARIO'!$G$15:$G$214,0)),INDEX(patronHabil,WEEKDAY($I613,2)))))</f>
        <v/>
      </c>
    </row>
    <row r="614">
      <c r="I614" s="41" t="n">
        <v>46632</v>
      </c>
      <c r="J614" s="24">
        <f>IFERROR(INDEX('CALENDARIO'!$C$15:$C$214,MATCH(TEXT($I614,"yyyy-mm-dd")&amp;"|"&amp;""&amp;"|"&amp;"",'CALENDARIO'!$G$15:$G$214,0)),IFERROR(INDEX('CALENDARIO'!$C$15:$C$214,MATCH(TEXT($I614,"yyyy-mm-dd")&amp;"|"&amp;""&amp;"|",'CALENDARIO'!$G$15:$G$214,0)),IFERROR(INDEX('CALENDARIO'!$C$15:$C$214,MATCH(TEXT($I614,"yyyy-mm-dd")&amp;"||",'CALENDARIO'!$G$15:$G$214,0)),INDEX(patronHabil,WEEKDAY($I614,2)))))</f>
        <v/>
      </c>
    </row>
    <row r="615">
      <c r="I615" s="41" t="n">
        <v>46633</v>
      </c>
      <c r="J615" s="24">
        <f>IFERROR(INDEX('CALENDARIO'!$C$15:$C$214,MATCH(TEXT($I615,"yyyy-mm-dd")&amp;"|"&amp;""&amp;"|"&amp;"",'CALENDARIO'!$G$15:$G$214,0)),IFERROR(INDEX('CALENDARIO'!$C$15:$C$214,MATCH(TEXT($I615,"yyyy-mm-dd")&amp;"|"&amp;""&amp;"|",'CALENDARIO'!$G$15:$G$214,0)),IFERROR(INDEX('CALENDARIO'!$C$15:$C$214,MATCH(TEXT($I615,"yyyy-mm-dd")&amp;"||",'CALENDARIO'!$G$15:$G$214,0)),INDEX(patronHabil,WEEKDAY($I615,2)))))</f>
        <v/>
      </c>
    </row>
    <row r="616">
      <c r="I616" s="41" t="n">
        <v>46634</v>
      </c>
      <c r="J616" s="24">
        <f>IFERROR(INDEX('CALENDARIO'!$C$15:$C$214,MATCH(TEXT($I616,"yyyy-mm-dd")&amp;"|"&amp;""&amp;"|"&amp;"",'CALENDARIO'!$G$15:$G$214,0)),IFERROR(INDEX('CALENDARIO'!$C$15:$C$214,MATCH(TEXT($I616,"yyyy-mm-dd")&amp;"|"&amp;""&amp;"|",'CALENDARIO'!$G$15:$G$214,0)),IFERROR(INDEX('CALENDARIO'!$C$15:$C$214,MATCH(TEXT($I616,"yyyy-mm-dd")&amp;"||",'CALENDARIO'!$G$15:$G$214,0)),INDEX(patronHabil,WEEKDAY($I616,2)))))</f>
        <v/>
      </c>
    </row>
    <row r="617">
      <c r="I617" s="41" t="n">
        <v>46635</v>
      </c>
      <c r="J617" s="24">
        <f>IFERROR(INDEX('CALENDARIO'!$C$15:$C$214,MATCH(TEXT($I617,"yyyy-mm-dd")&amp;"|"&amp;""&amp;"|"&amp;"",'CALENDARIO'!$G$15:$G$214,0)),IFERROR(INDEX('CALENDARIO'!$C$15:$C$214,MATCH(TEXT($I617,"yyyy-mm-dd")&amp;"|"&amp;""&amp;"|",'CALENDARIO'!$G$15:$G$214,0)),IFERROR(INDEX('CALENDARIO'!$C$15:$C$214,MATCH(TEXT($I617,"yyyy-mm-dd")&amp;"||",'CALENDARIO'!$G$15:$G$214,0)),INDEX(patronHabil,WEEKDAY($I617,2)))))</f>
        <v/>
      </c>
    </row>
    <row r="618">
      <c r="I618" s="41" t="n">
        <v>46636</v>
      </c>
      <c r="J618" s="24">
        <f>IFERROR(INDEX('CALENDARIO'!$C$15:$C$214,MATCH(TEXT($I618,"yyyy-mm-dd")&amp;"|"&amp;""&amp;"|"&amp;"",'CALENDARIO'!$G$15:$G$214,0)),IFERROR(INDEX('CALENDARIO'!$C$15:$C$214,MATCH(TEXT($I618,"yyyy-mm-dd")&amp;"|"&amp;""&amp;"|",'CALENDARIO'!$G$15:$G$214,0)),IFERROR(INDEX('CALENDARIO'!$C$15:$C$214,MATCH(TEXT($I618,"yyyy-mm-dd")&amp;"||",'CALENDARIO'!$G$15:$G$214,0)),INDEX(patronHabil,WEEKDAY($I618,2)))))</f>
        <v/>
      </c>
    </row>
    <row r="619">
      <c r="I619" s="41" t="n">
        <v>46637</v>
      </c>
      <c r="J619" s="24">
        <f>IFERROR(INDEX('CALENDARIO'!$C$15:$C$214,MATCH(TEXT($I619,"yyyy-mm-dd")&amp;"|"&amp;""&amp;"|"&amp;"",'CALENDARIO'!$G$15:$G$214,0)),IFERROR(INDEX('CALENDARIO'!$C$15:$C$214,MATCH(TEXT($I619,"yyyy-mm-dd")&amp;"|"&amp;""&amp;"|",'CALENDARIO'!$G$15:$G$214,0)),IFERROR(INDEX('CALENDARIO'!$C$15:$C$214,MATCH(TEXT($I619,"yyyy-mm-dd")&amp;"||",'CALENDARIO'!$G$15:$G$214,0)),INDEX(patronHabil,WEEKDAY($I619,2)))))</f>
        <v/>
      </c>
    </row>
    <row r="620">
      <c r="I620" s="41" t="n">
        <v>46638</v>
      </c>
      <c r="J620" s="24">
        <f>IFERROR(INDEX('CALENDARIO'!$C$15:$C$214,MATCH(TEXT($I620,"yyyy-mm-dd")&amp;"|"&amp;""&amp;"|"&amp;"",'CALENDARIO'!$G$15:$G$214,0)),IFERROR(INDEX('CALENDARIO'!$C$15:$C$214,MATCH(TEXT($I620,"yyyy-mm-dd")&amp;"|"&amp;""&amp;"|",'CALENDARIO'!$G$15:$G$214,0)),IFERROR(INDEX('CALENDARIO'!$C$15:$C$214,MATCH(TEXT($I620,"yyyy-mm-dd")&amp;"||",'CALENDARIO'!$G$15:$G$214,0)),INDEX(patronHabil,WEEKDAY($I620,2)))))</f>
        <v/>
      </c>
    </row>
    <row r="621">
      <c r="I621" s="41" t="n">
        <v>46639</v>
      </c>
      <c r="J621" s="24">
        <f>IFERROR(INDEX('CALENDARIO'!$C$15:$C$214,MATCH(TEXT($I621,"yyyy-mm-dd")&amp;"|"&amp;""&amp;"|"&amp;"",'CALENDARIO'!$G$15:$G$214,0)),IFERROR(INDEX('CALENDARIO'!$C$15:$C$214,MATCH(TEXT($I621,"yyyy-mm-dd")&amp;"|"&amp;""&amp;"|",'CALENDARIO'!$G$15:$G$214,0)),IFERROR(INDEX('CALENDARIO'!$C$15:$C$214,MATCH(TEXT($I621,"yyyy-mm-dd")&amp;"||",'CALENDARIO'!$G$15:$G$214,0)),INDEX(patronHabil,WEEKDAY($I621,2)))))</f>
        <v/>
      </c>
    </row>
    <row r="622">
      <c r="I622" s="41" t="n">
        <v>46640</v>
      </c>
      <c r="J622" s="24">
        <f>IFERROR(INDEX('CALENDARIO'!$C$15:$C$214,MATCH(TEXT($I622,"yyyy-mm-dd")&amp;"|"&amp;""&amp;"|"&amp;"",'CALENDARIO'!$G$15:$G$214,0)),IFERROR(INDEX('CALENDARIO'!$C$15:$C$214,MATCH(TEXT($I622,"yyyy-mm-dd")&amp;"|"&amp;""&amp;"|",'CALENDARIO'!$G$15:$G$214,0)),IFERROR(INDEX('CALENDARIO'!$C$15:$C$214,MATCH(TEXT($I622,"yyyy-mm-dd")&amp;"||",'CALENDARIO'!$G$15:$G$214,0)),INDEX(patronHabil,WEEKDAY($I622,2)))))</f>
        <v/>
      </c>
    </row>
    <row r="623">
      <c r="I623" s="41" t="n">
        <v>46641</v>
      </c>
      <c r="J623" s="24">
        <f>IFERROR(INDEX('CALENDARIO'!$C$15:$C$214,MATCH(TEXT($I623,"yyyy-mm-dd")&amp;"|"&amp;""&amp;"|"&amp;"",'CALENDARIO'!$G$15:$G$214,0)),IFERROR(INDEX('CALENDARIO'!$C$15:$C$214,MATCH(TEXT($I623,"yyyy-mm-dd")&amp;"|"&amp;""&amp;"|",'CALENDARIO'!$G$15:$G$214,0)),IFERROR(INDEX('CALENDARIO'!$C$15:$C$214,MATCH(TEXT($I623,"yyyy-mm-dd")&amp;"||",'CALENDARIO'!$G$15:$G$214,0)),INDEX(patronHabil,WEEKDAY($I623,2)))))</f>
        <v/>
      </c>
    </row>
    <row r="624">
      <c r="I624" s="41" t="n">
        <v>46642</v>
      </c>
      <c r="J624" s="24">
        <f>IFERROR(INDEX('CALENDARIO'!$C$15:$C$214,MATCH(TEXT($I624,"yyyy-mm-dd")&amp;"|"&amp;""&amp;"|"&amp;"",'CALENDARIO'!$G$15:$G$214,0)),IFERROR(INDEX('CALENDARIO'!$C$15:$C$214,MATCH(TEXT($I624,"yyyy-mm-dd")&amp;"|"&amp;""&amp;"|",'CALENDARIO'!$G$15:$G$214,0)),IFERROR(INDEX('CALENDARIO'!$C$15:$C$214,MATCH(TEXT($I624,"yyyy-mm-dd")&amp;"||",'CALENDARIO'!$G$15:$G$214,0)),INDEX(patronHabil,WEEKDAY($I624,2)))))</f>
        <v/>
      </c>
    </row>
    <row r="625">
      <c r="I625" s="41" t="n">
        <v>46643</v>
      </c>
      <c r="J625" s="24">
        <f>IFERROR(INDEX('CALENDARIO'!$C$15:$C$214,MATCH(TEXT($I625,"yyyy-mm-dd")&amp;"|"&amp;""&amp;"|"&amp;"",'CALENDARIO'!$G$15:$G$214,0)),IFERROR(INDEX('CALENDARIO'!$C$15:$C$214,MATCH(TEXT($I625,"yyyy-mm-dd")&amp;"|"&amp;""&amp;"|",'CALENDARIO'!$G$15:$G$214,0)),IFERROR(INDEX('CALENDARIO'!$C$15:$C$214,MATCH(TEXT($I625,"yyyy-mm-dd")&amp;"||",'CALENDARIO'!$G$15:$G$214,0)),INDEX(patronHabil,WEEKDAY($I625,2)))))</f>
        <v/>
      </c>
    </row>
    <row r="626">
      <c r="I626" s="41" t="n">
        <v>46644</v>
      </c>
      <c r="J626" s="24">
        <f>IFERROR(INDEX('CALENDARIO'!$C$15:$C$214,MATCH(TEXT($I626,"yyyy-mm-dd")&amp;"|"&amp;""&amp;"|"&amp;"",'CALENDARIO'!$G$15:$G$214,0)),IFERROR(INDEX('CALENDARIO'!$C$15:$C$214,MATCH(TEXT($I626,"yyyy-mm-dd")&amp;"|"&amp;""&amp;"|",'CALENDARIO'!$G$15:$G$214,0)),IFERROR(INDEX('CALENDARIO'!$C$15:$C$214,MATCH(TEXT($I626,"yyyy-mm-dd")&amp;"||",'CALENDARIO'!$G$15:$G$214,0)),INDEX(patronHabil,WEEKDAY($I626,2)))))</f>
        <v/>
      </c>
    </row>
    <row r="627">
      <c r="I627" s="41" t="n">
        <v>46645</v>
      </c>
      <c r="J627" s="24">
        <f>IFERROR(INDEX('CALENDARIO'!$C$15:$C$214,MATCH(TEXT($I627,"yyyy-mm-dd")&amp;"|"&amp;""&amp;"|"&amp;"",'CALENDARIO'!$G$15:$G$214,0)),IFERROR(INDEX('CALENDARIO'!$C$15:$C$214,MATCH(TEXT($I627,"yyyy-mm-dd")&amp;"|"&amp;""&amp;"|",'CALENDARIO'!$G$15:$G$214,0)),IFERROR(INDEX('CALENDARIO'!$C$15:$C$214,MATCH(TEXT($I627,"yyyy-mm-dd")&amp;"||",'CALENDARIO'!$G$15:$G$214,0)),INDEX(patronHabil,WEEKDAY($I627,2)))))</f>
        <v/>
      </c>
    </row>
    <row r="628">
      <c r="I628" s="41" t="n">
        <v>46646</v>
      </c>
      <c r="J628" s="24">
        <f>IFERROR(INDEX('CALENDARIO'!$C$15:$C$214,MATCH(TEXT($I628,"yyyy-mm-dd")&amp;"|"&amp;""&amp;"|"&amp;"",'CALENDARIO'!$G$15:$G$214,0)),IFERROR(INDEX('CALENDARIO'!$C$15:$C$214,MATCH(TEXT($I628,"yyyy-mm-dd")&amp;"|"&amp;""&amp;"|",'CALENDARIO'!$G$15:$G$214,0)),IFERROR(INDEX('CALENDARIO'!$C$15:$C$214,MATCH(TEXT($I628,"yyyy-mm-dd")&amp;"||",'CALENDARIO'!$G$15:$G$214,0)),INDEX(patronHabil,WEEKDAY($I628,2)))))</f>
        <v/>
      </c>
    </row>
    <row r="629">
      <c r="I629" s="41" t="n">
        <v>46647</v>
      </c>
      <c r="J629" s="24">
        <f>IFERROR(INDEX('CALENDARIO'!$C$15:$C$214,MATCH(TEXT($I629,"yyyy-mm-dd")&amp;"|"&amp;""&amp;"|"&amp;"",'CALENDARIO'!$G$15:$G$214,0)),IFERROR(INDEX('CALENDARIO'!$C$15:$C$214,MATCH(TEXT($I629,"yyyy-mm-dd")&amp;"|"&amp;""&amp;"|",'CALENDARIO'!$G$15:$G$214,0)),IFERROR(INDEX('CALENDARIO'!$C$15:$C$214,MATCH(TEXT($I629,"yyyy-mm-dd")&amp;"||",'CALENDARIO'!$G$15:$G$214,0)),INDEX(patronHabil,WEEKDAY($I629,2)))))</f>
        <v/>
      </c>
    </row>
    <row r="630">
      <c r="I630" s="41" t="n">
        <v>46648</v>
      </c>
      <c r="J630" s="24">
        <f>IFERROR(INDEX('CALENDARIO'!$C$15:$C$214,MATCH(TEXT($I630,"yyyy-mm-dd")&amp;"|"&amp;""&amp;"|"&amp;"",'CALENDARIO'!$G$15:$G$214,0)),IFERROR(INDEX('CALENDARIO'!$C$15:$C$214,MATCH(TEXT($I630,"yyyy-mm-dd")&amp;"|"&amp;""&amp;"|",'CALENDARIO'!$G$15:$G$214,0)),IFERROR(INDEX('CALENDARIO'!$C$15:$C$214,MATCH(TEXT($I630,"yyyy-mm-dd")&amp;"||",'CALENDARIO'!$G$15:$G$214,0)),INDEX(patronHabil,WEEKDAY($I630,2)))))</f>
        <v/>
      </c>
    </row>
    <row r="631">
      <c r="I631" s="41" t="n">
        <v>46649</v>
      </c>
      <c r="J631" s="24">
        <f>IFERROR(INDEX('CALENDARIO'!$C$15:$C$214,MATCH(TEXT($I631,"yyyy-mm-dd")&amp;"|"&amp;""&amp;"|"&amp;"",'CALENDARIO'!$G$15:$G$214,0)),IFERROR(INDEX('CALENDARIO'!$C$15:$C$214,MATCH(TEXT($I631,"yyyy-mm-dd")&amp;"|"&amp;""&amp;"|",'CALENDARIO'!$G$15:$G$214,0)),IFERROR(INDEX('CALENDARIO'!$C$15:$C$214,MATCH(TEXT($I631,"yyyy-mm-dd")&amp;"||",'CALENDARIO'!$G$15:$G$214,0)),INDEX(patronHabil,WEEKDAY($I631,2)))))</f>
        <v/>
      </c>
    </row>
    <row r="632">
      <c r="I632" s="41" t="n">
        <v>46650</v>
      </c>
      <c r="J632" s="24">
        <f>IFERROR(INDEX('CALENDARIO'!$C$15:$C$214,MATCH(TEXT($I632,"yyyy-mm-dd")&amp;"|"&amp;""&amp;"|"&amp;"",'CALENDARIO'!$G$15:$G$214,0)),IFERROR(INDEX('CALENDARIO'!$C$15:$C$214,MATCH(TEXT($I632,"yyyy-mm-dd")&amp;"|"&amp;""&amp;"|",'CALENDARIO'!$G$15:$G$214,0)),IFERROR(INDEX('CALENDARIO'!$C$15:$C$214,MATCH(TEXT($I632,"yyyy-mm-dd")&amp;"||",'CALENDARIO'!$G$15:$G$214,0)),INDEX(patronHabil,WEEKDAY($I632,2)))))</f>
        <v/>
      </c>
    </row>
    <row r="633">
      <c r="I633" s="41" t="n">
        <v>46651</v>
      </c>
      <c r="J633" s="24">
        <f>IFERROR(INDEX('CALENDARIO'!$C$15:$C$214,MATCH(TEXT($I633,"yyyy-mm-dd")&amp;"|"&amp;""&amp;"|"&amp;"",'CALENDARIO'!$G$15:$G$214,0)),IFERROR(INDEX('CALENDARIO'!$C$15:$C$214,MATCH(TEXT($I633,"yyyy-mm-dd")&amp;"|"&amp;""&amp;"|",'CALENDARIO'!$G$15:$G$214,0)),IFERROR(INDEX('CALENDARIO'!$C$15:$C$214,MATCH(TEXT($I633,"yyyy-mm-dd")&amp;"||",'CALENDARIO'!$G$15:$G$214,0)),INDEX(patronHabil,WEEKDAY($I633,2)))))</f>
        <v/>
      </c>
    </row>
    <row r="634">
      <c r="I634" s="41" t="n">
        <v>46652</v>
      </c>
      <c r="J634" s="24">
        <f>IFERROR(INDEX('CALENDARIO'!$C$15:$C$214,MATCH(TEXT($I634,"yyyy-mm-dd")&amp;"|"&amp;""&amp;"|"&amp;"",'CALENDARIO'!$G$15:$G$214,0)),IFERROR(INDEX('CALENDARIO'!$C$15:$C$214,MATCH(TEXT($I634,"yyyy-mm-dd")&amp;"|"&amp;""&amp;"|",'CALENDARIO'!$G$15:$G$214,0)),IFERROR(INDEX('CALENDARIO'!$C$15:$C$214,MATCH(TEXT($I634,"yyyy-mm-dd")&amp;"||",'CALENDARIO'!$G$15:$G$214,0)),INDEX(patronHabil,WEEKDAY($I634,2)))))</f>
        <v/>
      </c>
    </row>
    <row r="635">
      <c r="I635" s="41" t="n">
        <v>46653</v>
      </c>
      <c r="J635" s="24">
        <f>IFERROR(INDEX('CALENDARIO'!$C$15:$C$214,MATCH(TEXT($I635,"yyyy-mm-dd")&amp;"|"&amp;""&amp;"|"&amp;"",'CALENDARIO'!$G$15:$G$214,0)),IFERROR(INDEX('CALENDARIO'!$C$15:$C$214,MATCH(TEXT($I635,"yyyy-mm-dd")&amp;"|"&amp;""&amp;"|",'CALENDARIO'!$G$15:$G$214,0)),IFERROR(INDEX('CALENDARIO'!$C$15:$C$214,MATCH(TEXT($I635,"yyyy-mm-dd")&amp;"||",'CALENDARIO'!$G$15:$G$214,0)),INDEX(patronHabil,WEEKDAY($I635,2)))))</f>
        <v/>
      </c>
    </row>
    <row r="636">
      <c r="I636" s="41" t="n">
        <v>46654</v>
      </c>
      <c r="J636" s="24">
        <f>IFERROR(INDEX('CALENDARIO'!$C$15:$C$214,MATCH(TEXT($I636,"yyyy-mm-dd")&amp;"|"&amp;""&amp;"|"&amp;"",'CALENDARIO'!$G$15:$G$214,0)),IFERROR(INDEX('CALENDARIO'!$C$15:$C$214,MATCH(TEXT($I636,"yyyy-mm-dd")&amp;"|"&amp;""&amp;"|",'CALENDARIO'!$G$15:$G$214,0)),IFERROR(INDEX('CALENDARIO'!$C$15:$C$214,MATCH(TEXT($I636,"yyyy-mm-dd")&amp;"||",'CALENDARIO'!$G$15:$G$214,0)),INDEX(patronHabil,WEEKDAY($I636,2)))))</f>
        <v/>
      </c>
    </row>
    <row r="637">
      <c r="I637" s="41" t="n">
        <v>46655</v>
      </c>
      <c r="J637" s="24">
        <f>IFERROR(INDEX('CALENDARIO'!$C$15:$C$214,MATCH(TEXT($I637,"yyyy-mm-dd")&amp;"|"&amp;""&amp;"|"&amp;"",'CALENDARIO'!$G$15:$G$214,0)),IFERROR(INDEX('CALENDARIO'!$C$15:$C$214,MATCH(TEXT($I637,"yyyy-mm-dd")&amp;"|"&amp;""&amp;"|",'CALENDARIO'!$G$15:$G$214,0)),IFERROR(INDEX('CALENDARIO'!$C$15:$C$214,MATCH(TEXT($I637,"yyyy-mm-dd")&amp;"||",'CALENDARIO'!$G$15:$G$214,0)),INDEX(patronHabil,WEEKDAY($I637,2)))))</f>
        <v/>
      </c>
    </row>
    <row r="638">
      <c r="I638" s="41" t="n">
        <v>46656</v>
      </c>
      <c r="J638" s="24">
        <f>IFERROR(INDEX('CALENDARIO'!$C$15:$C$214,MATCH(TEXT($I638,"yyyy-mm-dd")&amp;"|"&amp;""&amp;"|"&amp;"",'CALENDARIO'!$G$15:$G$214,0)),IFERROR(INDEX('CALENDARIO'!$C$15:$C$214,MATCH(TEXT($I638,"yyyy-mm-dd")&amp;"|"&amp;""&amp;"|",'CALENDARIO'!$G$15:$G$214,0)),IFERROR(INDEX('CALENDARIO'!$C$15:$C$214,MATCH(TEXT($I638,"yyyy-mm-dd")&amp;"||",'CALENDARIO'!$G$15:$G$214,0)),INDEX(patronHabil,WEEKDAY($I638,2)))))</f>
        <v/>
      </c>
    </row>
    <row r="639">
      <c r="I639" s="41" t="n">
        <v>46657</v>
      </c>
      <c r="J639" s="24">
        <f>IFERROR(INDEX('CALENDARIO'!$C$15:$C$214,MATCH(TEXT($I639,"yyyy-mm-dd")&amp;"|"&amp;""&amp;"|"&amp;"",'CALENDARIO'!$G$15:$G$214,0)),IFERROR(INDEX('CALENDARIO'!$C$15:$C$214,MATCH(TEXT($I639,"yyyy-mm-dd")&amp;"|"&amp;""&amp;"|",'CALENDARIO'!$G$15:$G$214,0)),IFERROR(INDEX('CALENDARIO'!$C$15:$C$214,MATCH(TEXT($I639,"yyyy-mm-dd")&amp;"||",'CALENDARIO'!$G$15:$G$214,0)),INDEX(patronHabil,WEEKDAY($I639,2)))))</f>
        <v/>
      </c>
    </row>
    <row r="640">
      <c r="I640" s="41" t="n">
        <v>46658</v>
      </c>
      <c r="J640" s="24">
        <f>IFERROR(INDEX('CALENDARIO'!$C$15:$C$214,MATCH(TEXT($I640,"yyyy-mm-dd")&amp;"|"&amp;""&amp;"|"&amp;"",'CALENDARIO'!$G$15:$G$214,0)),IFERROR(INDEX('CALENDARIO'!$C$15:$C$214,MATCH(TEXT($I640,"yyyy-mm-dd")&amp;"|"&amp;""&amp;"|",'CALENDARIO'!$G$15:$G$214,0)),IFERROR(INDEX('CALENDARIO'!$C$15:$C$214,MATCH(TEXT($I640,"yyyy-mm-dd")&amp;"||",'CALENDARIO'!$G$15:$G$214,0)),INDEX(patronHabil,WEEKDAY($I640,2)))))</f>
        <v/>
      </c>
    </row>
    <row r="641">
      <c r="I641" s="41" t="n">
        <v>46659</v>
      </c>
      <c r="J641" s="24">
        <f>IFERROR(INDEX('CALENDARIO'!$C$15:$C$214,MATCH(TEXT($I641,"yyyy-mm-dd")&amp;"|"&amp;""&amp;"|"&amp;"",'CALENDARIO'!$G$15:$G$214,0)),IFERROR(INDEX('CALENDARIO'!$C$15:$C$214,MATCH(TEXT($I641,"yyyy-mm-dd")&amp;"|"&amp;""&amp;"|",'CALENDARIO'!$G$15:$G$214,0)),IFERROR(INDEX('CALENDARIO'!$C$15:$C$214,MATCH(TEXT($I641,"yyyy-mm-dd")&amp;"||",'CALENDARIO'!$G$15:$G$214,0)),INDEX(patronHabil,WEEKDAY($I641,2)))))</f>
        <v/>
      </c>
    </row>
    <row r="642">
      <c r="I642" s="41" t="n">
        <v>46660</v>
      </c>
      <c r="J642" s="24">
        <f>IFERROR(INDEX('CALENDARIO'!$C$15:$C$214,MATCH(TEXT($I642,"yyyy-mm-dd")&amp;"|"&amp;""&amp;"|"&amp;"",'CALENDARIO'!$G$15:$G$214,0)),IFERROR(INDEX('CALENDARIO'!$C$15:$C$214,MATCH(TEXT($I642,"yyyy-mm-dd")&amp;"|"&amp;""&amp;"|",'CALENDARIO'!$G$15:$G$214,0)),IFERROR(INDEX('CALENDARIO'!$C$15:$C$214,MATCH(TEXT($I642,"yyyy-mm-dd")&amp;"||",'CALENDARIO'!$G$15:$G$214,0)),INDEX(patronHabil,WEEKDAY($I642,2)))))</f>
        <v/>
      </c>
    </row>
    <row r="643">
      <c r="I643" s="41" t="n">
        <v>46661</v>
      </c>
      <c r="J643" s="24">
        <f>IFERROR(INDEX('CALENDARIO'!$C$15:$C$214,MATCH(TEXT($I643,"yyyy-mm-dd")&amp;"|"&amp;""&amp;"|"&amp;"",'CALENDARIO'!$G$15:$G$214,0)),IFERROR(INDEX('CALENDARIO'!$C$15:$C$214,MATCH(TEXT($I643,"yyyy-mm-dd")&amp;"|"&amp;""&amp;"|",'CALENDARIO'!$G$15:$G$214,0)),IFERROR(INDEX('CALENDARIO'!$C$15:$C$214,MATCH(TEXT($I643,"yyyy-mm-dd")&amp;"||",'CALENDARIO'!$G$15:$G$214,0)),INDEX(patronHabil,WEEKDAY($I643,2)))))</f>
        <v/>
      </c>
    </row>
    <row r="644">
      <c r="I644" s="41" t="n">
        <v>46662</v>
      </c>
      <c r="J644" s="24">
        <f>IFERROR(INDEX('CALENDARIO'!$C$15:$C$214,MATCH(TEXT($I644,"yyyy-mm-dd")&amp;"|"&amp;""&amp;"|"&amp;"",'CALENDARIO'!$G$15:$G$214,0)),IFERROR(INDEX('CALENDARIO'!$C$15:$C$214,MATCH(TEXT($I644,"yyyy-mm-dd")&amp;"|"&amp;""&amp;"|",'CALENDARIO'!$G$15:$G$214,0)),IFERROR(INDEX('CALENDARIO'!$C$15:$C$214,MATCH(TEXT($I644,"yyyy-mm-dd")&amp;"||",'CALENDARIO'!$G$15:$G$214,0)),INDEX(patronHabil,WEEKDAY($I644,2)))))</f>
        <v/>
      </c>
    </row>
    <row r="645">
      <c r="I645" s="41" t="n">
        <v>46663</v>
      </c>
      <c r="J645" s="24">
        <f>IFERROR(INDEX('CALENDARIO'!$C$15:$C$214,MATCH(TEXT($I645,"yyyy-mm-dd")&amp;"|"&amp;""&amp;"|"&amp;"",'CALENDARIO'!$G$15:$G$214,0)),IFERROR(INDEX('CALENDARIO'!$C$15:$C$214,MATCH(TEXT($I645,"yyyy-mm-dd")&amp;"|"&amp;""&amp;"|",'CALENDARIO'!$G$15:$G$214,0)),IFERROR(INDEX('CALENDARIO'!$C$15:$C$214,MATCH(TEXT($I645,"yyyy-mm-dd")&amp;"||",'CALENDARIO'!$G$15:$G$214,0)),INDEX(patronHabil,WEEKDAY($I645,2)))))</f>
        <v/>
      </c>
    </row>
    <row r="646">
      <c r="I646" s="41" t="n">
        <v>46664</v>
      </c>
      <c r="J646" s="24">
        <f>IFERROR(INDEX('CALENDARIO'!$C$15:$C$214,MATCH(TEXT($I646,"yyyy-mm-dd")&amp;"|"&amp;""&amp;"|"&amp;"",'CALENDARIO'!$G$15:$G$214,0)),IFERROR(INDEX('CALENDARIO'!$C$15:$C$214,MATCH(TEXT($I646,"yyyy-mm-dd")&amp;"|"&amp;""&amp;"|",'CALENDARIO'!$G$15:$G$214,0)),IFERROR(INDEX('CALENDARIO'!$C$15:$C$214,MATCH(TEXT($I646,"yyyy-mm-dd")&amp;"||",'CALENDARIO'!$G$15:$G$214,0)),INDEX(patronHabil,WEEKDAY($I646,2)))))</f>
        <v/>
      </c>
    </row>
    <row r="647">
      <c r="I647" s="41" t="n">
        <v>46665</v>
      </c>
      <c r="J647" s="24">
        <f>IFERROR(INDEX('CALENDARIO'!$C$15:$C$214,MATCH(TEXT($I647,"yyyy-mm-dd")&amp;"|"&amp;""&amp;"|"&amp;"",'CALENDARIO'!$G$15:$G$214,0)),IFERROR(INDEX('CALENDARIO'!$C$15:$C$214,MATCH(TEXT($I647,"yyyy-mm-dd")&amp;"|"&amp;""&amp;"|",'CALENDARIO'!$G$15:$G$214,0)),IFERROR(INDEX('CALENDARIO'!$C$15:$C$214,MATCH(TEXT($I647,"yyyy-mm-dd")&amp;"||",'CALENDARIO'!$G$15:$G$214,0)),INDEX(patronHabil,WEEKDAY($I647,2)))))</f>
        <v/>
      </c>
    </row>
    <row r="648">
      <c r="I648" s="41" t="n">
        <v>46666</v>
      </c>
      <c r="J648" s="24">
        <f>IFERROR(INDEX('CALENDARIO'!$C$15:$C$214,MATCH(TEXT($I648,"yyyy-mm-dd")&amp;"|"&amp;""&amp;"|"&amp;"",'CALENDARIO'!$G$15:$G$214,0)),IFERROR(INDEX('CALENDARIO'!$C$15:$C$214,MATCH(TEXT($I648,"yyyy-mm-dd")&amp;"|"&amp;""&amp;"|",'CALENDARIO'!$G$15:$G$214,0)),IFERROR(INDEX('CALENDARIO'!$C$15:$C$214,MATCH(TEXT($I648,"yyyy-mm-dd")&amp;"||",'CALENDARIO'!$G$15:$G$214,0)),INDEX(patronHabil,WEEKDAY($I648,2)))))</f>
        <v/>
      </c>
    </row>
    <row r="649">
      <c r="I649" s="41" t="n">
        <v>46667</v>
      </c>
      <c r="J649" s="24">
        <f>IFERROR(INDEX('CALENDARIO'!$C$15:$C$214,MATCH(TEXT($I649,"yyyy-mm-dd")&amp;"|"&amp;""&amp;"|"&amp;"",'CALENDARIO'!$G$15:$G$214,0)),IFERROR(INDEX('CALENDARIO'!$C$15:$C$214,MATCH(TEXT($I649,"yyyy-mm-dd")&amp;"|"&amp;""&amp;"|",'CALENDARIO'!$G$15:$G$214,0)),IFERROR(INDEX('CALENDARIO'!$C$15:$C$214,MATCH(TEXT($I649,"yyyy-mm-dd")&amp;"||",'CALENDARIO'!$G$15:$G$214,0)),INDEX(patronHabil,WEEKDAY($I649,2)))))</f>
        <v/>
      </c>
    </row>
    <row r="650">
      <c r="I650" s="41" t="n">
        <v>46668</v>
      </c>
      <c r="J650" s="24">
        <f>IFERROR(INDEX('CALENDARIO'!$C$15:$C$214,MATCH(TEXT($I650,"yyyy-mm-dd")&amp;"|"&amp;""&amp;"|"&amp;"",'CALENDARIO'!$G$15:$G$214,0)),IFERROR(INDEX('CALENDARIO'!$C$15:$C$214,MATCH(TEXT($I650,"yyyy-mm-dd")&amp;"|"&amp;""&amp;"|",'CALENDARIO'!$G$15:$G$214,0)),IFERROR(INDEX('CALENDARIO'!$C$15:$C$214,MATCH(TEXT($I650,"yyyy-mm-dd")&amp;"||",'CALENDARIO'!$G$15:$G$214,0)),INDEX(patronHabil,WEEKDAY($I650,2)))))</f>
        <v/>
      </c>
    </row>
    <row r="651">
      <c r="I651" s="41" t="n">
        <v>46669</v>
      </c>
      <c r="J651" s="24">
        <f>IFERROR(INDEX('CALENDARIO'!$C$15:$C$214,MATCH(TEXT($I651,"yyyy-mm-dd")&amp;"|"&amp;""&amp;"|"&amp;"",'CALENDARIO'!$G$15:$G$214,0)),IFERROR(INDEX('CALENDARIO'!$C$15:$C$214,MATCH(TEXT($I651,"yyyy-mm-dd")&amp;"|"&amp;""&amp;"|",'CALENDARIO'!$G$15:$G$214,0)),IFERROR(INDEX('CALENDARIO'!$C$15:$C$214,MATCH(TEXT($I651,"yyyy-mm-dd")&amp;"||",'CALENDARIO'!$G$15:$G$214,0)),INDEX(patronHabil,WEEKDAY($I651,2)))))</f>
        <v/>
      </c>
    </row>
    <row r="652">
      <c r="I652" s="41" t="n">
        <v>46670</v>
      </c>
      <c r="J652" s="24">
        <f>IFERROR(INDEX('CALENDARIO'!$C$15:$C$214,MATCH(TEXT($I652,"yyyy-mm-dd")&amp;"|"&amp;""&amp;"|"&amp;"",'CALENDARIO'!$G$15:$G$214,0)),IFERROR(INDEX('CALENDARIO'!$C$15:$C$214,MATCH(TEXT($I652,"yyyy-mm-dd")&amp;"|"&amp;""&amp;"|",'CALENDARIO'!$G$15:$G$214,0)),IFERROR(INDEX('CALENDARIO'!$C$15:$C$214,MATCH(TEXT($I652,"yyyy-mm-dd")&amp;"||",'CALENDARIO'!$G$15:$G$214,0)),INDEX(patronHabil,WEEKDAY($I652,2)))))</f>
        <v/>
      </c>
    </row>
    <row r="653">
      <c r="I653" s="41" t="n">
        <v>46671</v>
      </c>
      <c r="J653" s="24">
        <f>IFERROR(INDEX('CALENDARIO'!$C$15:$C$214,MATCH(TEXT($I653,"yyyy-mm-dd")&amp;"|"&amp;""&amp;"|"&amp;"",'CALENDARIO'!$G$15:$G$214,0)),IFERROR(INDEX('CALENDARIO'!$C$15:$C$214,MATCH(TEXT($I653,"yyyy-mm-dd")&amp;"|"&amp;""&amp;"|",'CALENDARIO'!$G$15:$G$214,0)),IFERROR(INDEX('CALENDARIO'!$C$15:$C$214,MATCH(TEXT($I653,"yyyy-mm-dd")&amp;"||",'CALENDARIO'!$G$15:$G$214,0)),INDEX(patronHabil,WEEKDAY($I653,2)))))</f>
        <v/>
      </c>
    </row>
    <row r="654">
      <c r="I654" s="41" t="n">
        <v>46672</v>
      </c>
      <c r="J654" s="24">
        <f>IFERROR(INDEX('CALENDARIO'!$C$15:$C$214,MATCH(TEXT($I654,"yyyy-mm-dd")&amp;"|"&amp;""&amp;"|"&amp;"",'CALENDARIO'!$G$15:$G$214,0)),IFERROR(INDEX('CALENDARIO'!$C$15:$C$214,MATCH(TEXT($I654,"yyyy-mm-dd")&amp;"|"&amp;""&amp;"|",'CALENDARIO'!$G$15:$G$214,0)),IFERROR(INDEX('CALENDARIO'!$C$15:$C$214,MATCH(TEXT($I654,"yyyy-mm-dd")&amp;"||",'CALENDARIO'!$G$15:$G$214,0)),INDEX(patronHabil,WEEKDAY($I654,2)))))</f>
        <v/>
      </c>
    </row>
    <row r="655">
      <c r="I655" s="41" t="n">
        <v>46673</v>
      </c>
      <c r="J655" s="24">
        <f>IFERROR(INDEX('CALENDARIO'!$C$15:$C$214,MATCH(TEXT($I655,"yyyy-mm-dd")&amp;"|"&amp;""&amp;"|"&amp;"",'CALENDARIO'!$G$15:$G$214,0)),IFERROR(INDEX('CALENDARIO'!$C$15:$C$214,MATCH(TEXT($I655,"yyyy-mm-dd")&amp;"|"&amp;""&amp;"|",'CALENDARIO'!$G$15:$G$214,0)),IFERROR(INDEX('CALENDARIO'!$C$15:$C$214,MATCH(TEXT($I655,"yyyy-mm-dd")&amp;"||",'CALENDARIO'!$G$15:$G$214,0)),INDEX(patronHabil,WEEKDAY($I655,2)))))</f>
        <v/>
      </c>
    </row>
    <row r="656">
      <c r="I656" s="41" t="n">
        <v>46674</v>
      </c>
      <c r="J656" s="24">
        <f>IFERROR(INDEX('CALENDARIO'!$C$15:$C$214,MATCH(TEXT($I656,"yyyy-mm-dd")&amp;"|"&amp;""&amp;"|"&amp;"",'CALENDARIO'!$G$15:$G$214,0)),IFERROR(INDEX('CALENDARIO'!$C$15:$C$214,MATCH(TEXT($I656,"yyyy-mm-dd")&amp;"|"&amp;""&amp;"|",'CALENDARIO'!$G$15:$G$214,0)),IFERROR(INDEX('CALENDARIO'!$C$15:$C$214,MATCH(TEXT($I656,"yyyy-mm-dd")&amp;"||",'CALENDARIO'!$G$15:$G$214,0)),INDEX(patronHabil,WEEKDAY($I656,2)))))</f>
        <v/>
      </c>
    </row>
    <row r="657">
      <c r="I657" s="41" t="n">
        <v>46675</v>
      </c>
      <c r="J657" s="24">
        <f>IFERROR(INDEX('CALENDARIO'!$C$15:$C$214,MATCH(TEXT($I657,"yyyy-mm-dd")&amp;"|"&amp;""&amp;"|"&amp;"",'CALENDARIO'!$G$15:$G$214,0)),IFERROR(INDEX('CALENDARIO'!$C$15:$C$214,MATCH(TEXT($I657,"yyyy-mm-dd")&amp;"|"&amp;""&amp;"|",'CALENDARIO'!$G$15:$G$214,0)),IFERROR(INDEX('CALENDARIO'!$C$15:$C$214,MATCH(TEXT($I657,"yyyy-mm-dd")&amp;"||",'CALENDARIO'!$G$15:$G$214,0)),INDEX(patronHabil,WEEKDAY($I657,2)))))</f>
        <v/>
      </c>
    </row>
    <row r="658">
      <c r="I658" s="41" t="n">
        <v>46676</v>
      </c>
      <c r="J658" s="24">
        <f>IFERROR(INDEX('CALENDARIO'!$C$15:$C$214,MATCH(TEXT($I658,"yyyy-mm-dd")&amp;"|"&amp;""&amp;"|"&amp;"",'CALENDARIO'!$G$15:$G$214,0)),IFERROR(INDEX('CALENDARIO'!$C$15:$C$214,MATCH(TEXT($I658,"yyyy-mm-dd")&amp;"|"&amp;""&amp;"|",'CALENDARIO'!$G$15:$G$214,0)),IFERROR(INDEX('CALENDARIO'!$C$15:$C$214,MATCH(TEXT($I658,"yyyy-mm-dd")&amp;"||",'CALENDARIO'!$G$15:$G$214,0)),INDEX(patronHabil,WEEKDAY($I658,2)))))</f>
        <v/>
      </c>
    </row>
    <row r="659">
      <c r="I659" s="41" t="n">
        <v>46677</v>
      </c>
      <c r="J659" s="24">
        <f>IFERROR(INDEX('CALENDARIO'!$C$15:$C$214,MATCH(TEXT($I659,"yyyy-mm-dd")&amp;"|"&amp;""&amp;"|"&amp;"",'CALENDARIO'!$G$15:$G$214,0)),IFERROR(INDEX('CALENDARIO'!$C$15:$C$214,MATCH(TEXT($I659,"yyyy-mm-dd")&amp;"|"&amp;""&amp;"|",'CALENDARIO'!$G$15:$G$214,0)),IFERROR(INDEX('CALENDARIO'!$C$15:$C$214,MATCH(TEXT($I659,"yyyy-mm-dd")&amp;"||",'CALENDARIO'!$G$15:$G$214,0)),INDEX(patronHabil,WEEKDAY($I659,2)))))</f>
        <v/>
      </c>
    </row>
    <row r="660">
      <c r="I660" s="41" t="n">
        <v>46678</v>
      </c>
      <c r="J660" s="24">
        <f>IFERROR(INDEX('CALENDARIO'!$C$15:$C$214,MATCH(TEXT($I660,"yyyy-mm-dd")&amp;"|"&amp;""&amp;"|"&amp;"",'CALENDARIO'!$G$15:$G$214,0)),IFERROR(INDEX('CALENDARIO'!$C$15:$C$214,MATCH(TEXT($I660,"yyyy-mm-dd")&amp;"|"&amp;""&amp;"|",'CALENDARIO'!$G$15:$G$214,0)),IFERROR(INDEX('CALENDARIO'!$C$15:$C$214,MATCH(TEXT($I660,"yyyy-mm-dd")&amp;"||",'CALENDARIO'!$G$15:$G$214,0)),INDEX(patronHabil,WEEKDAY($I660,2)))))</f>
        <v/>
      </c>
    </row>
    <row r="661">
      <c r="I661" s="41" t="n">
        <v>46679</v>
      </c>
      <c r="J661" s="24">
        <f>IFERROR(INDEX('CALENDARIO'!$C$15:$C$214,MATCH(TEXT($I661,"yyyy-mm-dd")&amp;"|"&amp;""&amp;"|"&amp;"",'CALENDARIO'!$G$15:$G$214,0)),IFERROR(INDEX('CALENDARIO'!$C$15:$C$214,MATCH(TEXT($I661,"yyyy-mm-dd")&amp;"|"&amp;""&amp;"|",'CALENDARIO'!$G$15:$G$214,0)),IFERROR(INDEX('CALENDARIO'!$C$15:$C$214,MATCH(TEXT($I661,"yyyy-mm-dd")&amp;"||",'CALENDARIO'!$G$15:$G$214,0)),INDEX(patronHabil,WEEKDAY($I661,2)))))</f>
        <v/>
      </c>
    </row>
    <row r="662">
      <c r="I662" s="41" t="n">
        <v>46680</v>
      </c>
      <c r="J662" s="24">
        <f>IFERROR(INDEX('CALENDARIO'!$C$15:$C$214,MATCH(TEXT($I662,"yyyy-mm-dd")&amp;"|"&amp;""&amp;"|"&amp;"",'CALENDARIO'!$G$15:$G$214,0)),IFERROR(INDEX('CALENDARIO'!$C$15:$C$214,MATCH(TEXT($I662,"yyyy-mm-dd")&amp;"|"&amp;""&amp;"|",'CALENDARIO'!$G$15:$G$214,0)),IFERROR(INDEX('CALENDARIO'!$C$15:$C$214,MATCH(TEXT($I662,"yyyy-mm-dd")&amp;"||",'CALENDARIO'!$G$15:$G$214,0)),INDEX(patronHabil,WEEKDAY($I662,2)))))</f>
        <v/>
      </c>
    </row>
    <row r="663">
      <c r="I663" s="41" t="n">
        <v>46681</v>
      </c>
      <c r="J663" s="24">
        <f>IFERROR(INDEX('CALENDARIO'!$C$15:$C$214,MATCH(TEXT($I663,"yyyy-mm-dd")&amp;"|"&amp;""&amp;"|"&amp;"",'CALENDARIO'!$G$15:$G$214,0)),IFERROR(INDEX('CALENDARIO'!$C$15:$C$214,MATCH(TEXT($I663,"yyyy-mm-dd")&amp;"|"&amp;""&amp;"|",'CALENDARIO'!$G$15:$G$214,0)),IFERROR(INDEX('CALENDARIO'!$C$15:$C$214,MATCH(TEXT($I663,"yyyy-mm-dd")&amp;"||",'CALENDARIO'!$G$15:$G$214,0)),INDEX(patronHabil,WEEKDAY($I663,2)))))</f>
        <v/>
      </c>
    </row>
    <row r="664">
      <c r="I664" s="41" t="n">
        <v>46682</v>
      </c>
      <c r="J664" s="24">
        <f>IFERROR(INDEX('CALENDARIO'!$C$15:$C$214,MATCH(TEXT($I664,"yyyy-mm-dd")&amp;"|"&amp;""&amp;"|"&amp;"",'CALENDARIO'!$G$15:$G$214,0)),IFERROR(INDEX('CALENDARIO'!$C$15:$C$214,MATCH(TEXT($I664,"yyyy-mm-dd")&amp;"|"&amp;""&amp;"|",'CALENDARIO'!$G$15:$G$214,0)),IFERROR(INDEX('CALENDARIO'!$C$15:$C$214,MATCH(TEXT($I664,"yyyy-mm-dd")&amp;"||",'CALENDARIO'!$G$15:$G$214,0)),INDEX(patronHabil,WEEKDAY($I664,2)))))</f>
        <v/>
      </c>
    </row>
    <row r="665">
      <c r="I665" s="41" t="n">
        <v>46683</v>
      </c>
      <c r="J665" s="24">
        <f>IFERROR(INDEX('CALENDARIO'!$C$15:$C$214,MATCH(TEXT($I665,"yyyy-mm-dd")&amp;"|"&amp;""&amp;"|"&amp;"",'CALENDARIO'!$G$15:$G$214,0)),IFERROR(INDEX('CALENDARIO'!$C$15:$C$214,MATCH(TEXT($I665,"yyyy-mm-dd")&amp;"|"&amp;""&amp;"|",'CALENDARIO'!$G$15:$G$214,0)),IFERROR(INDEX('CALENDARIO'!$C$15:$C$214,MATCH(TEXT($I665,"yyyy-mm-dd")&amp;"||",'CALENDARIO'!$G$15:$G$214,0)),INDEX(patronHabil,WEEKDAY($I665,2)))))</f>
        <v/>
      </c>
    </row>
    <row r="666">
      <c r="I666" s="41" t="n">
        <v>46684</v>
      </c>
      <c r="J666" s="24">
        <f>IFERROR(INDEX('CALENDARIO'!$C$15:$C$214,MATCH(TEXT($I666,"yyyy-mm-dd")&amp;"|"&amp;""&amp;"|"&amp;"",'CALENDARIO'!$G$15:$G$214,0)),IFERROR(INDEX('CALENDARIO'!$C$15:$C$214,MATCH(TEXT($I666,"yyyy-mm-dd")&amp;"|"&amp;""&amp;"|",'CALENDARIO'!$G$15:$G$214,0)),IFERROR(INDEX('CALENDARIO'!$C$15:$C$214,MATCH(TEXT($I666,"yyyy-mm-dd")&amp;"||",'CALENDARIO'!$G$15:$G$214,0)),INDEX(patronHabil,WEEKDAY($I666,2)))))</f>
        <v/>
      </c>
    </row>
    <row r="667">
      <c r="I667" s="41" t="n">
        <v>46685</v>
      </c>
      <c r="J667" s="24">
        <f>IFERROR(INDEX('CALENDARIO'!$C$15:$C$214,MATCH(TEXT($I667,"yyyy-mm-dd")&amp;"|"&amp;""&amp;"|"&amp;"",'CALENDARIO'!$G$15:$G$214,0)),IFERROR(INDEX('CALENDARIO'!$C$15:$C$214,MATCH(TEXT($I667,"yyyy-mm-dd")&amp;"|"&amp;""&amp;"|",'CALENDARIO'!$G$15:$G$214,0)),IFERROR(INDEX('CALENDARIO'!$C$15:$C$214,MATCH(TEXT($I667,"yyyy-mm-dd")&amp;"||",'CALENDARIO'!$G$15:$G$214,0)),INDEX(patronHabil,WEEKDAY($I667,2)))))</f>
        <v/>
      </c>
    </row>
    <row r="668">
      <c r="I668" s="41" t="n">
        <v>46686</v>
      </c>
      <c r="J668" s="24">
        <f>IFERROR(INDEX('CALENDARIO'!$C$15:$C$214,MATCH(TEXT($I668,"yyyy-mm-dd")&amp;"|"&amp;""&amp;"|"&amp;"",'CALENDARIO'!$G$15:$G$214,0)),IFERROR(INDEX('CALENDARIO'!$C$15:$C$214,MATCH(TEXT($I668,"yyyy-mm-dd")&amp;"|"&amp;""&amp;"|",'CALENDARIO'!$G$15:$G$214,0)),IFERROR(INDEX('CALENDARIO'!$C$15:$C$214,MATCH(TEXT($I668,"yyyy-mm-dd")&amp;"||",'CALENDARIO'!$G$15:$G$214,0)),INDEX(patronHabil,WEEKDAY($I668,2)))))</f>
        <v/>
      </c>
    </row>
    <row r="669">
      <c r="I669" s="41" t="n">
        <v>46687</v>
      </c>
      <c r="J669" s="24">
        <f>IFERROR(INDEX('CALENDARIO'!$C$15:$C$214,MATCH(TEXT($I669,"yyyy-mm-dd")&amp;"|"&amp;""&amp;"|"&amp;"",'CALENDARIO'!$G$15:$G$214,0)),IFERROR(INDEX('CALENDARIO'!$C$15:$C$214,MATCH(TEXT($I669,"yyyy-mm-dd")&amp;"|"&amp;""&amp;"|",'CALENDARIO'!$G$15:$G$214,0)),IFERROR(INDEX('CALENDARIO'!$C$15:$C$214,MATCH(TEXT($I669,"yyyy-mm-dd")&amp;"||",'CALENDARIO'!$G$15:$G$214,0)),INDEX(patronHabil,WEEKDAY($I669,2)))))</f>
        <v/>
      </c>
    </row>
    <row r="670">
      <c r="I670" s="41" t="n">
        <v>46688</v>
      </c>
      <c r="J670" s="24">
        <f>IFERROR(INDEX('CALENDARIO'!$C$15:$C$214,MATCH(TEXT($I670,"yyyy-mm-dd")&amp;"|"&amp;""&amp;"|"&amp;"",'CALENDARIO'!$G$15:$G$214,0)),IFERROR(INDEX('CALENDARIO'!$C$15:$C$214,MATCH(TEXT($I670,"yyyy-mm-dd")&amp;"|"&amp;""&amp;"|",'CALENDARIO'!$G$15:$G$214,0)),IFERROR(INDEX('CALENDARIO'!$C$15:$C$214,MATCH(TEXT($I670,"yyyy-mm-dd")&amp;"||",'CALENDARIO'!$G$15:$G$214,0)),INDEX(patronHabil,WEEKDAY($I670,2)))))</f>
        <v/>
      </c>
    </row>
    <row r="671">
      <c r="I671" s="41" t="n">
        <v>46689</v>
      </c>
      <c r="J671" s="24">
        <f>IFERROR(INDEX('CALENDARIO'!$C$15:$C$214,MATCH(TEXT($I671,"yyyy-mm-dd")&amp;"|"&amp;""&amp;"|"&amp;"",'CALENDARIO'!$G$15:$G$214,0)),IFERROR(INDEX('CALENDARIO'!$C$15:$C$214,MATCH(TEXT($I671,"yyyy-mm-dd")&amp;"|"&amp;""&amp;"|",'CALENDARIO'!$G$15:$G$214,0)),IFERROR(INDEX('CALENDARIO'!$C$15:$C$214,MATCH(TEXT($I671,"yyyy-mm-dd")&amp;"||",'CALENDARIO'!$G$15:$G$214,0)),INDEX(patronHabil,WEEKDAY($I671,2)))))</f>
        <v/>
      </c>
    </row>
    <row r="672">
      <c r="I672" s="41" t="n">
        <v>46690</v>
      </c>
      <c r="J672" s="24">
        <f>IFERROR(INDEX('CALENDARIO'!$C$15:$C$214,MATCH(TEXT($I672,"yyyy-mm-dd")&amp;"|"&amp;""&amp;"|"&amp;"",'CALENDARIO'!$G$15:$G$214,0)),IFERROR(INDEX('CALENDARIO'!$C$15:$C$214,MATCH(TEXT($I672,"yyyy-mm-dd")&amp;"|"&amp;""&amp;"|",'CALENDARIO'!$G$15:$G$214,0)),IFERROR(INDEX('CALENDARIO'!$C$15:$C$214,MATCH(TEXT($I672,"yyyy-mm-dd")&amp;"||",'CALENDARIO'!$G$15:$G$214,0)),INDEX(patronHabil,WEEKDAY($I672,2)))))</f>
        <v/>
      </c>
    </row>
    <row r="673">
      <c r="I673" s="41" t="n">
        <v>46691</v>
      </c>
      <c r="J673" s="24">
        <f>IFERROR(INDEX('CALENDARIO'!$C$15:$C$214,MATCH(TEXT($I673,"yyyy-mm-dd")&amp;"|"&amp;""&amp;"|"&amp;"",'CALENDARIO'!$G$15:$G$214,0)),IFERROR(INDEX('CALENDARIO'!$C$15:$C$214,MATCH(TEXT($I673,"yyyy-mm-dd")&amp;"|"&amp;""&amp;"|",'CALENDARIO'!$G$15:$G$214,0)),IFERROR(INDEX('CALENDARIO'!$C$15:$C$214,MATCH(TEXT($I673,"yyyy-mm-dd")&amp;"||",'CALENDARIO'!$G$15:$G$214,0)),INDEX(patronHabil,WEEKDAY($I673,2)))))</f>
        <v/>
      </c>
    </row>
    <row r="674">
      <c r="I674" s="41" t="n">
        <v>46692</v>
      </c>
      <c r="J674" s="24">
        <f>IFERROR(INDEX('CALENDARIO'!$C$15:$C$214,MATCH(TEXT($I674,"yyyy-mm-dd")&amp;"|"&amp;""&amp;"|"&amp;"",'CALENDARIO'!$G$15:$G$214,0)),IFERROR(INDEX('CALENDARIO'!$C$15:$C$214,MATCH(TEXT($I674,"yyyy-mm-dd")&amp;"|"&amp;""&amp;"|",'CALENDARIO'!$G$15:$G$214,0)),IFERROR(INDEX('CALENDARIO'!$C$15:$C$214,MATCH(TEXT($I674,"yyyy-mm-dd")&amp;"||",'CALENDARIO'!$G$15:$G$214,0)),INDEX(patronHabil,WEEKDAY($I674,2)))))</f>
        <v/>
      </c>
    </row>
    <row r="675">
      <c r="I675" s="41" t="n">
        <v>46693</v>
      </c>
      <c r="J675" s="24">
        <f>IFERROR(INDEX('CALENDARIO'!$C$15:$C$214,MATCH(TEXT($I675,"yyyy-mm-dd")&amp;"|"&amp;""&amp;"|"&amp;"",'CALENDARIO'!$G$15:$G$214,0)),IFERROR(INDEX('CALENDARIO'!$C$15:$C$214,MATCH(TEXT($I675,"yyyy-mm-dd")&amp;"|"&amp;""&amp;"|",'CALENDARIO'!$G$15:$G$214,0)),IFERROR(INDEX('CALENDARIO'!$C$15:$C$214,MATCH(TEXT($I675,"yyyy-mm-dd")&amp;"||",'CALENDARIO'!$G$15:$G$214,0)),INDEX(patronHabil,WEEKDAY($I675,2)))))</f>
        <v/>
      </c>
    </row>
    <row r="676">
      <c r="I676" s="41" t="n">
        <v>46694</v>
      </c>
      <c r="J676" s="24">
        <f>IFERROR(INDEX('CALENDARIO'!$C$15:$C$214,MATCH(TEXT($I676,"yyyy-mm-dd")&amp;"|"&amp;""&amp;"|"&amp;"",'CALENDARIO'!$G$15:$G$214,0)),IFERROR(INDEX('CALENDARIO'!$C$15:$C$214,MATCH(TEXT($I676,"yyyy-mm-dd")&amp;"|"&amp;""&amp;"|",'CALENDARIO'!$G$15:$G$214,0)),IFERROR(INDEX('CALENDARIO'!$C$15:$C$214,MATCH(TEXT($I676,"yyyy-mm-dd")&amp;"||",'CALENDARIO'!$G$15:$G$214,0)),INDEX(patronHabil,WEEKDAY($I676,2)))))</f>
        <v/>
      </c>
    </row>
    <row r="677">
      <c r="I677" s="41" t="n">
        <v>46695</v>
      </c>
      <c r="J677" s="24">
        <f>IFERROR(INDEX('CALENDARIO'!$C$15:$C$214,MATCH(TEXT($I677,"yyyy-mm-dd")&amp;"|"&amp;""&amp;"|"&amp;"",'CALENDARIO'!$G$15:$G$214,0)),IFERROR(INDEX('CALENDARIO'!$C$15:$C$214,MATCH(TEXT($I677,"yyyy-mm-dd")&amp;"|"&amp;""&amp;"|",'CALENDARIO'!$G$15:$G$214,0)),IFERROR(INDEX('CALENDARIO'!$C$15:$C$214,MATCH(TEXT($I677,"yyyy-mm-dd")&amp;"||",'CALENDARIO'!$G$15:$G$214,0)),INDEX(patronHabil,WEEKDAY($I677,2)))))</f>
        <v/>
      </c>
    </row>
    <row r="678">
      <c r="I678" s="41" t="n">
        <v>46696</v>
      </c>
      <c r="J678" s="24">
        <f>IFERROR(INDEX('CALENDARIO'!$C$15:$C$214,MATCH(TEXT($I678,"yyyy-mm-dd")&amp;"|"&amp;""&amp;"|"&amp;"",'CALENDARIO'!$G$15:$G$214,0)),IFERROR(INDEX('CALENDARIO'!$C$15:$C$214,MATCH(TEXT($I678,"yyyy-mm-dd")&amp;"|"&amp;""&amp;"|",'CALENDARIO'!$G$15:$G$214,0)),IFERROR(INDEX('CALENDARIO'!$C$15:$C$214,MATCH(TEXT($I678,"yyyy-mm-dd")&amp;"||",'CALENDARIO'!$G$15:$G$214,0)),INDEX(patronHabil,WEEKDAY($I678,2)))))</f>
        <v/>
      </c>
    </row>
    <row r="679">
      <c r="I679" s="41" t="n">
        <v>46697</v>
      </c>
      <c r="J679" s="24">
        <f>IFERROR(INDEX('CALENDARIO'!$C$15:$C$214,MATCH(TEXT($I679,"yyyy-mm-dd")&amp;"|"&amp;""&amp;"|"&amp;"",'CALENDARIO'!$G$15:$G$214,0)),IFERROR(INDEX('CALENDARIO'!$C$15:$C$214,MATCH(TEXT($I679,"yyyy-mm-dd")&amp;"|"&amp;""&amp;"|",'CALENDARIO'!$G$15:$G$214,0)),IFERROR(INDEX('CALENDARIO'!$C$15:$C$214,MATCH(TEXT($I679,"yyyy-mm-dd")&amp;"||",'CALENDARIO'!$G$15:$G$214,0)),INDEX(patronHabil,WEEKDAY($I679,2)))))</f>
        <v/>
      </c>
    </row>
    <row r="680">
      <c r="I680" s="41" t="n">
        <v>46698</v>
      </c>
      <c r="J680" s="24">
        <f>IFERROR(INDEX('CALENDARIO'!$C$15:$C$214,MATCH(TEXT($I680,"yyyy-mm-dd")&amp;"|"&amp;""&amp;"|"&amp;"",'CALENDARIO'!$G$15:$G$214,0)),IFERROR(INDEX('CALENDARIO'!$C$15:$C$214,MATCH(TEXT($I680,"yyyy-mm-dd")&amp;"|"&amp;""&amp;"|",'CALENDARIO'!$G$15:$G$214,0)),IFERROR(INDEX('CALENDARIO'!$C$15:$C$214,MATCH(TEXT($I680,"yyyy-mm-dd")&amp;"||",'CALENDARIO'!$G$15:$G$214,0)),INDEX(patronHabil,WEEKDAY($I680,2)))))</f>
        <v/>
      </c>
    </row>
    <row r="681">
      <c r="I681" s="41" t="n">
        <v>46699</v>
      </c>
      <c r="J681" s="24">
        <f>IFERROR(INDEX('CALENDARIO'!$C$15:$C$214,MATCH(TEXT($I681,"yyyy-mm-dd")&amp;"|"&amp;""&amp;"|"&amp;"",'CALENDARIO'!$G$15:$G$214,0)),IFERROR(INDEX('CALENDARIO'!$C$15:$C$214,MATCH(TEXT($I681,"yyyy-mm-dd")&amp;"|"&amp;""&amp;"|",'CALENDARIO'!$G$15:$G$214,0)),IFERROR(INDEX('CALENDARIO'!$C$15:$C$214,MATCH(TEXT($I681,"yyyy-mm-dd")&amp;"||",'CALENDARIO'!$G$15:$G$214,0)),INDEX(patronHabil,WEEKDAY($I681,2)))))</f>
        <v/>
      </c>
    </row>
    <row r="682">
      <c r="I682" s="41" t="n">
        <v>46700</v>
      </c>
      <c r="J682" s="24">
        <f>IFERROR(INDEX('CALENDARIO'!$C$15:$C$214,MATCH(TEXT($I682,"yyyy-mm-dd")&amp;"|"&amp;""&amp;"|"&amp;"",'CALENDARIO'!$G$15:$G$214,0)),IFERROR(INDEX('CALENDARIO'!$C$15:$C$214,MATCH(TEXT($I682,"yyyy-mm-dd")&amp;"|"&amp;""&amp;"|",'CALENDARIO'!$G$15:$G$214,0)),IFERROR(INDEX('CALENDARIO'!$C$15:$C$214,MATCH(TEXT($I682,"yyyy-mm-dd")&amp;"||",'CALENDARIO'!$G$15:$G$214,0)),INDEX(patronHabil,WEEKDAY($I682,2)))))</f>
        <v/>
      </c>
    </row>
    <row r="683">
      <c r="I683" s="41" t="n">
        <v>46701</v>
      </c>
      <c r="J683" s="24">
        <f>IFERROR(INDEX('CALENDARIO'!$C$15:$C$214,MATCH(TEXT($I683,"yyyy-mm-dd")&amp;"|"&amp;""&amp;"|"&amp;"",'CALENDARIO'!$G$15:$G$214,0)),IFERROR(INDEX('CALENDARIO'!$C$15:$C$214,MATCH(TEXT($I683,"yyyy-mm-dd")&amp;"|"&amp;""&amp;"|",'CALENDARIO'!$G$15:$G$214,0)),IFERROR(INDEX('CALENDARIO'!$C$15:$C$214,MATCH(TEXT($I683,"yyyy-mm-dd")&amp;"||",'CALENDARIO'!$G$15:$G$214,0)),INDEX(patronHabil,WEEKDAY($I683,2)))))</f>
        <v/>
      </c>
    </row>
    <row r="684">
      <c r="I684" s="41" t="n">
        <v>46702</v>
      </c>
      <c r="J684" s="24">
        <f>IFERROR(INDEX('CALENDARIO'!$C$15:$C$214,MATCH(TEXT($I684,"yyyy-mm-dd")&amp;"|"&amp;""&amp;"|"&amp;"",'CALENDARIO'!$G$15:$G$214,0)),IFERROR(INDEX('CALENDARIO'!$C$15:$C$214,MATCH(TEXT($I684,"yyyy-mm-dd")&amp;"|"&amp;""&amp;"|",'CALENDARIO'!$G$15:$G$214,0)),IFERROR(INDEX('CALENDARIO'!$C$15:$C$214,MATCH(TEXT($I684,"yyyy-mm-dd")&amp;"||",'CALENDARIO'!$G$15:$G$214,0)),INDEX(patronHabil,WEEKDAY($I684,2)))))</f>
        <v/>
      </c>
    </row>
    <row r="685">
      <c r="I685" s="41" t="n">
        <v>46703</v>
      </c>
      <c r="J685" s="24">
        <f>IFERROR(INDEX('CALENDARIO'!$C$15:$C$214,MATCH(TEXT($I685,"yyyy-mm-dd")&amp;"|"&amp;""&amp;"|"&amp;"",'CALENDARIO'!$G$15:$G$214,0)),IFERROR(INDEX('CALENDARIO'!$C$15:$C$214,MATCH(TEXT($I685,"yyyy-mm-dd")&amp;"|"&amp;""&amp;"|",'CALENDARIO'!$G$15:$G$214,0)),IFERROR(INDEX('CALENDARIO'!$C$15:$C$214,MATCH(TEXT($I685,"yyyy-mm-dd")&amp;"||",'CALENDARIO'!$G$15:$G$214,0)),INDEX(patronHabil,WEEKDAY($I685,2)))))</f>
        <v/>
      </c>
    </row>
    <row r="686">
      <c r="I686" s="41" t="n">
        <v>46704</v>
      </c>
      <c r="J686" s="24">
        <f>IFERROR(INDEX('CALENDARIO'!$C$15:$C$214,MATCH(TEXT($I686,"yyyy-mm-dd")&amp;"|"&amp;""&amp;"|"&amp;"",'CALENDARIO'!$G$15:$G$214,0)),IFERROR(INDEX('CALENDARIO'!$C$15:$C$214,MATCH(TEXT($I686,"yyyy-mm-dd")&amp;"|"&amp;""&amp;"|",'CALENDARIO'!$G$15:$G$214,0)),IFERROR(INDEX('CALENDARIO'!$C$15:$C$214,MATCH(TEXT($I686,"yyyy-mm-dd")&amp;"||",'CALENDARIO'!$G$15:$G$214,0)),INDEX(patronHabil,WEEKDAY($I686,2)))))</f>
        <v/>
      </c>
    </row>
    <row r="687">
      <c r="I687" s="41" t="n">
        <v>46705</v>
      </c>
      <c r="J687" s="24">
        <f>IFERROR(INDEX('CALENDARIO'!$C$15:$C$214,MATCH(TEXT($I687,"yyyy-mm-dd")&amp;"|"&amp;""&amp;"|"&amp;"",'CALENDARIO'!$G$15:$G$214,0)),IFERROR(INDEX('CALENDARIO'!$C$15:$C$214,MATCH(TEXT($I687,"yyyy-mm-dd")&amp;"|"&amp;""&amp;"|",'CALENDARIO'!$G$15:$G$214,0)),IFERROR(INDEX('CALENDARIO'!$C$15:$C$214,MATCH(TEXT($I687,"yyyy-mm-dd")&amp;"||",'CALENDARIO'!$G$15:$G$214,0)),INDEX(patronHabil,WEEKDAY($I687,2)))))</f>
        <v/>
      </c>
    </row>
    <row r="688">
      <c r="I688" s="41" t="n">
        <v>46706</v>
      </c>
      <c r="J688" s="24">
        <f>IFERROR(INDEX('CALENDARIO'!$C$15:$C$214,MATCH(TEXT($I688,"yyyy-mm-dd")&amp;"|"&amp;""&amp;"|"&amp;"",'CALENDARIO'!$G$15:$G$214,0)),IFERROR(INDEX('CALENDARIO'!$C$15:$C$214,MATCH(TEXT($I688,"yyyy-mm-dd")&amp;"|"&amp;""&amp;"|",'CALENDARIO'!$G$15:$G$214,0)),IFERROR(INDEX('CALENDARIO'!$C$15:$C$214,MATCH(TEXT($I688,"yyyy-mm-dd")&amp;"||",'CALENDARIO'!$G$15:$G$214,0)),INDEX(patronHabil,WEEKDAY($I688,2)))))</f>
        <v/>
      </c>
    </row>
    <row r="689">
      <c r="I689" s="41" t="n">
        <v>46707</v>
      </c>
      <c r="J689" s="24">
        <f>IFERROR(INDEX('CALENDARIO'!$C$15:$C$214,MATCH(TEXT($I689,"yyyy-mm-dd")&amp;"|"&amp;""&amp;"|"&amp;"",'CALENDARIO'!$G$15:$G$214,0)),IFERROR(INDEX('CALENDARIO'!$C$15:$C$214,MATCH(TEXT($I689,"yyyy-mm-dd")&amp;"|"&amp;""&amp;"|",'CALENDARIO'!$G$15:$G$214,0)),IFERROR(INDEX('CALENDARIO'!$C$15:$C$214,MATCH(TEXT($I689,"yyyy-mm-dd")&amp;"||",'CALENDARIO'!$G$15:$G$214,0)),INDEX(patronHabil,WEEKDAY($I689,2)))))</f>
        <v/>
      </c>
    </row>
    <row r="690">
      <c r="I690" s="41" t="n">
        <v>46708</v>
      </c>
      <c r="J690" s="24">
        <f>IFERROR(INDEX('CALENDARIO'!$C$15:$C$214,MATCH(TEXT($I690,"yyyy-mm-dd")&amp;"|"&amp;""&amp;"|"&amp;"",'CALENDARIO'!$G$15:$G$214,0)),IFERROR(INDEX('CALENDARIO'!$C$15:$C$214,MATCH(TEXT($I690,"yyyy-mm-dd")&amp;"|"&amp;""&amp;"|",'CALENDARIO'!$G$15:$G$214,0)),IFERROR(INDEX('CALENDARIO'!$C$15:$C$214,MATCH(TEXT($I690,"yyyy-mm-dd")&amp;"||",'CALENDARIO'!$G$15:$G$214,0)),INDEX(patronHabil,WEEKDAY($I690,2)))))</f>
        <v/>
      </c>
    </row>
    <row r="691">
      <c r="I691" s="41" t="n">
        <v>46709</v>
      </c>
      <c r="J691" s="24">
        <f>IFERROR(INDEX('CALENDARIO'!$C$15:$C$214,MATCH(TEXT($I691,"yyyy-mm-dd")&amp;"|"&amp;""&amp;"|"&amp;"",'CALENDARIO'!$G$15:$G$214,0)),IFERROR(INDEX('CALENDARIO'!$C$15:$C$214,MATCH(TEXT($I691,"yyyy-mm-dd")&amp;"|"&amp;""&amp;"|",'CALENDARIO'!$G$15:$G$214,0)),IFERROR(INDEX('CALENDARIO'!$C$15:$C$214,MATCH(TEXT($I691,"yyyy-mm-dd")&amp;"||",'CALENDARIO'!$G$15:$G$214,0)),INDEX(patronHabil,WEEKDAY($I691,2)))))</f>
        <v/>
      </c>
    </row>
    <row r="692">
      <c r="I692" s="41" t="n">
        <v>46710</v>
      </c>
      <c r="J692" s="24">
        <f>IFERROR(INDEX('CALENDARIO'!$C$15:$C$214,MATCH(TEXT($I692,"yyyy-mm-dd")&amp;"|"&amp;""&amp;"|"&amp;"",'CALENDARIO'!$G$15:$G$214,0)),IFERROR(INDEX('CALENDARIO'!$C$15:$C$214,MATCH(TEXT($I692,"yyyy-mm-dd")&amp;"|"&amp;""&amp;"|",'CALENDARIO'!$G$15:$G$214,0)),IFERROR(INDEX('CALENDARIO'!$C$15:$C$214,MATCH(TEXT($I692,"yyyy-mm-dd")&amp;"||",'CALENDARIO'!$G$15:$G$214,0)),INDEX(patronHabil,WEEKDAY($I692,2)))))</f>
        <v/>
      </c>
    </row>
    <row r="693">
      <c r="I693" s="41" t="n">
        <v>46711</v>
      </c>
      <c r="J693" s="24">
        <f>IFERROR(INDEX('CALENDARIO'!$C$15:$C$214,MATCH(TEXT($I693,"yyyy-mm-dd")&amp;"|"&amp;""&amp;"|"&amp;"",'CALENDARIO'!$G$15:$G$214,0)),IFERROR(INDEX('CALENDARIO'!$C$15:$C$214,MATCH(TEXT($I693,"yyyy-mm-dd")&amp;"|"&amp;""&amp;"|",'CALENDARIO'!$G$15:$G$214,0)),IFERROR(INDEX('CALENDARIO'!$C$15:$C$214,MATCH(TEXT($I693,"yyyy-mm-dd")&amp;"||",'CALENDARIO'!$G$15:$G$214,0)),INDEX(patronHabil,WEEKDAY($I693,2)))))</f>
        <v/>
      </c>
    </row>
    <row r="694">
      <c r="I694" s="41" t="n">
        <v>46712</v>
      </c>
      <c r="J694" s="24">
        <f>IFERROR(INDEX('CALENDARIO'!$C$15:$C$214,MATCH(TEXT($I694,"yyyy-mm-dd")&amp;"|"&amp;""&amp;"|"&amp;"",'CALENDARIO'!$G$15:$G$214,0)),IFERROR(INDEX('CALENDARIO'!$C$15:$C$214,MATCH(TEXT($I694,"yyyy-mm-dd")&amp;"|"&amp;""&amp;"|",'CALENDARIO'!$G$15:$G$214,0)),IFERROR(INDEX('CALENDARIO'!$C$15:$C$214,MATCH(TEXT($I694,"yyyy-mm-dd")&amp;"||",'CALENDARIO'!$G$15:$G$214,0)),INDEX(patronHabil,WEEKDAY($I694,2)))))</f>
        <v/>
      </c>
    </row>
    <row r="695">
      <c r="I695" s="41" t="n">
        <v>46713</v>
      </c>
      <c r="J695" s="24">
        <f>IFERROR(INDEX('CALENDARIO'!$C$15:$C$214,MATCH(TEXT($I695,"yyyy-mm-dd")&amp;"|"&amp;""&amp;"|"&amp;"",'CALENDARIO'!$G$15:$G$214,0)),IFERROR(INDEX('CALENDARIO'!$C$15:$C$214,MATCH(TEXT($I695,"yyyy-mm-dd")&amp;"|"&amp;""&amp;"|",'CALENDARIO'!$G$15:$G$214,0)),IFERROR(INDEX('CALENDARIO'!$C$15:$C$214,MATCH(TEXT($I695,"yyyy-mm-dd")&amp;"||",'CALENDARIO'!$G$15:$G$214,0)),INDEX(patronHabil,WEEKDAY($I695,2)))))</f>
        <v/>
      </c>
    </row>
    <row r="696">
      <c r="I696" s="41" t="n">
        <v>46714</v>
      </c>
      <c r="J696" s="24">
        <f>IFERROR(INDEX('CALENDARIO'!$C$15:$C$214,MATCH(TEXT($I696,"yyyy-mm-dd")&amp;"|"&amp;""&amp;"|"&amp;"",'CALENDARIO'!$G$15:$G$214,0)),IFERROR(INDEX('CALENDARIO'!$C$15:$C$214,MATCH(TEXT($I696,"yyyy-mm-dd")&amp;"|"&amp;""&amp;"|",'CALENDARIO'!$G$15:$G$214,0)),IFERROR(INDEX('CALENDARIO'!$C$15:$C$214,MATCH(TEXT($I696,"yyyy-mm-dd")&amp;"||",'CALENDARIO'!$G$15:$G$214,0)),INDEX(patronHabil,WEEKDAY($I696,2)))))</f>
        <v/>
      </c>
    </row>
    <row r="697">
      <c r="I697" s="41" t="n">
        <v>46715</v>
      </c>
      <c r="J697" s="24">
        <f>IFERROR(INDEX('CALENDARIO'!$C$15:$C$214,MATCH(TEXT($I697,"yyyy-mm-dd")&amp;"|"&amp;""&amp;"|"&amp;"",'CALENDARIO'!$G$15:$G$214,0)),IFERROR(INDEX('CALENDARIO'!$C$15:$C$214,MATCH(TEXT($I697,"yyyy-mm-dd")&amp;"|"&amp;""&amp;"|",'CALENDARIO'!$G$15:$G$214,0)),IFERROR(INDEX('CALENDARIO'!$C$15:$C$214,MATCH(TEXT($I697,"yyyy-mm-dd")&amp;"||",'CALENDARIO'!$G$15:$G$214,0)),INDEX(patronHabil,WEEKDAY($I697,2)))))</f>
        <v/>
      </c>
    </row>
    <row r="698">
      <c r="I698" s="41" t="n">
        <v>46716</v>
      </c>
      <c r="J698" s="24">
        <f>IFERROR(INDEX('CALENDARIO'!$C$15:$C$214,MATCH(TEXT($I698,"yyyy-mm-dd")&amp;"|"&amp;""&amp;"|"&amp;"",'CALENDARIO'!$G$15:$G$214,0)),IFERROR(INDEX('CALENDARIO'!$C$15:$C$214,MATCH(TEXT($I698,"yyyy-mm-dd")&amp;"|"&amp;""&amp;"|",'CALENDARIO'!$G$15:$G$214,0)),IFERROR(INDEX('CALENDARIO'!$C$15:$C$214,MATCH(TEXT($I698,"yyyy-mm-dd")&amp;"||",'CALENDARIO'!$G$15:$G$214,0)),INDEX(patronHabil,WEEKDAY($I698,2)))))</f>
        <v/>
      </c>
    </row>
    <row r="699">
      <c r="I699" s="41" t="n">
        <v>46717</v>
      </c>
      <c r="J699" s="24">
        <f>IFERROR(INDEX('CALENDARIO'!$C$15:$C$214,MATCH(TEXT($I699,"yyyy-mm-dd")&amp;"|"&amp;""&amp;"|"&amp;"",'CALENDARIO'!$G$15:$G$214,0)),IFERROR(INDEX('CALENDARIO'!$C$15:$C$214,MATCH(TEXT($I699,"yyyy-mm-dd")&amp;"|"&amp;""&amp;"|",'CALENDARIO'!$G$15:$G$214,0)),IFERROR(INDEX('CALENDARIO'!$C$15:$C$214,MATCH(TEXT($I699,"yyyy-mm-dd")&amp;"||",'CALENDARIO'!$G$15:$G$214,0)),INDEX(patronHabil,WEEKDAY($I699,2)))))</f>
        <v/>
      </c>
    </row>
    <row r="700">
      <c r="I700" s="41" t="n">
        <v>46718</v>
      </c>
      <c r="J700" s="24">
        <f>IFERROR(INDEX('CALENDARIO'!$C$15:$C$214,MATCH(TEXT($I700,"yyyy-mm-dd")&amp;"|"&amp;""&amp;"|"&amp;"",'CALENDARIO'!$G$15:$G$214,0)),IFERROR(INDEX('CALENDARIO'!$C$15:$C$214,MATCH(TEXT($I700,"yyyy-mm-dd")&amp;"|"&amp;""&amp;"|",'CALENDARIO'!$G$15:$G$214,0)),IFERROR(INDEX('CALENDARIO'!$C$15:$C$214,MATCH(TEXT($I700,"yyyy-mm-dd")&amp;"||",'CALENDARIO'!$G$15:$G$214,0)),INDEX(patronHabil,WEEKDAY($I700,2)))))</f>
        <v/>
      </c>
    </row>
    <row r="701">
      <c r="I701" s="41" t="n">
        <v>46719</v>
      </c>
      <c r="J701" s="24">
        <f>IFERROR(INDEX('CALENDARIO'!$C$15:$C$214,MATCH(TEXT($I701,"yyyy-mm-dd")&amp;"|"&amp;""&amp;"|"&amp;"",'CALENDARIO'!$G$15:$G$214,0)),IFERROR(INDEX('CALENDARIO'!$C$15:$C$214,MATCH(TEXT($I701,"yyyy-mm-dd")&amp;"|"&amp;""&amp;"|",'CALENDARIO'!$G$15:$G$214,0)),IFERROR(INDEX('CALENDARIO'!$C$15:$C$214,MATCH(TEXT($I701,"yyyy-mm-dd")&amp;"||",'CALENDARIO'!$G$15:$G$214,0)),INDEX(patronHabil,WEEKDAY($I701,2)))))</f>
        <v/>
      </c>
    </row>
    <row r="702">
      <c r="I702" s="41" t="n">
        <v>46720</v>
      </c>
      <c r="J702" s="24">
        <f>IFERROR(INDEX('CALENDARIO'!$C$15:$C$214,MATCH(TEXT($I702,"yyyy-mm-dd")&amp;"|"&amp;""&amp;"|"&amp;"",'CALENDARIO'!$G$15:$G$214,0)),IFERROR(INDEX('CALENDARIO'!$C$15:$C$214,MATCH(TEXT($I702,"yyyy-mm-dd")&amp;"|"&amp;""&amp;"|",'CALENDARIO'!$G$15:$G$214,0)),IFERROR(INDEX('CALENDARIO'!$C$15:$C$214,MATCH(TEXT($I702,"yyyy-mm-dd")&amp;"||",'CALENDARIO'!$G$15:$G$214,0)),INDEX(patronHabil,WEEKDAY($I702,2)))))</f>
        <v/>
      </c>
    </row>
    <row r="703">
      <c r="I703" s="41" t="n">
        <v>46721</v>
      </c>
      <c r="J703" s="24">
        <f>IFERROR(INDEX('CALENDARIO'!$C$15:$C$214,MATCH(TEXT($I703,"yyyy-mm-dd")&amp;"|"&amp;""&amp;"|"&amp;"",'CALENDARIO'!$G$15:$G$214,0)),IFERROR(INDEX('CALENDARIO'!$C$15:$C$214,MATCH(TEXT($I703,"yyyy-mm-dd")&amp;"|"&amp;""&amp;"|",'CALENDARIO'!$G$15:$G$214,0)),IFERROR(INDEX('CALENDARIO'!$C$15:$C$214,MATCH(TEXT($I703,"yyyy-mm-dd")&amp;"||",'CALENDARIO'!$G$15:$G$214,0)),INDEX(patronHabil,WEEKDAY($I703,2)))))</f>
        <v/>
      </c>
    </row>
    <row r="704">
      <c r="I704" s="41" t="n">
        <v>46722</v>
      </c>
      <c r="J704" s="24">
        <f>IFERROR(INDEX('CALENDARIO'!$C$15:$C$214,MATCH(TEXT($I704,"yyyy-mm-dd")&amp;"|"&amp;""&amp;"|"&amp;"",'CALENDARIO'!$G$15:$G$214,0)),IFERROR(INDEX('CALENDARIO'!$C$15:$C$214,MATCH(TEXT($I704,"yyyy-mm-dd")&amp;"|"&amp;""&amp;"|",'CALENDARIO'!$G$15:$G$214,0)),IFERROR(INDEX('CALENDARIO'!$C$15:$C$214,MATCH(TEXT($I704,"yyyy-mm-dd")&amp;"||",'CALENDARIO'!$G$15:$G$214,0)),INDEX(patronHabil,WEEKDAY($I704,2)))))</f>
        <v/>
      </c>
    </row>
    <row r="705">
      <c r="I705" s="41" t="n">
        <v>46723</v>
      </c>
      <c r="J705" s="24">
        <f>IFERROR(INDEX('CALENDARIO'!$C$15:$C$214,MATCH(TEXT($I705,"yyyy-mm-dd")&amp;"|"&amp;""&amp;"|"&amp;"",'CALENDARIO'!$G$15:$G$214,0)),IFERROR(INDEX('CALENDARIO'!$C$15:$C$214,MATCH(TEXT($I705,"yyyy-mm-dd")&amp;"|"&amp;""&amp;"|",'CALENDARIO'!$G$15:$G$214,0)),IFERROR(INDEX('CALENDARIO'!$C$15:$C$214,MATCH(TEXT($I705,"yyyy-mm-dd")&amp;"||",'CALENDARIO'!$G$15:$G$214,0)),INDEX(patronHabil,WEEKDAY($I705,2)))))</f>
        <v/>
      </c>
    </row>
    <row r="706">
      <c r="I706" s="41" t="n">
        <v>46724</v>
      </c>
      <c r="J706" s="24">
        <f>IFERROR(INDEX('CALENDARIO'!$C$15:$C$214,MATCH(TEXT($I706,"yyyy-mm-dd")&amp;"|"&amp;""&amp;"|"&amp;"",'CALENDARIO'!$G$15:$G$214,0)),IFERROR(INDEX('CALENDARIO'!$C$15:$C$214,MATCH(TEXT($I706,"yyyy-mm-dd")&amp;"|"&amp;""&amp;"|",'CALENDARIO'!$G$15:$G$214,0)),IFERROR(INDEX('CALENDARIO'!$C$15:$C$214,MATCH(TEXT($I706,"yyyy-mm-dd")&amp;"||",'CALENDARIO'!$G$15:$G$214,0)),INDEX(patronHabil,WEEKDAY($I706,2)))))</f>
        <v/>
      </c>
    </row>
    <row r="707">
      <c r="I707" s="41" t="n">
        <v>46725</v>
      </c>
      <c r="J707" s="24">
        <f>IFERROR(INDEX('CALENDARIO'!$C$15:$C$214,MATCH(TEXT($I707,"yyyy-mm-dd")&amp;"|"&amp;""&amp;"|"&amp;"",'CALENDARIO'!$G$15:$G$214,0)),IFERROR(INDEX('CALENDARIO'!$C$15:$C$214,MATCH(TEXT($I707,"yyyy-mm-dd")&amp;"|"&amp;""&amp;"|",'CALENDARIO'!$G$15:$G$214,0)),IFERROR(INDEX('CALENDARIO'!$C$15:$C$214,MATCH(TEXT($I707,"yyyy-mm-dd")&amp;"||",'CALENDARIO'!$G$15:$G$214,0)),INDEX(patronHabil,WEEKDAY($I707,2)))))</f>
        <v/>
      </c>
    </row>
    <row r="708">
      <c r="I708" s="41" t="n">
        <v>46726</v>
      </c>
      <c r="J708" s="24">
        <f>IFERROR(INDEX('CALENDARIO'!$C$15:$C$214,MATCH(TEXT($I708,"yyyy-mm-dd")&amp;"|"&amp;""&amp;"|"&amp;"",'CALENDARIO'!$G$15:$G$214,0)),IFERROR(INDEX('CALENDARIO'!$C$15:$C$214,MATCH(TEXT($I708,"yyyy-mm-dd")&amp;"|"&amp;""&amp;"|",'CALENDARIO'!$G$15:$G$214,0)),IFERROR(INDEX('CALENDARIO'!$C$15:$C$214,MATCH(TEXT($I708,"yyyy-mm-dd")&amp;"||",'CALENDARIO'!$G$15:$G$214,0)),INDEX(patronHabil,WEEKDAY($I708,2)))))</f>
        <v/>
      </c>
    </row>
    <row r="709">
      <c r="I709" s="41" t="n">
        <v>46727</v>
      </c>
      <c r="J709" s="24">
        <f>IFERROR(INDEX('CALENDARIO'!$C$15:$C$214,MATCH(TEXT($I709,"yyyy-mm-dd")&amp;"|"&amp;""&amp;"|"&amp;"",'CALENDARIO'!$G$15:$G$214,0)),IFERROR(INDEX('CALENDARIO'!$C$15:$C$214,MATCH(TEXT($I709,"yyyy-mm-dd")&amp;"|"&amp;""&amp;"|",'CALENDARIO'!$G$15:$G$214,0)),IFERROR(INDEX('CALENDARIO'!$C$15:$C$214,MATCH(TEXT($I709,"yyyy-mm-dd")&amp;"||",'CALENDARIO'!$G$15:$G$214,0)),INDEX(patronHabil,WEEKDAY($I709,2)))))</f>
        <v/>
      </c>
    </row>
    <row r="710">
      <c r="I710" s="41" t="n">
        <v>46728</v>
      </c>
      <c r="J710" s="24">
        <f>IFERROR(INDEX('CALENDARIO'!$C$15:$C$214,MATCH(TEXT($I710,"yyyy-mm-dd")&amp;"|"&amp;""&amp;"|"&amp;"",'CALENDARIO'!$G$15:$G$214,0)),IFERROR(INDEX('CALENDARIO'!$C$15:$C$214,MATCH(TEXT($I710,"yyyy-mm-dd")&amp;"|"&amp;""&amp;"|",'CALENDARIO'!$G$15:$G$214,0)),IFERROR(INDEX('CALENDARIO'!$C$15:$C$214,MATCH(TEXT($I710,"yyyy-mm-dd")&amp;"||",'CALENDARIO'!$G$15:$G$214,0)),INDEX(patronHabil,WEEKDAY($I710,2)))))</f>
        <v/>
      </c>
    </row>
    <row r="711">
      <c r="I711" s="41" t="n">
        <v>46729</v>
      </c>
      <c r="J711" s="24">
        <f>IFERROR(INDEX('CALENDARIO'!$C$15:$C$214,MATCH(TEXT($I711,"yyyy-mm-dd")&amp;"|"&amp;""&amp;"|"&amp;"",'CALENDARIO'!$G$15:$G$214,0)),IFERROR(INDEX('CALENDARIO'!$C$15:$C$214,MATCH(TEXT($I711,"yyyy-mm-dd")&amp;"|"&amp;""&amp;"|",'CALENDARIO'!$G$15:$G$214,0)),IFERROR(INDEX('CALENDARIO'!$C$15:$C$214,MATCH(TEXT($I711,"yyyy-mm-dd")&amp;"||",'CALENDARIO'!$G$15:$G$214,0)),INDEX(patronHabil,WEEKDAY($I711,2)))))</f>
        <v/>
      </c>
    </row>
    <row r="712">
      <c r="I712" s="41" t="n">
        <v>46730</v>
      </c>
      <c r="J712" s="24">
        <f>IFERROR(INDEX('CALENDARIO'!$C$15:$C$214,MATCH(TEXT($I712,"yyyy-mm-dd")&amp;"|"&amp;""&amp;"|"&amp;"",'CALENDARIO'!$G$15:$G$214,0)),IFERROR(INDEX('CALENDARIO'!$C$15:$C$214,MATCH(TEXT($I712,"yyyy-mm-dd")&amp;"|"&amp;""&amp;"|",'CALENDARIO'!$G$15:$G$214,0)),IFERROR(INDEX('CALENDARIO'!$C$15:$C$214,MATCH(TEXT($I712,"yyyy-mm-dd")&amp;"||",'CALENDARIO'!$G$15:$G$214,0)),INDEX(patronHabil,WEEKDAY($I712,2)))))</f>
        <v/>
      </c>
    </row>
    <row r="713">
      <c r="I713" s="41" t="n">
        <v>46731</v>
      </c>
      <c r="J713" s="24">
        <f>IFERROR(INDEX('CALENDARIO'!$C$15:$C$214,MATCH(TEXT($I713,"yyyy-mm-dd")&amp;"|"&amp;""&amp;"|"&amp;"",'CALENDARIO'!$G$15:$G$214,0)),IFERROR(INDEX('CALENDARIO'!$C$15:$C$214,MATCH(TEXT($I713,"yyyy-mm-dd")&amp;"|"&amp;""&amp;"|",'CALENDARIO'!$G$15:$G$214,0)),IFERROR(INDEX('CALENDARIO'!$C$15:$C$214,MATCH(TEXT($I713,"yyyy-mm-dd")&amp;"||",'CALENDARIO'!$G$15:$G$214,0)),INDEX(patronHabil,WEEKDAY($I713,2)))))</f>
        <v/>
      </c>
    </row>
    <row r="714">
      <c r="I714" s="41" t="n">
        <v>46732</v>
      </c>
      <c r="J714" s="24">
        <f>IFERROR(INDEX('CALENDARIO'!$C$15:$C$214,MATCH(TEXT($I714,"yyyy-mm-dd")&amp;"|"&amp;""&amp;"|"&amp;"",'CALENDARIO'!$G$15:$G$214,0)),IFERROR(INDEX('CALENDARIO'!$C$15:$C$214,MATCH(TEXT($I714,"yyyy-mm-dd")&amp;"|"&amp;""&amp;"|",'CALENDARIO'!$G$15:$G$214,0)),IFERROR(INDEX('CALENDARIO'!$C$15:$C$214,MATCH(TEXT($I714,"yyyy-mm-dd")&amp;"||",'CALENDARIO'!$G$15:$G$214,0)),INDEX(patronHabil,WEEKDAY($I714,2)))))</f>
        <v/>
      </c>
    </row>
    <row r="715">
      <c r="I715" s="41" t="n">
        <v>46733</v>
      </c>
      <c r="J715" s="24">
        <f>IFERROR(INDEX('CALENDARIO'!$C$15:$C$214,MATCH(TEXT($I715,"yyyy-mm-dd")&amp;"|"&amp;""&amp;"|"&amp;"",'CALENDARIO'!$G$15:$G$214,0)),IFERROR(INDEX('CALENDARIO'!$C$15:$C$214,MATCH(TEXT($I715,"yyyy-mm-dd")&amp;"|"&amp;""&amp;"|",'CALENDARIO'!$G$15:$G$214,0)),IFERROR(INDEX('CALENDARIO'!$C$15:$C$214,MATCH(TEXT($I715,"yyyy-mm-dd")&amp;"||",'CALENDARIO'!$G$15:$G$214,0)),INDEX(patronHabil,WEEKDAY($I715,2)))))</f>
        <v/>
      </c>
    </row>
    <row r="716">
      <c r="I716" s="41" t="n">
        <v>46734</v>
      </c>
      <c r="J716" s="24">
        <f>IFERROR(INDEX('CALENDARIO'!$C$15:$C$214,MATCH(TEXT($I716,"yyyy-mm-dd")&amp;"|"&amp;""&amp;"|"&amp;"",'CALENDARIO'!$G$15:$G$214,0)),IFERROR(INDEX('CALENDARIO'!$C$15:$C$214,MATCH(TEXT($I716,"yyyy-mm-dd")&amp;"|"&amp;""&amp;"|",'CALENDARIO'!$G$15:$G$214,0)),IFERROR(INDEX('CALENDARIO'!$C$15:$C$214,MATCH(TEXT($I716,"yyyy-mm-dd")&amp;"||",'CALENDARIO'!$G$15:$G$214,0)),INDEX(patronHabil,WEEKDAY($I716,2)))))</f>
        <v/>
      </c>
    </row>
    <row r="717">
      <c r="I717" s="41" t="n">
        <v>46735</v>
      </c>
      <c r="J717" s="24">
        <f>IFERROR(INDEX('CALENDARIO'!$C$15:$C$214,MATCH(TEXT($I717,"yyyy-mm-dd")&amp;"|"&amp;""&amp;"|"&amp;"",'CALENDARIO'!$G$15:$G$214,0)),IFERROR(INDEX('CALENDARIO'!$C$15:$C$214,MATCH(TEXT($I717,"yyyy-mm-dd")&amp;"|"&amp;""&amp;"|",'CALENDARIO'!$G$15:$G$214,0)),IFERROR(INDEX('CALENDARIO'!$C$15:$C$214,MATCH(TEXT($I717,"yyyy-mm-dd")&amp;"||",'CALENDARIO'!$G$15:$G$214,0)),INDEX(patronHabil,WEEKDAY($I717,2)))))</f>
        <v/>
      </c>
    </row>
    <row r="718">
      <c r="I718" s="41" t="n">
        <v>46736</v>
      </c>
      <c r="J718" s="24">
        <f>IFERROR(INDEX('CALENDARIO'!$C$15:$C$214,MATCH(TEXT($I718,"yyyy-mm-dd")&amp;"|"&amp;""&amp;"|"&amp;"",'CALENDARIO'!$G$15:$G$214,0)),IFERROR(INDEX('CALENDARIO'!$C$15:$C$214,MATCH(TEXT($I718,"yyyy-mm-dd")&amp;"|"&amp;""&amp;"|",'CALENDARIO'!$G$15:$G$214,0)),IFERROR(INDEX('CALENDARIO'!$C$15:$C$214,MATCH(TEXT($I718,"yyyy-mm-dd")&amp;"||",'CALENDARIO'!$G$15:$G$214,0)),INDEX(patronHabil,WEEKDAY($I718,2)))))</f>
        <v/>
      </c>
    </row>
    <row r="719">
      <c r="I719" s="41" t="n">
        <v>46737</v>
      </c>
      <c r="J719" s="24">
        <f>IFERROR(INDEX('CALENDARIO'!$C$15:$C$214,MATCH(TEXT($I719,"yyyy-mm-dd")&amp;"|"&amp;""&amp;"|"&amp;"",'CALENDARIO'!$G$15:$G$214,0)),IFERROR(INDEX('CALENDARIO'!$C$15:$C$214,MATCH(TEXT($I719,"yyyy-mm-dd")&amp;"|"&amp;""&amp;"|",'CALENDARIO'!$G$15:$G$214,0)),IFERROR(INDEX('CALENDARIO'!$C$15:$C$214,MATCH(TEXT($I719,"yyyy-mm-dd")&amp;"||",'CALENDARIO'!$G$15:$G$214,0)),INDEX(patronHabil,WEEKDAY($I719,2)))))</f>
        <v/>
      </c>
    </row>
    <row r="720">
      <c r="I720" s="41" t="n">
        <v>46738</v>
      </c>
      <c r="J720" s="24">
        <f>IFERROR(INDEX('CALENDARIO'!$C$15:$C$214,MATCH(TEXT($I720,"yyyy-mm-dd")&amp;"|"&amp;""&amp;"|"&amp;"",'CALENDARIO'!$G$15:$G$214,0)),IFERROR(INDEX('CALENDARIO'!$C$15:$C$214,MATCH(TEXT($I720,"yyyy-mm-dd")&amp;"|"&amp;""&amp;"|",'CALENDARIO'!$G$15:$G$214,0)),IFERROR(INDEX('CALENDARIO'!$C$15:$C$214,MATCH(TEXT($I720,"yyyy-mm-dd")&amp;"||",'CALENDARIO'!$G$15:$G$214,0)),INDEX(patronHabil,WEEKDAY($I720,2)))))</f>
        <v/>
      </c>
    </row>
    <row r="721">
      <c r="I721" s="41" t="n">
        <v>46739</v>
      </c>
      <c r="J721" s="24">
        <f>IFERROR(INDEX('CALENDARIO'!$C$15:$C$214,MATCH(TEXT($I721,"yyyy-mm-dd")&amp;"|"&amp;""&amp;"|"&amp;"",'CALENDARIO'!$G$15:$G$214,0)),IFERROR(INDEX('CALENDARIO'!$C$15:$C$214,MATCH(TEXT($I721,"yyyy-mm-dd")&amp;"|"&amp;""&amp;"|",'CALENDARIO'!$G$15:$G$214,0)),IFERROR(INDEX('CALENDARIO'!$C$15:$C$214,MATCH(TEXT($I721,"yyyy-mm-dd")&amp;"||",'CALENDARIO'!$G$15:$G$214,0)),INDEX(patronHabil,WEEKDAY($I721,2)))))</f>
        <v/>
      </c>
    </row>
    <row r="722">
      <c r="I722" s="41" t="n">
        <v>46740</v>
      </c>
      <c r="J722" s="24">
        <f>IFERROR(INDEX('CALENDARIO'!$C$15:$C$214,MATCH(TEXT($I722,"yyyy-mm-dd")&amp;"|"&amp;""&amp;"|"&amp;"",'CALENDARIO'!$G$15:$G$214,0)),IFERROR(INDEX('CALENDARIO'!$C$15:$C$214,MATCH(TEXT($I722,"yyyy-mm-dd")&amp;"|"&amp;""&amp;"|",'CALENDARIO'!$G$15:$G$214,0)),IFERROR(INDEX('CALENDARIO'!$C$15:$C$214,MATCH(TEXT($I722,"yyyy-mm-dd")&amp;"||",'CALENDARIO'!$G$15:$G$214,0)),INDEX(patronHabil,WEEKDAY($I722,2)))))</f>
        <v/>
      </c>
    </row>
    <row r="723">
      <c r="I723" s="41" t="n">
        <v>46741</v>
      </c>
      <c r="J723" s="24">
        <f>IFERROR(INDEX('CALENDARIO'!$C$15:$C$214,MATCH(TEXT($I723,"yyyy-mm-dd")&amp;"|"&amp;""&amp;"|"&amp;"",'CALENDARIO'!$G$15:$G$214,0)),IFERROR(INDEX('CALENDARIO'!$C$15:$C$214,MATCH(TEXT($I723,"yyyy-mm-dd")&amp;"|"&amp;""&amp;"|",'CALENDARIO'!$G$15:$G$214,0)),IFERROR(INDEX('CALENDARIO'!$C$15:$C$214,MATCH(TEXT($I723,"yyyy-mm-dd")&amp;"||",'CALENDARIO'!$G$15:$G$214,0)),INDEX(patronHabil,WEEKDAY($I723,2)))))</f>
        <v/>
      </c>
    </row>
    <row r="724">
      <c r="I724" s="41" t="n">
        <v>46742</v>
      </c>
      <c r="J724" s="24">
        <f>IFERROR(INDEX('CALENDARIO'!$C$15:$C$214,MATCH(TEXT($I724,"yyyy-mm-dd")&amp;"|"&amp;""&amp;"|"&amp;"",'CALENDARIO'!$G$15:$G$214,0)),IFERROR(INDEX('CALENDARIO'!$C$15:$C$214,MATCH(TEXT($I724,"yyyy-mm-dd")&amp;"|"&amp;""&amp;"|",'CALENDARIO'!$G$15:$G$214,0)),IFERROR(INDEX('CALENDARIO'!$C$15:$C$214,MATCH(TEXT($I724,"yyyy-mm-dd")&amp;"||",'CALENDARIO'!$G$15:$G$214,0)),INDEX(patronHabil,WEEKDAY($I724,2)))))</f>
        <v/>
      </c>
    </row>
    <row r="725">
      <c r="I725" s="41" t="n">
        <v>46743</v>
      </c>
      <c r="J725" s="24">
        <f>IFERROR(INDEX('CALENDARIO'!$C$15:$C$214,MATCH(TEXT($I725,"yyyy-mm-dd")&amp;"|"&amp;""&amp;"|"&amp;"",'CALENDARIO'!$G$15:$G$214,0)),IFERROR(INDEX('CALENDARIO'!$C$15:$C$214,MATCH(TEXT($I725,"yyyy-mm-dd")&amp;"|"&amp;""&amp;"|",'CALENDARIO'!$G$15:$G$214,0)),IFERROR(INDEX('CALENDARIO'!$C$15:$C$214,MATCH(TEXT($I725,"yyyy-mm-dd")&amp;"||",'CALENDARIO'!$G$15:$G$214,0)),INDEX(patronHabil,WEEKDAY($I725,2)))))</f>
        <v/>
      </c>
    </row>
    <row r="726">
      <c r="I726" s="41" t="n">
        <v>46744</v>
      </c>
      <c r="J726" s="24">
        <f>IFERROR(INDEX('CALENDARIO'!$C$15:$C$214,MATCH(TEXT($I726,"yyyy-mm-dd")&amp;"|"&amp;""&amp;"|"&amp;"",'CALENDARIO'!$G$15:$G$214,0)),IFERROR(INDEX('CALENDARIO'!$C$15:$C$214,MATCH(TEXT($I726,"yyyy-mm-dd")&amp;"|"&amp;""&amp;"|",'CALENDARIO'!$G$15:$G$214,0)),IFERROR(INDEX('CALENDARIO'!$C$15:$C$214,MATCH(TEXT($I726,"yyyy-mm-dd")&amp;"||",'CALENDARIO'!$G$15:$G$214,0)),INDEX(patronHabil,WEEKDAY($I726,2)))))</f>
        <v/>
      </c>
    </row>
    <row r="727">
      <c r="I727" s="41" t="n">
        <v>46745</v>
      </c>
      <c r="J727" s="24">
        <f>IFERROR(INDEX('CALENDARIO'!$C$15:$C$214,MATCH(TEXT($I727,"yyyy-mm-dd")&amp;"|"&amp;""&amp;"|"&amp;"",'CALENDARIO'!$G$15:$G$214,0)),IFERROR(INDEX('CALENDARIO'!$C$15:$C$214,MATCH(TEXT($I727,"yyyy-mm-dd")&amp;"|"&amp;""&amp;"|",'CALENDARIO'!$G$15:$G$214,0)),IFERROR(INDEX('CALENDARIO'!$C$15:$C$214,MATCH(TEXT($I727,"yyyy-mm-dd")&amp;"||",'CALENDARIO'!$G$15:$G$214,0)),INDEX(patronHabil,WEEKDAY($I727,2)))))</f>
        <v/>
      </c>
    </row>
    <row r="728">
      <c r="I728" s="41" t="n">
        <v>46746</v>
      </c>
      <c r="J728" s="24">
        <f>IFERROR(INDEX('CALENDARIO'!$C$15:$C$214,MATCH(TEXT($I728,"yyyy-mm-dd")&amp;"|"&amp;""&amp;"|"&amp;"",'CALENDARIO'!$G$15:$G$214,0)),IFERROR(INDEX('CALENDARIO'!$C$15:$C$214,MATCH(TEXT($I728,"yyyy-mm-dd")&amp;"|"&amp;""&amp;"|",'CALENDARIO'!$G$15:$G$214,0)),IFERROR(INDEX('CALENDARIO'!$C$15:$C$214,MATCH(TEXT($I728,"yyyy-mm-dd")&amp;"||",'CALENDARIO'!$G$15:$G$214,0)),INDEX(patronHabil,WEEKDAY($I728,2)))))</f>
        <v/>
      </c>
    </row>
    <row r="729">
      <c r="I729" s="41" t="n">
        <v>46747</v>
      </c>
      <c r="J729" s="24">
        <f>IFERROR(INDEX('CALENDARIO'!$C$15:$C$214,MATCH(TEXT($I729,"yyyy-mm-dd")&amp;"|"&amp;""&amp;"|"&amp;"",'CALENDARIO'!$G$15:$G$214,0)),IFERROR(INDEX('CALENDARIO'!$C$15:$C$214,MATCH(TEXT($I729,"yyyy-mm-dd")&amp;"|"&amp;""&amp;"|",'CALENDARIO'!$G$15:$G$214,0)),IFERROR(INDEX('CALENDARIO'!$C$15:$C$214,MATCH(TEXT($I729,"yyyy-mm-dd")&amp;"||",'CALENDARIO'!$G$15:$G$214,0)),INDEX(patronHabil,WEEKDAY($I729,2)))))</f>
        <v/>
      </c>
    </row>
    <row r="730">
      <c r="I730" s="41" t="n">
        <v>46748</v>
      </c>
      <c r="J730" s="24">
        <f>IFERROR(INDEX('CALENDARIO'!$C$15:$C$214,MATCH(TEXT($I730,"yyyy-mm-dd")&amp;"|"&amp;""&amp;"|"&amp;"",'CALENDARIO'!$G$15:$G$214,0)),IFERROR(INDEX('CALENDARIO'!$C$15:$C$214,MATCH(TEXT($I730,"yyyy-mm-dd")&amp;"|"&amp;""&amp;"|",'CALENDARIO'!$G$15:$G$214,0)),IFERROR(INDEX('CALENDARIO'!$C$15:$C$214,MATCH(TEXT($I730,"yyyy-mm-dd")&amp;"||",'CALENDARIO'!$G$15:$G$214,0)),INDEX(patronHabil,WEEKDAY($I730,2)))))</f>
        <v/>
      </c>
    </row>
    <row r="731">
      <c r="I731" s="41" t="n">
        <v>46749</v>
      </c>
      <c r="J731" s="24">
        <f>IFERROR(INDEX('CALENDARIO'!$C$15:$C$214,MATCH(TEXT($I731,"yyyy-mm-dd")&amp;"|"&amp;""&amp;"|"&amp;"",'CALENDARIO'!$G$15:$G$214,0)),IFERROR(INDEX('CALENDARIO'!$C$15:$C$214,MATCH(TEXT($I731,"yyyy-mm-dd")&amp;"|"&amp;""&amp;"|",'CALENDARIO'!$G$15:$G$214,0)),IFERROR(INDEX('CALENDARIO'!$C$15:$C$214,MATCH(TEXT($I731,"yyyy-mm-dd")&amp;"||",'CALENDARIO'!$G$15:$G$214,0)),INDEX(patronHabil,WEEKDAY($I731,2)))))</f>
        <v/>
      </c>
    </row>
    <row r="732">
      <c r="I732" s="41" t="n">
        <v>46750</v>
      </c>
      <c r="J732" s="24">
        <f>IFERROR(INDEX('CALENDARIO'!$C$15:$C$214,MATCH(TEXT($I732,"yyyy-mm-dd")&amp;"|"&amp;""&amp;"|"&amp;"",'CALENDARIO'!$G$15:$G$214,0)),IFERROR(INDEX('CALENDARIO'!$C$15:$C$214,MATCH(TEXT($I732,"yyyy-mm-dd")&amp;"|"&amp;""&amp;"|",'CALENDARIO'!$G$15:$G$214,0)),IFERROR(INDEX('CALENDARIO'!$C$15:$C$214,MATCH(TEXT($I732,"yyyy-mm-dd")&amp;"||",'CALENDARIO'!$G$15:$G$214,0)),INDEX(patronHabil,WEEKDAY($I732,2)))))</f>
        <v/>
      </c>
    </row>
    <row r="733">
      <c r="I733" s="41" t="n">
        <v>46751</v>
      </c>
      <c r="J733" s="24">
        <f>IFERROR(INDEX('CALENDARIO'!$C$15:$C$214,MATCH(TEXT($I733,"yyyy-mm-dd")&amp;"|"&amp;""&amp;"|"&amp;"",'CALENDARIO'!$G$15:$G$214,0)),IFERROR(INDEX('CALENDARIO'!$C$15:$C$214,MATCH(TEXT($I733,"yyyy-mm-dd")&amp;"|"&amp;""&amp;"|",'CALENDARIO'!$G$15:$G$214,0)),IFERROR(INDEX('CALENDARIO'!$C$15:$C$214,MATCH(TEXT($I733,"yyyy-mm-dd")&amp;"||",'CALENDARIO'!$G$15:$G$214,0)),INDEX(patronHabil,WEEKDAY($I733,2)))))</f>
        <v/>
      </c>
    </row>
    <row r="734">
      <c r="I734" s="41" t="n">
        <v>46752</v>
      </c>
      <c r="J734" s="24">
        <f>IFERROR(INDEX('CALENDARIO'!$C$15:$C$214,MATCH(TEXT($I734,"yyyy-mm-dd")&amp;"|"&amp;""&amp;"|"&amp;"",'CALENDARIO'!$G$15:$G$214,0)),IFERROR(INDEX('CALENDARIO'!$C$15:$C$214,MATCH(TEXT($I734,"yyyy-mm-dd")&amp;"|"&amp;""&amp;"|",'CALENDARIO'!$G$15:$G$214,0)),IFERROR(INDEX('CALENDARIO'!$C$15:$C$214,MATCH(TEXT($I734,"yyyy-mm-dd")&amp;"||",'CALENDARIO'!$G$15:$G$214,0)),INDEX(patronHabil,WEEKDAY($I734,2)))))</f>
        <v/>
      </c>
    </row>
    <row r="735">
      <c r="I735" s="41" t="n">
        <v>46753</v>
      </c>
      <c r="J735" s="24">
        <f>IFERROR(INDEX('CALENDARIO'!$C$15:$C$214,MATCH(TEXT($I735,"yyyy-mm-dd")&amp;"|"&amp;""&amp;"|"&amp;"",'CALENDARIO'!$G$15:$G$214,0)),IFERROR(INDEX('CALENDARIO'!$C$15:$C$214,MATCH(TEXT($I735,"yyyy-mm-dd")&amp;"|"&amp;""&amp;"|",'CALENDARIO'!$G$15:$G$214,0)),IFERROR(INDEX('CALENDARIO'!$C$15:$C$214,MATCH(TEXT($I735,"yyyy-mm-dd")&amp;"||",'CALENDARIO'!$G$15:$G$214,0)),INDEX(patronHabil,WEEKDAY($I735,2)))))</f>
        <v/>
      </c>
    </row>
    <row r="736">
      <c r="I736" s="41" t="n">
        <v>46754</v>
      </c>
      <c r="J736" s="24">
        <f>IFERROR(INDEX('CALENDARIO'!$C$15:$C$214,MATCH(TEXT($I736,"yyyy-mm-dd")&amp;"|"&amp;""&amp;"|"&amp;"",'CALENDARIO'!$G$15:$G$214,0)),IFERROR(INDEX('CALENDARIO'!$C$15:$C$214,MATCH(TEXT($I736,"yyyy-mm-dd")&amp;"|"&amp;""&amp;"|",'CALENDARIO'!$G$15:$G$214,0)),IFERROR(INDEX('CALENDARIO'!$C$15:$C$214,MATCH(TEXT($I736,"yyyy-mm-dd")&amp;"||",'CALENDARIO'!$G$15:$G$214,0)),INDEX(patronHabil,WEEKDAY($I736,2)))))</f>
        <v/>
      </c>
    </row>
    <row r="737">
      <c r="I737" s="41" t="n">
        <v>46755</v>
      </c>
      <c r="J737" s="24">
        <f>IFERROR(INDEX('CALENDARIO'!$C$15:$C$214,MATCH(TEXT($I737,"yyyy-mm-dd")&amp;"|"&amp;""&amp;"|"&amp;"",'CALENDARIO'!$G$15:$G$214,0)),IFERROR(INDEX('CALENDARIO'!$C$15:$C$214,MATCH(TEXT($I737,"yyyy-mm-dd")&amp;"|"&amp;""&amp;"|",'CALENDARIO'!$G$15:$G$214,0)),IFERROR(INDEX('CALENDARIO'!$C$15:$C$214,MATCH(TEXT($I737,"yyyy-mm-dd")&amp;"||",'CALENDARIO'!$G$15:$G$214,0)),INDEX(patronHabil,WEEKDAY($I737,2)))))</f>
        <v/>
      </c>
    </row>
    <row r="738">
      <c r="I738" s="41" t="n">
        <v>46756</v>
      </c>
      <c r="J738" s="24">
        <f>IFERROR(INDEX('CALENDARIO'!$C$15:$C$214,MATCH(TEXT($I738,"yyyy-mm-dd")&amp;"|"&amp;""&amp;"|"&amp;"",'CALENDARIO'!$G$15:$G$214,0)),IFERROR(INDEX('CALENDARIO'!$C$15:$C$214,MATCH(TEXT($I738,"yyyy-mm-dd")&amp;"|"&amp;""&amp;"|",'CALENDARIO'!$G$15:$G$214,0)),IFERROR(INDEX('CALENDARIO'!$C$15:$C$214,MATCH(TEXT($I738,"yyyy-mm-dd")&amp;"||",'CALENDARIO'!$G$15:$G$214,0)),INDEX(patronHabil,WEEKDAY($I738,2)))))</f>
        <v/>
      </c>
    </row>
    <row r="739">
      <c r="I739" s="41" t="n">
        <v>46757</v>
      </c>
      <c r="J739" s="24">
        <f>IFERROR(INDEX('CALENDARIO'!$C$15:$C$214,MATCH(TEXT($I739,"yyyy-mm-dd")&amp;"|"&amp;""&amp;"|"&amp;"",'CALENDARIO'!$G$15:$G$214,0)),IFERROR(INDEX('CALENDARIO'!$C$15:$C$214,MATCH(TEXT($I739,"yyyy-mm-dd")&amp;"|"&amp;""&amp;"|",'CALENDARIO'!$G$15:$G$214,0)),IFERROR(INDEX('CALENDARIO'!$C$15:$C$214,MATCH(TEXT($I739,"yyyy-mm-dd")&amp;"||",'CALENDARIO'!$G$15:$G$214,0)),INDEX(patronHabil,WEEKDAY($I739,2)))))</f>
        <v/>
      </c>
    </row>
    <row r="740">
      <c r="I740" s="41" t="n">
        <v>46758</v>
      </c>
      <c r="J740" s="24">
        <f>IFERROR(INDEX('CALENDARIO'!$C$15:$C$214,MATCH(TEXT($I740,"yyyy-mm-dd")&amp;"|"&amp;""&amp;"|"&amp;"",'CALENDARIO'!$G$15:$G$214,0)),IFERROR(INDEX('CALENDARIO'!$C$15:$C$214,MATCH(TEXT($I740,"yyyy-mm-dd")&amp;"|"&amp;""&amp;"|",'CALENDARIO'!$G$15:$G$214,0)),IFERROR(INDEX('CALENDARIO'!$C$15:$C$214,MATCH(TEXT($I740,"yyyy-mm-dd")&amp;"||",'CALENDARIO'!$G$15:$G$214,0)),INDEX(patronHabil,WEEKDAY($I740,2)))))</f>
        <v/>
      </c>
    </row>
    <row r="741">
      <c r="I741" s="41" t="n">
        <v>46759</v>
      </c>
      <c r="J741" s="24">
        <f>IFERROR(INDEX('CALENDARIO'!$C$15:$C$214,MATCH(TEXT($I741,"yyyy-mm-dd")&amp;"|"&amp;""&amp;"|"&amp;"",'CALENDARIO'!$G$15:$G$214,0)),IFERROR(INDEX('CALENDARIO'!$C$15:$C$214,MATCH(TEXT($I741,"yyyy-mm-dd")&amp;"|"&amp;""&amp;"|",'CALENDARIO'!$G$15:$G$214,0)),IFERROR(INDEX('CALENDARIO'!$C$15:$C$214,MATCH(TEXT($I741,"yyyy-mm-dd")&amp;"||",'CALENDARIO'!$G$15:$G$214,0)),INDEX(patronHabil,WEEKDAY($I741,2)))))</f>
        <v/>
      </c>
    </row>
    <row r="742">
      <c r="I742" s="41" t="n">
        <v>46760</v>
      </c>
      <c r="J742" s="24">
        <f>IFERROR(INDEX('CALENDARIO'!$C$15:$C$214,MATCH(TEXT($I742,"yyyy-mm-dd")&amp;"|"&amp;""&amp;"|"&amp;"",'CALENDARIO'!$G$15:$G$214,0)),IFERROR(INDEX('CALENDARIO'!$C$15:$C$214,MATCH(TEXT($I742,"yyyy-mm-dd")&amp;"|"&amp;""&amp;"|",'CALENDARIO'!$G$15:$G$214,0)),IFERROR(INDEX('CALENDARIO'!$C$15:$C$214,MATCH(TEXT($I742,"yyyy-mm-dd")&amp;"||",'CALENDARIO'!$G$15:$G$214,0)),INDEX(patronHabil,WEEKDAY($I742,2)))))</f>
        <v/>
      </c>
    </row>
    <row r="743">
      <c r="I743" s="41" t="n">
        <v>46761</v>
      </c>
      <c r="J743" s="24">
        <f>IFERROR(INDEX('CALENDARIO'!$C$15:$C$214,MATCH(TEXT($I743,"yyyy-mm-dd")&amp;"|"&amp;""&amp;"|"&amp;"",'CALENDARIO'!$G$15:$G$214,0)),IFERROR(INDEX('CALENDARIO'!$C$15:$C$214,MATCH(TEXT($I743,"yyyy-mm-dd")&amp;"|"&amp;""&amp;"|",'CALENDARIO'!$G$15:$G$214,0)),IFERROR(INDEX('CALENDARIO'!$C$15:$C$214,MATCH(TEXT($I743,"yyyy-mm-dd")&amp;"||",'CALENDARIO'!$G$15:$G$214,0)),INDEX(patronHabil,WEEKDAY($I743,2)))))</f>
        <v/>
      </c>
    </row>
    <row r="744">
      <c r="I744" s="41" t="n">
        <v>46762</v>
      </c>
      <c r="J744" s="24">
        <f>IFERROR(INDEX('CALENDARIO'!$C$15:$C$214,MATCH(TEXT($I744,"yyyy-mm-dd")&amp;"|"&amp;""&amp;"|"&amp;"",'CALENDARIO'!$G$15:$G$214,0)),IFERROR(INDEX('CALENDARIO'!$C$15:$C$214,MATCH(TEXT($I744,"yyyy-mm-dd")&amp;"|"&amp;""&amp;"|",'CALENDARIO'!$G$15:$G$214,0)),IFERROR(INDEX('CALENDARIO'!$C$15:$C$214,MATCH(TEXT($I744,"yyyy-mm-dd")&amp;"||",'CALENDARIO'!$G$15:$G$214,0)),INDEX(patronHabil,WEEKDAY($I744,2)))))</f>
        <v/>
      </c>
    </row>
    <row r="745">
      <c r="I745" s="41" t="n">
        <v>46763</v>
      </c>
      <c r="J745" s="24">
        <f>IFERROR(INDEX('CALENDARIO'!$C$15:$C$214,MATCH(TEXT($I745,"yyyy-mm-dd")&amp;"|"&amp;""&amp;"|"&amp;"",'CALENDARIO'!$G$15:$G$214,0)),IFERROR(INDEX('CALENDARIO'!$C$15:$C$214,MATCH(TEXT($I745,"yyyy-mm-dd")&amp;"|"&amp;""&amp;"|",'CALENDARIO'!$G$15:$G$214,0)),IFERROR(INDEX('CALENDARIO'!$C$15:$C$214,MATCH(TEXT($I745,"yyyy-mm-dd")&amp;"||",'CALENDARIO'!$G$15:$G$214,0)),INDEX(patronHabil,WEEKDAY($I745,2)))))</f>
        <v/>
      </c>
    </row>
    <row r="746">
      <c r="I746" s="41" t="n">
        <v>46764</v>
      </c>
      <c r="J746" s="24">
        <f>IFERROR(INDEX('CALENDARIO'!$C$15:$C$214,MATCH(TEXT($I746,"yyyy-mm-dd")&amp;"|"&amp;""&amp;"|"&amp;"",'CALENDARIO'!$G$15:$G$214,0)),IFERROR(INDEX('CALENDARIO'!$C$15:$C$214,MATCH(TEXT($I746,"yyyy-mm-dd")&amp;"|"&amp;""&amp;"|",'CALENDARIO'!$G$15:$G$214,0)),IFERROR(INDEX('CALENDARIO'!$C$15:$C$214,MATCH(TEXT($I746,"yyyy-mm-dd")&amp;"||",'CALENDARIO'!$G$15:$G$214,0)),INDEX(patronHabil,WEEKDAY($I746,2)))))</f>
        <v/>
      </c>
    </row>
    <row r="747">
      <c r="I747" s="41" t="n">
        <v>46765</v>
      </c>
      <c r="J747" s="24">
        <f>IFERROR(INDEX('CALENDARIO'!$C$15:$C$214,MATCH(TEXT($I747,"yyyy-mm-dd")&amp;"|"&amp;""&amp;"|"&amp;"",'CALENDARIO'!$G$15:$G$214,0)),IFERROR(INDEX('CALENDARIO'!$C$15:$C$214,MATCH(TEXT($I747,"yyyy-mm-dd")&amp;"|"&amp;""&amp;"|",'CALENDARIO'!$G$15:$G$214,0)),IFERROR(INDEX('CALENDARIO'!$C$15:$C$214,MATCH(TEXT($I747,"yyyy-mm-dd")&amp;"||",'CALENDARIO'!$G$15:$G$214,0)),INDEX(patronHabil,WEEKDAY($I747,2)))))</f>
        <v/>
      </c>
    </row>
    <row r="748">
      <c r="I748" s="41" t="n">
        <v>46766</v>
      </c>
      <c r="J748" s="24">
        <f>IFERROR(INDEX('CALENDARIO'!$C$15:$C$214,MATCH(TEXT($I748,"yyyy-mm-dd")&amp;"|"&amp;""&amp;"|"&amp;"",'CALENDARIO'!$G$15:$G$214,0)),IFERROR(INDEX('CALENDARIO'!$C$15:$C$214,MATCH(TEXT($I748,"yyyy-mm-dd")&amp;"|"&amp;""&amp;"|",'CALENDARIO'!$G$15:$G$214,0)),IFERROR(INDEX('CALENDARIO'!$C$15:$C$214,MATCH(TEXT($I748,"yyyy-mm-dd")&amp;"||",'CALENDARIO'!$G$15:$G$214,0)),INDEX(patronHabil,WEEKDAY($I748,2)))))</f>
        <v/>
      </c>
    </row>
    <row r="749">
      <c r="I749" s="41" t="n">
        <v>46767</v>
      </c>
      <c r="J749" s="24">
        <f>IFERROR(INDEX('CALENDARIO'!$C$15:$C$214,MATCH(TEXT($I749,"yyyy-mm-dd")&amp;"|"&amp;""&amp;"|"&amp;"",'CALENDARIO'!$G$15:$G$214,0)),IFERROR(INDEX('CALENDARIO'!$C$15:$C$214,MATCH(TEXT($I749,"yyyy-mm-dd")&amp;"|"&amp;""&amp;"|",'CALENDARIO'!$G$15:$G$214,0)),IFERROR(INDEX('CALENDARIO'!$C$15:$C$214,MATCH(TEXT($I749,"yyyy-mm-dd")&amp;"||",'CALENDARIO'!$G$15:$G$214,0)),INDEX(patronHabil,WEEKDAY($I749,2)))))</f>
        <v/>
      </c>
    </row>
    <row r="750">
      <c r="I750" s="41" t="n">
        <v>46768</v>
      </c>
      <c r="J750" s="24">
        <f>IFERROR(INDEX('CALENDARIO'!$C$15:$C$214,MATCH(TEXT($I750,"yyyy-mm-dd")&amp;"|"&amp;""&amp;"|"&amp;"",'CALENDARIO'!$G$15:$G$214,0)),IFERROR(INDEX('CALENDARIO'!$C$15:$C$214,MATCH(TEXT($I750,"yyyy-mm-dd")&amp;"|"&amp;""&amp;"|",'CALENDARIO'!$G$15:$G$214,0)),IFERROR(INDEX('CALENDARIO'!$C$15:$C$214,MATCH(TEXT($I750,"yyyy-mm-dd")&amp;"||",'CALENDARIO'!$G$15:$G$214,0)),INDEX(patronHabil,WEEKDAY($I750,2)))))</f>
        <v/>
      </c>
    </row>
    <row r="751">
      <c r="I751" s="41" t="n">
        <v>46769</v>
      </c>
      <c r="J751" s="24">
        <f>IFERROR(INDEX('CALENDARIO'!$C$15:$C$214,MATCH(TEXT($I751,"yyyy-mm-dd")&amp;"|"&amp;""&amp;"|"&amp;"",'CALENDARIO'!$G$15:$G$214,0)),IFERROR(INDEX('CALENDARIO'!$C$15:$C$214,MATCH(TEXT($I751,"yyyy-mm-dd")&amp;"|"&amp;""&amp;"|",'CALENDARIO'!$G$15:$G$214,0)),IFERROR(INDEX('CALENDARIO'!$C$15:$C$214,MATCH(TEXT($I751,"yyyy-mm-dd")&amp;"||",'CALENDARIO'!$G$15:$G$214,0)),INDEX(patronHabil,WEEKDAY($I751,2)))))</f>
        <v/>
      </c>
    </row>
    <row r="752">
      <c r="I752" s="41" t="n">
        <v>46770</v>
      </c>
      <c r="J752" s="24">
        <f>IFERROR(INDEX('CALENDARIO'!$C$15:$C$214,MATCH(TEXT($I752,"yyyy-mm-dd")&amp;"|"&amp;""&amp;"|"&amp;"",'CALENDARIO'!$G$15:$G$214,0)),IFERROR(INDEX('CALENDARIO'!$C$15:$C$214,MATCH(TEXT($I752,"yyyy-mm-dd")&amp;"|"&amp;""&amp;"|",'CALENDARIO'!$G$15:$G$214,0)),IFERROR(INDEX('CALENDARIO'!$C$15:$C$214,MATCH(TEXT($I752,"yyyy-mm-dd")&amp;"||",'CALENDARIO'!$G$15:$G$214,0)),INDEX(patronHabil,WEEKDAY($I752,2)))))</f>
        <v/>
      </c>
    </row>
    <row r="753">
      <c r="I753" s="41" t="n">
        <v>46771</v>
      </c>
      <c r="J753" s="24">
        <f>IFERROR(INDEX('CALENDARIO'!$C$15:$C$214,MATCH(TEXT($I753,"yyyy-mm-dd")&amp;"|"&amp;""&amp;"|"&amp;"",'CALENDARIO'!$G$15:$G$214,0)),IFERROR(INDEX('CALENDARIO'!$C$15:$C$214,MATCH(TEXT($I753,"yyyy-mm-dd")&amp;"|"&amp;""&amp;"|",'CALENDARIO'!$G$15:$G$214,0)),IFERROR(INDEX('CALENDARIO'!$C$15:$C$214,MATCH(TEXT($I753,"yyyy-mm-dd")&amp;"||",'CALENDARIO'!$G$15:$G$214,0)),INDEX(patronHabil,WEEKDAY($I753,2)))))</f>
        <v/>
      </c>
    </row>
    <row r="754">
      <c r="I754" s="41" t="n">
        <v>46772</v>
      </c>
      <c r="J754" s="24">
        <f>IFERROR(INDEX('CALENDARIO'!$C$15:$C$214,MATCH(TEXT($I754,"yyyy-mm-dd")&amp;"|"&amp;""&amp;"|"&amp;"",'CALENDARIO'!$G$15:$G$214,0)),IFERROR(INDEX('CALENDARIO'!$C$15:$C$214,MATCH(TEXT($I754,"yyyy-mm-dd")&amp;"|"&amp;""&amp;"|",'CALENDARIO'!$G$15:$G$214,0)),IFERROR(INDEX('CALENDARIO'!$C$15:$C$214,MATCH(TEXT($I754,"yyyy-mm-dd")&amp;"||",'CALENDARIO'!$G$15:$G$214,0)),INDEX(patronHabil,WEEKDAY($I754,2)))))</f>
        <v/>
      </c>
    </row>
    <row r="755">
      <c r="I755" s="41" t="n">
        <v>46773</v>
      </c>
      <c r="J755" s="24">
        <f>IFERROR(INDEX('CALENDARIO'!$C$15:$C$214,MATCH(TEXT($I755,"yyyy-mm-dd")&amp;"|"&amp;""&amp;"|"&amp;"",'CALENDARIO'!$G$15:$G$214,0)),IFERROR(INDEX('CALENDARIO'!$C$15:$C$214,MATCH(TEXT($I755,"yyyy-mm-dd")&amp;"|"&amp;""&amp;"|",'CALENDARIO'!$G$15:$G$214,0)),IFERROR(INDEX('CALENDARIO'!$C$15:$C$214,MATCH(TEXT($I755,"yyyy-mm-dd")&amp;"||",'CALENDARIO'!$G$15:$G$214,0)),INDEX(patronHabil,WEEKDAY($I755,2)))))</f>
        <v/>
      </c>
    </row>
    <row r="756">
      <c r="I756" s="41" t="n">
        <v>46774</v>
      </c>
      <c r="J756" s="24">
        <f>IFERROR(INDEX('CALENDARIO'!$C$15:$C$214,MATCH(TEXT($I756,"yyyy-mm-dd")&amp;"|"&amp;""&amp;"|"&amp;"",'CALENDARIO'!$G$15:$G$214,0)),IFERROR(INDEX('CALENDARIO'!$C$15:$C$214,MATCH(TEXT($I756,"yyyy-mm-dd")&amp;"|"&amp;""&amp;"|",'CALENDARIO'!$G$15:$G$214,0)),IFERROR(INDEX('CALENDARIO'!$C$15:$C$214,MATCH(TEXT($I756,"yyyy-mm-dd")&amp;"||",'CALENDARIO'!$G$15:$G$214,0)),INDEX(patronHabil,WEEKDAY($I756,2)))))</f>
        <v/>
      </c>
    </row>
    <row r="757">
      <c r="I757" s="41" t="n">
        <v>46775</v>
      </c>
      <c r="J757" s="24">
        <f>IFERROR(INDEX('CALENDARIO'!$C$15:$C$214,MATCH(TEXT($I757,"yyyy-mm-dd")&amp;"|"&amp;""&amp;"|"&amp;"",'CALENDARIO'!$G$15:$G$214,0)),IFERROR(INDEX('CALENDARIO'!$C$15:$C$214,MATCH(TEXT($I757,"yyyy-mm-dd")&amp;"|"&amp;""&amp;"|",'CALENDARIO'!$G$15:$G$214,0)),IFERROR(INDEX('CALENDARIO'!$C$15:$C$214,MATCH(TEXT($I757,"yyyy-mm-dd")&amp;"||",'CALENDARIO'!$G$15:$G$214,0)),INDEX(patronHabil,WEEKDAY($I757,2)))))</f>
        <v/>
      </c>
    </row>
    <row r="758">
      <c r="I758" s="41" t="n">
        <v>46776</v>
      </c>
      <c r="J758" s="24">
        <f>IFERROR(INDEX('CALENDARIO'!$C$15:$C$214,MATCH(TEXT($I758,"yyyy-mm-dd")&amp;"|"&amp;""&amp;"|"&amp;"",'CALENDARIO'!$G$15:$G$214,0)),IFERROR(INDEX('CALENDARIO'!$C$15:$C$214,MATCH(TEXT($I758,"yyyy-mm-dd")&amp;"|"&amp;""&amp;"|",'CALENDARIO'!$G$15:$G$214,0)),IFERROR(INDEX('CALENDARIO'!$C$15:$C$214,MATCH(TEXT($I758,"yyyy-mm-dd")&amp;"||",'CALENDARIO'!$G$15:$G$214,0)),INDEX(patronHabil,WEEKDAY($I758,2)))))</f>
        <v/>
      </c>
    </row>
    <row r="759">
      <c r="I759" s="41" t="n">
        <v>46777</v>
      </c>
      <c r="J759" s="24">
        <f>IFERROR(INDEX('CALENDARIO'!$C$15:$C$214,MATCH(TEXT($I759,"yyyy-mm-dd")&amp;"|"&amp;""&amp;"|"&amp;"",'CALENDARIO'!$G$15:$G$214,0)),IFERROR(INDEX('CALENDARIO'!$C$15:$C$214,MATCH(TEXT($I759,"yyyy-mm-dd")&amp;"|"&amp;""&amp;"|",'CALENDARIO'!$G$15:$G$214,0)),IFERROR(INDEX('CALENDARIO'!$C$15:$C$214,MATCH(TEXT($I759,"yyyy-mm-dd")&amp;"||",'CALENDARIO'!$G$15:$G$214,0)),INDEX(patronHabil,WEEKDAY($I759,2)))))</f>
        <v/>
      </c>
    </row>
    <row r="760">
      <c r="I760" s="41" t="n">
        <v>46778</v>
      </c>
      <c r="J760" s="24">
        <f>IFERROR(INDEX('CALENDARIO'!$C$15:$C$214,MATCH(TEXT($I760,"yyyy-mm-dd")&amp;"|"&amp;""&amp;"|"&amp;"",'CALENDARIO'!$G$15:$G$214,0)),IFERROR(INDEX('CALENDARIO'!$C$15:$C$214,MATCH(TEXT($I760,"yyyy-mm-dd")&amp;"|"&amp;""&amp;"|",'CALENDARIO'!$G$15:$G$214,0)),IFERROR(INDEX('CALENDARIO'!$C$15:$C$214,MATCH(TEXT($I760,"yyyy-mm-dd")&amp;"||",'CALENDARIO'!$G$15:$G$214,0)),INDEX(patronHabil,WEEKDAY($I760,2)))))</f>
        <v/>
      </c>
    </row>
    <row r="761">
      <c r="I761" s="41" t="n">
        <v>46779</v>
      </c>
      <c r="J761" s="24">
        <f>IFERROR(INDEX('CALENDARIO'!$C$15:$C$214,MATCH(TEXT($I761,"yyyy-mm-dd")&amp;"|"&amp;""&amp;"|"&amp;"",'CALENDARIO'!$G$15:$G$214,0)),IFERROR(INDEX('CALENDARIO'!$C$15:$C$214,MATCH(TEXT($I761,"yyyy-mm-dd")&amp;"|"&amp;""&amp;"|",'CALENDARIO'!$G$15:$G$214,0)),IFERROR(INDEX('CALENDARIO'!$C$15:$C$214,MATCH(TEXT($I761,"yyyy-mm-dd")&amp;"||",'CALENDARIO'!$G$15:$G$214,0)),INDEX(patronHabil,WEEKDAY($I761,2)))))</f>
        <v/>
      </c>
    </row>
    <row r="762">
      <c r="I762" s="41" t="n">
        <v>46780</v>
      </c>
      <c r="J762" s="24">
        <f>IFERROR(INDEX('CALENDARIO'!$C$15:$C$214,MATCH(TEXT($I762,"yyyy-mm-dd")&amp;"|"&amp;""&amp;"|"&amp;"",'CALENDARIO'!$G$15:$G$214,0)),IFERROR(INDEX('CALENDARIO'!$C$15:$C$214,MATCH(TEXT($I762,"yyyy-mm-dd")&amp;"|"&amp;""&amp;"|",'CALENDARIO'!$G$15:$G$214,0)),IFERROR(INDEX('CALENDARIO'!$C$15:$C$214,MATCH(TEXT($I762,"yyyy-mm-dd")&amp;"||",'CALENDARIO'!$G$15:$G$214,0)),INDEX(patronHabil,WEEKDAY($I762,2)))))</f>
        <v/>
      </c>
    </row>
    <row r="763">
      <c r="I763" s="41" t="n">
        <v>46781</v>
      </c>
      <c r="J763" s="24">
        <f>IFERROR(INDEX('CALENDARIO'!$C$15:$C$214,MATCH(TEXT($I763,"yyyy-mm-dd")&amp;"|"&amp;""&amp;"|"&amp;"",'CALENDARIO'!$G$15:$G$214,0)),IFERROR(INDEX('CALENDARIO'!$C$15:$C$214,MATCH(TEXT($I763,"yyyy-mm-dd")&amp;"|"&amp;""&amp;"|",'CALENDARIO'!$G$15:$G$214,0)),IFERROR(INDEX('CALENDARIO'!$C$15:$C$214,MATCH(TEXT($I763,"yyyy-mm-dd")&amp;"||",'CALENDARIO'!$G$15:$G$214,0)),INDEX(patronHabil,WEEKDAY($I763,2)))))</f>
        <v/>
      </c>
    </row>
    <row r="764">
      <c r="I764" s="41" t="n">
        <v>46782</v>
      </c>
      <c r="J764" s="24">
        <f>IFERROR(INDEX('CALENDARIO'!$C$15:$C$214,MATCH(TEXT($I764,"yyyy-mm-dd")&amp;"|"&amp;""&amp;"|"&amp;"",'CALENDARIO'!$G$15:$G$214,0)),IFERROR(INDEX('CALENDARIO'!$C$15:$C$214,MATCH(TEXT($I764,"yyyy-mm-dd")&amp;"|"&amp;""&amp;"|",'CALENDARIO'!$G$15:$G$214,0)),IFERROR(INDEX('CALENDARIO'!$C$15:$C$214,MATCH(TEXT($I764,"yyyy-mm-dd")&amp;"||",'CALENDARIO'!$G$15:$G$214,0)),INDEX(patronHabil,WEEKDAY($I764,2)))))</f>
        <v/>
      </c>
    </row>
  </sheetData>
  <conditionalFormatting sqref="C15:C214">
    <cfRule type="cellIs" priority="1" operator="equal" dxfId="0">
      <formula>"no"</formula>
    </cfRule>
  </conditionalFormatting>
  <dataValidations count="4">
    <dataValidation sqref="B5:B11" showDropDown="0" showInputMessage="0" showErrorMessage="0" allowBlank="0" type="list">
      <formula1>"sí,no"</formula1>
    </dataValidation>
    <dataValidation sqref="C15:C214" showDropDown="0" showInputMessage="0" showErrorMessage="0" allowBlank="0" type="list">
      <formula1>"sí,no"</formula1>
    </dataValidation>
    <dataValidation sqref="D15:D214" showDropDown="0" showInputMessage="0" showErrorMessage="0" allowBlank="1" type="list">
      <formula1>lista_areas</formula1>
    </dataValidation>
    <dataValidation sqref="E15:E214" showDropDown="0" showInputMessage="0" showErrorMessage="0" allowBlank="1" type="list">
      <formula1>lista_subareas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62" customWidth="1" min="3" max="3"/>
  </cols>
  <sheetData>
    <row r="1">
      <c r="A1" s="1" t="inlineStr">
        <is>
          <t>VALIDACIÓN DE IMPORTACIÓN (REGLA-10) — reporta, nunca bloquea</t>
        </is>
      </c>
    </row>
    <row r="2">
      <c r="A2" s="19">
        <f>HYPERLINK("#DASHBOARD!A1","◂ VOLVER AL TABLERO")</f>
        <v/>
      </c>
    </row>
    <row r="3">
      <c r="A3" s="23" t="inlineStr">
        <is>
          <t>chequeo</t>
        </is>
      </c>
      <c r="B3" s="23" t="inlineStr">
        <is>
          <t>resultado</t>
        </is>
      </c>
      <c r="C3" s="23" t="inlineStr">
        <is>
          <t>detalle</t>
        </is>
      </c>
    </row>
    <row r="4">
      <c r="A4" s="24" t="inlineStr">
        <is>
          <t>Órdenes duplicadas por id_operacion</t>
        </is>
      </c>
      <c r="B4" s="24">
        <f>SUMPRODUCT(--('ORDENES'!$AU$4:$AU$1203&lt;&gt;""),--(COUNTIF('ORDENES'!$AU$4:$AU$1203,'ORDENES'!$AU$4:$AU$1203)&gt;1))</f>
        <v/>
      </c>
      <c r="C4" s="29" t="inlineStr">
        <is>
          <t>Filas de ORDENES cuyo id_operacion aparece más de una vez.</t>
        </is>
      </c>
    </row>
    <row r="5">
      <c r="A5" s="24" t="inlineStr">
        <is>
          <t>Órdenes sin fecha de inicio</t>
        </is>
      </c>
      <c r="B5" s="24">
        <f>SUMPRODUCT(--('ORDENES'!$A$4:$A$1203&lt;&gt;""),--('ORDENES'!$J$4:$J$1203=""))</f>
        <v/>
      </c>
      <c r="C5" s="29" t="inlineStr">
        <is>
          <t>Sin fecha no hay semana, backlog ni plan.</t>
        </is>
      </c>
    </row>
    <row r="6">
      <c r="A6" s="24" t="inlineStr">
        <is>
          <t>Órdenes sin horas estimadas</t>
        </is>
      </c>
      <c r="B6" s="24">
        <f>SUMPRODUCT(--('ORDENES'!$A$4:$A$1203&lt;&gt;""),--('ORDENES'!$K$4:$K$1203=""))</f>
        <v/>
      </c>
      <c r="C6" s="29" t="inlineStr">
        <is>
          <t>No cargan el perfil de HH (REGLA-6).</t>
        </is>
      </c>
    </row>
    <row r="7">
      <c r="A7" s="24" t="inlineStr">
        <is>
          <t>Centros de costo fuera de catálogo</t>
        </is>
      </c>
      <c r="B7" s="24">
        <f>SUMPRODUCT(--('ORDENES'!$F$4:$F$1203&lt;&gt;""),--ISNA(MATCH('ORDENES'!$F$4:$F$1203,'CAT_CENTROS_COSTO'!$A$4:$A$28,0)))</f>
        <v/>
      </c>
      <c r="C7" s="29" t="inlineStr">
        <is>
          <t>Revisar CAT_CENTROS_COSTO.</t>
        </is>
      </c>
    </row>
    <row r="8">
      <c r="A8" s="24" t="inlineStr">
        <is>
          <t>Puestos de trabajo fuera de catálogo</t>
        </is>
      </c>
      <c r="B8" s="24">
        <f>SUMPRODUCT(--('ORDENES'!$G$4:$G$1203&lt;&gt;""),--ISNA(MATCH('ORDENES'!$G$4:$G$1203,'CAT_PUESTOS'!$A$4:$A$23,0)))</f>
        <v/>
      </c>
      <c r="C8" s="29" t="inlineStr">
        <is>
          <t>Revisar CAT_PUESTOS.</t>
        </is>
      </c>
    </row>
    <row r="9">
      <c r="A9" s="24" t="inlineStr">
        <is>
          <t>Actividades fuera de catálogo</t>
        </is>
      </c>
      <c r="B9" s="24">
        <f>SUMPRODUCT(--('ORDENES'!$H$4:$H$1203&lt;&gt;""),--ISNA(MATCH('ORDENES'!$H$4:$H$1203,'CAT_ACTIVIDADES'!$A$4:$A$26,0)))</f>
        <v/>
      </c>
      <c r="C9" s="29" t="inlineStr">
        <is>
          <t>Revisar CAT_ACTIVIDADES.</t>
        </is>
      </c>
    </row>
    <row r="10">
      <c r="A10" s="24" t="inlineStr">
        <is>
          <t>Tipos de OT fuera de catálogo (sin_clasificar)</t>
        </is>
      </c>
      <c r="B10" s="24">
        <f>SUMPRODUCT(--('ORDENES'!$I$4:$I$1203&lt;&gt;""),--ISNA(MATCH('ORDENES'!$I$4:$I$1203,'CAT_TIPOS_OT'!$A$4:$A$23,0)))</f>
        <v/>
      </c>
      <c r="C10" s="29" t="inlineStr">
        <is>
          <t>REGLA-1 las marca sin_clasificar; agregar el código a CAT_TIPOS_OT.</t>
        </is>
      </c>
    </row>
    <row r="11">
      <c r="A11" s="24" t="inlineStr">
        <is>
          <t>Registros de EJECUCION sin par en ORDENES</t>
        </is>
      </c>
      <c r="B11" s="24">
        <f>SUMPRODUCT(--('2_IMPORTAR_EJECUCION'!$J$9:$J$1208&lt;&gt;""),--ISNA(MATCH('2_IMPORTAR_EJECUCION'!$J$9:$J$1208,'ORDENES'!$AU$4:$AU$1203,0)))</f>
        <v/>
      </c>
      <c r="C11" s="29" t="inlineStr">
        <is>
          <t>Estados/costos que no encuentran su orden.</t>
        </is>
      </c>
    </row>
    <row r="12">
      <c r="A12" s="24" t="inlineStr">
        <is>
          <t>Órdenes sin par en EJECUCION</t>
        </is>
      </c>
      <c r="B12" s="24">
        <f>SUMPRODUCT(--('ORDENES'!$AU$4:$AU$1203&lt;&gt;""),--ISNA(MATCH('ORDENES'!$AU$4:$AU$1203,'2_IMPORTAR_EJECUCION'!$J$9:$J$1208,0)))</f>
        <v/>
      </c>
      <c r="C12" s="29" t="inlineStr">
        <is>
          <t>Quedan como "Pendiente" (comportamiento esperado).</t>
        </is>
      </c>
    </row>
    <row r="13">
      <c r="A13" s="24" t="inlineStr">
        <is>
          <t>Órdenes con ajuste manual de horas (tblAjustes)</t>
        </is>
      </c>
      <c r="B13" s="24">
        <f>SUMPRODUCT(--('ORDENES'!$AU$4:$AU$1203&lt;&gt;""),--ISNUMBER(MATCH('ORDENES'!$AU$4:$AU$1203,'AJUSTES'!$A$4:$A$303,0)))</f>
        <v/>
      </c>
      <c r="C13" s="29" t="inlineStr">
        <is>
          <t>Órdenes cuyo id_operacion tiene ajuste en la hoja AJUSTES.</t>
        </is>
      </c>
    </row>
    <row r="14">
      <c r="A14" s="24" t="inlineStr">
        <is>
          <t>Desviación total de horas (ajustadas − estándar ERP)</t>
        </is>
      </c>
      <c r="B14" s="24">
        <f>SUM('AJUSTES'!$G$4:$G$303)</f>
        <v/>
      </c>
      <c r="C14" s="29" t="inlineStr">
        <is>
          <t>Suma de desviacion_h de AJUSTES (solo filas aplicadas).</t>
        </is>
      </c>
    </row>
    <row r="15">
      <c r="A15" s="24" t="inlineStr">
        <is>
          <t>Ajustes huérfanos (id_operacion no existe en ORDENES)</t>
        </is>
      </c>
      <c r="B15" s="24">
        <f>SUMPRODUCT(--('AJUSTES'!$A$4:$A$303&lt;&gt;""),--ISNA(MATCH('AJUSTES'!$A$4:$A$303,'ORDENES'!$AU$4:$AU$1203,0)))</f>
        <v/>
      </c>
      <c r="C15" s="29" t="inlineStr">
        <is>
          <t>Típicamente órdenes ya cerradas o purgadas; el ajuste no se aplica.</t>
        </is>
      </c>
    </row>
    <row r="16">
      <c r="A16" s="24" t="inlineStr">
        <is>
          <t>id_operacion duplicados dentro de tblAjustes</t>
        </is>
      </c>
      <c r="B16" s="24">
        <f>SUMPRODUCT(--('AJUSTES'!$A$4:$A$303&lt;&gt;""),--(COUNTIF('AJUSTES'!$A$4:$A$303,'AJUSTES'!$A$4:$A$303)&gt;1))</f>
        <v/>
      </c>
      <c r="C16" s="29" t="inlineStr">
        <is>
          <t>Se aplica la primera fila; las demás se ignoran (ver estado_ajuste).</t>
        </is>
      </c>
    </row>
    <row r="17">
      <c r="A17" s="24" t="inlineStr">
        <is>
          <t>Órdenes programadas en día NO laborable</t>
        </is>
      </c>
      <c r="B17" s="24">
        <f>SUMPRODUCT(--('ORDENES'!$AU$4:$AU$1203&lt;&gt;""),--('ORDENES'!$T$4:$T$1203="no"))</f>
        <v/>
      </c>
      <c r="C17" s="29" t="inlineStr">
        <is>
          <t>Posible error de programación; o una excepción laborable que falta cargar.</t>
        </is>
      </c>
    </row>
    <row r="18">
      <c r="A18" s="24" t="inlineStr">
        <is>
          <t>Excepciones con área fuera de catálogo</t>
        </is>
      </c>
      <c r="B18" s="24">
        <f>SUMPRODUCT(--('CALENDARIO'!$D$15:$D$214&lt;&gt;""),--ISNA(MATCH('CALENDARIO'!$D$15:$D$214,'CAT_CENTROS_COSTO'!$D$4:$D$28,0)))</f>
        <v/>
      </c>
      <c r="C18" s="29" t="inlineStr">
        <is>
          <t>Revisar la columna area de CALENDARIO contra CAT_CENTROS_COSTO.</t>
        </is>
      </c>
    </row>
    <row r="19">
      <c r="A19" s="24" t="inlineStr">
        <is>
          <t>Excepciones con sub-área fuera de catálogo</t>
        </is>
      </c>
      <c r="B19" s="24">
        <f>SUMPRODUCT(--('CALENDARIO'!$E$15:$E$214&lt;&gt;""),--ISNA(MATCH('CALENDARIO'!$E$15:$E$214,'CAT_CENTROS_COSTO'!$E$4:$E$28,0)))</f>
        <v/>
      </c>
      <c r="C19" s="29" t="inlineStr">
        <is>
          <t>Revisar la columna sub_area de CALENDARIO contra CAT_CENTROS_COSTO.</t>
        </is>
      </c>
    </row>
    <row r="20"/>
    <row r="21">
      <c r="A21" s="2" t="inlineStr">
        <is>
          <t>La validación no bloquea: todo se importa y aquí se reporta (REGLA-10).</t>
        </is>
      </c>
    </row>
  </sheetData>
  <conditionalFormatting sqref="B4:B19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  <col width="26" customWidth="1" min="5" max="5"/>
    <col width="14" customWidth="1" min="7" max="7"/>
    <col width="14" customWidth="1" min="9" max="9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PARÁMETROS DEL MOTOR (Tabla 10)</t>
        </is>
      </c>
    </row>
    <row r="2">
      <c r="A2" s="19">
        <f>HYPERLINK("#DASHBOARD!A1","◂ VOLVER AL TABLERO")</f>
        <v/>
      </c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descripcion</t>
        </is>
      </c>
      <c r="E3" s="3" t="inlineStr">
        <is>
          <t>listas auxiliares</t>
        </is>
      </c>
      <c r="K3" s="3" t="inlineStr">
        <is>
          <t>listas de validación (rangos con nombre) — no editar salvo para añadir valores</t>
        </is>
      </c>
    </row>
    <row r="4">
      <c r="A4" s="5" t="inlineStr">
        <is>
          <t>nombre_empresa</t>
        </is>
      </c>
      <c r="B4" s="4" t="inlineStr">
        <is>
          <t>Empresa Ejemplo S.A.</t>
        </is>
      </c>
      <c r="C4" s="2" t="inlineStr">
        <is>
          <t>Editable. Solo informativo, no participa en cálculos.</t>
        </is>
      </c>
      <c r="G4" s="2" t="inlineStr">
        <is>
          <t>no disponible:</t>
        </is>
      </c>
      <c r="I4" s="2" t="inlineStr">
        <is>
          <t>días (1 = lunes):</t>
        </is>
      </c>
      <c r="K4" s="2" t="inlineStr">
        <is>
          <t>filtro turno</t>
        </is>
      </c>
      <c r="L4" s="2" t="inlineStr">
        <is>
          <t>filtro área</t>
        </is>
      </c>
      <c r="M4" s="2" t="inlineStr">
        <is>
          <t>áreas (CAT_CENTROS_COSTO)</t>
        </is>
      </c>
      <c r="N4" s="2" t="inlineStr">
        <is>
          <t>filtro coordinador</t>
        </is>
      </c>
      <c r="O4" s="2" t="inlineStr">
        <is>
          <t>filtro sub-área</t>
        </is>
      </c>
      <c r="P4" s="2" t="inlineStr">
        <is>
          <t>sub-áreas efectivas</t>
        </is>
      </c>
      <c r="Q4" s="2" t="inlineStr">
        <is>
          <t>filtro especialidad</t>
        </is>
      </c>
      <c r="R4" s="2" t="inlineStr">
        <is>
          <t>especialidad propia (CAT_PUESTOS)</t>
        </is>
      </c>
      <c r="S4" s="2" t="inlineStr">
        <is>
          <t>centros de costo</t>
        </is>
      </c>
      <c r="T4" s="2" t="inlineStr">
        <is>
          <t>puestos de trabajo</t>
        </is>
      </c>
      <c r="U4" s="2" t="inlineStr">
        <is>
          <t>actividades</t>
        </is>
      </c>
      <c r="V4" s="2" t="inlineStr">
        <is>
          <t>tipos de OT</t>
        </is>
      </c>
      <c r="W4" s="2" t="inlineStr">
        <is>
          <t>supervisores</t>
        </is>
      </c>
      <c r="X4" s="2" t="inlineStr">
        <is>
          <t>motivos de ausencia</t>
        </is>
      </c>
    </row>
    <row r="5">
      <c r="A5" s="5" t="inlineStr">
        <is>
          <t>nombre_planta</t>
        </is>
      </c>
      <c r="B5" s="4" t="inlineStr">
        <is>
          <t>Planta Ejemplo</t>
        </is>
      </c>
      <c r="C5" s="2" t="inlineStr">
        <is>
          <t>Editable. Solo informativo.</t>
        </is>
      </c>
      <c r="G5" s="5" t="inlineStr">
        <is>
          <t>VAC</t>
        </is>
      </c>
      <c r="I5" s="5" t="inlineStr">
        <is>
          <t>lunes</t>
        </is>
      </c>
      <c r="K5" s="5">
        <f>"(todos)"</f>
        <v/>
      </c>
      <c r="L5" s="5">
        <f>"(todos)"</f>
        <v/>
      </c>
      <c r="M5" s="5">
        <f>IFERROR(INDEX(CAT_CENTROS_COSTO!$D$4:$D$28,MATCH(1,CAT_CENTROS_COSTO!$J$4:$J$28,0)),"")</f>
        <v/>
      </c>
      <c r="N5" s="5">
        <f>"(todos)"</f>
        <v/>
      </c>
      <c r="O5" s="5">
        <f>"(todos)"</f>
        <v/>
      </c>
      <c r="P5" s="5">
        <f>IFERROR(INDEX(CAT_CENTROS_COSTO!$N$4:$N$28,MATCH(1,CAT_CENTROS_COSTO!$O$4:$O$28,0)),"")</f>
        <v/>
      </c>
      <c r="Q5" s="5">
        <f>"(todos)"</f>
        <v/>
      </c>
      <c r="R5" s="5">
        <f>IFERROR(INDEX(CAT_PUESTOS!$B$4:$B$23,MATCH(1,CAT_PUESTOS!$G$4:$G$23,0)),"")</f>
        <v/>
      </c>
      <c r="S5" s="5">
        <f>IFERROR(INDEX(CAT_CENTROS_COSTO!$A$4:$A$28,MATCH(1,CAT_CENTROS_COSTO!$P$4:$P$28,0)),"")</f>
        <v/>
      </c>
      <c r="T5" s="5">
        <f>IFERROR(INDEX(CAT_PUESTOS!$A$4:$A$23,MATCH(1,CAT_PUESTOS!$H$4:$H$23,0)),"")</f>
        <v/>
      </c>
      <c r="U5" s="5">
        <f>IFERROR(INDEX(CAT_ACTIVIDADES!$A$4:$A$26,MATCH(1,CAT_ACTIVIDADES!$I$4:$I$26,0)),"")</f>
        <v/>
      </c>
      <c r="V5" s="5">
        <f>IFERROR(INDEX(CAT_TIPOS_OT!$A$4:$A$23,MATCH(1,CAT_TIPOS_OT!$F$4:$F$23,0)),"")</f>
        <v/>
      </c>
      <c r="W5" s="5">
        <f>IFERROR(INDEX(CAT_SUPERVISORES!$B$4:$B$21,MATCH(1,CAT_SUPERVISORES!$E$4:$E$21,0)),"")</f>
        <v/>
      </c>
      <c r="X5" s="5">
        <f>IFERROR(INDEX(CAT_MOTIVOS_AUSENCIA!$A$4:$A$21,MATCH(1,CAT_MOTIVOS_AUSENCIA!$C$4:$C$21,0)),"")</f>
        <v/>
      </c>
    </row>
    <row r="6">
      <c r="A6" s="5" t="inlineStr">
        <is>
          <t>moneda</t>
        </is>
      </c>
      <c r="B6" s="4" t="inlineStr">
        <is>
          <t>USD</t>
        </is>
      </c>
      <c r="C6" s="2" t="inlineStr">
        <is>
          <t>Moneda de los costos.</t>
        </is>
      </c>
      <c r="G6" s="5" t="inlineStr">
        <is>
          <t>X</t>
        </is>
      </c>
      <c r="I6" s="5" t="inlineStr">
        <is>
          <t>martes</t>
        </is>
      </c>
      <c r="K6" s="5">
        <f>IFERROR(INDEX(CAT_TURNOS!$A$4:$A$22,MATCH(1,CAT_TURNOS!$I$4:$I$22,0)),"")</f>
        <v/>
      </c>
      <c r="L6" s="5">
        <f>IFERROR(INDEX(CAT_CENTROS_COSTO!$D$4:$D$28,MATCH(1,CAT_CENTROS_COSTO!$I$4:$I$28,0)),"")</f>
        <v/>
      </c>
      <c r="M6" s="5">
        <f>IFERROR(INDEX(CAT_CENTROS_COSTO!$D$4:$D$28,MATCH(2,CAT_CENTROS_COSTO!$J$4:$J$28,0)),"")</f>
        <v/>
      </c>
      <c r="N6" s="5">
        <f>IFERROR(INDEX(CAT_CENTROS_COSTO!$G$4:$G$28,MATCH(1,CAT_CENTROS_COSTO!$K$4:$K$28,0)),"")</f>
        <v/>
      </c>
      <c r="O6" s="5">
        <f>IFERROR(INDEX(CAT_CENTROS_COSTO!$L$4:$L$28,MATCH(1,CAT_CENTROS_COSTO!$M$4:$M$28,0)),"")</f>
        <v/>
      </c>
      <c r="P6" s="5">
        <f>IFERROR(INDEX(CAT_CENTROS_COSTO!$N$4:$N$28,MATCH(2,CAT_CENTROS_COSTO!$O$4:$O$28,0)),"")</f>
        <v/>
      </c>
      <c r="Q6" s="5">
        <f>IFERROR(INDEX(CAT_PUESTOS!$B$4:$B$23,MATCH(1,CAT_PUESTOS!$F$4:$F$23,0)),"")</f>
        <v/>
      </c>
      <c r="R6" s="5">
        <f>IFERROR(INDEX(CAT_PUESTOS!$B$4:$B$23,MATCH(2,CAT_PUESTOS!$G$4:$G$23,0)),"")</f>
        <v/>
      </c>
      <c r="S6" s="5">
        <f>IFERROR(INDEX(CAT_CENTROS_COSTO!$A$4:$A$28,MATCH(2,CAT_CENTROS_COSTO!$P$4:$P$28,0)),"")</f>
        <v/>
      </c>
      <c r="T6" s="5">
        <f>IFERROR(INDEX(CAT_PUESTOS!$A$4:$A$23,MATCH(2,CAT_PUESTOS!$H$4:$H$23,0)),"")</f>
        <v/>
      </c>
      <c r="U6" s="5">
        <f>IFERROR(INDEX(CAT_ACTIVIDADES!$A$4:$A$26,MATCH(2,CAT_ACTIVIDADES!$I$4:$I$26,0)),"")</f>
        <v/>
      </c>
      <c r="V6" s="5">
        <f>IFERROR(INDEX(CAT_TIPOS_OT!$A$4:$A$23,MATCH(2,CAT_TIPOS_OT!$F$4:$F$23,0)),"")</f>
        <v/>
      </c>
      <c r="W6" s="5">
        <f>IFERROR(INDEX(CAT_SUPERVISORES!$B$4:$B$21,MATCH(2,CAT_SUPERVISORES!$E$4:$E$21,0)),"")</f>
        <v/>
      </c>
      <c r="X6" s="5">
        <f>IFERROR(INDEX(CAT_MOTIVOS_AUSENCIA!$A$4:$A$21,MATCH(2,CAT_MOTIVOS_AUSENCIA!$C$4:$C$21,0)),"")</f>
        <v/>
      </c>
    </row>
    <row r="7">
      <c r="A7" s="5" t="inlineStr">
        <is>
          <t>horas_jornada</t>
        </is>
      </c>
      <c r="B7" s="4" t="n">
        <v>8</v>
      </c>
      <c r="C7" s="2" t="inlineStr">
        <is>
          <t>Horas de trabajo por técnico y día (REGLA-5).</t>
        </is>
      </c>
      <c r="I7" s="5" t="inlineStr">
        <is>
          <t>miércoles</t>
        </is>
      </c>
      <c r="K7" s="5">
        <f>IFERROR(INDEX(CAT_TURNOS!$A$4:$A$22,MATCH(2,CAT_TURNOS!$I$4:$I$22,0)),"")</f>
        <v/>
      </c>
      <c r="L7" s="5">
        <f>IFERROR(INDEX(CAT_CENTROS_COSTO!$D$4:$D$28,MATCH(2,CAT_CENTROS_COSTO!$I$4:$I$28,0)),"")</f>
        <v/>
      </c>
      <c r="M7" s="5">
        <f>IFERROR(INDEX(CAT_CENTROS_COSTO!$D$4:$D$28,MATCH(3,CAT_CENTROS_COSTO!$J$4:$J$28,0)),"")</f>
        <v/>
      </c>
      <c r="N7" s="5">
        <f>IFERROR(INDEX(CAT_CENTROS_COSTO!$G$4:$G$28,MATCH(2,CAT_CENTROS_COSTO!$K$4:$K$28,0)),"")</f>
        <v/>
      </c>
      <c r="O7" s="5">
        <f>IFERROR(INDEX(CAT_CENTROS_COSTO!$L$4:$L$28,MATCH(2,CAT_CENTROS_COSTO!$M$4:$M$28,0)),"")</f>
        <v/>
      </c>
      <c r="P7" s="5">
        <f>IFERROR(INDEX(CAT_CENTROS_COSTO!$N$4:$N$28,MATCH(3,CAT_CENTROS_COSTO!$O$4:$O$28,0)),"")</f>
        <v/>
      </c>
      <c r="Q7" s="5">
        <f>IFERROR(INDEX(CAT_PUESTOS!$B$4:$B$23,MATCH(2,CAT_PUESTOS!$F$4:$F$23,0)),"")</f>
        <v/>
      </c>
      <c r="R7" s="5">
        <f>IFERROR(INDEX(CAT_PUESTOS!$B$4:$B$23,MATCH(3,CAT_PUESTOS!$G$4:$G$23,0)),"")</f>
        <v/>
      </c>
      <c r="S7" s="5">
        <f>IFERROR(INDEX(CAT_CENTROS_COSTO!$A$4:$A$28,MATCH(3,CAT_CENTROS_COSTO!$P$4:$P$28,0)),"")</f>
        <v/>
      </c>
      <c r="T7" s="5">
        <f>IFERROR(INDEX(CAT_PUESTOS!$A$4:$A$23,MATCH(3,CAT_PUESTOS!$H$4:$H$23,0)),"")</f>
        <v/>
      </c>
      <c r="U7" s="5">
        <f>IFERROR(INDEX(CAT_ACTIVIDADES!$A$4:$A$26,MATCH(3,CAT_ACTIVIDADES!$I$4:$I$26,0)),"")</f>
        <v/>
      </c>
      <c r="V7" s="5">
        <f>IFERROR(INDEX(CAT_TIPOS_OT!$A$4:$A$23,MATCH(3,CAT_TIPOS_OT!$F$4:$F$23,0)),"")</f>
        <v/>
      </c>
      <c r="W7" s="5">
        <f>IFERROR(INDEX(CAT_SUPERVISORES!$B$4:$B$21,MATCH(3,CAT_SUPERVISORES!$E$4:$E$21,0)),"")</f>
        <v/>
      </c>
      <c r="X7" s="5">
        <f>IFERROR(INDEX(CAT_MOTIVOS_AUSENCIA!$A$4:$A$21,MATCH(3,CAT_MOTIVOS_AUSENCIA!$C$4:$C$21,0)),"")</f>
        <v/>
      </c>
    </row>
    <row r="8">
      <c r="A8" s="5" t="inlineStr">
        <is>
          <t>factor_productividad</t>
        </is>
      </c>
      <c r="B8" s="47" t="n">
        <v>0.87</v>
      </c>
      <c r="C8" s="2" t="inlineStr">
        <is>
          <t>Fracción productiva de la jornada (REGLA-6).</t>
        </is>
      </c>
      <c r="I8" s="5" t="inlineStr">
        <is>
          <t>jueves</t>
        </is>
      </c>
      <c r="K8" s="5">
        <f>IFERROR(INDEX(CAT_TURNOS!$A$4:$A$22,MATCH(3,CAT_TURNOS!$I$4:$I$22,0)),"")</f>
        <v/>
      </c>
      <c r="L8" s="5">
        <f>IFERROR(INDEX(CAT_CENTROS_COSTO!$D$4:$D$28,MATCH(3,CAT_CENTROS_COSTO!$I$4:$I$28,0)),"")</f>
        <v/>
      </c>
      <c r="M8" s="5">
        <f>IFERROR(INDEX(CAT_CENTROS_COSTO!$D$4:$D$28,MATCH(4,CAT_CENTROS_COSTO!$J$4:$J$28,0)),"")</f>
        <v/>
      </c>
      <c r="N8" s="5">
        <f>IFERROR(INDEX(CAT_CENTROS_COSTO!$G$4:$G$28,MATCH(3,CAT_CENTROS_COSTO!$K$4:$K$28,0)),"")</f>
        <v/>
      </c>
      <c r="O8" s="5">
        <f>IFERROR(INDEX(CAT_CENTROS_COSTO!$L$4:$L$28,MATCH(3,CAT_CENTROS_COSTO!$M$4:$M$28,0)),"")</f>
        <v/>
      </c>
      <c r="P8" s="5">
        <f>IFERROR(INDEX(CAT_CENTROS_COSTO!$N$4:$N$28,MATCH(4,CAT_CENTROS_COSTO!$O$4:$O$28,0)),"")</f>
        <v/>
      </c>
      <c r="Q8" s="5">
        <f>IFERROR(INDEX(CAT_PUESTOS!$B$4:$B$23,MATCH(3,CAT_PUESTOS!$F$4:$F$23,0)),"")</f>
        <v/>
      </c>
      <c r="R8" s="5">
        <f>IFERROR(INDEX(CAT_PUESTOS!$B$4:$B$23,MATCH(4,CAT_PUESTOS!$G$4:$G$23,0)),"")</f>
        <v/>
      </c>
      <c r="S8" s="5">
        <f>IFERROR(INDEX(CAT_CENTROS_COSTO!$A$4:$A$28,MATCH(4,CAT_CENTROS_COSTO!$P$4:$P$28,0)),"")</f>
        <v/>
      </c>
      <c r="T8" s="5">
        <f>IFERROR(INDEX(CAT_PUESTOS!$A$4:$A$23,MATCH(4,CAT_PUESTOS!$H$4:$H$23,0)),"")</f>
        <v/>
      </c>
      <c r="U8" s="5">
        <f>IFERROR(INDEX(CAT_ACTIVIDADES!$A$4:$A$26,MATCH(4,CAT_ACTIVIDADES!$I$4:$I$26,0)),"")</f>
        <v/>
      </c>
      <c r="V8" s="5">
        <f>IFERROR(INDEX(CAT_TIPOS_OT!$A$4:$A$23,MATCH(4,CAT_TIPOS_OT!$F$4:$F$23,0)),"")</f>
        <v/>
      </c>
      <c r="W8" s="5">
        <f>IFERROR(INDEX(CAT_SUPERVISORES!$B$4:$B$21,MATCH(4,CAT_SUPERVISORES!$E$4:$E$21,0)),"")</f>
        <v/>
      </c>
      <c r="X8" s="5">
        <f>IFERROR(INDEX(CAT_MOTIVOS_AUSENCIA!$A$4:$A$21,MATCH(4,CAT_MOTIVOS_AUSENCIA!$C$4:$C$21,0)),"")</f>
        <v/>
      </c>
    </row>
    <row r="9">
      <c r="A9" s="5" t="inlineStr">
        <is>
          <t>turnos</t>
        </is>
      </c>
      <c r="B9" s="4" t="inlineStr">
        <is>
          <t>B,T1,T2,T3</t>
        </is>
      </c>
      <c r="C9" s="2" t="inlineStr">
        <is>
          <t>Códigos de turno válidos. La definición manda en CAT_TURNOS.</t>
        </is>
      </c>
      <c r="I9" s="5" t="inlineStr">
        <is>
          <t>viernes</t>
        </is>
      </c>
      <c r="K9" s="5">
        <f>IFERROR(INDEX(CAT_TURNOS!$A$4:$A$22,MATCH(4,CAT_TURNOS!$I$4:$I$22,0)),"")</f>
        <v/>
      </c>
      <c r="L9" s="5">
        <f>IFERROR(INDEX(CAT_CENTROS_COSTO!$D$4:$D$28,MATCH(4,CAT_CENTROS_COSTO!$I$4:$I$28,0)),"")</f>
        <v/>
      </c>
      <c r="M9" s="5">
        <f>IFERROR(INDEX(CAT_CENTROS_COSTO!$D$4:$D$28,MATCH(5,CAT_CENTROS_COSTO!$J$4:$J$28,0)),"")</f>
        <v/>
      </c>
      <c r="N9" s="5">
        <f>IFERROR(INDEX(CAT_CENTROS_COSTO!$G$4:$G$28,MATCH(4,CAT_CENTROS_COSTO!$K$4:$K$28,0)),"")</f>
        <v/>
      </c>
      <c r="O9" s="5">
        <f>IFERROR(INDEX(CAT_CENTROS_COSTO!$L$4:$L$28,MATCH(4,CAT_CENTROS_COSTO!$M$4:$M$28,0)),"")</f>
        <v/>
      </c>
      <c r="P9" s="5">
        <f>IFERROR(INDEX(CAT_CENTROS_COSTO!$N$4:$N$28,MATCH(5,CAT_CENTROS_COSTO!$O$4:$O$28,0)),"")</f>
        <v/>
      </c>
      <c r="Q9" s="5">
        <f>IFERROR(INDEX(CAT_PUESTOS!$B$4:$B$23,MATCH(4,CAT_PUESTOS!$F$4:$F$23,0)),"")</f>
        <v/>
      </c>
      <c r="R9" s="5">
        <f>IFERROR(INDEX(CAT_PUESTOS!$B$4:$B$23,MATCH(5,CAT_PUESTOS!$G$4:$G$23,0)),"")</f>
        <v/>
      </c>
      <c r="S9" s="5">
        <f>IFERROR(INDEX(CAT_CENTROS_COSTO!$A$4:$A$28,MATCH(5,CAT_CENTROS_COSTO!$P$4:$P$28,0)),"")</f>
        <v/>
      </c>
      <c r="T9" s="5">
        <f>IFERROR(INDEX(CAT_PUESTOS!$A$4:$A$23,MATCH(5,CAT_PUESTOS!$H$4:$H$23,0)),"")</f>
        <v/>
      </c>
      <c r="U9" s="5">
        <f>IFERROR(INDEX(CAT_ACTIVIDADES!$A$4:$A$26,MATCH(5,CAT_ACTIVIDADES!$I$4:$I$26,0)),"")</f>
        <v/>
      </c>
      <c r="V9" s="5">
        <f>IFERROR(INDEX(CAT_TIPOS_OT!$A$4:$A$23,MATCH(5,CAT_TIPOS_OT!$F$4:$F$23,0)),"")</f>
        <v/>
      </c>
      <c r="W9" s="5">
        <f>IFERROR(INDEX(CAT_SUPERVISORES!$B$4:$B$21,MATCH(5,CAT_SUPERVISORES!$E$4:$E$21,0)),"")</f>
        <v/>
      </c>
      <c r="X9" s="5">
        <f>IFERROR(INDEX(CAT_MOTIVOS_AUSENCIA!$A$4:$A$21,MATCH(5,CAT_MOTIVOS_AUSENCIA!$C$4:$C$21,0)),"")</f>
        <v/>
      </c>
    </row>
    <row r="10">
      <c r="A10" s="5" t="inlineStr">
        <is>
          <t>codigos_no_disponible</t>
        </is>
      </c>
      <c r="B10" s="4" t="inlineStr">
        <is>
          <t>VAC,X</t>
        </is>
      </c>
      <c r="C10" s="2" t="inlineStr">
        <is>
          <t>Códigos que anulan la disponibilidad (REGLA-5).</t>
        </is>
      </c>
      <c r="I10" s="5" t="inlineStr">
        <is>
          <t>sábado</t>
        </is>
      </c>
      <c r="K10" s="5">
        <f>IFERROR(INDEX(CAT_TURNOS!$A$4:$A$22,MATCH(5,CAT_TURNOS!$I$4:$I$22,0)),"")</f>
        <v/>
      </c>
      <c r="L10" s="5">
        <f>IFERROR(INDEX(CAT_CENTROS_COSTO!$D$4:$D$28,MATCH(5,CAT_CENTROS_COSTO!$I$4:$I$28,0)),"")</f>
        <v/>
      </c>
      <c r="M10" s="5">
        <f>IFERROR(INDEX(CAT_CENTROS_COSTO!$D$4:$D$28,MATCH(6,CAT_CENTROS_COSTO!$J$4:$J$28,0)),"")</f>
        <v/>
      </c>
      <c r="N10" s="5">
        <f>IFERROR(INDEX(CAT_CENTROS_COSTO!$G$4:$G$28,MATCH(5,CAT_CENTROS_COSTO!$K$4:$K$28,0)),"")</f>
        <v/>
      </c>
      <c r="O10" s="5">
        <f>IFERROR(INDEX(CAT_CENTROS_COSTO!$L$4:$L$28,MATCH(5,CAT_CENTROS_COSTO!$M$4:$M$28,0)),"")</f>
        <v/>
      </c>
      <c r="P10" s="5">
        <f>IFERROR(INDEX(CAT_CENTROS_COSTO!$N$4:$N$28,MATCH(6,CAT_CENTROS_COSTO!$O$4:$O$28,0)),"")</f>
        <v/>
      </c>
      <c r="Q10" s="5">
        <f>IFERROR(INDEX(CAT_PUESTOS!$B$4:$B$23,MATCH(5,CAT_PUESTOS!$F$4:$F$23,0)),"")</f>
        <v/>
      </c>
      <c r="R10" s="5">
        <f>IFERROR(INDEX(CAT_PUESTOS!$B$4:$B$23,MATCH(6,CAT_PUESTOS!$G$4:$G$23,0)),"")</f>
        <v/>
      </c>
      <c r="S10" s="5">
        <f>IFERROR(INDEX(CAT_CENTROS_COSTO!$A$4:$A$28,MATCH(6,CAT_CENTROS_COSTO!$P$4:$P$28,0)),"")</f>
        <v/>
      </c>
      <c r="T10" s="5">
        <f>IFERROR(INDEX(CAT_PUESTOS!$A$4:$A$23,MATCH(6,CAT_PUESTOS!$H$4:$H$23,0)),"")</f>
        <v/>
      </c>
      <c r="U10" s="5">
        <f>IFERROR(INDEX(CAT_ACTIVIDADES!$A$4:$A$26,MATCH(6,CAT_ACTIVIDADES!$I$4:$I$26,0)),"")</f>
        <v/>
      </c>
      <c r="V10" s="5">
        <f>IFERROR(INDEX(CAT_TIPOS_OT!$A$4:$A$23,MATCH(6,CAT_TIPOS_OT!$F$4:$F$23,0)),"")</f>
        <v/>
      </c>
      <c r="W10" s="5">
        <f>IFERROR(INDEX(CAT_SUPERVISORES!$B$4:$B$21,MATCH(6,CAT_SUPERVISORES!$E$4:$E$21,0)),"")</f>
        <v/>
      </c>
      <c r="X10" s="5">
        <f>IFERROR(INDEX(CAT_MOTIVOS_AUSENCIA!$A$4:$A$21,MATCH(6,CAT_MOTIVOS_AUSENCIA!$C$4:$C$21,0)),"")</f>
        <v/>
      </c>
    </row>
    <row r="11">
      <c r="A11" s="5" t="inlineStr">
        <is>
          <t>dias_backlog_max</t>
        </is>
      </c>
      <c r="B11" s="4" t="n">
        <v>30</v>
      </c>
      <c r="C11" s="2" t="inlineStr">
        <is>
          <t>Días hacia atrás que siguen siendo plan (REGLAS 3 y 4).</t>
        </is>
      </c>
      <c r="I11" s="5" t="inlineStr">
        <is>
          <t>domingo</t>
        </is>
      </c>
      <c r="K11" s="5">
        <f>IFERROR(INDEX(CAT_TURNOS!$A$4:$A$22,MATCH(6,CAT_TURNOS!$I$4:$I$22,0)),"")</f>
        <v/>
      </c>
      <c r="L11" s="5">
        <f>IFERROR(INDEX(CAT_CENTROS_COSTO!$D$4:$D$28,MATCH(6,CAT_CENTROS_COSTO!$I$4:$I$28,0)),"")</f>
        <v/>
      </c>
      <c r="M11" s="5">
        <f>IFERROR(INDEX(CAT_CENTROS_COSTO!$D$4:$D$28,MATCH(7,CAT_CENTROS_COSTO!$J$4:$J$28,0)),"")</f>
        <v/>
      </c>
      <c r="N11" s="5">
        <f>IFERROR(INDEX(CAT_CENTROS_COSTO!$G$4:$G$28,MATCH(6,CAT_CENTROS_COSTO!$K$4:$K$28,0)),"")</f>
        <v/>
      </c>
      <c r="O11" s="5">
        <f>IFERROR(INDEX(CAT_CENTROS_COSTO!$L$4:$L$28,MATCH(6,CAT_CENTROS_COSTO!$M$4:$M$28,0)),"")</f>
        <v/>
      </c>
      <c r="P11" s="5">
        <f>IFERROR(INDEX(CAT_CENTROS_COSTO!$N$4:$N$28,MATCH(7,CAT_CENTROS_COSTO!$O$4:$O$28,0)),"")</f>
        <v/>
      </c>
      <c r="Q11" s="5">
        <f>IFERROR(INDEX(CAT_PUESTOS!$B$4:$B$23,MATCH(6,CAT_PUESTOS!$F$4:$F$23,0)),"")</f>
        <v/>
      </c>
      <c r="R11" s="5">
        <f>IFERROR(INDEX(CAT_PUESTOS!$B$4:$B$23,MATCH(7,CAT_PUESTOS!$G$4:$G$23,0)),"")</f>
        <v/>
      </c>
      <c r="S11" s="5">
        <f>IFERROR(INDEX(CAT_CENTROS_COSTO!$A$4:$A$28,MATCH(7,CAT_CENTROS_COSTO!$P$4:$P$28,0)),"")</f>
        <v/>
      </c>
      <c r="T11" s="5">
        <f>IFERROR(INDEX(CAT_PUESTOS!$A$4:$A$23,MATCH(7,CAT_PUESTOS!$H$4:$H$23,0)),"")</f>
        <v/>
      </c>
      <c r="U11" s="5">
        <f>IFERROR(INDEX(CAT_ACTIVIDADES!$A$4:$A$26,MATCH(7,CAT_ACTIVIDADES!$I$4:$I$26,0)),"")</f>
        <v/>
      </c>
      <c r="V11" s="5">
        <f>IFERROR(INDEX(CAT_TIPOS_OT!$A$4:$A$23,MATCH(7,CAT_TIPOS_OT!$F$4:$F$23,0)),"")</f>
        <v/>
      </c>
      <c r="W11" s="5">
        <f>IFERROR(INDEX(CAT_SUPERVISORES!$B$4:$B$21,MATCH(7,CAT_SUPERVISORES!$E$4:$E$21,0)),"")</f>
        <v/>
      </c>
      <c r="X11" s="5">
        <f>IFERROR(INDEX(CAT_MOTIVOS_AUSENCIA!$A$4:$A$21,MATCH(7,CAT_MOTIVOS_AUSENCIA!$C$4:$C$21,0)),"")</f>
        <v/>
      </c>
    </row>
    <row r="12">
      <c r="A12" s="5" t="inlineStr">
        <is>
          <t>dias_backlog_min</t>
        </is>
      </c>
      <c r="B12" s="4" t="n">
        <v>-92</v>
      </c>
      <c r="C12" s="2" t="inlineStr">
        <is>
          <t>Días hacia adelante (negativo) que entran al plan (REGLA-4).</t>
        </is>
      </c>
      <c r="K12" s="5">
        <f>IFERROR(INDEX(CAT_TURNOS!$A$4:$A$22,MATCH(7,CAT_TURNOS!$I$4:$I$22,0)),"")</f>
        <v/>
      </c>
      <c r="L12" s="5">
        <f>IFERROR(INDEX(CAT_CENTROS_COSTO!$D$4:$D$28,MATCH(7,CAT_CENTROS_COSTO!$I$4:$I$28,0)),"")</f>
        <v/>
      </c>
      <c r="M12" s="5">
        <f>IFERROR(INDEX(CAT_CENTROS_COSTO!$D$4:$D$28,MATCH(8,CAT_CENTROS_COSTO!$J$4:$J$28,0)),"")</f>
        <v/>
      </c>
      <c r="N12" s="5">
        <f>IFERROR(INDEX(CAT_CENTROS_COSTO!$G$4:$G$28,MATCH(7,CAT_CENTROS_COSTO!$K$4:$K$28,0)),"")</f>
        <v/>
      </c>
      <c r="O12" s="5">
        <f>IFERROR(INDEX(CAT_CENTROS_COSTO!$L$4:$L$28,MATCH(7,CAT_CENTROS_COSTO!$M$4:$M$28,0)),"")</f>
        <v/>
      </c>
      <c r="P12" s="5">
        <f>IFERROR(INDEX(CAT_CENTROS_COSTO!$N$4:$N$28,MATCH(8,CAT_CENTROS_COSTO!$O$4:$O$28,0)),"")</f>
        <v/>
      </c>
      <c r="Q12" s="5">
        <f>IFERROR(INDEX(CAT_PUESTOS!$B$4:$B$23,MATCH(7,CAT_PUESTOS!$F$4:$F$23,0)),"")</f>
        <v/>
      </c>
      <c r="R12" s="5">
        <f>IFERROR(INDEX(CAT_PUESTOS!$B$4:$B$23,MATCH(8,CAT_PUESTOS!$G$4:$G$23,0)),"")</f>
        <v/>
      </c>
      <c r="S12" s="5">
        <f>IFERROR(INDEX(CAT_CENTROS_COSTO!$A$4:$A$28,MATCH(8,CAT_CENTROS_COSTO!$P$4:$P$28,0)),"")</f>
        <v/>
      </c>
      <c r="T12" s="5">
        <f>IFERROR(INDEX(CAT_PUESTOS!$A$4:$A$23,MATCH(8,CAT_PUESTOS!$H$4:$H$23,0)),"")</f>
        <v/>
      </c>
      <c r="U12" s="5">
        <f>IFERROR(INDEX(CAT_ACTIVIDADES!$A$4:$A$26,MATCH(8,CAT_ACTIVIDADES!$I$4:$I$26,0)),"")</f>
        <v/>
      </c>
      <c r="V12" s="5">
        <f>IFERROR(INDEX(CAT_TIPOS_OT!$A$4:$A$23,MATCH(8,CAT_TIPOS_OT!$F$4:$F$23,0)),"")</f>
        <v/>
      </c>
      <c r="W12" s="5">
        <f>IFERROR(INDEX(CAT_SUPERVISORES!$B$4:$B$21,MATCH(8,CAT_SUPERVISORES!$E$4:$E$21,0)),"")</f>
        <v/>
      </c>
      <c r="X12" s="5">
        <f>IFERROR(INDEX(CAT_MOTIVOS_AUSENCIA!$A$4:$A$21,MATCH(8,CAT_MOTIVOS_AUSENCIA!$C$4:$C$21,0)),"")</f>
        <v/>
      </c>
    </row>
    <row r="13">
      <c r="A13" s="5" t="inlineStr">
        <is>
          <t>meta_adherencia</t>
        </is>
      </c>
      <c r="B13" s="47" t="n">
        <v>0.95</v>
      </c>
      <c r="C13" s="2" t="inlineStr">
        <is>
          <t>Meta de adherencia semanal (REGLA-7).</t>
        </is>
      </c>
      <c r="K13" s="5">
        <f>IFERROR(INDEX(CAT_TURNOS!$A$4:$A$22,MATCH(8,CAT_TURNOS!$I$4:$I$22,0)),"")</f>
        <v/>
      </c>
      <c r="L13" s="5">
        <f>IFERROR(INDEX(CAT_CENTROS_COSTO!$D$4:$D$28,MATCH(8,CAT_CENTROS_COSTO!$I$4:$I$28,0)),"")</f>
        <v/>
      </c>
      <c r="M13" s="5">
        <f>IFERROR(INDEX(CAT_CENTROS_COSTO!$D$4:$D$28,MATCH(9,CAT_CENTROS_COSTO!$J$4:$J$28,0)),"")</f>
        <v/>
      </c>
      <c r="N13" s="5">
        <f>IFERROR(INDEX(CAT_CENTROS_COSTO!$G$4:$G$28,MATCH(8,CAT_CENTROS_COSTO!$K$4:$K$28,0)),"")</f>
        <v/>
      </c>
      <c r="O13" s="5">
        <f>IFERROR(INDEX(CAT_CENTROS_COSTO!$L$4:$L$28,MATCH(8,CAT_CENTROS_COSTO!$M$4:$M$28,0)),"")</f>
        <v/>
      </c>
      <c r="P13" s="5">
        <f>IFERROR(INDEX(CAT_CENTROS_COSTO!$N$4:$N$28,MATCH(9,CAT_CENTROS_COSTO!$O$4:$O$28,0)),"")</f>
        <v/>
      </c>
      <c r="Q13" s="5">
        <f>IFERROR(INDEX(CAT_PUESTOS!$B$4:$B$23,MATCH(8,CAT_PUESTOS!$F$4:$F$23,0)),"")</f>
        <v/>
      </c>
      <c r="R13" s="5">
        <f>IFERROR(INDEX(CAT_PUESTOS!$B$4:$B$23,MATCH(9,CAT_PUESTOS!$G$4:$G$23,0)),"")</f>
        <v/>
      </c>
      <c r="S13" s="5">
        <f>IFERROR(INDEX(CAT_CENTROS_COSTO!$A$4:$A$28,MATCH(9,CAT_CENTROS_COSTO!$P$4:$P$28,0)),"")</f>
        <v/>
      </c>
      <c r="T13" s="5">
        <f>IFERROR(INDEX(CAT_PUESTOS!$A$4:$A$23,MATCH(9,CAT_PUESTOS!$H$4:$H$23,0)),"")</f>
        <v/>
      </c>
      <c r="U13" s="5">
        <f>IFERROR(INDEX(CAT_ACTIVIDADES!$A$4:$A$26,MATCH(9,CAT_ACTIVIDADES!$I$4:$I$26,0)),"")</f>
        <v/>
      </c>
      <c r="V13" s="5">
        <f>IFERROR(INDEX(CAT_TIPOS_OT!$A$4:$A$23,MATCH(9,CAT_TIPOS_OT!$F$4:$F$23,0)),"")</f>
        <v/>
      </c>
      <c r="W13" s="5">
        <f>IFERROR(INDEX(CAT_SUPERVISORES!$B$4:$B$21,MATCH(9,CAT_SUPERVISORES!$E$4:$E$21,0)),"")</f>
        <v/>
      </c>
      <c r="X13" s="5">
        <f>IFERROR(INDEX(CAT_MOTIVOS_AUSENCIA!$A$4:$A$21,MATCH(9,CAT_MOTIVOS_AUSENCIA!$C$4:$C$21,0)),"")</f>
        <v/>
      </c>
    </row>
    <row r="14">
      <c r="A14" s="5" t="inlineStr">
        <is>
          <t>meta_ratio_prev_corr</t>
        </is>
      </c>
      <c r="B14" s="47" t="n">
        <v>0.8</v>
      </c>
      <c r="C14" s="2" t="inlineStr">
        <is>
          <t>Meta: fracción preventiva mínima de las HH (REGLA-9).</t>
        </is>
      </c>
      <c r="K14" s="5">
        <f>IFERROR(INDEX(CAT_TURNOS!$A$4:$A$22,MATCH(9,CAT_TURNOS!$I$4:$I$22,0)),"")</f>
        <v/>
      </c>
      <c r="L14" s="5">
        <f>IFERROR(INDEX(CAT_CENTROS_COSTO!$D$4:$D$28,MATCH(9,CAT_CENTROS_COSTO!$I$4:$I$28,0)),"")</f>
        <v/>
      </c>
      <c r="M14" s="5">
        <f>IFERROR(INDEX(CAT_CENTROS_COSTO!$D$4:$D$28,MATCH(10,CAT_CENTROS_COSTO!$J$4:$J$28,0)),"")</f>
        <v/>
      </c>
      <c r="N14" s="5">
        <f>IFERROR(INDEX(CAT_CENTROS_COSTO!$G$4:$G$28,MATCH(9,CAT_CENTROS_COSTO!$K$4:$K$28,0)),"")</f>
        <v/>
      </c>
      <c r="O14" s="5">
        <f>IFERROR(INDEX(CAT_CENTROS_COSTO!$L$4:$L$28,MATCH(9,CAT_CENTROS_COSTO!$M$4:$M$28,0)),"")</f>
        <v/>
      </c>
      <c r="P14" s="5">
        <f>IFERROR(INDEX(CAT_CENTROS_COSTO!$N$4:$N$28,MATCH(10,CAT_CENTROS_COSTO!$O$4:$O$28,0)),"")</f>
        <v/>
      </c>
      <c r="Q14" s="5">
        <f>IFERROR(INDEX(CAT_PUESTOS!$B$4:$B$23,MATCH(9,CAT_PUESTOS!$F$4:$F$23,0)),"")</f>
        <v/>
      </c>
      <c r="R14" s="5">
        <f>IFERROR(INDEX(CAT_PUESTOS!$B$4:$B$23,MATCH(10,CAT_PUESTOS!$G$4:$G$23,0)),"")</f>
        <v/>
      </c>
      <c r="S14" s="5">
        <f>IFERROR(INDEX(CAT_CENTROS_COSTO!$A$4:$A$28,MATCH(10,CAT_CENTROS_COSTO!$P$4:$P$28,0)),"")</f>
        <v/>
      </c>
      <c r="T14" s="5">
        <f>IFERROR(INDEX(CAT_PUESTOS!$A$4:$A$23,MATCH(10,CAT_PUESTOS!$H$4:$H$23,0)),"")</f>
        <v/>
      </c>
      <c r="U14" s="5">
        <f>IFERROR(INDEX(CAT_ACTIVIDADES!$A$4:$A$26,MATCH(10,CAT_ACTIVIDADES!$I$4:$I$26,0)),"")</f>
        <v/>
      </c>
      <c r="V14" s="5">
        <f>IFERROR(INDEX(CAT_TIPOS_OT!$A$4:$A$23,MATCH(10,CAT_TIPOS_OT!$F$4:$F$23,0)),"")</f>
        <v/>
      </c>
      <c r="W14" s="5">
        <f>IFERROR(INDEX(CAT_SUPERVISORES!$B$4:$B$21,MATCH(10,CAT_SUPERVISORES!$E$4:$E$21,0)),"")</f>
        <v/>
      </c>
      <c r="X14" s="5">
        <f>IFERROR(INDEX(CAT_MOTIVOS_AUSENCIA!$A$4:$A$21,MATCH(10,CAT_MOTIVOS_AUSENCIA!$C$4:$C$21,0)),"")</f>
        <v/>
      </c>
    </row>
    <row r="15">
      <c r="A15" s="5" t="inlineStr">
        <is>
          <t>primer_dia_semana</t>
        </is>
      </c>
      <c r="B15" s="4" t="inlineStr">
        <is>
          <t>lunes</t>
        </is>
      </c>
      <c r="C15" s="2" t="inlineStr">
        <is>
          <t>Inicio de semana. La semana ISO (REGLA-2) empieza en lunes.</t>
        </is>
      </c>
      <c r="K15" s="5">
        <f>IFERROR(INDEX(CAT_TURNOS!$A$4:$A$22,MATCH(10,CAT_TURNOS!$I$4:$I$22,0)),"")</f>
        <v/>
      </c>
      <c r="L15" s="5">
        <f>IFERROR(INDEX(CAT_CENTROS_COSTO!$D$4:$D$28,MATCH(10,CAT_CENTROS_COSTO!$I$4:$I$28,0)),"")</f>
        <v/>
      </c>
      <c r="M15" s="5">
        <f>IFERROR(INDEX(CAT_CENTROS_COSTO!$D$4:$D$28,MATCH(11,CAT_CENTROS_COSTO!$J$4:$J$28,0)),"")</f>
        <v/>
      </c>
      <c r="N15" s="5">
        <f>IFERROR(INDEX(CAT_CENTROS_COSTO!$G$4:$G$28,MATCH(10,CAT_CENTROS_COSTO!$K$4:$K$28,0)),"")</f>
        <v/>
      </c>
      <c r="O15" s="5">
        <f>IFERROR(INDEX(CAT_CENTROS_COSTO!$L$4:$L$28,MATCH(10,CAT_CENTROS_COSTO!$M$4:$M$28,0)),"")</f>
        <v/>
      </c>
      <c r="P15" s="5">
        <f>IFERROR(INDEX(CAT_CENTROS_COSTO!$N$4:$N$28,MATCH(11,CAT_CENTROS_COSTO!$O$4:$O$28,0)),"")</f>
        <v/>
      </c>
      <c r="Q15" s="5">
        <f>IFERROR(INDEX(CAT_PUESTOS!$B$4:$B$23,MATCH(10,CAT_PUESTOS!$F$4:$F$23,0)),"")</f>
        <v/>
      </c>
      <c r="R15" s="5">
        <f>IFERROR(INDEX(CAT_PUESTOS!$B$4:$B$23,MATCH(11,CAT_PUESTOS!$G$4:$G$23,0)),"")</f>
        <v/>
      </c>
      <c r="S15" s="5">
        <f>IFERROR(INDEX(CAT_CENTROS_COSTO!$A$4:$A$28,MATCH(11,CAT_CENTROS_COSTO!$P$4:$P$28,0)),"")</f>
        <v/>
      </c>
      <c r="T15" s="5">
        <f>IFERROR(INDEX(CAT_PUESTOS!$A$4:$A$23,MATCH(11,CAT_PUESTOS!$H$4:$H$23,0)),"")</f>
        <v/>
      </c>
      <c r="U15" s="5">
        <f>IFERROR(INDEX(CAT_ACTIVIDADES!$A$4:$A$26,MATCH(11,CAT_ACTIVIDADES!$I$4:$I$26,0)),"")</f>
        <v/>
      </c>
      <c r="V15" s="5">
        <f>IFERROR(INDEX(CAT_TIPOS_OT!$A$4:$A$23,MATCH(11,CAT_TIPOS_OT!$F$4:$F$23,0)),"")</f>
        <v/>
      </c>
      <c r="W15" s="5">
        <f>IFERROR(INDEX(CAT_SUPERVISORES!$B$4:$B$21,MATCH(11,CAT_SUPERVISORES!$E$4:$E$21,0)),"")</f>
        <v/>
      </c>
      <c r="X15" s="5">
        <f>IFERROR(INDEX(CAT_MOTIVOS_AUSENCIA!$A$4:$A$21,MATCH(11,CAT_MOTIVOS_AUSENCIA!$C$4:$C$21,0)),"")</f>
        <v/>
      </c>
    </row>
    <row r="16">
      <c r="A16" s="5" t="inlineStr">
        <is>
          <t>ruta_base_checklists</t>
        </is>
      </c>
      <c r="B16" s="4" t="inlineStr">
        <is>
          <t>C:\MANTPLAN\checklists\</t>
        </is>
      </c>
      <c r="C16" s="2" t="inlineStr">
        <is>
          <t>Base para los hipervínculos de la columna link_checklist.</t>
        </is>
      </c>
      <c r="K16" s="5">
        <f>IFERROR(INDEX(CAT_TURNOS!$A$4:$A$22,MATCH(11,CAT_TURNOS!$I$4:$I$22,0)),"")</f>
        <v/>
      </c>
      <c r="L16" s="5">
        <f>IFERROR(INDEX(CAT_CENTROS_COSTO!$D$4:$D$28,MATCH(11,CAT_CENTROS_COSTO!$I$4:$I$28,0)),"")</f>
        <v/>
      </c>
      <c r="M16" s="5">
        <f>IFERROR(INDEX(CAT_CENTROS_COSTO!$D$4:$D$28,MATCH(12,CAT_CENTROS_COSTO!$J$4:$J$28,0)),"")</f>
        <v/>
      </c>
      <c r="N16" s="5">
        <f>IFERROR(INDEX(CAT_CENTROS_COSTO!$G$4:$G$28,MATCH(11,CAT_CENTROS_COSTO!$K$4:$K$28,0)),"")</f>
        <v/>
      </c>
      <c r="O16" s="5">
        <f>IFERROR(INDEX(CAT_CENTROS_COSTO!$L$4:$L$28,MATCH(11,CAT_CENTROS_COSTO!$M$4:$M$28,0)),"")</f>
        <v/>
      </c>
      <c r="P16" s="5">
        <f>IFERROR(INDEX(CAT_CENTROS_COSTO!$N$4:$N$28,MATCH(12,CAT_CENTROS_COSTO!$O$4:$O$28,0)),"")</f>
        <v/>
      </c>
      <c r="Q16" s="5">
        <f>IFERROR(INDEX(CAT_PUESTOS!$B$4:$B$23,MATCH(11,CAT_PUESTOS!$F$4:$F$23,0)),"")</f>
        <v/>
      </c>
      <c r="R16" s="5">
        <f>IFERROR(INDEX(CAT_PUESTOS!$B$4:$B$23,MATCH(12,CAT_PUESTOS!$G$4:$G$23,0)),"")</f>
        <v/>
      </c>
      <c r="S16" s="5">
        <f>IFERROR(INDEX(CAT_CENTROS_COSTO!$A$4:$A$28,MATCH(12,CAT_CENTROS_COSTO!$P$4:$P$28,0)),"")</f>
        <v/>
      </c>
      <c r="T16" s="5">
        <f>IFERROR(INDEX(CAT_PUESTOS!$A$4:$A$23,MATCH(12,CAT_PUESTOS!$H$4:$H$23,0)),"")</f>
        <v/>
      </c>
      <c r="U16" s="5">
        <f>IFERROR(INDEX(CAT_ACTIVIDADES!$A$4:$A$26,MATCH(12,CAT_ACTIVIDADES!$I$4:$I$26,0)),"")</f>
        <v/>
      </c>
      <c r="V16" s="5">
        <f>IFERROR(INDEX(CAT_TIPOS_OT!$A$4:$A$23,MATCH(12,CAT_TIPOS_OT!$F$4:$F$23,0)),"")</f>
        <v/>
      </c>
      <c r="W16" s="5">
        <f>IFERROR(INDEX(CAT_SUPERVISORES!$B$4:$B$21,MATCH(12,CAT_SUPERVISORES!$E$4:$E$21,0)),"")</f>
        <v/>
      </c>
      <c r="X16" s="5">
        <f>IFERROR(INDEX(CAT_MOTIVOS_AUSENCIA!$A$4:$A$21,MATCH(12,CAT_MOTIVOS_AUSENCIA!$C$4:$C$21,0)),"")</f>
        <v/>
      </c>
    </row>
    <row r="17">
      <c r="A17" s="5" t="inlineStr">
        <is>
          <t>top_tareas</t>
        </is>
      </c>
      <c r="B17" s="4" t="n">
        <v>5</v>
      </c>
      <c r="C17" s="2" t="inlineStr">
        <is>
          <t>Nº de tareas relevantes que lista el correo de EXPORTAR.</t>
        </is>
      </c>
      <c r="K17" s="5">
        <f>IFERROR(INDEX(CAT_TURNOS!$A$4:$A$22,MATCH(12,CAT_TURNOS!$I$4:$I$22,0)),"")</f>
        <v/>
      </c>
      <c r="L17" s="5">
        <f>IFERROR(INDEX(CAT_CENTROS_COSTO!$D$4:$D$28,MATCH(12,CAT_CENTROS_COSTO!$I$4:$I$28,0)),"")</f>
        <v/>
      </c>
      <c r="M17" s="5">
        <f>IFERROR(INDEX(CAT_CENTROS_COSTO!$D$4:$D$28,MATCH(13,CAT_CENTROS_COSTO!$J$4:$J$28,0)),"")</f>
        <v/>
      </c>
      <c r="N17" s="5">
        <f>IFERROR(INDEX(CAT_CENTROS_COSTO!$G$4:$G$28,MATCH(12,CAT_CENTROS_COSTO!$K$4:$K$28,0)),"")</f>
        <v/>
      </c>
      <c r="O17" s="5">
        <f>IFERROR(INDEX(CAT_CENTROS_COSTO!$L$4:$L$28,MATCH(12,CAT_CENTROS_COSTO!$M$4:$M$28,0)),"")</f>
        <v/>
      </c>
      <c r="P17" s="5">
        <f>IFERROR(INDEX(CAT_CENTROS_COSTO!$N$4:$N$28,MATCH(13,CAT_CENTROS_COSTO!$O$4:$O$28,0)),"")</f>
        <v/>
      </c>
      <c r="Q17" s="5">
        <f>IFERROR(INDEX(CAT_PUESTOS!$B$4:$B$23,MATCH(12,CAT_PUESTOS!$F$4:$F$23,0)),"")</f>
        <v/>
      </c>
      <c r="R17" s="5">
        <f>IFERROR(INDEX(CAT_PUESTOS!$B$4:$B$23,MATCH(13,CAT_PUESTOS!$G$4:$G$23,0)),"")</f>
        <v/>
      </c>
      <c r="S17" s="5">
        <f>IFERROR(INDEX(CAT_CENTROS_COSTO!$A$4:$A$28,MATCH(13,CAT_CENTROS_COSTO!$P$4:$P$28,0)),"")</f>
        <v/>
      </c>
      <c r="T17" s="5">
        <f>IFERROR(INDEX(CAT_PUESTOS!$A$4:$A$23,MATCH(13,CAT_PUESTOS!$H$4:$H$23,0)),"")</f>
        <v/>
      </c>
      <c r="U17" s="5">
        <f>IFERROR(INDEX(CAT_ACTIVIDADES!$A$4:$A$26,MATCH(13,CAT_ACTIVIDADES!$I$4:$I$26,0)),"")</f>
        <v/>
      </c>
      <c r="V17" s="5">
        <f>IFERROR(INDEX(CAT_TIPOS_OT!$A$4:$A$23,MATCH(13,CAT_TIPOS_OT!$F$4:$F$23,0)),"")</f>
        <v/>
      </c>
      <c r="W17" s="5">
        <f>IFERROR(INDEX(CAT_SUPERVISORES!$B$4:$B$21,MATCH(13,CAT_SUPERVISORES!$E$4:$E$21,0)),"")</f>
        <v/>
      </c>
      <c r="X17" s="5">
        <f>IFERROR(INDEX(CAT_MOTIVOS_AUSENCIA!$A$4:$A$21,MATCH(13,CAT_MOTIVOS_AUSENCIA!$C$4:$C$21,0)),"")</f>
        <v/>
      </c>
    </row>
    <row r="18">
      <c r="A18" s="5" t="inlineStr">
        <is>
          <t>dias_laborables_base</t>
        </is>
      </c>
      <c r="B18" s="4" t="n">
        <v>6</v>
      </c>
      <c r="C18" s="2" t="inlineStr">
        <is>
          <t>Días laborables base por semana (lunes a sábado). Base de REGLA-5 / 48 h.</t>
        </is>
      </c>
      <c r="K18" s="5">
        <f>IFERROR(INDEX(CAT_TURNOS!$A$4:$A$22,MATCH(13,CAT_TURNOS!$I$4:$I$22,0)),"")</f>
        <v/>
      </c>
      <c r="L18" s="5">
        <f>IFERROR(INDEX(CAT_CENTROS_COSTO!$D$4:$D$28,MATCH(13,CAT_CENTROS_COSTO!$I$4:$I$28,0)),"")</f>
        <v/>
      </c>
      <c r="M18" s="5">
        <f>IFERROR(INDEX(CAT_CENTROS_COSTO!$D$4:$D$28,MATCH(14,CAT_CENTROS_COSTO!$J$4:$J$28,0)),"")</f>
        <v/>
      </c>
      <c r="N18" s="5">
        <f>IFERROR(INDEX(CAT_CENTROS_COSTO!$G$4:$G$28,MATCH(13,CAT_CENTROS_COSTO!$K$4:$K$28,0)),"")</f>
        <v/>
      </c>
      <c r="O18" s="5">
        <f>IFERROR(INDEX(CAT_CENTROS_COSTO!$L$4:$L$28,MATCH(13,CAT_CENTROS_COSTO!$M$4:$M$28,0)),"")</f>
        <v/>
      </c>
      <c r="P18" s="5">
        <f>IFERROR(INDEX(CAT_CENTROS_COSTO!$N$4:$N$28,MATCH(14,CAT_CENTROS_COSTO!$O$4:$O$28,0)),"")</f>
        <v/>
      </c>
      <c r="Q18" s="5">
        <f>IFERROR(INDEX(CAT_PUESTOS!$B$4:$B$23,MATCH(13,CAT_PUESTOS!$F$4:$F$23,0)),"")</f>
        <v/>
      </c>
      <c r="R18" s="5">
        <f>IFERROR(INDEX(CAT_PUESTOS!$B$4:$B$23,MATCH(14,CAT_PUESTOS!$G$4:$G$23,0)),"")</f>
        <v/>
      </c>
      <c r="S18" s="5">
        <f>IFERROR(INDEX(CAT_CENTROS_COSTO!$A$4:$A$28,MATCH(14,CAT_CENTROS_COSTO!$P$4:$P$28,0)),"")</f>
        <v/>
      </c>
      <c r="T18" s="5">
        <f>IFERROR(INDEX(CAT_PUESTOS!$A$4:$A$23,MATCH(14,CAT_PUESTOS!$H$4:$H$23,0)),"")</f>
        <v/>
      </c>
      <c r="U18" s="5">
        <f>IFERROR(INDEX(CAT_ACTIVIDADES!$A$4:$A$26,MATCH(14,CAT_ACTIVIDADES!$I$4:$I$26,0)),"")</f>
        <v/>
      </c>
      <c r="V18" s="5">
        <f>IFERROR(INDEX(CAT_TIPOS_OT!$A$4:$A$23,MATCH(14,CAT_TIPOS_OT!$F$4:$F$23,0)),"")</f>
        <v/>
      </c>
      <c r="W18" s="5">
        <f>IFERROR(INDEX(CAT_SUPERVISORES!$B$4:$B$21,MATCH(14,CAT_SUPERVISORES!$E$4:$E$21,0)),"")</f>
        <v/>
      </c>
      <c r="X18" s="5">
        <f>IFERROR(INDEX(CAT_MOTIVOS_AUSENCIA!$A$4:$A$21,MATCH(14,CAT_MOTIVOS_AUSENCIA!$C$4:$C$21,0)),"")</f>
        <v/>
      </c>
    </row>
    <row r="19">
      <c r="A19" s="5" t="inlineStr">
        <is>
          <t>base_semanal_horas</t>
        </is>
      </c>
      <c r="B19" s="5">
        <f>p_horas_jornada*p_dias_laborables_base</f>
        <v/>
      </c>
      <c r="C19" s="2" t="inlineStr">
        <is>
          <t>Base obligatoria por técnico y semana = horas_jornada × dias_laborables_base.</t>
        </is>
      </c>
      <c r="K19" s="5">
        <f>IFERROR(INDEX(CAT_TURNOS!$A$4:$A$22,MATCH(14,CAT_TURNOS!$I$4:$I$22,0)),"")</f>
        <v/>
      </c>
      <c r="L19" s="5">
        <f>IFERROR(INDEX(CAT_CENTROS_COSTO!$D$4:$D$28,MATCH(14,CAT_CENTROS_COSTO!$I$4:$I$28,0)),"")</f>
        <v/>
      </c>
      <c r="M19" s="5">
        <f>IFERROR(INDEX(CAT_CENTROS_COSTO!$D$4:$D$28,MATCH(15,CAT_CENTROS_COSTO!$J$4:$J$28,0)),"")</f>
        <v/>
      </c>
      <c r="N19" s="5">
        <f>IFERROR(INDEX(CAT_CENTROS_COSTO!$G$4:$G$28,MATCH(14,CAT_CENTROS_COSTO!$K$4:$K$28,0)),"")</f>
        <v/>
      </c>
      <c r="O19" s="5">
        <f>IFERROR(INDEX(CAT_CENTROS_COSTO!$L$4:$L$28,MATCH(14,CAT_CENTROS_COSTO!$M$4:$M$28,0)),"")</f>
        <v/>
      </c>
      <c r="P19" s="5">
        <f>IFERROR(INDEX(CAT_CENTROS_COSTO!$N$4:$N$28,MATCH(15,CAT_CENTROS_COSTO!$O$4:$O$28,0)),"")</f>
        <v/>
      </c>
      <c r="Q19" s="5">
        <f>IFERROR(INDEX(CAT_PUESTOS!$B$4:$B$23,MATCH(14,CAT_PUESTOS!$F$4:$F$23,0)),"")</f>
        <v/>
      </c>
      <c r="R19" s="5">
        <f>IFERROR(INDEX(CAT_PUESTOS!$B$4:$B$23,MATCH(15,CAT_PUESTOS!$G$4:$G$23,0)),"")</f>
        <v/>
      </c>
      <c r="S19" s="5">
        <f>IFERROR(INDEX(CAT_CENTROS_COSTO!$A$4:$A$28,MATCH(15,CAT_CENTROS_COSTO!$P$4:$P$28,0)),"")</f>
        <v/>
      </c>
      <c r="T19" s="5">
        <f>IFERROR(INDEX(CAT_PUESTOS!$A$4:$A$23,MATCH(15,CAT_PUESTOS!$H$4:$H$23,0)),"")</f>
        <v/>
      </c>
      <c r="U19" s="5">
        <f>IFERROR(INDEX(CAT_ACTIVIDADES!$A$4:$A$26,MATCH(15,CAT_ACTIVIDADES!$I$4:$I$26,0)),"")</f>
        <v/>
      </c>
      <c r="V19" s="5">
        <f>IFERROR(INDEX(CAT_TIPOS_OT!$A$4:$A$23,MATCH(15,CAT_TIPOS_OT!$F$4:$F$23,0)),"")</f>
        <v/>
      </c>
      <c r="W19" s="5">
        <f>IFERROR(INDEX(CAT_SUPERVISORES!$B$4:$B$21,MATCH(15,CAT_SUPERVISORES!$E$4:$E$21,0)),"")</f>
        <v/>
      </c>
      <c r="X19" s="5">
        <f>IFERROR(INDEX(CAT_MOTIVOS_AUSENCIA!$A$4:$A$21,MATCH(15,CAT_MOTIVOS_AUSENCIA!$C$4:$C$21,0)),"")</f>
        <v/>
      </c>
    </row>
    <row r="20">
      <c r="A20" s="5" t="inlineStr">
        <is>
          <t>semana_referencia</t>
        </is>
      </c>
      <c r="B20" s="44" t="n">
        <v>46223</v>
      </c>
      <c r="C20" s="2" t="inlineStr">
        <is>
          <t>FECHA (lunes) de la semana de referencia de la rotación de turnos (6.3).</t>
        </is>
      </c>
      <c r="K20" s="5">
        <f>IFERROR(INDEX(CAT_TURNOS!$A$4:$A$22,MATCH(15,CAT_TURNOS!$I$4:$I$22,0)),"")</f>
        <v/>
      </c>
      <c r="L20" s="5">
        <f>IFERROR(INDEX(CAT_CENTROS_COSTO!$D$4:$D$28,MATCH(15,CAT_CENTROS_COSTO!$I$4:$I$28,0)),"")</f>
        <v/>
      </c>
      <c r="M20" s="5">
        <f>IFERROR(INDEX(CAT_CENTROS_COSTO!$D$4:$D$28,MATCH(16,CAT_CENTROS_COSTO!$J$4:$J$28,0)),"")</f>
        <v/>
      </c>
      <c r="N20" s="5">
        <f>IFERROR(INDEX(CAT_CENTROS_COSTO!$G$4:$G$28,MATCH(15,CAT_CENTROS_COSTO!$K$4:$K$28,0)),"")</f>
        <v/>
      </c>
      <c r="O20" s="5">
        <f>IFERROR(INDEX(CAT_CENTROS_COSTO!$L$4:$L$28,MATCH(15,CAT_CENTROS_COSTO!$M$4:$M$28,0)),"")</f>
        <v/>
      </c>
      <c r="P20" s="5">
        <f>IFERROR(INDEX(CAT_CENTROS_COSTO!$N$4:$N$28,MATCH(16,CAT_CENTROS_COSTO!$O$4:$O$28,0)),"")</f>
        <v/>
      </c>
      <c r="Q20" s="5">
        <f>IFERROR(INDEX(CAT_PUESTOS!$B$4:$B$23,MATCH(15,CAT_PUESTOS!$F$4:$F$23,0)),"")</f>
        <v/>
      </c>
      <c r="R20" s="5">
        <f>IFERROR(INDEX(CAT_PUESTOS!$B$4:$B$23,MATCH(16,CAT_PUESTOS!$G$4:$G$23,0)),"")</f>
        <v/>
      </c>
      <c r="S20" s="5">
        <f>IFERROR(INDEX(CAT_CENTROS_COSTO!$A$4:$A$28,MATCH(16,CAT_CENTROS_COSTO!$P$4:$P$28,0)),"")</f>
        <v/>
      </c>
      <c r="T20" s="5">
        <f>IFERROR(INDEX(CAT_PUESTOS!$A$4:$A$23,MATCH(16,CAT_PUESTOS!$H$4:$H$23,0)),"")</f>
        <v/>
      </c>
      <c r="U20" s="5">
        <f>IFERROR(INDEX(CAT_ACTIVIDADES!$A$4:$A$26,MATCH(16,CAT_ACTIVIDADES!$I$4:$I$26,0)),"")</f>
        <v/>
      </c>
      <c r="V20" s="5">
        <f>IFERROR(INDEX(CAT_TIPOS_OT!$A$4:$A$23,MATCH(16,CAT_TIPOS_OT!$F$4:$F$23,0)),"")</f>
        <v/>
      </c>
      <c r="W20" s="5">
        <f>IFERROR(INDEX(CAT_SUPERVISORES!$B$4:$B$21,MATCH(16,CAT_SUPERVISORES!$E$4:$E$21,0)),"")</f>
        <v/>
      </c>
      <c r="X20" s="5">
        <f>IFERROR(INDEX(CAT_MOTIVOS_AUSENCIA!$A$4:$A$21,MATCH(16,CAT_MOTIVOS_AUSENCIA!$C$4:$C$21,0)),"")</f>
        <v/>
      </c>
    </row>
    <row r="21">
      <c r="A21" s="5" t="inlineStr">
        <is>
          <t>tolerancia_horas_bono</t>
        </is>
      </c>
      <c r="B21" s="4" t="n">
        <v>0</v>
      </c>
      <c r="C21" s="2" t="inlineStr">
        <is>
          <t>Horas de tolerancia para 'cumple' del seguimiento mensual (6.5). No toca capacidad.</t>
        </is>
      </c>
      <c r="K21" s="5">
        <f>IFERROR(INDEX(CAT_TURNOS!$A$4:$A$22,MATCH(16,CAT_TURNOS!$I$4:$I$22,0)),"")</f>
        <v/>
      </c>
      <c r="L21" s="5">
        <f>IFERROR(INDEX(CAT_CENTROS_COSTO!$D$4:$D$28,MATCH(16,CAT_CENTROS_COSTO!$I$4:$I$28,0)),"")</f>
        <v/>
      </c>
      <c r="M21" s="5">
        <f>IFERROR(INDEX(CAT_CENTROS_COSTO!$D$4:$D$28,MATCH(17,CAT_CENTROS_COSTO!$J$4:$J$28,0)),"")</f>
        <v/>
      </c>
      <c r="N21" s="5">
        <f>IFERROR(INDEX(CAT_CENTROS_COSTO!$G$4:$G$28,MATCH(16,CAT_CENTROS_COSTO!$K$4:$K$28,0)),"")</f>
        <v/>
      </c>
      <c r="O21" s="5">
        <f>IFERROR(INDEX(CAT_CENTROS_COSTO!$L$4:$L$28,MATCH(16,CAT_CENTROS_COSTO!$M$4:$M$28,0)),"")</f>
        <v/>
      </c>
      <c r="P21" s="5">
        <f>IFERROR(INDEX(CAT_CENTROS_COSTO!$N$4:$N$28,MATCH(17,CAT_CENTROS_COSTO!$O$4:$O$28,0)),"")</f>
        <v/>
      </c>
      <c r="Q21" s="5">
        <f>IFERROR(INDEX(CAT_PUESTOS!$B$4:$B$23,MATCH(16,CAT_PUESTOS!$F$4:$F$23,0)),"")</f>
        <v/>
      </c>
      <c r="R21" s="5">
        <f>IFERROR(INDEX(CAT_PUESTOS!$B$4:$B$23,MATCH(17,CAT_PUESTOS!$G$4:$G$23,0)),"")</f>
        <v/>
      </c>
      <c r="S21" s="5">
        <f>IFERROR(INDEX(CAT_CENTROS_COSTO!$A$4:$A$28,MATCH(17,CAT_CENTROS_COSTO!$P$4:$P$28,0)),"")</f>
        <v/>
      </c>
      <c r="T21" s="5">
        <f>IFERROR(INDEX(CAT_PUESTOS!$A$4:$A$23,MATCH(17,CAT_PUESTOS!$H$4:$H$23,0)),"")</f>
        <v/>
      </c>
      <c r="U21" s="5">
        <f>IFERROR(INDEX(CAT_ACTIVIDADES!$A$4:$A$26,MATCH(17,CAT_ACTIVIDADES!$I$4:$I$26,0)),"")</f>
        <v/>
      </c>
      <c r="V21" s="5">
        <f>IFERROR(INDEX(CAT_TIPOS_OT!$A$4:$A$23,MATCH(17,CAT_TIPOS_OT!$F$4:$F$23,0)),"")</f>
        <v/>
      </c>
      <c r="W21" s="5">
        <f>IFERROR(INDEX(CAT_SUPERVISORES!$B$4:$B$21,MATCH(17,CAT_SUPERVISORES!$E$4:$E$21,0)),"")</f>
        <v/>
      </c>
      <c r="X21" s="5">
        <f>IFERROR(INDEX(CAT_MOTIVOS_AUSENCIA!$A$4:$A$21,MATCH(17,CAT_MOTIVOS_AUSENCIA!$C$4:$C$21,0)),"")</f>
        <v/>
      </c>
    </row>
    <row r="22">
      <c r="A22" s="5" t="inlineStr">
        <is>
          <t>anio_presupuesto</t>
        </is>
      </c>
      <c r="B22" s="4" t="n">
        <v>2026</v>
      </c>
      <c r="C22" s="2" t="inlineStr">
        <is>
          <t>Año del presupuesto OPEX de la hoja PRESUPUESTO (por defecto, el año del ancla).</t>
        </is>
      </c>
      <c r="K22" s="5">
        <f>IFERROR(INDEX(CAT_TURNOS!$A$4:$A$22,MATCH(17,CAT_TURNOS!$I$4:$I$22,0)),"")</f>
        <v/>
      </c>
      <c r="L22" s="5">
        <f>IFERROR(INDEX(CAT_CENTROS_COSTO!$D$4:$D$28,MATCH(17,CAT_CENTROS_COSTO!$I$4:$I$28,0)),"")</f>
        <v/>
      </c>
      <c r="M22" s="5">
        <f>IFERROR(INDEX(CAT_CENTROS_COSTO!$D$4:$D$28,MATCH(18,CAT_CENTROS_COSTO!$J$4:$J$28,0)),"")</f>
        <v/>
      </c>
      <c r="N22" s="5">
        <f>IFERROR(INDEX(CAT_CENTROS_COSTO!$G$4:$G$28,MATCH(17,CAT_CENTROS_COSTO!$K$4:$K$28,0)),"")</f>
        <v/>
      </c>
      <c r="O22" s="5">
        <f>IFERROR(INDEX(CAT_CENTROS_COSTO!$L$4:$L$28,MATCH(17,CAT_CENTROS_COSTO!$M$4:$M$28,0)),"")</f>
        <v/>
      </c>
      <c r="P22" s="5">
        <f>IFERROR(INDEX(CAT_CENTROS_COSTO!$N$4:$N$28,MATCH(18,CAT_CENTROS_COSTO!$O$4:$O$28,0)),"")</f>
        <v/>
      </c>
      <c r="Q22" s="5">
        <f>IFERROR(INDEX(CAT_PUESTOS!$B$4:$B$23,MATCH(17,CAT_PUESTOS!$F$4:$F$23,0)),"")</f>
        <v/>
      </c>
      <c r="R22" s="5">
        <f>IFERROR(INDEX(CAT_PUESTOS!$B$4:$B$23,MATCH(18,CAT_PUESTOS!$G$4:$G$23,0)),"")</f>
        <v/>
      </c>
      <c r="S22" s="5">
        <f>IFERROR(INDEX(CAT_CENTROS_COSTO!$A$4:$A$28,MATCH(18,CAT_CENTROS_COSTO!$P$4:$P$28,0)),"")</f>
        <v/>
      </c>
      <c r="T22" s="5">
        <f>IFERROR(INDEX(CAT_PUESTOS!$A$4:$A$23,MATCH(18,CAT_PUESTOS!$H$4:$H$23,0)),"")</f>
        <v/>
      </c>
      <c r="U22" s="5">
        <f>IFERROR(INDEX(CAT_ACTIVIDADES!$A$4:$A$26,MATCH(18,CAT_ACTIVIDADES!$I$4:$I$26,0)),"")</f>
        <v/>
      </c>
      <c r="V22" s="5">
        <f>IFERROR(INDEX(CAT_TIPOS_OT!$A$4:$A$23,MATCH(18,CAT_TIPOS_OT!$F$4:$F$23,0)),"")</f>
        <v/>
      </c>
      <c r="W22" s="5">
        <f>IFERROR(INDEX(CAT_SUPERVISORES!$B$4:$B$21,MATCH(18,CAT_SUPERVISORES!$E$4:$E$21,0)),"")</f>
        <v/>
      </c>
      <c r="X22" s="5">
        <f>IFERROR(INDEX(CAT_MOTIVOS_AUSENCIA!$A$4:$A$21,MATCH(18,CAT_MOTIVOS_AUSENCIA!$C$4:$C$21,0)),"")</f>
        <v/>
      </c>
    </row>
    <row r="23">
      <c r="A23" s="5" t="inlineStr">
        <is>
          <t>tolerancia_desviacion_presupuesto</t>
        </is>
      </c>
      <c r="B23" s="47" t="n">
        <v>0.1</v>
      </c>
      <c r="C23" s="2" t="inlineStr">
        <is>
          <t>Desviación relativa tolerada antes de marcar sobre/bajo presupuesto (semáforo).</t>
        </is>
      </c>
      <c r="K23" s="5">
        <f>IFERROR(INDEX(CAT_TURNOS!$A$4:$A$22,MATCH(18,CAT_TURNOS!$I$4:$I$22,0)),"")</f>
        <v/>
      </c>
      <c r="L23" s="5">
        <f>IFERROR(INDEX(CAT_CENTROS_COSTO!$D$4:$D$28,MATCH(18,CAT_CENTROS_COSTO!$I$4:$I$28,0)),"")</f>
        <v/>
      </c>
      <c r="M23" s="5">
        <f>IFERROR(INDEX(CAT_CENTROS_COSTO!$D$4:$D$28,MATCH(19,CAT_CENTROS_COSTO!$J$4:$J$28,0)),"")</f>
        <v/>
      </c>
      <c r="N23" s="5">
        <f>IFERROR(INDEX(CAT_CENTROS_COSTO!$G$4:$G$28,MATCH(18,CAT_CENTROS_COSTO!$K$4:$K$28,0)),"")</f>
        <v/>
      </c>
      <c r="O23" s="5">
        <f>IFERROR(INDEX(CAT_CENTROS_COSTO!$L$4:$L$28,MATCH(18,CAT_CENTROS_COSTO!$M$4:$M$28,0)),"")</f>
        <v/>
      </c>
      <c r="P23" s="5">
        <f>IFERROR(INDEX(CAT_CENTROS_COSTO!$N$4:$N$28,MATCH(19,CAT_CENTROS_COSTO!$O$4:$O$28,0)),"")</f>
        <v/>
      </c>
      <c r="Q23" s="5">
        <f>IFERROR(INDEX(CAT_PUESTOS!$B$4:$B$23,MATCH(18,CAT_PUESTOS!$F$4:$F$23,0)),"")</f>
        <v/>
      </c>
      <c r="R23" s="5">
        <f>IFERROR(INDEX(CAT_PUESTOS!$B$4:$B$23,MATCH(19,CAT_PUESTOS!$G$4:$G$23,0)),"")</f>
        <v/>
      </c>
      <c r="S23" s="5">
        <f>IFERROR(INDEX(CAT_CENTROS_COSTO!$A$4:$A$28,MATCH(19,CAT_CENTROS_COSTO!$P$4:$P$28,0)),"")</f>
        <v/>
      </c>
      <c r="T23" s="5">
        <f>IFERROR(INDEX(CAT_PUESTOS!$A$4:$A$23,MATCH(19,CAT_PUESTOS!$H$4:$H$23,0)),"")</f>
        <v/>
      </c>
      <c r="U23" s="5">
        <f>IFERROR(INDEX(CAT_ACTIVIDADES!$A$4:$A$26,MATCH(19,CAT_ACTIVIDADES!$I$4:$I$26,0)),"")</f>
        <v/>
      </c>
      <c r="V23" s="5">
        <f>IFERROR(INDEX(CAT_TIPOS_OT!$A$4:$A$23,MATCH(19,CAT_TIPOS_OT!$F$4:$F$23,0)),"")</f>
        <v/>
      </c>
    </row>
    <row r="24">
      <c r="A24" s="5" t="inlineStr">
        <is>
          <t>fecha_datos</t>
        </is>
      </c>
      <c r="B24" s="44" t="n">
        <v>46230</v>
      </c>
      <c r="C24" s="2" t="inlineStr">
        <is>
          <t>FECHA de los datos del libro. El DASHBOARD corta con ella (mes en curso: hasta el día anterior).</t>
        </is>
      </c>
      <c r="K24" s="5">
        <f>IFERROR(INDEX(CAT_TURNOS!$A$4:$A$22,MATCH(19,CAT_TURNOS!$I$4:$I$22,0)),"")</f>
        <v/>
      </c>
      <c r="L24" s="5">
        <f>IFERROR(INDEX(CAT_CENTROS_COSTO!$D$4:$D$28,MATCH(19,CAT_CENTROS_COSTO!$I$4:$I$28,0)),"")</f>
        <v/>
      </c>
      <c r="M24" s="5">
        <f>IFERROR(INDEX(CAT_CENTROS_COSTO!$D$4:$D$28,MATCH(20,CAT_CENTROS_COSTO!$J$4:$J$28,0)),"")</f>
        <v/>
      </c>
      <c r="N24" s="5">
        <f>IFERROR(INDEX(CAT_CENTROS_COSTO!$G$4:$G$28,MATCH(19,CAT_CENTROS_COSTO!$K$4:$K$28,0)),"")</f>
        <v/>
      </c>
      <c r="O24" s="5">
        <f>IFERROR(INDEX(CAT_CENTROS_COSTO!$L$4:$L$28,MATCH(19,CAT_CENTROS_COSTO!$M$4:$M$28,0)),"")</f>
        <v/>
      </c>
      <c r="P24" s="5">
        <f>IFERROR(INDEX(CAT_CENTROS_COSTO!$N$4:$N$28,MATCH(20,CAT_CENTROS_COSTO!$O$4:$O$28,0)),"")</f>
        <v/>
      </c>
      <c r="Q24" s="5">
        <f>IFERROR(INDEX(CAT_PUESTOS!$B$4:$B$23,MATCH(19,CAT_PUESTOS!$F$4:$F$23,0)),"")</f>
        <v/>
      </c>
      <c r="R24" s="5">
        <f>IFERROR(INDEX(CAT_PUESTOS!$B$4:$B$23,MATCH(20,CAT_PUESTOS!$G$4:$G$23,0)),"")</f>
        <v/>
      </c>
      <c r="S24" s="5">
        <f>IFERROR(INDEX(CAT_CENTROS_COSTO!$A$4:$A$28,MATCH(20,CAT_CENTROS_COSTO!$P$4:$P$28,0)),"")</f>
        <v/>
      </c>
      <c r="T24" s="5">
        <f>IFERROR(INDEX(CAT_PUESTOS!$A$4:$A$23,MATCH(20,CAT_PUESTOS!$H$4:$H$23,0)),"")</f>
        <v/>
      </c>
      <c r="U24" s="5">
        <f>IFERROR(INDEX(CAT_ACTIVIDADES!$A$4:$A$26,MATCH(20,CAT_ACTIVIDADES!$I$4:$I$26,0)),"")</f>
        <v/>
      </c>
      <c r="V24" s="5">
        <f>IFERROR(INDEX(CAT_TIPOS_OT!$A$4:$A$23,MATCH(20,CAT_TIPOS_OT!$F$4:$F$23,0)),"")</f>
        <v/>
      </c>
    </row>
    <row r="25">
      <c r="A25" s="5" t="inlineStr">
        <is>
          <t>meta_pct_predictivo</t>
        </is>
      </c>
      <c r="B25" s="4" t="n">
        <v>60</v>
      </c>
      <c r="C25" s="2" t="inlineStr">
        <is>
          <t>Meta de mix (% de HH): predictivo. Convención, NO norma.</t>
        </is>
      </c>
      <c r="L25" s="5">
        <f>IFERROR(INDEX(CAT_CENTROS_COSTO!$D$4:$D$28,MATCH(20,CAT_CENTROS_COSTO!$I$4:$I$28,0)),"")</f>
        <v/>
      </c>
      <c r="M25" s="5">
        <f>IFERROR(INDEX(CAT_CENTROS_COSTO!$D$4:$D$28,MATCH(21,CAT_CENTROS_COSTO!$J$4:$J$28,0)),"")</f>
        <v/>
      </c>
      <c r="N25" s="5">
        <f>IFERROR(INDEX(CAT_CENTROS_COSTO!$G$4:$G$28,MATCH(20,CAT_CENTROS_COSTO!$K$4:$K$28,0)),"")</f>
        <v/>
      </c>
      <c r="O25" s="5">
        <f>IFERROR(INDEX(CAT_CENTROS_COSTO!$L$4:$L$28,MATCH(20,CAT_CENTROS_COSTO!$M$4:$M$28,0)),"")</f>
        <v/>
      </c>
      <c r="P25" s="5">
        <f>IFERROR(INDEX(CAT_CENTROS_COSTO!$N$4:$N$28,MATCH(21,CAT_CENTROS_COSTO!$O$4:$O$28,0)),"")</f>
        <v/>
      </c>
      <c r="Q25" s="5">
        <f>IFERROR(INDEX(CAT_PUESTOS!$B$4:$B$23,MATCH(20,CAT_PUESTOS!$F$4:$F$23,0)),"")</f>
        <v/>
      </c>
      <c r="S25" s="5">
        <f>IFERROR(INDEX(CAT_CENTROS_COSTO!$A$4:$A$28,MATCH(21,CAT_CENTROS_COSTO!$P$4:$P$28,0)),"")</f>
        <v/>
      </c>
      <c r="U25" s="5">
        <f>IFERROR(INDEX(CAT_ACTIVIDADES!$A$4:$A$26,MATCH(21,CAT_ACTIVIDADES!$I$4:$I$26,0)),"")</f>
        <v/>
      </c>
    </row>
    <row r="26">
      <c r="A26" s="5" t="inlineStr">
        <is>
          <t>meta_pct_preventivo</t>
        </is>
      </c>
      <c r="B26" s="4" t="n">
        <v>25</v>
      </c>
      <c r="C26" s="2" t="inlineStr">
        <is>
          <t>Meta de mix (% de HH): preventivo. Convención, NO norma.</t>
        </is>
      </c>
      <c r="L26" s="5">
        <f>IFERROR(INDEX(CAT_CENTROS_COSTO!$D$4:$D$28,MATCH(21,CAT_CENTROS_COSTO!$I$4:$I$28,0)),"")</f>
        <v/>
      </c>
      <c r="M26" s="5">
        <f>IFERROR(INDEX(CAT_CENTROS_COSTO!$D$4:$D$28,MATCH(22,CAT_CENTROS_COSTO!$J$4:$J$28,0)),"")</f>
        <v/>
      </c>
      <c r="N26" s="5">
        <f>IFERROR(INDEX(CAT_CENTROS_COSTO!$G$4:$G$28,MATCH(21,CAT_CENTROS_COSTO!$K$4:$K$28,0)),"")</f>
        <v/>
      </c>
      <c r="O26" s="5">
        <f>IFERROR(INDEX(CAT_CENTROS_COSTO!$L$4:$L$28,MATCH(21,CAT_CENTROS_COSTO!$M$4:$M$28,0)),"")</f>
        <v/>
      </c>
      <c r="P26" s="5">
        <f>IFERROR(INDEX(CAT_CENTROS_COSTO!$N$4:$N$28,MATCH(22,CAT_CENTROS_COSTO!$O$4:$O$28,0)),"")</f>
        <v/>
      </c>
      <c r="S26" s="5">
        <f>IFERROR(INDEX(CAT_CENTROS_COSTO!$A$4:$A$28,MATCH(22,CAT_CENTROS_COSTO!$P$4:$P$28,0)),"")</f>
        <v/>
      </c>
      <c r="U26" s="5">
        <f>IFERROR(INDEX(CAT_ACTIVIDADES!$A$4:$A$26,MATCH(22,CAT_ACTIVIDADES!$I$4:$I$26,0)),"")</f>
        <v/>
      </c>
    </row>
    <row r="27">
      <c r="A27" s="5" t="inlineStr">
        <is>
          <t>meta_pct_correctivo_programado</t>
        </is>
      </c>
      <c r="B27" s="4" t="n">
        <v>10</v>
      </c>
      <c r="C27" s="2" t="inlineStr">
        <is>
          <t>Meta de mix (% de HH): correctivo programado. Convención, NO norma.</t>
        </is>
      </c>
      <c r="L27" s="5">
        <f>IFERROR(INDEX(CAT_CENTROS_COSTO!$D$4:$D$28,MATCH(22,CAT_CENTROS_COSTO!$I$4:$I$28,0)),"")</f>
        <v/>
      </c>
      <c r="M27" s="5">
        <f>IFERROR(INDEX(CAT_CENTROS_COSTO!$D$4:$D$28,MATCH(23,CAT_CENTROS_COSTO!$J$4:$J$28,0)),"")</f>
        <v/>
      </c>
      <c r="N27" s="5">
        <f>IFERROR(INDEX(CAT_CENTROS_COSTO!$G$4:$G$28,MATCH(22,CAT_CENTROS_COSTO!$K$4:$K$28,0)),"")</f>
        <v/>
      </c>
      <c r="O27" s="5">
        <f>IFERROR(INDEX(CAT_CENTROS_COSTO!$L$4:$L$28,MATCH(22,CAT_CENTROS_COSTO!$M$4:$M$28,0)),"")</f>
        <v/>
      </c>
      <c r="P27" s="5">
        <f>IFERROR(INDEX(CAT_CENTROS_COSTO!$N$4:$N$28,MATCH(23,CAT_CENTROS_COSTO!$O$4:$O$28,0)),"")</f>
        <v/>
      </c>
      <c r="S27" s="5">
        <f>IFERROR(INDEX(CAT_CENTROS_COSTO!$A$4:$A$28,MATCH(23,CAT_CENTROS_COSTO!$P$4:$P$28,0)),"")</f>
        <v/>
      </c>
      <c r="U27" s="5">
        <f>IFERROR(INDEX(CAT_ACTIVIDADES!$A$4:$A$26,MATCH(23,CAT_ACTIVIDADES!$I$4:$I$26,0)),"")</f>
        <v/>
      </c>
    </row>
    <row r="28">
      <c r="A28" s="5" t="inlineStr">
        <is>
          <t>meta_pct_emergencia</t>
        </is>
      </c>
      <c r="B28" s="4" t="n">
        <v>5</v>
      </c>
      <c r="C28" s="2" t="inlineStr">
        <is>
          <t>Meta de mix (% de HH): emergencia. Convención, NO norma.</t>
        </is>
      </c>
      <c r="L28" s="5">
        <f>IFERROR(INDEX(CAT_CENTROS_COSTO!$D$4:$D$28,MATCH(23,CAT_CENTROS_COSTO!$I$4:$I$28,0)),"")</f>
        <v/>
      </c>
      <c r="M28" s="5">
        <f>IFERROR(INDEX(CAT_CENTROS_COSTO!$D$4:$D$28,MATCH(24,CAT_CENTROS_COSTO!$J$4:$J$28,0)),"")</f>
        <v/>
      </c>
      <c r="N28" s="5">
        <f>IFERROR(INDEX(CAT_CENTROS_COSTO!$G$4:$G$28,MATCH(23,CAT_CENTROS_COSTO!$K$4:$K$28,0)),"")</f>
        <v/>
      </c>
      <c r="O28" s="5">
        <f>IFERROR(INDEX(CAT_CENTROS_COSTO!$L$4:$L$28,MATCH(23,CAT_CENTROS_COSTO!$M$4:$M$28,0)),"")</f>
        <v/>
      </c>
      <c r="P28" s="5">
        <f>IFERROR(INDEX(CAT_CENTROS_COSTO!$N$4:$N$28,MATCH(24,CAT_CENTROS_COSTO!$O$4:$O$28,0)),"")</f>
        <v/>
      </c>
      <c r="S28" s="5">
        <f>IFERROR(INDEX(CAT_CENTROS_COSTO!$A$4:$A$28,MATCH(24,CAT_CENTROS_COSTO!$P$4:$P$28,0)),"")</f>
        <v/>
      </c>
    </row>
    <row r="29">
      <c r="A29" s="5" t="inlineStr">
        <is>
          <t>cuadre_metas_mix</t>
        </is>
      </c>
      <c r="B29" s="5">
        <f>IF(p_meta_pct_predictivo+p_meta_pct_preventivo+p_meta_pct_correctivo_programado+p_meta_pct_emergencia=100,"cuadra: 100 %","DESCUADRE: suman "&amp;(p_meta_pct_predictivo+p_meta_pct_preventivo+p_meta_pct_correctivo_programado+p_meta_pct_emergencia)&amp;" %, deben sumar 100")</f>
        <v/>
      </c>
      <c r="C29" s="2" t="inlineStr">
        <is>
          <t>Cuadre de las metas de mix. Derivado: avisa si los cuatro porcentajes no suman 100.</t>
        </is>
      </c>
      <c r="L29" s="5">
        <f>IFERROR(INDEX(CAT_CENTROS_COSTO!$D$4:$D$28,MATCH(24,CAT_CENTROS_COSTO!$I$4:$I$28,0)),"")</f>
        <v/>
      </c>
      <c r="M29" s="5">
        <f>IFERROR(INDEX(CAT_CENTROS_COSTO!$D$4:$D$28,MATCH(25,CAT_CENTROS_COSTO!$J$4:$J$28,0)),"")</f>
        <v/>
      </c>
      <c r="N29" s="5">
        <f>IFERROR(INDEX(CAT_CENTROS_COSTO!$G$4:$G$28,MATCH(24,CAT_CENTROS_COSTO!$K$4:$K$28,0)),"")</f>
        <v/>
      </c>
      <c r="O29" s="5">
        <f>IFERROR(INDEX(CAT_CENTROS_COSTO!$L$4:$L$28,MATCH(24,CAT_CENTROS_COSTO!$M$4:$M$28,0)),"")</f>
        <v/>
      </c>
      <c r="P29" s="5">
        <f>IFERROR(INDEX(CAT_CENTROS_COSTO!$N$4:$N$28,MATCH(25,CAT_CENTROS_COSTO!$O$4:$O$28,0)),"")</f>
        <v/>
      </c>
      <c r="S29" s="5">
        <f>IFERROR(INDEX(CAT_CENTROS_COSTO!$A$4:$A$28,MATCH(25,CAT_CENTROS_COSTO!$P$4:$P$28,0)),"")</f>
        <v/>
      </c>
    </row>
    <row r="30">
      <c r="L30" s="5">
        <f>IFERROR(INDEX(CAT_CENTROS_COSTO!$D$4:$D$28,MATCH(25,CAT_CENTROS_COSTO!$I$4:$I$28,0)),"")</f>
        <v/>
      </c>
      <c r="N30" s="5">
        <f>IFERROR(INDEX(CAT_CENTROS_COSTO!$G$4:$G$28,MATCH(25,CAT_CENTROS_COSTO!$K$4:$K$28,0)),"")</f>
        <v/>
      </c>
      <c r="O30" s="5">
        <f>IFERROR(INDEX(CAT_CENTROS_COSTO!$L$4:$L$28,MATCH(25,CAT_CENTROS_COSTO!$M$4:$M$28,0)),"")</f>
        <v/>
      </c>
    </row>
  </sheetData>
  <conditionalFormatting sqref="B29">
    <cfRule type="expression" priority="1" dxfId="0">
      <formula>LEFT($B$29,9)="DESCUADRE"</formula>
    </cfRule>
  </conditionalFormatting>
  <dataValidations count="5">
    <dataValidation sqref="B15" showDropDown="0" showInputMessage="0" showErrorMessage="0" allowBlank="0" type="list">
      <formula1>"lunes,domingo"</formula1>
    </dataValidation>
    <dataValidation sqref="B8 B13 B14" showDropDown="0" showInputMessage="0" showErrorMessage="0" allowBlank="0" type="decimal" operator="between">
      <formula1>0</formula1>
      <formula2>1</formula2>
    </dataValidation>
    <dataValidation sqref="B7 B18" showDropDown="0" showInputMessage="0" showErrorMessage="0" allowBlank="0" type="decimal" operator="between">
      <formula1>1</formula1>
      <formula2>24</formula2>
    </dataValidation>
    <dataValidation sqref="B17" showDropDown="0" showInputMessage="0" showErrorMessage="0" allowBlank="0" type="whole" operator="between">
      <formula1>1</formula1>
      <formula2>20</formula2>
    </dataValidation>
    <dataValidation sqref="B25 B26 B27 B28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3" t="inlineStr">
        <is>
          <t>Catálogo de centros de costo — se carga por empresa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planta</t>
        </is>
      </c>
      <c r="D3" s="14" t="inlineStr">
        <is>
          <t>area</t>
        </is>
      </c>
      <c r="E3" s="14" t="inlineStr">
        <is>
          <t>sub_area</t>
        </is>
      </c>
      <c r="F3" s="14" t="inlineStr">
        <is>
          <t>linea</t>
        </is>
      </c>
      <c r="G3" s="14" t="inlineStr">
        <is>
          <t>coordinador</t>
        </is>
      </c>
      <c r="I3" s="2" t="inlineStr">
        <is>
          <t>orden de filtro área — no editar</t>
        </is>
      </c>
      <c r="J3" s="2" t="inlineStr">
        <is>
          <t>orden de áreas (CAT_CENTROS_COSTO) — no editar</t>
        </is>
      </c>
      <c r="K3" s="2" t="inlineStr">
        <is>
          <t>orden de filtro coordinador — no editar</t>
        </is>
      </c>
      <c r="L3" s="2" t="inlineStr">
        <is>
          <t>filtro sub-área (auxiliar) — no editar</t>
        </is>
      </c>
      <c r="M3" s="2" t="inlineStr">
        <is>
          <t>orden de filtro sub-área — no editar</t>
        </is>
      </c>
      <c r="N3" s="2" t="inlineStr">
        <is>
          <t>sub-áreas efectivas (auxiliar) — no editar</t>
        </is>
      </c>
      <c r="O3" s="2" t="inlineStr">
        <is>
          <t>orden de sub-áreas efectivas — no editar</t>
        </is>
      </c>
      <c r="P3" s="2" t="inlineStr">
        <is>
          <t>orden de centros de costo — no editar</t>
        </is>
      </c>
    </row>
    <row r="4">
      <c r="A4" s="4" t="inlineStr">
        <is>
          <t>CC-110</t>
        </is>
      </c>
      <c r="B4" s="4" t="inlineStr">
        <is>
          <t>Línea de producción 1</t>
        </is>
      </c>
      <c r="C4" s="4" t="inlineStr">
        <is>
          <t>PLANTA-1</t>
        </is>
      </c>
      <c r="D4" s="4" t="inlineStr">
        <is>
          <t>PRODUCCION</t>
        </is>
      </c>
      <c r="E4" s="4" t="inlineStr"/>
      <c r="F4" s="4" t="inlineStr">
        <is>
          <t>L1</t>
        </is>
      </c>
      <c r="G4" s="4" t="inlineStr">
        <is>
          <t>Coordinador A</t>
        </is>
      </c>
      <c r="I4" s="2">
        <f>IF($D4="","",IF(COUNTIF($D$4:$D4,$D4)&lt;&gt;1,"",SUMPRODUCT(($D$4:$D4&lt;&gt;"")/COUNTIF($D$4:$D4,$D$4:$D4&amp;""))))</f>
        <v/>
      </c>
      <c r="J4" s="2">
        <f>IF($D4="","",IF(COUNTIF($D$4:$D4,$D4)&lt;&gt;1,"",SUMPRODUCT(($D$4:$D4&lt;&gt;"")/COUNTIF($D$4:$D4,$D$4:$D4&amp;""))))</f>
        <v/>
      </c>
      <c r="K4" s="2">
        <f>IF($G4="","",IF(COUNTIF($G$4:$G4,$G4)&lt;&gt;1,"",SUMPRODUCT(($G$4:$G4&lt;&gt;"")/COUNTIF($G$4:$G4,$G$4:$G4&amp;""))))</f>
        <v/>
      </c>
      <c r="L4" s="2">
        <f>IF($D4="","",IF($E4="",$D4,$E4))</f>
        <v/>
      </c>
      <c r="M4" s="2">
        <f>IF($L4="","",IF(COUNTIF($L$4:$L4,$L4)&lt;&gt;1,"",SUMPRODUCT(($L$4:$L4&lt;&gt;"")/COUNTIF($L$4:$L4,$L$4:$L4&amp;""))))</f>
        <v/>
      </c>
      <c r="N4" s="2">
        <f>IF($D4="","",IF($E4="",$D4,$E4))</f>
        <v/>
      </c>
      <c r="O4" s="2">
        <f>IF($N4="","",IF(COUNTIF($N$4:$N4,$N4)&lt;&gt;1,"",SUMPRODUCT(($N$4:$N4&lt;&gt;"")/COUNTIF($N$4:$N4,$N$4:$N4&amp;""))))</f>
        <v/>
      </c>
      <c r="P4" s="2">
        <f>IF($A4="","",IF(COUNTIF($A$4:$A4,$A4)&lt;&gt;1,"",SUMPRODUCT(($A$4:$A4&lt;&gt;"")/COUNTIF($A$4:$A4,$A$4:$A4&amp;""))))</f>
        <v/>
      </c>
    </row>
    <row r="5">
      <c r="A5" s="4" t="inlineStr">
        <is>
          <t>CC-120</t>
        </is>
      </c>
      <c r="B5" s="4" t="inlineStr">
        <is>
          <t>Línea de producción 2</t>
        </is>
      </c>
      <c r="C5" s="4" t="inlineStr">
        <is>
          <t>PLANTA-1</t>
        </is>
      </c>
      <c r="D5" s="4" t="inlineStr">
        <is>
          <t>PRODUCCION</t>
        </is>
      </c>
      <c r="E5" s="4" t="inlineStr"/>
      <c r="F5" s="4" t="inlineStr">
        <is>
          <t>L2</t>
        </is>
      </c>
      <c r="G5" s="4" t="inlineStr">
        <is>
          <t>Coordinador A</t>
        </is>
      </c>
      <c r="I5" s="2">
        <f>IF($D5="","",IF(COUNTIF($D$4:$D5,$D5)&lt;&gt;1,"",SUMPRODUCT(($D$4:$D5&lt;&gt;"")/COUNTIF($D$4:$D5,$D$4:$D5&amp;""))))</f>
        <v/>
      </c>
      <c r="J5" s="2">
        <f>IF($D5="","",IF(COUNTIF($D$4:$D5,$D5)&lt;&gt;1,"",SUMPRODUCT(($D$4:$D5&lt;&gt;"")/COUNTIF($D$4:$D5,$D$4:$D5&amp;""))))</f>
        <v/>
      </c>
      <c r="K5" s="2">
        <f>IF($G5="","",IF(COUNTIF($G$4:$G5,$G5)&lt;&gt;1,"",SUMPRODUCT(($G$4:$G5&lt;&gt;"")/COUNTIF($G$4:$G5,$G$4:$G5&amp;""))))</f>
        <v/>
      </c>
      <c r="L5" s="2">
        <f>IF($D5="","",IF($E5="",$D5,$E5))</f>
        <v/>
      </c>
      <c r="M5" s="2">
        <f>IF($L5="","",IF(COUNTIF($L$4:$L5,$L5)&lt;&gt;1,"",SUMPRODUCT(($L$4:$L5&lt;&gt;"")/COUNTIF($L$4:$L5,$L$4:$L5&amp;""))))</f>
        <v/>
      </c>
      <c r="N5" s="2">
        <f>IF($D5="","",IF($E5="",$D5,$E5))</f>
        <v/>
      </c>
      <c r="O5" s="2">
        <f>IF($N5="","",IF(COUNTIF($N$4:$N5,$N5)&lt;&gt;1,"",SUMPRODUCT(($N$4:$N5&lt;&gt;"")/COUNTIF($N$4:$N5,$N$4:$N5&amp;""))))</f>
        <v/>
      </c>
      <c r="P5" s="2">
        <f>IF($A5="","",IF(COUNTIF($A$4:$A5,$A5)&lt;&gt;1,"",SUMPRODUCT(($A$4:$A5&lt;&gt;"")/COUNTIF($A$4:$A5,$A$4:$A5&amp;""))))</f>
        <v/>
      </c>
    </row>
    <row r="6">
      <c r="A6" s="4" t="inlineStr">
        <is>
          <t>CC-210</t>
        </is>
      </c>
      <c r="B6" s="4" t="inlineStr">
        <is>
          <t>Línea de empaque 3</t>
        </is>
      </c>
      <c r="C6" s="4" t="inlineStr">
        <is>
          <t>PLANTA-1</t>
        </is>
      </c>
      <c r="D6" s="4" t="inlineStr">
        <is>
          <t>EMPAQUE</t>
        </is>
      </c>
      <c r="E6" s="4" t="inlineStr"/>
      <c r="F6" s="4" t="inlineStr">
        <is>
          <t>L3</t>
        </is>
      </c>
      <c r="G6" s="4" t="inlineStr">
        <is>
          <t>Coordinador B</t>
        </is>
      </c>
      <c r="I6" s="2">
        <f>IF($D6="","",IF(COUNTIF($D$4:$D6,$D6)&lt;&gt;1,"",SUMPRODUCT(($D$4:$D6&lt;&gt;"")/COUNTIF($D$4:$D6,$D$4:$D6&amp;""))))</f>
        <v/>
      </c>
      <c r="J6" s="2">
        <f>IF($D6="","",IF(COUNTIF($D$4:$D6,$D6)&lt;&gt;1,"",SUMPRODUCT(($D$4:$D6&lt;&gt;"")/COUNTIF($D$4:$D6,$D$4:$D6&amp;""))))</f>
        <v/>
      </c>
      <c r="K6" s="2">
        <f>IF($G6="","",IF(COUNTIF($G$4:$G6,$G6)&lt;&gt;1,"",SUMPRODUCT(($G$4:$G6&lt;&gt;"")/COUNTIF($G$4:$G6,$G$4:$G6&amp;""))))</f>
        <v/>
      </c>
      <c r="L6" s="2">
        <f>IF($D6="","",IF($E6="",$D6,$E6))</f>
        <v/>
      </c>
      <c r="M6" s="2">
        <f>IF($L6="","",IF(COUNTIF($L$4:$L6,$L6)&lt;&gt;1,"",SUMPRODUCT(($L$4:$L6&lt;&gt;"")/COUNTIF($L$4:$L6,$L$4:$L6&amp;""))))</f>
        <v/>
      </c>
      <c r="N6" s="2">
        <f>IF($D6="","",IF($E6="",$D6,$E6))</f>
        <v/>
      </c>
      <c r="O6" s="2">
        <f>IF($N6="","",IF(COUNTIF($N$4:$N6,$N6)&lt;&gt;1,"",SUMPRODUCT(($N$4:$N6&lt;&gt;"")/COUNTIF($N$4:$N6,$N$4:$N6&amp;""))))</f>
        <v/>
      </c>
      <c r="P6" s="2">
        <f>IF($A6="","",IF(COUNTIF($A$4:$A6,$A6)&lt;&gt;1,"",SUMPRODUCT(($A$4:$A6&lt;&gt;"")/COUNTIF($A$4:$A6,$A$4:$A6&amp;""))))</f>
        <v/>
      </c>
    </row>
    <row r="7">
      <c r="A7" s="4" t="inlineStr">
        <is>
          <t>CC-220</t>
        </is>
      </c>
      <c r="B7" s="4" t="inlineStr">
        <is>
          <t>Línea de empaque 4</t>
        </is>
      </c>
      <c r="C7" s="4" t="inlineStr">
        <is>
          <t>PLANTA-1</t>
        </is>
      </c>
      <c r="D7" s="4" t="inlineStr">
        <is>
          <t>EMPAQUE</t>
        </is>
      </c>
      <c r="E7" s="4" t="inlineStr"/>
      <c r="F7" s="4" t="inlineStr">
        <is>
          <t>L4</t>
        </is>
      </c>
      <c r="G7" s="4" t="inlineStr">
        <is>
          <t>Coordinador B</t>
        </is>
      </c>
      <c r="I7" s="2">
        <f>IF($D7="","",IF(COUNTIF($D$4:$D7,$D7)&lt;&gt;1,"",SUMPRODUCT(($D$4:$D7&lt;&gt;"")/COUNTIF($D$4:$D7,$D$4:$D7&amp;""))))</f>
        <v/>
      </c>
      <c r="J7" s="2">
        <f>IF($D7="","",IF(COUNTIF($D$4:$D7,$D7)&lt;&gt;1,"",SUMPRODUCT(($D$4:$D7&lt;&gt;"")/COUNTIF($D$4:$D7,$D$4:$D7&amp;""))))</f>
        <v/>
      </c>
      <c r="K7" s="2">
        <f>IF($G7="","",IF(COUNTIF($G$4:$G7,$G7)&lt;&gt;1,"",SUMPRODUCT(($G$4:$G7&lt;&gt;"")/COUNTIF($G$4:$G7,$G$4:$G7&amp;""))))</f>
        <v/>
      </c>
      <c r="L7" s="2">
        <f>IF($D7="","",IF($E7="",$D7,$E7))</f>
        <v/>
      </c>
      <c r="M7" s="2">
        <f>IF($L7="","",IF(COUNTIF($L$4:$L7,$L7)&lt;&gt;1,"",SUMPRODUCT(($L$4:$L7&lt;&gt;"")/COUNTIF($L$4:$L7,$L$4:$L7&amp;""))))</f>
        <v/>
      </c>
      <c r="N7" s="2">
        <f>IF($D7="","",IF($E7="",$D7,$E7))</f>
        <v/>
      </c>
      <c r="O7" s="2">
        <f>IF($N7="","",IF(COUNTIF($N$4:$N7,$N7)&lt;&gt;1,"",SUMPRODUCT(($N$4:$N7&lt;&gt;"")/COUNTIF($N$4:$N7,$N$4:$N7&amp;""))))</f>
        <v/>
      </c>
      <c r="P7" s="2">
        <f>IF($A7="","",IF(COUNTIF($A$4:$A7,$A7)&lt;&gt;1,"",SUMPRODUCT(($A$4:$A7&lt;&gt;"")/COUNTIF($A$4:$A7,$A$4:$A7&amp;""))))</f>
        <v/>
      </c>
    </row>
    <row r="8">
      <c r="A8" s="4" t="inlineStr">
        <is>
          <t>CC-310</t>
        </is>
      </c>
      <c r="B8" s="4" t="inlineStr">
        <is>
          <t>Generación de vapor</t>
        </is>
      </c>
      <c r="C8" s="4" t="inlineStr">
        <is>
          <t>PLANTA-1</t>
        </is>
      </c>
      <c r="D8" s="4" t="inlineStr">
        <is>
          <t>SERVICIOS</t>
        </is>
      </c>
      <c r="E8" s="4" t="inlineStr">
        <is>
          <t>Vapor</t>
        </is>
      </c>
      <c r="F8" s="4" t="inlineStr">
        <is>
          <t>SG</t>
        </is>
      </c>
      <c r="G8" s="4" t="inlineStr">
        <is>
          <t>Coordinador C</t>
        </is>
      </c>
      <c r="I8" s="2">
        <f>IF($D8="","",IF(COUNTIF($D$4:$D8,$D8)&lt;&gt;1,"",SUMPRODUCT(($D$4:$D8&lt;&gt;"")/COUNTIF($D$4:$D8,$D$4:$D8&amp;""))))</f>
        <v/>
      </c>
      <c r="J8" s="2">
        <f>IF($D8="","",IF(COUNTIF($D$4:$D8,$D8)&lt;&gt;1,"",SUMPRODUCT(($D$4:$D8&lt;&gt;"")/COUNTIF($D$4:$D8,$D$4:$D8&amp;""))))</f>
        <v/>
      </c>
      <c r="K8" s="2">
        <f>IF($G8="","",IF(COUNTIF($G$4:$G8,$G8)&lt;&gt;1,"",SUMPRODUCT(($G$4:$G8&lt;&gt;"")/COUNTIF($G$4:$G8,$G$4:$G8&amp;""))))</f>
        <v/>
      </c>
      <c r="L8" s="2">
        <f>IF($D8="","",IF($E8="",$D8,$E8))</f>
        <v/>
      </c>
      <c r="M8" s="2">
        <f>IF($L8="","",IF(COUNTIF($L$4:$L8,$L8)&lt;&gt;1,"",SUMPRODUCT(($L$4:$L8&lt;&gt;"")/COUNTIF($L$4:$L8,$L$4:$L8&amp;""))))</f>
        <v/>
      </c>
      <c r="N8" s="2">
        <f>IF($D8="","",IF($E8="",$D8,$E8))</f>
        <v/>
      </c>
      <c r="O8" s="2">
        <f>IF($N8="","",IF(COUNTIF($N$4:$N8,$N8)&lt;&gt;1,"",SUMPRODUCT(($N$4:$N8&lt;&gt;"")/COUNTIF($N$4:$N8,$N$4:$N8&amp;""))))</f>
        <v/>
      </c>
      <c r="P8" s="2">
        <f>IF($A8="","",IF(COUNTIF($A$4:$A8,$A8)&lt;&gt;1,"",SUMPRODUCT(($A$4:$A8&lt;&gt;"")/COUNTIF($A$4:$A8,$A$4:$A8&amp;""))))</f>
        <v/>
      </c>
    </row>
    <row r="9">
      <c r="A9" s="4" t="inlineStr">
        <is>
          <t>CC-311</t>
        </is>
      </c>
      <c r="B9" s="4" t="inlineStr">
        <is>
          <t>Distribución de vapor</t>
        </is>
      </c>
      <c r="C9" s="4" t="inlineStr">
        <is>
          <t>PLANTA-1</t>
        </is>
      </c>
      <c r="D9" s="4" t="inlineStr">
        <is>
          <t>SERVICIOS</t>
        </is>
      </c>
      <c r="E9" s="4" t="inlineStr">
        <is>
          <t>Vapor</t>
        </is>
      </c>
      <c r="F9" s="4" t="inlineStr">
        <is>
          <t>SG</t>
        </is>
      </c>
      <c r="G9" s="4" t="inlineStr">
        <is>
          <t>Coordinador C</t>
        </is>
      </c>
      <c r="I9" s="2">
        <f>IF($D9="","",IF(COUNTIF($D$4:$D9,$D9)&lt;&gt;1,"",SUMPRODUCT(($D$4:$D9&lt;&gt;"")/COUNTIF($D$4:$D9,$D$4:$D9&amp;""))))</f>
        <v/>
      </c>
      <c r="J9" s="2">
        <f>IF($D9="","",IF(COUNTIF($D$4:$D9,$D9)&lt;&gt;1,"",SUMPRODUCT(($D$4:$D9&lt;&gt;"")/COUNTIF($D$4:$D9,$D$4:$D9&amp;""))))</f>
        <v/>
      </c>
      <c r="K9" s="2">
        <f>IF($G9="","",IF(COUNTIF($G$4:$G9,$G9)&lt;&gt;1,"",SUMPRODUCT(($G$4:$G9&lt;&gt;"")/COUNTIF($G$4:$G9,$G$4:$G9&amp;""))))</f>
        <v/>
      </c>
      <c r="L9" s="2">
        <f>IF($D9="","",IF($E9="",$D9,$E9))</f>
        <v/>
      </c>
      <c r="M9" s="2">
        <f>IF($L9="","",IF(COUNTIF($L$4:$L9,$L9)&lt;&gt;1,"",SUMPRODUCT(($L$4:$L9&lt;&gt;"")/COUNTIF($L$4:$L9,$L$4:$L9&amp;""))))</f>
        <v/>
      </c>
      <c r="N9" s="2">
        <f>IF($D9="","",IF($E9="",$D9,$E9))</f>
        <v/>
      </c>
      <c r="O9" s="2">
        <f>IF($N9="","",IF(COUNTIF($N$4:$N9,$N9)&lt;&gt;1,"",SUMPRODUCT(($N$4:$N9&lt;&gt;"")/COUNTIF($N$4:$N9,$N$4:$N9&amp;""))))</f>
        <v/>
      </c>
      <c r="P9" s="2">
        <f>IF($A9="","",IF(COUNTIF($A$4:$A9,$A9)&lt;&gt;1,"",SUMPRODUCT(($A$4:$A9&lt;&gt;"")/COUNTIF($A$4:$A9,$A$4:$A9&amp;""))))</f>
        <v/>
      </c>
    </row>
    <row r="10">
      <c r="A10" s="4" t="inlineStr">
        <is>
          <t>CC-320</t>
        </is>
      </c>
      <c r="B10" s="4" t="inlineStr">
        <is>
          <t>Torres de enfriamiento</t>
        </is>
      </c>
      <c r="C10" s="4" t="inlineStr">
        <is>
          <t>PLANTA-1</t>
        </is>
      </c>
      <c r="D10" s="4" t="inlineStr">
        <is>
          <t>SERVICIOS</t>
        </is>
      </c>
      <c r="E10" s="4" t="inlineStr">
        <is>
          <t>Refrigeración</t>
        </is>
      </c>
      <c r="F10" s="4" t="inlineStr">
        <is>
          <t>TC</t>
        </is>
      </c>
      <c r="G10" s="4" t="inlineStr">
        <is>
          <t>Coordinador C</t>
        </is>
      </c>
      <c r="I10" s="2">
        <f>IF($D10="","",IF(COUNTIF($D$4:$D10,$D10)&lt;&gt;1,"",SUMPRODUCT(($D$4:$D10&lt;&gt;"")/COUNTIF($D$4:$D10,$D$4:$D10&amp;""))))</f>
        <v/>
      </c>
      <c r="J10" s="2">
        <f>IF($D10="","",IF(COUNTIF($D$4:$D10,$D10)&lt;&gt;1,"",SUMPRODUCT(($D$4:$D10&lt;&gt;"")/COUNTIF($D$4:$D10,$D$4:$D10&amp;""))))</f>
        <v/>
      </c>
      <c r="K10" s="2">
        <f>IF($G10="","",IF(COUNTIF($G$4:$G10,$G10)&lt;&gt;1,"",SUMPRODUCT(($G$4:$G10&lt;&gt;"")/COUNTIF($G$4:$G10,$G$4:$G10&amp;""))))</f>
        <v/>
      </c>
      <c r="L10" s="2">
        <f>IF($D10="","",IF($E10="",$D10,$E10))</f>
        <v/>
      </c>
      <c r="M10" s="2">
        <f>IF($L10="","",IF(COUNTIF($L$4:$L10,$L10)&lt;&gt;1,"",SUMPRODUCT(($L$4:$L10&lt;&gt;"")/COUNTIF($L$4:$L10,$L$4:$L10&amp;""))))</f>
        <v/>
      </c>
      <c r="N10" s="2">
        <f>IF($D10="","",IF($E10="",$D10,$E10))</f>
        <v/>
      </c>
      <c r="O10" s="2">
        <f>IF($N10="","",IF(COUNTIF($N$4:$N10,$N10)&lt;&gt;1,"",SUMPRODUCT(($N$4:$N10&lt;&gt;"")/COUNTIF($N$4:$N10,$N$4:$N10&amp;""))))</f>
        <v/>
      </c>
      <c r="P10" s="2">
        <f>IF($A10="","",IF(COUNTIF($A$4:$A10,$A10)&lt;&gt;1,"",SUMPRODUCT(($A$4:$A10&lt;&gt;"")/COUNTIF($A$4:$A10,$A$4:$A10&amp;""))))</f>
        <v/>
      </c>
    </row>
    <row r="11">
      <c r="A11" s="4" t="inlineStr">
        <is>
          <t>CC-321</t>
        </is>
      </c>
      <c r="B11" s="4" t="inlineStr">
        <is>
          <t>Chillers</t>
        </is>
      </c>
      <c r="C11" s="4" t="inlineStr">
        <is>
          <t>PLANTA-1</t>
        </is>
      </c>
      <c r="D11" s="4" t="inlineStr">
        <is>
          <t>SERVICIOS</t>
        </is>
      </c>
      <c r="E11" s="4" t="inlineStr">
        <is>
          <t>Refrigeración</t>
        </is>
      </c>
      <c r="F11" s="4" t="inlineStr">
        <is>
          <t>TC</t>
        </is>
      </c>
      <c r="G11" s="4" t="inlineStr">
        <is>
          <t>Coordinador C</t>
        </is>
      </c>
      <c r="I11" s="2">
        <f>IF($D11="","",IF(COUNTIF($D$4:$D11,$D11)&lt;&gt;1,"",SUMPRODUCT(($D$4:$D11&lt;&gt;"")/COUNTIF($D$4:$D11,$D$4:$D11&amp;""))))</f>
        <v/>
      </c>
      <c r="J11" s="2">
        <f>IF($D11="","",IF(COUNTIF($D$4:$D11,$D11)&lt;&gt;1,"",SUMPRODUCT(($D$4:$D11&lt;&gt;"")/COUNTIF($D$4:$D11,$D$4:$D11&amp;""))))</f>
        <v/>
      </c>
      <c r="K11" s="2">
        <f>IF($G11="","",IF(COUNTIF($G$4:$G11,$G11)&lt;&gt;1,"",SUMPRODUCT(($G$4:$G11&lt;&gt;"")/COUNTIF($G$4:$G11,$G$4:$G11&amp;""))))</f>
        <v/>
      </c>
      <c r="L11" s="2">
        <f>IF($D11="","",IF($E11="",$D11,$E11))</f>
        <v/>
      </c>
      <c r="M11" s="2">
        <f>IF($L11="","",IF(COUNTIF($L$4:$L11,$L11)&lt;&gt;1,"",SUMPRODUCT(($L$4:$L11&lt;&gt;"")/COUNTIF($L$4:$L11,$L$4:$L11&amp;""))))</f>
        <v/>
      </c>
      <c r="N11" s="2">
        <f>IF($D11="","",IF($E11="",$D11,$E11))</f>
        <v/>
      </c>
      <c r="O11" s="2">
        <f>IF($N11="","",IF(COUNTIF($N$4:$N11,$N11)&lt;&gt;1,"",SUMPRODUCT(($N$4:$N11&lt;&gt;"")/COUNTIF($N$4:$N11,$N$4:$N11&amp;""))))</f>
        <v/>
      </c>
      <c r="P11" s="2">
        <f>IF($A11="","",IF(COUNTIF($A$4:$A11,$A11)&lt;&gt;1,"",SUMPRODUCT(($A$4:$A11&lt;&gt;"")/COUNTIF($A$4:$A11,$A$4:$A11&amp;""))))</f>
        <v/>
      </c>
    </row>
    <row r="12">
      <c r="A12" s="4" t="inlineStr">
        <is>
          <t>CC-330</t>
        </is>
      </c>
      <c r="B12" s="4" t="inlineStr">
        <is>
          <t>Planta de CO2</t>
        </is>
      </c>
      <c r="C12" s="4" t="inlineStr">
        <is>
          <t>PLANTA-1</t>
        </is>
      </c>
      <c r="D12" s="4" t="inlineStr">
        <is>
          <t>SERVICIOS</t>
        </is>
      </c>
      <c r="E12" s="4" t="inlineStr">
        <is>
          <t>CO2</t>
        </is>
      </c>
      <c r="F12" s="4" t="inlineStr">
        <is>
          <t>CO</t>
        </is>
      </c>
      <c r="G12" s="4" t="inlineStr">
        <is>
          <t>Coordinador C</t>
        </is>
      </c>
      <c r="I12" s="2">
        <f>IF($D12="","",IF(COUNTIF($D$4:$D12,$D12)&lt;&gt;1,"",SUMPRODUCT(($D$4:$D12&lt;&gt;"")/COUNTIF($D$4:$D12,$D$4:$D12&amp;""))))</f>
        <v/>
      </c>
      <c r="J12" s="2">
        <f>IF($D12="","",IF(COUNTIF($D$4:$D12,$D12)&lt;&gt;1,"",SUMPRODUCT(($D$4:$D12&lt;&gt;"")/COUNTIF($D$4:$D12,$D$4:$D12&amp;""))))</f>
        <v/>
      </c>
      <c r="K12" s="2">
        <f>IF($G12="","",IF(COUNTIF($G$4:$G12,$G12)&lt;&gt;1,"",SUMPRODUCT(($G$4:$G12&lt;&gt;"")/COUNTIF($G$4:$G12,$G$4:$G12&amp;""))))</f>
        <v/>
      </c>
      <c r="L12" s="2">
        <f>IF($D12="","",IF($E12="",$D12,$E12))</f>
        <v/>
      </c>
      <c r="M12" s="2">
        <f>IF($L12="","",IF(COUNTIF($L$4:$L12,$L12)&lt;&gt;1,"",SUMPRODUCT(($L$4:$L12&lt;&gt;"")/COUNTIF($L$4:$L12,$L$4:$L12&amp;""))))</f>
        <v/>
      </c>
      <c r="N12" s="2">
        <f>IF($D12="","",IF($E12="",$D12,$E12))</f>
        <v/>
      </c>
      <c r="O12" s="2">
        <f>IF($N12="","",IF(COUNTIF($N$4:$N12,$N12)&lt;&gt;1,"",SUMPRODUCT(($N$4:$N12&lt;&gt;"")/COUNTIF($N$4:$N12,$N$4:$N12&amp;""))))</f>
        <v/>
      </c>
      <c r="P12" s="2">
        <f>IF($A12="","",IF(COUNTIF($A$4:$A12,$A12)&lt;&gt;1,"",SUMPRODUCT(($A$4:$A12&lt;&gt;"")/COUNTIF($A$4:$A12,$A$4:$A12&amp;""))))</f>
        <v/>
      </c>
    </row>
    <row r="13">
      <c r="A13" s="4" t="inlineStr">
        <is>
          <t>CC-340</t>
        </is>
      </c>
      <c r="B13" s="4" t="inlineStr">
        <is>
          <t>Aire comprimido</t>
        </is>
      </c>
      <c r="C13" s="4" t="inlineStr">
        <is>
          <t>PLANTA-1</t>
        </is>
      </c>
      <c r="D13" s="4" t="inlineStr">
        <is>
          <t>SERVICIOS</t>
        </is>
      </c>
      <c r="E13" s="4" t="inlineStr">
        <is>
          <t>Aire comprimido</t>
        </is>
      </c>
      <c r="F13" s="4" t="inlineStr">
        <is>
          <t>AC</t>
        </is>
      </c>
      <c r="G13" s="4" t="inlineStr">
        <is>
          <t>Coordinador C</t>
        </is>
      </c>
      <c r="I13" s="2">
        <f>IF($D13="","",IF(COUNTIF($D$4:$D13,$D13)&lt;&gt;1,"",SUMPRODUCT(($D$4:$D13&lt;&gt;"")/COUNTIF($D$4:$D13,$D$4:$D13&amp;""))))</f>
        <v/>
      </c>
      <c r="J13" s="2">
        <f>IF($D13="","",IF(COUNTIF($D$4:$D13,$D13)&lt;&gt;1,"",SUMPRODUCT(($D$4:$D13&lt;&gt;"")/COUNTIF($D$4:$D13,$D$4:$D13&amp;""))))</f>
        <v/>
      </c>
      <c r="K13" s="2">
        <f>IF($G13="","",IF(COUNTIF($G$4:$G13,$G13)&lt;&gt;1,"",SUMPRODUCT(($G$4:$G13&lt;&gt;"")/COUNTIF($G$4:$G13,$G$4:$G13&amp;""))))</f>
        <v/>
      </c>
      <c r="L13" s="2">
        <f>IF($D13="","",IF($E13="",$D13,$E13))</f>
        <v/>
      </c>
      <c r="M13" s="2">
        <f>IF($L13="","",IF(COUNTIF($L$4:$L13,$L13)&lt;&gt;1,"",SUMPRODUCT(($L$4:$L13&lt;&gt;"")/COUNTIF($L$4:$L13,$L$4:$L13&amp;""))))</f>
        <v/>
      </c>
      <c r="N13" s="2">
        <f>IF($D13="","",IF($E13="",$D13,$E13))</f>
        <v/>
      </c>
      <c r="O13" s="2">
        <f>IF($N13="","",IF(COUNTIF($N$4:$N13,$N13)&lt;&gt;1,"",SUMPRODUCT(($N$4:$N13&lt;&gt;"")/COUNTIF($N$4:$N13,$N$4:$N13&amp;""))))</f>
        <v/>
      </c>
      <c r="P13" s="2">
        <f>IF($A13="","",IF(COUNTIF($A$4:$A13,$A13)&lt;&gt;1,"",SUMPRODUCT(($A$4:$A13&lt;&gt;"")/COUNTIF($A$4:$A13,$A$4:$A13&amp;""))))</f>
        <v/>
      </c>
    </row>
    <row r="14">
      <c r="I14" s="2">
        <f>IF($D14="","",IF(COUNTIF($D$4:$D14,$D14)&lt;&gt;1,"",SUMPRODUCT(($D$4:$D14&lt;&gt;"")/COUNTIF($D$4:$D14,$D$4:$D14&amp;""))))</f>
        <v/>
      </c>
      <c r="J14" s="2">
        <f>IF($D14="","",IF(COUNTIF($D$4:$D14,$D14)&lt;&gt;1,"",SUMPRODUCT(($D$4:$D14&lt;&gt;"")/COUNTIF($D$4:$D14,$D$4:$D14&amp;""))))</f>
        <v/>
      </c>
      <c r="K14" s="2">
        <f>IF($G14="","",IF(COUNTIF($G$4:$G14,$G14)&lt;&gt;1,"",SUMPRODUCT(($G$4:$G14&lt;&gt;"")/COUNTIF($G$4:$G14,$G$4:$G14&amp;""))))</f>
        <v/>
      </c>
      <c r="L14" s="2">
        <f>IF($D14="","",IF($E14="",$D14,$E14))</f>
        <v/>
      </c>
      <c r="M14" s="2">
        <f>IF($L14="","",IF(COUNTIF($L$4:$L14,$L14)&lt;&gt;1,"",SUMPRODUCT(($L$4:$L14&lt;&gt;"")/COUNTIF($L$4:$L14,$L$4:$L14&amp;""))))</f>
        <v/>
      </c>
      <c r="N14" s="2">
        <f>IF($D14="","",IF($E14="",$D14,$E14))</f>
        <v/>
      </c>
      <c r="O14" s="2">
        <f>IF($N14="","",IF(COUNTIF($N$4:$N14,$N14)&lt;&gt;1,"",SUMPRODUCT(($N$4:$N14&lt;&gt;"")/COUNTIF($N$4:$N14,$N$4:$N14&amp;""))))</f>
        <v/>
      </c>
      <c r="P14" s="2">
        <f>IF($A14="","",IF(COUNTIF($A$4:$A14,$A14)&lt;&gt;1,"",SUMPRODUCT(($A$4:$A14&lt;&gt;"")/COUNTIF($A$4:$A14,$A$4:$A14&amp;""))))</f>
        <v/>
      </c>
    </row>
    <row r="15">
      <c r="I15" s="2">
        <f>IF($D15="","",IF(COUNTIF($D$4:$D15,$D15)&lt;&gt;1,"",SUMPRODUCT(($D$4:$D15&lt;&gt;"")/COUNTIF($D$4:$D15,$D$4:$D15&amp;""))))</f>
        <v/>
      </c>
      <c r="J15" s="2">
        <f>IF($D15="","",IF(COUNTIF($D$4:$D15,$D15)&lt;&gt;1,"",SUMPRODUCT(($D$4:$D15&lt;&gt;"")/COUNTIF($D$4:$D15,$D$4:$D15&amp;""))))</f>
        <v/>
      </c>
      <c r="K15" s="2">
        <f>IF($G15="","",IF(COUNTIF($G$4:$G15,$G15)&lt;&gt;1,"",SUMPRODUCT(($G$4:$G15&lt;&gt;"")/COUNTIF($G$4:$G15,$G$4:$G15&amp;""))))</f>
        <v/>
      </c>
      <c r="L15" s="2">
        <f>IF($D15="","",IF($E15="",$D15,$E15))</f>
        <v/>
      </c>
      <c r="M15" s="2">
        <f>IF($L15="","",IF(COUNTIF($L$4:$L15,$L15)&lt;&gt;1,"",SUMPRODUCT(($L$4:$L15&lt;&gt;"")/COUNTIF($L$4:$L15,$L$4:$L15&amp;""))))</f>
        <v/>
      </c>
      <c r="N15" s="2">
        <f>IF($D15="","",IF($E15="",$D15,$E15))</f>
        <v/>
      </c>
      <c r="O15" s="2">
        <f>IF($N15="","",IF(COUNTIF($N$4:$N15,$N15)&lt;&gt;1,"",SUMPRODUCT(($N$4:$N15&lt;&gt;"")/COUNTIF($N$4:$N15,$N$4:$N15&amp;""))))</f>
        <v/>
      </c>
      <c r="P15" s="2">
        <f>IF($A15="","",IF(COUNTIF($A$4:$A15,$A15)&lt;&gt;1,"",SUMPRODUCT(($A$4:$A15&lt;&gt;"")/COUNTIF($A$4:$A15,$A$4:$A15&amp;""))))</f>
        <v/>
      </c>
    </row>
    <row r="16">
      <c r="I16" s="2">
        <f>IF($D16="","",IF(COUNTIF($D$4:$D16,$D16)&lt;&gt;1,"",SUMPRODUCT(($D$4:$D16&lt;&gt;"")/COUNTIF($D$4:$D16,$D$4:$D16&amp;""))))</f>
        <v/>
      </c>
      <c r="J16" s="2">
        <f>IF($D16="","",IF(COUNTIF($D$4:$D16,$D16)&lt;&gt;1,"",SUMPRODUCT(($D$4:$D16&lt;&gt;"")/COUNTIF($D$4:$D16,$D$4:$D16&amp;""))))</f>
        <v/>
      </c>
      <c r="K16" s="2">
        <f>IF($G16="","",IF(COUNTIF($G$4:$G16,$G16)&lt;&gt;1,"",SUMPRODUCT(($G$4:$G16&lt;&gt;"")/COUNTIF($G$4:$G16,$G$4:$G16&amp;""))))</f>
        <v/>
      </c>
      <c r="L16" s="2">
        <f>IF($D16="","",IF($E16="",$D16,$E16))</f>
        <v/>
      </c>
      <c r="M16" s="2">
        <f>IF($L16="","",IF(COUNTIF($L$4:$L16,$L16)&lt;&gt;1,"",SUMPRODUCT(($L$4:$L16&lt;&gt;"")/COUNTIF($L$4:$L16,$L$4:$L16&amp;""))))</f>
        <v/>
      </c>
      <c r="N16" s="2">
        <f>IF($D16="","",IF($E16="",$D16,$E16))</f>
        <v/>
      </c>
      <c r="O16" s="2">
        <f>IF($N16="","",IF(COUNTIF($N$4:$N16,$N16)&lt;&gt;1,"",SUMPRODUCT(($N$4:$N16&lt;&gt;"")/COUNTIF($N$4:$N16,$N$4:$N16&amp;""))))</f>
        <v/>
      </c>
      <c r="P16" s="2">
        <f>IF($A16="","",IF(COUNTIF($A$4:$A16,$A16)&lt;&gt;1,"",SUMPRODUCT(($A$4:$A16&lt;&gt;"")/COUNTIF($A$4:$A16,$A$4:$A16&amp;""))))</f>
        <v/>
      </c>
    </row>
    <row r="17">
      <c r="I17" s="2">
        <f>IF($D17="","",IF(COUNTIF($D$4:$D17,$D17)&lt;&gt;1,"",SUMPRODUCT(($D$4:$D17&lt;&gt;"")/COUNTIF($D$4:$D17,$D$4:$D17&amp;""))))</f>
        <v/>
      </c>
      <c r="J17" s="2">
        <f>IF($D17="","",IF(COUNTIF($D$4:$D17,$D17)&lt;&gt;1,"",SUMPRODUCT(($D$4:$D17&lt;&gt;"")/COUNTIF($D$4:$D17,$D$4:$D17&amp;""))))</f>
        <v/>
      </c>
      <c r="K17" s="2">
        <f>IF($G17="","",IF(COUNTIF($G$4:$G17,$G17)&lt;&gt;1,"",SUMPRODUCT(($G$4:$G17&lt;&gt;"")/COUNTIF($G$4:$G17,$G$4:$G17&amp;""))))</f>
        <v/>
      </c>
      <c r="L17" s="2">
        <f>IF($D17="","",IF($E17="",$D17,$E17))</f>
        <v/>
      </c>
      <c r="M17" s="2">
        <f>IF($L17="","",IF(COUNTIF($L$4:$L17,$L17)&lt;&gt;1,"",SUMPRODUCT(($L$4:$L17&lt;&gt;"")/COUNTIF($L$4:$L17,$L$4:$L17&amp;""))))</f>
        <v/>
      </c>
      <c r="N17" s="2">
        <f>IF($D17="","",IF($E17="",$D17,$E17))</f>
        <v/>
      </c>
      <c r="O17" s="2">
        <f>IF($N17="","",IF(COUNTIF($N$4:$N17,$N17)&lt;&gt;1,"",SUMPRODUCT(($N$4:$N17&lt;&gt;"")/COUNTIF($N$4:$N17,$N$4:$N17&amp;""))))</f>
        <v/>
      </c>
      <c r="P17" s="2">
        <f>IF($A17="","",IF(COUNTIF($A$4:$A17,$A17)&lt;&gt;1,"",SUMPRODUCT(($A$4:$A17&lt;&gt;"")/COUNTIF($A$4:$A17,$A$4:$A17&amp;""))))</f>
        <v/>
      </c>
    </row>
    <row r="18">
      <c r="I18" s="2">
        <f>IF($D18="","",IF(COUNTIF($D$4:$D18,$D18)&lt;&gt;1,"",SUMPRODUCT(($D$4:$D18&lt;&gt;"")/COUNTIF($D$4:$D18,$D$4:$D18&amp;""))))</f>
        <v/>
      </c>
      <c r="J18" s="2">
        <f>IF($D18="","",IF(COUNTIF($D$4:$D18,$D18)&lt;&gt;1,"",SUMPRODUCT(($D$4:$D18&lt;&gt;"")/COUNTIF($D$4:$D18,$D$4:$D18&amp;""))))</f>
        <v/>
      </c>
      <c r="K18" s="2">
        <f>IF($G18="","",IF(COUNTIF($G$4:$G18,$G18)&lt;&gt;1,"",SUMPRODUCT(($G$4:$G18&lt;&gt;"")/COUNTIF($G$4:$G18,$G$4:$G18&amp;""))))</f>
        <v/>
      </c>
      <c r="L18" s="2">
        <f>IF($D18="","",IF($E18="",$D18,$E18))</f>
        <v/>
      </c>
      <c r="M18" s="2">
        <f>IF($L18="","",IF(COUNTIF($L$4:$L18,$L18)&lt;&gt;1,"",SUMPRODUCT(($L$4:$L18&lt;&gt;"")/COUNTIF($L$4:$L18,$L$4:$L18&amp;""))))</f>
        <v/>
      </c>
      <c r="N18" s="2">
        <f>IF($D18="","",IF($E18="",$D18,$E18))</f>
        <v/>
      </c>
      <c r="O18" s="2">
        <f>IF($N18="","",IF(COUNTIF($N$4:$N18,$N18)&lt;&gt;1,"",SUMPRODUCT(($N$4:$N18&lt;&gt;"")/COUNTIF($N$4:$N18,$N$4:$N18&amp;""))))</f>
        <v/>
      </c>
      <c r="P18" s="2">
        <f>IF($A18="","",IF(COUNTIF($A$4:$A18,$A18)&lt;&gt;1,"",SUMPRODUCT(($A$4:$A18&lt;&gt;"")/COUNTIF($A$4:$A18,$A$4:$A18&amp;""))))</f>
        <v/>
      </c>
    </row>
    <row r="19">
      <c r="I19" s="2">
        <f>IF($D19="","",IF(COUNTIF($D$4:$D19,$D19)&lt;&gt;1,"",SUMPRODUCT(($D$4:$D19&lt;&gt;"")/COUNTIF($D$4:$D19,$D$4:$D19&amp;""))))</f>
        <v/>
      </c>
      <c r="J19" s="2">
        <f>IF($D19="","",IF(COUNTIF($D$4:$D19,$D19)&lt;&gt;1,"",SUMPRODUCT(($D$4:$D19&lt;&gt;"")/COUNTIF($D$4:$D19,$D$4:$D19&amp;""))))</f>
        <v/>
      </c>
      <c r="K19" s="2">
        <f>IF($G19="","",IF(COUNTIF($G$4:$G19,$G19)&lt;&gt;1,"",SUMPRODUCT(($G$4:$G19&lt;&gt;"")/COUNTIF($G$4:$G19,$G$4:$G19&amp;""))))</f>
        <v/>
      </c>
      <c r="L19" s="2">
        <f>IF($D19="","",IF($E19="",$D19,$E19))</f>
        <v/>
      </c>
      <c r="M19" s="2">
        <f>IF($L19="","",IF(COUNTIF($L$4:$L19,$L19)&lt;&gt;1,"",SUMPRODUCT(($L$4:$L19&lt;&gt;"")/COUNTIF($L$4:$L19,$L$4:$L19&amp;""))))</f>
        <v/>
      </c>
      <c r="N19" s="2">
        <f>IF($D19="","",IF($E19="",$D19,$E19))</f>
        <v/>
      </c>
      <c r="O19" s="2">
        <f>IF($N19="","",IF(COUNTIF($N$4:$N19,$N19)&lt;&gt;1,"",SUMPRODUCT(($N$4:$N19&lt;&gt;"")/COUNTIF($N$4:$N19,$N$4:$N19&amp;""))))</f>
        <v/>
      </c>
      <c r="P19" s="2">
        <f>IF($A19="","",IF(COUNTIF($A$4:$A19,$A19)&lt;&gt;1,"",SUMPRODUCT(($A$4:$A19&lt;&gt;"")/COUNTIF($A$4:$A19,$A$4:$A19&amp;""))))</f>
        <v/>
      </c>
    </row>
    <row r="20">
      <c r="I20" s="2">
        <f>IF($D20="","",IF(COUNTIF($D$4:$D20,$D20)&lt;&gt;1,"",SUMPRODUCT(($D$4:$D20&lt;&gt;"")/COUNTIF($D$4:$D20,$D$4:$D20&amp;""))))</f>
        <v/>
      </c>
      <c r="J20" s="2">
        <f>IF($D20="","",IF(COUNTIF($D$4:$D20,$D20)&lt;&gt;1,"",SUMPRODUCT(($D$4:$D20&lt;&gt;"")/COUNTIF($D$4:$D20,$D$4:$D20&amp;""))))</f>
        <v/>
      </c>
      <c r="K20" s="2">
        <f>IF($G20="","",IF(COUNTIF($G$4:$G20,$G20)&lt;&gt;1,"",SUMPRODUCT(($G$4:$G20&lt;&gt;"")/COUNTIF($G$4:$G20,$G$4:$G20&amp;""))))</f>
        <v/>
      </c>
      <c r="L20" s="2">
        <f>IF($D20="","",IF($E20="",$D20,$E20))</f>
        <v/>
      </c>
      <c r="M20" s="2">
        <f>IF($L20="","",IF(COUNTIF($L$4:$L20,$L20)&lt;&gt;1,"",SUMPRODUCT(($L$4:$L20&lt;&gt;"")/COUNTIF($L$4:$L20,$L$4:$L20&amp;""))))</f>
        <v/>
      </c>
      <c r="N20" s="2">
        <f>IF($D20="","",IF($E20="",$D20,$E20))</f>
        <v/>
      </c>
      <c r="O20" s="2">
        <f>IF($N20="","",IF(COUNTIF($N$4:$N20,$N20)&lt;&gt;1,"",SUMPRODUCT(($N$4:$N20&lt;&gt;"")/COUNTIF($N$4:$N20,$N$4:$N20&amp;""))))</f>
        <v/>
      </c>
      <c r="P20" s="2">
        <f>IF($A20="","",IF(COUNTIF($A$4:$A20,$A20)&lt;&gt;1,"",SUMPRODUCT(($A$4:$A20&lt;&gt;"")/COUNTIF($A$4:$A20,$A$4:$A20&amp;""))))</f>
        <v/>
      </c>
    </row>
    <row r="21">
      <c r="I21" s="2">
        <f>IF($D21="","",IF(COUNTIF($D$4:$D21,$D21)&lt;&gt;1,"",SUMPRODUCT(($D$4:$D21&lt;&gt;"")/COUNTIF($D$4:$D21,$D$4:$D21&amp;""))))</f>
        <v/>
      </c>
      <c r="J21" s="2">
        <f>IF($D21="","",IF(COUNTIF($D$4:$D21,$D21)&lt;&gt;1,"",SUMPRODUCT(($D$4:$D21&lt;&gt;"")/COUNTIF($D$4:$D21,$D$4:$D21&amp;""))))</f>
        <v/>
      </c>
      <c r="K21" s="2">
        <f>IF($G21="","",IF(COUNTIF($G$4:$G21,$G21)&lt;&gt;1,"",SUMPRODUCT(($G$4:$G21&lt;&gt;"")/COUNTIF($G$4:$G21,$G$4:$G21&amp;""))))</f>
        <v/>
      </c>
      <c r="L21" s="2">
        <f>IF($D21="","",IF($E21="",$D21,$E21))</f>
        <v/>
      </c>
      <c r="M21" s="2">
        <f>IF($L21="","",IF(COUNTIF($L$4:$L21,$L21)&lt;&gt;1,"",SUMPRODUCT(($L$4:$L21&lt;&gt;"")/COUNTIF($L$4:$L21,$L$4:$L21&amp;""))))</f>
        <v/>
      </c>
      <c r="N21" s="2">
        <f>IF($D21="","",IF($E21="",$D21,$E21))</f>
        <v/>
      </c>
      <c r="O21" s="2">
        <f>IF($N21="","",IF(COUNTIF($N$4:$N21,$N21)&lt;&gt;1,"",SUMPRODUCT(($N$4:$N21&lt;&gt;"")/COUNTIF($N$4:$N21,$N$4:$N21&amp;""))))</f>
        <v/>
      </c>
      <c r="P21" s="2">
        <f>IF($A21="","",IF(COUNTIF($A$4:$A21,$A21)&lt;&gt;1,"",SUMPRODUCT(($A$4:$A21&lt;&gt;"")/COUNTIF($A$4:$A21,$A$4:$A21&amp;""))))</f>
        <v/>
      </c>
    </row>
    <row r="22">
      <c r="I22" s="2">
        <f>IF($D22="","",IF(COUNTIF($D$4:$D22,$D22)&lt;&gt;1,"",SUMPRODUCT(($D$4:$D22&lt;&gt;"")/COUNTIF($D$4:$D22,$D$4:$D22&amp;""))))</f>
        <v/>
      </c>
      <c r="J22" s="2">
        <f>IF($D22="","",IF(COUNTIF($D$4:$D22,$D22)&lt;&gt;1,"",SUMPRODUCT(($D$4:$D22&lt;&gt;"")/COUNTIF($D$4:$D22,$D$4:$D22&amp;""))))</f>
        <v/>
      </c>
      <c r="K22" s="2">
        <f>IF($G22="","",IF(COUNTIF($G$4:$G22,$G22)&lt;&gt;1,"",SUMPRODUCT(($G$4:$G22&lt;&gt;"")/COUNTIF($G$4:$G22,$G$4:$G22&amp;""))))</f>
        <v/>
      </c>
      <c r="L22" s="2">
        <f>IF($D22="","",IF($E22="",$D22,$E22))</f>
        <v/>
      </c>
      <c r="M22" s="2">
        <f>IF($L22="","",IF(COUNTIF($L$4:$L22,$L22)&lt;&gt;1,"",SUMPRODUCT(($L$4:$L22&lt;&gt;"")/COUNTIF($L$4:$L22,$L$4:$L22&amp;""))))</f>
        <v/>
      </c>
      <c r="N22" s="2">
        <f>IF($D22="","",IF($E22="",$D22,$E22))</f>
        <v/>
      </c>
      <c r="O22" s="2">
        <f>IF($N22="","",IF(COUNTIF($N$4:$N22,$N22)&lt;&gt;1,"",SUMPRODUCT(($N$4:$N22&lt;&gt;"")/COUNTIF($N$4:$N22,$N$4:$N22&amp;""))))</f>
        <v/>
      </c>
      <c r="P22" s="2">
        <f>IF($A22="","",IF(COUNTIF($A$4:$A22,$A22)&lt;&gt;1,"",SUMPRODUCT(($A$4:$A22&lt;&gt;"")/COUNTIF($A$4:$A22,$A$4:$A22&amp;""))))</f>
        <v/>
      </c>
    </row>
    <row r="23">
      <c r="I23" s="2">
        <f>IF($D23="","",IF(COUNTIF($D$4:$D23,$D23)&lt;&gt;1,"",SUMPRODUCT(($D$4:$D23&lt;&gt;"")/COUNTIF($D$4:$D23,$D$4:$D23&amp;""))))</f>
        <v/>
      </c>
      <c r="J23" s="2">
        <f>IF($D23="","",IF(COUNTIF($D$4:$D23,$D23)&lt;&gt;1,"",SUMPRODUCT(($D$4:$D23&lt;&gt;"")/COUNTIF($D$4:$D23,$D$4:$D23&amp;""))))</f>
        <v/>
      </c>
      <c r="K23" s="2">
        <f>IF($G23="","",IF(COUNTIF($G$4:$G23,$G23)&lt;&gt;1,"",SUMPRODUCT(($G$4:$G23&lt;&gt;"")/COUNTIF($G$4:$G23,$G$4:$G23&amp;""))))</f>
        <v/>
      </c>
      <c r="L23" s="2">
        <f>IF($D23="","",IF($E23="",$D23,$E23))</f>
        <v/>
      </c>
      <c r="M23" s="2">
        <f>IF($L23="","",IF(COUNTIF($L$4:$L23,$L23)&lt;&gt;1,"",SUMPRODUCT(($L$4:$L23&lt;&gt;"")/COUNTIF($L$4:$L23,$L$4:$L23&amp;""))))</f>
        <v/>
      </c>
      <c r="N23" s="2">
        <f>IF($D23="","",IF($E23="",$D23,$E23))</f>
        <v/>
      </c>
      <c r="O23" s="2">
        <f>IF($N23="","",IF(COUNTIF($N$4:$N23,$N23)&lt;&gt;1,"",SUMPRODUCT(($N$4:$N23&lt;&gt;"")/COUNTIF($N$4:$N23,$N$4:$N23&amp;""))))</f>
        <v/>
      </c>
      <c r="P23" s="2">
        <f>IF($A23="","",IF(COUNTIF($A$4:$A23,$A23)&lt;&gt;1,"",SUMPRODUCT(($A$4:$A23&lt;&gt;"")/COUNTIF($A$4:$A23,$A$4:$A23&amp;""))))</f>
        <v/>
      </c>
    </row>
    <row r="24">
      <c r="I24" s="2">
        <f>IF($D24="","",IF(COUNTIF($D$4:$D24,$D24)&lt;&gt;1,"",SUMPRODUCT(($D$4:$D24&lt;&gt;"")/COUNTIF($D$4:$D24,$D$4:$D24&amp;""))))</f>
        <v/>
      </c>
      <c r="J24" s="2">
        <f>IF($D24="","",IF(COUNTIF($D$4:$D24,$D24)&lt;&gt;1,"",SUMPRODUCT(($D$4:$D24&lt;&gt;"")/COUNTIF($D$4:$D24,$D$4:$D24&amp;""))))</f>
        <v/>
      </c>
      <c r="K24" s="2">
        <f>IF($G24="","",IF(COUNTIF($G$4:$G24,$G24)&lt;&gt;1,"",SUMPRODUCT(($G$4:$G24&lt;&gt;"")/COUNTIF($G$4:$G24,$G$4:$G24&amp;""))))</f>
        <v/>
      </c>
      <c r="L24" s="2">
        <f>IF($D24="","",IF($E24="",$D24,$E24))</f>
        <v/>
      </c>
      <c r="M24" s="2">
        <f>IF($L24="","",IF(COUNTIF($L$4:$L24,$L24)&lt;&gt;1,"",SUMPRODUCT(($L$4:$L24&lt;&gt;"")/COUNTIF($L$4:$L24,$L$4:$L24&amp;""))))</f>
        <v/>
      </c>
      <c r="N24" s="2">
        <f>IF($D24="","",IF($E24="",$D24,$E24))</f>
        <v/>
      </c>
      <c r="O24" s="2">
        <f>IF($N24="","",IF(COUNTIF($N$4:$N24,$N24)&lt;&gt;1,"",SUMPRODUCT(($N$4:$N24&lt;&gt;"")/COUNTIF($N$4:$N24,$N$4:$N24&amp;""))))</f>
        <v/>
      </c>
      <c r="P24" s="2">
        <f>IF($A24="","",IF(COUNTIF($A$4:$A24,$A24)&lt;&gt;1,"",SUMPRODUCT(($A$4:$A24&lt;&gt;"")/COUNTIF($A$4:$A24,$A$4:$A24&amp;""))))</f>
        <v/>
      </c>
    </row>
    <row r="25">
      <c r="I25" s="2">
        <f>IF($D25="","",IF(COUNTIF($D$4:$D25,$D25)&lt;&gt;1,"",SUMPRODUCT(($D$4:$D25&lt;&gt;"")/COUNTIF($D$4:$D25,$D$4:$D25&amp;""))))</f>
        <v/>
      </c>
      <c r="J25" s="2">
        <f>IF($D25="","",IF(COUNTIF($D$4:$D25,$D25)&lt;&gt;1,"",SUMPRODUCT(($D$4:$D25&lt;&gt;"")/COUNTIF($D$4:$D25,$D$4:$D25&amp;""))))</f>
        <v/>
      </c>
      <c r="K25" s="2">
        <f>IF($G25="","",IF(COUNTIF($G$4:$G25,$G25)&lt;&gt;1,"",SUMPRODUCT(($G$4:$G25&lt;&gt;"")/COUNTIF($G$4:$G25,$G$4:$G25&amp;""))))</f>
        <v/>
      </c>
      <c r="L25" s="2">
        <f>IF($D25="","",IF($E25="",$D25,$E25))</f>
        <v/>
      </c>
      <c r="M25" s="2">
        <f>IF($L25="","",IF(COUNTIF($L$4:$L25,$L25)&lt;&gt;1,"",SUMPRODUCT(($L$4:$L25&lt;&gt;"")/COUNTIF($L$4:$L25,$L$4:$L25&amp;""))))</f>
        <v/>
      </c>
      <c r="N25" s="2">
        <f>IF($D25="","",IF($E25="",$D25,$E25))</f>
        <v/>
      </c>
      <c r="O25" s="2">
        <f>IF($N25="","",IF(COUNTIF($N$4:$N25,$N25)&lt;&gt;1,"",SUMPRODUCT(($N$4:$N25&lt;&gt;"")/COUNTIF($N$4:$N25,$N$4:$N25&amp;""))))</f>
        <v/>
      </c>
      <c r="P25" s="2">
        <f>IF($A25="","",IF(COUNTIF($A$4:$A25,$A25)&lt;&gt;1,"",SUMPRODUCT(($A$4:$A25&lt;&gt;"")/COUNTIF($A$4:$A25,$A$4:$A25&amp;""))))</f>
        <v/>
      </c>
    </row>
    <row r="26">
      <c r="I26" s="2">
        <f>IF($D26="","",IF(COUNTIF($D$4:$D26,$D26)&lt;&gt;1,"",SUMPRODUCT(($D$4:$D26&lt;&gt;"")/COUNTIF($D$4:$D26,$D$4:$D26&amp;""))))</f>
        <v/>
      </c>
      <c r="J26" s="2">
        <f>IF($D26="","",IF(COUNTIF($D$4:$D26,$D26)&lt;&gt;1,"",SUMPRODUCT(($D$4:$D26&lt;&gt;"")/COUNTIF($D$4:$D26,$D$4:$D26&amp;""))))</f>
        <v/>
      </c>
      <c r="K26" s="2">
        <f>IF($G26="","",IF(COUNTIF($G$4:$G26,$G26)&lt;&gt;1,"",SUMPRODUCT(($G$4:$G26&lt;&gt;"")/COUNTIF($G$4:$G26,$G$4:$G26&amp;""))))</f>
        <v/>
      </c>
      <c r="L26" s="2">
        <f>IF($D26="","",IF($E26="",$D26,$E26))</f>
        <v/>
      </c>
      <c r="M26" s="2">
        <f>IF($L26="","",IF(COUNTIF($L$4:$L26,$L26)&lt;&gt;1,"",SUMPRODUCT(($L$4:$L26&lt;&gt;"")/COUNTIF($L$4:$L26,$L$4:$L26&amp;""))))</f>
        <v/>
      </c>
      <c r="N26" s="2">
        <f>IF($D26="","",IF($E26="",$D26,$E26))</f>
        <v/>
      </c>
      <c r="O26" s="2">
        <f>IF($N26="","",IF(COUNTIF($N$4:$N26,$N26)&lt;&gt;1,"",SUMPRODUCT(($N$4:$N26&lt;&gt;"")/COUNTIF($N$4:$N26,$N$4:$N26&amp;""))))</f>
        <v/>
      </c>
      <c r="P26" s="2">
        <f>IF($A26="","",IF(COUNTIF($A$4:$A26,$A26)&lt;&gt;1,"",SUMPRODUCT(($A$4:$A26&lt;&gt;"")/COUNTIF($A$4:$A26,$A$4:$A26&amp;""))))</f>
        <v/>
      </c>
    </row>
    <row r="27">
      <c r="I27" s="2">
        <f>IF($D27="","",IF(COUNTIF($D$4:$D27,$D27)&lt;&gt;1,"",SUMPRODUCT(($D$4:$D27&lt;&gt;"")/COUNTIF($D$4:$D27,$D$4:$D27&amp;""))))</f>
        <v/>
      </c>
      <c r="J27" s="2">
        <f>IF($D27="","",IF(COUNTIF($D$4:$D27,$D27)&lt;&gt;1,"",SUMPRODUCT(($D$4:$D27&lt;&gt;"")/COUNTIF($D$4:$D27,$D$4:$D27&amp;""))))</f>
        <v/>
      </c>
      <c r="K27" s="2">
        <f>IF($G27="","",IF(COUNTIF($G$4:$G27,$G27)&lt;&gt;1,"",SUMPRODUCT(($G$4:$G27&lt;&gt;"")/COUNTIF($G$4:$G27,$G$4:$G27&amp;""))))</f>
        <v/>
      </c>
      <c r="L27" s="2">
        <f>IF($D27="","",IF($E27="",$D27,$E27))</f>
        <v/>
      </c>
      <c r="M27" s="2">
        <f>IF($L27="","",IF(COUNTIF($L$4:$L27,$L27)&lt;&gt;1,"",SUMPRODUCT(($L$4:$L27&lt;&gt;"")/COUNTIF($L$4:$L27,$L$4:$L27&amp;""))))</f>
        <v/>
      </c>
      <c r="N27" s="2">
        <f>IF($D27="","",IF($E27="",$D27,$E27))</f>
        <v/>
      </c>
      <c r="O27" s="2">
        <f>IF($N27="","",IF(COUNTIF($N$4:$N27,$N27)&lt;&gt;1,"",SUMPRODUCT(($N$4:$N27&lt;&gt;"")/COUNTIF($N$4:$N27,$N$4:$N27&amp;""))))</f>
        <v/>
      </c>
      <c r="P27" s="2">
        <f>IF($A27="","",IF(COUNTIF($A$4:$A27,$A27)&lt;&gt;1,"",SUMPRODUCT(($A$4:$A27&lt;&gt;"")/COUNTIF($A$4:$A27,$A$4:$A27&amp;""))))</f>
        <v/>
      </c>
    </row>
    <row r="28">
      <c r="I28" s="2">
        <f>IF($D28="","",IF(COUNTIF($D$4:$D28,$D28)&lt;&gt;1,"",SUMPRODUCT(($D$4:$D28&lt;&gt;"")/COUNTIF($D$4:$D28,$D$4:$D28&amp;""))))</f>
        <v/>
      </c>
      <c r="J28" s="2">
        <f>IF($D28="","",IF(COUNTIF($D$4:$D28,$D28)&lt;&gt;1,"",SUMPRODUCT(($D$4:$D28&lt;&gt;"")/COUNTIF($D$4:$D28,$D$4:$D28&amp;""))))</f>
        <v/>
      </c>
      <c r="K28" s="2">
        <f>IF($G28="","",IF(COUNTIF($G$4:$G28,$G28)&lt;&gt;1,"",SUMPRODUCT(($G$4:$G28&lt;&gt;"")/COUNTIF($G$4:$G28,$G$4:$G28&amp;""))))</f>
        <v/>
      </c>
      <c r="L28" s="2">
        <f>IF($D28="","",IF($E28="",$D28,$E28))</f>
        <v/>
      </c>
      <c r="M28" s="2">
        <f>IF($L28="","",IF(COUNTIF($L$4:$L28,$L28)&lt;&gt;1,"",SUMPRODUCT(($L$4:$L28&lt;&gt;"")/COUNTIF($L$4:$L28,$L$4:$L28&amp;""))))</f>
        <v/>
      </c>
      <c r="N28" s="2">
        <f>IF($D28="","",IF($E28="",$D28,$E28))</f>
        <v/>
      </c>
      <c r="O28" s="2">
        <f>IF($N28="","",IF(COUNTIF($N$4:$N28,$N28)&lt;&gt;1,"",SUMPRODUCT(($N$4:$N28&lt;&gt;"")/COUNTIF($N$4:$N28,$N$4:$N28&amp;""))))</f>
        <v/>
      </c>
      <c r="P28" s="2">
        <f>IF($A28="","",IF(COUNTIF($A$4:$A28,$A28)&lt;&gt;1,"",SUMPRODUCT(($A$4:$A28&lt;&gt;"")/COUNTIF($A$4:$A28,$A$4:$A28&amp;""))))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Catálogo de puestos de trabajo → especialidad. es_especialidad_propia marca quién puede ser técnico propio (rotación y capacidad) — editable</t>
        </is>
      </c>
    </row>
    <row r="3">
      <c r="A3" s="14" t="inlineStr">
        <is>
          <t>codigo</t>
        </is>
      </c>
      <c r="B3" s="14" t="inlineStr">
        <is>
          <t>especialidad</t>
        </is>
      </c>
      <c r="C3" s="14" t="inlineStr">
        <is>
          <t>descripcion</t>
        </is>
      </c>
      <c r="D3" s="14" t="inlineStr">
        <is>
          <t>es_especialidad_propia</t>
        </is>
      </c>
      <c r="F3" s="2" t="inlineStr">
        <is>
          <t>orden de filtro especialidad — no editar</t>
        </is>
      </c>
      <c r="G3" s="2" t="inlineStr">
        <is>
          <t>orden de especialidad propia (CAT_PUESTOS) — no editar</t>
        </is>
      </c>
      <c r="H3" s="2" t="inlineStr">
        <is>
          <t>orden de puestos de trabajo — no editar</t>
        </is>
      </c>
    </row>
    <row r="4">
      <c r="A4" s="4" t="inlineStr">
        <is>
          <t>PU-MEC</t>
        </is>
      </c>
      <c r="B4" s="4" t="inlineStr">
        <is>
          <t>MEC</t>
        </is>
      </c>
      <c r="C4" s="4" t="inlineStr">
        <is>
          <t>Puesto mecánico</t>
        </is>
      </c>
      <c r="D4" s="4" t="inlineStr">
        <is>
          <t>sí</t>
        </is>
      </c>
      <c r="F4" s="2">
        <f>IF($B4="","",IF(COUNTIF($B$4:$B4,$B4)&lt;&gt;1,"",SUMPRODUCT(($B$4:$B4&lt;&gt;"")/COUNTIF($B$4:$B4,$B$4:$B4&amp;""))))</f>
        <v/>
      </c>
      <c r="G4" s="2">
        <f>IF($B4="","",IF(COUNTIFS($D$4:$D4,"sí",$B$4:$B4,$B4)&lt;&gt;1,"",SUMPRODUCT(($D$4:$D4="sí")*($B$4:$B4&lt;&gt;"")/COUNTIFS($D$4:$D4,$D$4:$D4&amp;"",$B$4:$B4,$B$4:$B4&amp;""))))</f>
        <v/>
      </c>
      <c r="H4" s="2">
        <f>IF($A4="","",IF(COUNTIF($A$4:$A4,$A4)&lt;&gt;1,"",SUMPRODUCT(($A$4:$A4&lt;&gt;"")/COUNTIF($A$4:$A4,$A$4:$A4&amp;""))))</f>
        <v/>
      </c>
    </row>
    <row r="5">
      <c r="A5" s="4" t="inlineStr">
        <is>
          <t>PU-ELE</t>
        </is>
      </c>
      <c r="B5" s="4" t="inlineStr">
        <is>
          <t>ELE</t>
        </is>
      </c>
      <c r="C5" s="4" t="inlineStr">
        <is>
          <t>Puesto eléctrico</t>
        </is>
      </c>
      <c r="D5" s="4" t="inlineStr">
        <is>
          <t>sí</t>
        </is>
      </c>
      <c r="F5" s="2">
        <f>IF($B5="","",IF(COUNTIF($B$4:$B5,$B5)&lt;&gt;1,"",SUMPRODUCT(($B$4:$B5&lt;&gt;"")/COUNTIF($B$4:$B5,$B$4:$B5&amp;""))))</f>
        <v/>
      </c>
      <c r="G5" s="2">
        <f>IF($B5="","",IF(COUNTIFS($D$4:$D5,"sí",$B$4:$B5,$B5)&lt;&gt;1,"",SUMPRODUCT(($D$4:$D5="sí")*($B$4:$B5&lt;&gt;"")/COUNTIFS($D$4:$D5,$D$4:$D5&amp;"",$B$4:$B5,$B$4:$B5&amp;""))))</f>
        <v/>
      </c>
      <c r="H5" s="2">
        <f>IF($A5="","",IF(COUNTIF($A$4:$A5,$A5)&lt;&gt;1,"",SUMPRODUCT(($A$4:$A5&lt;&gt;"")/COUNTIF($A$4:$A5,$A$4:$A5&amp;""))))</f>
        <v/>
      </c>
    </row>
    <row r="6">
      <c r="A6" s="4" t="inlineStr">
        <is>
          <t>PU-AUT</t>
        </is>
      </c>
      <c r="B6" s="4" t="inlineStr">
        <is>
          <t>AUT</t>
        </is>
      </c>
      <c r="C6" s="4" t="inlineStr">
        <is>
          <t>Puesto automatización</t>
        </is>
      </c>
      <c r="D6" s="4" t="inlineStr">
        <is>
          <t>sí</t>
        </is>
      </c>
      <c r="F6" s="2">
        <f>IF($B6="","",IF(COUNTIF($B$4:$B6,$B6)&lt;&gt;1,"",SUMPRODUCT(($B$4:$B6&lt;&gt;"")/COUNTIF($B$4:$B6,$B$4:$B6&amp;""))))</f>
        <v/>
      </c>
      <c r="G6" s="2">
        <f>IF($B6="","",IF(COUNTIFS($D$4:$D6,"sí",$B$4:$B6,$B6)&lt;&gt;1,"",SUMPRODUCT(($D$4:$D6="sí")*($B$4:$B6&lt;&gt;"")/COUNTIFS($D$4:$D6,$D$4:$D6&amp;"",$B$4:$B6,$B$4:$B6&amp;""))))</f>
        <v/>
      </c>
      <c r="H6" s="2">
        <f>IF($A6="","",IF(COUNTIF($A$4:$A6,$A6)&lt;&gt;1,"",SUMPRODUCT(($A$4:$A6&lt;&gt;"")/COUNTIF($A$4:$A6,$A$4:$A6&amp;""))))</f>
        <v/>
      </c>
    </row>
    <row r="7">
      <c r="A7" s="4" t="inlineStr">
        <is>
          <t>PU-OP</t>
        </is>
      </c>
      <c r="B7" s="4" t="inlineStr">
        <is>
          <t>OP</t>
        </is>
      </c>
      <c r="C7" s="4" t="inlineStr">
        <is>
          <t>Puesto operaciones</t>
        </is>
      </c>
      <c r="D7" s="4" t="inlineStr">
        <is>
          <t>no</t>
        </is>
      </c>
      <c r="F7" s="2">
        <f>IF($B7="","",IF(COUNTIF($B$4:$B7,$B7)&lt;&gt;1,"",SUMPRODUCT(($B$4:$B7&lt;&gt;"")/COUNTIF($B$4:$B7,$B$4:$B7&amp;""))))</f>
        <v/>
      </c>
      <c r="G7" s="2">
        <f>IF($B7="","",IF(COUNTIFS($D$4:$D7,"sí",$B$4:$B7,$B7)&lt;&gt;1,"",SUMPRODUCT(($D$4:$D7="sí")*($B$4:$B7&lt;&gt;"")/COUNTIFS($D$4:$D7,$D$4:$D7&amp;"",$B$4:$B7,$B$4:$B7&amp;""))))</f>
        <v/>
      </c>
      <c r="H7" s="2">
        <f>IF($A7="","",IF(COUNTIF($A$4:$A7,$A7)&lt;&gt;1,"",SUMPRODUCT(($A$4:$A7&lt;&gt;"")/COUNTIF($A$4:$A7,$A$4:$A7&amp;""))))</f>
        <v/>
      </c>
    </row>
    <row r="8">
      <c r="A8" s="4" t="inlineStr">
        <is>
          <t>PU-TER</t>
        </is>
      </c>
      <c r="B8" s="4" t="inlineStr">
        <is>
          <t>TERCERO</t>
        </is>
      </c>
      <c r="C8" s="4" t="inlineStr">
        <is>
          <t>Contratista externo</t>
        </is>
      </c>
      <c r="D8" s="4" t="inlineStr">
        <is>
          <t>no</t>
        </is>
      </c>
      <c r="F8" s="2">
        <f>IF($B8="","",IF(COUNTIF($B$4:$B8,$B8)&lt;&gt;1,"",SUMPRODUCT(($B$4:$B8&lt;&gt;"")/COUNTIF($B$4:$B8,$B$4:$B8&amp;""))))</f>
        <v/>
      </c>
      <c r="G8" s="2">
        <f>IF($B8="","",IF(COUNTIFS($D$4:$D8,"sí",$B$4:$B8,$B8)&lt;&gt;1,"",SUMPRODUCT(($D$4:$D8="sí")*($B$4:$B8&lt;&gt;"")/COUNTIFS($D$4:$D8,$D$4:$D8&amp;"",$B$4:$B8,$B$4:$B8&amp;""))))</f>
        <v/>
      </c>
      <c r="H8" s="2">
        <f>IF($A8="","",IF(COUNTIF($A$4:$A8,$A8)&lt;&gt;1,"",SUMPRODUCT(($A$4:$A8&lt;&gt;"")/COUNTIF($A$4:$A8,$A$4:$A8&amp;""))))</f>
        <v/>
      </c>
    </row>
    <row r="9">
      <c r="F9" s="2">
        <f>IF($B9="","",IF(COUNTIF($B$4:$B9,$B9)&lt;&gt;1,"",SUMPRODUCT(($B$4:$B9&lt;&gt;"")/COUNTIF($B$4:$B9,$B$4:$B9&amp;""))))</f>
        <v/>
      </c>
      <c r="G9" s="2">
        <f>IF($B9="","",IF(COUNTIFS($D$4:$D9,"sí",$B$4:$B9,$B9)&lt;&gt;1,"",SUMPRODUCT(($D$4:$D9="sí")*($B$4:$B9&lt;&gt;"")/COUNTIFS($D$4:$D9,$D$4:$D9&amp;"",$B$4:$B9,$B$4:$B9&amp;""))))</f>
        <v/>
      </c>
      <c r="H9" s="2">
        <f>IF($A9="","",IF(COUNTIF($A$4:$A9,$A9)&lt;&gt;1,"",SUMPRODUCT(($A$4:$A9&lt;&gt;"")/COUNTIF($A$4:$A9,$A$4:$A9&amp;""))))</f>
        <v/>
      </c>
    </row>
    <row r="10">
      <c r="F10" s="2">
        <f>IF($B10="","",IF(COUNTIF($B$4:$B10,$B10)&lt;&gt;1,"",SUMPRODUCT(($B$4:$B10&lt;&gt;"")/COUNTIF($B$4:$B10,$B$4:$B10&amp;""))))</f>
        <v/>
      </c>
      <c r="G10" s="2">
        <f>IF($B10="","",IF(COUNTIFS($D$4:$D10,"sí",$B$4:$B10,$B10)&lt;&gt;1,"",SUMPRODUCT(($D$4:$D10="sí")*($B$4:$B10&lt;&gt;"")/COUNTIFS($D$4:$D10,$D$4:$D10&amp;"",$B$4:$B10,$B$4:$B10&amp;""))))</f>
        <v/>
      </c>
      <c r="H10" s="2">
        <f>IF($A10="","",IF(COUNTIF($A$4:$A10,$A10)&lt;&gt;1,"",SUMPRODUCT(($A$4:$A10&lt;&gt;"")/COUNTIF($A$4:$A10,$A$4:$A10&amp;""))))</f>
        <v/>
      </c>
    </row>
    <row r="11">
      <c r="F11" s="2">
        <f>IF($B11="","",IF(COUNTIF($B$4:$B11,$B11)&lt;&gt;1,"",SUMPRODUCT(($B$4:$B11&lt;&gt;"")/COUNTIF($B$4:$B11,$B$4:$B11&amp;""))))</f>
        <v/>
      </c>
      <c r="G11" s="2">
        <f>IF($B11="","",IF(COUNTIFS($D$4:$D11,"sí",$B$4:$B11,$B11)&lt;&gt;1,"",SUMPRODUCT(($D$4:$D11="sí")*($B$4:$B11&lt;&gt;"")/COUNTIFS($D$4:$D11,$D$4:$D11&amp;"",$B$4:$B11,$B$4:$B11&amp;""))))</f>
        <v/>
      </c>
      <c r="H11" s="2">
        <f>IF($A11="","",IF(COUNTIF($A$4:$A11,$A11)&lt;&gt;1,"",SUMPRODUCT(($A$4:$A11&lt;&gt;"")/COUNTIF($A$4:$A11,$A$4:$A11&amp;""))))</f>
        <v/>
      </c>
    </row>
    <row r="12">
      <c r="F12" s="2">
        <f>IF($B12="","",IF(COUNTIF($B$4:$B12,$B12)&lt;&gt;1,"",SUMPRODUCT(($B$4:$B12&lt;&gt;"")/COUNTIF($B$4:$B12,$B$4:$B12&amp;""))))</f>
        <v/>
      </c>
      <c r="G12" s="2">
        <f>IF($B12="","",IF(COUNTIFS($D$4:$D12,"sí",$B$4:$B12,$B12)&lt;&gt;1,"",SUMPRODUCT(($D$4:$D12="sí")*($B$4:$B12&lt;&gt;"")/COUNTIFS($D$4:$D12,$D$4:$D12&amp;"",$B$4:$B12,$B$4:$B12&amp;""))))</f>
        <v/>
      </c>
      <c r="H12" s="2">
        <f>IF($A12="","",IF(COUNTIF($A$4:$A12,$A12)&lt;&gt;1,"",SUMPRODUCT(($A$4:$A12&lt;&gt;"")/COUNTIF($A$4:$A12,$A$4:$A12&amp;""))))</f>
        <v/>
      </c>
    </row>
    <row r="13">
      <c r="F13" s="2">
        <f>IF($B13="","",IF(COUNTIF($B$4:$B13,$B13)&lt;&gt;1,"",SUMPRODUCT(($B$4:$B13&lt;&gt;"")/COUNTIF($B$4:$B13,$B$4:$B13&amp;""))))</f>
        <v/>
      </c>
      <c r="G13" s="2">
        <f>IF($B13="","",IF(COUNTIFS($D$4:$D13,"sí",$B$4:$B13,$B13)&lt;&gt;1,"",SUMPRODUCT(($D$4:$D13="sí")*($B$4:$B13&lt;&gt;"")/COUNTIFS($D$4:$D13,$D$4:$D13&amp;"",$B$4:$B13,$B$4:$B13&amp;""))))</f>
        <v/>
      </c>
      <c r="H13" s="2">
        <f>IF($A13="","",IF(COUNTIF($A$4:$A13,$A13)&lt;&gt;1,"",SUMPRODUCT(($A$4:$A13&lt;&gt;"")/COUNTIF($A$4:$A13,$A$4:$A13&amp;""))))</f>
        <v/>
      </c>
    </row>
    <row r="14">
      <c r="F14" s="2">
        <f>IF($B14="","",IF(COUNTIF($B$4:$B14,$B14)&lt;&gt;1,"",SUMPRODUCT(($B$4:$B14&lt;&gt;"")/COUNTIF($B$4:$B14,$B$4:$B14&amp;""))))</f>
        <v/>
      </c>
      <c r="G14" s="2">
        <f>IF($B14="","",IF(COUNTIFS($D$4:$D14,"sí",$B$4:$B14,$B14)&lt;&gt;1,"",SUMPRODUCT(($D$4:$D14="sí")*($B$4:$B14&lt;&gt;"")/COUNTIFS($D$4:$D14,$D$4:$D14&amp;"",$B$4:$B14,$B$4:$B14&amp;""))))</f>
        <v/>
      </c>
      <c r="H14" s="2">
        <f>IF($A14="","",IF(COUNTIF($A$4:$A14,$A14)&lt;&gt;1,"",SUMPRODUCT(($A$4:$A14&lt;&gt;"")/COUNTIF($A$4:$A14,$A$4:$A14&amp;""))))</f>
        <v/>
      </c>
    </row>
    <row r="15">
      <c r="F15" s="2">
        <f>IF($B15="","",IF(COUNTIF($B$4:$B15,$B15)&lt;&gt;1,"",SUMPRODUCT(($B$4:$B15&lt;&gt;"")/COUNTIF($B$4:$B15,$B$4:$B15&amp;""))))</f>
        <v/>
      </c>
      <c r="G15" s="2">
        <f>IF($B15="","",IF(COUNTIFS($D$4:$D15,"sí",$B$4:$B15,$B15)&lt;&gt;1,"",SUMPRODUCT(($D$4:$D15="sí")*($B$4:$B15&lt;&gt;"")/COUNTIFS($D$4:$D15,$D$4:$D15&amp;"",$B$4:$B15,$B$4:$B15&amp;""))))</f>
        <v/>
      </c>
      <c r="H15" s="2">
        <f>IF($A15="","",IF(COUNTIF($A$4:$A15,$A15)&lt;&gt;1,"",SUMPRODUCT(($A$4:$A15&lt;&gt;"")/COUNTIF($A$4:$A15,$A$4:$A15&amp;""))))</f>
        <v/>
      </c>
    </row>
    <row r="16">
      <c r="F16" s="2">
        <f>IF($B16="","",IF(COUNTIF($B$4:$B16,$B16)&lt;&gt;1,"",SUMPRODUCT(($B$4:$B16&lt;&gt;"")/COUNTIF($B$4:$B16,$B$4:$B16&amp;""))))</f>
        <v/>
      </c>
      <c r="G16" s="2">
        <f>IF($B16="","",IF(COUNTIFS($D$4:$D16,"sí",$B$4:$B16,$B16)&lt;&gt;1,"",SUMPRODUCT(($D$4:$D16="sí")*($B$4:$B16&lt;&gt;"")/COUNTIFS($D$4:$D16,$D$4:$D16&amp;"",$B$4:$B16,$B$4:$B16&amp;""))))</f>
        <v/>
      </c>
      <c r="H16" s="2">
        <f>IF($A16="","",IF(COUNTIF($A$4:$A16,$A16)&lt;&gt;1,"",SUMPRODUCT(($A$4:$A16&lt;&gt;"")/COUNTIF($A$4:$A16,$A$4:$A16&amp;""))))</f>
        <v/>
      </c>
    </row>
    <row r="17">
      <c r="F17" s="2">
        <f>IF($B17="","",IF(COUNTIF($B$4:$B17,$B17)&lt;&gt;1,"",SUMPRODUCT(($B$4:$B17&lt;&gt;"")/COUNTIF($B$4:$B17,$B$4:$B17&amp;""))))</f>
        <v/>
      </c>
      <c r="G17" s="2">
        <f>IF($B17="","",IF(COUNTIFS($D$4:$D17,"sí",$B$4:$B17,$B17)&lt;&gt;1,"",SUMPRODUCT(($D$4:$D17="sí")*($B$4:$B17&lt;&gt;"")/COUNTIFS($D$4:$D17,$D$4:$D17&amp;"",$B$4:$B17,$B$4:$B17&amp;""))))</f>
        <v/>
      </c>
      <c r="H17" s="2">
        <f>IF($A17="","",IF(COUNTIF($A$4:$A17,$A17)&lt;&gt;1,"",SUMPRODUCT(($A$4:$A17&lt;&gt;"")/COUNTIF($A$4:$A17,$A$4:$A17&amp;""))))</f>
        <v/>
      </c>
    </row>
    <row r="18">
      <c r="F18" s="2">
        <f>IF($B18="","",IF(COUNTIF($B$4:$B18,$B18)&lt;&gt;1,"",SUMPRODUCT(($B$4:$B18&lt;&gt;"")/COUNTIF($B$4:$B18,$B$4:$B18&amp;""))))</f>
        <v/>
      </c>
      <c r="G18" s="2">
        <f>IF($B18="","",IF(COUNTIFS($D$4:$D18,"sí",$B$4:$B18,$B18)&lt;&gt;1,"",SUMPRODUCT(($D$4:$D18="sí")*($B$4:$B18&lt;&gt;"")/COUNTIFS($D$4:$D18,$D$4:$D18&amp;"",$B$4:$B18,$B$4:$B18&amp;""))))</f>
        <v/>
      </c>
      <c r="H18" s="2">
        <f>IF($A18="","",IF(COUNTIF($A$4:$A18,$A18)&lt;&gt;1,"",SUMPRODUCT(($A$4:$A18&lt;&gt;"")/COUNTIF($A$4:$A18,$A$4:$A18&amp;""))))</f>
        <v/>
      </c>
    </row>
    <row r="19">
      <c r="F19" s="2">
        <f>IF($B19="","",IF(COUNTIF($B$4:$B19,$B19)&lt;&gt;1,"",SUMPRODUCT(($B$4:$B19&lt;&gt;"")/COUNTIF($B$4:$B19,$B$4:$B19&amp;""))))</f>
        <v/>
      </c>
      <c r="G19" s="2">
        <f>IF($B19="","",IF(COUNTIFS($D$4:$D19,"sí",$B$4:$B19,$B19)&lt;&gt;1,"",SUMPRODUCT(($D$4:$D19="sí")*($B$4:$B19&lt;&gt;"")/COUNTIFS($D$4:$D19,$D$4:$D19&amp;"",$B$4:$B19,$B$4:$B19&amp;""))))</f>
        <v/>
      </c>
      <c r="H19" s="2">
        <f>IF($A19="","",IF(COUNTIF($A$4:$A19,$A19)&lt;&gt;1,"",SUMPRODUCT(($A$4:$A19&lt;&gt;"")/COUNTIF($A$4:$A19,$A$4:$A19&amp;""))))</f>
        <v/>
      </c>
    </row>
    <row r="20">
      <c r="F20" s="2">
        <f>IF($B20="","",IF(COUNTIF($B$4:$B20,$B20)&lt;&gt;1,"",SUMPRODUCT(($B$4:$B20&lt;&gt;"")/COUNTIF($B$4:$B20,$B$4:$B20&amp;""))))</f>
        <v/>
      </c>
      <c r="G20" s="2">
        <f>IF($B20="","",IF(COUNTIFS($D$4:$D20,"sí",$B$4:$B20,$B20)&lt;&gt;1,"",SUMPRODUCT(($D$4:$D20="sí")*($B$4:$B20&lt;&gt;"")/COUNTIFS($D$4:$D20,$D$4:$D20&amp;"",$B$4:$B20,$B$4:$B20&amp;""))))</f>
        <v/>
      </c>
      <c r="H20" s="2">
        <f>IF($A20="","",IF(COUNTIF($A$4:$A20,$A20)&lt;&gt;1,"",SUMPRODUCT(($A$4:$A20&lt;&gt;"")/COUNTIF($A$4:$A20,$A$4:$A20&amp;""))))</f>
        <v/>
      </c>
    </row>
    <row r="21">
      <c r="F21" s="2">
        <f>IF($B21="","",IF(COUNTIF($B$4:$B21,$B21)&lt;&gt;1,"",SUMPRODUCT(($B$4:$B21&lt;&gt;"")/COUNTIF($B$4:$B21,$B$4:$B21&amp;""))))</f>
        <v/>
      </c>
      <c r="G21" s="2">
        <f>IF($B21="","",IF(COUNTIFS($D$4:$D21,"sí",$B$4:$B21,$B21)&lt;&gt;1,"",SUMPRODUCT(($D$4:$D21="sí")*($B$4:$B21&lt;&gt;"")/COUNTIFS($D$4:$D21,$D$4:$D21&amp;"",$B$4:$B21,$B$4:$B21&amp;""))))</f>
        <v/>
      </c>
      <c r="H21" s="2">
        <f>IF($A21="","",IF(COUNTIF($A$4:$A21,$A21)&lt;&gt;1,"",SUMPRODUCT(($A$4:$A21&lt;&gt;"")/COUNTIF($A$4:$A21,$A$4:$A21&amp;""))))</f>
        <v/>
      </c>
    </row>
    <row r="22">
      <c r="F22" s="2">
        <f>IF($B22="","",IF(COUNTIF($B$4:$B22,$B22)&lt;&gt;1,"",SUMPRODUCT(($B$4:$B22&lt;&gt;"")/COUNTIF($B$4:$B22,$B$4:$B22&amp;""))))</f>
        <v/>
      </c>
      <c r="G22" s="2">
        <f>IF($B22="","",IF(COUNTIFS($D$4:$D22,"sí",$B$4:$B22,$B22)&lt;&gt;1,"",SUMPRODUCT(($D$4:$D22="sí")*($B$4:$B22&lt;&gt;"")/COUNTIFS($D$4:$D22,$D$4:$D22&amp;"",$B$4:$B22,$B$4:$B22&amp;""))))</f>
        <v/>
      </c>
      <c r="H22" s="2">
        <f>IF($A22="","",IF(COUNTIF($A$4:$A22,$A22)&lt;&gt;1,"",SUMPRODUCT(($A$4:$A22&lt;&gt;"")/COUNTIF($A$4:$A22,$A$4:$A22&amp;""))))</f>
        <v/>
      </c>
    </row>
    <row r="23">
      <c r="F23" s="2">
        <f>IF($B23="","",IF(COUNTIF($B$4:$B23,$B23)&lt;&gt;1,"",SUMPRODUCT(($B$4:$B23&lt;&gt;"")/COUNTIF($B$4:$B23,$B$4:$B23&amp;""))))</f>
        <v/>
      </c>
      <c r="G23" s="2">
        <f>IF($B23="","",IF(COUNTIFS($D$4:$D23,"sí",$B$4:$B23,$B23)&lt;&gt;1,"",SUMPRODUCT(($D$4:$D23="sí")*($B$4:$B23&lt;&gt;"")/COUNTIFS($D$4:$D23,$D$4:$D23&amp;"",$B$4:$B23,$B$4:$B23&amp;""))))</f>
        <v/>
      </c>
      <c r="H23" s="2">
        <f>IF($A23="","",IF(COUNTIF($A$4:$A23,$A23)&lt;&gt;1,"",SUMPRODUCT(($A$4:$A23&lt;&gt;"")/COUNTIF($A$4:$A23,$A$4:$A23&amp;""))))</f>
        <v/>
      </c>
    </row>
  </sheetData>
  <dataValidations count="2">
    <dataValidation sqref="B4:B23" showDropDown="0" showInputMessage="0" showErrorMessage="0" allowBlank="0" type="list">
      <formula1>"ELE,MEC,AUT,OP,TERCERO"</formula1>
    </dataValidation>
    <dataValidation sqref="D4:D23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808080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hidden="1" width="13" customWidth="1" min="8" max="8"/>
    <col hidden="1" width="13" customWidth="1" min="9" max="9"/>
  </cols>
  <sheetData>
    <row r="1">
      <c r="A1" s="3" t="inlineStr">
        <is>
          <t>Catálogo de actividades. `rubro` es la etiqueta transversal del trabajo (calibración / lubricación) y puede quedar VACÍA: eso es lo normal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tipo</t>
        </is>
      </c>
      <c r="D3" s="14" t="inlineStr">
        <is>
          <t>categoria_presupuesto</t>
        </is>
      </c>
      <c r="E3" s="14" t="inlineStr">
        <is>
          <t>clasificacion</t>
        </is>
      </c>
      <c r="F3" s="14" t="inlineStr">
        <is>
          <t>rubro</t>
        </is>
      </c>
      <c r="H3" s="2" t="inlineStr">
        <is>
          <t>orden de categoría de presupuesto — no editar</t>
        </is>
      </c>
      <c r="I3" s="2" t="inlineStr">
        <is>
          <t>orden de actividades — no editar</t>
        </is>
      </c>
    </row>
    <row r="4">
      <c r="A4" s="4" t="inlineStr">
        <is>
          <t>ACT-01</t>
        </is>
      </c>
      <c r="B4" s="4" t="inlineStr">
        <is>
          <t>Inspección de rutina</t>
        </is>
      </c>
      <c r="C4" s="4" t="inlineStr">
        <is>
          <t>preventivo</t>
        </is>
      </c>
      <c r="D4" s="4" t="inlineStr">
        <is>
          <t>Repuestos mandatorios</t>
        </is>
      </c>
      <c r="E4" s="4" t="inlineStr">
        <is>
          <t>fijo</t>
        </is>
      </c>
      <c r="F4" s="4" t="inlineStr"/>
      <c r="H4" s="2">
        <f>IF($D4="","",IF($E4="fijo",IF(COUNTIFS($E$4:$E4,"fijo",$D$4:$D4,$D4)&lt;&gt;1,"",SUMPRODUCT(($E$4:$E4="fijo")*($D$4:$D4&lt;&gt;"")/COUNTIFS($E$4:$E4,$E$4:$E4&amp;"",$D$4:$D4,$D$4:$D4&amp;""))),IF($E4="variable",IF(COUNTIFS($E$4:$E4,"variable",$D$4:$D4,$D4)&lt;&gt;1,"",SUMPRODUCT(($E$4:$E26="fijo")*($D$4:$D26&lt;&gt;"")/COUNTIFS($E$4:$E26,$E$4:$E26&amp;"",$D$4:$D26,$D$4:$D26&amp;""))+SUMPRODUCT(($E$4:$E4="variable")*($D$4:$D4&lt;&gt;"")/COUNTIFS($E$4:$E4,$E$4:$E4&amp;"",$D$4:$D4,$D$4:$D4&amp;""))),"")))</f>
        <v/>
      </c>
      <c r="I4" s="2">
        <f>IF($A4="","",IF(COUNTIF($A$4:$A4,$A4)&lt;&gt;1,"",SUMPRODUCT(($A$4:$A4&lt;&gt;"")/COUNTIF($A$4:$A4,$A$4:$A4&amp;""))))</f>
        <v/>
      </c>
    </row>
    <row r="5">
      <c r="A5" s="4" t="inlineStr">
        <is>
          <t>ACT-02</t>
        </is>
      </c>
      <c r="B5" s="4" t="inlineStr">
        <is>
          <t>Lubricación programada</t>
        </is>
      </c>
      <c r="C5" s="4" t="inlineStr">
        <is>
          <t>preventivo</t>
        </is>
      </c>
      <c r="D5" s="4" t="inlineStr">
        <is>
          <t>Repuestos mandatorios</t>
        </is>
      </c>
      <c r="E5" s="4" t="inlineStr">
        <is>
          <t>fijo</t>
        </is>
      </c>
      <c r="F5" s="4" t="inlineStr">
        <is>
          <t>lubricacion</t>
        </is>
      </c>
      <c r="H5" s="2">
        <f>IF($D5="","",IF($E5="fijo",IF(COUNTIFS($E$4:$E5,"fijo",$D$4:$D5,$D5)&lt;&gt;1,"",SUMPRODUCT(($E$4:$E5="fijo")*($D$4:$D5&lt;&gt;"")/COUNTIFS($E$4:$E5,$E$4:$E5&amp;"",$D$4:$D5,$D$4:$D5&amp;""))),IF($E5="variable",IF(COUNTIFS($E$4:$E5,"variable",$D$4:$D5,$D5)&lt;&gt;1,"",SUMPRODUCT(($E$4:$E26="fijo")*($D$4:$D26&lt;&gt;"")/COUNTIFS($E$4:$E26,$E$4:$E26&amp;"",$D$4:$D26,$D$4:$D26&amp;""))+SUMPRODUCT(($E$4:$E5="variable")*($D$4:$D5&lt;&gt;"")/COUNTIFS($E$4:$E5,$E$4:$E5&amp;"",$D$4:$D5,$D$4:$D5&amp;""))),"")))</f>
        <v/>
      </c>
      <c r="I5" s="2">
        <f>IF($A5="","",IF(COUNTIF($A$4:$A5,$A5)&lt;&gt;1,"",SUMPRODUCT(($A$4:$A5&lt;&gt;"")/COUNTIF($A$4:$A5,$A$4:$A5&amp;""))))</f>
        <v/>
      </c>
    </row>
    <row r="6">
      <c r="A6" s="4" t="inlineStr">
        <is>
          <t>ACT-03</t>
        </is>
      </c>
      <c r="B6" s="4" t="inlineStr">
        <is>
          <t>Reparación de falla</t>
        </is>
      </c>
      <c r="C6" s="4" t="inlineStr">
        <is>
          <t>correctivo</t>
        </is>
      </c>
      <c r="D6" s="4" t="inlineStr">
        <is>
          <t>Correctivos - materiales</t>
        </is>
      </c>
      <c r="E6" s="4" t="inlineStr">
        <is>
          <t>variable</t>
        </is>
      </c>
      <c r="F6" s="4" t="inlineStr"/>
      <c r="H6" s="2">
        <f>IF($D6="","",IF($E6="fijo",IF(COUNTIFS($E$4:$E6,"fijo",$D$4:$D6,$D6)&lt;&gt;1,"",SUMPRODUCT(($E$4:$E6="fijo")*($D$4:$D6&lt;&gt;"")/COUNTIFS($E$4:$E6,$E$4:$E6&amp;"",$D$4:$D6,$D$4:$D6&amp;""))),IF($E6="variable",IF(COUNTIFS($E$4:$E6,"variable",$D$4:$D6,$D6)&lt;&gt;1,"",SUMPRODUCT(($E$4:$E26="fijo")*($D$4:$D26&lt;&gt;"")/COUNTIFS($E$4:$E26,$E$4:$E26&amp;"",$D$4:$D26,$D$4:$D26&amp;""))+SUMPRODUCT(($E$4:$E6="variable")*($D$4:$D6&lt;&gt;"")/COUNTIFS($E$4:$E6,$E$4:$E6&amp;"",$D$4:$D6,$D$4:$D6&amp;""))),"")))</f>
        <v/>
      </c>
      <c r="I6" s="2">
        <f>IF($A6="","",IF(COUNTIF($A$4:$A6,$A6)&lt;&gt;1,"",SUMPRODUCT(($A$4:$A6&lt;&gt;"")/COUNTIF($A$4:$A6,$A$4:$A6&amp;""))))</f>
        <v/>
      </c>
    </row>
    <row r="7">
      <c r="A7" s="4" t="inlineStr">
        <is>
          <t>ACT-04</t>
        </is>
      </c>
      <c r="B7" s="4" t="inlineStr">
        <is>
          <t>Análisis predictivo</t>
        </is>
      </c>
      <c r="C7" s="4" t="inlineStr">
        <is>
          <t>predictivo</t>
        </is>
      </c>
      <c r="D7" s="4" t="inlineStr">
        <is>
          <t>Servicios contratados</t>
        </is>
      </c>
      <c r="E7" s="4" t="inlineStr">
        <is>
          <t>fijo</t>
        </is>
      </c>
      <c r="F7" s="4" t="inlineStr"/>
      <c r="H7" s="2">
        <f>IF($D7="","",IF($E7="fijo",IF(COUNTIFS($E$4:$E7,"fijo",$D$4:$D7,$D7)&lt;&gt;1,"",SUMPRODUCT(($E$4:$E7="fijo")*($D$4:$D7&lt;&gt;"")/COUNTIFS($E$4:$E7,$E$4:$E7&amp;"",$D$4:$D7,$D$4:$D7&amp;""))),IF($E7="variable",IF(COUNTIFS($E$4:$E7,"variable",$D$4:$D7,$D7)&lt;&gt;1,"",SUMPRODUCT(($E$4:$E26="fijo")*($D$4:$D26&lt;&gt;"")/COUNTIFS($E$4:$E26,$E$4:$E26&amp;"",$D$4:$D26,$D$4:$D26&amp;""))+SUMPRODUCT(($E$4:$E7="variable")*($D$4:$D7&lt;&gt;"")/COUNTIFS($E$4:$E7,$E$4:$E7&amp;"",$D$4:$D7,$D$4:$D7&amp;""))),"")))</f>
        <v/>
      </c>
      <c r="I7" s="2">
        <f>IF($A7="","",IF(COUNTIF($A$4:$A7,$A7)&lt;&gt;1,"",SUMPRODUCT(($A$4:$A7&lt;&gt;"")/COUNTIF($A$4:$A7,$A$4:$A7&amp;""))))</f>
        <v/>
      </c>
    </row>
    <row r="8">
      <c r="A8" s="4" t="inlineStr">
        <is>
          <t>ACT-05</t>
        </is>
      </c>
      <c r="B8" s="4" t="inlineStr">
        <is>
          <t>Certificación legal</t>
        </is>
      </c>
      <c r="C8" s="4" t="inlineStr">
        <is>
          <t>legal</t>
        </is>
      </c>
      <c r="D8" s="4" t="inlineStr">
        <is>
          <t>Servicios contratados</t>
        </is>
      </c>
      <c r="E8" s="4" t="inlineStr">
        <is>
          <t>fijo</t>
        </is>
      </c>
      <c r="F8" s="4" t="inlineStr">
        <is>
          <t>calibracion</t>
        </is>
      </c>
      <c r="H8" s="2">
        <f>IF($D8="","",IF($E8="fijo",IF(COUNTIFS($E$4:$E8,"fijo",$D$4:$D8,$D8)&lt;&gt;1,"",SUMPRODUCT(($E$4:$E8="fijo")*($D$4:$D8&lt;&gt;"")/COUNTIFS($E$4:$E8,$E$4:$E8&amp;"",$D$4:$D8,$D$4:$D8&amp;""))),IF($E8="variable",IF(COUNTIFS($E$4:$E8,"variable",$D$4:$D8,$D8)&lt;&gt;1,"",SUMPRODUCT(($E$4:$E26="fijo")*($D$4:$D26&lt;&gt;"")/COUNTIFS($E$4:$E26,$E$4:$E26&amp;"",$D$4:$D26,$D$4:$D26&amp;""))+SUMPRODUCT(($E$4:$E8="variable")*($D$4:$D8&lt;&gt;"")/COUNTIFS($E$4:$E8,$E$4:$E8&amp;"",$D$4:$D8,$D$4:$D8&amp;""))),"")))</f>
        <v/>
      </c>
      <c r="I8" s="2">
        <f>IF($A8="","",IF(COUNTIF($A$4:$A8,$A8)&lt;&gt;1,"",SUMPRODUCT(($A$4:$A8&lt;&gt;"")/COUNTIF($A$4:$A8,$A$4:$A8&amp;""))))</f>
        <v/>
      </c>
    </row>
    <row r="9">
      <c r="A9" s="4" t="inlineStr">
        <is>
          <t>ACT-06</t>
        </is>
      </c>
      <c r="B9" s="4" t="inlineStr">
        <is>
          <t>Overhaul mayor</t>
        </is>
      </c>
      <c r="C9" s="4" t="inlineStr">
        <is>
          <t>correctivo</t>
        </is>
      </c>
      <c r="D9" s="4" t="inlineStr">
        <is>
          <t>Overhauls programados</t>
        </is>
      </c>
      <c r="E9" s="4" t="inlineStr">
        <is>
          <t>fijo</t>
        </is>
      </c>
      <c r="F9" s="4" t="inlineStr"/>
      <c r="H9" s="2">
        <f>IF($D9="","",IF($E9="fijo",IF(COUNTIFS($E$4:$E9,"fijo",$D$4:$D9,$D9)&lt;&gt;1,"",SUMPRODUCT(($E$4:$E9="fijo")*($D$4:$D9&lt;&gt;"")/COUNTIFS($E$4:$E9,$E$4:$E9&amp;"",$D$4:$D9,$D$4:$D9&amp;""))),IF($E9="variable",IF(COUNTIFS($E$4:$E9,"variable",$D$4:$D9,$D9)&lt;&gt;1,"",SUMPRODUCT(($E$4:$E26="fijo")*($D$4:$D26&lt;&gt;"")/COUNTIFS($E$4:$E26,$E$4:$E26&amp;"",$D$4:$D26,$D$4:$D26&amp;""))+SUMPRODUCT(($E$4:$E9="variable")*($D$4:$D9&lt;&gt;"")/COUNTIFS($E$4:$E9,$E$4:$E9&amp;"",$D$4:$D9,$D$4:$D9&amp;""))),"")))</f>
        <v/>
      </c>
      <c r="I9" s="2">
        <f>IF($A9="","",IF(COUNTIF($A$4:$A9,$A9)&lt;&gt;1,"",SUMPRODUCT(($A$4:$A9&lt;&gt;"")/COUNTIF($A$4:$A9,$A$4:$A9&amp;""))))</f>
        <v/>
      </c>
    </row>
    <row r="10">
      <c r="A10" s="4" t="inlineStr">
        <is>
          <t>ACT-07</t>
        </is>
      </c>
      <c r="B10" s="4" t="inlineStr">
        <is>
          <t>Servicio externo no contratado</t>
        </is>
      </c>
      <c r="C10" s="4" t="inlineStr">
        <is>
          <t>correctivo</t>
        </is>
      </c>
      <c r="D10" s="4" t="inlineStr">
        <is>
          <t>Servicios requeridos</t>
        </is>
      </c>
      <c r="E10" s="4" t="inlineStr">
        <is>
          <t>variable</t>
        </is>
      </c>
      <c r="F10" s="4" t="inlineStr"/>
      <c r="H10" s="2">
        <f>IF($D10="","",IF($E10="fijo",IF(COUNTIFS($E$4:$E10,"fijo",$D$4:$D10,$D10)&lt;&gt;1,"",SUMPRODUCT(($E$4:$E10="fijo")*($D$4:$D10&lt;&gt;"")/COUNTIFS($E$4:$E10,$E$4:$E10&amp;"",$D$4:$D10,$D$4:$D10&amp;""))),IF($E10="variable",IF(COUNTIFS($E$4:$E10,"variable",$D$4:$D10,$D10)&lt;&gt;1,"",SUMPRODUCT(($E$4:$E26="fijo")*($D$4:$D26&lt;&gt;"")/COUNTIFS($E$4:$E26,$E$4:$E26&amp;"",$D$4:$D26,$D$4:$D26&amp;""))+SUMPRODUCT(($E$4:$E10="variable")*($D$4:$D10&lt;&gt;"")/COUNTIFS($E$4:$E10,$E$4:$E10&amp;"",$D$4:$D10,$D$4:$D10&amp;""))),"")))</f>
        <v/>
      </c>
      <c r="I10" s="2">
        <f>IF($A10="","",IF(COUNTIF($A$4:$A10,$A10)&lt;&gt;1,"",SUMPRODUCT(($A$4:$A10&lt;&gt;"")/COUNTIF($A$4:$A10,$A$4:$A10&amp;""))))</f>
        <v/>
      </c>
    </row>
    <row r="11">
      <c r="A11" s="4" t="inlineStr">
        <is>
          <t>ACT-08</t>
        </is>
      </c>
      <c r="B11" s="4" t="inlineStr">
        <is>
          <t>Refacción / mejora menor</t>
        </is>
      </c>
      <c r="C11" s="4" t="inlineStr">
        <is>
          <t>correctivo</t>
        </is>
      </c>
      <c r="D11" s="4" t="inlineStr">
        <is>
          <t>Refacciones nuevas</t>
        </is>
      </c>
      <c r="E11" s="4" t="inlineStr">
        <is>
          <t>variable</t>
        </is>
      </c>
      <c r="F11" s="4" t="inlineStr"/>
      <c r="H11" s="2">
        <f>IF($D11="","",IF($E11="fijo",IF(COUNTIFS($E$4:$E11,"fijo",$D$4:$D11,$D11)&lt;&gt;1,"",SUMPRODUCT(($E$4:$E11="fijo")*($D$4:$D11&lt;&gt;"")/COUNTIFS($E$4:$E11,$E$4:$E11&amp;"",$D$4:$D11,$D$4:$D11&amp;""))),IF($E11="variable",IF(COUNTIFS($E$4:$E11,"variable",$D$4:$D11,$D11)&lt;&gt;1,"",SUMPRODUCT(($E$4:$E26="fijo")*($D$4:$D26&lt;&gt;"")/COUNTIFS($E$4:$E26,$E$4:$E26&amp;"",$D$4:$D26,$D$4:$D26&amp;""))+SUMPRODUCT(($E$4:$E11="variable")*($D$4:$D11&lt;&gt;"")/COUNTIFS($E$4:$E11,$E$4:$E11&amp;"",$D$4:$D11,$D$4:$D11&amp;""))),"")))</f>
        <v/>
      </c>
      <c r="I11" s="2">
        <f>IF($A11="","",IF(COUNTIF($A$4:$A11,$A11)&lt;&gt;1,"",SUMPRODUCT(($A$4:$A11&lt;&gt;"")/COUNTIF($A$4:$A11,$A$4:$A11&amp;""))))</f>
        <v/>
      </c>
    </row>
    <row r="12">
      <c r="H12" s="2">
        <f>IF($D12="","",IF($E12="fijo",IF(COUNTIFS($E$4:$E12,"fijo",$D$4:$D12,$D12)&lt;&gt;1,"",SUMPRODUCT(($E$4:$E12="fijo")*($D$4:$D12&lt;&gt;"")/COUNTIFS($E$4:$E12,$E$4:$E12&amp;"",$D$4:$D12,$D$4:$D12&amp;""))),IF($E12="variable",IF(COUNTIFS($E$4:$E12,"variable",$D$4:$D12,$D12)&lt;&gt;1,"",SUMPRODUCT(($E$4:$E26="fijo")*($D$4:$D26&lt;&gt;"")/COUNTIFS($E$4:$E26,$E$4:$E26&amp;"",$D$4:$D26,$D$4:$D26&amp;""))+SUMPRODUCT(($E$4:$E12="variable")*($D$4:$D12&lt;&gt;"")/COUNTIFS($E$4:$E12,$E$4:$E12&amp;"",$D$4:$D12,$D$4:$D12&amp;""))),"")))</f>
        <v/>
      </c>
      <c r="I12" s="2">
        <f>IF($A12="","",IF(COUNTIF($A$4:$A12,$A12)&lt;&gt;1,"",SUMPRODUCT(($A$4:$A12&lt;&gt;"")/COUNTIF($A$4:$A12,$A$4:$A12&amp;""))))</f>
        <v/>
      </c>
    </row>
    <row r="13">
      <c r="H13" s="2">
        <f>IF($D13="","",IF($E13="fijo",IF(COUNTIFS($E$4:$E13,"fijo",$D$4:$D13,$D13)&lt;&gt;1,"",SUMPRODUCT(($E$4:$E13="fijo")*($D$4:$D13&lt;&gt;"")/COUNTIFS($E$4:$E13,$E$4:$E13&amp;"",$D$4:$D13,$D$4:$D13&amp;""))),IF($E13="variable",IF(COUNTIFS($E$4:$E13,"variable",$D$4:$D13,$D13)&lt;&gt;1,"",SUMPRODUCT(($E$4:$E26="fijo")*($D$4:$D26&lt;&gt;"")/COUNTIFS($E$4:$E26,$E$4:$E26&amp;"",$D$4:$D26,$D$4:$D26&amp;""))+SUMPRODUCT(($E$4:$E13="variable")*($D$4:$D13&lt;&gt;"")/COUNTIFS($E$4:$E13,$E$4:$E13&amp;"",$D$4:$D13,$D$4:$D13&amp;""))),"")))</f>
        <v/>
      </c>
      <c r="I13" s="2">
        <f>IF($A13="","",IF(COUNTIF($A$4:$A13,$A13)&lt;&gt;1,"",SUMPRODUCT(($A$4:$A13&lt;&gt;"")/COUNTIF($A$4:$A13,$A$4:$A13&amp;""))))</f>
        <v/>
      </c>
    </row>
    <row r="14">
      <c r="H14" s="2">
        <f>IF($D14="","",IF($E14="fijo",IF(COUNTIFS($E$4:$E14,"fijo",$D$4:$D14,$D14)&lt;&gt;1,"",SUMPRODUCT(($E$4:$E14="fijo")*($D$4:$D14&lt;&gt;"")/COUNTIFS($E$4:$E14,$E$4:$E14&amp;"",$D$4:$D14,$D$4:$D14&amp;""))),IF($E14="variable",IF(COUNTIFS($E$4:$E14,"variable",$D$4:$D14,$D14)&lt;&gt;1,"",SUMPRODUCT(($E$4:$E26="fijo")*($D$4:$D26&lt;&gt;"")/COUNTIFS($E$4:$E26,$E$4:$E26&amp;"",$D$4:$D26,$D$4:$D26&amp;""))+SUMPRODUCT(($E$4:$E14="variable")*($D$4:$D14&lt;&gt;"")/COUNTIFS($E$4:$E14,$E$4:$E14&amp;"",$D$4:$D14,$D$4:$D14&amp;""))),"")))</f>
        <v/>
      </c>
      <c r="I14" s="2">
        <f>IF($A14="","",IF(COUNTIF($A$4:$A14,$A14)&lt;&gt;1,"",SUMPRODUCT(($A$4:$A14&lt;&gt;"")/COUNTIF($A$4:$A14,$A$4:$A14&amp;""))))</f>
        <v/>
      </c>
    </row>
    <row r="15">
      <c r="H15" s="2">
        <f>IF($D15="","",IF($E15="fijo",IF(COUNTIFS($E$4:$E15,"fijo",$D$4:$D15,$D15)&lt;&gt;1,"",SUMPRODUCT(($E$4:$E15="fijo")*($D$4:$D15&lt;&gt;"")/COUNTIFS($E$4:$E15,$E$4:$E15&amp;"",$D$4:$D15,$D$4:$D15&amp;""))),IF($E15="variable",IF(COUNTIFS($E$4:$E15,"variable",$D$4:$D15,$D15)&lt;&gt;1,"",SUMPRODUCT(($E$4:$E26="fijo")*($D$4:$D26&lt;&gt;"")/COUNTIFS($E$4:$E26,$E$4:$E26&amp;"",$D$4:$D26,$D$4:$D26&amp;""))+SUMPRODUCT(($E$4:$E15="variable")*($D$4:$D15&lt;&gt;"")/COUNTIFS($E$4:$E15,$E$4:$E15&amp;"",$D$4:$D15,$D$4:$D15&amp;""))),"")))</f>
        <v/>
      </c>
      <c r="I15" s="2">
        <f>IF($A15="","",IF(COUNTIF($A$4:$A15,$A15)&lt;&gt;1,"",SUMPRODUCT(($A$4:$A15&lt;&gt;"")/COUNTIF($A$4:$A15,$A$4:$A15&amp;""))))</f>
        <v/>
      </c>
    </row>
    <row r="16">
      <c r="H16" s="2">
        <f>IF($D16="","",IF($E16="fijo",IF(COUNTIFS($E$4:$E16,"fijo",$D$4:$D16,$D16)&lt;&gt;1,"",SUMPRODUCT(($E$4:$E16="fijo")*($D$4:$D16&lt;&gt;"")/COUNTIFS($E$4:$E16,$E$4:$E16&amp;"",$D$4:$D16,$D$4:$D16&amp;""))),IF($E16="variable",IF(COUNTIFS($E$4:$E16,"variable",$D$4:$D16,$D16)&lt;&gt;1,"",SUMPRODUCT(($E$4:$E26="fijo")*($D$4:$D26&lt;&gt;"")/COUNTIFS($E$4:$E26,$E$4:$E26&amp;"",$D$4:$D26,$D$4:$D26&amp;""))+SUMPRODUCT(($E$4:$E16="variable")*($D$4:$D16&lt;&gt;"")/COUNTIFS($E$4:$E16,$E$4:$E16&amp;"",$D$4:$D16,$D$4:$D16&amp;""))),"")))</f>
        <v/>
      </c>
      <c r="I16" s="2">
        <f>IF($A16="","",IF(COUNTIF($A$4:$A16,$A16)&lt;&gt;1,"",SUMPRODUCT(($A$4:$A16&lt;&gt;"")/COUNTIF($A$4:$A16,$A$4:$A16&amp;""))))</f>
        <v/>
      </c>
    </row>
    <row r="17">
      <c r="H17" s="2">
        <f>IF($D17="","",IF($E17="fijo",IF(COUNTIFS($E$4:$E17,"fijo",$D$4:$D17,$D17)&lt;&gt;1,"",SUMPRODUCT(($E$4:$E17="fijo")*($D$4:$D17&lt;&gt;"")/COUNTIFS($E$4:$E17,$E$4:$E17&amp;"",$D$4:$D17,$D$4:$D17&amp;""))),IF($E17="variable",IF(COUNTIFS($E$4:$E17,"variable",$D$4:$D17,$D17)&lt;&gt;1,"",SUMPRODUCT(($E$4:$E26="fijo")*($D$4:$D26&lt;&gt;"")/COUNTIFS($E$4:$E26,$E$4:$E26&amp;"",$D$4:$D26,$D$4:$D26&amp;""))+SUMPRODUCT(($E$4:$E17="variable")*($D$4:$D17&lt;&gt;"")/COUNTIFS($E$4:$E17,$E$4:$E17&amp;"",$D$4:$D17,$D$4:$D17&amp;""))),"")))</f>
        <v/>
      </c>
      <c r="I17" s="2">
        <f>IF($A17="","",IF(COUNTIF($A$4:$A17,$A17)&lt;&gt;1,"",SUMPRODUCT(($A$4:$A17&lt;&gt;"")/COUNTIF($A$4:$A17,$A$4:$A17&amp;""))))</f>
        <v/>
      </c>
    </row>
    <row r="18">
      <c r="H18" s="2">
        <f>IF($D18="","",IF($E18="fijo",IF(COUNTIFS($E$4:$E18,"fijo",$D$4:$D18,$D18)&lt;&gt;1,"",SUMPRODUCT(($E$4:$E18="fijo")*($D$4:$D18&lt;&gt;"")/COUNTIFS($E$4:$E18,$E$4:$E18&amp;"",$D$4:$D18,$D$4:$D18&amp;""))),IF($E18="variable",IF(COUNTIFS($E$4:$E18,"variable",$D$4:$D18,$D18)&lt;&gt;1,"",SUMPRODUCT(($E$4:$E26="fijo")*($D$4:$D26&lt;&gt;"")/COUNTIFS($E$4:$E26,$E$4:$E26&amp;"",$D$4:$D26,$D$4:$D26&amp;""))+SUMPRODUCT(($E$4:$E18="variable")*($D$4:$D18&lt;&gt;"")/COUNTIFS($E$4:$E18,$E$4:$E18&amp;"",$D$4:$D18,$D$4:$D18&amp;""))),"")))</f>
        <v/>
      </c>
      <c r="I18" s="2">
        <f>IF($A18="","",IF(COUNTIF($A$4:$A18,$A18)&lt;&gt;1,"",SUMPRODUCT(($A$4:$A18&lt;&gt;"")/COUNTIF($A$4:$A18,$A$4:$A18&amp;""))))</f>
        <v/>
      </c>
    </row>
    <row r="19">
      <c r="H19" s="2">
        <f>IF($D19="","",IF($E19="fijo",IF(COUNTIFS($E$4:$E19,"fijo",$D$4:$D19,$D19)&lt;&gt;1,"",SUMPRODUCT(($E$4:$E19="fijo")*($D$4:$D19&lt;&gt;"")/COUNTIFS($E$4:$E19,$E$4:$E19&amp;"",$D$4:$D19,$D$4:$D19&amp;""))),IF($E19="variable",IF(COUNTIFS($E$4:$E19,"variable",$D$4:$D19,$D19)&lt;&gt;1,"",SUMPRODUCT(($E$4:$E26="fijo")*($D$4:$D26&lt;&gt;"")/COUNTIFS($E$4:$E26,$E$4:$E26&amp;"",$D$4:$D26,$D$4:$D26&amp;""))+SUMPRODUCT(($E$4:$E19="variable")*($D$4:$D19&lt;&gt;"")/COUNTIFS($E$4:$E19,$E$4:$E19&amp;"",$D$4:$D19,$D$4:$D19&amp;""))),"")))</f>
        <v/>
      </c>
      <c r="I19" s="2">
        <f>IF($A19="","",IF(COUNTIF($A$4:$A19,$A19)&lt;&gt;1,"",SUMPRODUCT(($A$4:$A19&lt;&gt;"")/COUNTIF($A$4:$A19,$A$4:$A19&amp;""))))</f>
        <v/>
      </c>
    </row>
    <row r="20">
      <c r="H20" s="2">
        <f>IF($D20="","",IF($E20="fijo",IF(COUNTIFS($E$4:$E20,"fijo",$D$4:$D20,$D20)&lt;&gt;1,"",SUMPRODUCT(($E$4:$E20="fijo")*($D$4:$D20&lt;&gt;"")/COUNTIFS($E$4:$E20,$E$4:$E20&amp;"",$D$4:$D20,$D$4:$D20&amp;""))),IF($E20="variable",IF(COUNTIFS($E$4:$E20,"variable",$D$4:$D20,$D20)&lt;&gt;1,"",SUMPRODUCT(($E$4:$E26="fijo")*($D$4:$D26&lt;&gt;"")/COUNTIFS($E$4:$E26,$E$4:$E26&amp;"",$D$4:$D26,$D$4:$D26&amp;""))+SUMPRODUCT(($E$4:$E20="variable")*($D$4:$D20&lt;&gt;"")/COUNTIFS($E$4:$E20,$E$4:$E20&amp;"",$D$4:$D20,$D$4:$D20&amp;""))),"")))</f>
        <v/>
      </c>
      <c r="I20" s="2">
        <f>IF($A20="","",IF(COUNTIF($A$4:$A20,$A20)&lt;&gt;1,"",SUMPRODUCT(($A$4:$A20&lt;&gt;"")/COUNTIF($A$4:$A20,$A$4:$A20&amp;""))))</f>
        <v/>
      </c>
    </row>
    <row r="21">
      <c r="H21" s="2">
        <f>IF($D21="","",IF($E21="fijo",IF(COUNTIFS($E$4:$E21,"fijo",$D$4:$D21,$D21)&lt;&gt;1,"",SUMPRODUCT(($E$4:$E21="fijo")*($D$4:$D21&lt;&gt;"")/COUNTIFS($E$4:$E21,$E$4:$E21&amp;"",$D$4:$D21,$D$4:$D21&amp;""))),IF($E21="variable",IF(COUNTIFS($E$4:$E21,"variable",$D$4:$D21,$D21)&lt;&gt;1,"",SUMPRODUCT(($E$4:$E26="fijo")*($D$4:$D26&lt;&gt;"")/COUNTIFS($E$4:$E26,$E$4:$E26&amp;"",$D$4:$D26,$D$4:$D26&amp;""))+SUMPRODUCT(($E$4:$E21="variable")*($D$4:$D21&lt;&gt;"")/COUNTIFS($E$4:$E21,$E$4:$E21&amp;"",$D$4:$D21,$D$4:$D21&amp;""))),"")))</f>
        <v/>
      </c>
      <c r="I21" s="2">
        <f>IF($A21="","",IF(COUNTIF($A$4:$A21,$A21)&lt;&gt;1,"",SUMPRODUCT(($A$4:$A21&lt;&gt;"")/COUNTIF($A$4:$A21,$A$4:$A21&amp;""))))</f>
        <v/>
      </c>
    </row>
    <row r="22">
      <c r="H22" s="2">
        <f>IF($D22="","",IF($E22="fijo",IF(COUNTIFS($E$4:$E22,"fijo",$D$4:$D22,$D22)&lt;&gt;1,"",SUMPRODUCT(($E$4:$E22="fijo")*($D$4:$D22&lt;&gt;"")/COUNTIFS($E$4:$E22,$E$4:$E22&amp;"",$D$4:$D22,$D$4:$D22&amp;""))),IF($E22="variable",IF(COUNTIFS($E$4:$E22,"variable",$D$4:$D22,$D22)&lt;&gt;1,"",SUMPRODUCT(($E$4:$E26="fijo")*($D$4:$D26&lt;&gt;"")/COUNTIFS($E$4:$E26,$E$4:$E26&amp;"",$D$4:$D26,$D$4:$D26&amp;""))+SUMPRODUCT(($E$4:$E22="variable")*($D$4:$D22&lt;&gt;"")/COUNTIFS($E$4:$E22,$E$4:$E22&amp;"",$D$4:$D22,$D$4:$D22&amp;""))),"")))</f>
        <v/>
      </c>
      <c r="I22" s="2">
        <f>IF($A22="","",IF(COUNTIF($A$4:$A22,$A22)&lt;&gt;1,"",SUMPRODUCT(($A$4:$A22&lt;&gt;"")/COUNTIF($A$4:$A22,$A$4:$A22&amp;""))))</f>
        <v/>
      </c>
    </row>
    <row r="23">
      <c r="H23" s="2">
        <f>IF($D23="","",IF($E23="fijo",IF(COUNTIFS($E$4:$E23,"fijo",$D$4:$D23,$D23)&lt;&gt;1,"",SUMPRODUCT(($E$4:$E23="fijo")*($D$4:$D23&lt;&gt;"")/COUNTIFS($E$4:$E23,$E$4:$E23&amp;"",$D$4:$D23,$D$4:$D23&amp;""))),IF($E23="variable",IF(COUNTIFS($E$4:$E23,"variable",$D$4:$D23,$D23)&lt;&gt;1,"",SUMPRODUCT(($E$4:$E26="fijo")*($D$4:$D26&lt;&gt;"")/COUNTIFS($E$4:$E26,$E$4:$E26&amp;"",$D$4:$D26,$D$4:$D26&amp;""))+SUMPRODUCT(($E$4:$E23="variable")*($D$4:$D23&lt;&gt;"")/COUNTIFS($E$4:$E23,$E$4:$E23&amp;"",$D$4:$D23,$D$4:$D23&amp;""))),"")))</f>
        <v/>
      </c>
      <c r="I23" s="2">
        <f>IF($A23="","",IF(COUNTIF($A$4:$A23,$A23)&lt;&gt;1,"",SUMPRODUCT(($A$4:$A23&lt;&gt;"")/COUNTIF($A$4:$A23,$A$4:$A23&amp;""))))</f>
        <v/>
      </c>
    </row>
    <row r="24">
      <c r="H24" s="2">
        <f>IF($D24="","",IF($E24="fijo",IF(COUNTIFS($E$4:$E24,"fijo",$D$4:$D24,$D24)&lt;&gt;1,"",SUMPRODUCT(($E$4:$E24="fijo")*($D$4:$D24&lt;&gt;"")/COUNTIFS($E$4:$E24,$E$4:$E24&amp;"",$D$4:$D24,$D$4:$D24&amp;""))),IF($E24="variable",IF(COUNTIFS($E$4:$E24,"variable",$D$4:$D24,$D24)&lt;&gt;1,"",SUMPRODUCT(($E$4:$E26="fijo")*($D$4:$D26&lt;&gt;"")/COUNTIFS($E$4:$E26,$E$4:$E26&amp;"",$D$4:$D26,$D$4:$D26&amp;""))+SUMPRODUCT(($E$4:$E24="variable")*($D$4:$D24&lt;&gt;"")/COUNTIFS($E$4:$E24,$E$4:$E24&amp;"",$D$4:$D24,$D$4:$D24&amp;""))),"")))</f>
        <v/>
      </c>
      <c r="I24" s="2">
        <f>IF($A24="","",IF(COUNTIF($A$4:$A24,$A24)&lt;&gt;1,"",SUMPRODUCT(($A$4:$A24&lt;&gt;"")/COUNTIF($A$4:$A24,$A$4:$A24&amp;""))))</f>
        <v/>
      </c>
    </row>
    <row r="25">
      <c r="H25" s="2">
        <f>IF($D25="","",IF($E25="fijo",IF(COUNTIFS($E$4:$E25,"fijo",$D$4:$D25,$D25)&lt;&gt;1,"",SUMPRODUCT(($E$4:$E25="fijo")*($D$4:$D25&lt;&gt;"")/COUNTIFS($E$4:$E25,$E$4:$E25&amp;"",$D$4:$D25,$D$4:$D25&amp;""))),IF($E25="variable",IF(COUNTIFS($E$4:$E25,"variable",$D$4:$D25,$D25)&lt;&gt;1,"",SUMPRODUCT(($E$4:$E26="fijo")*($D$4:$D26&lt;&gt;"")/COUNTIFS($E$4:$E26,$E$4:$E26&amp;"",$D$4:$D26,$D$4:$D26&amp;""))+SUMPRODUCT(($E$4:$E25="variable")*($D$4:$D25&lt;&gt;"")/COUNTIFS($E$4:$E25,$E$4:$E25&amp;"",$D$4:$D25,$D$4:$D25&amp;""))),"")))</f>
        <v/>
      </c>
      <c r="I25" s="2">
        <f>IF($A25="","",IF(COUNTIF($A$4:$A25,$A25)&lt;&gt;1,"",SUMPRODUCT(($A$4:$A25&lt;&gt;"")/COUNTIF($A$4:$A25,$A$4:$A25&amp;""))))</f>
        <v/>
      </c>
    </row>
    <row r="26">
      <c r="H26" s="2">
        <f>IF($D26="","",IF($E26="fijo",IF(COUNTIFS($E$4:$E26,"fijo",$D$4:$D26,$D26)&lt;&gt;1,"",SUMPRODUCT(($E$4:$E26="fijo")*($D$4:$D26&lt;&gt;"")/COUNTIFS($E$4:$E26,$E$4:$E26&amp;"",$D$4:$D26,$D$4:$D26&amp;""))),IF($E26="variable",IF(COUNTIFS($E$4:$E26,"variable",$D$4:$D26,$D26)&lt;&gt;1,"",SUMPRODUCT(($E$4:$E26="fijo")*($D$4:$D26&lt;&gt;"")/COUNTIFS($E$4:$E26,$E$4:$E26&amp;"",$D$4:$D26,$D$4:$D26&amp;""))+SUMPRODUCT(($E$4:$E26="variable")*($D$4:$D26&lt;&gt;"")/COUNTIFS($E$4:$E26,$E$4:$E26&amp;"",$D$4:$D26,$D$4:$D26&amp;""))),"")))</f>
        <v/>
      </c>
      <c r="I26" s="2">
        <f>IF($A26="","",IF(COUNTIF($A$4:$A26,$A26)&lt;&gt;1,"",SUMPRODUCT(($A$4:$A26&lt;&gt;"")/COUNTIF($A$4:$A26,$A$4:$A26&amp;""))))</f>
        <v/>
      </c>
    </row>
  </sheetData>
  <dataValidations count="3">
    <dataValidation sqref="C4:C26" showDropDown="0" showInputMessage="0" showErrorMessage="0" allowBlank="0" type="list">
      <formula1>"correctivo,preventivo,predictivo,legal"</formula1>
    </dataValidation>
    <dataValidation sqref="E4:E26" showDropDown="0" showInputMessage="0" showErrorMessage="0" allowBlank="1" type="list">
      <formula1>"fijo,variable"</formula1>
    </dataValidation>
    <dataValidation sqref="F4:F26" showDropDown="0" showInputMessage="0" showErrorMessage="0" allowBlank="1" type="list">
      <formula1>"calibracion,lubricacion"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80808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hidden="1" width="13" customWidth="1" min="6" max="6"/>
  </cols>
  <sheetData>
    <row r="1">
      <c r="A1" s="3" t="inlineStr">
        <is>
          <t>Traducción de tipos de OT del ERP → preventiva/correctiva (REGLA-1) y → clase de mantenimiento (mix del DASHBOARD). Un tipo sin clase cae en SIN CLASIFICAR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clasificacion</t>
        </is>
      </c>
      <c r="D3" s="14" t="inlineStr">
        <is>
          <t>clase_mantenimiento</t>
        </is>
      </c>
      <c r="F3" s="2" t="inlineStr">
        <is>
          <t>orden de tipos de OT — no editar</t>
        </is>
      </c>
    </row>
    <row r="4">
      <c r="A4" s="4" t="inlineStr">
        <is>
          <t>TIPO-P1</t>
        </is>
      </c>
      <c r="B4" s="4" t="inlineStr">
        <is>
          <t>Orden preventiva programada</t>
        </is>
      </c>
      <c r="C4" s="4" t="inlineStr">
        <is>
          <t>preventiva</t>
        </is>
      </c>
      <c r="D4" s="4" t="inlineStr">
        <is>
          <t>preventivo</t>
        </is>
      </c>
      <c r="F4" s="2">
        <f>IF($A4="","",IF(COUNTIF($A$4:$A4,$A4)&lt;&gt;1,"",SUMPRODUCT(($A$4:$A4&lt;&gt;"")/COUNTIF($A$4:$A4,$A$4:$A4&amp;""))))</f>
        <v/>
      </c>
    </row>
    <row r="5">
      <c r="A5" s="4" t="inlineStr">
        <is>
          <t>TIPO-P2</t>
        </is>
      </c>
      <c r="B5" s="4" t="inlineStr">
        <is>
          <t>Orden predictiva (análisis de condición)</t>
        </is>
      </c>
      <c r="C5" s="4" t="inlineStr">
        <is>
          <t>preventiva</t>
        </is>
      </c>
      <c r="D5" s="4" t="inlineStr">
        <is>
          <t>predictivo</t>
        </is>
      </c>
      <c r="F5" s="2">
        <f>IF($A5="","",IF(COUNTIF($A$4:$A5,$A5)&lt;&gt;1,"",SUMPRODUCT(($A$4:$A5&lt;&gt;"")/COUNTIF($A$4:$A5,$A$4:$A5&amp;""))))</f>
        <v/>
      </c>
    </row>
    <row r="6">
      <c r="A6" s="4" t="inlineStr">
        <is>
          <t>TIPO-P3</t>
        </is>
      </c>
      <c r="B6" s="4" t="inlineStr">
        <is>
          <t>Orden de calibración / verificación legal</t>
        </is>
      </c>
      <c r="C6" s="4" t="inlineStr">
        <is>
          <t>preventiva</t>
        </is>
      </c>
      <c r="D6" s="4" t="inlineStr">
        <is>
          <t>preventivo</t>
        </is>
      </c>
      <c r="F6" s="2">
        <f>IF($A6="","",IF(COUNTIF($A$4:$A6,$A6)&lt;&gt;1,"",SUMPRODUCT(($A$4:$A6&lt;&gt;"")/COUNTIF($A$4:$A6,$A$4:$A6&amp;""))))</f>
        <v/>
      </c>
    </row>
    <row r="7">
      <c r="A7" s="4" t="inlineStr">
        <is>
          <t>TIPO-C1</t>
        </is>
      </c>
      <c r="B7" s="4" t="inlineStr">
        <is>
          <t>Orden correctiva planificada</t>
        </is>
      </c>
      <c r="C7" s="4" t="inlineStr">
        <is>
          <t>correctiva</t>
        </is>
      </c>
      <c r="D7" s="4" t="inlineStr">
        <is>
          <t>correctivo_programado</t>
        </is>
      </c>
      <c r="F7" s="2">
        <f>IF($A7="","",IF(COUNTIF($A$4:$A7,$A7)&lt;&gt;1,"",SUMPRODUCT(($A$4:$A7&lt;&gt;"")/COUNTIF($A$4:$A7,$A$4:$A7&amp;""))))</f>
        <v/>
      </c>
    </row>
    <row r="8">
      <c r="A8" s="4" t="inlineStr">
        <is>
          <t>TIPO-C2</t>
        </is>
      </c>
      <c r="B8" s="4" t="inlineStr">
        <is>
          <t>Orden correctiva de emergencia</t>
        </is>
      </c>
      <c r="C8" s="4" t="inlineStr">
        <is>
          <t>correctiva</t>
        </is>
      </c>
      <c r="D8" s="4" t="inlineStr">
        <is>
          <t>emergencia</t>
        </is>
      </c>
      <c r="F8" s="2">
        <f>IF($A8="","",IF(COUNTIF($A$4:$A8,$A8)&lt;&gt;1,"",SUMPRODUCT(($A$4:$A8&lt;&gt;"")/COUNTIF($A$4:$A8,$A$4:$A8&amp;""))))</f>
        <v/>
      </c>
    </row>
    <row r="9">
      <c r="F9" s="2">
        <f>IF($A9="","",IF(COUNTIF($A$4:$A9,$A9)&lt;&gt;1,"",SUMPRODUCT(($A$4:$A9&lt;&gt;"")/COUNTIF($A$4:$A9,$A$4:$A9&amp;""))))</f>
        <v/>
      </c>
    </row>
    <row r="10">
      <c r="F10" s="2">
        <f>IF($A10="","",IF(COUNTIF($A$4:$A10,$A10)&lt;&gt;1,"",SUMPRODUCT(($A$4:$A10&lt;&gt;"")/COUNTIF($A$4:$A10,$A$4:$A10&amp;""))))</f>
        <v/>
      </c>
    </row>
    <row r="11">
      <c r="F11" s="2">
        <f>IF($A11="","",IF(COUNTIF($A$4:$A11,$A11)&lt;&gt;1,"",SUMPRODUCT(($A$4:$A11&lt;&gt;"")/COUNTIF($A$4:$A11,$A$4:$A11&amp;""))))</f>
        <v/>
      </c>
    </row>
    <row r="12">
      <c r="F12" s="2">
        <f>IF($A12="","",IF(COUNTIF($A$4:$A12,$A12)&lt;&gt;1,"",SUMPRODUCT(($A$4:$A12&lt;&gt;"")/COUNTIF($A$4:$A12,$A$4:$A12&amp;""))))</f>
        <v/>
      </c>
    </row>
    <row r="13">
      <c r="F13" s="2">
        <f>IF($A13="","",IF(COUNTIF($A$4:$A13,$A13)&lt;&gt;1,"",SUMPRODUCT(($A$4:$A13&lt;&gt;"")/COUNTIF($A$4:$A13,$A$4:$A13&amp;""))))</f>
        <v/>
      </c>
    </row>
    <row r="14">
      <c r="F14" s="2">
        <f>IF($A14="","",IF(COUNTIF($A$4:$A14,$A14)&lt;&gt;1,"",SUMPRODUCT(($A$4:$A14&lt;&gt;"")/COUNTIF($A$4:$A14,$A$4:$A14&amp;""))))</f>
        <v/>
      </c>
    </row>
    <row r="15">
      <c r="F15" s="2">
        <f>IF($A15="","",IF(COUNTIF($A$4:$A15,$A15)&lt;&gt;1,"",SUMPRODUCT(($A$4:$A15&lt;&gt;"")/COUNTIF($A$4:$A15,$A$4:$A15&amp;""))))</f>
        <v/>
      </c>
    </row>
    <row r="16">
      <c r="F16" s="2">
        <f>IF($A16="","",IF(COUNTIF($A$4:$A16,$A16)&lt;&gt;1,"",SUMPRODUCT(($A$4:$A16&lt;&gt;"")/COUNTIF($A$4:$A16,$A$4:$A16&amp;""))))</f>
        <v/>
      </c>
    </row>
    <row r="17">
      <c r="F17" s="2">
        <f>IF($A17="","",IF(COUNTIF($A$4:$A17,$A17)&lt;&gt;1,"",SUMPRODUCT(($A$4:$A17&lt;&gt;"")/COUNTIF($A$4:$A17,$A$4:$A17&amp;""))))</f>
        <v/>
      </c>
    </row>
    <row r="18">
      <c r="F18" s="2">
        <f>IF($A18="","",IF(COUNTIF($A$4:$A18,$A18)&lt;&gt;1,"",SUMPRODUCT(($A$4:$A18&lt;&gt;"")/COUNTIF($A$4:$A18,$A$4:$A18&amp;""))))</f>
        <v/>
      </c>
    </row>
    <row r="19">
      <c r="F19" s="2">
        <f>IF($A19="","",IF(COUNTIF($A$4:$A19,$A19)&lt;&gt;1,"",SUMPRODUCT(($A$4:$A19&lt;&gt;"")/COUNTIF($A$4:$A19,$A$4:$A19&amp;""))))</f>
        <v/>
      </c>
    </row>
    <row r="20">
      <c r="F20" s="2">
        <f>IF($A20="","",IF(COUNTIF($A$4:$A20,$A20)&lt;&gt;1,"",SUMPRODUCT(($A$4:$A20&lt;&gt;"")/COUNTIF($A$4:$A20,$A$4:$A20&amp;""))))</f>
        <v/>
      </c>
    </row>
    <row r="21">
      <c r="F21" s="2">
        <f>IF($A21="","",IF(COUNTIF($A$4:$A21,$A21)&lt;&gt;1,"",SUMPRODUCT(($A$4:$A21&lt;&gt;"")/COUNTIF($A$4:$A21,$A$4:$A21&amp;""))))</f>
        <v/>
      </c>
    </row>
    <row r="22">
      <c r="F22" s="2">
        <f>IF($A22="","",IF(COUNTIF($A$4:$A22,$A22)&lt;&gt;1,"",SUMPRODUCT(($A$4:$A22&lt;&gt;"")/COUNTIF($A$4:$A22,$A$4:$A22&amp;""))))</f>
        <v/>
      </c>
    </row>
    <row r="23">
      <c r="F23" s="2">
        <f>IF($A23="","",IF(COUNTIF($A$4:$A23,$A23)&lt;&gt;1,"",SUMPRODUCT(($A$4:$A23&lt;&gt;"")/COUNTIF($A$4:$A23,$A$4:$A23&amp;""))))</f>
        <v/>
      </c>
    </row>
  </sheetData>
  <dataValidations count="2">
    <dataValidation sqref="C4:C23" showDropDown="0" showInputMessage="0" showErrorMessage="0" allowBlank="0" type="list">
      <formula1>"preventiva,correctiva"</formula1>
    </dataValidation>
    <dataValidation sqref="D4:D23" showDropDown="0" showInputMessage="0" showErrorMessage="0" allowBlank="0" type="list">
      <formula1>"predictivo,preventivo,correctivo_programado,emergencia"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Traducción de estados del ERP → Cerrada/Pendiente — editable</t>
        </is>
      </c>
    </row>
    <row r="3">
      <c r="A3" s="14" t="inlineStr">
        <is>
          <t>estado_sistema</t>
        </is>
      </c>
      <c r="B3" s="14" t="inlineStr">
        <is>
          <t>estado_normalizado</t>
        </is>
      </c>
    </row>
    <row r="4">
      <c r="A4" s="4" t="inlineStr">
        <is>
          <t>CERR</t>
        </is>
      </c>
      <c r="B4" s="4" t="inlineStr">
        <is>
          <t>Cerrada</t>
        </is>
      </c>
    </row>
    <row r="5">
      <c r="A5" s="4" t="inlineStr">
        <is>
          <t>LIB</t>
        </is>
      </c>
      <c r="B5" s="4" t="inlineStr">
        <is>
          <t>Pendiente</t>
        </is>
      </c>
    </row>
    <row r="6">
      <c r="A6" s="4" t="inlineStr">
        <is>
          <t>EJEC</t>
        </is>
      </c>
      <c r="B6" s="4" t="inlineStr">
        <is>
          <t>Pendiente</t>
        </is>
      </c>
    </row>
    <row r="7">
      <c r="A7" s="4" t="inlineStr">
        <is>
          <t>ABIE</t>
        </is>
      </c>
      <c r="B7" s="4" t="inlineStr">
        <is>
          <t>Pendiente</t>
        </is>
      </c>
    </row>
  </sheetData>
  <dataValidations count="1">
    <dataValidation sqref="B4:B22" showDropDown="0" showInputMessage="0" showErrorMessage="0" allowBlank="0" type="list">
      <formula1>"Cerrada,Pendiente"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808080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7" max="7"/>
    <col hidden="1" width="13" customWidth="1" min="9" max="9"/>
  </cols>
  <sheetData>
    <row r="1">
      <c r="A1" s="3" t="inlineStr">
        <is>
          <t>Turnos con su franja horaria (metadato; la capacidad no se deriva de ella) — editable</t>
        </is>
      </c>
      <c r="G1" s="2" t="inlineStr">
        <is>
          <t>lista de validación (turnos + no disponible) — no editar</t>
        </is>
      </c>
    </row>
    <row r="3">
      <c r="A3" s="14" t="inlineStr">
        <is>
          <t>turno</t>
        </is>
      </c>
      <c r="B3" s="14" t="inlineStr">
        <is>
          <t>nombre</t>
        </is>
      </c>
      <c r="C3" s="14" t="inlineStr">
        <is>
          <t>hora_inicio</t>
        </is>
      </c>
      <c r="D3" s="14" t="inlineStr">
        <is>
          <t>hora_fin</t>
        </is>
      </c>
      <c r="E3" s="14" t="inlineStr">
        <is>
          <t>tipo</t>
        </is>
      </c>
      <c r="I3" s="2" t="inlineStr">
        <is>
          <t>orden de filtro turno — no editar</t>
        </is>
      </c>
    </row>
    <row r="4">
      <c r="A4" s="4" t="inlineStr">
        <is>
          <t>B</t>
        </is>
      </c>
      <c r="B4" s="4" t="inlineStr">
        <is>
          <t>Banco</t>
        </is>
      </c>
      <c r="C4" s="4" t="inlineStr">
        <is>
          <t>07:00</t>
        </is>
      </c>
      <c r="D4" s="4" t="inlineStr">
        <is>
          <t>16:00</t>
        </is>
      </c>
      <c r="E4" s="4" t="inlineStr">
        <is>
          <t>banco</t>
        </is>
      </c>
      <c r="G4" s="5">
        <f>A4</f>
        <v/>
      </c>
      <c r="I4" s="2">
        <f>IF($A4="","",IF(COUNTIF($A$4:$A4,$A4)&lt;&gt;1,"",SUMPRODUCT(($A$4:$A4&lt;&gt;"")/COUNTIF($A$4:$A4,$A$4:$A4&amp;""))))</f>
        <v/>
      </c>
    </row>
    <row r="5">
      <c r="A5" s="4" t="inlineStr">
        <is>
          <t>T1</t>
        </is>
      </c>
      <c r="B5" s="4" t="inlineStr">
        <is>
          <t>Turno 1</t>
        </is>
      </c>
      <c r="C5" s="4" t="inlineStr">
        <is>
          <t>06:00</t>
        </is>
      </c>
      <c r="D5" s="4" t="inlineStr">
        <is>
          <t>15:00</t>
        </is>
      </c>
      <c r="E5" s="4" t="inlineStr">
        <is>
          <t>rotativo</t>
        </is>
      </c>
      <c r="G5" s="5">
        <f>A5</f>
        <v/>
      </c>
      <c r="I5" s="2">
        <f>IF($A5="","",IF(COUNTIF($A$4:$A5,$A5)&lt;&gt;1,"",SUMPRODUCT(($A$4:$A5&lt;&gt;"")/COUNTIF($A$4:$A5,$A$4:$A5&amp;""))))</f>
        <v/>
      </c>
    </row>
    <row r="6">
      <c r="A6" s="4" t="inlineStr">
        <is>
          <t>T2</t>
        </is>
      </c>
      <c r="B6" s="4" t="inlineStr">
        <is>
          <t>Turno 2</t>
        </is>
      </c>
      <c r="C6" s="4" t="inlineStr">
        <is>
          <t>15:00</t>
        </is>
      </c>
      <c r="D6" s="4" t="inlineStr">
        <is>
          <t>22:00</t>
        </is>
      </c>
      <c r="E6" s="4" t="inlineStr">
        <is>
          <t>rotativo</t>
        </is>
      </c>
      <c r="G6" s="5">
        <f>A6</f>
        <v/>
      </c>
      <c r="I6" s="2">
        <f>IF($A6="","",IF(COUNTIF($A$4:$A6,$A6)&lt;&gt;1,"",SUMPRODUCT(($A$4:$A6&lt;&gt;"")/COUNTIF($A$4:$A6,$A$4:$A6&amp;""))))</f>
        <v/>
      </c>
    </row>
    <row r="7">
      <c r="A7" s="4" t="inlineStr">
        <is>
          <t>T3</t>
        </is>
      </c>
      <c r="B7" s="4" t="inlineStr">
        <is>
          <t>Turno 3</t>
        </is>
      </c>
      <c r="C7" s="4" t="inlineStr">
        <is>
          <t>22:00</t>
        </is>
      </c>
      <c r="D7" s="4" t="inlineStr">
        <is>
          <t>06:00</t>
        </is>
      </c>
      <c r="E7" s="4" t="inlineStr">
        <is>
          <t>rotativo</t>
        </is>
      </c>
      <c r="G7" s="5">
        <f>A7</f>
        <v/>
      </c>
      <c r="I7" s="2">
        <f>IF($A7="","",IF(COUNTIF($A$4:$A7,$A7)&lt;&gt;1,"",SUMPRODUCT(($A$4:$A7&lt;&gt;"")/COUNTIF($A$4:$A7,$A$4:$A7&amp;""))))</f>
        <v/>
      </c>
    </row>
    <row r="8">
      <c r="G8" s="5">
        <f>PARAMETROS!$G$5</f>
        <v/>
      </c>
      <c r="I8" s="2">
        <f>IF($A8="","",IF(COUNTIF($A$4:$A8,$A8)&lt;&gt;1,"",SUMPRODUCT(($A$4:$A8&lt;&gt;"")/COUNTIF($A$4:$A8,$A$4:$A8&amp;""))))</f>
        <v/>
      </c>
    </row>
    <row r="9">
      <c r="G9" s="5">
        <f>PARAMETROS!$G$6</f>
        <v/>
      </c>
      <c r="I9" s="2">
        <f>IF($A9="","",IF(COUNTIF($A$4:$A9,$A9)&lt;&gt;1,"",SUMPRODUCT(($A$4:$A9&lt;&gt;"")/COUNTIF($A$4:$A9,$A$4:$A9&amp;""))))</f>
        <v/>
      </c>
    </row>
    <row r="10">
      <c r="I10" s="2">
        <f>IF($A10="","",IF(COUNTIF($A$4:$A10,$A10)&lt;&gt;1,"",SUMPRODUCT(($A$4:$A10&lt;&gt;"")/COUNTIF($A$4:$A10,$A$4:$A10&amp;""))))</f>
        <v/>
      </c>
    </row>
    <row r="11">
      <c r="I11" s="2">
        <f>IF($A11="","",IF(COUNTIF($A$4:$A11,$A11)&lt;&gt;1,"",SUMPRODUCT(($A$4:$A11&lt;&gt;"")/COUNTIF($A$4:$A11,$A$4:$A11&amp;""))))</f>
        <v/>
      </c>
    </row>
    <row r="12">
      <c r="I12" s="2">
        <f>IF($A12="","",IF(COUNTIF($A$4:$A12,$A12)&lt;&gt;1,"",SUMPRODUCT(($A$4:$A12&lt;&gt;"")/COUNTIF($A$4:$A12,$A$4:$A12&amp;""))))</f>
        <v/>
      </c>
    </row>
    <row r="13">
      <c r="I13" s="2">
        <f>IF($A13="","",IF(COUNTIF($A$4:$A13,$A13)&lt;&gt;1,"",SUMPRODUCT(($A$4:$A13&lt;&gt;"")/COUNTIF($A$4:$A13,$A$4:$A13&amp;""))))</f>
        <v/>
      </c>
    </row>
    <row r="14">
      <c r="I14" s="2">
        <f>IF($A14="","",IF(COUNTIF($A$4:$A14,$A14)&lt;&gt;1,"",SUMPRODUCT(($A$4:$A14&lt;&gt;"")/COUNTIF($A$4:$A14,$A$4:$A14&amp;""))))</f>
        <v/>
      </c>
    </row>
    <row r="15">
      <c r="I15" s="2">
        <f>IF($A15="","",IF(COUNTIF($A$4:$A15,$A15)&lt;&gt;1,"",SUMPRODUCT(($A$4:$A15&lt;&gt;"")/COUNTIF($A$4:$A15,$A$4:$A15&amp;""))))</f>
        <v/>
      </c>
    </row>
    <row r="16">
      <c r="I16" s="2">
        <f>IF($A16="","",IF(COUNTIF($A$4:$A16,$A16)&lt;&gt;1,"",SUMPRODUCT(($A$4:$A16&lt;&gt;"")/COUNTIF($A$4:$A16,$A$4:$A16&amp;""))))</f>
        <v/>
      </c>
    </row>
    <row r="17">
      <c r="I17" s="2">
        <f>IF($A17="","",IF(COUNTIF($A$4:$A17,$A17)&lt;&gt;1,"",SUMPRODUCT(($A$4:$A17&lt;&gt;"")/COUNTIF($A$4:$A17,$A$4:$A17&amp;""))))</f>
        <v/>
      </c>
    </row>
    <row r="18">
      <c r="I18" s="2">
        <f>IF($A18="","",IF(COUNTIF($A$4:$A18,$A18)&lt;&gt;1,"",SUMPRODUCT(($A$4:$A18&lt;&gt;"")/COUNTIF($A$4:$A18,$A$4:$A18&amp;""))))</f>
        <v/>
      </c>
    </row>
    <row r="19">
      <c r="I19" s="2">
        <f>IF($A19="","",IF(COUNTIF($A$4:$A19,$A19)&lt;&gt;1,"",SUMPRODUCT(($A$4:$A19&lt;&gt;"")/COUNTIF($A$4:$A19,$A$4:$A19&amp;""))))</f>
        <v/>
      </c>
    </row>
    <row r="20">
      <c r="I20" s="2">
        <f>IF($A20="","",IF(COUNTIF($A$4:$A20,$A20)&lt;&gt;1,"",SUMPRODUCT(($A$4:$A20&lt;&gt;"")/COUNTIF($A$4:$A20,$A$4:$A20&amp;""))))</f>
        <v/>
      </c>
    </row>
    <row r="21">
      <c r="I21" s="2">
        <f>IF($A21="","",IF(COUNTIF($A$4:$A21,$A21)&lt;&gt;1,"",SUMPRODUCT(($A$4:$A21&lt;&gt;"")/COUNTIF($A$4:$A21,$A$4:$A21&amp;""))))</f>
        <v/>
      </c>
    </row>
    <row r="22">
      <c r="I22" s="2">
        <f>IF($A22="","",IF(COUNTIF($A$4:$A22,$A22)&lt;&gt;1,"",SUMPRODUCT(($A$4:$A22&lt;&gt;"")/COUNTIF($A$4:$A22,$A$4:$A22&amp;""))))</f>
        <v/>
      </c>
    </row>
  </sheetData>
  <dataValidations count="1">
    <dataValidation sqref="E4:E22" showDropDown="0" showInputMessage="0" showErrorMessage="0" allowBlank="0" type="list">
      <formula1>"banco,rotativo"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80808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hidden="1" width="13" customWidth="1" min="5" max="5"/>
  </cols>
  <sheetData>
    <row r="1">
      <c r="A1" s="3" t="inlineStr">
        <is>
          <t>Supervisores por especialidad — TECNICOS.supervisor sale de aquí — editable</t>
        </is>
      </c>
    </row>
    <row r="3">
      <c r="A3" s="14" t="inlineStr">
        <is>
          <t>codigo</t>
        </is>
      </c>
      <c r="B3" s="14" t="inlineStr">
        <is>
          <t>nombre</t>
        </is>
      </c>
      <c r="C3" s="14" t="inlineStr">
        <is>
          <t>especialidad</t>
        </is>
      </c>
      <c r="E3" s="2" t="inlineStr">
        <is>
          <t>orden de supervisores — no editar</t>
        </is>
      </c>
    </row>
    <row r="4">
      <c r="A4" s="4" t="inlineStr">
        <is>
          <t>SUP-MEC</t>
        </is>
      </c>
      <c r="B4" s="4" t="inlineStr">
        <is>
          <t>Supervisor Mecánico</t>
        </is>
      </c>
      <c r="C4" s="4" t="inlineStr">
        <is>
          <t>MEC</t>
        </is>
      </c>
      <c r="E4" s="2">
        <f>IF($B4="","",IF(COUNTIF($B$4:$B4,$B4)&lt;&gt;1,"",SUMPRODUCT(($B$4:$B4&lt;&gt;"")/COUNTIF($B$4:$B4,$B$4:$B4&amp;""))))</f>
        <v/>
      </c>
    </row>
    <row r="5">
      <c r="A5" s="4" t="inlineStr">
        <is>
          <t>SUP-ELE</t>
        </is>
      </c>
      <c r="B5" s="4" t="inlineStr">
        <is>
          <t>Supervisor Eléctrico</t>
        </is>
      </c>
      <c r="C5" s="4" t="inlineStr">
        <is>
          <t>ELE</t>
        </is>
      </c>
      <c r="E5" s="2">
        <f>IF($B5="","",IF(COUNTIF($B$4:$B5,$B5)&lt;&gt;1,"",SUMPRODUCT(($B$4:$B5&lt;&gt;"")/COUNTIF($B$4:$B5,$B$4:$B5&amp;""))))</f>
        <v/>
      </c>
    </row>
    <row r="6">
      <c r="A6" s="4" t="inlineStr">
        <is>
          <t>SUP-AUT</t>
        </is>
      </c>
      <c r="B6" s="4" t="inlineStr">
        <is>
          <t>Jefe de Automatización</t>
        </is>
      </c>
      <c r="C6" s="4" t="inlineStr">
        <is>
          <t>AUT</t>
        </is>
      </c>
      <c r="E6" s="2">
        <f>IF($B6="","",IF(COUNTIF($B$4:$B6,$B6)&lt;&gt;1,"",SUMPRODUCT(($B$4:$B6&lt;&gt;"")/COUNTIF($B$4:$B6,$B$4:$B6&amp;""))))</f>
        <v/>
      </c>
    </row>
    <row r="7">
      <c r="E7" s="2">
        <f>IF($B7="","",IF(COUNTIF($B$4:$B7,$B7)&lt;&gt;1,"",SUMPRODUCT(($B$4:$B7&lt;&gt;"")/COUNTIF($B$4:$B7,$B$4:$B7&amp;""))))</f>
        <v/>
      </c>
    </row>
    <row r="8">
      <c r="E8" s="2">
        <f>IF($B8="","",IF(COUNTIF($B$4:$B8,$B8)&lt;&gt;1,"",SUMPRODUCT(($B$4:$B8&lt;&gt;"")/COUNTIF($B$4:$B8,$B$4:$B8&amp;""))))</f>
        <v/>
      </c>
    </row>
    <row r="9">
      <c r="E9" s="2">
        <f>IF($B9="","",IF(COUNTIF($B$4:$B9,$B9)&lt;&gt;1,"",SUMPRODUCT(($B$4:$B9&lt;&gt;"")/COUNTIF($B$4:$B9,$B$4:$B9&amp;""))))</f>
        <v/>
      </c>
    </row>
    <row r="10">
      <c r="E10" s="2">
        <f>IF($B10="","",IF(COUNTIF($B$4:$B10,$B10)&lt;&gt;1,"",SUMPRODUCT(($B$4:$B10&lt;&gt;"")/COUNTIF($B$4:$B10,$B$4:$B10&amp;""))))</f>
        <v/>
      </c>
    </row>
    <row r="11">
      <c r="E11" s="2">
        <f>IF($B11="","",IF(COUNTIF($B$4:$B11,$B11)&lt;&gt;1,"",SUMPRODUCT(($B$4:$B11&lt;&gt;"")/COUNTIF($B$4:$B11,$B$4:$B11&amp;""))))</f>
        <v/>
      </c>
    </row>
    <row r="12">
      <c r="E12" s="2">
        <f>IF($B12="","",IF(COUNTIF($B$4:$B12,$B12)&lt;&gt;1,"",SUMPRODUCT(($B$4:$B12&lt;&gt;"")/COUNTIF($B$4:$B12,$B$4:$B12&amp;""))))</f>
        <v/>
      </c>
    </row>
    <row r="13">
      <c r="E13" s="2">
        <f>IF($B13="","",IF(COUNTIF($B$4:$B13,$B13)&lt;&gt;1,"",SUMPRODUCT(($B$4:$B13&lt;&gt;"")/COUNTIF($B$4:$B13,$B$4:$B13&amp;""))))</f>
        <v/>
      </c>
    </row>
    <row r="14">
      <c r="E14" s="2">
        <f>IF($B14="","",IF(COUNTIF($B$4:$B14,$B14)&lt;&gt;1,"",SUMPRODUCT(($B$4:$B14&lt;&gt;"")/COUNTIF($B$4:$B14,$B$4:$B14&amp;""))))</f>
        <v/>
      </c>
    </row>
    <row r="15">
      <c r="E15" s="2">
        <f>IF($B15="","",IF(COUNTIF($B$4:$B15,$B15)&lt;&gt;1,"",SUMPRODUCT(($B$4:$B15&lt;&gt;"")/COUNTIF($B$4:$B15,$B$4:$B15&amp;""))))</f>
        <v/>
      </c>
    </row>
    <row r="16">
      <c r="E16" s="2">
        <f>IF($B16="","",IF(COUNTIF($B$4:$B16,$B16)&lt;&gt;1,"",SUMPRODUCT(($B$4:$B16&lt;&gt;"")/COUNTIF($B$4:$B16,$B$4:$B16&amp;""))))</f>
        <v/>
      </c>
    </row>
    <row r="17">
      <c r="E17" s="2">
        <f>IF($B17="","",IF(COUNTIF($B$4:$B17,$B17)&lt;&gt;1,"",SUMPRODUCT(($B$4:$B17&lt;&gt;"")/COUNTIF($B$4:$B17,$B$4:$B17&amp;""))))</f>
        <v/>
      </c>
    </row>
    <row r="18">
      <c r="E18" s="2">
        <f>IF($B18="","",IF(COUNTIF($B$4:$B18,$B18)&lt;&gt;1,"",SUMPRODUCT(($B$4:$B18&lt;&gt;"")/COUNTIF($B$4:$B18,$B$4:$B18&amp;""))))</f>
        <v/>
      </c>
    </row>
    <row r="19">
      <c r="E19" s="2">
        <f>IF($B19="","",IF(COUNTIF($B$4:$B19,$B19)&lt;&gt;1,"",SUMPRODUCT(($B$4:$B19&lt;&gt;"")/COUNTIF($B$4:$B19,$B$4:$B19&amp;""))))</f>
        <v/>
      </c>
    </row>
    <row r="20">
      <c r="E20" s="2">
        <f>IF($B20="","",IF(COUNTIF($B$4:$B20,$B20)&lt;&gt;1,"",SUMPRODUCT(($B$4:$B20&lt;&gt;"")/COUNTIF($B$4:$B20,$B$4:$B20&amp;""))))</f>
        <v/>
      </c>
    </row>
    <row r="21">
      <c r="E21" s="2">
        <f>IF($B21="","",IF(COUNTIF($B$4:$B21,$B21)&lt;&gt;1,"",SUMPRODUCT(($B$4:$B21&lt;&gt;"")/COUNTIF($B$4:$B21,$B$4:$B21&amp;""))))</f>
        <v/>
      </c>
    </row>
  </sheetData>
  <dataValidations count="1">
    <dataValidation sqref="C4:C21" showDropDown="0" showInputMessage="0" showErrorMessage="0" allowBlank="0" type="list">
      <formula1>lista_esp_propias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80808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hidden="1" width="13" customWidth="1" min="3" max="3"/>
  </cols>
  <sheetData>
    <row r="1">
      <c r="A1" s="3" t="inlineStr">
        <is>
          <t>Motivos de ausencia — PLAN_VACACIONES.motivo sale de aquí — editable</t>
        </is>
      </c>
    </row>
    <row r="3">
      <c r="A3" s="14" t="inlineStr">
        <is>
          <t>motivo</t>
        </is>
      </c>
      <c r="C3" s="2" t="inlineStr">
        <is>
          <t>orden de motivos de ausencia — no editar</t>
        </is>
      </c>
    </row>
    <row r="4">
      <c r="A4" s="4" t="inlineStr">
        <is>
          <t>Vacaciones anuales</t>
        </is>
      </c>
      <c r="C4" s="2">
        <f>IF($A4="","",IF(COUNTIF($A$4:$A4,$A4)&lt;&gt;1,"",SUMPRODUCT(($A$4:$A4&lt;&gt;"")/COUNTIF($A$4:$A4,$A$4:$A4&amp;""))))</f>
        <v/>
      </c>
    </row>
    <row r="5">
      <c r="A5" s="4" t="inlineStr">
        <is>
          <t>Día libre pagado</t>
        </is>
      </c>
      <c r="C5" s="2">
        <f>IF($A5="","",IF(COUNTIF($A$4:$A5,$A5)&lt;&gt;1,"",SUMPRODUCT(($A$4:$A5&lt;&gt;"")/COUNTIF($A$4:$A5,$A$4:$A5&amp;""))))</f>
        <v/>
      </c>
    </row>
    <row r="6">
      <c r="A6" s="4" t="inlineStr">
        <is>
          <t>Permiso</t>
        </is>
      </c>
      <c r="C6" s="2">
        <f>IF($A6="","",IF(COUNTIF($A$4:$A6,$A6)&lt;&gt;1,"",SUMPRODUCT(($A$4:$A6&lt;&gt;"")/COUNTIF($A$4:$A6,$A$4:$A6&amp;""))))</f>
        <v/>
      </c>
    </row>
    <row r="7">
      <c r="C7" s="2">
        <f>IF($A7="","",IF(COUNTIF($A$4:$A7,$A7)&lt;&gt;1,"",SUMPRODUCT(($A$4:$A7&lt;&gt;"")/COUNTIF($A$4:$A7,$A$4:$A7&amp;""))))</f>
        <v/>
      </c>
    </row>
    <row r="8">
      <c r="C8" s="2">
        <f>IF($A8="","",IF(COUNTIF($A$4:$A8,$A8)&lt;&gt;1,"",SUMPRODUCT(($A$4:$A8&lt;&gt;"")/COUNTIF($A$4:$A8,$A$4:$A8&amp;""))))</f>
        <v/>
      </c>
    </row>
    <row r="9">
      <c r="C9" s="2">
        <f>IF($A9="","",IF(COUNTIF($A$4:$A9,$A9)&lt;&gt;1,"",SUMPRODUCT(($A$4:$A9&lt;&gt;"")/COUNTIF($A$4:$A9,$A$4:$A9&amp;""))))</f>
        <v/>
      </c>
    </row>
    <row r="10">
      <c r="C10" s="2">
        <f>IF($A10="","",IF(COUNTIF($A$4:$A10,$A10)&lt;&gt;1,"",SUMPRODUCT(($A$4:$A10&lt;&gt;"")/COUNTIF($A$4:$A10,$A$4:$A10&amp;""))))</f>
        <v/>
      </c>
    </row>
    <row r="11">
      <c r="C11" s="2">
        <f>IF($A11="","",IF(COUNTIF($A$4:$A11,$A11)&lt;&gt;1,"",SUMPRODUCT(($A$4:$A11&lt;&gt;"")/COUNTIF($A$4:$A11,$A$4:$A11&amp;""))))</f>
        <v/>
      </c>
    </row>
    <row r="12">
      <c r="C12" s="2">
        <f>IF($A12="","",IF(COUNTIF($A$4:$A12,$A12)&lt;&gt;1,"",SUMPRODUCT(($A$4:$A12&lt;&gt;"")/COUNTIF($A$4:$A12,$A$4:$A12&amp;""))))</f>
        <v/>
      </c>
    </row>
    <row r="13">
      <c r="C13" s="2">
        <f>IF($A13="","",IF(COUNTIF($A$4:$A13,$A13)&lt;&gt;1,"",SUMPRODUCT(($A$4:$A13&lt;&gt;"")/COUNTIF($A$4:$A13,$A$4:$A13&amp;""))))</f>
        <v/>
      </c>
    </row>
    <row r="14">
      <c r="C14" s="2">
        <f>IF($A14="","",IF(COUNTIF($A$4:$A14,$A14)&lt;&gt;1,"",SUMPRODUCT(($A$4:$A14&lt;&gt;"")/COUNTIF($A$4:$A14,$A$4:$A14&amp;""))))</f>
        <v/>
      </c>
    </row>
    <row r="15">
      <c r="C15" s="2">
        <f>IF($A15="","",IF(COUNTIF($A$4:$A15,$A15)&lt;&gt;1,"",SUMPRODUCT(($A$4:$A15&lt;&gt;"")/COUNTIF($A$4:$A15,$A$4:$A15&amp;""))))</f>
        <v/>
      </c>
    </row>
    <row r="16">
      <c r="C16" s="2">
        <f>IF($A16="","",IF(COUNTIF($A$4:$A16,$A16)&lt;&gt;1,"",SUMPRODUCT(($A$4:$A16&lt;&gt;"")/COUNTIF($A$4:$A16,$A$4:$A16&amp;""))))</f>
        <v/>
      </c>
    </row>
    <row r="17">
      <c r="C17" s="2">
        <f>IF($A17="","",IF(COUNTIF($A$4:$A17,$A17)&lt;&gt;1,"",SUMPRODUCT(($A$4:$A17&lt;&gt;"")/COUNTIF($A$4:$A17,$A$4:$A17&amp;""))))</f>
        <v/>
      </c>
    </row>
    <row r="18">
      <c r="C18" s="2">
        <f>IF($A18="","",IF(COUNTIF($A$4:$A18,$A18)&lt;&gt;1,"",SUMPRODUCT(($A$4:$A18&lt;&gt;"")/COUNTIF($A$4:$A18,$A$4:$A18&amp;""))))</f>
        <v/>
      </c>
    </row>
    <row r="19">
      <c r="C19" s="2">
        <f>IF($A19="","",IF(COUNTIF($A$4:$A19,$A19)&lt;&gt;1,"",SUMPRODUCT(($A$4:$A19&lt;&gt;"")/COUNTIF($A$4:$A19,$A$4:$A19&amp;""))))</f>
        <v/>
      </c>
    </row>
    <row r="20">
      <c r="C20" s="2">
        <f>IF($A20="","",IF(COUNTIF($A$4:$A20,$A20)&lt;&gt;1,"",SUMPRODUCT(($A$4:$A20&lt;&gt;"")/COUNTIF($A$4:$A20,$A$4:$A20&amp;""))))</f>
        <v/>
      </c>
    </row>
    <row r="21">
      <c r="C21" s="2">
        <f>IF($A21="","",IF(COUNTIF($A$4:$A21,$A21)&lt;&gt;1,"",SUMPRODUCT(($A$4:$A21&lt;&gt;"")/COUNTIF($A$4:$A21,$A$4:$A21&amp;""))))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</cols>
  <sheetData>
    <row r="1">
      <c r="A1" s="1" t="inlineStr">
        <is>
          <t>⚠ ESTA HOJA NO RECIBE DATOS — es solo una guía de formato.</t>
        </is>
      </c>
    </row>
    <row r="2">
      <c r="A2" s="3" t="inlineStr">
        <is>
          <t>Las órdenes se pegan en  ORDENES!A4  (columnas A:L, en un solo bloque).</t>
        </is>
      </c>
    </row>
    <row r="4">
      <c r="A4" s="2" t="inlineStr">
        <is>
          <t>Ordene la exportación de su ERP con las 12 columnas de abajo, en ESE orden, y péguela</t>
        </is>
      </c>
    </row>
    <row r="5">
      <c r="A5" s="2" t="inlineStr">
        <is>
          <t>EN UN SOLO PASO en ORDENES!A4 (o desde la primera fila libre). Nada más que hacer: las</t>
        </is>
      </c>
    </row>
    <row r="6">
      <c r="A6" s="2" t="inlineStr">
        <is>
          <t>columnas calculadas ya están escritas en las 1.200 filas provisionadas de la tabla.</t>
        </is>
      </c>
    </row>
    <row r="7">
      <c r="A7" s="2" t="inlineStr">
        <is>
          <t>«operacion» es opcional: si su ERP no maneja operaciones, déjela vacía y se asume "0010".</t>
        </is>
      </c>
    </row>
    <row r="8">
      <c r="A8" s="2" t="inlineStr">
        <is>
          <t>Los ajustes de duración NO van aquí: se registran en AJUSTES por id_operacion y se</t>
        </is>
      </c>
    </row>
    <row r="9">
      <c r="A9" s="2" t="inlineStr">
        <is>
          <t>re-aplican solos tras re-importar, aunque cambie el orden de las filas.</t>
        </is>
      </c>
    </row>
    <row r="10">
      <c r="A10" s="2" t="inlineStr">
        <is>
          <t>REGLA-10 (hoja VALIDACION) reporta problemas pero nunca bloquea la importación.</t>
        </is>
      </c>
    </row>
    <row r="12">
      <c r="A12" s="3" t="inlineStr">
        <is>
          <t>Layout esperado (vertical: una fila por columna a pegar)</t>
        </is>
      </c>
    </row>
    <row r="13">
      <c r="A13" s="14" t="inlineStr">
        <is>
          <t>col.</t>
        </is>
      </c>
      <c r="B13" s="14" t="inlineStr">
        <is>
          <t>nombre de la columna</t>
        </is>
      </c>
      <c r="C13" s="14" t="inlineStr">
        <is>
          <t>EJEMPLO (no pegar)</t>
        </is>
      </c>
      <c r="D13" s="14" t="inlineStr">
        <is>
          <t>EJEMPLO (no pegar)</t>
        </is>
      </c>
    </row>
    <row r="14">
      <c r="A14" s="5" t="inlineStr">
        <is>
          <t>A</t>
        </is>
      </c>
      <c r="B14" s="5" t="inlineStr">
        <is>
          <t>orden</t>
        </is>
      </c>
      <c r="C14" s="48" t="inlineStr">
        <is>
          <t>OT-EJEMPLO-001</t>
        </is>
      </c>
      <c r="D14" s="48" t="inlineStr">
        <is>
          <t>OT-EJEMPLO-002</t>
        </is>
      </c>
    </row>
    <row r="15">
      <c r="A15" s="5" t="inlineStr">
        <is>
          <t>B</t>
        </is>
      </c>
      <c r="B15" s="5" t="inlineStr">
        <is>
          <t>operacion</t>
        </is>
      </c>
      <c r="C15" s="48" t="inlineStr">
        <is>
          <t>0010</t>
        </is>
      </c>
      <c r="D15" s="48" t="inlineStr">
        <is>
          <t>0010</t>
        </is>
      </c>
    </row>
    <row r="16">
      <c r="A16" s="5" t="inlineStr">
        <is>
          <t>C</t>
        </is>
      </c>
      <c r="B16" s="5" t="inlineStr">
        <is>
          <t>descripcion_general</t>
        </is>
      </c>
      <c r="C16" s="48" t="inlineStr">
        <is>
          <t>EJEMPLO — BORRAR ANTES DE USAR — Inspección de rutina</t>
        </is>
      </c>
      <c r="D16" s="48" t="inlineStr">
        <is>
          <t>EJEMPLO — BORRAR ANTES DE USAR — Lubricación programada</t>
        </is>
      </c>
    </row>
    <row r="17">
      <c r="A17" s="5" t="inlineStr">
        <is>
          <t>D</t>
        </is>
      </c>
      <c r="B17" s="5" t="inlineStr">
        <is>
          <t>descripcion_operacion</t>
        </is>
      </c>
      <c r="C17" s="48" t="inlineStr">
        <is>
          <t>EJEMPLO — BORRAR ANTES DE USAR — Inspección de rutina en EQ-EJEMPLO</t>
        </is>
      </c>
      <c r="D17" s="48" t="inlineStr">
        <is>
          <t>EJEMPLO — BORRAR ANTES DE USAR — Lubricación programada en EQ-EJEMPLO</t>
        </is>
      </c>
    </row>
    <row r="18">
      <c r="A18" s="5" t="inlineStr">
        <is>
          <t>E</t>
        </is>
      </c>
      <c r="B18" s="5" t="inlineStr">
        <is>
          <t>equipo</t>
        </is>
      </c>
      <c r="C18" s="48" t="inlineStr">
        <is>
          <t>EQ-EJEMPLO</t>
        </is>
      </c>
      <c r="D18" s="48" t="inlineStr">
        <is>
          <t>EQ-EJEMPLO</t>
        </is>
      </c>
    </row>
    <row r="19">
      <c r="A19" s="5" t="inlineStr">
        <is>
          <t>F</t>
        </is>
      </c>
      <c r="B19" s="5" t="inlineStr">
        <is>
          <t>centro_costo</t>
        </is>
      </c>
      <c r="C19" s="48" t="inlineStr">
        <is>
          <t>CC-110</t>
        </is>
      </c>
      <c r="D19" s="48" t="inlineStr">
        <is>
          <t>CC-110</t>
        </is>
      </c>
    </row>
    <row r="20">
      <c r="A20" s="5" t="inlineStr">
        <is>
          <t>G</t>
        </is>
      </c>
      <c r="B20" s="5" t="inlineStr">
        <is>
          <t>puesto_trabajo</t>
        </is>
      </c>
      <c r="C20" s="48" t="inlineStr">
        <is>
          <t>PU-MEC</t>
        </is>
      </c>
      <c r="D20" s="48" t="inlineStr">
        <is>
          <t>PU-MEC</t>
        </is>
      </c>
    </row>
    <row r="21">
      <c r="A21" s="5" t="inlineStr">
        <is>
          <t>H</t>
        </is>
      </c>
      <c r="B21" s="5" t="inlineStr">
        <is>
          <t>cod_actividad</t>
        </is>
      </c>
      <c r="C21" s="48" t="inlineStr">
        <is>
          <t>ACT-01</t>
        </is>
      </c>
      <c r="D21" s="48" t="inlineStr">
        <is>
          <t>ACT-02</t>
        </is>
      </c>
    </row>
    <row r="22">
      <c r="A22" s="5" t="inlineStr">
        <is>
          <t>I</t>
        </is>
      </c>
      <c r="B22" s="5" t="inlineStr">
        <is>
          <t>tipo_ot</t>
        </is>
      </c>
      <c r="C22" s="48" t="inlineStr">
        <is>
          <t>TIPO-P1</t>
        </is>
      </c>
      <c r="D22" s="48" t="inlineStr">
        <is>
          <t>TIPO-P1</t>
        </is>
      </c>
    </row>
    <row r="23">
      <c r="A23" s="5" t="inlineStr">
        <is>
          <t>J</t>
        </is>
      </c>
      <c r="B23" s="5" t="inlineStr">
        <is>
          <t>fecha_inicio</t>
        </is>
      </c>
      <c r="C23" s="49" t="n">
        <v>46230</v>
      </c>
      <c r="D23" s="49" t="n">
        <v>46231</v>
      </c>
    </row>
    <row r="24">
      <c r="A24" s="5" t="inlineStr">
        <is>
          <t>K</t>
        </is>
      </c>
      <c r="B24" s="5" t="inlineStr">
        <is>
          <t>horas_estimadas</t>
        </is>
      </c>
      <c r="C24" s="48" t="n">
        <v>6</v>
      </c>
      <c r="D24" s="48" t="n">
        <v>4</v>
      </c>
    </row>
    <row r="25">
      <c r="A25" s="5" t="inlineStr">
        <is>
          <t>L</t>
        </is>
      </c>
      <c r="B25" s="5" t="inlineStr">
        <is>
          <t>costo_plan</t>
        </is>
      </c>
      <c r="C25" s="48" t="n">
        <v>150</v>
      </c>
      <c r="D25" s="48" t="n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80808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64" customWidth="1" min="3" max="3"/>
    <col width="22" customWidth="1" min="4" max="4"/>
  </cols>
  <sheetData>
    <row r="1">
      <c r="A1" s="1" t="inlineStr">
        <is>
          <t>_COMPATIBILIDAD — equivalentes INDEX/MATCH para Excel 2016 o anterior</t>
        </is>
      </c>
    </row>
    <row r="2">
      <c r="A2" s="50" t="inlineStr">
        <is>
          <t>Las columnas calculadas de ORDENES usan XLOOKUP (Excel 2021/365). Si su Excel no lo tiene, reemplace cada fórmula por su equivalente de la columna C. El ejemplo vivo de la columna D calcula la primera fila de ORDENES con INDEX/MATCH.</t>
        </is>
      </c>
    </row>
    <row r="4">
      <c r="A4" s="14" t="inlineStr">
        <is>
          <t>campo</t>
        </is>
      </c>
      <c r="B4" s="14" t="inlineStr">
        <is>
          <t>fórmula con XLOOKUP (como en tblOrdenes)</t>
        </is>
      </c>
      <c r="C4" s="14" t="inlineStr">
        <is>
          <t>equivalente INDEX/MATCH</t>
        </is>
      </c>
      <c r="D4" s="14" t="inlineStr">
        <is>
          <t>ejemplo vivo (fila 1 de ORDENES)</t>
        </is>
      </c>
    </row>
    <row r="5">
      <c r="A5" s="5" t="inlineStr">
        <is>
          <t>estado</t>
        </is>
      </c>
      <c r="B5" s="50" t="inlineStr">
        <is>
          <t>IF(tblOrdenes[[#This Row],[orden]]="","",XLOOKUP(XLOOKUP(tblOrdenes[[#This Row],[id_operacion]],tblEjecucion[id_operacion],tblEjecucion[estado_sistema],""),tblEstados[estado_sistema],tblEstados[estado_normalizado],"Pendiente"))</t>
        </is>
      </c>
      <c r="C5" s="50" t="inlineStr">
        <is>
          <t>IFERROR(INDEX('CAT_ESTADOS_ERP'!$B$4:$B$22,MATCH(IFERROR(INDEX('2_IMPORTAR_EJECUCION'!$C$9:$C$1208,MATCH('ORDENES'!$AU$4,'2_IMPORTAR_EJECUCION'!$J$9:$J$1208,0)),""),'CAT_ESTADOS_ERP'!$A$4:$A$22,0)),"Pendiente")</t>
        </is>
      </c>
      <c r="D5" s="5">
        <f>IFERROR(INDEX('CAT_ESTADOS_ERP'!$B$4:$B$22,MATCH(IFERROR(INDEX('2_IMPORTAR_EJECUCION'!$C$9:$C$1208,MATCH('ORDENES'!$AU$4,'2_IMPORTAR_EJECUCION'!$J$9:$J$1208,0)),""),'CAT_ESTADOS_ERP'!$A$4:$A$22,0)),"Pendiente")</f>
        <v/>
      </c>
    </row>
    <row r="6">
      <c r="A6" s="5" t="inlineStr">
        <is>
          <t>clasificacion</t>
        </is>
      </c>
      <c r="B6" s="50" t="inlineStr">
        <is>
          <t>IF(tblOrdenes[[#This Row],[tipo_ot]]="","",XLOOKUP(tblOrdenes[[#This Row],[tipo_ot]],tblTiposOT[codigo],tblTiposOT[clasificacion],"sin_clasificar"))</t>
        </is>
      </c>
      <c r="C6" s="50" t="inlineStr">
        <is>
          <t>IFERROR(INDEX('CAT_TIPOS_OT'!$C$4:$C$23,MATCH('ORDENES'!$I$4,'CAT_TIPOS_OT'!$A$4:$A$23,0)),"sin_clasificar")</t>
        </is>
      </c>
      <c r="D6" s="5">
        <f>IFERROR(INDEX('CAT_TIPOS_OT'!$C$4:$C$23,MATCH('ORDENES'!$I$4,'CAT_TIPOS_OT'!$A$4:$A$23,0)),"sin_clasificar")</f>
        <v/>
      </c>
    </row>
    <row r="7">
      <c r="A7" s="5" t="inlineStr">
        <is>
          <t>linea</t>
        </is>
      </c>
      <c r="B7" s="50" t="inlineStr">
        <is>
          <t>IF(tblOrdenes[[#This Row],[centro_costo]]="","",XLOOKUP(tblOrdenes[[#This Row],[centro_costo]],tblCECO[codigo],tblCECO[linea],"(sin catálogo)"))</t>
        </is>
      </c>
      <c r="C7" s="50" t="inlineStr">
        <is>
          <t>IFERROR(INDEX('CAT_CENTROS_COSTO'!$F$4:$F$28,MATCH('ORDENES'!$F$4,'CAT_CENTROS_COSTO'!$A$4:$A$28,0)),"(sin catálogo)")</t>
        </is>
      </c>
      <c r="D7" s="5">
        <f>IFERROR(INDEX('CAT_CENTROS_COSTO'!$F$4:$F$28,MATCH('ORDENES'!$F$4,'CAT_CENTROS_COSTO'!$A$4:$A$28,0)),"(sin catálogo)")</f>
        <v/>
      </c>
    </row>
    <row r="8">
      <c r="A8" s="5" t="inlineStr">
        <is>
          <t>area</t>
        </is>
      </c>
      <c r="B8" s="50" t="inlineStr">
        <is>
          <t>IF(tblOrdenes[[#This Row],[centro_costo]]="","",XLOOKUP(tblOrdenes[[#This Row],[centro_costo]],tblCECO[codigo],tblCECO[area],"(sin catálogo)"))</t>
        </is>
      </c>
      <c r="C8" s="50" t="inlineStr">
        <is>
          <t>IFERROR(INDEX('CAT_CENTROS_COSTO'!$D$4:$D$28,MATCH('ORDENES'!$F$4,'CAT_CENTROS_COSTO'!$A$4:$A$28,0)),"(sin catálogo)")</t>
        </is>
      </c>
      <c r="D8" s="5">
        <f>IFERROR(INDEX('CAT_CENTROS_COSTO'!$D$4:$D$28,MATCH('ORDENES'!$F$4,'CAT_CENTROS_COSTO'!$A$4:$A$28,0)),"(sin catálogo)")</f>
        <v/>
      </c>
    </row>
    <row r="9">
      <c r="A9" s="5" t="inlineStr">
        <is>
          <t>sub_area</t>
        </is>
      </c>
      <c r="B9" s="50" t="inlineStr">
        <is>
          <t>IF(tblOrdenes[[#This Row],[centro_costo]]="","",IF((XLOOKUP(tblOrdenes[[#This Row],[centro_costo]],tblCECO[codigo],tblCECO[sub_area],""))&lt;&gt;"",XLOOKUP(tblOrdenes[[#This Row],[centro_costo]],tblCECO[codigo],tblCECO[sub_area],""),tblOrdenes[[#This Row],[area]]))</t>
        </is>
      </c>
      <c r="C9" s="50" t="inlineStr">
        <is>
          <t>IF('ORDENES'!$F$4="","",IF((IFERROR(INDEX('CAT_CENTROS_COSTO'!$E$4:$E$28,MATCH('ORDENES'!$F$4,'CAT_CENTROS_COSTO'!$A$4:$A$28,0)),""))&lt;&gt;"",IFERROR(INDEX('CAT_CENTROS_COSTO'!$E$4:$E$28,MATCH('ORDENES'!$F$4,'CAT_CENTROS_COSTO'!$A$4:$A$28,0)),""),IFERROR(INDEX('CAT_CENTROS_COSTO'!$D$4:$D$28,MATCH('ORDENES'!$F$4,'CAT_CENTROS_COSTO'!$A$4:$A$28,0)),"(sin catálogo)")))</t>
        </is>
      </c>
      <c r="D9" s="5">
        <f>IF('ORDENES'!$F$4="","",IF((IFERROR(INDEX('CAT_CENTROS_COSTO'!$E$4:$E$28,MATCH('ORDENES'!$F$4,'CAT_CENTROS_COSTO'!$A$4:$A$28,0)),""))&lt;&gt;"",IFERROR(INDEX('CAT_CENTROS_COSTO'!$E$4:$E$28,MATCH('ORDENES'!$F$4,'CAT_CENTROS_COSTO'!$A$4:$A$28,0)),""),IFERROR(INDEX('CAT_CENTROS_COSTO'!$D$4:$D$28,MATCH('ORDENES'!$F$4,'CAT_CENTROS_COSTO'!$A$4:$A$28,0)),"(sin catálogo)")))</f>
        <v/>
      </c>
    </row>
    <row r="10">
      <c r="A10" s="5" t="inlineStr">
        <is>
          <t>coordinador</t>
        </is>
      </c>
      <c r="B10" s="50" t="inlineStr">
        <is>
          <t>IF(tblOrdenes[[#This Row],[centro_costo]]="","",XLOOKUP(tblOrdenes[[#This Row],[centro_costo]],tblCECO[codigo],tblCECO[coordinador],"(sin catálogo)"))</t>
        </is>
      </c>
      <c r="C10" s="50" t="inlineStr">
        <is>
          <t>IFERROR(INDEX('CAT_CENTROS_COSTO'!$G$4:$G$28,MATCH('ORDENES'!$F$4,'CAT_CENTROS_COSTO'!$A$4:$A$28,0)),"(sin catálogo)")</t>
        </is>
      </c>
      <c r="D10" s="5">
        <f>IFERROR(INDEX('CAT_CENTROS_COSTO'!$G$4:$G$28,MATCH('ORDENES'!$F$4,'CAT_CENTROS_COSTO'!$A$4:$A$28,0)),"(sin catálogo)")</f>
        <v/>
      </c>
    </row>
    <row r="11">
      <c r="A11" s="5" t="inlineStr">
        <is>
          <t>especialidad</t>
        </is>
      </c>
      <c r="B11" s="50" t="inlineStr">
        <is>
          <t>IF(tblOrdenes[[#This Row],[puesto_trabajo]]="","",XLOOKUP(tblOrdenes[[#This Row],[puesto_trabajo]],tblPuestos[codigo],tblPuestos[especialidad],"(sin catálogo)"))</t>
        </is>
      </c>
      <c r="C11" s="50" t="inlineStr">
        <is>
          <t>IFERROR(INDEX('CAT_PUESTOS'!$B$4:$B$23,MATCH('ORDENES'!$G$4,'CAT_PUESTOS'!$A$4:$A$23,0)),"(sin catálogo)")</t>
        </is>
      </c>
      <c r="D11" s="5">
        <f>IFERROR(INDEX('CAT_PUESTOS'!$B$4:$B$23,MATCH('ORDENES'!$G$4,'CAT_PUESTOS'!$A$4:$A$23,0)),"(sin catálogo)")</f>
        <v/>
      </c>
    </row>
    <row r="12">
      <c r="A12" s="5" t="inlineStr">
        <is>
          <t>actividad</t>
        </is>
      </c>
      <c r="B12" s="50" t="inlineStr">
        <is>
          <t>IF(tblOrdenes[[#This Row],[cod_actividad]]="","",XLOOKUP(tblOrdenes[[#This Row],[cod_actividad]],tblActividades[codigo],tblActividades[descripcion],"(sin catálogo)"))</t>
        </is>
      </c>
      <c r="C12" s="50" t="inlineStr">
        <is>
          <t>IFERROR(INDEX('CAT_ACTIVIDADES'!$B$4:$B$26,MATCH('ORDENES'!$H$4,'CAT_ACTIVIDADES'!$A$4:$A$26,0)),"(sin catálogo)")</t>
        </is>
      </c>
      <c r="D12" s="5">
        <f>IFERROR(INDEX('CAT_ACTIVIDADES'!$B$4:$B$26,MATCH('ORDENES'!$H$4,'CAT_ACTIVIDADES'!$A$4:$A$26,0)),"(sin catálogo)")</f>
        <v/>
      </c>
    </row>
    <row r="13">
      <c r="A13" s="5" t="inlineStr">
        <is>
          <t>es_habil</t>
        </is>
      </c>
      <c r="B13" s="50" t="inlineStr">
        <is>
          <t>IF(tblOrdenes[[#This Row],[fecha_inicio]]="","",XLOOKUP(TEXT(tblOrdenes[[#This Row],[fecha_inicio]],"yyyy-mm-dd")&amp;"|"&amp;tblOrdenes[[#This Row],[area]]&amp;"|"&amp;tblOrdenes[[#This Row],[sub_area]],tblExcepciones[clave],tblExcepciones[habil],XLOOKUP(TEXT(tblOrdenes[[#This Row],[fecha_inicio]],"yyyy-mm-dd")&amp;"|"&amp;tblOrdenes[[#This Row],[area]]&amp;"|",tblExcepciones[clave],tblExcepciones[habil],XLOOKUP(TEXT(tblOrdenes[[#This Row],[fecha_inicio]],"yyyy-mm-dd")&amp;"||",tblExcepciones[clave],tblExcepciones[habil],INDEX(patronHabil,WEEKDAY(tblOrdenes[[#This Row],[fecha_inicio]],2))))))</t>
        </is>
      </c>
      <c r="C13" s="50" t="inlineStr">
        <is>
          <t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t>
        </is>
      </c>
      <c r="D13" s="5">
        <f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f>
        <v/>
      </c>
    </row>
    <row r="14">
      <c r="A14" s="5" t="inlineStr">
        <is>
          <t>horas_efectivas</t>
        </is>
      </c>
      <c r="B14" s="50" t="inlineStr">
        <is>
          <t>IF(tblOrdenes[[#This Row],[orden]]="","",XLOOKUP(tblOrdenes[[#This Row],[id_operacion]],tblAjustes[id_operacion],tblAjustes[horas_ajustadas],IF(tblOrdenes[[#This Row],[horas_estimadas]]="","",tblOrdenes[[#This Row],[horas_estimadas]])))</t>
        </is>
      </c>
      <c r="C14" s="50" t="inlineStr">
        <is>
          <t>IFERROR(INDEX('AJUSTES'!$B$4:$B$303,MATCH('ORDENES'!$AU$4,'AJUSTES'!$A$4:$A$303,0)),IF('ORDENES'!$K$4="","",'ORDENES'!$K$4))</t>
        </is>
      </c>
      <c r="D14" s="5">
        <f>IFERROR(INDEX('AJUSTES'!$B$4:$B$303,MATCH('ORDENES'!$AU$4,'AJUSTES'!$A$4:$A$303,0)),IF('ORDENES'!$K$4="","",'ORDENES'!$K$4))</f>
        <v/>
      </c>
    </row>
    <row r="15">
      <c r="A15" s="5" t="inlineStr">
        <is>
          <t>turno_asignado</t>
        </is>
      </c>
      <c r="B15" s="50" t="inlineStr">
        <is>
          <t>IF(tblOrdenes[[#This Row],[tecnico_asignado]]="","",IF((XLOOKUP(tblOrdenes[[#This Row],[semana]]&amp;"|"&amp;tblOrdenes[[#This Row],[dia_semana]]&amp;"|"&amp;tblOrdenes[[#This Row],[tecnico_asignado]],tblAsignaciones[clave],tblAsignaciones[turno],""))=0,"",XLOOKUP(tblOrdenes[[#This Row],[semana]]&amp;"|"&amp;tblOrdenes[[#This Row],[dia_semana]]&amp;"|"&amp;tblOrdenes[[#This Row],[tecnico_asignado]],tblAsignaciones[clave],tblAsignaciones[turno],"")))</t>
        </is>
      </c>
      <c r="C15" s="50" t="inlineStr">
        <is>
          <t>IF('ORDENES'!$AH$4="","",IFERROR(INDEX('ASIGNACIONES'!$J$4:$J$451,MATCH('ORDENES'!$O$4&amp;"|"&amp;'ORDENES'!$S$4&amp;"|"&amp;'ORDENES'!$AH$4,'ASIGNACIONES'!$N$4:$N$451,0)),""))</t>
        </is>
      </c>
      <c r="D15" s="5">
        <f>IF('ORDENES'!$AH$4="","",IFERROR(INDEX('ASIGNACIONES'!$J$4:$J$451,MATCH('ORDENES'!$O$4&amp;"|"&amp;'ORDENES'!$S$4&amp;"|"&amp;'ORDENES'!$AH$4,'ASIGNACIONES'!$N$4:$N$451,0)),""))</f>
        <v/>
      </c>
    </row>
    <row r="16">
      <c r="A16" s="5" t="inlineStr">
        <is>
          <t>costo_servicio</t>
        </is>
      </c>
      <c r="B16" s="50" t="inlineStr">
        <is>
          <t>IF(tblOrdenes[[#This Row],[orden]]="","",XLOOKUP(tblOrdenes[[#This Row],[id_operacion]],tblEjecucion[id_operacion],tblEjecucion[precio],0))</t>
        </is>
      </c>
      <c r="C16" s="50" t="inlineStr">
        <is>
          <t>IFERROR(INDEX('2_IMPORTAR_EJECUCION'!$F$9:$F$1208,MATCH('ORDENES'!$AU$4,'2_IMPORTAR_EJECUCION'!$J$9:$J$1208,0)),0)</t>
        </is>
      </c>
      <c r="D16" s="5">
        <f>IFERROR(INDEX('2_IMPORTAR_EJECUCION'!$F$9:$F$1208,MATCH('ORDENES'!$AU$4,'2_IMPORTAR_EJECUCION'!$J$9:$J$1208,0)),0)</f>
        <v/>
      </c>
    </row>
    <row r="17">
      <c r="A17" s="5" t="inlineStr">
        <is>
          <t>costo_materiales</t>
        </is>
      </c>
      <c r="B17" s="50" t="inlineStr">
        <is>
          <t>IF(tblOrdenes[[#This Row],[orden]]="","",MAX(0,XLOOKUP(tblOrdenes[[#This Row],[id_operacion]],tblEjecucion[id_operacion],tblEjecucion[costo_plan_total],0)-tblOrdenes[[#This Row],[costo_servicio]]))</t>
        </is>
      </c>
      <c r="C17" s="50" t="inlineStr">
        <is>
          <t>MAX(0,IFERROR(INDEX('2_IMPORTAR_EJECUCION'!$H$9:$H$1208,MATCH('ORDENES'!$AU$4,'2_IMPORTAR_EJECUCION'!$J$9:$J$1208,0)),0)-'ORDENES'!$AL$4)</t>
        </is>
      </c>
      <c r="D17" s="5">
        <f>MAX(0,IFERROR(INDEX('2_IMPORTAR_EJECUCION'!$H$9:$H$1208,MATCH('ORDENES'!$AU$4,'2_IMPORTAR_EJECUCION'!$J$9:$J$1208,0)),0)-'ORDENES'!$AL$4)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2026-07-29T18:59:12Z</dcterms:created>
  <dcterms:modified xsi:type="dcterms:W3CDTF">2026-07-29T18:59:15Z</dcterms:modified>
</cp:coreProperties>
</file>